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4.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5.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6.xml" ContentType="application/vnd.openxmlformats-officedocument.drawing+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7.xml" ContentType="application/vnd.openxmlformats-officedocument.drawing+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8.xml" ContentType="application/vnd.openxmlformats-officedocument.drawing+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drawings/drawing9.xml" ContentType="application/vnd.openxmlformats-officedocument.drawing+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drawings/drawing10.xml" ContentType="application/vnd.openxmlformats-officedocument.drawing+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drawings/drawing11.xml" ContentType="application/vnd.openxmlformats-officedocument.drawing+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drawings/drawing12.xml" ContentType="application/vnd.openxmlformats-officedocument.drawing+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charts/chart99.xml" ContentType="application/vnd.openxmlformats-officedocument.drawingml.chart+xml"/>
  <Override PartName="/xl/charts/style99.xml" ContentType="application/vnd.ms-office.chartstyle+xml"/>
  <Override PartName="/xl/charts/colors99.xml" ContentType="application/vnd.ms-office.chartcolorstyle+xml"/>
  <Override PartName="/xl/charts/chart100.xml" ContentType="application/vnd.openxmlformats-officedocument.drawingml.chart+xml"/>
  <Override PartName="/xl/charts/style100.xml" ContentType="application/vnd.ms-office.chartstyle+xml"/>
  <Override PartName="/xl/charts/colors100.xml" ContentType="application/vnd.ms-office.chartcolorstyle+xml"/>
  <Override PartName="/xl/charts/chart101.xml" ContentType="application/vnd.openxmlformats-officedocument.drawingml.chart+xml"/>
  <Override PartName="/xl/charts/style101.xml" ContentType="application/vnd.ms-office.chartstyle+xml"/>
  <Override PartName="/xl/charts/colors101.xml" ContentType="application/vnd.ms-office.chartcolorstyle+xml"/>
  <Override PartName="/xl/charts/chart102.xml" ContentType="application/vnd.openxmlformats-officedocument.drawingml.chart+xml"/>
  <Override PartName="/xl/charts/style102.xml" ContentType="application/vnd.ms-office.chartstyle+xml"/>
  <Override PartName="/xl/charts/colors102.xml" ContentType="application/vnd.ms-office.chartcolorstyle+xml"/>
  <Override PartName="/xl/charts/chart103.xml" ContentType="application/vnd.openxmlformats-officedocument.drawingml.chart+xml"/>
  <Override PartName="/xl/charts/style103.xml" ContentType="application/vnd.ms-office.chartstyle+xml"/>
  <Override PartName="/xl/charts/colors103.xml" ContentType="application/vnd.ms-office.chartcolorstyle+xml"/>
  <Override PartName="/xl/drawings/drawing13.xml" ContentType="application/vnd.openxmlformats-officedocument.drawing+xml"/>
  <Override PartName="/xl/charts/chart104.xml" ContentType="application/vnd.openxmlformats-officedocument.drawingml.chart+xml"/>
  <Override PartName="/xl/charts/style104.xml" ContentType="application/vnd.ms-office.chartstyle+xml"/>
  <Override PartName="/xl/charts/colors104.xml" ContentType="application/vnd.ms-office.chartcolorstyle+xml"/>
  <Override PartName="/xl/charts/chart105.xml" ContentType="application/vnd.openxmlformats-officedocument.drawingml.chart+xml"/>
  <Override PartName="/xl/charts/style105.xml" ContentType="application/vnd.ms-office.chartstyle+xml"/>
  <Override PartName="/xl/charts/colors105.xml" ContentType="application/vnd.ms-office.chartcolorstyle+xml"/>
  <Override PartName="/xl/charts/chart106.xml" ContentType="application/vnd.openxmlformats-officedocument.drawingml.chart+xml"/>
  <Override PartName="/xl/charts/style106.xml" ContentType="application/vnd.ms-office.chartstyle+xml"/>
  <Override PartName="/xl/charts/colors106.xml" ContentType="application/vnd.ms-office.chartcolorstyle+xml"/>
  <Override PartName="/xl/charts/chart107.xml" ContentType="application/vnd.openxmlformats-officedocument.drawingml.chart+xml"/>
  <Override PartName="/xl/charts/style107.xml" ContentType="application/vnd.ms-office.chartstyle+xml"/>
  <Override PartName="/xl/charts/colors107.xml" ContentType="application/vnd.ms-office.chartcolorstyle+xml"/>
  <Override PartName="/xl/charts/chart108.xml" ContentType="application/vnd.openxmlformats-officedocument.drawingml.chart+xml"/>
  <Override PartName="/xl/charts/style108.xml" ContentType="application/vnd.ms-office.chartstyle+xml"/>
  <Override PartName="/xl/charts/colors108.xml" ContentType="application/vnd.ms-office.chartcolorstyle+xml"/>
  <Override PartName="/xl/charts/chart109.xml" ContentType="application/vnd.openxmlformats-officedocument.drawingml.chart+xml"/>
  <Override PartName="/xl/charts/style109.xml" ContentType="application/vnd.ms-office.chartstyle+xml"/>
  <Override PartName="/xl/charts/colors109.xml" ContentType="application/vnd.ms-office.chartcolorstyle+xml"/>
  <Override PartName="/xl/charts/chart110.xml" ContentType="application/vnd.openxmlformats-officedocument.drawingml.chart+xml"/>
  <Override PartName="/xl/charts/style110.xml" ContentType="application/vnd.ms-office.chartstyle+xml"/>
  <Override PartName="/xl/charts/colors110.xml" ContentType="application/vnd.ms-office.chartcolorstyle+xml"/>
  <Override PartName="/xl/charts/chart111.xml" ContentType="application/vnd.openxmlformats-officedocument.drawingml.chart+xml"/>
  <Override PartName="/xl/charts/style111.xml" ContentType="application/vnd.ms-office.chartstyle+xml"/>
  <Override PartName="/xl/charts/colors111.xml" ContentType="application/vnd.ms-office.chartcolorstyle+xml"/>
  <Override PartName="/xl/drawings/drawing14.xml" ContentType="application/vnd.openxmlformats-officedocument.drawing+xml"/>
  <Override PartName="/xl/charts/chart112.xml" ContentType="application/vnd.openxmlformats-officedocument.drawingml.chart+xml"/>
  <Override PartName="/xl/charts/style112.xml" ContentType="application/vnd.ms-office.chartstyle+xml"/>
  <Override PartName="/xl/charts/colors112.xml" ContentType="application/vnd.ms-office.chartcolorstyle+xml"/>
  <Override PartName="/xl/charts/chart113.xml" ContentType="application/vnd.openxmlformats-officedocument.drawingml.chart+xml"/>
  <Override PartName="/xl/charts/style113.xml" ContentType="application/vnd.ms-office.chartstyle+xml"/>
  <Override PartName="/xl/charts/colors113.xml" ContentType="application/vnd.ms-office.chartcolorstyle+xml"/>
  <Override PartName="/xl/charts/chart114.xml" ContentType="application/vnd.openxmlformats-officedocument.drawingml.chart+xml"/>
  <Override PartName="/xl/charts/style114.xml" ContentType="application/vnd.ms-office.chartstyle+xml"/>
  <Override PartName="/xl/charts/colors114.xml" ContentType="application/vnd.ms-office.chartcolorstyle+xml"/>
  <Override PartName="/xl/charts/chart115.xml" ContentType="application/vnd.openxmlformats-officedocument.drawingml.chart+xml"/>
  <Override PartName="/xl/charts/style115.xml" ContentType="application/vnd.ms-office.chartstyle+xml"/>
  <Override PartName="/xl/charts/colors115.xml" ContentType="application/vnd.ms-office.chartcolorstyle+xml"/>
  <Override PartName="/xl/charts/chart116.xml" ContentType="application/vnd.openxmlformats-officedocument.drawingml.chart+xml"/>
  <Override PartName="/xl/charts/style116.xml" ContentType="application/vnd.ms-office.chartstyle+xml"/>
  <Override PartName="/xl/charts/colors116.xml" ContentType="application/vnd.ms-office.chartcolorstyle+xml"/>
  <Override PartName="/xl/charts/chart117.xml" ContentType="application/vnd.openxmlformats-officedocument.drawingml.chart+xml"/>
  <Override PartName="/xl/charts/style117.xml" ContentType="application/vnd.ms-office.chartstyle+xml"/>
  <Override PartName="/xl/charts/colors117.xml" ContentType="application/vnd.ms-office.chartcolorstyle+xml"/>
  <Override PartName="/xl/charts/chart118.xml" ContentType="application/vnd.openxmlformats-officedocument.drawingml.chart+xml"/>
  <Override PartName="/xl/charts/style118.xml" ContentType="application/vnd.ms-office.chartstyle+xml"/>
  <Override PartName="/xl/charts/colors118.xml" ContentType="application/vnd.ms-office.chartcolorstyle+xml"/>
  <Override PartName="/xl/charts/chart119.xml" ContentType="application/vnd.openxmlformats-officedocument.drawingml.chart+xml"/>
  <Override PartName="/xl/charts/style119.xml" ContentType="application/vnd.ms-office.chartstyle+xml"/>
  <Override PartName="/xl/charts/colors119.xml" ContentType="application/vnd.ms-office.chartcolorstyle+xml"/>
  <Override PartName="/xl/drawings/drawing15.xml" ContentType="application/vnd.openxmlformats-officedocument.drawing+xml"/>
  <Override PartName="/xl/charts/chart120.xml" ContentType="application/vnd.openxmlformats-officedocument.drawingml.chart+xml"/>
  <Override PartName="/xl/charts/style120.xml" ContentType="application/vnd.ms-office.chartstyle+xml"/>
  <Override PartName="/xl/charts/colors120.xml" ContentType="application/vnd.ms-office.chartcolorstyle+xml"/>
  <Override PartName="/xl/charts/chart121.xml" ContentType="application/vnd.openxmlformats-officedocument.drawingml.chart+xml"/>
  <Override PartName="/xl/charts/style121.xml" ContentType="application/vnd.ms-office.chartstyle+xml"/>
  <Override PartName="/xl/charts/colors121.xml" ContentType="application/vnd.ms-office.chartcolorstyle+xml"/>
  <Override PartName="/xl/charts/chart122.xml" ContentType="application/vnd.openxmlformats-officedocument.drawingml.chart+xml"/>
  <Override PartName="/xl/charts/style122.xml" ContentType="application/vnd.ms-office.chartstyle+xml"/>
  <Override PartName="/xl/charts/colors122.xml" ContentType="application/vnd.ms-office.chartcolorstyle+xml"/>
  <Override PartName="/xl/charts/chart123.xml" ContentType="application/vnd.openxmlformats-officedocument.drawingml.chart+xml"/>
  <Override PartName="/xl/charts/style123.xml" ContentType="application/vnd.ms-office.chartstyle+xml"/>
  <Override PartName="/xl/charts/colors123.xml" ContentType="application/vnd.ms-office.chartcolorstyle+xml"/>
  <Override PartName="/xl/charts/chart124.xml" ContentType="application/vnd.openxmlformats-officedocument.drawingml.chart+xml"/>
  <Override PartName="/xl/charts/style124.xml" ContentType="application/vnd.ms-office.chartstyle+xml"/>
  <Override PartName="/xl/charts/colors124.xml" ContentType="application/vnd.ms-office.chartcolorstyle+xml"/>
  <Override PartName="/xl/charts/chart125.xml" ContentType="application/vnd.openxmlformats-officedocument.drawingml.chart+xml"/>
  <Override PartName="/xl/charts/style125.xml" ContentType="application/vnd.ms-office.chartstyle+xml"/>
  <Override PartName="/xl/charts/colors125.xml" ContentType="application/vnd.ms-office.chartcolorstyle+xml"/>
  <Override PartName="/xl/charts/chart126.xml" ContentType="application/vnd.openxmlformats-officedocument.drawingml.chart+xml"/>
  <Override PartName="/xl/charts/style126.xml" ContentType="application/vnd.ms-office.chartstyle+xml"/>
  <Override PartName="/xl/charts/colors126.xml" ContentType="application/vnd.ms-office.chartcolorstyle+xml"/>
  <Override PartName="/xl/charts/chart127.xml" ContentType="application/vnd.openxmlformats-officedocument.drawingml.chart+xml"/>
  <Override PartName="/xl/charts/style127.xml" ContentType="application/vnd.ms-office.chartstyle+xml"/>
  <Override PartName="/xl/charts/colors127.xml" ContentType="application/vnd.ms-office.chartcolorstyle+xml"/>
  <Override PartName="/xl/drawings/drawing16.xml" ContentType="application/vnd.openxmlformats-officedocument.drawing+xml"/>
  <Override PartName="/xl/charts/chart128.xml" ContentType="application/vnd.openxmlformats-officedocument.drawingml.chart+xml"/>
  <Override PartName="/xl/charts/style128.xml" ContentType="application/vnd.ms-office.chartstyle+xml"/>
  <Override PartName="/xl/charts/colors128.xml" ContentType="application/vnd.ms-office.chartcolorstyle+xml"/>
  <Override PartName="/xl/charts/chart129.xml" ContentType="application/vnd.openxmlformats-officedocument.drawingml.chart+xml"/>
  <Override PartName="/xl/charts/style129.xml" ContentType="application/vnd.ms-office.chartstyle+xml"/>
  <Override PartName="/xl/charts/colors12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codeName="ThisWorkbook" defaultThemeVersion="166925"/>
  <mc:AlternateContent xmlns:mc="http://schemas.openxmlformats.org/markup-compatibility/2006">
    <mc:Choice Requires="x15">
      <x15ac:absPath xmlns:x15ac="http://schemas.microsoft.com/office/spreadsheetml/2010/11/ac" url="https://studntnu-my.sharepoint.com/personal/steffejb_ntnu_no/Documents/Work/GitHub/STraM_ntnu_development/Data/"/>
    </mc:Choice>
  </mc:AlternateContent>
  <xr:revisionPtr revIDLastSave="2" documentId="14_{A9052CAA-5A6C-46F7-B71E-BAB2C5671B37}" xr6:coauthVersionLast="47" xr6:coauthVersionMax="47" xr10:uidLastSave="{1ED8CD54-BA4C-45BE-9B20-10C537E4A54F}"/>
  <bookViews>
    <workbookView xWindow="14400" yWindow="0" windowWidth="28800" windowHeight="22170" tabRatio="828" activeTab="2" xr2:uid="{76D8B127-F22E-4191-BFCA-2B9A6AA03022}"/>
  </bookViews>
  <sheets>
    <sheet name="Legend" sheetId="31" r:id="rId1"/>
    <sheet name="Parameter Input" sheetId="2" r:id="rId2"/>
    <sheet name="Transfer costs" sheetId="30" r:id="rId3"/>
    <sheet name="Output emissions" sheetId="29" r:id="rId4"/>
    <sheet name="Output fuel scenarios" sheetId="34" r:id="rId5"/>
    <sheet name="FIGURES" sheetId="33" r:id="rId6"/>
    <sheet name="Output costs" sheetId="28" r:id="rId7"/>
    <sheet name="Comments Ruben (temp)" sheetId="27" r:id="rId8"/>
    <sheet name="Semi-trailer truck (Diesel)" sheetId="3" r:id="rId9"/>
    <sheet name="Semi-trailer truck (Battery)" sheetId="19" r:id="rId10"/>
    <sheet name="Semi-trailer truck (Hydrogen)" sheetId="20" r:id="rId11"/>
    <sheet name="Railway (Diesel)" sheetId="9" r:id="rId12"/>
    <sheet name="Railway (Catenary)" sheetId="21" r:id="rId13"/>
    <sheet name="Railway (Battery)" sheetId="22" r:id="rId14"/>
    <sheet name="Railway (Hydrogen)" sheetId="23" r:id="rId15"/>
    <sheet name="Short-sea (HFO)" sheetId="32" r:id="rId16"/>
    <sheet name="Short-sea (MGO)" sheetId="13" r:id="rId17"/>
    <sheet name="Short-sea (Hydrogen)" sheetId="24" r:id="rId18"/>
    <sheet name="Short-sea (Ammonia)" sheetId="25" r:id="rId19"/>
    <sheet name="Short-sea (Methanol)" sheetId="26" r:id="rId20"/>
    <sheet name="Template_Cost_Calculator" sheetId="1" r:id="rId21"/>
  </sheets>
  <definedNames>
    <definedName name="_xlnm._FilterDatabase" localSheetId="6" hidden="1">'Output costs'!$A$1:$AF$61</definedName>
    <definedName name="_xlnm._FilterDatabase" localSheetId="3" hidden="1">'Output emissions'!$A$1:$J$62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 i="30" l="1"/>
  <c r="F4" i="30"/>
  <c r="F5" i="30"/>
  <c r="F6" i="30"/>
  <c r="F7" i="30"/>
  <c r="F8" i="30"/>
  <c r="F9" i="30"/>
  <c r="F10" i="30"/>
  <c r="F11" i="30"/>
  <c r="F12" i="30"/>
  <c r="F13" i="30"/>
  <c r="F14" i="30"/>
  <c r="F15" i="30"/>
  <c r="F16" i="30"/>
  <c r="F2" i="30"/>
  <c r="AJ478" i="34"/>
  <c r="AK478" i="34"/>
  <c r="AL478" i="34"/>
  <c r="AJ479" i="34"/>
  <c r="AK479" i="34"/>
  <c r="AL479" i="34"/>
  <c r="AJ480" i="34"/>
  <c r="AK480" i="34"/>
  <c r="AL480" i="34"/>
  <c r="AJ481" i="34"/>
  <c r="AK481" i="34"/>
  <c r="AL481" i="34"/>
  <c r="AJ482" i="34"/>
  <c r="AK482" i="34"/>
  <c r="AL482" i="34"/>
  <c r="AJ483" i="34"/>
  <c r="AK483" i="34"/>
  <c r="AL483" i="34"/>
  <c r="AJ484" i="34"/>
  <c r="AK484" i="34"/>
  <c r="AL484" i="34"/>
  <c r="AJ485" i="34"/>
  <c r="AK485" i="34"/>
  <c r="AL485" i="34"/>
  <c r="AJ486" i="34"/>
  <c r="AK486" i="34"/>
  <c r="AL486" i="34"/>
  <c r="AJ487" i="34"/>
  <c r="AK487" i="34"/>
  <c r="AL487" i="34"/>
  <c r="AJ488" i="34"/>
  <c r="AK488" i="34"/>
  <c r="AL488" i="34"/>
  <c r="AJ489" i="34"/>
  <c r="AK489" i="34"/>
  <c r="AL489" i="34"/>
  <c r="AJ490" i="34"/>
  <c r="AK490" i="34"/>
  <c r="AL490" i="34"/>
  <c r="AJ491" i="34"/>
  <c r="AK491" i="34"/>
  <c r="AL491" i="34"/>
  <c r="AJ492" i="34"/>
  <c r="AK492" i="34"/>
  <c r="AL492" i="34"/>
  <c r="AJ493" i="34"/>
  <c r="AK493" i="34"/>
  <c r="AL493" i="34"/>
  <c r="AJ494" i="34"/>
  <c r="AK494" i="34"/>
  <c r="AL494" i="34"/>
  <c r="AJ495" i="34"/>
  <c r="AK495" i="34"/>
  <c r="AL495" i="34"/>
  <c r="AJ496" i="34"/>
  <c r="AK496" i="34"/>
  <c r="AL496" i="34"/>
  <c r="AK477" i="34"/>
  <c r="AL477" i="34"/>
  <c r="AJ477" i="34"/>
  <c r="AJ458" i="34"/>
  <c r="AK458" i="34"/>
  <c r="AL458" i="34"/>
  <c r="AJ459" i="34"/>
  <c r="AK459" i="34"/>
  <c r="AL459" i="34"/>
  <c r="AJ460" i="34"/>
  <c r="AK460" i="34"/>
  <c r="AL460" i="34"/>
  <c r="AJ461" i="34"/>
  <c r="AK461" i="34"/>
  <c r="AL461" i="34"/>
  <c r="AJ462" i="34"/>
  <c r="AK462" i="34"/>
  <c r="AL462" i="34"/>
  <c r="AJ463" i="34"/>
  <c r="AK463" i="34"/>
  <c r="AL463" i="34"/>
  <c r="AJ464" i="34"/>
  <c r="AK464" i="34"/>
  <c r="AL464" i="34"/>
  <c r="AJ465" i="34"/>
  <c r="AK465" i="34"/>
  <c r="AL465" i="34"/>
  <c r="AJ466" i="34"/>
  <c r="AK466" i="34"/>
  <c r="AL466" i="34"/>
  <c r="AJ467" i="34"/>
  <c r="AK467" i="34"/>
  <c r="AL467" i="34"/>
  <c r="AJ468" i="34"/>
  <c r="AK468" i="34"/>
  <c r="AL468" i="34"/>
  <c r="AJ469" i="34"/>
  <c r="AK469" i="34"/>
  <c r="AL469" i="34"/>
  <c r="AJ470" i="34"/>
  <c r="AK470" i="34"/>
  <c r="AL470" i="34"/>
  <c r="AJ471" i="34"/>
  <c r="AK471" i="34"/>
  <c r="AL471" i="34"/>
  <c r="AJ472" i="34"/>
  <c r="AK472" i="34"/>
  <c r="AL472" i="34"/>
  <c r="AJ473" i="34"/>
  <c r="AK473" i="34"/>
  <c r="AL473" i="34"/>
  <c r="AJ474" i="34"/>
  <c r="AK474" i="34"/>
  <c r="AL474" i="34"/>
  <c r="AJ475" i="34"/>
  <c r="AK475" i="34"/>
  <c r="AL475" i="34"/>
  <c r="AJ476" i="34"/>
  <c r="AK476" i="34"/>
  <c r="AL476" i="34"/>
  <c r="AK457" i="34"/>
  <c r="AL457" i="34"/>
  <c r="AJ457" i="34"/>
  <c r="AJ453" i="34"/>
  <c r="AK453" i="34"/>
  <c r="AL453" i="34"/>
  <c r="AJ454" i="34"/>
  <c r="AK454" i="34"/>
  <c r="AL454" i="34"/>
  <c r="AJ455" i="34"/>
  <c r="AK455" i="34"/>
  <c r="AL455" i="34"/>
  <c r="AJ456" i="34"/>
  <c r="AK456" i="34"/>
  <c r="AL456" i="34"/>
  <c r="AJ438" i="34"/>
  <c r="AK438" i="34"/>
  <c r="AL438" i="34"/>
  <c r="AJ439" i="34"/>
  <c r="AK439" i="34"/>
  <c r="AL439" i="34"/>
  <c r="AJ440" i="34"/>
  <c r="AK440" i="34"/>
  <c r="AL440" i="34"/>
  <c r="AJ441" i="34"/>
  <c r="AK441" i="34"/>
  <c r="AL441" i="34"/>
  <c r="AJ442" i="34"/>
  <c r="AK442" i="34"/>
  <c r="AL442" i="34"/>
  <c r="AJ443" i="34"/>
  <c r="AK443" i="34"/>
  <c r="AL443" i="34"/>
  <c r="AJ444" i="34"/>
  <c r="AK444" i="34"/>
  <c r="AL444" i="34"/>
  <c r="AJ445" i="34"/>
  <c r="AK445" i="34"/>
  <c r="AL445" i="34"/>
  <c r="AJ446" i="34"/>
  <c r="AK446" i="34"/>
  <c r="AL446" i="34"/>
  <c r="AJ447" i="34"/>
  <c r="AK447" i="34"/>
  <c r="AL447" i="34"/>
  <c r="AJ448" i="34"/>
  <c r="AK448" i="34"/>
  <c r="AL448" i="34"/>
  <c r="AJ449" i="34"/>
  <c r="AK449" i="34"/>
  <c r="AL449" i="34"/>
  <c r="AJ450" i="34"/>
  <c r="AK450" i="34"/>
  <c r="AL450" i="34"/>
  <c r="AJ451" i="34"/>
  <c r="AK451" i="34"/>
  <c r="AL451" i="34"/>
  <c r="AJ452" i="34"/>
  <c r="AK452" i="34"/>
  <c r="AL452" i="34"/>
  <c r="AK437" i="34"/>
  <c r="AL437" i="34"/>
  <c r="AJ437" i="34"/>
  <c r="AJ418" i="34"/>
  <c r="AK418" i="34"/>
  <c r="AL418" i="34"/>
  <c r="AJ419" i="34"/>
  <c r="AK419" i="34"/>
  <c r="AL419" i="34"/>
  <c r="AJ420" i="34"/>
  <c r="AK420" i="34"/>
  <c r="AL420" i="34"/>
  <c r="AJ421" i="34"/>
  <c r="AK421" i="34"/>
  <c r="AL421" i="34"/>
  <c r="AJ422" i="34"/>
  <c r="AK422" i="34"/>
  <c r="AL422" i="34"/>
  <c r="AJ423" i="34"/>
  <c r="AK423" i="34"/>
  <c r="AL423" i="34"/>
  <c r="AJ424" i="34"/>
  <c r="AK424" i="34"/>
  <c r="AL424" i="34"/>
  <c r="AJ425" i="34"/>
  <c r="AK425" i="34"/>
  <c r="AL425" i="34"/>
  <c r="AJ426" i="34"/>
  <c r="AK426" i="34"/>
  <c r="AL426" i="34"/>
  <c r="AJ427" i="34"/>
  <c r="AK427" i="34"/>
  <c r="AL427" i="34"/>
  <c r="AJ428" i="34"/>
  <c r="AK428" i="34"/>
  <c r="AL428" i="34"/>
  <c r="AJ429" i="34"/>
  <c r="AK429" i="34"/>
  <c r="AL429" i="34"/>
  <c r="AJ430" i="34"/>
  <c r="AK430" i="34"/>
  <c r="AL430" i="34"/>
  <c r="AJ431" i="34"/>
  <c r="AK431" i="34"/>
  <c r="AL431" i="34"/>
  <c r="AJ432" i="34"/>
  <c r="AK432" i="34"/>
  <c r="AL432" i="34"/>
  <c r="AJ433" i="34"/>
  <c r="AK433" i="34"/>
  <c r="AL433" i="34"/>
  <c r="AJ434" i="34"/>
  <c r="AK434" i="34"/>
  <c r="AL434" i="34"/>
  <c r="AJ435" i="34"/>
  <c r="AK435" i="34"/>
  <c r="AL435" i="34"/>
  <c r="AJ436" i="34"/>
  <c r="AK436" i="34"/>
  <c r="AL436" i="34"/>
  <c r="AK417" i="34"/>
  <c r="AL417" i="34"/>
  <c r="AJ417" i="34"/>
  <c r="AJ398" i="34"/>
  <c r="AK398" i="34"/>
  <c r="AL398" i="34"/>
  <c r="AJ399" i="34"/>
  <c r="AK399" i="34"/>
  <c r="AL399" i="34"/>
  <c r="AJ400" i="34"/>
  <c r="AK400" i="34"/>
  <c r="AL400" i="34"/>
  <c r="AJ401" i="34"/>
  <c r="AK401" i="34"/>
  <c r="AL401" i="34"/>
  <c r="AJ402" i="34"/>
  <c r="AK402" i="34"/>
  <c r="AL402" i="34"/>
  <c r="AJ403" i="34"/>
  <c r="AK403" i="34"/>
  <c r="AL403" i="34"/>
  <c r="AJ404" i="34"/>
  <c r="AK404" i="34"/>
  <c r="AL404" i="34"/>
  <c r="AJ405" i="34"/>
  <c r="AK405" i="34"/>
  <c r="AL405" i="34"/>
  <c r="AJ406" i="34"/>
  <c r="AK406" i="34"/>
  <c r="AL406" i="34"/>
  <c r="AJ407" i="34"/>
  <c r="AK407" i="34"/>
  <c r="AL407" i="34"/>
  <c r="AJ408" i="34"/>
  <c r="AK408" i="34"/>
  <c r="AL408" i="34"/>
  <c r="AJ409" i="34"/>
  <c r="AK409" i="34"/>
  <c r="AL409" i="34"/>
  <c r="AJ410" i="34"/>
  <c r="AK410" i="34"/>
  <c r="AL410" i="34"/>
  <c r="AJ411" i="34"/>
  <c r="AK411" i="34"/>
  <c r="AL411" i="34"/>
  <c r="AJ412" i="34"/>
  <c r="AK412" i="34"/>
  <c r="AL412" i="34"/>
  <c r="AJ413" i="34"/>
  <c r="AK413" i="34"/>
  <c r="AL413" i="34"/>
  <c r="AJ414" i="34"/>
  <c r="AK414" i="34"/>
  <c r="AL414" i="34"/>
  <c r="AJ415" i="34"/>
  <c r="AK415" i="34"/>
  <c r="AL415" i="34"/>
  <c r="AJ416" i="34"/>
  <c r="AK416" i="34"/>
  <c r="AL416" i="34"/>
  <c r="AK397" i="34"/>
  <c r="AL397" i="34"/>
  <c r="AJ397" i="34"/>
  <c r="AJ378" i="34"/>
  <c r="AK378" i="34"/>
  <c r="AL378" i="34"/>
  <c r="AJ379" i="34"/>
  <c r="AK379" i="34"/>
  <c r="AL379" i="34"/>
  <c r="AJ380" i="34"/>
  <c r="AK380" i="34"/>
  <c r="AL380" i="34"/>
  <c r="AJ381" i="34"/>
  <c r="AK381" i="34"/>
  <c r="AL381" i="34"/>
  <c r="AJ382" i="34"/>
  <c r="AK382" i="34"/>
  <c r="AL382" i="34"/>
  <c r="AJ383" i="34"/>
  <c r="AK383" i="34"/>
  <c r="AL383" i="34"/>
  <c r="AJ384" i="34"/>
  <c r="AK384" i="34"/>
  <c r="AL384" i="34"/>
  <c r="AJ385" i="34"/>
  <c r="AK385" i="34"/>
  <c r="AL385" i="34"/>
  <c r="AJ386" i="34"/>
  <c r="AK386" i="34"/>
  <c r="AL386" i="34"/>
  <c r="AJ387" i="34"/>
  <c r="AK387" i="34"/>
  <c r="AL387" i="34"/>
  <c r="AJ388" i="34"/>
  <c r="AK388" i="34"/>
  <c r="AL388" i="34"/>
  <c r="AJ389" i="34"/>
  <c r="AK389" i="34"/>
  <c r="AL389" i="34"/>
  <c r="AJ390" i="34"/>
  <c r="AK390" i="34"/>
  <c r="AL390" i="34"/>
  <c r="AJ391" i="34"/>
  <c r="AK391" i="34"/>
  <c r="AL391" i="34"/>
  <c r="AJ392" i="34"/>
  <c r="AK392" i="34"/>
  <c r="AL392" i="34"/>
  <c r="AJ393" i="34"/>
  <c r="AK393" i="34"/>
  <c r="AL393" i="34"/>
  <c r="AJ394" i="34"/>
  <c r="AK394" i="34"/>
  <c r="AL394" i="34"/>
  <c r="AJ395" i="34"/>
  <c r="AK395" i="34"/>
  <c r="AL395" i="34"/>
  <c r="AJ396" i="34"/>
  <c r="AK396" i="34"/>
  <c r="AL396" i="34"/>
  <c r="AK377" i="34"/>
  <c r="AL377" i="34"/>
  <c r="AJ377" i="34"/>
  <c r="AJ358" i="34"/>
  <c r="AK358" i="34"/>
  <c r="AL358" i="34"/>
  <c r="AJ359" i="34"/>
  <c r="AK359" i="34"/>
  <c r="AL359" i="34"/>
  <c r="AJ360" i="34"/>
  <c r="AK360" i="34"/>
  <c r="AL360" i="34"/>
  <c r="AJ361" i="34"/>
  <c r="AK361" i="34"/>
  <c r="AL361" i="34"/>
  <c r="AJ362" i="34"/>
  <c r="AK362" i="34"/>
  <c r="AL362" i="34"/>
  <c r="AJ363" i="34"/>
  <c r="AK363" i="34"/>
  <c r="AL363" i="34"/>
  <c r="AJ364" i="34"/>
  <c r="AK364" i="34"/>
  <c r="AL364" i="34"/>
  <c r="AJ365" i="34"/>
  <c r="AK365" i="34"/>
  <c r="AL365" i="34"/>
  <c r="AJ366" i="34"/>
  <c r="AK366" i="34"/>
  <c r="AL366" i="34"/>
  <c r="AJ367" i="34"/>
  <c r="AK367" i="34"/>
  <c r="AL367" i="34"/>
  <c r="AJ368" i="34"/>
  <c r="AK368" i="34"/>
  <c r="AL368" i="34"/>
  <c r="AJ369" i="34"/>
  <c r="AK369" i="34"/>
  <c r="AL369" i="34"/>
  <c r="AJ370" i="34"/>
  <c r="AK370" i="34"/>
  <c r="AL370" i="34"/>
  <c r="AJ371" i="34"/>
  <c r="AK371" i="34"/>
  <c r="AL371" i="34"/>
  <c r="AJ372" i="34"/>
  <c r="AK372" i="34"/>
  <c r="AL372" i="34"/>
  <c r="AJ373" i="34"/>
  <c r="AK373" i="34"/>
  <c r="AL373" i="34"/>
  <c r="AJ374" i="34"/>
  <c r="AK374" i="34"/>
  <c r="AL374" i="34"/>
  <c r="AJ375" i="34"/>
  <c r="AK375" i="34"/>
  <c r="AL375" i="34"/>
  <c r="AJ376" i="34"/>
  <c r="AK376" i="34"/>
  <c r="AL376" i="34"/>
  <c r="AK357" i="34"/>
  <c r="AL357" i="34"/>
  <c r="AJ357" i="34"/>
  <c r="AJ350" i="34"/>
  <c r="AK350" i="34"/>
  <c r="AL350" i="34"/>
  <c r="AJ351" i="34"/>
  <c r="AK351" i="34"/>
  <c r="AL351" i="34"/>
  <c r="AJ352" i="34"/>
  <c r="AK352" i="34"/>
  <c r="AL352" i="34"/>
  <c r="AJ353" i="34"/>
  <c r="AK353" i="34"/>
  <c r="AL353" i="34"/>
  <c r="AJ354" i="34"/>
  <c r="AK354" i="34"/>
  <c r="AL354" i="34"/>
  <c r="AJ355" i="34"/>
  <c r="AK355" i="34"/>
  <c r="AL355" i="34"/>
  <c r="AJ356" i="34"/>
  <c r="AK356" i="34"/>
  <c r="AL356" i="34"/>
  <c r="AJ338" i="34"/>
  <c r="AK338" i="34"/>
  <c r="AL338" i="34"/>
  <c r="AJ339" i="34"/>
  <c r="AK339" i="34"/>
  <c r="AL339" i="34"/>
  <c r="AJ340" i="34"/>
  <c r="AK340" i="34"/>
  <c r="AL340" i="34"/>
  <c r="AJ341" i="34"/>
  <c r="AK341" i="34"/>
  <c r="AL341" i="34"/>
  <c r="AJ342" i="34"/>
  <c r="AK342" i="34"/>
  <c r="AL342" i="34"/>
  <c r="AJ343" i="34"/>
  <c r="AK343" i="34"/>
  <c r="AL343" i="34"/>
  <c r="AJ344" i="34"/>
  <c r="AK344" i="34"/>
  <c r="AL344" i="34"/>
  <c r="AJ345" i="34"/>
  <c r="AK345" i="34"/>
  <c r="AL345" i="34"/>
  <c r="AJ346" i="34"/>
  <c r="AK346" i="34"/>
  <c r="AL346" i="34"/>
  <c r="AJ347" i="34"/>
  <c r="AK347" i="34"/>
  <c r="AL347" i="34"/>
  <c r="AJ348" i="34"/>
  <c r="AK348" i="34"/>
  <c r="AL348" i="34"/>
  <c r="AJ349" i="34"/>
  <c r="AK349" i="34"/>
  <c r="AL349" i="34"/>
  <c r="AK337" i="34"/>
  <c r="AL337" i="34"/>
  <c r="AJ337" i="34"/>
  <c r="AJ336" i="34"/>
  <c r="AK336" i="34"/>
  <c r="AL336" i="34"/>
  <c r="AJ334" i="34"/>
  <c r="AK334" i="34"/>
  <c r="AL334" i="34"/>
  <c r="AJ335" i="34"/>
  <c r="AK335" i="34"/>
  <c r="AL335" i="34"/>
  <c r="AJ327" i="34"/>
  <c r="AK327" i="34"/>
  <c r="AL327" i="34"/>
  <c r="AJ328" i="34"/>
  <c r="AK328" i="34"/>
  <c r="AL328" i="34"/>
  <c r="AJ329" i="34"/>
  <c r="AK329" i="34"/>
  <c r="AL329" i="34"/>
  <c r="AJ330" i="34"/>
  <c r="AK330" i="34"/>
  <c r="AL330" i="34"/>
  <c r="AJ331" i="34"/>
  <c r="AK331" i="34"/>
  <c r="AL331" i="34"/>
  <c r="AJ332" i="34"/>
  <c r="AK332" i="34"/>
  <c r="AL332" i="34"/>
  <c r="AJ333" i="34"/>
  <c r="AK333" i="34"/>
  <c r="AL333" i="34"/>
  <c r="AJ318" i="34"/>
  <c r="AK318" i="34"/>
  <c r="AL318" i="34"/>
  <c r="AJ319" i="34"/>
  <c r="AK319" i="34"/>
  <c r="AL319" i="34"/>
  <c r="AJ320" i="34"/>
  <c r="AK320" i="34"/>
  <c r="AL320" i="34"/>
  <c r="AJ321" i="34"/>
  <c r="AK321" i="34"/>
  <c r="AL321" i="34"/>
  <c r="AJ322" i="34"/>
  <c r="AK322" i="34"/>
  <c r="AL322" i="34"/>
  <c r="AJ323" i="34"/>
  <c r="AK323" i="34"/>
  <c r="AL323" i="34"/>
  <c r="AJ324" i="34"/>
  <c r="AK324" i="34"/>
  <c r="AL324" i="34"/>
  <c r="AJ325" i="34"/>
  <c r="AK325" i="34"/>
  <c r="AL325" i="34"/>
  <c r="AJ326" i="34"/>
  <c r="AK326" i="34"/>
  <c r="AL326" i="34"/>
  <c r="AK317" i="34"/>
  <c r="AL317" i="34"/>
  <c r="AJ317" i="34"/>
  <c r="AJ298" i="34"/>
  <c r="AK298" i="34"/>
  <c r="AL298" i="34"/>
  <c r="AJ299" i="34"/>
  <c r="AK299" i="34"/>
  <c r="AL299" i="34"/>
  <c r="AJ300" i="34"/>
  <c r="AK300" i="34"/>
  <c r="AL300" i="34"/>
  <c r="AJ301" i="34"/>
  <c r="AK301" i="34"/>
  <c r="AL301" i="34"/>
  <c r="AJ302" i="34"/>
  <c r="AK302" i="34"/>
  <c r="AL302" i="34"/>
  <c r="AJ303" i="34"/>
  <c r="AK303" i="34"/>
  <c r="AL303" i="34"/>
  <c r="AJ304" i="34"/>
  <c r="AK304" i="34"/>
  <c r="AL304" i="34"/>
  <c r="AJ305" i="34"/>
  <c r="AK305" i="34"/>
  <c r="AL305" i="34"/>
  <c r="AJ306" i="34"/>
  <c r="AK306" i="34"/>
  <c r="AL306" i="34"/>
  <c r="AJ307" i="34"/>
  <c r="AK307" i="34"/>
  <c r="AL307" i="34"/>
  <c r="AJ308" i="34"/>
  <c r="AK308" i="34"/>
  <c r="AL308" i="34"/>
  <c r="AJ309" i="34"/>
  <c r="AK309" i="34"/>
  <c r="AL309" i="34"/>
  <c r="AJ310" i="34"/>
  <c r="AK310" i="34"/>
  <c r="AL310" i="34"/>
  <c r="AJ311" i="34"/>
  <c r="AK311" i="34"/>
  <c r="AL311" i="34"/>
  <c r="AJ312" i="34"/>
  <c r="AK312" i="34"/>
  <c r="AL312" i="34"/>
  <c r="AJ313" i="34"/>
  <c r="AK313" i="34"/>
  <c r="AL313" i="34"/>
  <c r="AJ314" i="34"/>
  <c r="AK314" i="34"/>
  <c r="AL314" i="34"/>
  <c r="AJ315" i="34"/>
  <c r="AK315" i="34"/>
  <c r="AL315" i="34"/>
  <c r="AM315" i="34"/>
  <c r="AJ316" i="34"/>
  <c r="AK316" i="34"/>
  <c r="AL316" i="34"/>
  <c r="AK297" i="34"/>
  <c r="AL297" i="34"/>
  <c r="AJ297" i="34"/>
  <c r="AJ278" i="34"/>
  <c r="AK278" i="34"/>
  <c r="AL278" i="34"/>
  <c r="AJ279" i="34"/>
  <c r="AK279" i="34"/>
  <c r="AL279" i="34"/>
  <c r="AJ280" i="34"/>
  <c r="AK280" i="34"/>
  <c r="AL280" i="34"/>
  <c r="AJ281" i="34"/>
  <c r="AK281" i="34"/>
  <c r="AL281" i="34"/>
  <c r="AJ282" i="34"/>
  <c r="AK282" i="34"/>
  <c r="AL282" i="34"/>
  <c r="AJ283" i="34"/>
  <c r="AK283" i="34"/>
  <c r="AL283" i="34"/>
  <c r="AJ284" i="34"/>
  <c r="AK284" i="34"/>
  <c r="AL284" i="34"/>
  <c r="AJ285" i="34"/>
  <c r="AK285" i="34"/>
  <c r="AL285" i="34"/>
  <c r="AJ286" i="34"/>
  <c r="AK286" i="34"/>
  <c r="AL286" i="34"/>
  <c r="AJ287" i="34"/>
  <c r="AK287" i="34"/>
  <c r="AL287" i="34"/>
  <c r="AJ288" i="34"/>
  <c r="AK288" i="34"/>
  <c r="AL288" i="34"/>
  <c r="AJ289" i="34"/>
  <c r="AK289" i="34"/>
  <c r="AL289" i="34"/>
  <c r="AJ290" i="34"/>
  <c r="AK290" i="34"/>
  <c r="AL290" i="34"/>
  <c r="AJ291" i="34"/>
  <c r="AK291" i="34"/>
  <c r="AL291" i="34"/>
  <c r="AJ292" i="34"/>
  <c r="AK292" i="34"/>
  <c r="AL292" i="34"/>
  <c r="AJ293" i="34"/>
  <c r="AK293" i="34"/>
  <c r="AL293" i="34"/>
  <c r="AJ294" i="34"/>
  <c r="AK294" i="34"/>
  <c r="AL294" i="34"/>
  <c r="AJ295" i="34"/>
  <c r="AK295" i="34"/>
  <c r="AL295" i="34"/>
  <c r="AJ296" i="34"/>
  <c r="AK296" i="34"/>
  <c r="AL296" i="34"/>
  <c r="AL277" i="34"/>
  <c r="AK277" i="34"/>
  <c r="AJ277" i="34"/>
  <c r="AJ257" i="34"/>
  <c r="AJ258" i="34"/>
  <c r="AJ259" i="34"/>
  <c r="AJ260" i="34"/>
  <c r="AJ261" i="34"/>
  <c r="AJ262" i="34"/>
  <c r="AJ263" i="34"/>
  <c r="AJ254" i="34"/>
  <c r="AJ255" i="34"/>
  <c r="AJ256" i="34"/>
  <c r="AK258" i="34"/>
  <c r="AL258" i="34"/>
  <c r="AK259" i="34"/>
  <c r="AL259" i="34"/>
  <c r="AK260" i="34"/>
  <c r="AL260" i="34"/>
  <c r="AK261" i="34"/>
  <c r="AL261" i="34"/>
  <c r="AK262" i="34"/>
  <c r="AL262" i="34"/>
  <c r="AK263" i="34"/>
  <c r="AL263" i="34"/>
  <c r="AJ264" i="34"/>
  <c r="AK264" i="34"/>
  <c r="AL264" i="34"/>
  <c r="AJ265" i="34"/>
  <c r="AK265" i="34"/>
  <c r="AL265" i="34"/>
  <c r="AJ266" i="34"/>
  <c r="AK266" i="34"/>
  <c r="AL266" i="34"/>
  <c r="AJ267" i="34"/>
  <c r="AK267" i="34"/>
  <c r="AL267" i="34"/>
  <c r="AJ268" i="34"/>
  <c r="AK268" i="34"/>
  <c r="AL268" i="34"/>
  <c r="AJ269" i="34"/>
  <c r="AK269" i="34"/>
  <c r="AL269" i="34"/>
  <c r="AJ270" i="34"/>
  <c r="AK270" i="34"/>
  <c r="AL270" i="34"/>
  <c r="AJ271" i="34"/>
  <c r="AK271" i="34"/>
  <c r="AL271" i="34"/>
  <c r="AJ272" i="34"/>
  <c r="AK272" i="34"/>
  <c r="AL272" i="34"/>
  <c r="AJ273" i="34"/>
  <c r="AK273" i="34"/>
  <c r="AL273" i="34"/>
  <c r="AJ274" i="34"/>
  <c r="AK274" i="34"/>
  <c r="AL274" i="34"/>
  <c r="AJ275" i="34"/>
  <c r="AK275" i="34"/>
  <c r="AL275" i="34"/>
  <c r="AJ276" i="34"/>
  <c r="AK276" i="34"/>
  <c r="AL276" i="34"/>
  <c r="AL257" i="34"/>
  <c r="AK257" i="34"/>
  <c r="AK254" i="34"/>
  <c r="AL254" i="34"/>
  <c r="AK255" i="34"/>
  <c r="AL255" i="34"/>
  <c r="AK256" i="34"/>
  <c r="AL256" i="34"/>
  <c r="AJ238" i="34"/>
  <c r="AK238" i="34"/>
  <c r="AL238" i="34"/>
  <c r="AJ239" i="34"/>
  <c r="AK239" i="34"/>
  <c r="AL239" i="34"/>
  <c r="AJ240" i="34"/>
  <c r="AK240" i="34"/>
  <c r="AL240" i="34"/>
  <c r="AJ241" i="34"/>
  <c r="AK241" i="34"/>
  <c r="AL241" i="34"/>
  <c r="AJ242" i="34"/>
  <c r="AK242" i="34"/>
  <c r="AL242" i="34"/>
  <c r="AJ243" i="34"/>
  <c r="AK243" i="34"/>
  <c r="AL243" i="34"/>
  <c r="AJ244" i="34"/>
  <c r="AK244" i="34"/>
  <c r="AL244" i="34"/>
  <c r="AJ245" i="34"/>
  <c r="AK245" i="34"/>
  <c r="AL245" i="34"/>
  <c r="AJ246" i="34"/>
  <c r="AK246" i="34"/>
  <c r="AL246" i="34"/>
  <c r="AJ247" i="34"/>
  <c r="AK247" i="34"/>
  <c r="AL247" i="34"/>
  <c r="AJ248" i="34"/>
  <c r="AK248" i="34"/>
  <c r="AL248" i="34"/>
  <c r="AJ249" i="34"/>
  <c r="AK249" i="34"/>
  <c r="AL249" i="34"/>
  <c r="AJ250" i="34"/>
  <c r="AK250" i="34"/>
  <c r="AL250" i="34"/>
  <c r="AJ251" i="34"/>
  <c r="AK251" i="34"/>
  <c r="AL251" i="34"/>
  <c r="AJ252" i="34"/>
  <c r="AK252" i="34"/>
  <c r="AL252" i="34"/>
  <c r="AJ253" i="34"/>
  <c r="AK253" i="34"/>
  <c r="AL253" i="34"/>
  <c r="AL237" i="34"/>
  <c r="AK237" i="34"/>
  <c r="AJ237" i="34"/>
  <c r="AJ235" i="34"/>
  <c r="AK235" i="34"/>
  <c r="AL235" i="34"/>
  <c r="AJ236" i="34"/>
  <c r="AK236" i="34"/>
  <c r="AL236" i="34"/>
  <c r="AJ218" i="34"/>
  <c r="AK218" i="34"/>
  <c r="AL218" i="34"/>
  <c r="AJ219" i="34"/>
  <c r="AK219" i="34"/>
  <c r="AL219" i="34"/>
  <c r="AJ220" i="34"/>
  <c r="AK220" i="34"/>
  <c r="AL220" i="34"/>
  <c r="AJ221" i="34"/>
  <c r="AK221" i="34"/>
  <c r="AL221" i="34"/>
  <c r="AJ222" i="34"/>
  <c r="AK222" i="34"/>
  <c r="AL222" i="34"/>
  <c r="AJ223" i="34"/>
  <c r="AK223" i="34"/>
  <c r="AL223" i="34"/>
  <c r="AJ224" i="34"/>
  <c r="AK224" i="34"/>
  <c r="AL224" i="34"/>
  <c r="AJ225" i="34"/>
  <c r="AK225" i="34"/>
  <c r="AL225" i="34"/>
  <c r="AJ226" i="34"/>
  <c r="AK226" i="34"/>
  <c r="AL226" i="34"/>
  <c r="AJ227" i="34"/>
  <c r="AK227" i="34"/>
  <c r="AL227" i="34"/>
  <c r="AJ228" i="34"/>
  <c r="AK228" i="34"/>
  <c r="AL228" i="34"/>
  <c r="AJ229" i="34"/>
  <c r="AK229" i="34"/>
  <c r="AL229" i="34"/>
  <c r="AJ230" i="34"/>
  <c r="AK230" i="34"/>
  <c r="AL230" i="34"/>
  <c r="AJ231" i="34"/>
  <c r="AK231" i="34"/>
  <c r="AL231" i="34"/>
  <c r="AJ232" i="34"/>
  <c r="AK232" i="34"/>
  <c r="AL232" i="34"/>
  <c r="AJ233" i="34"/>
  <c r="AK233" i="34"/>
  <c r="AL233" i="34"/>
  <c r="AJ234" i="34"/>
  <c r="AK234" i="34"/>
  <c r="AL234" i="34"/>
  <c r="AL217" i="34"/>
  <c r="AK217" i="34"/>
  <c r="AJ217" i="34"/>
  <c r="AJ215" i="34"/>
  <c r="AK215" i="34"/>
  <c r="AL215" i="34"/>
  <c r="AJ216" i="34"/>
  <c r="AK216" i="34"/>
  <c r="AL216" i="34"/>
  <c r="AJ198" i="34"/>
  <c r="AK198" i="34"/>
  <c r="AL198" i="34"/>
  <c r="AJ199" i="34"/>
  <c r="AK199" i="34"/>
  <c r="AL199" i="34"/>
  <c r="AJ200" i="34"/>
  <c r="AK200" i="34"/>
  <c r="AL200" i="34"/>
  <c r="AJ201" i="34"/>
  <c r="AK201" i="34"/>
  <c r="AL201" i="34"/>
  <c r="AJ202" i="34"/>
  <c r="AK202" i="34"/>
  <c r="AL202" i="34"/>
  <c r="AJ203" i="34"/>
  <c r="AK203" i="34"/>
  <c r="AL203" i="34"/>
  <c r="AJ204" i="34"/>
  <c r="AK204" i="34"/>
  <c r="AL204" i="34"/>
  <c r="AJ205" i="34"/>
  <c r="AK205" i="34"/>
  <c r="AL205" i="34"/>
  <c r="AJ206" i="34"/>
  <c r="AK206" i="34"/>
  <c r="AL206" i="34"/>
  <c r="AJ207" i="34"/>
  <c r="AK207" i="34"/>
  <c r="AL207" i="34"/>
  <c r="AJ208" i="34"/>
  <c r="AK208" i="34"/>
  <c r="AL208" i="34"/>
  <c r="AJ209" i="34"/>
  <c r="AK209" i="34"/>
  <c r="AL209" i="34"/>
  <c r="AJ210" i="34"/>
  <c r="AK210" i="34"/>
  <c r="AL210" i="34"/>
  <c r="AJ211" i="34"/>
  <c r="AK211" i="34"/>
  <c r="AL211" i="34"/>
  <c r="AJ212" i="34"/>
  <c r="AK212" i="34"/>
  <c r="AL212" i="34"/>
  <c r="AJ213" i="34"/>
  <c r="AK213" i="34"/>
  <c r="AL213" i="34"/>
  <c r="AJ214" i="34"/>
  <c r="AK214" i="34"/>
  <c r="AL214" i="34"/>
  <c r="AJ197" i="34"/>
  <c r="AL197" i="34"/>
  <c r="AK197" i="34"/>
  <c r="AJ178" i="34"/>
  <c r="AK178" i="34"/>
  <c r="AL178" i="34"/>
  <c r="AJ179" i="34"/>
  <c r="AK179" i="34"/>
  <c r="AL179" i="34"/>
  <c r="AJ180" i="34"/>
  <c r="AK180" i="34"/>
  <c r="AL180" i="34"/>
  <c r="AJ181" i="34"/>
  <c r="AK181" i="34"/>
  <c r="AL181" i="34"/>
  <c r="AJ182" i="34"/>
  <c r="AK182" i="34"/>
  <c r="AL182" i="34"/>
  <c r="AJ183" i="34"/>
  <c r="AK183" i="34"/>
  <c r="AL183" i="34"/>
  <c r="AJ184" i="34"/>
  <c r="AK184" i="34"/>
  <c r="AL184" i="34"/>
  <c r="AJ185" i="34"/>
  <c r="AK185" i="34"/>
  <c r="AL185" i="34"/>
  <c r="AJ186" i="34"/>
  <c r="AK186" i="34"/>
  <c r="AL186" i="34"/>
  <c r="AJ187" i="34"/>
  <c r="AK187" i="34"/>
  <c r="AL187" i="34"/>
  <c r="AJ188" i="34"/>
  <c r="AK188" i="34"/>
  <c r="AL188" i="34"/>
  <c r="AJ189" i="34"/>
  <c r="AK189" i="34"/>
  <c r="AL189" i="34"/>
  <c r="AJ190" i="34"/>
  <c r="AK190" i="34"/>
  <c r="AL190" i="34"/>
  <c r="AJ191" i="34"/>
  <c r="AK191" i="34"/>
  <c r="AL191" i="34"/>
  <c r="AJ192" i="34"/>
  <c r="AK192" i="34"/>
  <c r="AL192" i="34"/>
  <c r="AJ193" i="34"/>
  <c r="AK193" i="34"/>
  <c r="AL193" i="34"/>
  <c r="AJ194" i="34"/>
  <c r="AK194" i="34"/>
  <c r="AL194" i="34"/>
  <c r="AJ195" i="34"/>
  <c r="AK195" i="34"/>
  <c r="AL195" i="34"/>
  <c r="AJ196" i="34"/>
  <c r="AK196" i="34"/>
  <c r="AL196" i="34"/>
  <c r="AL177" i="34"/>
  <c r="AK177" i="34"/>
  <c r="AJ177" i="34"/>
  <c r="AJ158" i="34"/>
  <c r="AK158" i="34"/>
  <c r="AL158" i="34"/>
  <c r="AJ159" i="34"/>
  <c r="AK159" i="34"/>
  <c r="AL159" i="34"/>
  <c r="AJ160" i="34"/>
  <c r="AK160" i="34"/>
  <c r="AL160" i="34"/>
  <c r="AJ161" i="34"/>
  <c r="AK161" i="34"/>
  <c r="AL161" i="34"/>
  <c r="AJ162" i="34"/>
  <c r="AK162" i="34"/>
  <c r="AL162" i="34"/>
  <c r="AJ163" i="34"/>
  <c r="AK163" i="34"/>
  <c r="AL163" i="34"/>
  <c r="AJ164" i="34"/>
  <c r="AK164" i="34"/>
  <c r="AL164" i="34"/>
  <c r="AJ165" i="34"/>
  <c r="AK165" i="34"/>
  <c r="AL165" i="34"/>
  <c r="AJ166" i="34"/>
  <c r="AK166" i="34"/>
  <c r="AL166" i="34"/>
  <c r="AJ167" i="34"/>
  <c r="AK167" i="34"/>
  <c r="AL167" i="34"/>
  <c r="AJ168" i="34"/>
  <c r="AK168" i="34"/>
  <c r="AL168" i="34"/>
  <c r="AJ169" i="34"/>
  <c r="AK169" i="34"/>
  <c r="AL169" i="34"/>
  <c r="AJ170" i="34"/>
  <c r="AK170" i="34"/>
  <c r="AL170" i="34"/>
  <c r="AJ171" i="34"/>
  <c r="AK171" i="34"/>
  <c r="AL171" i="34"/>
  <c r="AJ172" i="34"/>
  <c r="AK172" i="34"/>
  <c r="AL172" i="34"/>
  <c r="AJ173" i="34"/>
  <c r="AK173" i="34"/>
  <c r="AL173" i="34"/>
  <c r="AJ174" i="34"/>
  <c r="AK174" i="34"/>
  <c r="AL174" i="34"/>
  <c r="AJ175" i="34"/>
  <c r="AK175" i="34"/>
  <c r="AL175" i="34"/>
  <c r="AJ176" i="34"/>
  <c r="AK176" i="34"/>
  <c r="AL176" i="34"/>
  <c r="AL157" i="34"/>
  <c r="AK157" i="34"/>
  <c r="AJ157" i="34"/>
  <c r="AJ138" i="34"/>
  <c r="AK138" i="34"/>
  <c r="AL138" i="34"/>
  <c r="AJ139" i="34"/>
  <c r="AK139" i="34"/>
  <c r="AL139" i="34"/>
  <c r="AJ140" i="34"/>
  <c r="AK140" i="34"/>
  <c r="AL140" i="34"/>
  <c r="AJ141" i="34"/>
  <c r="AK141" i="34"/>
  <c r="AL141" i="34"/>
  <c r="AJ142" i="34"/>
  <c r="AK142" i="34"/>
  <c r="AL142" i="34"/>
  <c r="AJ143" i="34"/>
  <c r="AK143" i="34"/>
  <c r="AL143" i="34"/>
  <c r="AJ144" i="34"/>
  <c r="AK144" i="34"/>
  <c r="AL144" i="34"/>
  <c r="AJ145" i="34"/>
  <c r="AK145" i="34"/>
  <c r="AL145" i="34"/>
  <c r="AJ146" i="34"/>
  <c r="AK146" i="34"/>
  <c r="AL146" i="34"/>
  <c r="AJ147" i="34"/>
  <c r="AK147" i="34"/>
  <c r="AL147" i="34"/>
  <c r="AJ148" i="34"/>
  <c r="AK148" i="34"/>
  <c r="AL148" i="34"/>
  <c r="AJ149" i="34"/>
  <c r="AK149" i="34"/>
  <c r="AL149" i="34"/>
  <c r="AJ150" i="34"/>
  <c r="AK150" i="34"/>
  <c r="AL150" i="34"/>
  <c r="AJ151" i="34"/>
  <c r="AK151" i="34"/>
  <c r="AL151" i="34"/>
  <c r="AJ152" i="34"/>
  <c r="AK152" i="34"/>
  <c r="AL152" i="34"/>
  <c r="AJ153" i="34"/>
  <c r="AK153" i="34"/>
  <c r="AL153" i="34"/>
  <c r="AJ154" i="34"/>
  <c r="AK154" i="34"/>
  <c r="AL154" i="34"/>
  <c r="AJ155" i="34"/>
  <c r="AK155" i="34"/>
  <c r="AL155" i="34"/>
  <c r="AJ156" i="34"/>
  <c r="AK156" i="34"/>
  <c r="AL156" i="34"/>
  <c r="AL137" i="34"/>
  <c r="AK137" i="34"/>
  <c r="AJ137" i="34"/>
  <c r="AJ123" i="34"/>
  <c r="AK123" i="34"/>
  <c r="AL123" i="34"/>
  <c r="AJ124" i="34"/>
  <c r="AK124" i="34"/>
  <c r="AL124" i="34"/>
  <c r="AJ125" i="34"/>
  <c r="AK125" i="34"/>
  <c r="AL125" i="34"/>
  <c r="AJ126" i="34"/>
  <c r="AK126" i="34"/>
  <c r="AL126" i="34"/>
  <c r="AJ127" i="34"/>
  <c r="AK127" i="34"/>
  <c r="AL127" i="34"/>
  <c r="AJ128" i="34"/>
  <c r="AK128" i="34"/>
  <c r="AL128" i="34"/>
  <c r="AJ129" i="34"/>
  <c r="AK129" i="34"/>
  <c r="AL129" i="34"/>
  <c r="AJ130" i="34"/>
  <c r="AK130" i="34"/>
  <c r="AL130" i="34"/>
  <c r="AJ131" i="34"/>
  <c r="AK131" i="34"/>
  <c r="AL131" i="34"/>
  <c r="AJ132" i="34"/>
  <c r="AK132" i="34"/>
  <c r="AL132" i="34"/>
  <c r="AJ133" i="34"/>
  <c r="AK133" i="34"/>
  <c r="AL133" i="34"/>
  <c r="AJ134" i="34"/>
  <c r="AK134" i="34"/>
  <c r="AL134" i="34"/>
  <c r="AJ135" i="34"/>
  <c r="AK135" i="34"/>
  <c r="AL135" i="34"/>
  <c r="AJ136" i="34"/>
  <c r="AK136" i="34"/>
  <c r="AL136" i="34"/>
  <c r="AL122" i="34"/>
  <c r="AK122" i="34"/>
  <c r="AJ122" i="34"/>
  <c r="AJ108" i="34"/>
  <c r="AK108" i="34"/>
  <c r="AL108" i="34"/>
  <c r="AJ109" i="34"/>
  <c r="AK109" i="34"/>
  <c r="AL109" i="34"/>
  <c r="AJ110" i="34"/>
  <c r="AK110" i="34"/>
  <c r="AL110" i="34"/>
  <c r="AJ111" i="34"/>
  <c r="AK111" i="34"/>
  <c r="AL111" i="34"/>
  <c r="AJ112" i="34"/>
  <c r="AK112" i="34"/>
  <c r="AL112" i="34"/>
  <c r="AJ113" i="34"/>
  <c r="AK113" i="34"/>
  <c r="AL113" i="34"/>
  <c r="AJ114" i="34"/>
  <c r="AK114" i="34"/>
  <c r="AL114" i="34"/>
  <c r="AJ115" i="34"/>
  <c r="AK115" i="34"/>
  <c r="AL115" i="34"/>
  <c r="AJ116" i="34"/>
  <c r="AK116" i="34"/>
  <c r="AL116" i="34"/>
  <c r="AJ117" i="34"/>
  <c r="AK117" i="34"/>
  <c r="AL117" i="34"/>
  <c r="AJ118" i="34"/>
  <c r="AK118" i="34"/>
  <c r="AL118" i="34"/>
  <c r="AJ119" i="34"/>
  <c r="AK119" i="34"/>
  <c r="AL119" i="34"/>
  <c r="AJ120" i="34"/>
  <c r="AK120" i="34"/>
  <c r="AL120" i="34"/>
  <c r="AJ121" i="34"/>
  <c r="AK121" i="34"/>
  <c r="AL121" i="34"/>
  <c r="AL107" i="34"/>
  <c r="AK107" i="34"/>
  <c r="AJ107" i="34"/>
  <c r="AJ106" i="34"/>
  <c r="AK106" i="34"/>
  <c r="AL106" i="34"/>
  <c r="AJ93" i="34"/>
  <c r="AK93" i="34"/>
  <c r="AL93" i="34"/>
  <c r="AJ94" i="34"/>
  <c r="AK94" i="34"/>
  <c r="AL94" i="34"/>
  <c r="AJ95" i="34"/>
  <c r="AK95" i="34"/>
  <c r="AL95" i="34"/>
  <c r="AJ96" i="34"/>
  <c r="AK96" i="34"/>
  <c r="AL96" i="34"/>
  <c r="AJ97" i="34"/>
  <c r="AK97" i="34"/>
  <c r="AL97" i="34"/>
  <c r="AJ98" i="34"/>
  <c r="AK98" i="34"/>
  <c r="AL98" i="34"/>
  <c r="AJ99" i="34"/>
  <c r="AK99" i="34"/>
  <c r="AL99" i="34"/>
  <c r="AJ100" i="34"/>
  <c r="AK100" i="34"/>
  <c r="AL100" i="34"/>
  <c r="AJ101" i="34"/>
  <c r="AK101" i="34"/>
  <c r="AL101" i="34"/>
  <c r="AJ102" i="34"/>
  <c r="AK102" i="34"/>
  <c r="AL102" i="34"/>
  <c r="AJ103" i="34"/>
  <c r="AK103" i="34"/>
  <c r="AL103" i="34"/>
  <c r="AJ104" i="34"/>
  <c r="AK104" i="34"/>
  <c r="AL104" i="34"/>
  <c r="AJ105" i="34"/>
  <c r="AK105" i="34"/>
  <c r="AL105" i="34"/>
  <c r="AL92" i="34"/>
  <c r="AK92" i="34"/>
  <c r="AJ92" i="34"/>
  <c r="AJ78" i="34"/>
  <c r="AK78" i="34"/>
  <c r="AL78" i="34"/>
  <c r="AJ79" i="34"/>
  <c r="AK79" i="34"/>
  <c r="AL79" i="34"/>
  <c r="AJ80" i="34"/>
  <c r="AK80" i="34"/>
  <c r="AL80" i="34"/>
  <c r="AJ81" i="34"/>
  <c r="AK81" i="34"/>
  <c r="AL81" i="34"/>
  <c r="AJ82" i="34"/>
  <c r="AK82" i="34"/>
  <c r="AL82" i="34"/>
  <c r="AJ83" i="34"/>
  <c r="AK83" i="34"/>
  <c r="AL83" i="34"/>
  <c r="AJ84" i="34"/>
  <c r="AK84" i="34"/>
  <c r="AL84" i="34"/>
  <c r="AJ85" i="34"/>
  <c r="AK85" i="34"/>
  <c r="AL85" i="34"/>
  <c r="AJ86" i="34"/>
  <c r="AK86" i="34"/>
  <c r="AL86" i="34"/>
  <c r="AJ87" i="34"/>
  <c r="AK87" i="34"/>
  <c r="AL87" i="34"/>
  <c r="AJ88" i="34"/>
  <c r="AK88" i="34"/>
  <c r="AL88" i="34"/>
  <c r="AJ89" i="34"/>
  <c r="AK89" i="34"/>
  <c r="AL89" i="34"/>
  <c r="AJ90" i="34"/>
  <c r="AK90" i="34"/>
  <c r="AL90" i="34"/>
  <c r="AJ91" i="34"/>
  <c r="AK91" i="34"/>
  <c r="AL91" i="34"/>
  <c r="AL77" i="34"/>
  <c r="AK77" i="34"/>
  <c r="AJ77" i="34"/>
  <c r="AJ63" i="34"/>
  <c r="AK63" i="34"/>
  <c r="AL63" i="34"/>
  <c r="AJ64" i="34"/>
  <c r="AK64" i="34"/>
  <c r="AL64" i="34"/>
  <c r="AJ65" i="34"/>
  <c r="AK65" i="34"/>
  <c r="AL65" i="34"/>
  <c r="AJ66" i="34"/>
  <c r="AK66" i="34"/>
  <c r="AL66" i="34"/>
  <c r="AJ67" i="34"/>
  <c r="AK67" i="34"/>
  <c r="AL67" i="34"/>
  <c r="AJ68" i="34"/>
  <c r="AK68" i="34"/>
  <c r="AL68" i="34"/>
  <c r="AJ69" i="34"/>
  <c r="AK69" i="34"/>
  <c r="AL69" i="34"/>
  <c r="AJ70" i="34"/>
  <c r="AK70" i="34"/>
  <c r="AL70" i="34"/>
  <c r="AJ71" i="34"/>
  <c r="AK71" i="34"/>
  <c r="AL71" i="34"/>
  <c r="AJ72" i="34"/>
  <c r="AK72" i="34"/>
  <c r="AL72" i="34"/>
  <c r="AJ73" i="34"/>
  <c r="AK73" i="34"/>
  <c r="AL73" i="34"/>
  <c r="AJ74" i="34"/>
  <c r="AK74" i="34"/>
  <c r="AL74" i="34"/>
  <c r="AJ75" i="34"/>
  <c r="AK75" i="34"/>
  <c r="AL75" i="34"/>
  <c r="AJ76" i="34"/>
  <c r="AK76" i="34"/>
  <c r="AL76" i="34"/>
  <c r="AL62" i="34"/>
  <c r="AK62" i="34"/>
  <c r="AJ62" i="34"/>
  <c r="AJ48" i="34"/>
  <c r="AK48" i="34"/>
  <c r="AL48" i="34"/>
  <c r="AJ49" i="34"/>
  <c r="AK49" i="34"/>
  <c r="AL49" i="34"/>
  <c r="AJ50" i="34"/>
  <c r="AK50" i="34"/>
  <c r="AL50" i="34"/>
  <c r="AJ51" i="34"/>
  <c r="AK51" i="34"/>
  <c r="AL51" i="34"/>
  <c r="AJ52" i="34"/>
  <c r="AK52" i="34"/>
  <c r="AL52" i="34"/>
  <c r="AJ53" i="34"/>
  <c r="AK53" i="34"/>
  <c r="AL53" i="34"/>
  <c r="AJ54" i="34"/>
  <c r="AK54" i="34"/>
  <c r="AL54" i="34"/>
  <c r="AJ55" i="34"/>
  <c r="AK55" i="34"/>
  <c r="AL55" i="34"/>
  <c r="AJ56" i="34"/>
  <c r="AK56" i="34"/>
  <c r="AL56" i="34"/>
  <c r="AJ57" i="34"/>
  <c r="AK57" i="34"/>
  <c r="AL57" i="34"/>
  <c r="AJ58" i="34"/>
  <c r="AK58" i="34"/>
  <c r="AL58" i="34"/>
  <c r="AJ59" i="34"/>
  <c r="AK59" i="34"/>
  <c r="AL59" i="34"/>
  <c r="AJ60" i="34"/>
  <c r="AK60" i="34"/>
  <c r="AL60" i="34"/>
  <c r="AJ61" i="34"/>
  <c r="AK61" i="34"/>
  <c r="AL61" i="34"/>
  <c r="AL47" i="34"/>
  <c r="AK47" i="34"/>
  <c r="AJ47" i="34"/>
  <c r="AJ33" i="34"/>
  <c r="AK33" i="34"/>
  <c r="AL33" i="34"/>
  <c r="AJ34" i="34"/>
  <c r="AK34" i="34"/>
  <c r="AL34" i="34"/>
  <c r="AJ35" i="34"/>
  <c r="AK35" i="34"/>
  <c r="AL35" i="34"/>
  <c r="AJ36" i="34"/>
  <c r="AK36" i="34"/>
  <c r="AL36" i="34"/>
  <c r="AJ37" i="34"/>
  <c r="AK37" i="34"/>
  <c r="AL37" i="34"/>
  <c r="AJ38" i="34"/>
  <c r="AK38" i="34"/>
  <c r="AL38" i="34"/>
  <c r="AJ39" i="34"/>
  <c r="AK39" i="34"/>
  <c r="AL39" i="34"/>
  <c r="AJ40" i="34"/>
  <c r="AK40" i="34"/>
  <c r="AL40" i="34"/>
  <c r="AJ41" i="34"/>
  <c r="AK41" i="34"/>
  <c r="AL41" i="34"/>
  <c r="AJ42" i="34"/>
  <c r="AK42" i="34"/>
  <c r="AL42" i="34"/>
  <c r="AJ43" i="34"/>
  <c r="AK43" i="34"/>
  <c r="AL43" i="34"/>
  <c r="AJ44" i="34"/>
  <c r="AK44" i="34"/>
  <c r="AL44" i="34"/>
  <c r="AJ45" i="34"/>
  <c r="AK45" i="34"/>
  <c r="AL45" i="34"/>
  <c r="AJ46" i="34"/>
  <c r="AK46" i="34"/>
  <c r="AL46" i="34"/>
  <c r="AL32" i="34"/>
  <c r="AK32" i="34"/>
  <c r="AJ32" i="34"/>
  <c r="AJ18" i="34"/>
  <c r="AK18" i="34"/>
  <c r="AL18" i="34"/>
  <c r="AJ19" i="34"/>
  <c r="AK19" i="34"/>
  <c r="AL19" i="34"/>
  <c r="AJ20" i="34"/>
  <c r="AK20" i="34"/>
  <c r="AL20" i="34"/>
  <c r="AJ21" i="34"/>
  <c r="AK21" i="34"/>
  <c r="AL21" i="34"/>
  <c r="AJ22" i="34"/>
  <c r="AK22" i="34"/>
  <c r="AL22" i="34"/>
  <c r="AJ23" i="34"/>
  <c r="AK23" i="34"/>
  <c r="AL23" i="34"/>
  <c r="AJ24" i="34"/>
  <c r="AK24" i="34"/>
  <c r="AL24" i="34"/>
  <c r="AJ25" i="34"/>
  <c r="AK25" i="34"/>
  <c r="AL25" i="34"/>
  <c r="AJ26" i="34"/>
  <c r="AK26" i="34"/>
  <c r="AL26" i="34"/>
  <c r="AJ27" i="34"/>
  <c r="AK27" i="34"/>
  <c r="AL27" i="34"/>
  <c r="AJ28" i="34"/>
  <c r="AK28" i="34"/>
  <c r="AL28" i="34"/>
  <c r="AJ29" i="34"/>
  <c r="AK29" i="34"/>
  <c r="AL29" i="34"/>
  <c r="AJ30" i="34"/>
  <c r="AK30" i="34"/>
  <c r="AL30" i="34"/>
  <c r="AJ31" i="34"/>
  <c r="AK31" i="34"/>
  <c r="AL31" i="34"/>
  <c r="AM3" i="34"/>
  <c r="AL17" i="34"/>
  <c r="AK17" i="34"/>
  <c r="AJ17" i="34"/>
  <c r="AD67" i="34"/>
  <c r="AM496" i="34" s="1"/>
  <c r="AC67" i="34"/>
  <c r="AM476" i="34" s="1"/>
  <c r="AB67" i="34"/>
  <c r="AM456" i="34" s="1"/>
  <c r="AD66" i="34"/>
  <c r="AM495" i="34" s="1"/>
  <c r="AC66" i="34"/>
  <c r="AM475" i="34" s="1"/>
  <c r="AB66" i="34"/>
  <c r="AM455" i="34" s="1"/>
  <c r="AD65" i="34"/>
  <c r="AM494" i="34" s="1"/>
  <c r="AC65" i="34"/>
  <c r="AM474" i="34" s="1"/>
  <c r="AB65" i="34"/>
  <c r="AM454" i="34" s="1"/>
  <c r="AD64" i="34"/>
  <c r="AM493" i="34" s="1"/>
  <c r="AC64" i="34"/>
  <c r="AM473" i="34" s="1"/>
  <c r="AB64" i="34"/>
  <c r="AM453" i="34" s="1"/>
  <c r="AD63" i="34"/>
  <c r="AM492" i="34" s="1"/>
  <c r="AC63" i="34"/>
  <c r="AM472" i="34" s="1"/>
  <c r="AB63" i="34"/>
  <c r="AM452" i="34" s="1"/>
  <c r="AD62" i="34"/>
  <c r="AM491" i="34" s="1"/>
  <c r="AC62" i="34"/>
  <c r="AM471" i="34" s="1"/>
  <c r="AB62" i="34"/>
  <c r="AM451" i="34" s="1"/>
  <c r="AD61" i="34"/>
  <c r="AM490" i="34" s="1"/>
  <c r="AC61" i="34"/>
  <c r="AM470" i="34" s="1"/>
  <c r="AB61" i="34"/>
  <c r="AM450" i="34" s="1"/>
  <c r="AD60" i="34"/>
  <c r="AM489" i="34" s="1"/>
  <c r="AC60" i="34"/>
  <c r="AM469" i="34" s="1"/>
  <c r="AB60" i="34"/>
  <c r="AM449" i="34" s="1"/>
  <c r="AD59" i="34"/>
  <c r="AM488" i="34" s="1"/>
  <c r="AC59" i="34"/>
  <c r="AM468" i="34" s="1"/>
  <c r="AB59" i="34"/>
  <c r="AM448" i="34" s="1"/>
  <c r="AD58" i="34"/>
  <c r="AM487" i="34" s="1"/>
  <c r="AC58" i="34"/>
  <c r="AM467" i="34" s="1"/>
  <c r="AB58" i="34"/>
  <c r="AM447" i="34" s="1"/>
  <c r="AD57" i="34"/>
  <c r="AM486" i="34" s="1"/>
  <c r="AC57" i="34"/>
  <c r="AM466" i="34" s="1"/>
  <c r="AB57" i="34"/>
  <c r="AM446" i="34" s="1"/>
  <c r="AD56" i="34"/>
  <c r="AM485" i="34" s="1"/>
  <c r="AC56" i="34"/>
  <c r="AM465" i="34" s="1"/>
  <c r="AB56" i="34"/>
  <c r="AM445" i="34" s="1"/>
  <c r="AD55" i="34"/>
  <c r="AM484" i="34" s="1"/>
  <c r="AC55" i="34"/>
  <c r="AM464" i="34" s="1"/>
  <c r="AB55" i="34"/>
  <c r="AM444" i="34" s="1"/>
  <c r="AD54" i="34"/>
  <c r="AM483" i="34" s="1"/>
  <c r="AC54" i="34"/>
  <c r="AM463" i="34" s="1"/>
  <c r="AB54" i="34"/>
  <c r="AM443" i="34" s="1"/>
  <c r="AD53" i="34"/>
  <c r="AM482" i="34" s="1"/>
  <c r="AC53" i="34"/>
  <c r="AM462" i="34" s="1"/>
  <c r="AB53" i="34"/>
  <c r="AM442" i="34" s="1"/>
  <c r="AD52" i="34"/>
  <c r="AM481" i="34" s="1"/>
  <c r="AC52" i="34"/>
  <c r="AM461" i="34" s="1"/>
  <c r="AB52" i="34"/>
  <c r="AM441" i="34" s="1"/>
  <c r="AD51" i="34"/>
  <c r="AM480" i="34" s="1"/>
  <c r="AC51" i="34"/>
  <c r="AM460" i="34" s="1"/>
  <c r="AB51" i="34"/>
  <c r="AM440" i="34" s="1"/>
  <c r="AD50" i="34"/>
  <c r="AM479" i="34" s="1"/>
  <c r="AC50" i="34"/>
  <c r="AM459" i="34" s="1"/>
  <c r="AB50" i="34"/>
  <c r="AM439" i="34" s="1"/>
  <c r="AD49" i="34"/>
  <c r="AM478" i="34" s="1"/>
  <c r="AC49" i="34"/>
  <c r="AM458" i="34" s="1"/>
  <c r="AB49" i="34"/>
  <c r="AM438" i="34" s="1"/>
  <c r="AD48" i="34"/>
  <c r="AM477" i="34" s="1"/>
  <c r="AC48" i="34"/>
  <c r="AM457" i="34" s="1"/>
  <c r="AB48" i="34"/>
  <c r="AM437" i="34" s="1"/>
  <c r="AD44" i="34"/>
  <c r="AM316" i="34" s="1"/>
  <c r="AC44" i="34"/>
  <c r="AM296" i="34" s="1"/>
  <c r="AB44" i="34"/>
  <c r="AM276" i="34" s="1"/>
  <c r="AD43" i="34"/>
  <c r="AC43" i="34"/>
  <c r="AM295" i="34" s="1"/>
  <c r="AB43" i="34"/>
  <c r="AM275" i="34" s="1"/>
  <c r="AD42" i="34"/>
  <c r="AM314" i="34" s="1"/>
  <c r="AC42" i="34"/>
  <c r="AM294" i="34" s="1"/>
  <c r="AB42" i="34"/>
  <c r="AM274" i="34" s="1"/>
  <c r="AD41" i="34"/>
  <c r="AM313" i="34" s="1"/>
  <c r="AC41" i="34"/>
  <c r="AM293" i="34" s="1"/>
  <c r="AB41" i="34"/>
  <c r="AM273" i="34" s="1"/>
  <c r="AD40" i="34"/>
  <c r="AM312" i="34" s="1"/>
  <c r="AC40" i="34"/>
  <c r="AM292" i="34" s="1"/>
  <c r="AB40" i="34"/>
  <c r="AM272" i="34" s="1"/>
  <c r="AD39" i="34"/>
  <c r="AM311" i="34" s="1"/>
  <c r="AC39" i="34"/>
  <c r="AM291" i="34" s="1"/>
  <c r="AB39" i="34"/>
  <c r="AM271" i="34" s="1"/>
  <c r="AD38" i="34"/>
  <c r="AM310" i="34" s="1"/>
  <c r="AC38" i="34"/>
  <c r="AM290" i="34" s="1"/>
  <c r="AB38" i="34"/>
  <c r="AM270" i="34" s="1"/>
  <c r="AD37" i="34"/>
  <c r="AM309" i="34" s="1"/>
  <c r="AC37" i="34"/>
  <c r="AM289" i="34" s="1"/>
  <c r="AB37" i="34"/>
  <c r="AM269" i="34" s="1"/>
  <c r="AD36" i="34"/>
  <c r="AM308" i="34" s="1"/>
  <c r="AC36" i="34"/>
  <c r="AM288" i="34" s="1"/>
  <c r="AB36" i="34"/>
  <c r="AM268" i="34" s="1"/>
  <c r="AD35" i="34"/>
  <c r="AM307" i="34" s="1"/>
  <c r="AC35" i="34"/>
  <c r="AM287" i="34" s="1"/>
  <c r="AB35" i="34"/>
  <c r="AM267" i="34" s="1"/>
  <c r="AD34" i="34"/>
  <c r="AM306" i="34" s="1"/>
  <c r="AC34" i="34"/>
  <c r="AM286" i="34" s="1"/>
  <c r="AB34" i="34"/>
  <c r="AM266" i="34" s="1"/>
  <c r="AD33" i="34"/>
  <c r="AM305" i="34" s="1"/>
  <c r="AC33" i="34"/>
  <c r="AM285" i="34" s="1"/>
  <c r="AB33" i="34"/>
  <c r="AM265" i="34" s="1"/>
  <c r="AD32" i="34"/>
  <c r="AM304" i="34" s="1"/>
  <c r="AC32" i="34"/>
  <c r="AM284" i="34" s="1"/>
  <c r="AB32" i="34"/>
  <c r="AM264" i="34" s="1"/>
  <c r="AD31" i="34"/>
  <c r="AM303" i="34" s="1"/>
  <c r="AC31" i="34"/>
  <c r="AM283" i="34" s="1"/>
  <c r="AB31" i="34"/>
  <c r="AM263" i="34" s="1"/>
  <c r="AD30" i="34"/>
  <c r="AM302" i="34" s="1"/>
  <c r="AC30" i="34"/>
  <c r="AM282" i="34" s="1"/>
  <c r="AB30" i="34"/>
  <c r="AM262" i="34" s="1"/>
  <c r="AD29" i="34"/>
  <c r="AM301" i="34" s="1"/>
  <c r="AC29" i="34"/>
  <c r="AM281" i="34" s="1"/>
  <c r="AB29" i="34"/>
  <c r="AM261" i="34" s="1"/>
  <c r="AD28" i="34"/>
  <c r="AM300" i="34" s="1"/>
  <c r="AC28" i="34"/>
  <c r="AM280" i="34" s="1"/>
  <c r="AB28" i="34"/>
  <c r="AM260" i="34" s="1"/>
  <c r="AD27" i="34"/>
  <c r="AM299" i="34" s="1"/>
  <c r="AC27" i="34"/>
  <c r="AM279" i="34" s="1"/>
  <c r="AB27" i="34"/>
  <c r="AM259" i="34" s="1"/>
  <c r="AD26" i="34"/>
  <c r="AM298" i="34" s="1"/>
  <c r="AC26" i="34"/>
  <c r="AM278" i="34" s="1"/>
  <c r="AB26" i="34"/>
  <c r="AM258" i="34" s="1"/>
  <c r="AD25" i="34"/>
  <c r="AM297" i="34" s="1"/>
  <c r="AC25" i="34"/>
  <c r="AM277" i="34" s="1"/>
  <c r="AB25" i="34"/>
  <c r="AM257" i="34" s="1"/>
  <c r="AD21" i="34"/>
  <c r="AM136" i="34" s="1"/>
  <c r="AC21" i="34"/>
  <c r="AM121" i="34" s="1"/>
  <c r="AB21" i="34"/>
  <c r="AM106" i="34" s="1"/>
  <c r="AD20" i="34"/>
  <c r="AM135" i="34" s="1"/>
  <c r="AC20" i="34"/>
  <c r="AM120" i="34" s="1"/>
  <c r="AB20" i="34"/>
  <c r="AM105" i="34" s="1"/>
  <c r="AD19" i="34"/>
  <c r="AM134" i="34" s="1"/>
  <c r="AC19" i="34"/>
  <c r="AM119" i="34" s="1"/>
  <c r="AB19" i="34"/>
  <c r="AM104" i="34" s="1"/>
  <c r="AD18" i="34"/>
  <c r="AM133" i="34" s="1"/>
  <c r="AC18" i="34"/>
  <c r="AM118" i="34" s="1"/>
  <c r="AB18" i="34"/>
  <c r="AM103" i="34" s="1"/>
  <c r="AD17" i="34"/>
  <c r="AM132" i="34" s="1"/>
  <c r="AC17" i="34"/>
  <c r="AM117" i="34" s="1"/>
  <c r="AB17" i="34"/>
  <c r="AM102" i="34" s="1"/>
  <c r="AD16" i="34"/>
  <c r="AM131" i="34" s="1"/>
  <c r="AC16" i="34"/>
  <c r="AM116" i="34" s="1"/>
  <c r="AB16" i="34"/>
  <c r="AM101" i="34" s="1"/>
  <c r="AD15" i="34"/>
  <c r="AM130" i="34" s="1"/>
  <c r="AC15" i="34"/>
  <c r="AM115" i="34" s="1"/>
  <c r="AB15" i="34"/>
  <c r="AM100" i="34" s="1"/>
  <c r="AD14" i="34"/>
  <c r="AM129" i="34" s="1"/>
  <c r="AC14" i="34"/>
  <c r="AM114" i="34" s="1"/>
  <c r="AB14" i="34"/>
  <c r="AM99" i="34" s="1"/>
  <c r="AD13" i="34"/>
  <c r="AM128" i="34" s="1"/>
  <c r="AC13" i="34"/>
  <c r="AM113" i="34" s="1"/>
  <c r="AB13" i="34"/>
  <c r="AM98" i="34" s="1"/>
  <c r="AD12" i="34"/>
  <c r="AM127" i="34" s="1"/>
  <c r="AC12" i="34"/>
  <c r="AM112" i="34" s="1"/>
  <c r="AB12" i="34"/>
  <c r="AM97" i="34" s="1"/>
  <c r="AD11" i="34"/>
  <c r="AM126" i="34" s="1"/>
  <c r="AC11" i="34"/>
  <c r="AM111" i="34" s="1"/>
  <c r="AB11" i="34"/>
  <c r="AM96" i="34" s="1"/>
  <c r="AD10" i="34"/>
  <c r="AM125" i="34" s="1"/>
  <c r="AC10" i="34"/>
  <c r="AM110" i="34" s="1"/>
  <c r="AB10" i="34"/>
  <c r="AM95" i="34" s="1"/>
  <c r="AD9" i="34"/>
  <c r="AM124" i="34" s="1"/>
  <c r="AC9" i="34"/>
  <c r="AM109" i="34" s="1"/>
  <c r="AB9" i="34"/>
  <c r="AM94" i="34" s="1"/>
  <c r="AD8" i="34"/>
  <c r="AM123" i="34" s="1"/>
  <c r="AC8" i="34"/>
  <c r="AM108" i="34" s="1"/>
  <c r="AB8" i="34"/>
  <c r="AM93" i="34" s="1"/>
  <c r="AD7" i="34"/>
  <c r="AM122" i="34" s="1"/>
  <c r="AC7" i="34"/>
  <c r="AM107" i="34" s="1"/>
  <c r="AB7" i="34"/>
  <c r="AM92" i="34" s="1"/>
  <c r="U67" i="34"/>
  <c r="AM436" i="34" s="1"/>
  <c r="T67" i="34"/>
  <c r="AM416" i="34" s="1"/>
  <c r="S67" i="34"/>
  <c r="AM396" i="34" s="1"/>
  <c r="U66" i="34"/>
  <c r="AM435" i="34" s="1"/>
  <c r="T66" i="34"/>
  <c r="AM415" i="34" s="1"/>
  <c r="S66" i="34"/>
  <c r="AM395" i="34" s="1"/>
  <c r="U65" i="34"/>
  <c r="AM434" i="34" s="1"/>
  <c r="T65" i="34"/>
  <c r="AM414" i="34" s="1"/>
  <c r="S65" i="34"/>
  <c r="AM394" i="34" s="1"/>
  <c r="U64" i="34"/>
  <c r="AM433" i="34" s="1"/>
  <c r="T64" i="34"/>
  <c r="AM413" i="34" s="1"/>
  <c r="S64" i="34"/>
  <c r="AM393" i="34" s="1"/>
  <c r="U63" i="34"/>
  <c r="AM432" i="34" s="1"/>
  <c r="T63" i="34"/>
  <c r="AM412" i="34" s="1"/>
  <c r="S63" i="34"/>
  <c r="AM392" i="34" s="1"/>
  <c r="U62" i="34"/>
  <c r="AM431" i="34" s="1"/>
  <c r="T62" i="34"/>
  <c r="AM411" i="34" s="1"/>
  <c r="S62" i="34"/>
  <c r="AM391" i="34" s="1"/>
  <c r="U61" i="34"/>
  <c r="AM430" i="34" s="1"/>
  <c r="T61" i="34"/>
  <c r="AM410" i="34" s="1"/>
  <c r="S61" i="34"/>
  <c r="AM390" i="34" s="1"/>
  <c r="U60" i="34"/>
  <c r="AM429" i="34" s="1"/>
  <c r="T60" i="34"/>
  <c r="AM409" i="34" s="1"/>
  <c r="S60" i="34"/>
  <c r="AM389" i="34" s="1"/>
  <c r="U59" i="34"/>
  <c r="AM428" i="34" s="1"/>
  <c r="T59" i="34"/>
  <c r="AM408" i="34" s="1"/>
  <c r="S59" i="34"/>
  <c r="AM388" i="34" s="1"/>
  <c r="U58" i="34"/>
  <c r="AM427" i="34" s="1"/>
  <c r="T58" i="34"/>
  <c r="AM407" i="34" s="1"/>
  <c r="S58" i="34"/>
  <c r="AM387" i="34" s="1"/>
  <c r="U57" i="34"/>
  <c r="AM426" i="34" s="1"/>
  <c r="T57" i="34"/>
  <c r="AM406" i="34" s="1"/>
  <c r="S57" i="34"/>
  <c r="AM386" i="34" s="1"/>
  <c r="U56" i="34"/>
  <c r="AM425" i="34" s="1"/>
  <c r="T56" i="34"/>
  <c r="AM405" i="34" s="1"/>
  <c r="S56" i="34"/>
  <c r="AM385" i="34" s="1"/>
  <c r="U55" i="34"/>
  <c r="AM424" i="34" s="1"/>
  <c r="T55" i="34"/>
  <c r="AM404" i="34" s="1"/>
  <c r="S55" i="34"/>
  <c r="AM384" i="34" s="1"/>
  <c r="U54" i="34"/>
  <c r="AM423" i="34" s="1"/>
  <c r="T54" i="34"/>
  <c r="AM403" i="34" s="1"/>
  <c r="S54" i="34"/>
  <c r="AM383" i="34" s="1"/>
  <c r="U53" i="34"/>
  <c r="AM422" i="34" s="1"/>
  <c r="T53" i="34"/>
  <c r="AM402" i="34" s="1"/>
  <c r="S53" i="34"/>
  <c r="AM382" i="34" s="1"/>
  <c r="U52" i="34"/>
  <c r="AM421" i="34" s="1"/>
  <c r="T52" i="34"/>
  <c r="AM401" i="34" s="1"/>
  <c r="S52" i="34"/>
  <c r="AM381" i="34" s="1"/>
  <c r="U51" i="34"/>
  <c r="AM420" i="34" s="1"/>
  <c r="T51" i="34"/>
  <c r="AM400" i="34" s="1"/>
  <c r="S51" i="34"/>
  <c r="AM380" i="34" s="1"/>
  <c r="U50" i="34"/>
  <c r="AM419" i="34" s="1"/>
  <c r="T50" i="34"/>
  <c r="AM399" i="34" s="1"/>
  <c r="S50" i="34"/>
  <c r="AM379" i="34" s="1"/>
  <c r="U49" i="34"/>
  <c r="AM418" i="34" s="1"/>
  <c r="T49" i="34"/>
  <c r="AM398" i="34" s="1"/>
  <c r="S49" i="34"/>
  <c r="AM378" i="34" s="1"/>
  <c r="U48" i="34"/>
  <c r="AM417" i="34" s="1"/>
  <c r="T48" i="34"/>
  <c r="AM397" i="34" s="1"/>
  <c r="S48" i="34"/>
  <c r="AM377" i="34" s="1"/>
  <c r="T44" i="34"/>
  <c r="AM256" i="34" s="1"/>
  <c r="S44" i="34"/>
  <c r="AM236" i="34" s="1"/>
  <c r="R44" i="34"/>
  <c r="AM216" i="34" s="1"/>
  <c r="T43" i="34"/>
  <c r="AM255" i="34" s="1"/>
  <c r="S43" i="34"/>
  <c r="AM235" i="34" s="1"/>
  <c r="R43" i="34"/>
  <c r="AM215" i="34" s="1"/>
  <c r="T42" i="34"/>
  <c r="AM254" i="34" s="1"/>
  <c r="S42" i="34"/>
  <c r="AM234" i="34" s="1"/>
  <c r="R42" i="34"/>
  <c r="AM214" i="34" s="1"/>
  <c r="T41" i="34"/>
  <c r="AM253" i="34" s="1"/>
  <c r="S41" i="34"/>
  <c r="AM233" i="34" s="1"/>
  <c r="R41" i="34"/>
  <c r="AM213" i="34" s="1"/>
  <c r="T40" i="34"/>
  <c r="AM252" i="34" s="1"/>
  <c r="S40" i="34"/>
  <c r="AM232" i="34" s="1"/>
  <c r="R40" i="34"/>
  <c r="AM212" i="34" s="1"/>
  <c r="T39" i="34"/>
  <c r="AM251" i="34" s="1"/>
  <c r="S39" i="34"/>
  <c r="AM231" i="34" s="1"/>
  <c r="R39" i="34"/>
  <c r="AM211" i="34" s="1"/>
  <c r="T38" i="34"/>
  <c r="AM250" i="34" s="1"/>
  <c r="S38" i="34"/>
  <c r="AM230" i="34" s="1"/>
  <c r="R38" i="34"/>
  <c r="AM210" i="34" s="1"/>
  <c r="T37" i="34"/>
  <c r="AM249" i="34" s="1"/>
  <c r="S37" i="34"/>
  <c r="AM229" i="34" s="1"/>
  <c r="R37" i="34"/>
  <c r="AM209" i="34" s="1"/>
  <c r="T36" i="34"/>
  <c r="AM248" i="34" s="1"/>
  <c r="S36" i="34"/>
  <c r="AM228" i="34" s="1"/>
  <c r="R36" i="34"/>
  <c r="AM208" i="34" s="1"/>
  <c r="T35" i="34"/>
  <c r="AM247" i="34" s="1"/>
  <c r="S35" i="34"/>
  <c r="AM227" i="34" s="1"/>
  <c r="R35" i="34"/>
  <c r="AM207" i="34" s="1"/>
  <c r="T34" i="34"/>
  <c r="AM246" i="34" s="1"/>
  <c r="S34" i="34"/>
  <c r="AM226" i="34" s="1"/>
  <c r="R34" i="34"/>
  <c r="AM206" i="34" s="1"/>
  <c r="T33" i="34"/>
  <c r="AM245" i="34" s="1"/>
  <c r="S33" i="34"/>
  <c r="AM225" i="34" s="1"/>
  <c r="R33" i="34"/>
  <c r="AM205" i="34" s="1"/>
  <c r="T32" i="34"/>
  <c r="AM244" i="34" s="1"/>
  <c r="S32" i="34"/>
  <c r="AM224" i="34" s="1"/>
  <c r="R32" i="34"/>
  <c r="AM204" i="34" s="1"/>
  <c r="T31" i="34"/>
  <c r="AM243" i="34" s="1"/>
  <c r="S31" i="34"/>
  <c r="AM223" i="34" s="1"/>
  <c r="R31" i="34"/>
  <c r="AM203" i="34" s="1"/>
  <c r="T30" i="34"/>
  <c r="AM242" i="34" s="1"/>
  <c r="S30" i="34"/>
  <c r="AM222" i="34" s="1"/>
  <c r="R30" i="34"/>
  <c r="AM202" i="34" s="1"/>
  <c r="T29" i="34"/>
  <c r="AM241" i="34" s="1"/>
  <c r="S29" i="34"/>
  <c r="AM221" i="34" s="1"/>
  <c r="R29" i="34"/>
  <c r="AM201" i="34" s="1"/>
  <c r="T28" i="34"/>
  <c r="AM240" i="34" s="1"/>
  <c r="S28" i="34"/>
  <c r="AM220" i="34" s="1"/>
  <c r="R28" i="34"/>
  <c r="AM200" i="34" s="1"/>
  <c r="T27" i="34"/>
  <c r="AM239" i="34" s="1"/>
  <c r="S27" i="34"/>
  <c r="AM219" i="34" s="1"/>
  <c r="R27" i="34"/>
  <c r="AM199" i="34" s="1"/>
  <c r="T26" i="34"/>
  <c r="AM238" i="34" s="1"/>
  <c r="S26" i="34"/>
  <c r="AM218" i="34" s="1"/>
  <c r="R26" i="34"/>
  <c r="AM198" i="34" s="1"/>
  <c r="T25" i="34"/>
  <c r="AM237" i="34" s="1"/>
  <c r="S25" i="34"/>
  <c r="AM217" i="34" s="1"/>
  <c r="R25" i="34"/>
  <c r="AM197" i="34" s="1"/>
  <c r="T21" i="34"/>
  <c r="AM91" i="34" s="1"/>
  <c r="S21" i="34"/>
  <c r="AM76" i="34" s="1"/>
  <c r="R21" i="34"/>
  <c r="AM61" i="34" s="1"/>
  <c r="T20" i="34"/>
  <c r="AM90" i="34" s="1"/>
  <c r="S20" i="34"/>
  <c r="AM75" i="34" s="1"/>
  <c r="R20" i="34"/>
  <c r="AM60" i="34" s="1"/>
  <c r="T19" i="34"/>
  <c r="AM89" i="34" s="1"/>
  <c r="S19" i="34"/>
  <c r="AM74" i="34" s="1"/>
  <c r="R19" i="34"/>
  <c r="AM59" i="34" s="1"/>
  <c r="T18" i="34"/>
  <c r="AM88" i="34" s="1"/>
  <c r="S18" i="34"/>
  <c r="AM73" i="34" s="1"/>
  <c r="R18" i="34"/>
  <c r="AM58" i="34" s="1"/>
  <c r="T17" i="34"/>
  <c r="AM87" i="34" s="1"/>
  <c r="S17" i="34"/>
  <c r="AM72" i="34" s="1"/>
  <c r="R17" i="34"/>
  <c r="AM57" i="34" s="1"/>
  <c r="T16" i="34"/>
  <c r="AM86" i="34" s="1"/>
  <c r="S16" i="34"/>
  <c r="AM71" i="34" s="1"/>
  <c r="R16" i="34"/>
  <c r="AM56" i="34" s="1"/>
  <c r="T15" i="34"/>
  <c r="AM85" i="34" s="1"/>
  <c r="S15" i="34"/>
  <c r="AM70" i="34" s="1"/>
  <c r="R15" i="34"/>
  <c r="AM55" i="34" s="1"/>
  <c r="T14" i="34"/>
  <c r="AM84" i="34" s="1"/>
  <c r="S14" i="34"/>
  <c r="AM69" i="34" s="1"/>
  <c r="R14" i="34"/>
  <c r="AM54" i="34" s="1"/>
  <c r="T13" i="34"/>
  <c r="AM83" i="34" s="1"/>
  <c r="S13" i="34"/>
  <c r="AM68" i="34" s="1"/>
  <c r="R13" i="34"/>
  <c r="AM53" i="34" s="1"/>
  <c r="T12" i="34"/>
  <c r="AM82" i="34" s="1"/>
  <c r="S12" i="34"/>
  <c r="AM67" i="34" s="1"/>
  <c r="R12" i="34"/>
  <c r="AM52" i="34" s="1"/>
  <c r="T11" i="34"/>
  <c r="AM81" i="34" s="1"/>
  <c r="S11" i="34"/>
  <c r="AM66" i="34" s="1"/>
  <c r="R11" i="34"/>
  <c r="AM51" i="34" s="1"/>
  <c r="T10" i="34"/>
  <c r="AM80" i="34" s="1"/>
  <c r="S10" i="34"/>
  <c r="AM65" i="34" s="1"/>
  <c r="R10" i="34"/>
  <c r="AM50" i="34" s="1"/>
  <c r="T9" i="34"/>
  <c r="AM79" i="34" s="1"/>
  <c r="S9" i="34"/>
  <c r="AM64" i="34" s="1"/>
  <c r="R9" i="34"/>
  <c r="AM49" i="34" s="1"/>
  <c r="T8" i="34"/>
  <c r="AM78" i="34" s="1"/>
  <c r="S8" i="34"/>
  <c r="AM63" i="34" s="1"/>
  <c r="R8" i="34"/>
  <c r="AM48" i="34" s="1"/>
  <c r="T7" i="34"/>
  <c r="AM77" i="34" s="1"/>
  <c r="S7" i="34"/>
  <c r="AM62" i="34" s="1"/>
  <c r="R7" i="34"/>
  <c r="AM47" i="34" s="1"/>
  <c r="K67" i="34"/>
  <c r="AM376" i="34" s="1"/>
  <c r="J67" i="34"/>
  <c r="AM356" i="34" s="1"/>
  <c r="I67" i="34"/>
  <c r="AM336" i="34" s="1"/>
  <c r="K66" i="34"/>
  <c r="AM375" i="34" s="1"/>
  <c r="J66" i="34"/>
  <c r="AM355" i="34" s="1"/>
  <c r="I66" i="34"/>
  <c r="AM335" i="34" s="1"/>
  <c r="K65" i="34"/>
  <c r="AM374" i="34" s="1"/>
  <c r="J65" i="34"/>
  <c r="AM354" i="34" s="1"/>
  <c r="I65" i="34"/>
  <c r="AM334" i="34" s="1"/>
  <c r="K64" i="34"/>
  <c r="AM373" i="34" s="1"/>
  <c r="J64" i="34"/>
  <c r="AM353" i="34" s="1"/>
  <c r="I64" i="34"/>
  <c r="AM333" i="34" s="1"/>
  <c r="K63" i="34"/>
  <c r="AM372" i="34" s="1"/>
  <c r="J63" i="34"/>
  <c r="AM352" i="34" s="1"/>
  <c r="I63" i="34"/>
  <c r="AM332" i="34" s="1"/>
  <c r="K62" i="34"/>
  <c r="AM371" i="34" s="1"/>
  <c r="J62" i="34"/>
  <c r="AM351" i="34" s="1"/>
  <c r="I62" i="34"/>
  <c r="AM331" i="34" s="1"/>
  <c r="K61" i="34"/>
  <c r="AM370" i="34" s="1"/>
  <c r="J61" i="34"/>
  <c r="AM350" i="34" s="1"/>
  <c r="I61" i="34"/>
  <c r="AM330" i="34" s="1"/>
  <c r="K60" i="34"/>
  <c r="AM369" i="34" s="1"/>
  <c r="J60" i="34"/>
  <c r="AM349" i="34" s="1"/>
  <c r="I60" i="34"/>
  <c r="AM329" i="34" s="1"/>
  <c r="K59" i="34"/>
  <c r="AM368" i="34" s="1"/>
  <c r="J59" i="34"/>
  <c r="AM348" i="34" s="1"/>
  <c r="I59" i="34"/>
  <c r="AM328" i="34" s="1"/>
  <c r="K58" i="34"/>
  <c r="AM367" i="34" s="1"/>
  <c r="J58" i="34"/>
  <c r="AM347" i="34" s="1"/>
  <c r="I58" i="34"/>
  <c r="AM327" i="34" s="1"/>
  <c r="K57" i="34"/>
  <c r="AM366" i="34" s="1"/>
  <c r="J57" i="34"/>
  <c r="AM346" i="34" s="1"/>
  <c r="I57" i="34"/>
  <c r="AM326" i="34" s="1"/>
  <c r="K56" i="34"/>
  <c r="AM365" i="34" s="1"/>
  <c r="J56" i="34"/>
  <c r="AM345" i="34" s="1"/>
  <c r="I56" i="34"/>
  <c r="AM325" i="34" s="1"/>
  <c r="K55" i="34"/>
  <c r="AM364" i="34" s="1"/>
  <c r="J55" i="34"/>
  <c r="AM344" i="34" s="1"/>
  <c r="I55" i="34"/>
  <c r="AM324" i="34" s="1"/>
  <c r="K54" i="34"/>
  <c r="AM363" i="34" s="1"/>
  <c r="J54" i="34"/>
  <c r="AM343" i="34" s="1"/>
  <c r="I54" i="34"/>
  <c r="AM323" i="34" s="1"/>
  <c r="K53" i="34"/>
  <c r="AM362" i="34" s="1"/>
  <c r="J53" i="34"/>
  <c r="AM342" i="34" s="1"/>
  <c r="I53" i="34"/>
  <c r="AM322" i="34" s="1"/>
  <c r="K52" i="34"/>
  <c r="AM361" i="34" s="1"/>
  <c r="J52" i="34"/>
  <c r="AM341" i="34" s="1"/>
  <c r="I52" i="34"/>
  <c r="AM321" i="34" s="1"/>
  <c r="K51" i="34"/>
  <c r="AM360" i="34" s="1"/>
  <c r="J51" i="34"/>
  <c r="AM340" i="34" s="1"/>
  <c r="I51" i="34"/>
  <c r="AM320" i="34" s="1"/>
  <c r="K50" i="34"/>
  <c r="AM359" i="34" s="1"/>
  <c r="J50" i="34"/>
  <c r="AM339" i="34" s="1"/>
  <c r="I50" i="34"/>
  <c r="AM319" i="34" s="1"/>
  <c r="K49" i="34"/>
  <c r="AM358" i="34" s="1"/>
  <c r="J49" i="34"/>
  <c r="AM338" i="34" s="1"/>
  <c r="I49" i="34"/>
  <c r="AM318" i="34" s="1"/>
  <c r="K48" i="34"/>
  <c r="AM357" i="34" s="1"/>
  <c r="J48" i="34"/>
  <c r="AM337" i="34" s="1"/>
  <c r="I48" i="34"/>
  <c r="AM317" i="34" s="1"/>
  <c r="I40" i="34"/>
  <c r="AM152" i="34" s="1"/>
  <c r="J40" i="34"/>
  <c r="AM172" i="34" s="1"/>
  <c r="K40" i="34"/>
  <c r="AM192" i="34" s="1"/>
  <c r="I41" i="34"/>
  <c r="AM153" i="34" s="1"/>
  <c r="J41" i="34"/>
  <c r="AM173" i="34" s="1"/>
  <c r="K41" i="34"/>
  <c r="AM193" i="34" s="1"/>
  <c r="I42" i="34"/>
  <c r="AM154" i="34" s="1"/>
  <c r="J42" i="34"/>
  <c r="AM174" i="34" s="1"/>
  <c r="K42" i="34"/>
  <c r="AM194" i="34" s="1"/>
  <c r="I43" i="34"/>
  <c r="AM155" i="34" s="1"/>
  <c r="J43" i="34"/>
  <c r="AM175" i="34" s="1"/>
  <c r="K43" i="34"/>
  <c r="AM195" i="34" s="1"/>
  <c r="I44" i="34"/>
  <c r="AM156" i="34" s="1"/>
  <c r="J44" i="34"/>
  <c r="AM176" i="34" s="1"/>
  <c r="K44" i="34"/>
  <c r="AM196" i="34" s="1"/>
  <c r="K39" i="34"/>
  <c r="AM191" i="34" s="1"/>
  <c r="J39" i="34"/>
  <c r="AM171" i="34" s="1"/>
  <c r="I39" i="34"/>
  <c r="AM151" i="34" s="1"/>
  <c r="K38" i="34"/>
  <c r="AM190" i="34" s="1"/>
  <c r="J38" i="34"/>
  <c r="AM170" i="34" s="1"/>
  <c r="I38" i="34"/>
  <c r="AM150" i="34" s="1"/>
  <c r="K37" i="34"/>
  <c r="AM189" i="34" s="1"/>
  <c r="J37" i="34"/>
  <c r="AM169" i="34" s="1"/>
  <c r="I37" i="34"/>
  <c r="AM149" i="34" s="1"/>
  <c r="K36" i="34"/>
  <c r="AM188" i="34" s="1"/>
  <c r="J36" i="34"/>
  <c r="AM168" i="34" s="1"/>
  <c r="I36" i="34"/>
  <c r="AM148" i="34" s="1"/>
  <c r="K35" i="34"/>
  <c r="AM187" i="34" s="1"/>
  <c r="J35" i="34"/>
  <c r="AM167" i="34" s="1"/>
  <c r="I35" i="34"/>
  <c r="AM147" i="34" s="1"/>
  <c r="K34" i="34"/>
  <c r="AM186" i="34" s="1"/>
  <c r="J34" i="34"/>
  <c r="AM166" i="34" s="1"/>
  <c r="I34" i="34"/>
  <c r="AM146" i="34" s="1"/>
  <c r="K33" i="34"/>
  <c r="AM185" i="34" s="1"/>
  <c r="J33" i="34"/>
  <c r="AM165" i="34" s="1"/>
  <c r="I33" i="34"/>
  <c r="AM145" i="34" s="1"/>
  <c r="K32" i="34"/>
  <c r="AM184" i="34" s="1"/>
  <c r="J32" i="34"/>
  <c r="AM164" i="34" s="1"/>
  <c r="I32" i="34"/>
  <c r="AM144" i="34" s="1"/>
  <c r="K31" i="34"/>
  <c r="AM183" i="34" s="1"/>
  <c r="J31" i="34"/>
  <c r="AM163" i="34" s="1"/>
  <c r="I31" i="34"/>
  <c r="AM143" i="34" s="1"/>
  <c r="K30" i="34"/>
  <c r="AM182" i="34" s="1"/>
  <c r="J30" i="34"/>
  <c r="AM162" i="34" s="1"/>
  <c r="I30" i="34"/>
  <c r="AM142" i="34" s="1"/>
  <c r="K29" i="34"/>
  <c r="AM181" i="34" s="1"/>
  <c r="J29" i="34"/>
  <c r="AM161" i="34" s="1"/>
  <c r="I29" i="34"/>
  <c r="AM141" i="34" s="1"/>
  <c r="K28" i="34"/>
  <c r="AM180" i="34" s="1"/>
  <c r="J28" i="34"/>
  <c r="AM160" i="34" s="1"/>
  <c r="I28" i="34"/>
  <c r="AM140" i="34" s="1"/>
  <c r="K27" i="34"/>
  <c r="AM179" i="34" s="1"/>
  <c r="J27" i="34"/>
  <c r="AM159" i="34" s="1"/>
  <c r="I27" i="34"/>
  <c r="AM139" i="34" s="1"/>
  <c r="K26" i="34"/>
  <c r="AM178" i="34" s="1"/>
  <c r="J26" i="34"/>
  <c r="AM158" i="34" s="1"/>
  <c r="I26" i="34"/>
  <c r="AM138" i="34" s="1"/>
  <c r="K25" i="34"/>
  <c r="AM177" i="34" s="1"/>
  <c r="J25" i="34"/>
  <c r="AM157" i="34" s="1"/>
  <c r="I25" i="34"/>
  <c r="AM137" i="34" s="1"/>
  <c r="I8" i="34"/>
  <c r="J8" i="34"/>
  <c r="AM18" i="34" s="1"/>
  <c r="K8" i="34"/>
  <c r="AM33" i="34" s="1"/>
  <c r="I9" i="34"/>
  <c r="AM4" i="34" s="1"/>
  <c r="J9" i="34"/>
  <c r="AM19" i="34" s="1"/>
  <c r="K9" i="34"/>
  <c r="AM34" i="34" s="1"/>
  <c r="I10" i="34"/>
  <c r="AM5" i="34" s="1"/>
  <c r="J10" i="34"/>
  <c r="AM20" i="34" s="1"/>
  <c r="K10" i="34"/>
  <c r="AM35" i="34" s="1"/>
  <c r="I11" i="34"/>
  <c r="AM6" i="34" s="1"/>
  <c r="J11" i="34"/>
  <c r="AM21" i="34" s="1"/>
  <c r="K11" i="34"/>
  <c r="AM36" i="34" s="1"/>
  <c r="I12" i="34"/>
  <c r="AM7" i="34" s="1"/>
  <c r="J12" i="34"/>
  <c r="AM22" i="34" s="1"/>
  <c r="K12" i="34"/>
  <c r="AM37" i="34" s="1"/>
  <c r="I13" i="34"/>
  <c r="AM8" i="34" s="1"/>
  <c r="J13" i="34"/>
  <c r="AM23" i="34" s="1"/>
  <c r="K13" i="34"/>
  <c r="AM38" i="34" s="1"/>
  <c r="I14" i="34"/>
  <c r="AM9" i="34" s="1"/>
  <c r="J14" i="34"/>
  <c r="AM24" i="34" s="1"/>
  <c r="K14" i="34"/>
  <c r="AM39" i="34" s="1"/>
  <c r="I15" i="34"/>
  <c r="AM10" i="34" s="1"/>
  <c r="J15" i="34"/>
  <c r="AM25" i="34" s="1"/>
  <c r="K15" i="34"/>
  <c r="AM40" i="34" s="1"/>
  <c r="I16" i="34"/>
  <c r="AM11" i="34" s="1"/>
  <c r="J16" i="34"/>
  <c r="AM26" i="34" s="1"/>
  <c r="K16" i="34"/>
  <c r="AM41" i="34" s="1"/>
  <c r="I17" i="34"/>
  <c r="AM12" i="34" s="1"/>
  <c r="J17" i="34"/>
  <c r="AM27" i="34" s="1"/>
  <c r="K17" i="34"/>
  <c r="AM42" i="34" s="1"/>
  <c r="I18" i="34"/>
  <c r="AM13" i="34" s="1"/>
  <c r="J18" i="34"/>
  <c r="AM28" i="34" s="1"/>
  <c r="K18" i="34"/>
  <c r="AM43" i="34" s="1"/>
  <c r="I19" i="34"/>
  <c r="AM14" i="34" s="1"/>
  <c r="J19" i="34"/>
  <c r="AM29" i="34" s="1"/>
  <c r="K19" i="34"/>
  <c r="AM44" i="34" s="1"/>
  <c r="I20" i="34"/>
  <c r="AM15" i="34" s="1"/>
  <c r="J20" i="34"/>
  <c r="AM30" i="34" s="1"/>
  <c r="K20" i="34"/>
  <c r="AM45" i="34" s="1"/>
  <c r="I21" i="34"/>
  <c r="AM16" i="34" s="1"/>
  <c r="J21" i="34"/>
  <c r="AM31" i="34" s="1"/>
  <c r="K21" i="34"/>
  <c r="AM46" i="34" s="1"/>
  <c r="I7" i="34"/>
  <c r="AM2" i="34" s="1"/>
  <c r="K7" i="34"/>
  <c r="AM32" i="34" s="1"/>
  <c r="J7" i="34"/>
  <c r="AM17" i="34" s="1"/>
  <c r="AJ12" i="34"/>
  <c r="AK12" i="34"/>
  <c r="AL12" i="34"/>
  <c r="AJ13" i="34"/>
  <c r="AK13" i="34"/>
  <c r="AL13" i="34"/>
  <c r="AJ14" i="34"/>
  <c r="AK14" i="34"/>
  <c r="AL14" i="34"/>
  <c r="AJ15" i="34"/>
  <c r="AK15" i="34"/>
  <c r="AL15" i="34"/>
  <c r="AJ16" i="34"/>
  <c r="AK16" i="34"/>
  <c r="AL16" i="34"/>
  <c r="AJ3" i="34"/>
  <c r="AK3" i="34"/>
  <c r="AL3" i="34"/>
  <c r="AJ4" i="34"/>
  <c r="AK4" i="34"/>
  <c r="AL4" i="34"/>
  <c r="AJ5" i="34"/>
  <c r="AK5" i="34"/>
  <c r="AL5" i="34"/>
  <c r="AJ6" i="34"/>
  <c r="AK6" i="34"/>
  <c r="AL6" i="34"/>
  <c r="AJ7" i="34"/>
  <c r="AK7" i="34"/>
  <c r="AL7" i="34"/>
  <c r="AJ8" i="34"/>
  <c r="AK8" i="34"/>
  <c r="AL8" i="34"/>
  <c r="AJ9" i="34"/>
  <c r="AK9" i="34"/>
  <c r="AL9" i="34"/>
  <c r="AJ10" i="34"/>
  <c r="AK10" i="34"/>
  <c r="AL10" i="34"/>
  <c r="AJ11" i="34"/>
  <c r="AK11" i="34"/>
  <c r="AL11" i="34"/>
  <c r="AL2" i="34"/>
  <c r="AK2" i="34"/>
  <c r="AJ2" i="34"/>
  <c r="M210" i="2" l="1"/>
  <c r="N210" i="2"/>
  <c r="O210" i="2"/>
  <c r="P210" i="2"/>
  <c r="Q210" i="2"/>
  <c r="L210" i="2"/>
  <c r="M198" i="2"/>
  <c r="N198" i="2"/>
  <c r="O198" i="2"/>
  <c r="P198" i="2"/>
  <c r="Q198" i="2"/>
  <c r="L198" i="2"/>
  <c r="Q186" i="2"/>
  <c r="P186" i="2"/>
  <c r="O186" i="2"/>
  <c r="N186" i="2"/>
  <c r="M186" i="2"/>
  <c r="L186" i="2"/>
  <c r="M132" i="2"/>
  <c r="N132" i="2"/>
  <c r="O132" i="2"/>
  <c r="P132" i="2"/>
  <c r="Q132" i="2"/>
  <c r="L132" i="2"/>
  <c r="Q50" i="2"/>
  <c r="P50" i="2"/>
  <c r="O50" i="2"/>
  <c r="N50" i="2"/>
  <c r="M50" i="2"/>
  <c r="L50" i="2"/>
  <c r="M120" i="2"/>
  <c r="N120" i="2"/>
  <c r="O120" i="2"/>
  <c r="P120" i="2"/>
  <c r="Q120" i="2"/>
  <c r="L120" i="2"/>
  <c r="M108" i="2"/>
  <c r="N108" i="2"/>
  <c r="O108" i="2"/>
  <c r="P108" i="2"/>
  <c r="Q108" i="2"/>
  <c r="L108" i="2"/>
  <c r="M38" i="2"/>
  <c r="N38" i="2"/>
  <c r="O38" i="2"/>
  <c r="P38" i="2"/>
  <c r="Q38" i="2"/>
  <c r="L38" i="2"/>
  <c r="M173" i="2"/>
  <c r="N173" i="2"/>
  <c r="O173" i="2"/>
  <c r="P173" i="2"/>
  <c r="Q173" i="2"/>
  <c r="L173" i="2"/>
  <c r="M161" i="2"/>
  <c r="N161" i="2"/>
  <c r="O161" i="2"/>
  <c r="P161" i="2"/>
  <c r="Q161" i="2"/>
  <c r="L161" i="2"/>
  <c r="Q26" i="2"/>
  <c r="P26" i="2"/>
  <c r="O26" i="2"/>
  <c r="M26" i="2"/>
  <c r="L26" i="2"/>
  <c r="C197" i="2" l="1"/>
  <c r="B197" i="2"/>
  <c r="C184" i="2"/>
  <c r="B184" i="2"/>
  <c r="C172" i="2"/>
  <c r="B172" i="2"/>
  <c r="C160" i="2"/>
  <c r="B160" i="2"/>
  <c r="C151" i="2"/>
  <c r="C142" i="2"/>
  <c r="B142" i="2"/>
  <c r="C131" i="2"/>
  <c r="B131" i="2"/>
  <c r="C119" i="2"/>
  <c r="B119" i="2"/>
  <c r="C107" i="2"/>
  <c r="B107" i="2"/>
  <c r="C95" i="2"/>
  <c r="B95" i="2"/>
  <c r="C85" i="2"/>
  <c r="C16" i="2"/>
  <c r="C77" i="2"/>
  <c r="B77" i="2"/>
  <c r="C63" i="2"/>
  <c r="B63" i="2"/>
  <c r="C50" i="2"/>
  <c r="B50" i="2"/>
  <c r="C37" i="2"/>
  <c r="B37" i="2"/>
  <c r="C25" i="2"/>
  <c r="B25" i="2"/>
  <c r="H46" i="29" l="1"/>
  <c r="H45" i="29"/>
  <c r="H44" i="29"/>
  <c r="H42" i="29"/>
  <c r="G46" i="29"/>
  <c r="G45" i="29"/>
  <c r="G44" i="29"/>
  <c r="G42" i="29"/>
  <c r="X93" i="2"/>
  <c r="A38" i="32" l="1"/>
  <c r="A56" i="32" s="1"/>
  <c r="M196" i="2"/>
  <c r="L196" i="2"/>
  <c r="M184" i="2"/>
  <c r="L184" i="2"/>
  <c r="M208" i="2"/>
  <c r="L208" i="2"/>
  <c r="M171" i="2"/>
  <c r="L171" i="2"/>
  <c r="M159" i="2"/>
  <c r="L159" i="2"/>
  <c r="C195" i="2"/>
  <c r="B195" i="2"/>
  <c r="C182" i="2"/>
  <c r="B182" i="2"/>
  <c r="C170" i="2"/>
  <c r="B170" i="2"/>
  <c r="C158" i="2"/>
  <c r="B158" i="2"/>
  <c r="C200" i="2"/>
  <c r="B200" i="2"/>
  <c r="C187" i="2"/>
  <c r="B187" i="2"/>
  <c r="C175" i="2"/>
  <c r="B175" i="2"/>
  <c r="C163" i="2"/>
  <c r="B163" i="2"/>
  <c r="AG60" i="32" l="1"/>
  <c r="E164" i="2"/>
  <c r="M205" i="2" l="1"/>
  <c r="L205" i="2"/>
  <c r="L193" i="2"/>
  <c r="M193" i="2"/>
  <c r="M181" i="2"/>
  <c r="L181" i="2"/>
  <c r="C349" i="32"/>
  <c r="B349" i="32"/>
  <c r="C240" i="32"/>
  <c r="B240" i="32"/>
  <c r="C132" i="32"/>
  <c r="B132" i="32"/>
  <c r="C345" i="32"/>
  <c r="B345" i="32"/>
  <c r="C343" i="32"/>
  <c r="B343" i="32"/>
  <c r="C342" i="32"/>
  <c r="B342" i="32"/>
  <c r="C236" i="32"/>
  <c r="B236" i="32"/>
  <c r="C234" i="32"/>
  <c r="B234" i="32"/>
  <c r="C233" i="32"/>
  <c r="B233" i="32"/>
  <c r="C128" i="32"/>
  <c r="B128" i="32"/>
  <c r="C126" i="32"/>
  <c r="B126" i="32"/>
  <c r="C125" i="32"/>
  <c r="B125" i="32"/>
  <c r="C340" i="32"/>
  <c r="B340" i="32"/>
  <c r="C231" i="32"/>
  <c r="B231" i="32"/>
  <c r="C123" i="32"/>
  <c r="B123" i="32"/>
  <c r="C338" i="32"/>
  <c r="B338" i="32"/>
  <c r="C229" i="32"/>
  <c r="B229" i="32"/>
  <c r="C121" i="32"/>
  <c r="B121" i="32"/>
  <c r="C334" i="32"/>
  <c r="B334" i="32"/>
  <c r="C225" i="32"/>
  <c r="B225" i="32"/>
  <c r="C117" i="32"/>
  <c r="B117" i="32"/>
  <c r="C26" i="32"/>
  <c r="B26" i="32"/>
  <c r="C22" i="32"/>
  <c r="B22" i="32"/>
  <c r="C20" i="32"/>
  <c r="B20" i="32"/>
  <c r="C19" i="32"/>
  <c r="B19" i="32"/>
  <c r="B18" i="32"/>
  <c r="C17" i="32"/>
  <c r="B17" i="32"/>
  <c r="C15" i="32"/>
  <c r="B15" i="32"/>
  <c r="B13" i="32"/>
  <c r="C11" i="32"/>
  <c r="B11" i="32"/>
  <c r="A407" i="32"/>
  <c r="A406" i="32"/>
  <c r="A393" i="32"/>
  <c r="A381" i="32"/>
  <c r="A370" i="32"/>
  <c r="A368" i="32"/>
  <c r="A405" i="32" s="1"/>
  <c r="A367" i="32"/>
  <c r="A366" i="32"/>
  <c r="A365" i="32"/>
  <c r="A364" i="32"/>
  <c r="A363" i="32"/>
  <c r="A380" i="32" s="1"/>
  <c r="A362" i="32"/>
  <c r="A361" i="32"/>
  <c r="A379" i="32" s="1"/>
  <c r="A360" i="32"/>
  <c r="A378" i="32" s="1"/>
  <c r="A359" i="32"/>
  <c r="A377" i="32" s="1"/>
  <c r="A358" i="32"/>
  <c r="A357" i="32"/>
  <c r="A376" i="32" s="1"/>
  <c r="A356" i="32"/>
  <c r="A375" i="32" s="1"/>
  <c r="A387" i="32" s="1"/>
  <c r="A355" i="32"/>
  <c r="A374" i="32" s="1"/>
  <c r="A354" i="32"/>
  <c r="A373" i="32" s="1"/>
  <c r="P350" i="32"/>
  <c r="O350" i="32"/>
  <c r="L350" i="32"/>
  <c r="C350" i="32"/>
  <c r="B350" i="32"/>
  <c r="P349" i="32"/>
  <c r="O349" i="32"/>
  <c r="L349" i="32"/>
  <c r="P348" i="32"/>
  <c r="O348" i="32"/>
  <c r="L348" i="32"/>
  <c r="C348" i="32"/>
  <c r="B348" i="32"/>
  <c r="P347" i="32"/>
  <c r="O347" i="32"/>
  <c r="L347" i="32"/>
  <c r="C347" i="32"/>
  <c r="B347" i="32"/>
  <c r="P346" i="32"/>
  <c r="O346" i="32"/>
  <c r="L346" i="32"/>
  <c r="C346" i="32"/>
  <c r="B346" i="32"/>
  <c r="P345" i="32"/>
  <c r="O345" i="32"/>
  <c r="L345" i="32"/>
  <c r="P343" i="32"/>
  <c r="O343" i="32"/>
  <c r="L343" i="32"/>
  <c r="P342" i="32"/>
  <c r="O342" i="32"/>
  <c r="L342" i="32"/>
  <c r="P341" i="32"/>
  <c r="O341" i="32"/>
  <c r="L341" i="32"/>
  <c r="C341" i="32"/>
  <c r="B341" i="32"/>
  <c r="P340" i="32"/>
  <c r="O340" i="32"/>
  <c r="L340" i="32"/>
  <c r="P339" i="32"/>
  <c r="O339" i="32"/>
  <c r="L339" i="32"/>
  <c r="C339" i="32"/>
  <c r="B339" i="32"/>
  <c r="P338" i="32"/>
  <c r="O338" i="32"/>
  <c r="L338" i="32"/>
  <c r="P337" i="32"/>
  <c r="O337" i="32"/>
  <c r="L337" i="32"/>
  <c r="P336" i="32"/>
  <c r="O336" i="32"/>
  <c r="L336" i="32"/>
  <c r="C336" i="32"/>
  <c r="B336" i="32"/>
  <c r="P335" i="32"/>
  <c r="O335" i="32"/>
  <c r="L335" i="32"/>
  <c r="P334" i="32"/>
  <c r="O334" i="32"/>
  <c r="L334" i="32"/>
  <c r="A324" i="32"/>
  <c r="A298" i="32"/>
  <c r="A297" i="32"/>
  <c r="A284" i="32"/>
  <c r="A272" i="32"/>
  <c r="A269" i="32"/>
  <c r="A261" i="32"/>
  <c r="A259" i="32"/>
  <c r="A296" i="32" s="1"/>
  <c r="A258" i="32"/>
  <c r="A257" i="32"/>
  <c r="A256" i="32"/>
  <c r="A255" i="32"/>
  <c r="A254" i="32"/>
  <c r="A271" i="32" s="1"/>
  <c r="A253" i="32"/>
  <c r="A252" i="32"/>
  <c r="A270" i="32" s="1"/>
  <c r="A251" i="32"/>
  <c r="A250" i="32"/>
  <c r="A268" i="32" s="1"/>
  <c r="A292" i="32" s="1"/>
  <c r="A249" i="32"/>
  <c r="A248" i="32"/>
  <c r="A267" i="32" s="1"/>
  <c r="A291" i="32" s="1"/>
  <c r="A247" i="32"/>
  <c r="A266" i="32" s="1"/>
  <c r="A246" i="32"/>
  <c r="A265" i="32" s="1"/>
  <c r="A277" i="32" s="1"/>
  <c r="A245" i="32"/>
  <c r="A264" i="32" s="1"/>
  <c r="P241" i="32"/>
  <c r="O241" i="32"/>
  <c r="L241" i="32"/>
  <c r="C241" i="32"/>
  <c r="B241" i="32"/>
  <c r="P240" i="32"/>
  <c r="O240" i="32"/>
  <c r="L240" i="32"/>
  <c r="P239" i="32"/>
  <c r="O239" i="32"/>
  <c r="L239" i="32"/>
  <c r="C239" i="32"/>
  <c r="B239" i="32"/>
  <c r="P238" i="32"/>
  <c r="O238" i="32"/>
  <c r="L238" i="32"/>
  <c r="C238" i="32"/>
  <c r="B238" i="32"/>
  <c r="P237" i="32"/>
  <c r="O237" i="32"/>
  <c r="L237" i="32"/>
  <c r="C237" i="32"/>
  <c r="B237" i="32"/>
  <c r="P236" i="32"/>
  <c r="O236" i="32"/>
  <c r="L236" i="32"/>
  <c r="P234" i="32"/>
  <c r="O234" i="32"/>
  <c r="L234" i="32"/>
  <c r="P233" i="32"/>
  <c r="O233" i="32"/>
  <c r="L233" i="32"/>
  <c r="P232" i="32"/>
  <c r="O232" i="32"/>
  <c r="L232" i="32"/>
  <c r="C232" i="32"/>
  <c r="B232" i="32"/>
  <c r="P231" i="32"/>
  <c r="O231" i="32"/>
  <c r="L231" i="32"/>
  <c r="P230" i="32"/>
  <c r="O230" i="32"/>
  <c r="L230" i="32"/>
  <c r="C230" i="32"/>
  <c r="B230" i="32"/>
  <c r="P229" i="32"/>
  <c r="O229" i="32"/>
  <c r="L229" i="32"/>
  <c r="P228" i="32"/>
  <c r="O228" i="32"/>
  <c r="L228" i="32"/>
  <c r="P227" i="32"/>
  <c r="O227" i="32"/>
  <c r="L227" i="32"/>
  <c r="C227" i="32"/>
  <c r="B227" i="32"/>
  <c r="P226" i="32"/>
  <c r="O226" i="32"/>
  <c r="L226" i="32"/>
  <c r="P225" i="32"/>
  <c r="O225" i="32"/>
  <c r="L225" i="32"/>
  <c r="A215" i="32"/>
  <c r="A190" i="32"/>
  <c r="A189" i="32"/>
  <c r="A176" i="32"/>
  <c r="A164" i="32"/>
  <c r="A153" i="32"/>
  <c r="A151" i="32"/>
  <c r="A188" i="32" s="1"/>
  <c r="A150" i="32"/>
  <c r="A149" i="32"/>
  <c r="A148" i="32"/>
  <c r="A147" i="32"/>
  <c r="A146" i="32"/>
  <c r="A163" i="32" s="1"/>
  <c r="A145" i="32"/>
  <c r="A144" i="32"/>
  <c r="A162" i="32" s="1"/>
  <c r="A143" i="32"/>
  <c r="A161" i="32" s="1"/>
  <c r="A173" i="32" s="1"/>
  <c r="A142" i="32"/>
  <c r="A160" i="32" s="1"/>
  <c r="A141" i="32"/>
  <c r="A140" i="32"/>
  <c r="A159" i="32" s="1"/>
  <c r="A139" i="32"/>
  <c r="A158" i="32" s="1"/>
  <c r="A138" i="32"/>
  <c r="A157" i="32" s="1"/>
  <c r="A137" i="32"/>
  <c r="A156" i="32" s="1"/>
  <c r="P133" i="32"/>
  <c r="O133" i="32"/>
  <c r="L133" i="32"/>
  <c r="C133" i="32"/>
  <c r="B133" i="32"/>
  <c r="P132" i="32"/>
  <c r="O132" i="32"/>
  <c r="L132" i="32"/>
  <c r="P131" i="32"/>
  <c r="O131" i="32"/>
  <c r="L131" i="32"/>
  <c r="C131" i="32"/>
  <c r="B131" i="32"/>
  <c r="P130" i="32"/>
  <c r="O130" i="32"/>
  <c r="L130" i="32"/>
  <c r="C130" i="32"/>
  <c r="B130" i="32"/>
  <c r="P129" i="32"/>
  <c r="O129" i="32"/>
  <c r="L129" i="32"/>
  <c r="C129" i="32"/>
  <c r="B129" i="32"/>
  <c r="P128" i="32"/>
  <c r="O128" i="32"/>
  <c r="L128" i="32"/>
  <c r="P126" i="32"/>
  <c r="O126" i="32"/>
  <c r="L126" i="32"/>
  <c r="P125" i="32"/>
  <c r="O125" i="32"/>
  <c r="L125" i="32"/>
  <c r="P124" i="32"/>
  <c r="O124" i="32"/>
  <c r="L124" i="32"/>
  <c r="C124" i="32"/>
  <c r="B124" i="32"/>
  <c r="P123" i="32"/>
  <c r="O123" i="32"/>
  <c r="L123" i="32"/>
  <c r="P122" i="32"/>
  <c r="O122" i="32"/>
  <c r="L122" i="32"/>
  <c r="C122" i="32"/>
  <c r="B122" i="32"/>
  <c r="P121" i="32"/>
  <c r="O121" i="32"/>
  <c r="L121" i="32"/>
  <c r="P120" i="32"/>
  <c r="O120" i="32"/>
  <c r="L120" i="32"/>
  <c r="P119" i="32"/>
  <c r="O119" i="32"/>
  <c r="L119" i="32"/>
  <c r="C119" i="32"/>
  <c r="B119" i="32"/>
  <c r="P118" i="32"/>
  <c r="O118" i="32"/>
  <c r="L118" i="32"/>
  <c r="P117" i="32"/>
  <c r="O117" i="32"/>
  <c r="L117" i="32"/>
  <c r="A107" i="32"/>
  <c r="A84" i="32"/>
  <c r="A83" i="32"/>
  <c r="A70" i="32"/>
  <c r="A58" i="32"/>
  <c r="A47" i="32"/>
  <c r="A45" i="32"/>
  <c r="A82" i="32" s="1"/>
  <c r="A44" i="32"/>
  <c r="A43" i="32"/>
  <c r="A42" i="32"/>
  <c r="A41" i="32"/>
  <c r="A40" i="32"/>
  <c r="A57" i="32" s="1"/>
  <c r="A39" i="32"/>
  <c r="A80" i="32"/>
  <c r="A37" i="32"/>
  <c r="A55" i="32" s="1"/>
  <c r="A36" i="32"/>
  <c r="A54" i="32" s="1"/>
  <c r="A35" i="32"/>
  <c r="A34" i="32"/>
  <c r="A53" i="32" s="1"/>
  <c r="A33" i="32"/>
  <c r="A52" i="32" s="1"/>
  <c r="A76" i="32" s="1"/>
  <c r="A32" i="32"/>
  <c r="A51" i="32" s="1"/>
  <c r="A31" i="32"/>
  <c r="A50" i="32" s="1"/>
  <c r="P27" i="32"/>
  <c r="O27" i="32"/>
  <c r="L27" i="32"/>
  <c r="C27" i="32"/>
  <c r="B27" i="32"/>
  <c r="P26" i="32"/>
  <c r="O26" i="32"/>
  <c r="L26" i="32"/>
  <c r="P25" i="32"/>
  <c r="O25" i="32"/>
  <c r="L25" i="32"/>
  <c r="C25" i="32"/>
  <c r="B25" i="32"/>
  <c r="P24" i="32"/>
  <c r="O24" i="32"/>
  <c r="L24" i="32"/>
  <c r="C24" i="32"/>
  <c r="B24" i="32"/>
  <c r="P23" i="32"/>
  <c r="O23" i="32"/>
  <c r="L23" i="32"/>
  <c r="C23" i="32"/>
  <c r="B23" i="32"/>
  <c r="P22" i="32"/>
  <c r="O22" i="32"/>
  <c r="L22" i="32"/>
  <c r="P20" i="32"/>
  <c r="O20" i="32"/>
  <c r="L20" i="32"/>
  <c r="P19" i="32"/>
  <c r="O19" i="32"/>
  <c r="L19" i="32"/>
  <c r="P18" i="32"/>
  <c r="O18" i="32"/>
  <c r="L18" i="32"/>
  <c r="C18" i="32"/>
  <c r="P17" i="32"/>
  <c r="O17" i="32"/>
  <c r="L17" i="32"/>
  <c r="P16" i="32"/>
  <c r="O16" i="32"/>
  <c r="L16" i="32"/>
  <c r="C16" i="32"/>
  <c r="B16" i="32"/>
  <c r="P15" i="32"/>
  <c r="O15" i="32"/>
  <c r="L15" i="32"/>
  <c r="P14" i="32"/>
  <c r="O14" i="32"/>
  <c r="L14" i="32"/>
  <c r="P13" i="32"/>
  <c r="O13" i="32"/>
  <c r="L13" i="32"/>
  <c r="C13" i="32"/>
  <c r="P12" i="32"/>
  <c r="O12" i="32"/>
  <c r="L12" i="32"/>
  <c r="P11" i="32"/>
  <c r="O11" i="32"/>
  <c r="L11" i="32"/>
  <c r="A1" i="32"/>
  <c r="AC158" i="2"/>
  <c r="AD159" i="2" s="1"/>
  <c r="AD155" i="2"/>
  <c r="AC155" i="2"/>
  <c r="Q176" i="2"/>
  <c r="P176" i="2"/>
  <c r="O176" i="2"/>
  <c r="M169" i="2"/>
  <c r="C226" i="32" s="1"/>
  <c r="L169" i="2"/>
  <c r="B335" i="32" s="1"/>
  <c r="B91" i="2"/>
  <c r="L115" i="2"/>
  <c r="A399" i="32" l="1"/>
  <c r="F42" i="29"/>
  <c r="J42" i="29" s="1"/>
  <c r="F43" i="29"/>
  <c r="F44" i="29"/>
  <c r="J44" i="29" s="1"/>
  <c r="F45" i="29"/>
  <c r="J45" i="29" s="1"/>
  <c r="F46" i="29"/>
  <c r="J46" i="29" s="1"/>
  <c r="AK126" i="32"/>
  <c r="V146" i="32" s="1"/>
  <c r="AD229" i="32"/>
  <c r="O249" i="32" s="1"/>
  <c r="A279" i="32"/>
  <c r="A280" i="32"/>
  <c r="AD160" i="2"/>
  <c r="M176" i="2" s="1"/>
  <c r="C21" i="32" s="1"/>
  <c r="AK232" i="32"/>
  <c r="AF233" i="32"/>
  <c r="Q253" i="32" s="1"/>
  <c r="U350" i="32"/>
  <c r="F370" i="32" s="1"/>
  <c r="S346" i="32"/>
  <c r="AG336" i="32"/>
  <c r="R356" i="32" s="1"/>
  <c r="AD348" i="32"/>
  <c r="X24" i="32"/>
  <c r="I44" i="32" s="1"/>
  <c r="AN347" i="32"/>
  <c r="U229" i="32"/>
  <c r="F249" i="32" s="1"/>
  <c r="AM25" i="32"/>
  <c r="AI27" i="32"/>
  <c r="AK129" i="32"/>
  <c r="V149" i="32" s="1"/>
  <c r="AB133" i="32"/>
  <c r="M153" i="32" s="1"/>
  <c r="Z133" i="32"/>
  <c r="K153" i="32" s="1"/>
  <c r="AB239" i="32"/>
  <c r="AF335" i="32"/>
  <c r="V229" i="32"/>
  <c r="G249" i="32" s="1"/>
  <c r="S231" i="32"/>
  <c r="D251" i="32" s="1"/>
  <c r="Z342" i="32"/>
  <c r="AE345" i="32"/>
  <c r="P365" i="32" s="1"/>
  <c r="AN121" i="32"/>
  <c r="Y141" i="32" s="1"/>
  <c r="V123" i="32"/>
  <c r="G143" i="32" s="1"/>
  <c r="AF125" i="32"/>
  <c r="Q145" i="32" s="1"/>
  <c r="AA130" i="32"/>
  <c r="T229" i="32"/>
  <c r="E249" i="32" s="1"/>
  <c r="AM337" i="32"/>
  <c r="AO20" i="32"/>
  <c r="Z40" i="32" s="1"/>
  <c r="V133" i="32"/>
  <c r="G153" i="32" s="1"/>
  <c r="AK334" i="32"/>
  <c r="V354" i="32" s="1"/>
  <c r="Z11" i="32"/>
  <c r="K31" i="32" s="1"/>
  <c r="W22" i="32"/>
  <c r="H42" i="32" s="1"/>
  <c r="AQ26" i="32"/>
  <c r="S119" i="32"/>
  <c r="D139" i="32" s="1"/>
  <c r="AB225" i="32"/>
  <c r="M245" i="32" s="1"/>
  <c r="AC120" i="32"/>
  <c r="AG122" i="32"/>
  <c r="R142" i="32" s="1"/>
  <c r="AA339" i="32"/>
  <c r="L359" i="32" s="1"/>
  <c r="AC343" i="32"/>
  <c r="N363" i="32" s="1"/>
  <c r="AF19" i="32"/>
  <c r="Q39" i="32" s="1"/>
  <c r="AC128" i="32"/>
  <c r="AN338" i="32"/>
  <c r="Y358" i="32" s="1"/>
  <c r="C344" i="32"/>
  <c r="AF11" i="32"/>
  <c r="Q31" i="32" s="1"/>
  <c r="AI18" i="32"/>
  <c r="T38" i="32" s="1"/>
  <c r="AI26" i="32"/>
  <c r="AB129" i="32"/>
  <c r="AR130" i="32"/>
  <c r="AC150" i="32" s="1"/>
  <c r="AB132" i="32"/>
  <c r="AA231" i="32"/>
  <c r="L251" i="32" s="1"/>
  <c r="AH126" i="32"/>
  <c r="S146" i="32" s="1"/>
  <c r="AL128" i="32"/>
  <c r="W148" i="32" s="1"/>
  <c r="AN228" i="32"/>
  <c r="AP233" i="32"/>
  <c r="AA253" i="32" s="1"/>
  <c r="AD334" i="32"/>
  <c r="O354" i="32" s="1"/>
  <c r="T337" i="32"/>
  <c r="AN339" i="32"/>
  <c r="AI341" i="32"/>
  <c r="AL343" i="32"/>
  <c r="W363" i="32" s="1"/>
  <c r="C118" i="32"/>
  <c r="S126" i="32"/>
  <c r="D146" i="32" s="1"/>
  <c r="AL225" i="32"/>
  <c r="W245" i="32" s="1"/>
  <c r="U233" i="32"/>
  <c r="R225" i="32"/>
  <c r="C245" i="32" s="1"/>
  <c r="AP236" i="32"/>
  <c r="AA256" i="32" s="1"/>
  <c r="AK339" i="32"/>
  <c r="AD349" i="32"/>
  <c r="AC159" i="2"/>
  <c r="AN11" i="32"/>
  <c r="Y31" i="32" s="1"/>
  <c r="AD117" i="32"/>
  <c r="O137" i="32" s="1"/>
  <c r="AD130" i="32"/>
  <c r="O150" i="32" s="1"/>
  <c r="Z236" i="32"/>
  <c r="K256" i="32" s="1"/>
  <c r="AO341" i="32"/>
  <c r="Z361" i="32" s="1"/>
  <c r="AO340" i="32"/>
  <c r="Z360" i="32" s="1"/>
  <c r="AB20" i="32"/>
  <c r="M40" i="32" s="1"/>
  <c r="AN24" i="32"/>
  <c r="Y44" i="32" s="1"/>
  <c r="AK118" i="32"/>
  <c r="AA125" i="32"/>
  <c r="L145" i="32" s="1"/>
  <c r="AL231" i="32"/>
  <c r="AO234" i="32"/>
  <c r="Z254" i="32" s="1"/>
  <c r="C335" i="32"/>
  <c r="AG117" i="32"/>
  <c r="R137" i="32" s="1"/>
  <c r="AK14" i="32"/>
  <c r="AN16" i="32"/>
  <c r="Y36" i="32" s="1"/>
  <c r="AA26" i="32"/>
  <c r="T117" i="32"/>
  <c r="E137" i="32" s="1"/>
  <c r="AB118" i="32"/>
  <c r="R119" i="32"/>
  <c r="C139" i="32" s="1"/>
  <c r="V120" i="32"/>
  <c r="AN225" i="32"/>
  <c r="AG225" i="32"/>
  <c r="R245" i="32" s="1"/>
  <c r="AO230" i="32"/>
  <c r="Z250" i="32" s="1"/>
  <c r="W236" i="32"/>
  <c r="H256" i="32" s="1"/>
  <c r="AP237" i="32"/>
  <c r="AA257" i="32" s="1"/>
  <c r="AL241" i="32"/>
  <c r="W261" i="32" s="1"/>
  <c r="AG337" i="32"/>
  <c r="AP345" i="32"/>
  <c r="AA365" i="32" s="1"/>
  <c r="T346" i="32"/>
  <c r="AQ347" i="32"/>
  <c r="AB367" i="32" s="1"/>
  <c r="W20" i="32"/>
  <c r="H40" i="32" s="1"/>
  <c r="AD26" i="32"/>
  <c r="U117" i="32"/>
  <c r="F137" i="32" s="1"/>
  <c r="U118" i="32"/>
  <c r="AD120" i="32"/>
  <c r="AM124" i="32"/>
  <c r="X144" i="32" s="1"/>
  <c r="AJ130" i="32"/>
  <c r="AQ133" i="32"/>
  <c r="AB153" i="32" s="1"/>
  <c r="AH225" i="32"/>
  <c r="S245" i="32" s="1"/>
  <c r="Y236" i="32"/>
  <c r="J256" i="32" s="1"/>
  <c r="AR337" i="32"/>
  <c r="Q345" i="32"/>
  <c r="B365" i="32" s="1"/>
  <c r="V346" i="32"/>
  <c r="G366" i="32" s="1"/>
  <c r="S347" i="32"/>
  <c r="D367" i="32" s="1"/>
  <c r="Y349" i="32"/>
  <c r="AF22" i="32"/>
  <c r="Q42" i="32" s="1"/>
  <c r="R22" i="32"/>
  <c r="C42" i="32" s="1"/>
  <c r="AP119" i="32"/>
  <c r="AA139" i="32" s="1"/>
  <c r="Z117" i="32"/>
  <c r="K137" i="32" s="1"/>
  <c r="Y119" i="32"/>
  <c r="J139" i="32" s="1"/>
  <c r="AO125" i="32"/>
  <c r="Z145" i="32" s="1"/>
  <c r="AO226" i="32"/>
  <c r="AJ346" i="32"/>
  <c r="U366" i="32" s="1"/>
  <c r="Y20" i="32"/>
  <c r="J40" i="32" s="1"/>
  <c r="V26" i="32"/>
  <c r="X11" i="32"/>
  <c r="I31" i="32" s="1"/>
  <c r="AA13" i="32"/>
  <c r="L33" i="32" s="1"/>
  <c r="AJ15" i="32"/>
  <c r="U35" i="32" s="1"/>
  <c r="AP17" i="32"/>
  <c r="AA37" i="32" s="1"/>
  <c r="U24" i="32"/>
  <c r="F44" i="32" s="1"/>
  <c r="AK117" i="32"/>
  <c r="V137" i="32" s="1"/>
  <c r="AG119" i="32"/>
  <c r="R139" i="32" s="1"/>
  <c r="R126" i="32"/>
  <c r="C146" i="32" s="1"/>
  <c r="S130" i="32"/>
  <c r="D150" i="32" s="1"/>
  <c r="T133" i="32"/>
  <c r="E153" i="32" s="1"/>
  <c r="Q225" i="32"/>
  <c r="B245" i="32" s="1"/>
  <c r="AB226" i="32"/>
  <c r="AJ231" i="32"/>
  <c r="U251" i="32" s="1"/>
  <c r="Z232" i="32"/>
  <c r="AN238" i="32"/>
  <c r="Y258" i="32" s="1"/>
  <c r="Z240" i="32"/>
  <c r="V336" i="32"/>
  <c r="G356" i="32" s="1"/>
  <c r="AE337" i="32"/>
  <c r="AN346" i="32"/>
  <c r="Y366" i="32" s="1"/>
  <c r="AH349" i="32"/>
  <c r="AO117" i="32"/>
  <c r="Z137" i="32" s="1"/>
  <c r="AO132" i="32"/>
  <c r="T335" i="32"/>
  <c r="AE336" i="32"/>
  <c r="P356" i="32" s="1"/>
  <c r="Q337" i="32"/>
  <c r="AJ338" i="32"/>
  <c r="U358" i="32" s="1"/>
  <c r="AO339" i="32"/>
  <c r="Z359" i="32" s="1"/>
  <c r="AC11" i="32"/>
  <c r="N31" i="32" s="1"/>
  <c r="AI13" i="32"/>
  <c r="T33" i="32" s="1"/>
  <c r="AG18" i="32"/>
  <c r="AG20" i="32"/>
  <c r="R40" i="32" s="1"/>
  <c r="AK23" i="32"/>
  <c r="V43" i="32" s="1"/>
  <c r="AF24" i="32"/>
  <c r="AP117" i="32"/>
  <c r="AA137" i="32" s="1"/>
  <c r="AO119" i="32"/>
  <c r="Z139" i="32" s="1"/>
  <c r="V125" i="32"/>
  <c r="G145" i="32" s="1"/>
  <c r="AI126" i="32"/>
  <c r="T146" i="32" s="1"/>
  <c r="V128" i="32"/>
  <c r="G148" i="32" s="1"/>
  <c r="AI130" i="32"/>
  <c r="T150" i="32" s="1"/>
  <c r="T225" i="32"/>
  <c r="E245" i="32" s="1"/>
  <c r="AH229" i="32"/>
  <c r="S249" i="32" s="1"/>
  <c r="AB231" i="32"/>
  <c r="M251" i="32" s="1"/>
  <c r="AQ232" i="32"/>
  <c r="AB252" i="32" s="1"/>
  <c r="AM236" i="32"/>
  <c r="X256" i="32" s="1"/>
  <c r="AJ238" i="32"/>
  <c r="U258" i="32" s="1"/>
  <c r="AI240" i="32"/>
  <c r="AD335" i="32"/>
  <c r="AF336" i="32"/>
  <c r="Q356" i="32" s="1"/>
  <c r="S337" i="32"/>
  <c r="AD340" i="32"/>
  <c r="O360" i="32" s="1"/>
  <c r="AR343" i="32"/>
  <c r="AC363" i="32" s="1"/>
  <c r="Y18" i="32"/>
  <c r="J38" i="32" s="1"/>
  <c r="AF225" i="32"/>
  <c r="AP229" i="32"/>
  <c r="Z231" i="32"/>
  <c r="K251" i="32" s="1"/>
  <c r="Q234" i="32"/>
  <c r="B254" i="32" s="1"/>
  <c r="R236" i="32"/>
  <c r="C256" i="32" s="1"/>
  <c r="U334" i="32"/>
  <c r="F354" i="32" s="1"/>
  <c r="AF337" i="32"/>
  <c r="AI343" i="32"/>
  <c r="T363" i="32" s="1"/>
  <c r="AH346" i="32"/>
  <c r="C12" i="32"/>
  <c r="B226" i="32"/>
  <c r="B12" i="32"/>
  <c r="B118" i="32"/>
  <c r="R17" i="32"/>
  <c r="C37" i="32" s="1"/>
  <c r="R19" i="32"/>
  <c r="C39" i="32" s="1"/>
  <c r="R121" i="32"/>
  <c r="C141" i="32" s="1"/>
  <c r="AQ228" i="32"/>
  <c r="AH11" i="32"/>
  <c r="S31" i="32" s="1"/>
  <c r="AE14" i="32"/>
  <c r="Q15" i="32"/>
  <c r="B35" i="32" s="1"/>
  <c r="S16" i="32"/>
  <c r="D36" i="32" s="1"/>
  <c r="T17" i="32"/>
  <c r="E37" i="32" s="1"/>
  <c r="Q18" i="32"/>
  <c r="B38" i="32" s="1"/>
  <c r="AO18" i="32"/>
  <c r="Z38" i="32" s="1"/>
  <c r="U19" i="32"/>
  <c r="F39" i="32" s="1"/>
  <c r="AE22" i="32"/>
  <c r="P42" i="32" s="1"/>
  <c r="U27" i="32"/>
  <c r="F47" i="32" s="1"/>
  <c r="AI117" i="32"/>
  <c r="AA117" i="32"/>
  <c r="L137" i="32" s="1"/>
  <c r="AQ117" i="32"/>
  <c r="AB137" i="32" s="1"/>
  <c r="AB119" i="32"/>
  <c r="M139" i="32" s="1"/>
  <c r="AI120" i="32"/>
  <c r="T121" i="32"/>
  <c r="E141" i="32" s="1"/>
  <c r="AJ121" i="32"/>
  <c r="U141" i="32" s="1"/>
  <c r="AC123" i="32"/>
  <c r="N143" i="32" s="1"/>
  <c r="U126" i="32"/>
  <c r="F146" i="32" s="1"/>
  <c r="AP126" i="32"/>
  <c r="AA146" i="32" s="1"/>
  <c r="AE133" i="32"/>
  <c r="P153" i="32" s="1"/>
  <c r="U225" i="32"/>
  <c r="F245" i="32" s="1"/>
  <c r="S228" i="32"/>
  <c r="AC230" i="32"/>
  <c r="AO232" i="32"/>
  <c r="Z252" i="32" s="1"/>
  <c r="AL233" i="32"/>
  <c r="W253" i="32" s="1"/>
  <c r="T234" i="32"/>
  <c r="E254" i="32" s="1"/>
  <c r="AI236" i="32"/>
  <c r="T256" i="32" s="1"/>
  <c r="V237" i="32"/>
  <c r="G257" i="32" s="1"/>
  <c r="U337" i="32"/>
  <c r="AN337" i="32"/>
  <c r="AL339" i="32"/>
  <c r="W359" i="32" s="1"/>
  <c r="AO343" i="32"/>
  <c r="Z363" i="32" s="1"/>
  <c r="S345" i="32"/>
  <c r="D365" i="32" s="1"/>
  <c r="AG345" i="32"/>
  <c r="R365" i="32" s="1"/>
  <c r="X346" i="32"/>
  <c r="I366" i="32" s="1"/>
  <c r="AQ346" i="32"/>
  <c r="AB366" i="32" s="1"/>
  <c r="T347" i="32"/>
  <c r="E367" i="32" s="1"/>
  <c r="AP347" i="32"/>
  <c r="AQ18" i="32"/>
  <c r="Z27" i="32"/>
  <c r="K47" i="32" s="1"/>
  <c r="AC117" i="32"/>
  <c r="N137" i="32" s="1"/>
  <c r="Q120" i="32"/>
  <c r="AN120" i="32"/>
  <c r="U121" i="32"/>
  <c r="F141" i="32" s="1"/>
  <c r="AK121" i="32"/>
  <c r="V141" i="32" s="1"/>
  <c r="V122" i="32"/>
  <c r="AP123" i="32"/>
  <c r="W126" i="32"/>
  <c r="H146" i="32" s="1"/>
  <c r="AQ126" i="32"/>
  <c r="AB146" i="32" s="1"/>
  <c r="V225" i="32"/>
  <c r="G245" i="32" s="1"/>
  <c r="AO225" i="32"/>
  <c r="Z245" i="32" s="1"/>
  <c r="Q226" i="32"/>
  <c r="W228" i="32"/>
  <c r="AF229" i="32"/>
  <c r="Q249" i="32" s="1"/>
  <c r="AI230" i="32"/>
  <c r="T250" i="32" s="1"/>
  <c r="AR232" i="32"/>
  <c r="AC252" i="32" s="1"/>
  <c r="U234" i="32"/>
  <c r="F254" i="32" s="1"/>
  <c r="X237" i="32"/>
  <c r="I257" i="32" s="1"/>
  <c r="S238" i="32"/>
  <c r="D258" i="32" s="1"/>
  <c r="Q240" i="32"/>
  <c r="W337" i="32"/>
  <c r="AO337" i="32"/>
  <c r="R338" i="32"/>
  <c r="C358" i="32" s="1"/>
  <c r="AE339" i="32"/>
  <c r="P359" i="32" s="1"/>
  <c r="T345" i="32"/>
  <c r="E365" i="32" s="1"/>
  <c r="AI345" i="32"/>
  <c r="AL346" i="32"/>
  <c r="W366" i="32" s="1"/>
  <c r="AA346" i="32"/>
  <c r="L366" i="32" s="1"/>
  <c r="AR346" i="32"/>
  <c r="W347" i="32"/>
  <c r="AR347" i="32"/>
  <c r="AR349" i="32"/>
  <c r="AK15" i="32"/>
  <c r="V35" i="32" s="1"/>
  <c r="AL18" i="32"/>
  <c r="W38" i="32" s="1"/>
  <c r="R27" i="32"/>
  <c r="C47" i="32" s="1"/>
  <c r="AG120" i="32"/>
  <c r="AH121" i="32"/>
  <c r="S141" i="32" s="1"/>
  <c r="X19" i="32"/>
  <c r="I39" i="32" s="1"/>
  <c r="AM22" i="32"/>
  <c r="X42" i="32" s="1"/>
  <c r="AN20" i="32"/>
  <c r="Y40" i="32" s="1"/>
  <c r="S120" i="32"/>
  <c r="W121" i="32"/>
  <c r="H141" i="32" s="1"/>
  <c r="X126" i="32"/>
  <c r="I146" i="32" s="1"/>
  <c r="AP225" i="32"/>
  <c r="AA245" i="32" s="1"/>
  <c r="V232" i="32"/>
  <c r="AA234" i="32"/>
  <c r="L254" i="32" s="1"/>
  <c r="AN237" i="32"/>
  <c r="AB337" i="32"/>
  <c r="AQ337" i="32"/>
  <c r="Z338" i="32"/>
  <c r="U345" i="32"/>
  <c r="F365" i="32" s="1"/>
  <c r="AJ345" i="32"/>
  <c r="U365" i="32" s="1"/>
  <c r="AD346" i="32"/>
  <c r="O366" i="32" s="1"/>
  <c r="Z347" i="32"/>
  <c r="K367" i="32" s="1"/>
  <c r="AF14" i="32"/>
  <c r="S18" i="32"/>
  <c r="D38" i="32" s="1"/>
  <c r="AL15" i="32"/>
  <c r="W35" i="32" s="1"/>
  <c r="AR17" i="32"/>
  <c r="AC37" i="32" s="1"/>
  <c r="AC27" i="32"/>
  <c r="N47" i="32" s="1"/>
  <c r="AM121" i="32"/>
  <c r="X141" i="32" s="1"/>
  <c r="T226" i="32"/>
  <c r="Y228" i="32"/>
  <c r="Q230" i="32"/>
  <c r="R11" i="32"/>
  <c r="C31" i="32" s="1"/>
  <c r="AH19" i="32"/>
  <c r="S39" i="32" s="1"/>
  <c r="Q20" i="32"/>
  <c r="B40" i="32" s="1"/>
  <c r="AP26" i="32"/>
  <c r="AH27" i="32"/>
  <c r="S47" i="32" s="1"/>
  <c r="Q117" i="32"/>
  <c r="B137" i="32" s="1"/>
  <c r="Z119" i="32"/>
  <c r="K139" i="32" s="1"/>
  <c r="U120" i="32"/>
  <c r="X121" i="32"/>
  <c r="I141" i="32" s="1"/>
  <c r="AR121" i="32"/>
  <c r="AC141" i="32" s="1"/>
  <c r="AC126" i="32"/>
  <c r="N146" i="32" s="1"/>
  <c r="AA132" i="32"/>
  <c r="AC225" i="32"/>
  <c r="N245" i="32" s="1"/>
  <c r="AR225" i="32"/>
  <c r="AC245" i="32" s="1"/>
  <c r="AA226" i="32"/>
  <c r="Z228" i="32"/>
  <c r="AL229" i="32"/>
  <c r="W249" i="32" s="1"/>
  <c r="Y230" i="32"/>
  <c r="J250" i="32" s="1"/>
  <c r="AD231" i="32"/>
  <c r="O251" i="32" s="1"/>
  <c r="AN231" i="32"/>
  <c r="Y251" i="32" s="1"/>
  <c r="W232" i="32"/>
  <c r="H252" i="32" s="1"/>
  <c r="AE234" i="32"/>
  <c r="P254" i="32" s="1"/>
  <c r="AC238" i="32"/>
  <c r="AH240" i="32"/>
  <c r="AJ337" i="32"/>
  <c r="AC337" i="32"/>
  <c r="AB338" i="32"/>
  <c r="M358" i="32" s="1"/>
  <c r="Y339" i="32"/>
  <c r="J359" i="32" s="1"/>
  <c r="V343" i="32"/>
  <c r="G363" i="32" s="1"/>
  <c r="W345" i="32"/>
  <c r="H365" i="32" s="1"/>
  <c r="AK345" i="32"/>
  <c r="V365" i="32" s="1"/>
  <c r="AF346" i="32"/>
  <c r="Q366" i="32" s="1"/>
  <c r="AB347" i="32"/>
  <c r="M367" i="32" s="1"/>
  <c r="AP18" i="32"/>
  <c r="AA38" i="32" s="1"/>
  <c r="AG23" i="32"/>
  <c r="R43" i="32" s="1"/>
  <c r="V18" i="32"/>
  <c r="G38" i="32" s="1"/>
  <c r="AC19" i="32"/>
  <c r="N39" i="32" s="1"/>
  <c r="AR20" i="32"/>
  <c r="AC40" i="32" s="1"/>
  <c r="AN117" i="32"/>
  <c r="Y137" i="32" s="1"/>
  <c r="X132" i="32"/>
  <c r="T238" i="32"/>
  <c r="E258" i="32" s="1"/>
  <c r="AA18" i="32"/>
  <c r="L38" i="32" s="1"/>
  <c r="AN19" i="32"/>
  <c r="Y39" i="32" s="1"/>
  <c r="T20" i="32"/>
  <c r="E40" i="32" s="1"/>
  <c r="AH22" i="32"/>
  <c r="S42" i="32" s="1"/>
  <c r="AD23" i="32"/>
  <c r="O43" i="32" s="1"/>
  <c r="AJ25" i="32"/>
  <c r="S26" i="32"/>
  <c r="AK27" i="32"/>
  <c r="V47" i="32" s="1"/>
  <c r="S117" i="32"/>
  <c r="D137" i="32" s="1"/>
  <c r="AJ117" i="32"/>
  <c r="U137" i="32" s="1"/>
  <c r="AM119" i="32"/>
  <c r="X139" i="32" s="1"/>
  <c r="Z121" i="32"/>
  <c r="K141" i="32" s="1"/>
  <c r="AK123" i="32"/>
  <c r="V143" i="32" s="1"/>
  <c r="AE126" i="32"/>
  <c r="P146" i="32" s="1"/>
  <c r="AK128" i="32"/>
  <c r="V148" i="32" s="1"/>
  <c r="AP129" i="32"/>
  <c r="AA149" i="32" s="1"/>
  <c r="AJ225" i="32"/>
  <c r="U245" i="32" s="1"/>
  <c r="AD225" i="32"/>
  <c r="O245" i="32" s="1"/>
  <c r="AE226" i="32"/>
  <c r="AH228" i="32"/>
  <c r="AJ229" i="32"/>
  <c r="AO229" i="32"/>
  <c r="Z249" i="32" s="1"/>
  <c r="AE230" i="32"/>
  <c r="P250" i="32" s="1"/>
  <c r="R231" i="32"/>
  <c r="C251" i="32" s="1"/>
  <c r="AR231" i="32"/>
  <c r="AC251" i="32" s="1"/>
  <c r="Y232" i="32"/>
  <c r="J252" i="32" s="1"/>
  <c r="AF234" i="32"/>
  <c r="Q254" i="32" s="1"/>
  <c r="Z339" i="32"/>
  <c r="K359" i="32" s="1"/>
  <c r="Y343" i="32"/>
  <c r="J363" i="32" s="1"/>
  <c r="Y345" i="32"/>
  <c r="J365" i="32" s="1"/>
  <c r="AO345" i="32"/>
  <c r="R346" i="32"/>
  <c r="C366" i="32" s="1"/>
  <c r="AI347" i="32"/>
  <c r="T367" i="32" s="1"/>
  <c r="AE347" i="32"/>
  <c r="P367" i="32" s="1"/>
  <c r="AR12" i="32"/>
  <c r="AB15" i="32"/>
  <c r="M35" i="32" s="1"/>
  <c r="AJ17" i="32"/>
  <c r="U37" i="32" s="1"/>
  <c r="AP19" i="32"/>
  <c r="AA39" i="32" s="1"/>
  <c r="AP27" i="32"/>
  <c r="AA47" i="32" s="1"/>
  <c r="AE121" i="32"/>
  <c r="P141" i="32" s="1"/>
  <c r="AI132" i="32"/>
  <c r="AI228" i="32"/>
  <c r="AF230" i="32"/>
  <c r="Q250" i="32" s="1"/>
  <c r="AG232" i="32"/>
  <c r="R252" i="32" s="1"/>
  <c r="AQ234" i="32"/>
  <c r="AB254" i="32" s="1"/>
  <c r="AB340" i="32"/>
  <c r="M360" i="32" s="1"/>
  <c r="S341" i="32"/>
  <c r="D361" i="32" s="1"/>
  <c r="AM345" i="32"/>
  <c r="X365" i="32" s="1"/>
  <c r="AB345" i="32"/>
  <c r="M365" i="32" s="1"/>
  <c r="AQ345" i="32"/>
  <c r="AB365" i="32" s="1"/>
  <c r="AI346" i="32"/>
  <c r="T366" i="32" s="1"/>
  <c r="AH347" i="32"/>
  <c r="S367" i="32" s="1"/>
  <c r="AJ347" i="32"/>
  <c r="Q349" i="32"/>
  <c r="AF121" i="32"/>
  <c r="AG228" i="32"/>
  <c r="AO228" i="32"/>
  <c r="AH232" i="32"/>
  <c r="S252" i="32" s="1"/>
  <c r="AC345" i="32"/>
  <c r="N365" i="32" s="1"/>
  <c r="AR345" i="32"/>
  <c r="AC365" i="32" s="1"/>
  <c r="AM347" i="32"/>
  <c r="AE12" i="32"/>
  <c r="AF13" i="32"/>
  <c r="Q33" i="32" s="1"/>
  <c r="AH14" i="32"/>
  <c r="V16" i="32"/>
  <c r="G36" i="32" s="1"/>
  <c r="AR16" i="32"/>
  <c r="AC36" i="32" s="1"/>
  <c r="AJ16" i="32"/>
  <c r="U36" i="32" s="1"/>
  <c r="AB16" i="32"/>
  <c r="M36" i="32" s="1"/>
  <c r="T16" i="32"/>
  <c r="E36" i="32" s="1"/>
  <c r="AP16" i="32"/>
  <c r="AA36" i="32" s="1"/>
  <c r="AH16" i="32"/>
  <c r="S36" i="32" s="1"/>
  <c r="Z16" i="32"/>
  <c r="K36" i="32" s="1"/>
  <c r="R16" i="32"/>
  <c r="C36" i="32" s="1"/>
  <c r="AG16" i="32"/>
  <c r="Q16" i="32"/>
  <c r="B36" i="32" s="1"/>
  <c r="AO16" i="32"/>
  <c r="Z36" i="32" s="1"/>
  <c r="Y16" i="32"/>
  <c r="J36" i="32" s="1"/>
  <c r="AM16" i="32"/>
  <c r="X36" i="32" s="1"/>
  <c r="AE16" i="32"/>
  <c r="P36" i="32" s="1"/>
  <c r="W16" i="32"/>
  <c r="H36" i="32" s="1"/>
  <c r="AL16" i="32"/>
  <c r="W36" i="32" s="1"/>
  <c r="AD16" i="32"/>
  <c r="O36" i="32" s="1"/>
  <c r="AK16" i="32"/>
  <c r="V36" i="32" s="1"/>
  <c r="AM17" i="32"/>
  <c r="X37" i="32" s="1"/>
  <c r="AD24" i="32"/>
  <c r="O44" i="32" s="1"/>
  <c r="O368" i="32" s="1"/>
  <c r="AR24" i="32"/>
  <c r="AC44" i="32" s="1"/>
  <c r="AJ24" i="32"/>
  <c r="U44" i="32" s="1"/>
  <c r="AB24" i="32"/>
  <c r="M44" i="32" s="1"/>
  <c r="M152" i="32" s="1"/>
  <c r="T24" i="32"/>
  <c r="E44" i="32" s="1"/>
  <c r="AI24" i="32"/>
  <c r="T44" i="32" s="1"/>
  <c r="S24" i="32"/>
  <c r="D44" i="32" s="1"/>
  <c r="AQ24" i="32"/>
  <c r="AB44" i="32" s="1"/>
  <c r="AA24" i="32"/>
  <c r="L44" i="32" s="1"/>
  <c r="AP24" i="32"/>
  <c r="AA44" i="32" s="1"/>
  <c r="AH24" i="32"/>
  <c r="S44" i="32" s="1"/>
  <c r="Z24" i="32"/>
  <c r="K44" i="32" s="1"/>
  <c r="R24" i="32"/>
  <c r="C44" i="32" s="1"/>
  <c r="AO24" i="32"/>
  <c r="Z44" i="32" s="1"/>
  <c r="Q24" i="32"/>
  <c r="B44" i="32" s="1"/>
  <c r="AG24" i="32"/>
  <c r="R44" i="32" s="1"/>
  <c r="Y24" i="32"/>
  <c r="J44" i="32" s="1"/>
  <c r="AM24" i="32"/>
  <c r="X44" i="32" s="1"/>
  <c r="AE24" i="32"/>
  <c r="P44" i="32" s="1"/>
  <c r="W24" i="32"/>
  <c r="H44" i="32" s="1"/>
  <c r="AL24" i="32"/>
  <c r="W44" i="32" s="1"/>
  <c r="V24" i="32"/>
  <c r="G44" i="32" s="1"/>
  <c r="AG12" i="32"/>
  <c r="AN12" i="32"/>
  <c r="AG13" i="32"/>
  <c r="R33" i="32" s="1"/>
  <c r="Q13" i="32"/>
  <c r="B33" i="32" s="1"/>
  <c r="AM13" i="32"/>
  <c r="X33" i="32" s="1"/>
  <c r="AE13" i="32"/>
  <c r="P33" i="32" s="1"/>
  <c r="W13" i="32"/>
  <c r="H33" i="32" s="1"/>
  <c r="AK13" i="32"/>
  <c r="V33" i="32" s="1"/>
  <c r="AC13" i="32"/>
  <c r="N33" i="32" s="1"/>
  <c r="U13" i="32"/>
  <c r="F33" i="32" s="1"/>
  <c r="AJ13" i="32"/>
  <c r="T13" i="32"/>
  <c r="E33" i="32" s="1"/>
  <c r="AR13" i="32"/>
  <c r="AC33" i="32" s="1"/>
  <c r="AB13" i="32"/>
  <c r="M33" i="32" s="1"/>
  <c r="AP13" i="32"/>
  <c r="AA33" i="32" s="1"/>
  <c r="AH13" i="32"/>
  <c r="S33" i="32" s="1"/>
  <c r="Z13" i="32"/>
  <c r="K33" i="32" s="1"/>
  <c r="R13" i="32"/>
  <c r="C33" i="32" s="1"/>
  <c r="AO13" i="32"/>
  <c r="Z33" i="32" s="1"/>
  <c r="Y13" i="32"/>
  <c r="J33" i="32" s="1"/>
  <c r="AL13" i="32"/>
  <c r="W33" i="32" s="1"/>
  <c r="R14" i="32"/>
  <c r="T15" i="32"/>
  <c r="E35" i="32" s="1"/>
  <c r="AO15" i="32"/>
  <c r="Z35" i="32" s="1"/>
  <c r="U16" i="32"/>
  <c r="F36" i="32" s="1"/>
  <c r="AQ16" i="32"/>
  <c r="AB36" i="32" s="1"/>
  <c r="W17" i="32"/>
  <c r="H37" i="32" s="1"/>
  <c r="AE23" i="32"/>
  <c r="P43" i="32" s="1"/>
  <c r="AR23" i="32"/>
  <c r="AC43" i="32" s="1"/>
  <c r="AB23" i="32"/>
  <c r="M43" i="32" s="1"/>
  <c r="AJ23" i="32"/>
  <c r="U43" i="32" s="1"/>
  <c r="T23" i="32"/>
  <c r="E43" i="32" s="1"/>
  <c r="AH23" i="32"/>
  <c r="S43" i="32" s="1"/>
  <c r="R23" i="32"/>
  <c r="C43" i="32" s="1"/>
  <c r="AP23" i="32"/>
  <c r="AA43" i="32" s="1"/>
  <c r="Z23" i="32"/>
  <c r="K43" i="32" s="1"/>
  <c r="AM23" i="32"/>
  <c r="X43" i="32" s="1"/>
  <c r="W23" i="32"/>
  <c r="H43" i="32" s="1"/>
  <c r="AL23" i="32"/>
  <c r="W43" i="32" s="1"/>
  <c r="AH25" i="32"/>
  <c r="R25" i="32"/>
  <c r="AP25" i="32"/>
  <c r="Z25" i="32"/>
  <c r="AR25" i="32"/>
  <c r="A63" i="32"/>
  <c r="A75" i="32"/>
  <c r="AJ12" i="32"/>
  <c r="AM14" i="32"/>
  <c r="AA11" i="32"/>
  <c r="L31" i="32" s="1"/>
  <c r="AO11" i="32"/>
  <c r="Z31" i="32" s="1"/>
  <c r="AG11" i="32"/>
  <c r="R31" i="32" s="1"/>
  <c r="Y11" i="32"/>
  <c r="J31" i="32" s="1"/>
  <c r="Q11" i="32"/>
  <c r="B31" i="32" s="1"/>
  <c r="AM11" i="32"/>
  <c r="X31" i="32" s="1"/>
  <c r="AE11" i="32"/>
  <c r="P31" i="32" s="1"/>
  <c r="W11" i="32"/>
  <c r="H31" i="32" s="1"/>
  <c r="AL11" i="32"/>
  <c r="W31" i="32" s="1"/>
  <c r="V11" i="32"/>
  <c r="G31" i="32" s="1"/>
  <c r="AD11" i="32"/>
  <c r="O31" i="32" s="1"/>
  <c r="AR11" i="32"/>
  <c r="AC31" i="32" s="1"/>
  <c r="AJ11" i="32"/>
  <c r="U31" i="32" s="1"/>
  <c r="AB11" i="32"/>
  <c r="M31" i="32" s="1"/>
  <c r="T11" i="32"/>
  <c r="E31" i="32" s="1"/>
  <c r="AQ11" i="32"/>
  <c r="AB31" i="32" s="1"/>
  <c r="AI11" i="32"/>
  <c r="T31" i="32" s="1"/>
  <c r="S11" i="32"/>
  <c r="D31" i="32" s="1"/>
  <c r="AK11" i="32"/>
  <c r="V31" i="32" s="1"/>
  <c r="Q12" i="32"/>
  <c r="AM12" i="32"/>
  <c r="S13" i="32"/>
  <c r="D33" i="32" s="1"/>
  <c r="AN13" i="32"/>
  <c r="Y33" i="32" s="1"/>
  <c r="U14" i="32"/>
  <c r="AP14" i="32"/>
  <c r="V15" i="32"/>
  <c r="G35" i="32" s="1"/>
  <c r="AR15" i="32"/>
  <c r="AC35" i="32" s="1"/>
  <c r="X16" i="32"/>
  <c r="I36" i="32" s="1"/>
  <c r="Z17" i="32"/>
  <c r="K37" i="32" s="1"/>
  <c r="Z19" i="32"/>
  <c r="K39" i="32" s="1"/>
  <c r="Z22" i="32"/>
  <c r="K42" i="32" s="1"/>
  <c r="AO23" i="32"/>
  <c r="Z43" i="32" s="1"/>
  <c r="AC24" i="32"/>
  <c r="N44" i="32" s="1"/>
  <c r="AK25" i="32"/>
  <c r="A74" i="32"/>
  <c r="A62" i="32"/>
  <c r="A78" i="32"/>
  <c r="A66" i="32"/>
  <c r="A67" i="32"/>
  <c r="A79" i="32"/>
  <c r="AO12" i="32"/>
  <c r="AQ13" i="32"/>
  <c r="AB33" i="32" s="1"/>
  <c r="AA16" i="32"/>
  <c r="T25" i="32"/>
  <c r="A81" i="32"/>
  <c r="A69" i="32"/>
  <c r="AM131" i="32"/>
  <c r="AE131" i="32"/>
  <c r="AQ131" i="32"/>
  <c r="AI131" i="32"/>
  <c r="AP131" i="32"/>
  <c r="AF131" i="32"/>
  <c r="W131" i="32"/>
  <c r="AL131" i="32"/>
  <c r="AB131" i="32"/>
  <c r="T131" i="32"/>
  <c r="AH131" i="32"/>
  <c r="Y131" i="32"/>
  <c r="Q131" i="32"/>
  <c r="AR131" i="32"/>
  <c r="AA131" i="32"/>
  <c r="AO131" i="32"/>
  <c r="Z131" i="32"/>
  <c r="AC131" i="32"/>
  <c r="X131" i="32"/>
  <c r="AJ131" i="32"/>
  <c r="R131" i="32"/>
  <c r="AG131" i="32"/>
  <c r="AD131" i="32"/>
  <c r="V131" i="32"/>
  <c r="U131" i="32"/>
  <c r="S131" i="32"/>
  <c r="AN131" i="32"/>
  <c r="AK131" i="32"/>
  <c r="T12" i="32"/>
  <c r="V13" i="32"/>
  <c r="G33" i="32" s="1"/>
  <c r="W14" i="32"/>
  <c r="Y15" i="32"/>
  <c r="J35" i="32" s="1"/>
  <c r="AB17" i="32"/>
  <c r="M37" i="32" s="1"/>
  <c r="U11" i="32"/>
  <c r="F31" i="32" s="1"/>
  <c r="AP11" i="32"/>
  <c r="AA31" i="32" s="1"/>
  <c r="W12" i="32"/>
  <c r="X13" i="32"/>
  <c r="I33" i="32" s="1"/>
  <c r="Z14" i="32"/>
  <c r="AC16" i="32"/>
  <c r="N36" i="32" s="1"/>
  <c r="AE17" i="32"/>
  <c r="P37" i="32" s="1"/>
  <c r="AR18" i="32"/>
  <c r="AC38" i="32" s="1"/>
  <c r="AB18" i="32"/>
  <c r="M38" i="32" s="1"/>
  <c r="AH18" i="32"/>
  <c r="S38" i="32" s="1"/>
  <c r="Z18" i="32"/>
  <c r="K38" i="32" s="1"/>
  <c r="R18" i="32"/>
  <c r="C38" i="32" s="1"/>
  <c r="AM18" i="32"/>
  <c r="X38" i="32" s="1"/>
  <c r="W18" i="32"/>
  <c r="H38" i="32" s="1"/>
  <c r="AE18" i="32"/>
  <c r="P38" i="32" s="1"/>
  <c r="AK18" i="32"/>
  <c r="V38" i="32" s="1"/>
  <c r="AC18" i="32"/>
  <c r="N38" i="32" s="1"/>
  <c r="U18" i="32"/>
  <c r="F38" i="32" s="1"/>
  <c r="AJ18" i="32"/>
  <c r="U38" i="32" s="1"/>
  <c r="T18" i="32"/>
  <c r="AD18" i="32"/>
  <c r="O38" i="32" s="1"/>
  <c r="AH20" i="32"/>
  <c r="S40" i="32" s="1"/>
  <c r="R20" i="32"/>
  <c r="C40" i="32" s="1"/>
  <c r="AE20" i="32"/>
  <c r="P40" i="32" s="1"/>
  <c r="AM20" i="32"/>
  <c r="X40" i="32" s="1"/>
  <c r="AK20" i="32"/>
  <c r="V40" i="32" s="1"/>
  <c r="U20" i="32"/>
  <c r="F40" i="32" s="1"/>
  <c r="AC20" i="32"/>
  <c r="N40" i="32" s="1"/>
  <c r="S20" i="32"/>
  <c r="D40" i="32" s="1"/>
  <c r="AP20" i="32"/>
  <c r="AA40" i="32" s="1"/>
  <c r="Z20" i="32"/>
  <c r="K40" i="32" s="1"/>
  <c r="AJ20" i="32"/>
  <c r="U40" i="32" s="1"/>
  <c r="Q23" i="32"/>
  <c r="B43" i="32" s="1"/>
  <c r="Q44" i="32"/>
  <c r="AK24" i="32"/>
  <c r="V44" i="32" s="1"/>
  <c r="W25" i="32"/>
  <c r="AJ26" i="32"/>
  <c r="T26" i="32"/>
  <c r="AG26" i="32"/>
  <c r="Q26" i="32"/>
  <c r="AO26" i="32"/>
  <c r="Y26" i="32"/>
  <c r="AM26" i="32"/>
  <c r="W26" i="32"/>
  <c r="AE26" i="32"/>
  <c r="U26" i="32"/>
  <c r="AR26" i="32"/>
  <c r="AB26" i="32"/>
  <c r="AL26" i="32"/>
  <c r="AJ124" i="32"/>
  <c r="U144" i="32" s="1"/>
  <c r="W124" i="32"/>
  <c r="H144" i="32" s="1"/>
  <c r="AH124" i="32"/>
  <c r="S144" i="32" s="1"/>
  <c r="U124" i="32"/>
  <c r="F144" i="32" s="1"/>
  <c r="AR124" i="32"/>
  <c r="AC144" i="32" s="1"/>
  <c r="AB124" i="32"/>
  <c r="AP124" i="32"/>
  <c r="AA144" i="32" s="1"/>
  <c r="Z124" i="32"/>
  <c r="AG124" i="32"/>
  <c r="R144" i="32" s="1"/>
  <c r="Q124" i="32"/>
  <c r="B144" i="32" s="1"/>
  <c r="AE124" i="32"/>
  <c r="P144" i="32" s="1"/>
  <c r="AC124" i="32"/>
  <c r="N144" i="32" s="1"/>
  <c r="Y124" i="32"/>
  <c r="T124" i="32"/>
  <c r="R124" i="32"/>
  <c r="C144" i="32" s="1"/>
  <c r="AO124" i="32"/>
  <c r="Z144" i="32" s="1"/>
  <c r="AK124" i="32"/>
  <c r="V144" i="32" s="1"/>
  <c r="AH12" i="32"/>
  <c r="R12" i="32"/>
  <c r="AK12" i="32"/>
  <c r="U12" i="32"/>
  <c r="AC12" i="32"/>
  <c r="AP12" i="32"/>
  <c r="Z12" i="32"/>
  <c r="Y12" i="32"/>
  <c r="AC14" i="32"/>
  <c r="AM15" i="32"/>
  <c r="X35" i="32" s="1"/>
  <c r="W15" i="32"/>
  <c r="H35" i="32" s="1"/>
  <c r="AC15" i="32"/>
  <c r="N35" i="32" s="1"/>
  <c r="U15" i="32"/>
  <c r="F35" i="32" s="1"/>
  <c r="AH15" i="32"/>
  <c r="S35" i="32" s="1"/>
  <c r="R15" i="32"/>
  <c r="C35" i="32" s="1"/>
  <c r="AP15" i="32"/>
  <c r="AA35" i="32" s="1"/>
  <c r="Z15" i="32"/>
  <c r="K35" i="32" s="1"/>
  <c r="AE15" i="32"/>
  <c r="P35" i="32" s="1"/>
  <c r="AD15" i="32"/>
  <c r="O35" i="32" s="1"/>
  <c r="AF16" i="32"/>
  <c r="Q36" i="32" s="1"/>
  <c r="AH17" i="32"/>
  <c r="S37" i="32" s="1"/>
  <c r="V23" i="32"/>
  <c r="G43" i="32" s="1"/>
  <c r="AB25" i="32"/>
  <c r="AB12" i="32"/>
  <c r="AD13" i="32"/>
  <c r="O33" i="32" s="1"/>
  <c r="AG15" i="32"/>
  <c r="R35" i="32" s="1"/>
  <c r="AI16" i="32"/>
  <c r="T36" i="32" s="1"/>
  <c r="AC17" i="32"/>
  <c r="N37" i="32" s="1"/>
  <c r="AA19" i="32"/>
  <c r="L39" i="32" s="1"/>
  <c r="AO19" i="32"/>
  <c r="Z39" i="32" s="1"/>
  <c r="AG19" i="32"/>
  <c r="R39" i="32" s="1"/>
  <c r="Y19" i="32"/>
  <c r="J39" i="32" s="1"/>
  <c r="Q19" i="32"/>
  <c r="B39" i="32" s="1"/>
  <c r="AM19" i="32"/>
  <c r="X39" i="32" s="1"/>
  <c r="AE19" i="32"/>
  <c r="P39" i="32" s="1"/>
  <c r="W19" i="32"/>
  <c r="H39" i="32" s="1"/>
  <c r="AL19" i="32"/>
  <c r="W39" i="32" s="1"/>
  <c r="V19" i="32"/>
  <c r="G39" i="32" s="1"/>
  <c r="AD19" i="32"/>
  <c r="O39" i="32" s="1"/>
  <c r="AR19" i="32"/>
  <c r="AC39" i="32" s="1"/>
  <c r="AJ19" i="32"/>
  <c r="U39" i="32" s="1"/>
  <c r="AB19" i="32"/>
  <c r="M39" i="32" s="1"/>
  <c r="T19" i="32"/>
  <c r="E39" i="32" s="1"/>
  <c r="AQ19" i="32"/>
  <c r="AB39" i="32" s="1"/>
  <c r="AI19" i="32"/>
  <c r="T39" i="32" s="1"/>
  <c r="S19" i="32"/>
  <c r="D39" i="32" s="1"/>
  <c r="AK19" i="32"/>
  <c r="V39" i="32" s="1"/>
  <c r="AC22" i="32"/>
  <c r="N42" i="32" s="1"/>
  <c r="AK22" i="32"/>
  <c r="V42" i="32" s="1"/>
  <c r="U22" i="32"/>
  <c r="F42" i="32" s="1"/>
  <c r="AP22" i="32"/>
  <c r="AA42" i="32" s="1"/>
  <c r="Y23" i="32"/>
  <c r="J43" i="32" s="1"/>
  <c r="AE25" i="32"/>
  <c r="X14" i="32"/>
  <c r="AN14" i="32"/>
  <c r="U17" i="32"/>
  <c r="F37" i="32" s="1"/>
  <c r="AK17" i="32"/>
  <c r="V37" i="32" s="1"/>
  <c r="X22" i="32"/>
  <c r="I42" i="32" s="1"/>
  <c r="AN22" i="32"/>
  <c r="Y42" i="32" s="1"/>
  <c r="U25" i="32"/>
  <c r="AA27" i="32"/>
  <c r="L47" i="32" s="1"/>
  <c r="AQ27" i="32"/>
  <c r="AB47" i="32" s="1"/>
  <c r="U33" i="32"/>
  <c r="AB38" i="32"/>
  <c r="T137" i="32"/>
  <c r="AH118" i="32"/>
  <c r="AM122" i="32"/>
  <c r="X142" i="32" s="1"/>
  <c r="Z123" i="32"/>
  <c r="K143" i="32" s="1"/>
  <c r="AK125" i="32"/>
  <c r="V145" i="32" s="1"/>
  <c r="AC125" i="32"/>
  <c r="N145" i="32" s="1"/>
  <c r="U125" i="32"/>
  <c r="F145" i="32" s="1"/>
  <c r="AP125" i="32"/>
  <c r="AA145" i="32" s="1"/>
  <c r="AH125" i="32"/>
  <c r="S145" i="32" s="1"/>
  <c r="Z125" i="32"/>
  <c r="K145" i="32" s="1"/>
  <c r="R125" i="32"/>
  <c r="C145" i="32" s="1"/>
  <c r="AM125" i="32"/>
  <c r="X145" i="32" s="1"/>
  <c r="AE125" i="32"/>
  <c r="P145" i="32" s="1"/>
  <c r="W125" i="32"/>
  <c r="H145" i="32" s="1"/>
  <c r="AL125" i="32"/>
  <c r="W145" i="32" s="1"/>
  <c r="Y125" i="32"/>
  <c r="J145" i="32" s="1"/>
  <c r="AJ125" i="32"/>
  <c r="U145" i="32" s="1"/>
  <c r="X125" i="32"/>
  <c r="I145" i="32" s="1"/>
  <c r="AN125" i="32"/>
  <c r="Y145" i="32" s="1"/>
  <c r="T125" i="32"/>
  <c r="E145" i="32" s="1"/>
  <c r="AI125" i="32"/>
  <c r="T145" i="32" s="1"/>
  <c r="S125" i="32"/>
  <c r="D145" i="32" s="1"/>
  <c r="AR125" i="32"/>
  <c r="AC145" i="32" s="1"/>
  <c r="AB125" i="32"/>
  <c r="M145" i="32" s="1"/>
  <c r="AQ125" i="32"/>
  <c r="AB145" i="32" s="1"/>
  <c r="S12" i="32"/>
  <c r="AA12" i="32"/>
  <c r="AI12" i="32"/>
  <c r="AQ12" i="32"/>
  <c r="Q14" i="32"/>
  <c r="Y14" i="32"/>
  <c r="AG14" i="32"/>
  <c r="AO14" i="32"/>
  <c r="X15" i="32"/>
  <c r="I35" i="32" s="1"/>
  <c r="AF15" i="32"/>
  <c r="Q35" i="32" s="1"/>
  <c r="AN15" i="32"/>
  <c r="Y35" i="32" s="1"/>
  <c r="V17" i="32"/>
  <c r="G37" i="32" s="1"/>
  <c r="AD17" i="32"/>
  <c r="O37" i="32" s="1"/>
  <c r="AL17" i="32"/>
  <c r="W37" i="32" s="1"/>
  <c r="AA20" i="32"/>
  <c r="L40" i="32" s="1"/>
  <c r="AI20" i="32"/>
  <c r="T40" i="32" s="1"/>
  <c r="AQ20" i="32"/>
  <c r="AB40" i="32" s="1"/>
  <c r="Q22" i="32"/>
  <c r="B42" i="32" s="1"/>
  <c r="Y22" i="32"/>
  <c r="J42" i="32" s="1"/>
  <c r="AG22" i="32"/>
  <c r="R42" i="32" s="1"/>
  <c r="AO22" i="32"/>
  <c r="Z42" i="32" s="1"/>
  <c r="X23" i="32"/>
  <c r="I43" i="32" s="1"/>
  <c r="AF23" i="32"/>
  <c r="Q43" i="32" s="1"/>
  <c r="AN23" i="32"/>
  <c r="Y43" i="32" s="1"/>
  <c r="V25" i="32"/>
  <c r="AD25" i="32"/>
  <c r="AL25" i="32"/>
  <c r="AC26" i="32"/>
  <c r="AK26" i="32"/>
  <c r="T47" i="32"/>
  <c r="T27" i="32"/>
  <c r="E47" i="32" s="1"/>
  <c r="AB27" i="32"/>
  <c r="M47" i="32" s="1"/>
  <c r="AJ27" i="32"/>
  <c r="U47" i="32" s="1"/>
  <c r="AR27" i="32"/>
  <c r="AC47" i="32" s="1"/>
  <c r="A77" i="32"/>
  <c r="A65" i="32"/>
  <c r="E38" i="32"/>
  <c r="R118" i="32"/>
  <c r="AJ118" i="32"/>
  <c r="AL119" i="32"/>
  <c r="W139" i="32" s="1"/>
  <c r="AA123" i="32"/>
  <c r="L143" i="32" s="1"/>
  <c r="Q125" i="32"/>
  <c r="B145" i="32" s="1"/>
  <c r="Z129" i="32"/>
  <c r="K149" i="32" s="1"/>
  <c r="AA14" i="32"/>
  <c r="AQ14" i="32"/>
  <c r="X17" i="32"/>
  <c r="I37" i="32" s="1"/>
  <c r="AF17" i="32"/>
  <c r="Q37" i="32" s="1"/>
  <c r="AA22" i="32"/>
  <c r="L42" i="32" s="1"/>
  <c r="AQ22" i="32"/>
  <c r="AB42" i="32" s="1"/>
  <c r="AF25" i="32"/>
  <c r="AD27" i="32"/>
  <c r="O47" i="32" s="1"/>
  <c r="X118" i="32"/>
  <c r="AN118" i="32"/>
  <c r="W122" i="32"/>
  <c r="H142" i="32" s="1"/>
  <c r="AG130" i="32"/>
  <c r="R150" i="32" s="1"/>
  <c r="Q130" i="32"/>
  <c r="B150" i="32" s="1"/>
  <c r="AE130" i="32"/>
  <c r="P150" i="32" s="1"/>
  <c r="AO130" i="32"/>
  <c r="Z150" i="32" s="1"/>
  <c r="V130" i="32"/>
  <c r="G150" i="32" s="1"/>
  <c r="P268" i="32"/>
  <c r="S14" i="32"/>
  <c r="AI14" i="32"/>
  <c r="AN17" i="32"/>
  <c r="Y37" i="32" s="1"/>
  <c r="S22" i="32"/>
  <c r="D42" i="32" s="1"/>
  <c r="AI22" i="32"/>
  <c r="T42" i="32" s="1"/>
  <c r="X25" i="32"/>
  <c r="AN25" i="32"/>
  <c r="V27" i="32"/>
  <c r="G47" i="32" s="1"/>
  <c r="AL27" i="32"/>
  <c r="W47" i="32" s="1"/>
  <c r="Q141" i="32"/>
  <c r="AD123" i="32"/>
  <c r="O143" i="32" s="1"/>
  <c r="AN123" i="32"/>
  <c r="Y143" i="32" s="1"/>
  <c r="X123" i="32"/>
  <c r="I143" i="32" s="1"/>
  <c r="AL124" i="32"/>
  <c r="W144" i="32" s="1"/>
  <c r="AP128" i="32"/>
  <c r="AA148" i="32" s="1"/>
  <c r="AH128" i="32"/>
  <c r="S148" i="32" s="1"/>
  <c r="Z128" i="32"/>
  <c r="K148" i="32" s="1"/>
  <c r="R128" i="32"/>
  <c r="C148" i="32" s="1"/>
  <c r="AM128" i="32"/>
  <c r="X148" i="32" s="1"/>
  <c r="AE128" i="32"/>
  <c r="P148" i="32" s="1"/>
  <c r="W128" i="32"/>
  <c r="H148" i="32" s="1"/>
  <c r="AR128" i="32"/>
  <c r="AC148" i="32" s="1"/>
  <c r="AJ128" i="32"/>
  <c r="U148" i="32" s="1"/>
  <c r="AB128" i="32"/>
  <c r="M148" i="32" s="1"/>
  <c r="T128" i="32"/>
  <c r="E148" i="32" s="1"/>
  <c r="AF128" i="32"/>
  <c r="Q148" i="32" s="1"/>
  <c r="S128" i="32"/>
  <c r="D148" i="32" s="1"/>
  <c r="AQ128" i="32"/>
  <c r="AB148" i="32" s="1"/>
  <c r="AD128" i="32"/>
  <c r="O148" i="32" s="1"/>
  <c r="Q128" i="32"/>
  <c r="B148" i="32" s="1"/>
  <c r="AO128" i="32"/>
  <c r="Z148" i="32" s="1"/>
  <c r="Y128" i="32"/>
  <c r="J148" i="32" s="1"/>
  <c r="AN128" i="32"/>
  <c r="Y148" i="32" s="1"/>
  <c r="X128" i="32"/>
  <c r="I148" i="32" s="1"/>
  <c r="AG128" i="32"/>
  <c r="R148" i="32" s="1"/>
  <c r="AE129" i="32"/>
  <c r="P149" i="32" s="1"/>
  <c r="AM130" i="32"/>
  <c r="X150" i="32" s="1"/>
  <c r="V12" i="32"/>
  <c r="AD12" i="32"/>
  <c r="AL12" i="32"/>
  <c r="T14" i="32"/>
  <c r="AB14" i="32"/>
  <c r="AJ14" i="32"/>
  <c r="AR14" i="32"/>
  <c r="S15" i="32"/>
  <c r="D35" i="32" s="1"/>
  <c r="AA15" i="32"/>
  <c r="L35" i="32" s="1"/>
  <c r="AI15" i="32"/>
  <c r="T35" i="32" s="1"/>
  <c r="AQ15" i="32"/>
  <c r="AB35" i="32" s="1"/>
  <c r="Q17" i="32"/>
  <c r="B37" i="32" s="1"/>
  <c r="Y17" i="32"/>
  <c r="J37" i="32" s="1"/>
  <c r="AG17" i="32"/>
  <c r="R37" i="32" s="1"/>
  <c r="AO17" i="32"/>
  <c r="Z37" i="32" s="1"/>
  <c r="X18" i="32"/>
  <c r="I38" i="32" s="1"/>
  <c r="AF18" i="32"/>
  <c r="Q38" i="32" s="1"/>
  <c r="AN18" i="32"/>
  <c r="Y38" i="32" s="1"/>
  <c r="V20" i="32"/>
  <c r="G40" i="32" s="1"/>
  <c r="AD20" i="32"/>
  <c r="O40" i="32" s="1"/>
  <c r="AL20" i="32"/>
  <c r="W40" i="32" s="1"/>
  <c r="T22" i="32"/>
  <c r="E42" i="32" s="1"/>
  <c r="AB22" i="32"/>
  <c r="M42" i="32" s="1"/>
  <c r="AJ22" i="32"/>
  <c r="U42" i="32" s="1"/>
  <c r="AR22" i="32"/>
  <c r="AC42" i="32" s="1"/>
  <c r="S23" i="32"/>
  <c r="D43" i="32" s="1"/>
  <c r="AA23" i="32"/>
  <c r="L43" i="32" s="1"/>
  <c r="AI23" i="32"/>
  <c r="T43" i="32" s="1"/>
  <c r="AQ23" i="32"/>
  <c r="AB43" i="32" s="1"/>
  <c r="Q25" i="32"/>
  <c r="Y25" i="32"/>
  <c r="AG25" i="32"/>
  <c r="AO25" i="32"/>
  <c r="X26" i="32"/>
  <c r="AF26" i="32"/>
  <c r="AN26" i="32"/>
  <c r="W27" i="32"/>
  <c r="H47" i="32" s="1"/>
  <c r="AE27" i="32"/>
  <c r="P47" i="32" s="1"/>
  <c r="AM27" i="32"/>
  <c r="X47" i="32" s="1"/>
  <c r="R36" i="32"/>
  <c r="A64" i="32"/>
  <c r="Z118" i="32"/>
  <c r="AQ118" i="32"/>
  <c r="AR119" i="32"/>
  <c r="AC139" i="32" s="1"/>
  <c r="AA122" i="32"/>
  <c r="L142" i="32" s="1"/>
  <c r="AL123" i="32"/>
  <c r="AD125" i="32"/>
  <c r="O145" i="32" s="1"/>
  <c r="U128" i="32"/>
  <c r="F148" i="32" s="1"/>
  <c r="AF129" i="32"/>
  <c r="Q149" i="32" s="1"/>
  <c r="AQ130" i="32"/>
  <c r="AB150" i="32" s="1"/>
  <c r="X27" i="32"/>
  <c r="I47" i="32" s="1"/>
  <c r="AN27" i="32"/>
  <c r="Y47" i="32" s="1"/>
  <c r="A184" i="32"/>
  <c r="A172" i="32"/>
  <c r="AF27" i="32"/>
  <c r="Q47" i="32" s="1"/>
  <c r="AA118" i="32"/>
  <c r="AR118" i="32"/>
  <c r="AB122" i="32"/>
  <c r="M142" i="32" s="1"/>
  <c r="X12" i="32"/>
  <c r="AF12" i="32"/>
  <c r="V14" i="32"/>
  <c r="AD14" i="32"/>
  <c r="AL14" i="32"/>
  <c r="S17" i="32"/>
  <c r="D37" i="32" s="1"/>
  <c r="AA17" i="32"/>
  <c r="L37" i="32" s="1"/>
  <c r="AI17" i="32"/>
  <c r="T37" i="32" s="1"/>
  <c r="AQ17" i="32"/>
  <c r="AB37" i="32" s="1"/>
  <c r="X20" i="32"/>
  <c r="I40" i="32" s="1"/>
  <c r="AF20" i="32"/>
  <c r="Q40" i="32" s="1"/>
  <c r="V22" i="32"/>
  <c r="G42" i="32" s="1"/>
  <c r="AD22" i="32"/>
  <c r="O42" i="32" s="1"/>
  <c r="AL22" i="32"/>
  <c r="W42" i="32" s="1"/>
  <c r="U23" i="32"/>
  <c r="F43" i="32" s="1"/>
  <c r="AC23" i="32"/>
  <c r="N43" i="32" s="1"/>
  <c r="S25" i="32"/>
  <c r="AA25" i="32"/>
  <c r="AI25" i="32"/>
  <c r="AQ25" i="32"/>
  <c r="R26" i="32"/>
  <c r="Z26" i="32"/>
  <c r="AH26" i="32"/>
  <c r="S46" i="32" s="1"/>
  <c r="Q27" i="32"/>
  <c r="B47" i="32" s="1"/>
  <c r="Y27" i="32"/>
  <c r="J47" i="32" s="1"/>
  <c r="AG27" i="32"/>
  <c r="R47" i="32" s="1"/>
  <c r="AO27" i="32"/>
  <c r="Z47" i="32" s="1"/>
  <c r="L36" i="32"/>
  <c r="R38" i="32"/>
  <c r="A68" i="32"/>
  <c r="R123" i="32"/>
  <c r="C143" i="32" s="1"/>
  <c r="AQ123" i="32"/>
  <c r="AB143" i="32" s="1"/>
  <c r="AG125" i="32"/>
  <c r="R145" i="32" s="1"/>
  <c r="AA128" i="32"/>
  <c r="L148" i="32" s="1"/>
  <c r="T130" i="32"/>
  <c r="E150" i="32" s="1"/>
  <c r="AL132" i="32"/>
  <c r="AD132" i="32"/>
  <c r="V132" i="32"/>
  <c r="AP132" i="32"/>
  <c r="AH132" i="32"/>
  <c r="S152" i="32" s="1"/>
  <c r="Z132" i="32"/>
  <c r="R132" i="32"/>
  <c r="AN132" i="32"/>
  <c r="AC132" i="32"/>
  <c r="S132" i="32"/>
  <c r="AJ132" i="32"/>
  <c r="Y132" i="32"/>
  <c r="AQ132" i="32"/>
  <c r="AF132" i="32"/>
  <c r="U132" i="32"/>
  <c r="AM132" i="32"/>
  <c r="W132" i="32"/>
  <c r="AK132" i="32"/>
  <c r="T132" i="32"/>
  <c r="AG132" i="32"/>
  <c r="AE132" i="32"/>
  <c r="AR132" i="32"/>
  <c r="Q132" i="32"/>
  <c r="AR133" i="32"/>
  <c r="AC153" i="32" s="1"/>
  <c r="AH133" i="32"/>
  <c r="S153" i="32" s="1"/>
  <c r="W133" i="32"/>
  <c r="H153" i="32" s="1"/>
  <c r="AN133" i="32"/>
  <c r="Y153" i="32" s="1"/>
  <c r="AD133" i="32"/>
  <c r="O153" i="32" s="1"/>
  <c r="S133" i="32"/>
  <c r="D153" i="32" s="1"/>
  <c r="AI133" i="32"/>
  <c r="T153" i="32" s="1"/>
  <c r="R133" i="32"/>
  <c r="C153" i="32" s="1"/>
  <c r="AF133" i="32"/>
  <c r="Q153" i="32" s="1"/>
  <c r="AM133" i="32"/>
  <c r="X153" i="32" s="1"/>
  <c r="AJ133" i="32"/>
  <c r="U153" i="32" s="1"/>
  <c r="X133" i="32"/>
  <c r="I153" i="32" s="1"/>
  <c r="AP133" i="32"/>
  <c r="AA153" i="32" s="1"/>
  <c r="AM118" i="32"/>
  <c r="AE118" i="32"/>
  <c r="W118" i="32"/>
  <c r="AL118" i="32"/>
  <c r="AD118" i="32"/>
  <c r="V118" i="32"/>
  <c r="AP118" i="32"/>
  <c r="AF118" i="32"/>
  <c r="T118" i="32"/>
  <c r="AO118" i="32"/>
  <c r="AC118" i="32"/>
  <c r="S118" i="32"/>
  <c r="AI118" i="32"/>
  <c r="Y118" i="32"/>
  <c r="AG118" i="32"/>
  <c r="U122" i="32"/>
  <c r="F142" i="32" s="1"/>
  <c r="AR122" i="32"/>
  <c r="AC142" i="32" s="1"/>
  <c r="AE122" i="32"/>
  <c r="P142" i="32" s="1"/>
  <c r="S122" i="32"/>
  <c r="D142" i="32" s="1"/>
  <c r="AQ122" i="32"/>
  <c r="AB142" i="32" s="1"/>
  <c r="AD122" i="32"/>
  <c r="O142" i="32" s="1"/>
  <c r="Q122" i="32"/>
  <c r="B142" i="32" s="1"/>
  <c r="AJ122" i="32"/>
  <c r="U142" i="32" s="1"/>
  <c r="T122" i="32"/>
  <c r="E142" i="32" s="1"/>
  <c r="AI122" i="32"/>
  <c r="T142" i="32" s="1"/>
  <c r="AO122" i="32"/>
  <c r="Z142" i="32" s="1"/>
  <c r="Y122" i="32"/>
  <c r="J142" i="32" s="1"/>
  <c r="AL122" i="32"/>
  <c r="W142" i="32" s="1"/>
  <c r="AO129" i="32"/>
  <c r="Z149" i="32" s="1"/>
  <c r="AG129" i="32"/>
  <c r="R149" i="32" s="1"/>
  <c r="Y129" i="32"/>
  <c r="J149" i="32" s="1"/>
  <c r="Q129" i="32"/>
  <c r="B149" i="32" s="1"/>
  <c r="AL129" i="32"/>
  <c r="W149" i="32" s="1"/>
  <c r="AD129" i="32"/>
  <c r="O149" i="32" s="1"/>
  <c r="V129" i="32"/>
  <c r="G149" i="32" s="1"/>
  <c r="AQ129" i="32"/>
  <c r="AB149" i="32" s="1"/>
  <c r="AI129" i="32"/>
  <c r="T149" i="32" s="1"/>
  <c r="AA129" i="32"/>
  <c r="L149" i="32" s="1"/>
  <c r="S129" i="32"/>
  <c r="D149" i="32" s="1"/>
  <c r="AJ129" i="32"/>
  <c r="U149" i="32" s="1"/>
  <c r="W129" i="32"/>
  <c r="H149" i="32" s="1"/>
  <c r="AH129" i="32"/>
  <c r="S149" i="32" s="1"/>
  <c r="U129" i="32"/>
  <c r="F149" i="32" s="1"/>
  <c r="AN129" i="32"/>
  <c r="Y149" i="32" s="1"/>
  <c r="X129" i="32"/>
  <c r="I149" i="32" s="1"/>
  <c r="AM129" i="32"/>
  <c r="X149" i="32" s="1"/>
  <c r="T129" i="32"/>
  <c r="E149" i="32" s="1"/>
  <c r="AC129" i="32"/>
  <c r="N149" i="32" s="1"/>
  <c r="AR129" i="32"/>
  <c r="AC149" i="32" s="1"/>
  <c r="A169" i="32"/>
  <c r="A181" i="32"/>
  <c r="Q245" i="32"/>
  <c r="AC25" i="32"/>
  <c r="S27" i="32"/>
  <c r="D47" i="32" s="1"/>
  <c r="Q118" i="32"/>
  <c r="AI128" i="32"/>
  <c r="T148" i="32" s="1"/>
  <c r="R129" i="32"/>
  <c r="C149" i="32" s="1"/>
  <c r="AB130" i="32"/>
  <c r="M150" i="32" s="1"/>
  <c r="AJ227" i="32"/>
  <c r="U247" i="32" s="1"/>
  <c r="R227" i="32"/>
  <c r="S227" i="32"/>
  <c r="D247" i="32" s="1"/>
  <c r="AR227" i="32"/>
  <c r="AC247" i="32" s="1"/>
  <c r="AL227" i="32"/>
  <c r="W247" i="32" s="1"/>
  <c r="AA227" i="32"/>
  <c r="L247" i="32" s="1"/>
  <c r="AM227" i="32"/>
  <c r="X247" i="32" s="1"/>
  <c r="AD227" i="32"/>
  <c r="O247" i="32" s="1"/>
  <c r="AB227" i="32"/>
  <c r="M247" i="32" s="1"/>
  <c r="W227" i="32"/>
  <c r="H247" i="32" s="1"/>
  <c r="R117" i="32"/>
  <c r="C137" i="32" s="1"/>
  <c r="AB117" i="32"/>
  <c r="M137" i="32" s="1"/>
  <c r="AL117" i="32"/>
  <c r="W137" i="32" s="1"/>
  <c r="T119" i="32"/>
  <c r="E139" i="32" s="1"/>
  <c r="AP120" i="32"/>
  <c r="AH120" i="32"/>
  <c r="Z120" i="32"/>
  <c r="R120" i="32"/>
  <c r="AM120" i="32"/>
  <c r="AE120" i="32"/>
  <c r="W120" i="32"/>
  <c r="AR120" i="32"/>
  <c r="AJ120" i="32"/>
  <c r="AB120" i="32"/>
  <c r="T120" i="32"/>
  <c r="AL120" i="32"/>
  <c r="Y120" i="32"/>
  <c r="AK120" i="32"/>
  <c r="X120" i="32"/>
  <c r="AF120" i="32"/>
  <c r="G142" i="32"/>
  <c r="U150" i="32"/>
  <c r="L150" i="32"/>
  <c r="A168" i="32"/>
  <c r="A180" i="32"/>
  <c r="A187" i="32"/>
  <c r="A175" i="32"/>
  <c r="V117" i="32"/>
  <c r="G137" i="32" s="1"/>
  <c r="AH117" i="32"/>
  <c r="S137" i="32" s="1"/>
  <c r="AR117" i="32"/>
  <c r="AC137" i="32" s="1"/>
  <c r="AQ119" i="32"/>
  <c r="AB139" i="32" s="1"/>
  <c r="AI119" i="32"/>
  <c r="T139" i="32" s="1"/>
  <c r="AA119" i="32"/>
  <c r="L139" i="32" s="1"/>
  <c r="AN119" i="32"/>
  <c r="Y139" i="32" s="1"/>
  <c r="AF119" i="32"/>
  <c r="Q139" i="32" s="1"/>
  <c r="X119" i="32"/>
  <c r="I139" i="32" s="1"/>
  <c r="AK119" i="32"/>
  <c r="V139" i="32" s="1"/>
  <c r="AC119" i="32"/>
  <c r="N139" i="32" s="1"/>
  <c r="U119" i="32"/>
  <c r="F139" i="32" s="1"/>
  <c r="AJ119" i="32"/>
  <c r="U139" i="32" s="1"/>
  <c r="W119" i="32"/>
  <c r="H139" i="32" s="1"/>
  <c r="AH119" i="32"/>
  <c r="S139" i="32" s="1"/>
  <c r="V119" i="32"/>
  <c r="G139" i="32" s="1"/>
  <c r="AD119" i="32"/>
  <c r="O139" i="32" s="1"/>
  <c r="AO120" i="32"/>
  <c r="AN122" i="32"/>
  <c r="Y142" i="32" s="1"/>
  <c r="AN130" i="32"/>
  <c r="Y150" i="32" s="1"/>
  <c r="Y117" i="32"/>
  <c r="J137" i="32" s="1"/>
  <c r="Q119" i="32"/>
  <c r="B139" i="32" s="1"/>
  <c r="AE119" i="32"/>
  <c r="P139" i="32" s="1"/>
  <c r="AA120" i="32"/>
  <c r="AQ120" i="32"/>
  <c r="AM123" i="32"/>
  <c r="X143" i="32" s="1"/>
  <c r="AE123" i="32"/>
  <c r="P143" i="32" s="1"/>
  <c r="W123" i="32"/>
  <c r="H143" i="32" s="1"/>
  <c r="AR123" i="32"/>
  <c r="AC143" i="32" s="1"/>
  <c r="AJ123" i="32"/>
  <c r="U143" i="32" s="1"/>
  <c r="AB123" i="32"/>
  <c r="M143" i="32" s="1"/>
  <c r="T123" i="32"/>
  <c r="E143" i="32" s="1"/>
  <c r="AO123" i="32"/>
  <c r="Z143" i="32" s="1"/>
  <c r="AG123" i="32"/>
  <c r="R143" i="32" s="1"/>
  <c r="Y123" i="32"/>
  <c r="J143" i="32" s="1"/>
  <c r="Q123" i="32"/>
  <c r="B143" i="32" s="1"/>
  <c r="AH123" i="32"/>
  <c r="S143" i="32" s="1"/>
  <c r="U123" i="32"/>
  <c r="F143" i="32" s="1"/>
  <c r="AF123" i="32"/>
  <c r="Q143" i="32" s="1"/>
  <c r="S123" i="32"/>
  <c r="D143" i="32" s="1"/>
  <c r="AI123" i="32"/>
  <c r="T143" i="32" s="1"/>
  <c r="AR126" i="32"/>
  <c r="AC146" i="32" s="1"/>
  <c r="AJ126" i="32"/>
  <c r="U146" i="32" s="1"/>
  <c r="AB126" i="32"/>
  <c r="M146" i="32" s="1"/>
  <c r="T126" i="32"/>
  <c r="E146" i="32" s="1"/>
  <c r="AO126" i="32"/>
  <c r="Z146" i="32" s="1"/>
  <c r="AG126" i="32"/>
  <c r="R146" i="32" s="1"/>
  <c r="Y126" i="32"/>
  <c r="J146" i="32" s="1"/>
  <c r="Q126" i="32"/>
  <c r="B146" i="32" s="1"/>
  <c r="AL126" i="32"/>
  <c r="W146" i="32" s="1"/>
  <c r="AD126" i="32"/>
  <c r="O146" i="32" s="1"/>
  <c r="V126" i="32"/>
  <c r="G146" i="32" s="1"/>
  <c r="AN126" i="32"/>
  <c r="Y146" i="32" s="1"/>
  <c r="AA126" i="32"/>
  <c r="L146" i="32" s="1"/>
  <c r="AM126" i="32"/>
  <c r="X146" i="32" s="1"/>
  <c r="Z126" i="32"/>
  <c r="K146" i="32" s="1"/>
  <c r="AF126" i="32"/>
  <c r="Q146" i="32" s="1"/>
  <c r="A182" i="32"/>
  <c r="A170" i="32"/>
  <c r="W117" i="32"/>
  <c r="H137" i="32" s="1"/>
  <c r="AE117" i="32"/>
  <c r="P137" i="32" s="1"/>
  <c r="AM117" i="32"/>
  <c r="X137" i="32" s="1"/>
  <c r="AB121" i="32"/>
  <c r="M141" i="32" s="1"/>
  <c r="K144" i="32"/>
  <c r="J144" i="32"/>
  <c r="E144" i="32"/>
  <c r="M144" i="32"/>
  <c r="W130" i="32"/>
  <c r="H150" i="32" s="1"/>
  <c r="A186" i="32"/>
  <c r="A174" i="32"/>
  <c r="A183" i="32"/>
  <c r="A171" i="32"/>
  <c r="X117" i="32"/>
  <c r="I137" i="32" s="1"/>
  <c r="AF117" i="32"/>
  <c r="Q137" i="32" s="1"/>
  <c r="AO121" i="32"/>
  <c r="Z141" i="32" s="1"/>
  <c r="AG121" i="32"/>
  <c r="R141" i="32" s="1"/>
  <c r="Y121" i="32"/>
  <c r="J141" i="32" s="1"/>
  <c r="Q121" i="32"/>
  <c r="B141" i="32" s="1"/>
  <c r="AL121" i="32"/>
  <c r="W141" i="32" s="1"/>
  <c r="AD121" i="32"/>
  <c r="O141" i="32" s="1"/>
  <c r="V121" i="32"/>
  <c r="G141" i="32" s="1"/>
  <c r="AQ121" i="32"/>
  <c r="AB141" i="32" s="1"/>
  <c r="AI121" i="32"/>
  <c r="T141" i="32" s="1"/>
  <c r="AA121" i="32"/>
  <c r="L141" i="32" s="1"/>
  <c r="S121" i="32"/>
  <c r="D141" i="32" s="1"/>
  <c r="AC121" i="32"/>
  <c r="N141" i="32" s="1"/>
  <c r="AP121" i="32"/>
  <c r="AA141" i="32" s="1"/>
  <c r="M149" i="32"/>
  <c r="AK130" i="32"/>
  <c r="V150" i="32" s="1"/>
  <c r="AC130" i="32"/>
  <c r="N150" i="32" s="1"/>
  <c r="U130" i="32"/>
  <c r="F150" i="32" s="1"/>
  <c r="AP130" i="32"/>
  <c r="AA150" i="32" s="1"/>
  <c r="AH130" i="32"/>
  <c r="S150" i="32" s="1"/>
  <c r="Z130" i="32"/>
  <c r="K150" i="32" s="1"/>
  <c r="R130" i="32"/>
  <c r="C150" i="32" s="1"/>
  <c r="Y130" i="32"/>
  <c r="J150" i="32" s="1"/>
  <c r="AL130" i="32"/>
  <c r="W150" i="32" s="1"/>
  <c r="AN233" i="32"/>
  <c r="Y253" i="32" s="1"/>
  <c r="AC233" i="32"/>
  <c r="N253" i="32" s="1"/>
  <c r="R233" i="32"/>
  <c r="C253" i="32" s="1"/>
  <c r="AH233" i="32"/>
  <c r="S253" i="32" s="1"/>
  <c r="X233" i="32"/>
  <c r="I253" i="32" s="1"/>
  <c r="AG233" i="32"/>
  <c r="R253" i="32" s="1"/>
  <c r="AB233" i="32"/>
  <c r="M253" i="32" s="1"/>
  <c r="AR233" i="32"/>
  <c r="AC253" i="32" s="1"/>
  <c r="V233" i="32"/>
  <c r="G253" i="32" s="1"/>
  <c r="T233" i="32"/>
  <c r="E253" i="32" s="1"/>
  <c r="Q233" i="32"/>
  <c r="B253" i="32" s="1"/>
  <c r="AO233" i="32"/>
  <c r="Z253" i="32" s="1"/>
  <c r="AD233" i="32"/>
  <c r="O253" i="32" s="1"/>
  <c r="R122" i="32"/>
  <c r="C142" i="32" s="1"/>
  <c r="Z122" i="32"/>
  <c r="K142" i="32" s="1"/>
  <c r="AH122" i="32"/>
  <c r="S142" i="32" s="1"/>
  <c r="AP122" i="32"/>
  <c r="AA142" i="32" s="1"/>
  <c r="X124" i="32"/>
  <c r="I144" i="32" s="1"/>
  <c r="AF124" i="32"/>
  <c r="Q144" i="32" s="1"/>
  <c r="AN124" i="32"/>
  <c r="Y144" i="32" s="1"/>
  <c r="N148" i="32"/>
  <c r="A185" i="32"/>
  <c r="S226" i="32"/>
  <c r="AQ226" i="32"/>
  <c r="B250" i="32"/>
  <c r="N250" i="32"/>
  <c r="AC122" i="32"/>
  <c r="N142" i="32" s="1"/>
  <c r="AK122" i="32"/>
  <c r="V142" i="32" s="1"/>
  <c r="AA143" i="32"/>
  <c r="W143" i="32"/>
  <c r="S124" i="32"/>
  <c r="D144" i="32" s="1"/>
  <c r="AA124" i="32"/>
  <c r="L144" i="32" s="1"/>
  <c r="AI124" i="32"/>
  <c r="T144" i="32" s="1"/>
  <c r="AQ124" i="32"/>
  <c r="AB144" i="32" s="1"/>
  <c r="AA249" i="32"/>
  <c r="U249" i="32"/>
  <c r="AQ230" i="32"/>
  <c r="AB250" i="32" s="1"/>
  <c r="AB230" i="32"/>
  <c r="M250" i="32" s="1"/>
  <c r="AM230" i="32"/>
  <c r="X250" i="32" s="1"/>
  <c r="T230" i="32"/>
  <c r="E250" i="32" s="1"/>
  <c r="AJ230" i="32"/>
  <c r="U250" i="32" s="1"/>
  <c r="S230" i="32"/>
  <c r="D250" i="32" s="1"/>
  <c r="AN230" i="32"/>
  <c r="Y250" i="32" s="1"/>
  <c r="AN226" i="32"/>
  <c r="Y226" i="32"/>
  <c r="AM226" i="32"/>
  <c r="U226" i="32"/>
  <c r="AF226" i="32"/>
  <c r="AO239" i="32"/>
  <c r="AG239" i="32"/>
  <c r="Y239" i="32"/>
  <c r="Q239" i="32"/>
  <c r="AL239" i="32"/>
  <c r="AD239" i="32"/>
  <c r="V239" i="32"/>
  <c r="AK239" i="32"/>
  <c r="AC239" i="32"/>
  <c r="U239" i="32"/>
  <c r="AQ239" i="32"/>
  <c r="AE239" i="32"/>
  <c r="R239" i="32"/>
  <c r="AN239" i="32"/>
  <c r="AA239" i="32"/>
  <c r="AJ239" i="32"/>
  <c r="X239" i="32"/>
  <c r="AF239" i="32"/>
  <c r="Z239" i="32"/>
  <c r="AR239" i="32"/>
  <c r="W239" i="32"/>
  <c r="AP239" i="32"/>
  <c r="T239" i="32"/>
  <c r="AH239" i="32"/>
  <c r="AM239" i="32"/>
  <c r="AI239" i="32"/>
  <c r="AM241" i="32"/>
  <c r="X261" i="32" s="1"/>
  <c r="AE241" i="32"/>
  <c r="P261" i="32" s="1"/>
  <c r="W241" i="32"/>
  <c r="AR241" i="32"/>
  <c r="AC261" i="32" s="1"/>
  <c r="AJ241" i="32"/>
  <c r="U261" i="32" s="1"/>
  <c r="AB241" i="32"/>
  <c r="M261" i="32" s="1"/>
  <c r="T241" i="32"/>
  <c r="E261" i="32" s="1"/>
  <c r="AQ241" i="32"/>
  <c r="AB261" i="32" s="1"/>
  <c r="AI241" i="32"/>
  <c r="T261" i="32" s="1"/>
  <c r="AA241" i="32"/>
  <c r="L261" i="32" s="1"/>
  <c r="S241" i="32"/>
  <c r="D261" i="32" s="1"/>
  <c r="AG241" i="32"/>
  <c r="R261" i="32" s="1"/>
  <c r="U241" i="32"/>
  <c r="F261" i="32" s="1"/>
  <c r="AP241" i="32"/>
  <c r="AA261" i="32" s="1"/>
  <c r="AD241" i="32"/>
  <c r="O261" i="32" s="1"/>
  <c r="Q241" i="32"/>
  <c r="B261" i="32" s="1"/>
  <c r="AN241" i="32"/>
  <c r="Y261" i="32" s="1"/>
  <c r="Z241" i="32"/>
  <c r="K261" i="32" s="1"/>
  <c r="AF241" i="32"/>
  <c r="Q261" i="32" s="1"/>
  <c r="Y241" i="32"/>
  <c r="J261" i="32" s="1"/>
  <c r="X241" i="32"/>
  <c r="I261" i="32" s="1"/>
  <c r="AO241" i="32"/>
  <c r="Z261" i="32" s="1"/>
  <c r="V241" i="32"/>
  <c r="G261" i="32" s="1"/>
  <c r="AH241" i="32"/>
  <c r="S261" i="32" s="1"/>
  <c r="AC241" i="32"/>
  <c r="N261" i="32" s="1"/>
  <c r="R241" i="32"/>
  <c r="C261" i="32" s="1"/>
  <c r="X122" i="32"/>
  <c r="I142" i="32" s="1"/>
  <c r="AF122" i="32"/>
  <c r="Q142" i="32" s="1"/>
  <c r="V124" i="32"/>
  <c r="G144" i="32" s="1"/>
  <c r="AD124" i="32"/>
  <c r="O144" i="32" s="1"/>
  <c r="X130" i="32"/>
  <c r="I150" i="32" s="1"/>
  <c r="AF130" i="32"/>
  <c r="Q150" i="32" s="1"/>
  <c r="AK133" i="32"/>
  <c r="V153" i="32" s="1"/>
  <c r="AC133" i="32"/>
  <c r="N153" i="32" s="1"/>
  <c r="U133" i="32"/>
  <c r="F153" i="32" s="1"/>
  <c r="AO133" i="32"/>
  <c r="Z153" i="32" s="1"/>
  <c r="AG133" i="32"/>
  <c r="R153" i="32" s="1"/>
  <c r="Y133" i="32"/>
  <c r="J153" i="32" s="1"/>
  <c r="Q133" i="32"/>
  <c r="B153" i="32" s="1"/>
  <c r="AA133" i="32"/>
  <c r="L153" i="32" s="1"/>
  <c r="AL133" i="32"/>
  <c r="W153" i="32" s="1"/>
  <c r="Y245" i="32"/>
  <c r="AJ226" i="32"/>
  <c r="U230" i="32"/>
  <c r="F250" i="32" s="1"/>
  <c r="Y257" i="32"/>
  <c r="S239" i="32"/>
  <c r="AK241" i="32"/>
  <c r="V261" i="32" s="1"/>
  <c r="AO227" i="32"/>
  <c r="Z247" i="32" s="1"/>
  <c r="AG227" i="32"/>
  <c r="R247" i="32" s="1"/>
  <c r="Y227" i="32"/>
  <c r="J247" i="32" s="1"/>
  <c r="Q227" i="32"/>
  <c r="B247" i="32" s="1"/>
  <c r="AK227" i="32"/>
  <c r="V247" i="32" s="1"/>
  <c r="AC227" i="32"/>
  <c r="N247" i="32" s="1"/>
  <c r="U227" i="32"/>
  <c r="F247" i="32" s="1"/>
  <c r="AI227" i="32"/>
  <c r="T247" i="32" s="1"/>
  <c r="X227" i="32"/>
  <c r="I247" i="32" s="1"/>
  <c r="AQ227" i="32"/>
  <c r="AB247" i="32" s="1"/>
  <c r="AF227" i="32"/>
  <c r="Q247" i="32" s="1"/>
  <c r="V227" i="32"/>
  <c r="G247" i="32" s="1"/>
  <c r="AP227" i="32"/>
  <c r="AA247" i="32" s="1"/>
  <c r="AE227" i="32"/>
  <c r="P247" i="32" s="1"/>
  <c r="T227" i="32"/>
  <c r="E247" i="32" s="1"/>
  <c r="AH227" i="32"/>
  <c r="S247" i="32" s="1"/>
  <c r="AR228" i="32"/>
  <c r="AJ228" i="32"/>
  <c r="AB228" i="32"/>
  <c r="T228" i="32"/>
  <c r="AP228" i="32"/>
  <c r="AE228" i="32"/>
  <c r="U228" i="32"/>
  <c r="AM228" i="32"/>
  <c r="AC228" i="32"/>
  <c r="R228" i="32"/>
  <c r="AL228" i="32"/>
  <c r="AA228" i="32"/>
  <c r="Q228" i="32"/>
  <c r="AD228" i="32"/>
  <c r="X229" i="32"/>
  <c r="I249" i="32" s="1"/>
  <c r="V252" i="32"/>
  <c r="F253" i="32"/>
  <c r="AN229" i="32"/>
  <c r="Y249" i="32" s="1"/>
  <c r="AC229" i="32"/>
  <c r="N249" i="32" s="1"/>
  <c r="R229" i="32"/>
  <c r="C249" i="32" s="1"/>
  <c r="AB229" i="32"/>
  <c r="M249" i="32" s="1"/>
  <c r="AR229" i="32"/>
  <c r="AC249" i="32" s="1"/>
  <c r="AK231" i="32"/>
  <c r="V251" i="32" s="1"/>
  <c r="AC231" i="32"/>
  <c r="N251" i="32" s="1"/>
  <c r="U231" i="32"/>
  <c r="F251" i="32" s="1"/>
  <c r="AO231" i="32"/>
  <c r="Z251" i="32" s="1"/>
  <c r="AG231" i="32"/>
  <c r="R251" i="32" s="1"/>
  <c r="Y231" i="32"/>
  <c r="J251" i="32" s="1"/>
  <c r="Q231" i="32"/>
  <c r="B251" i="32" s="1"/>
  <c r="AI231" i="32"/>
  <c r="T251" i="32" s="1"/>
  <c r="X231" i="32"/>
  <c r="I251" i="32" s="1"/>
  <c r="AQ231" i="32"/>
  <c r="AB251" i="32" s="1"/>
  <c r="AF231" i="32"/>
  <c r="Q251" i="32" s="1"/>
  <c r="V231" i="32"/>
  <c r="G251" i="32" s="1"/>
  <c r="AP231" i="32"/>
  <c r="AA251" i="32" s="1"/>
  <c r="AE231" i="32"/>
  <c r="P251" i="32" s="1"/>
  <c r="T231" i="32"/>
  <c r="E251" i="32" s="1"/>
  <c r="AH231" i="32"/>
  <c r="S251" i="32" s="1"/>
  <c r="AP232" i="32"/>
  <c r="AA252" i="32" s="1"/>
  <c r="AE232" i="32"/>
  <c r="P252" i="32" s="1"/>
  <c r="U232" i="32"/>
  <c r="F252" i="32" s="1"/>
  <c r="AM232" i="32"/>
  <c r="X252" i="32" s="1"/>
  <c r="AC232" i="32"/>
  <c r="N252" i="32" s="1"/>
  <c r="R232" i="32"/>
  <c r="C252" i="32" s="1"/>
  <c r="AL232" i="32"/>
  <c r="W252" i="32" s="1"/>
  <c r="AA232" i="32"/>
  <c r="L252" i="32" s="1"/>
  <c r="Q232" i="32"/>
  <c r="B252" i="32" s="1"/>
  <c r="AD232" i="32"/>
  <c r="O252" i="32" s="1"/>
  <c r="AQ237" i="32"/>
  <c r="AB257" i="32" s="1"/>
  <c r="AI237" i="32"/>
  <c r="T257" i="32" s="1"/>
  <c r="AA237" i="32"/>
  <c r="L257" i="32" s="1"/>
  <c r="S237" i="32"/>
  <c r="D257" i="32" s="1"/>
  <c r="AM237" i="32"/>
  <c r="X257" i="32" s="1"/>
  <c r="AE237" i="32"/>
  <c r="P257" i="32" s="1"/>
  <c r="W237" i="32"/>
  <c r="H257" i="32" s="1"/>
  <c r="AO237" i="32"/>
  <c r="Z257" i="32" s="1"/>
  <c r="AD237" i="32"/>
  <c r="O257" i="32" s="1"/>
  <c r="T237" i="32"/>
  <c r="E257" i="32" s="1"/>
  <c r="AL237" i="32"/>
  <c r="W257" i="32" s="1"/>
  <c r="AB237" i="32"/>
  <c r="M257" i="32" s="1"/>
  <c r="Q237" i="32"/>
  <c r="B257" i="32" s="1"/>
  <c r="AJ237" i="32"/>
  <c r="U257" i="32" s="1"/>
  <c r="Y237" i="32"/>
  <c r="J257" i="32" s="1"/>
  <c r="AH237" i="32"/>
  <c r="S257" i="32" s="1"/>
  <c r="R237" i="32"/>
  <c r="C257" i="32" s="1"/>
  <c r="AF237" i="32"/>
  <c r="Q257" i="32" s="1"/>
  <c r="AC237" i="32"/>
  <c r="N257" i="32" s="1"/>
  <c r="AR237" i="32"/>
  <c r="AC257" i="32" s="1"/>
  <c r="Z237" i="32"/>
  <c r="K257" i="32" s="1"/>
  <c r="AK237" i="32"/>
  <c r="V257" i="32" s="1"/>
  <c r="U237" i="32"/>
  <c r="F257" i="32" s="1"/>
  <c r="X225" i="32"/>
  <c r="I245" i="32" s="1"/>
  <c r="AP226" i="32"/>
  <c r="AH226" i="32"/>
  <c r="Z226" i="32"/>
  <c r="R226" i="32"/>
  <c r="AL226" i="32"/>
  <c r="AD226" i="32"/>
  <c r="V226" i="32"/>
  <c r="AK226" i="32"/>
  <c r="AI226" i="32"/>
  <c r="X226" i="32"/>
  <c r="AR226" i="32"/>
  <c r="AG226" i="32"/>
  <c r="W226" i="32"/>
  <c r="AC226" i="32"/>
  <c r="Z227" i="32"/>
  <c r="K247" i="32" s="1"/>
  <c r="AN227" i="32"/>
  <c r="Y247" i="32" s="1"/>
  <c r="V228" i="32"/>
  <c r="AK228" i="32"/>
  <c r="Q229" i="32"/>
  <c r="B249" i="32" s="1"/>
  <c r="AG229" i="32"/>
  <c r="R249" i="32" s="1"/>
  <c r="W231" i="32"/>
  <c r="H251" i="32" s="1"/>
  <c r="AM231" i="32"/>
  <c r="X251" i="32" s="1"/>
  <c r="S232" i="32"/>
  <c r="D252" i="32" s="1"/>
  <c r="AI232" i="32"/>
  <c r="T252" i="32" s="1"/>
  <c r="AJ233" i="32"/>
  <c r="U253" i="32" s="1"/>
  <c r="AK234" i="32"/>
  <c r="V254" i="32" s="1"/>
  <c r="V234" i="32"/>
  <c r="G254" i="32" s="1"/>
  <c r="AI234" i="32"/>
  <c r="T254" i="32" s="1"/>
  <c r="AG237" i="32"/>
  <c r="R257" i="32" s="1"/>
  <c r="A288" i="32"/>
  <c r="A276" i="32"/>
  <c r="G252" i="32"/>
  <c r="AP238" i="32"/>
  <c r="AA258" i="32" s="1"/>
  <c r="AH238" i="32"/>
  <c r="S258" i="32" s="1"/>
  <c r="Z238" i="32"/>
  <c r="K258" i="32" s="1"/>
  <c r="R238" i="32"/>
  <c r="C258" i="32" s="1"/>
  <c r="AM238" i="32"/>
  <c r="X258" i="32" s="1"/>
  <c r="AE238" i="32"/>
  <c r="P258" i="32" s="1"/>
  <c r="AL238" i="32"/>
  <c r="W258" i="32" s="1"/>
  <c r="AD238" i="32"/>
  <c r="O258" i="32" s="1"/>
  <c r="V238" i="32"/>
  <c r="G258" i="32" s="1"/>
  <c r="AO238" i="32"/>
  <c r="Z258" i="32" s="1"/>
  <c r="AB238" i="32"/>
  <c r="M258" i="32" s="1"/>
  <c r="Q238" i="32"/>
  <c r="B258" i="32" s="1"/>
  <c r="AK238" i="32"/>
  <c r="V258" i="32" s="1"/>
  <c r="Y238" i="32"/>
  <c r="J258" i="32" s="1"/>
  <c r="AI238" i="32"/>
  <c r="T258" i="32" s="1"/>
  <c r="W238" i="32"/>
  <c r="H258" i="32" s="1"/>
  <c r="AG238" i="32"/>
  <c r="R258" i="32" s="1"/>
  <c r="AO240" i="32"/>
  <c r="AA240" i="32"/>
  <c r="AG240" i="32"/>
  <c r="AP348" i="32"/>
  <c r="AE348" i="32"/>
  <c r="U348" i="32"/>
  <c r="AA348" i="32"/>
  <c r="AQ348" i="32"/>
  <c r="Z348" i="32"/>
  <c r="AO348" i="32"/>
  <c r="Y348" i="32"/>
  <c r="AK348" i="32"/>
  <c r="S348" i="32"/>
  <c r="AG348" i="32"/>
  <c r="AI348" i="32"/>
  <c r="Q348" i="32"/>
  <c r="AL348" i="32"/>
  <c r="V348" i="32"/>
  <c r="AQ236" i="32"/>
  <c r="AB256" i="32" s="1"/>
  <c r="AG236" i="32"/>
  <c r="R256" i="32" s="1"/>
  <c r="V236" i="32"/>
  <c r="G256" i="32" s="1"/>
  <c r="AO236" i="32"/>
  <c r="Z256" i="32" s="1"/>
  <c r="AD236" i="32"/>
  <c r="O256" i="32" s="1"/>
  <c r="S236" i="32"/>
  <c r="D256" i="32" s="1"/>
  <c r="AL236" i="32"/>
  <c r="W256" i="32" s="1"/>
  <c r="AA236" i="32"/>
  <c r="L256" i="32" s="1"/>
  <c r="Q236" i="32"/>
  <c r="B256" i="32" s="1"/>
  <c r="AC236" i="32"/>
  <c r="N256" i="32" s="1"/>
  <c r="U238" i="32"/>
  <c r="F258" i="32" s="1"/>
  <c r="AQ238" i="32"/>
  <c r="AB258" i="32" s="1"/>
  <c r="S240" i="32"/>
  <c r="AM240" i="32"/>
  <c r="A289" i="32"/>
  <c r="Y225" i="32"/>
  <c r="J245" i="32" s="1"/>
  <c r="Y229" i="32"/>
  <c r="J249" i="32" s="1"/>
  <c r="W230" i="32"/>
  <c r="H250" i="32" s="1"/>
  <c r="AG230" i="32"/>
  <c r="R250" i="32" s="1"/>
  <c r="AR230" i="32"/>
  <c r="AC250" i="32" s="1"/>
  <c r="Y233" i="32"/>
  <c r="J253" i="32" s="1"/>
  <c r="X234" i="32"/>
  <c r="I254" i="32" s="1"/>
  <c r="AN234" i="32"/>
  <c r="Y254" i="32" s="1"/>
  <c r="AE236" i="32"/>
  <c r="P256" i="32" s="1"/>
  <c r="N258" i="32"/>
  <c r="X238" i="32"/>
  <c r="I258" i="32" s="1"/>
  <c r="AR238" i="32"/>
  <c r="AC258" i="32" s="1"/>
  <c r="V240" i="32"/>
  <c r="AP240" i="32"/>
  <c r="A281" i="32"/>
  <c r="A293" i="32"/>
  <c r="Y334" i="32"/>
  <c r="J354" i="32" s="1"/>
  <c r="AO334" i="32"/>
  <c r="Z354" i="32" s="1"/>
  <c r="Q334" i="32"/>
  <c r="B354" i="32" s="1"/>
  <c r="AL334" i="32"/>
  <c r="W354" i="32" s="1"/>
  <c r="AG334" i="32"/>
  <c r="R354" i="32" s="1"/>
  <c r="V334" i="32"/>
  <c r="G354" i="32" s="1"/>
  <c r="AL342" i="32"/>
  <c r="W362" i="32" s="1"/>
  <c r="X342" i="32"/>
  <c r="I362" i="32" s="1"/>
  <c r="AJ342" i="32"/>
  <c r="U362" i="32" s="1"/>
  <c r="AF342" i="32"/>
  <c r="Q362" i="32" s="1"/>
  <c r="W342" i="32"/>
  <c r="H362" i="32" s="1"/>
  <c r="AM342" i="32"/>
  <c r="X362" i="32" s="1"/>
  <c r="AH342" i="32"/>
  <c r="S362" i="32" s="1"/>
  <c r="T342" i="32"/>
  <c r="E362" i="32" s="1"/>
  <c r="AQ225" i="32"/>
  <c r="AB245" i="32" s="1"/>
  <c r="AI225" i="32"/>
  <c r="T245" i="32" s="1"/>
  <c r="AA225" i="32"/>
  <c r="L245" i="32" s="1"/>
  <c r="S225" i="32"/>
  <c r="D245" i="32" s="1"/>
  <c r="AM225" i="32"/>
  <c r="X245" i="32" s="1"/>
  <c r="AE225" i="32"/>
  <c r="P245" i="32" s="1"/>
  <c r="W225" i="32"/>
  <c r="H245" i="32" s="1"/>
  <c r="Z225" i="32"/>
  <c r="K245" i="32" s="1"/>
  <c r="AK225" i="32"/>
  <c r="V245" i="32" s="1"/>
  <c r="C247" i="32"/>
  <c r="AM229" i="32"/>
  <c r="X249" i="32" s="1"/>
  <c r="AE229" i="32"/>
  <c r="P249" i="32" s="1"/>
  <c r="W229" i="32"/>
  <c r="H249" i="32" s="1"/>
  <c r="AQ229" i="32"/>
  <c r="AB249" i="32" s="1"/>
  <c r="AI229" i="32"/>
  <c r="T249" i="32" s="1"/>
  <c r="AA229" i="32"/>
  <c r="L249" i="32" s="1"/>
  <c r="S229" i="32"/>
  <c r="D249" i="32" s="1"/>
  <c r="Z229" i="32"/>
  <c r="K249" i="32" s="1"/>
  <c r="AK229" i="32"/>
  <c r="V249" i="32" s="1"/>
  <c r="X230" i="32"/>
  <c r="I250" i="32" s="1"/>
  <c r="AQ233" i="32"/>
  <c r="AB253" i="32" s="1"/>
  <c r="AI233" i="32"/>
  <c r="T253" i="32" s="1"/>
  <c r="AA233" i="32"/>
  <c r="L253" i="32" s="1"/>
  <c r="S233" i="32"/>
  <c r="D253" i="32" s="1"/>
  <c r="AM233" i="32"/>
  <c r="X253" i="32" s="1"/>
  <c r="AE233" i="32"/>
  <c r="P253" i="32" s="1"/>
  <c r="W233" i="32"/>
  <c r="H253" i="32" s="1"/>
  <c r="Z233" i="32"/>
  <c r="K253" i="32" s="1"/>
  <c r="AK233" i="32"/>
  <c r="V253" i="32" s="1"/>
  <c r="Y234" i="32"/>
  <c r="J254" i="32" s="1"/>
  <c r="AR236" i="32"/>
  <c r="AC256" i="32" s="1"/>
  <c r="AH236" i="32"/>
  <c r="S256" i="32" s="1"/>
  <c r="AA238" i="32"/>
  <c r="L258" i="32" s="1"/>
  <c r="W240" i="32"/>
  <c r="W251" i="32"/>
  <c r="AL230" i="32"/>
  <c r="W250" i="32" s="1"/>
  <c r="AD230" i="32"/>
  <c r="O250" i="32" s="1"/>
  <c r="V230" i="32"/>
  <c r="G250" i="32" s="1"/>
  <c r="AP230" i="32"/>
  <c r="AA250" i="32" s="1"/>
  <c r="AH230" i="32"/>
  <c r="S250" i="32" s="1"/>
  <c r="Z230" i="32"/>
  <c r="K250" i="32" s="1"/>
  <c r="R230" i="32"/>
  <c r="C250" i="32" s="1"/>
  <c r="AA230" i="32"/>
  <c r="L250" i="32" s="1"/>
  <c r="AK230" i="32"/>
  <c r="V250" i="32" s="1"/>
  <c r="AL234" i="32"/>
  <c r="W254" i="32" s="1"/>
  <c r="AD234" i="32"/>
  <c r="O254" i="32" s="1"/>
  <c r="AP234" i="32"/>
  <c r="AA254" i="32" s="1"/>
  <c r="AH234" i="32"/>
  <c r="S254" i="32" s="1"/>
  <c r="Z234" i="32"/>
  <c r="K254" i="32" s="1"/>
  <c r="R234" i="32"/>
  <c r="C254" i="32" s="1"/>
  <c r="AM234" i="32"/>
  <c r="X254" i="32" s="1"/>
  <c r="AB234" i="32"/>
  <c r="M254" i="32" s="1"/>
  <c r="S234" i="32"/>
  <c r="D254" i="32" s="1"/>
  <c r="AJ234" i="32"/>
  <c r="U254" i="32" s="1"/>
  <c r="AR234" i="32"/>
  <c r="AC254" i="32" s="1"/>
  <c r="AG234" i="32"/>
  <c r="R254" i="32" s="1"/>
  <c r="W234" i="32"/>
  <c r="H254" i="32" s="1"/>
  <c r="AC234" i="32"/>
  <c r="N254" i="32" s="1"/>
  <c r="U236" i="32"/>
  <c r="F256" i="32" s="1"/>
  <c r="AK236" i="32"/>
  <c r="V256" i="32" s="1"/>
  <c r="AF238" i="32"/>
  <c r="Q258" i="32" s="1"/>
  <c r="AD240" i="32"/>
  <c r="A294" i="32"/>
  <c r="A282" i="32"/>
  <c r="V342" i="32"/>
  <c r="G362" i="32" s="1"/>
  <c r="X232" i="32"/>
  <c r="I252" i="32" s="1"/>
  <c r="AF232" i="32"/>
  <c r="Q252" i="32" s="1"/>
  <c r="AN232" i="32"/>
  <c r="Y252" i="32" s="1"/>
  <c r="AK240" i="32"/>
  <c r="AC240" i="32"/>
  <c r="U240" i="32"/>
  <c r="Y240" i="32"/>
  <c r="AL240" i="32"/>
  <c r="A290" i="32"/>
  <c r="A278" i="32"/>
  <c r="AR335" i="32"/>
  <c r="AJ335" i="32"/>
  <c r="AI335" i="32"/>
  <c r="AA335" i="32"/>
  <c r="L355" i="32" s="1"/>
  <c r="S335" i="32"/>
  <c r="AQ335" i="32"/>
  <c r="AH335" i="32"/>
  <c r="Z335" i="32"/>
  <c r="R335" i="32"/>
  <c r="AP335" i="32"/>
  <c r="AG335" i="32"/>
  <c r="Y335" i="32"/>
  <c r="Q335" i="32"/>
  <c r="AN335" i="32"/>
  <c r="AE335" i="32"/>
  <c r="W335" i="32"/>
  <c r="AC335" i="32"/>
  <c r="AO335" i="32"/>
  <c r="X335" i="32"/>
  <c r="AL335" i="32"/>
  <c r="U335" i="32"/>
  <c r="AK335" i="32"/>
  <c r="AB335" i="32"/>
  <c r="V335" i="32"/>
  <c r="AJ350" i="32"/>
  <c r="U370" i="32" s="1"/>
  <c r="T350" i="32"/>
  <c r="E370" i="32" s="1"/>
  <c r="AG350" i="32"/>
  <c r="R370" i="32" s="1"/>
  <c r="Q350" i="32"/>
  <c r="B370" i="32" s="1"/>
  <c r="AF350" i="32"/>
  <c r="Q370" i="32" s="1"/>
  <c r="AB350" i="32"/>
  <c r="M370" i="32" s="1"/>
  <c r="AO350" i="32"/>
  <c r="Z370" i="32" s="1"/>
  <c r="W350" i="32"/>
  <c r="H370" i="32" s="1"/>
  <c r="AM350" i="32"/>
  <c r="X370" i="32" s="1"/>
  <c r="Y350" i="32"/>
  <c r="J370" i="32" s="1"/>
  <c r="AR350" i="32"/>
  <c r="AC370" i="32" s="1"/>
  <c r="AE350" i="32"/>
  <c r="P370" i="32" s="1"/>
  <c r="AN240" i="32"/>
  <c r="A295" i="32"/>
  <c r="A283" i="32"/>
  <c r="AL341" i="32"/>
  <c r="W361" i="32" s="1"/>
  <c r="AD341" i="32"/>
  <c r="O361" i="32" s="1"/>
  <c r="V341" i="32"/>
  <c r="G361" i="32" s="1"/>
  <c r="AR341" i="32"/>
  <c r="AC361" i="32" s="1"/>
  <c r="AJ341" i="32"/>
  <c r="U361" i="32" s="1"/>
  <c r="AB341" i="32"/>
  <c r="M361" i="32" s="1"/>
  <c r="T341" i="32"/>
  <c r="E361" i="32" s="1"/>
  <c r="AP341" i="32"/>
  <c r="AA361" i="32" s="1"/>
  <c r="AH341" i="32"/>
  <c r="S361" i="32" s="1"/>
  <c r="Z341" i="32"/>
  <c r="K361" i="32" s="1"/>
  <c r="R341" i="32"/>
  <c r="C361" i="32" s="1"/>
  <c r="AN341" i="32"/>
  <c r="Y361" i="32" s="1"/>
  <c r="AA341" i="32"/>
  <c r="L361" i="32" s="1"/>
  <c r="AM341" i="32"/>
  <c r="X361" i="32" s="1"/>
  <c r="Y341" i="32"/>
  <c r="J361" i="32" s="1"/>
  <c r="AK341" i="32"/>
  <c r="V361" i="32" s="1"/>
  <c r="X341" i="32"/>
  <c r="I361" i="32" s="1"/>
  <c r="AG341" i="32"/>
  <c r="R361" i="32" s="1"/>
  <c r="U341" i="32"/>
  <c r="F361" i="32" s="1"/>
  <c r="AE341" i="32"/>
  <c r="P361" i="32" s="1"/>
  <c r="W341" i="32"/>
  <c r="H361" i="32" s="1"/>
  <c r="AQ341" i="32"/>
  <c r="AB361" i="32" s="1"/>
  <c r="Q341" i="32"/>
  <c r="B361" i="32" s="1"/>
  <c r="AC341" i="32"/>
  <c r="N361" i="32" s="1"/>
  <c r="A400" i="32"/>
  <c r="A388" i="32"/>
  <c r="X228" i="32"/>
  <c r="AF228" i="32"/>
  <c r="T232" i="32"/>
  <c r="E252" i="32" s="1"/>
  <c r="AB232" i="32"/>
  <c r="M252" i="32" s="1"/>
  <c r="AJ232" i="32"/>
  <c r="U252" i="32" s="1"/>
  <c r="R240" i="32"/>
  <c r="AE240" i="32"/>
  <c r="AQ240" i="32"/>
  <c r="K252" i="32"/>
  <c r="AE334" i="32"/>
  <c r="P354" i="32" s="1"/>
  <c r="AM335" i="32"/>
  <c r="AF341" i="32"/>
  <c r="Q361" i="32" s="1"/>
  <c r="X236" i="32"/>
  <c r="I256" i="32" s="1"/>
  <c r="AF236" i="32"/>
  <c r="Q256" i="32" s="1"/>
  <c r="AN236" i="32"/>
  <c r="Y256" i="32" s="1"/>
  <c r="T240" i="32"/>
  <c r="AB240" i="32"/>
  <c r="AJ240" i="32"/>
  <c r="AR240" i="32"/>
  <c r="H261" i="32"/>
  <c r="Z336" i="32"/>
  <c r="K356" i="32" s="1"/>
  <c r="AP336" i="32"/>
  <c r="AA356" i="32" s="1"/>
  <c r="W336" i="32"/>
  <c r="H356" i="32" s="1"/>
  <c r="AJ336" i="32"/>
  <c r="U356" i="32" s="1"/>
  <c r="Q336" i="32"/>
  <c r="B356" i="32" s="1"/>
  <c r="AO336" i="32"/>
  <c r="Z356" i="32" s="1"/>
  <c r="AM340" i="32"/>
  <c r="X360" i="32" s="1"/>
  <c r="AE340" i="32"/>
  <c r="P360" i="32" s="1"/>
  <c r="W340" i="32"/>
  <c r="H360" i="32" s="1"/>
  <c r="AK340" i="32"/>
  <c r="V360" i="32" s="1"/>
  <c r="AC340" i="32"/>
  <c r="N360" i="32" s="1"/>
  <c r="U340" i="32"/>
  <c r="F360" i="32" s="1"/>
  <c r="AQ340" i="32"/>
  <c r="AB360" i="32" s="1"/>
  <c r="AI340" i="32"/>
  <c r="T360" i="32" s="1"/>
  <c r="AA340" i="32"/>
  <c r="L360" i="32" s="1"/>
  <c r="S340" i="32"/>
  <c r="D360" i="32" s="1"/>
  <c r="AL340" i="32"/>
  <c r="W360" i="32" s="1"/>
  <c r="Y340" i="32"/>
  <c r="J360" i="32" s="1"/>
  <c r="AJ340" i="32"/>
  <c r="U360" i="32" s="1"/>
  <c r="X340" i="32"/>
  <c r="I360" i="32" s="1"/>
  <c r="AH340" i="32"/>
  <c r="S360" i="32" s="1"/>
  <c r="V340" i="32"/>
  <c r="G360" i="32" s="1"/>
  <c r="AR340" i="32"/>
  <c r="AC360" i="32" s="1"/>
  <c r="AF340" i="32"/>
  <c r="Q360" i="32" s="1"/>
  <c r="R340" i="32"/>
  <c r="C360" i="32" s="1"/>
  <c r="Z340" i="32"/>
  <c r="K360" i="32" s="1"/>
  <c r="AP340" i="32"/>
  <c r="AA360" i="32" s="1"/>
  <c r="Q340" i="32"/>
  <c r="B360" i="32" s="1"/>
  <c r="AN340" i="32"/>
  <c r="Y360" i="32" s="1"/>
  <c r="K362" i="32"/>
  <c r="AR336" i="32"/>
  <c r="AC356" i="32" s="1"/>
  <c r="AE338" i="32"/>
  <c r="P358" i="32" s="1"/>
  <c r="AA338" i="32"/>
  <c r="L358" i="32" s="1"/>
  <c r="AQ338" i="32"/>
  <c r="AB358" i="32" s="1"/>
  <c r="T340" i="32"/>
  <c r="E360" i="32" s="1"/>
  <c r="T236" i="32"/>
  <c r="E256" i="32" s="1"/>
  <c r="AB236" i="32"/>
  <c r="M256" i="32" s="1"/>
  <c r="AJ236" i="32"/>
  <c r="U256" i="32" s="1"/>
  <c r="X240" i="32"/>
  <c r="AF240" i="32"/>
  <c r="X336" i="32"/>
  <c r="I356" i="32" s="1"/>
  <c r="T338" i="32"/>
  <c r="E358" i="32" s="1"/>
  <c r="AG340" i="32"/>
  <c r="R360" i="32" s="1"/>
  <c r="AN342" i="32"/>
  <c r="Y362" i="32" s="1"/>
  <c r="W334" i="32"/>
  <c r="H354" i="32" s="1"/>
  <c r="AM334" i="32"/>
  <c r="X354" i="32" s="1"/>
  <c r="AP343" i="32"/>
  <c r="AA363" i="32" s="1"/>
  <c r="AH343" i="32"/>
  <c r="S363" i="32" s="1"/>
  <c r="Z343" i="32"/>
  <c r="K363" i="32" s="1"/>
  <c r="R343" i="32"/>
  <c r="C363" i="32" s="1"/>
  <c r="AG343" i="32"/>
  <c r="R363" i="32" s="1"/>
  <c r="U343" i="32"/>
  <c r="F363" i="32" s="1"/>
  <c r="AE343" i="32"/>
  <c r="P363" i="32" s="1"/>
  <c r="S343" i="32"/>
  <c r="D363" i="32" s="1"/>
  <c r="AQ343" i="32"/>
  <c r="AB363" i="32" s="1"/>
  <c r="AD343" i="32"/>
  <c r="O363" i="32" s="1"/>
  <c r="Q343" i="32"/>
  <c r="B363" i="32" s="1"/>
  <c r="AM343" i="32"/>
  <c r="X363" i="32" s="1"/>
  <c r="AA343" i="32"/>
  <c r="L363" i="32" s="1"/>
  <c r="AK343" i="32"/>
  <c r="V363" i="32" s="1"/>
  <c r="Z365" i="32"/>
  <c r="T365" i="32"/>
  <c r="AC334" i="32"/>
  <c r="N354" i="32" s="1"/>
  <c r="AI339" i="32"/>
  <c r="T359" i="32" s="1"/>
  <c r="W339" i="32"/>
  <c r="H359" i="32" s="1"/>
  <c r="AH339" i="32"/>
  <c r="S359" i="32" s="1"/>
  <c r="U339" i="32"/>
  <c r="F359" i="32" s="1"/>
  <c r="AG339" i="32"/>
  <c r="R359" i="32" s="1"/>
  <c r="S339" i="32"/>
  <c r="D359" i="32" s="1"/>
  <c r="AP339" i="32"/>
  <c r="AA359" i="32" s="1"/>
  <c r="AC339" i="32"/>
  <c r="N359" i="32" s="1"/>
  <c r="Q339" i="32"/>
  <c r="B359" i="32" s="1"/>
  <c r="AM339" i="32"/>
  <c r="X359" i="32" s="1"/>
  <c r="AR334" i="32"/>
  <c r="AC354" i="32" s="1"/>
  <c r="AO338" i="32"/>
  <c r="Z358" i="32" s="1"/>
  <c r="AG338" i="32"/>
  <c r="R358" i="32" s="1"/>
  <c r="Y338" i="32"/>
  <c r="J358" i="32" s="1"/>
  <c r="Q338" i="32"/>
  <c r="B358" i="32" s="1"/>
  <c r="AM338" i="32"/>
  <c r="X358" i="32" s="1"/>
  <c r="AK338" i="32"/>
  <c r="V358" i="32" s="1"/>
  <c r="AC338" i="32"/>
  <c r="N358" i="32" s="1"/>
  <c r="U338" i="32"/>
  <c r="F358" i="32" s="1"/>
  <c r="AI338" i="32"/>
  <c r="T358" i="32" s="1"/>
  <c r="X338" i="32"/>
  <c r="I358" i="32" s="1"/>
  <c r="AH338" i="32"/>
  <c r="S358" i="32" s="1"/>
  <c r="W338" i="32"/>
  <c r="H358" i="32" s="1"/>
  <c r="AR338" i="32"/>
  <c r="AC358" i="32" s="1"/>
  <c r="AF338" i="32"/>
  <c r="Q358" i="32" s="1"/>
  <c r="V338" i="32"/>
  <c r="G358" i="32" s="1"/>
  <c r="AP338" i="32"/>
  <c r="AA358" i="32" s="1"/>
  <c r="AD338" i="32"/>
  <c r="O358" i="32" s="1"/>
  <c r="S338" i="32"/>
  <c r="D358" i="32" s="1"/>
  <c r="AL338" i="32"/>
  <c r="W358" i="32" s="1"/>
  <c r="R339" i="32"/>
  <c r="C359" i="32" s="1"/>
  <c r="AQ339" i="32"/>
  <c r="AB359" i="32" s="1"/>
  <c r="W343" i="32"/>
  <c r="H363" i="32" s="1"/>
  <c r="AN348" i="32"/>
  <c r="AP349" i="32"/>
  <c r="AF349" i="32"/>
  <c r="U349" i="32"/>
  <c r="AN349" i="32"/>
  <c r="AC349" i="32"/>
  <c r="R349" i="32"/>
  <c r="AB349" i="32"/>
  <c r="X334" i="32"/>
  <c r="I354" i="32" s="1"/>
  <c r="AF334" i="32"/>
  <c r="Q354" i="32" s="1"/>
  <c r="AN334" i="32"/>
  <c r="Y354" i="32" s="1"/>
  <c r="AQ336" i="32"/>
  <c r="AB356" i="32" s="1"/>
  <c r="AI336" i="32"/>
  <c r="T356" i="32" s="1"/>
  <c r="AA336" i="32"/>
  <c r="L356" i="32" s="1"/>
  <c r="S336" i="32"/>
  <c r="D356" i="32" s="1"/>
  <c r="AM336" i="32"/>
  <c r="X356" i="32" s="1"/>
  <c r="Y336" i="32"/>
  <c r="J356" i="32" s="1"/>
  <c r="AH336" i="32"/>
  <c r="S356" i="32" s="1"/>
  <c r="S366" i="32"/>
  <c r="E366" i="32"/>
  <c r="D366" i="32"/>
  <c r="AG349" i="32"/>
  <c r="A397" i="32"/>
  <c r="A385" i="32"/>
  <c r="R334" i="32"/>
  <c r="C354" i="32" s="1"/>
  <c r="Z334" i="32"/>
  <c r="K354" i="32" s="1"/>
  <c r="AH334" i="32"/>
  <c r="S354" i="32" s="1"/>
  <c r="AP334" i="32"/>
  <c r="AA354" i="32" s="1"/>
  <c r="R336" i="32"/>
  <c r="C356" i="32" s="1"/>
  <c r="AB336" i="32"/>
  <c r="M356" i="32" s="1"/>
  <c r="AK336" i="32"/>
  <c r="V356" i="32" s="1"/>
  <c r="X337" i="32"/>
  <c r="AI337" i="32"/>
  <c r="K358" i="32"/>
  <c r="AB342" i="32"/>
  <c r="M362" i="32" s="1"/>
  <c r="Z346" i="32"/>
  <c r="K366" i="32" s="1"/>
  <c r="AD347" i="32"/>
  <c r="O367" i="32" s="1"/>
  <c r="T349" i="32"/>
  <c r="AJ349" i="32"/>
  <c r="AI350" i="32"/>
  <c r="T370" i="32" s="1"/>
  <c r="S334" i="32"/>
  <c r="D354" i="32" s="1"/>
  <c r="AA334" i="32"/>
  <c r="L354" i="32" s="1"/>
  <c r="AI334" i="32"/>
  <c r="T354" i="32" s="1"/>
  <c r="AQ334" i="32"/>
  <c r="AB354" i="32" s="1"/>
  <c r="T336" i="32"/>
  <c r="E356" i="32" s="1"/>
  <c r="AC336" i="32"/>
  <c r="N356" i="32" s="1"/>
  <c r="AL336" i="32"/>
  <c r="W356" i="32" s="1"/>
  <c r="Y337" i="32"/>
  <c r="AK342" i="32"/>
  <c r="V362" i="32" s="1"/>
  <c r="AC342" i="32"/>
  <c r="N362" i="32" s="1"/>
  <c r="U342" i="32"/>
  <c r="F362" i="32" s="1"/>
  <c r="AQ342" i="32"/>
  <c r="AB362" i="32" s="1"/>
  <c r="AI342" i="32"/>
  <c r="T362" i="32" s="1"/>
  <c r="AA342" i="32"/>
  <c r="L362" i="32" s="1"/>
  <c r="S342" i="32"/>
  <c r="D362" i="32" s="1"/>
  <c r="AO342" i="32"/>
  <c r="Z362" i="32" s="1"/>
  <c r="AG342" i="32"/>
  <c r="R362" i="32" s="1"/>
  <c r="Y342" i="32"/>
  <c r="J362" i="32" s="1"/>
  <c r="Q342" i="32"/>
  <c r="B362" i="32" s="1"/>
  <c r="AD342" i="32"/>
  <c r="O362" i="32" s="1"/>
  <c r="AP342" i="32"/>
  <c r="AA362" i="32" s="1"/>
  <c r="V349" i="32"/>
  <c r="AL349" i="32"/>
  <c r="A389" i="32"/>
  <c r="A401" i="32"/>
  <c r="T334" i="32"/>
  <c r="E354" i="32" s="1"/>
  <c r="AB334" i="32"/>
  <c r="M354" i="32" s="1"/>
  <c r="AJ334" i="32"/>
  <c r="U354" i="32" s="1"/>
  <c r="U336" i="32"/>
  <c r="F356" i="32" s="1"/>
  <c r="AD336" i="32"/>
  <c r="O356" i="32" s="1"/>
  <c r="AN336" i="32"/>
  <c r="Y356" i="32" s="1"/>
  <c r="AP337" i="32"/>
  <c r="AH337" i="32"/>
  <c r="Z337" i="32"/>
  <c r="R337" i="32"/>
  <c r="AL337" i="32"/>
  <c r="AD337" i="32"/>
  <c r="V337" i="32"/>
  <c r="AA337" i="32"/>
  <c r="AK337" i="32"/>
  <c r="R342" i="32"/>
  <c r="C362" i="32" s="1"/>
  <c r="AE342" i="32"/>
  <c r="P362" i="32" s="1"/>
  <c r="AR342" i="32"/>
  <c r="AC362" i="32" s="1"/>
  <c r="AA345" i="32"/>
  <c r="L365" i="32" s="1"/>
  <c r="AO346" i="32"/>
  <c r="Z366" i="32" s="1"/>
  <c r="AG346" i="32"/>
  <c r="R366" i="32" s="1"/>
  <c r="Y346" i="32"/>
  <c r="J366" i="32" s="1"/>
  <c r="Q346" i="32"/>
  <c r="B366" i="32" s="1"/>
  <c r="AM346" i="32"/>
  <c r="X366" i="32" s="1"/>
  <c r="AE346" i="32"/>
  <c r="P366" i="32" s="1"/>
  <c r="W346" i="32"/>
  <c r="H366" i="32" s="1"/>
  <c r="AK346" i="32"/>
  <c r="V366" i="32" s="1"/>
  <c r="AC346" i="32"/>
  <c r="N366" i="32" s="1"/>
  <c r="U346" i="32"/>
  <c r="F366" i="32" s="1"/>
  <c r="AB346" i="32"/>
  <c r="M366" i="32" s="1"/>
  <c r="AP346" i="32"/>
  <c r="AA366" i="32" s="1"/>
  <c r="R347" i="32"/>
  <c r="C367" i="32" s="1"/>
  <c r="AH348" i="32"/>
  <c r="X349" i="32"/>
  <c r="AO349" i="32"/>
  <c r="AC366" i="32"/>
  <c r="Y359" i="32"/>
  <c r="V359" i="32"/>
  <c r="T339" i="32"/>
  <c r="E359" i="32" s="1"/>
  <c r="AB339" i="32"/>
  <c r="M359" i="32" s="1"/>
  <c r="AJ339" i="32"/>
  <c r="U359" i="32" s="1"/>
  <c r="AR339" i="32"/>
  <c r="AC359" i="32" s="1"/>
  <c r="X343" i="32"/>
  <c r="I363" i="32" s="1"/>
  <c r="AF343" i="32"/>
  <c r="Q363" i="32" s="1"/>
  <c r="AN343" i="32"/>
  <c r="Y363" i="32" s="1"/>
  <c r="V345" i="32"/>
  <c r="G365" i="32" s="1"/>
  <c r="AD345" i="32"/>
  <c r="O365" i="32" s="1"/>
  <c r="AL345" i="32"/>
  <c r="W365" i="32" s="1"/>
  <c r="AA367" i="32"/>
  <c r="H367" i="32"/>
  <c r="X367" i="32"/>
  <c r="U367" i="32"/>
  <c r="AC367" i="32"/>
  <c r="V347" i="32"/>
  <c r="G367" i="32" s="1"/>
  <c r="AF347" i="32"/>
  <c r="Q367" i="32" s="1"/>
  <c r="R348" i="32"/>
  <c r="AC348" i="32"/>
  <c r="AM348" i="32"/>
  <c r="AM349" i="32"/>
  <c r="AE349" i="32"/>
  <c r="W349" i="32"/>
  <c r="AQ349" i="32"/>
  <c r="AI349" i="32"/>
  <c r="AA349" i="32"/>
  <c r="S349" i="32"/>
  <c r="Z349" i="32"/>
  <c r="AK349" i="32"/>
  <c r="X350" i="32"/>
  <c r="I370" i="32" s="1"/>
  <c r="V339" i="32"/>
  <c r="G359" i="32" s="1"/>
  <c r="AD339" i="32"/>
  <c r="O359" i="32" s="1"/>
  <c r="T361" i="32"/>
  <c r="X345" i="32"/>
  <c r="I365" i="32" s="1"/>
  <c r="AF345" i="32"/>
  <c r="Q365" i="32" s="1"/>
  <c r="AN345" i="32"/>
  <c r="Y365" i="32" s="1"/>
  <c r="X347" i="32"/>
  <c r="I367" i="32" s="1"/>
  <c r="AL350" i="32"/>
  <c r="W370" i="32" s="1"/>
  <c r="AD350" i="32"/>
  <c r="O370" i="32" s="1"/>
  <c r="V350" i="32"/>
  <c r="G370" i="32" s="1"/>
  <c r="AQ350" i="32"/>
  <c r="AB370" i="32" s="1"/>
  <c r="AP350" i="32"/>
  <c r="AA370" i="32" s="1"/>
  <c r="AH350" i="32"/>
  <c r="S370" i="32" s="1"/>
  <c r="Z350" i="32"/>
  <c r="K370" i="32" s="1"/>
  <c r="R350" i="32"/>
  <c r="C370" i="32" s="1"/>
  <c r="AA350" i="32"/>
  <c r="L370" i="32" s="1"/>
  <c r="AK350" i="32"/>
  <c r="V370" i="32" s="1"/>
  <c r="A386" i="32"/>
  <c r="A398" i="32"/>
  <c r="X339" i="32"/>
  <c r="I359" i="32" s="1"/>
  <c r="AF339" i="32"/>
  <c r="Q359" i="32" s="1"/>
  <c r="T343" i="32"/>
  <c r="E363" i="32" s="1"/>
  <c r="AB343" i="32"/>
  <c r="M363" i="32" s="1"/>
  <c r="AJ343" i="32"/>
  <c r="U363" i="32" s="1"/>
  <c r="R345" i="32"/>
  <c r="C365" i="32" s="1"/>
  <c r="Z345" i="32"/>
  <c r="K365" i="32" s="1"/>
  <c r="AH345" i="32"/>
  <c r="S365" i="32" s="1"/>
  <c r="AO347" i="32"/>
  <c r="Z367" i="32" s="1"/>
  <c r="AG347" i="32"/>
  <c r="R367" i="32" s="1"/>
  <c r="Y347" i="32"/>
  <c r="J367" i="32" s="1"/>
  <c r="Q347" i="32"/>
  <c r="B367" i="32" s="1"/>
  <c r="AK347" i="32"/>
  <c r="V367" i="32" s="1"/>
  <c r="AC347" i="32"/>
  <c r="N367" i="32" s="1"/>
  <c r="U347" i="32"/>
  <c r="F367" i="32" s="1"/>
  <c r="AA347" i="32"/>
  <c r="L367" i="32" s="1"/>
  <c r="AL347" i="32"/>
  <c r="W367" i="32" s="1"/>
  <c r="W348" i="32"/>
  <c r="S350" i="32"/>
  <c r="D370" i="32" s="1"/>
  <c r="AC350" i="32"/>
  <c r="N370" i="32" s="1"/>
  <c r="AN350" i="32"/>
  <c r="Y370" i="32" s="1"/>
  <c r="Y367" i="32"/>
  <c r="T348" i="32"/>
  <c r="AB348" i="32"/>
  <c r="AJ348" i="32"/>
  <c r="AR348" i="32"/>
  <c r="A404" i="32"/>
  <c r="A392" i="32"/>
  <c r="A402" i="32"/>
  <c r="A390" i="32"/>
  <c r="X348" i="32"/>
  <c r="AF348" i="32"/>
  <c r="A403" i="32"/>
  <c r="A391" i="32"/>
  <c r="Q369" i="32" l="1"/>
  <c r="Q368" i="32"/>
  <c r="Q260" i="32"/>
  <c r="Q45" i="32"/>
  <c r="Q152" i="32"/>
  <c r="L368" i="32"/>
  <c r="B152" i="32"/>
  <c r="J368" i="32"/>
  <c r="E246" i="32"/>
  <c r="E277" i="32" s="1"/>
  <c r="C235" i="32"/>
  <c r="J32" i="32"/>
  <c r="J151" i="32"/>
  <c r="C127" i="32"/>
  <c r="J260" i="32"/>
  <c r="C259" i="32"/>
  <c r="W259" i="32"/>
  <c r="J259" i="32"/>
  <c r="T46" i="32"/>
  <c r="O260" i="32"/>
  <c r="Y369" i="32"/>
  <c r="N246" i="32"/>
  <c r="N277" i="32" s="1"/>
  <c r="O246" i="32"/>
  <c r="O289" i="32" s="1"/>
  <c r="O369" i="32"/>
  <c r="AC160" i="2"/>
  <c r="L176" i="2" s="1"/>
  <c r="B21" i="32" s="1"/>
  <c r="E42" i="29"/>
  <c r="I42" i="29" s="1"/>
  <c r="E43" i="29"/>
  <c r="E44" i="29"/>
  <c r="I44" i="29" s="1"/>
  <c r="E46" i="29"/>
  <c r="I46" i="29" s="1"/>
  <c r="E45" i="29"/>
  <c r="I45" i="29" s="1"/>
  <c r="O151" i="32"/>
  <c r="O152" i="32"/>
  <c r="Q355" i="32"/>
  <c r="Q398" i="32" s="1"/>
  <c r="H369" i="32"/>
  <c r="Z152" i="32"/>
  <c r="H151" i="32"/>
  <c r="U151" i="32"/>
  <c r="T355" i="32"/>
  <c r="T398" i="32" s="1"/>
  <c r="F355" i="32"/>
  <c r="F398" i="32" s="1"/>
  <c r="U355" i="32"/>
  <c r="U386" i="32" s="1"/>
  <c r="H259" i="32"/>
  <c r="AA355" i="32"/>
  <c r="AA374" i="32" s="1"/>
  <c r="N355" i="32"/>
  <c r="N374" i="32" s="1"/>
  <c r="AC355" i="32"/>
  <c r="AC398" i="32" s="1"/>
  <c r="DW7" i="33" s="1"/>
  <c r="B259" i="32"/>
  <c r="J152" i="32"/>
  <c r="K368" i="32"/>
  <c r="J355" i="32"/>
  <c r="J398" i="32" s="1"/>
  <c r="G355" i="32"/>
  <c r="G374" i="32" s="1"/>
  <c r="H355" i="32"/>
  <c r="H374" i="32" s="1"/>
  <c r="E355" i="32"/>
  <c r="M355" i="32"/>
  <c r="M374" i="32" s="1"/>
  <c r="S355" i="32"/>
  <c r="S374" i="32" s="1"/>
  <c r="O355" i="32"/>
  <c r="O398" i="32" s="1"/>
  <c r="H368" i="32"/>
  <c r="X355" i="32"/>
  <c r="X374" i="32" s="1"/>
  <c r="V355" i="32"/>
  <c r="V398" i="32" s="1"/>
  <c r="Y355" i="32"/>
  <c r="Y398" i="32" s="1"/>
  <c r="AB355" i="32"/>
  <c r="N152" i="32"/>
  <c r="B355" i="32"/>
  <c r="B398" i="32" s="1"/>
  <c r="Q7" i="33" s="1"/>
  <c r="J369" i="32"/>
  <c r="I152" i="32"/>
  <c r="I259" i="32"/>
  <c r="I369" i="32"/>
  <c r="I151" i="32"/>
  <c r="B369" i="32"/>
  <c r="B151" i="32"/>
  <c r="B368" i="32"/>
  <c r="F259" i="32"/>
  <c r="I368" i="32"/>
  <c r="F369" i="32"/>
  <c r="I260" i="32"/>
  <c r="K259" i="32"/>
  <c r="D355" i="32"/>
  <c r="W355" i="32"/>
  <c r="W398" i="32" s="1"/>
  <c r="Q259" i="32"/>
  <c r="Z246" i="32"/>
  <c r="Z265" i="32" s="1"/>
  <c r="L369" i="32"/>
  <c r="P355" i="32"/>
  <c r="P386" i="32" s="1"/>
  <c r="I355" i="32"/>
  <c r="I386" i="32" s="1"/>
  <c r="H152" i="32"/>
  <c r="Y45" i="32"/>
  <c r="U369" i="32"/>
  <c r="K369" i="32"/>
  <c r="P32" i="32"/>
  <c r="P63" i="32" s="1"/>
  <c r="Z355" i="32"/>
  <c r="Z374" i="32" s="1"/>
  <c r="F260" i="32"/>
  <c r="F45" i="32"/>
  <c r="H260" i="32"/>
  <c r="R355" i="32"/>
  <c r="R386" i="32" s="1"/>
  <c r="O259" i="32"/>
  <c r="D259" i="32"/>
  <c r="AB46" i="32"/>
  <c r="D46" i="32"/>
  <c r="K260" i="32"/>
  <c r="F368" i="32"/>
  <c r="Q46" i="32"/>
  <c r="C355" i="32"/>
  <c r="C398" i="32" s="1"/>
  <c r="AB259" i="32"/>
  <c r="K46" i="32"/>
  <c r="B260" i="32"/>
  <c r="K355" i="32"/>
  <c r="K374" i="32" s="1"/>
  <c r="K152" i="32"/>
  <c r="W151" i="32"/>
  <c r="W368" i="32"/>
  <c r="C369" i="32"/>
  <c r="C152" i="32"/>
  <c r="C151" i="32"/>
  <c r="E368" i="32"/>
  <c r="C368" i="32"/>
  <c r="G246" i="32"/>
  <c r="G277" i="32" s="1"/>
  <c r="M246" i="32"/>
  <c r="M265" i="32" s="1"/>
  <c r="U32" i="32"/>
  <c r="U75" i="32" s="1"/>
  <c r="E369" i="32"/>
  <c r="E260" i="32"/>
  <c r="D368" i="32"/>
  <c r="P246" i="32"/>
  <c r="P265" i="32" s="1"/>
  <c r="H246" i="32"/>
  <c r="H289" i="32" s="1"/>
  <c r="W246" i="32"/>
  <c r="W265" i="32" s="1"/>
  <c r="L246" i="32"/>
  <c r="L277" i="32" s="1"/>
  <c r="Y246" i="32"/>
  <c r="Y265" i="32" s="1"/>
  <c r="AB246" i="32"/>
  <c r="C260" i="32"/>
  <c r="D260" i="32"/>
  <c r="R246" i="32"/>
  <c r="R289" i="32" s="1"/>
  <c r="C246" i="32"/>
  <c r="C289" i="32" s="1"/>
  <c r="X246" i="32"/>
  <c r="X265" i="32" s="1"/>
  <c r="D246" i="32"/>
  <c r="D289" i="32" s="1"/>
  <c r="D152" i="32"/>
  <c r="AC246" i="32"/>
  <c r="K246" i="32"/>
  <c r="K289" i="32" s="1"/>
  <c r="B246" i="32"/>
  <c r="B265" i="32" s="1"/>
  <c r="E152" i="32"/>
  <c r="F46" i="32"/>
  <c r="W369" i="32"/>
  <c r="I246" i="32"/>
  <c r="I289" i="32" s="1"/>
  <c r="S246" i="32"/>
  <c r="S289" i="32" s="1"/>
  <c r="J246" i="32"/>
  <c r="J289" i="32" s="1"/>
  <c r="E151" i="32"/>
  <c r="W260" i="32"/>
  <c r="T246" i="32"/>
  <c r="T289" i="32" s="1"/>
  <c r="AA246" i="32"/>
  <c r="AA289" i="32" s="1"/>
  <c r="U246" i="32"/>
  <c r="U265" i="32" s="1"/>
  <c r="Q246" i="32"/>
  <c r="Q265" i="32" s="1"/>
  <c r="D369" i="32"/>
  <c r="V246" i="32"/>
  <c r="V289" i="32" s="1"/>
  <c r="E259" i="32"/>
  <c r="F246" i="32"/>
  <c r="F289" i="32" s="1"/>
  <c r="C46" i="32"/>
  <c r="F138" i="32"/>
  <c r="F157" i="32" s="1"/>
  <c r="AC369" i="32"/>
  <c r="AC45" i="32"/>
  <c r="AC259" i="32"/>
  <c r="M260" i="32"/>
  <c r="B32" i="32"/>
  <c r="B51" i="32" s="1"/>
  <c r="R32" i="32"/>
  <c r="R63" i="32" s="1"/>
  <c r="M369" i="32"/>
  <c r="T259" i="32"/>
  <c r="T260" i="32"/>
  <c r="L46" i="32"/>
  <c r="M368" i="32"/>
  <c r="M259" i="32"/>
  <c r="AC152" i="32"/>
  <c r="E32" i="32"/>
  <c r="E63" i="32" s="1"/>
  <c r="X368" i="32"/>
  <c r="AB152" i="32"/>
  <c r="O46" i="32"/>
  <c r="AC368" i="32"/>
  <c r="T368" i="32"/>
  <c r="AA152" i="32"/>
  <c r="D32" i="32"/>
  <c r="D51" i="32" s="1"/>
  <c r="AC260" i="32"/>
  <c r="T369" i="32"/>
  <c r="N369" i="32"/>
  <c r="N151" i="32"/>
  <c r="N260" i="32"/>
  <c r="P292" i="32"/>
  <c r="N368" i="32"/>
  <c r="K32" i="32"/>
  <c r="K75" i="32" s="1"/>
  <c r="N259" i="32"/>
  <c r="H45" i="32"/>
  <c r="N45" i="32"/>
  <c r="L32" i="32"/>
  <c r="L63" i="32" s="1"/>
  <c r="S32" i="32"/>
  <c r="S75" i="32" s="1"/>
  <c r="H32" i="32"/>
  <c r="H51" i="32" s="1"/>
  <c r="X32" i="32"/>
  <c r="X75" i="32" s="1"/>
  <c r="Y32" i="32"/>
  <c r="Y51" i="32" s="1"/>
  <c r="O138" i="32"/>
  <c r="O181" i="32" s="1"/>
  <c r="W32" i="32"/>
  <c r="W75" i="32" s="1"/>
  <c r="AC32" i="32"/>
  <c r="AC63" i="32" s="1"/>
  <c r="AA32" i="32"/>
  <c r="AA75" i="32" s="1"/>
  <c r="O32" i="32"/>
  <c r="O51" i="32" s="1"/>
  <c r="Z32" i="32"/>
  <c r="Z75" i="32" s="1"/>
  <c r="N32" i="32"/>
  <c r="N75" i="32" s="1"/>
  <c r="Q32" i="32"/>
  <c r="Q63" i="32" s="1"/>
  <c r="G32" i="32"/>
  <c r="G51" i="32" s="1"/>
  <c r="F32" i="32"/>
  <c r="F75" i="32" s="1"/>
  <c r="P138" i="32"/>
  <c r="P181" i="32" s="1"/>
  <c r="I32" i="32"/>
  <c r="I63" i="32" s="1"/>
  <c r="AB32" i="32"/>
  <c r="AB75" i="32" s="1"/>
  <c r="M32" i="32"/>
  <c r="M63" i="32" s="1"/>
  <c r="V32" i="32"/>
  <c r="T32" i="32"/>
  <c r="T51" i="32" s="1"/>
  <c r="C32" i="32"/>
  <c r="C75" i="32" s="1"/>
  <c r="Q138" i="32"/>
  <c r="Q181" i="32" s="1"/>
  <c r="G138" i="32"/>
  <c r="G157" i="32" s="1"/>
  <c r="K138" i="32"/>
  <c r="K181" i="32" s="1"/>
  <c r="S138" i="32"/>
  <c r="S181" i="32" s="1"/>
  <c r="X138" i="32"/>
  <c r="X169" i="32" s="1"/>
  <c r="W138" i="32"/>
  <c r="W169" i="32" s="1"/>
  <c r="U138" i="32"/>
  <c r="U181" i="32" s="1"/>
  <c r="J138" i="32"/>
  <c r="J157" i="32" s="1"/>
  <c r="D138" i="32"/>
  <c r="D181" i="32" s="1"/>
  <c r="N138" i="32"/>
  <c r="N157" i="32" s="1"/>
  <c r="H138" i="32"/>
  <c r="H169" i="32" s="1"/>
  <c r="C138" i="32"/>
  <c r="C181" i="32" s="1"/>
  <c r="Z138" i="32"/>
  <c r="Z181" i="32" s="1"/>
  <c r="L138" i="32"/>
  <c r="L169" i="32" s="1"/>
  <c r="V138" i="32"/>
  <c r="V157" i="32" s="1"/>
  <c r="B138" i="32"/>
  <c r="B169" i="32" s="1"/>
  <c r="T138" i="32"/>
  <c r="T157" i="32" s="1"/>
  <c r="E138" i="32"/>
  <c r="E157" i="32" s="1"/>
  <c r="Y138" i="32"/>
  <c r="Y169" i="32" s="1"/>
  <c r="M138" i="32"/>
  <c r="M181" i="32" s="1"/>
  <c r="BJ7" i="33" s="1"/>
  <c r="I138" i="32"/>
  <c r="I169" i="32" s="1"/>
  <c r="R138" i="32"/>
  <c r="R181" i="32" s="1"/>
  <c r="AA138" i="32"/>
  <c r="AA181" i="32" s="1"/>
  <c r="AC138" i="32"/>
  <c r="AC169" i="32" s="1"/>
  <c r="AB138" i="32"/>
  <c r="AB169" i="32" s="1"/>
  <c r="P46" i="32"/>
  <c r="P151" i="32"/>
  <c r="P259" i="32"/>
  <c r="S151" i="32"/>
  <c r="S369" i="32"/>
  <c r="S260" i="32"/>
  <c r="S259" i="32"/>
  <c r="P260" i="32"/>
  <c r="P152" i="32"/>
  <c r="P369" i="32"/>
  <c r="W152" i="32"/>
  <c r="M46" i="32"/>
  <c r="M45" i="32"/>
  <c r="E46" i="32"/>
  <c r="P368" i="32"/>
  <c r="L260" i="32"/>
  <c r="I45" i="32"/>
  <c r="O45" i="32"/>
  <c r="S368" i="32"/>
  <c r="I46" i="32"/>
  <c r="T45" i="32"/>
  <c r="L45" i="32"/>
  <c r="B45" i="32"/>
  <c r="D45" i="32"/>
  <c r="U46" i="32"/>
  <c r="Y46" i="32"/>
  <c r="T152" i="32"/>
  <c r="B180" i="32"/>
  <c r="G6" i="33" s="1"/>
  <c r="AC46" i="32"/>
  <c r="F151" i="32"/>
  <c r="K151" i="32"/>
  <c r="M151" i="32"/>
  <c r="C45" i="32"/>
  <c r="AA79" i="32"/>
  <c r="S45" i="32"/>
  <c r="AA68" i="32"/>
  <c r="AA56" i="32"/>
  <c r="G46" i="32"/>
  <c r="G151" i="32"/>
  <c r="G368" i="32"/>
  <c r="G259" i="32"/>
  <c r="G369" i="32"/>
  <c r="G152" i="32"/>
  <c r="V152" i="32"/>
  <c r="V151" i="32"/>
  <c r="V368" i="32"/>
  <c r="V46" i="32"/>
  <c r="V45" i="32"/>
  <c r="V259" i="32"/>
  <c r="V369" i="32"/>
  <c r="AA80" i="32"/>
  <c r="AA151" i="32"/>
  <c r="AA369" i="32"/>
  <c r="AA259" i="32"/>
  <c r="AA46" i="32"/>
  <c r="R151" i="32"/>
  <c r="R368" i="32"/>
  <c r="AB368" i="32"/>
  <c r="U260" i="32"/>
  <c r="U259" i="32"/>
  <c r="AA260" i="32"/>
  <c r="AA368" i="32"/>
  <c r="AB151" i="32"/>
  <c r="Z45" i="32"/>
  <c r="H46" i="32"/>
  <c r="U45" i="32"/>
  <c r="E45" i="32"/>
  <c r="AA45" i="32"/>
  <c r="Y259" i="32"/>
  <c r="R260" i="32"/>
  <c r="R259" i="32"/>
  <c r="Y151" i="32"/>
  <c r="J45" i="32"/>
  <c r="U152" i="32"/>
  <c r="Z368" i="32"/>
  <c r="Q295" i="32"/>
  <c r="Z260" i="32"/>
  <c r="Z151" i="32"/>
  <c r="B76" i="32"/>
  <c r="B8" i="33" s="1"/>
  <c r="AA67" i="32"/>
  <c r="AB369" i="32"/>
  <c r="R369" i="32"/>
  <c r="U368" i="32"/>
  <c r="Y368" i="32"/>
  <c r="Y260" i="32"/>
  <c r="Z259" i="32"/>
  <c r="L259" i="32"/>
  <c r="N46" i="32"/>
  <c r="K45" i="32"/>
  <c r="AA55" i="32"/>
  <c r="R45" i="32"/>
  <c r="Z369" i="32"/>
  <c r="V260" i="32"/>
  <c r="Y152" i="32"/>
  <c r="L152" i="32"/>
  <c r="T151" i="32"/>
  <c r="W45" i="32"/>
  <c r="P45" i="32"/>
  <c r="G260" i="32"/>
  <c r="AB260" i="32"/>
  <c r="AB45" i="32"/>
  <c r="Y404" i="32"/>
  <c r="Y380" i="32"/>
  <c r="Y392" i="32"/>
  <c r="R397" i="32"/>
  <c r="R385" i="32"/>
  <c r="R399" i="32"/>
  <c r="R375" i="32"/>
  <c r="R387" i="32"/>
  <c r="R373" i="32"/>
  <c r="T161" i="32"/>
  <c r="T185" i="32"/>
  <c r="T173" i="32"/>
  <c r="F404" i="32"/>
  <c r="F392" i="32"/>
  <c r="F380" i="32"/>
  <c r="T397" i="32"/>
  <c r="T373" i="32"/>
  <c r="T387" i="32"/>
  <c r="T385" i="32"/>
  <c r="T375" i="32"/>
  <c r="T399" i="32"/>
  <c r="L271" i="32"/>
  <c r="L295" i="32"/>
  <c r="L283" i="32"/>
  <c r="I389" i="32"/>
  <c r="I401" i="32"/>
  <c r="I377" i="32"/>
  <c r="R392" i="32"/>
  <c r="R404" i="32"/>
  <c r="R380" i="32"/>
  <c r="N399" i="32"/>
  <c r="N387" i="32"/>
  <c r="N385" i="32"/>
  <c r="N373" i="32"/>
  <c r="N375" i="32"/>
  <c r="N397" i="32"/>
  <c r="O292" i="32"/>
  <c r="O268" i="32"/>
  <c r="O280" i="32"/>
  <c r="V295" i="32"/>
  <c r="V283" i="32"/>
  <c r="V271" i="32"/>
  <c r="AB271" i="32"/>
  <c r="AB295" i="32"/>
  <c r="AB283" i="32"/>
  <c r="H278" i="32"/>
  <c r="H290" i="32"/>
  <c r="H264" i="32"/>
  <c r="H276" i="32"/>
  <c r="H288" i="32"/>
  <c r="H266" i="32"/>
  <c r="J290" i="32"/>
  <c r="J288" i="32"/>
  <c r="J265" i="32"/>
  <c r="J266" i="32"/>
  <c r="J276" i="32"/>
  <c r="J264" i="32"/>
  <c r="J278" i="32"/>
  <c r="Z294" i="32"/>
  <c r="AB280" i="32"/>
  <c r="AB292" i="32"/>
  <c r="AB268" i="32"/>
  <c r="Y186" i="32"/>
  <c r="Y174" i="32"/>
  <c r="Y162" i="32"/>
  <c r="L168" i="32"/>
  <c r="L158" i="32"/>
  <c r="L180" i="32"/>
  <c r="L182" i="32"/>
  <c r="L156" i="32"/>
  <c r="L170" i="32"/>
  <c r="R170" i="32"/>
  <c r="R156" i="32"/>
  <c r="R182" i="32"/>
  <c r="R168" i="32"/>
  <c r="R180" i="32"/>
  <c r="R158" i="32"/>
  <c r="F185" i="32"/>
  <c r="F173" i="32"/>
  <c r="F161" i="32"/>
  <c r="Q80" i="32"/>
  <c r="Q56" i="32"/>
  <c r="Q68" i="32"/>
  <c r="L74" i="32"/>
  <c r="L64" i="32"/>
  <c r="L62" i="32"/>
  <c r="L52" i="32"/>
  <c r="L76" i="32"/>
  <c r="L50" i="32"/>
  <c r="I74" i="32"/>
  <c r="I52" i="32"/>
  <c r="I62" i="32"/>
  <c r="I76" i="32"/>
  <c r="I64" i="32"/>
  <c r="I50" i="32"/>
  <c r="J81" i="32"/>
  <c r="J69" i="32"/>
  <c r="J57" i="32"/>
  <c r="AA54" i="32"/>
  <c r="AA78" i="32"/>
  <c r="AA66" i="32"/>
  <c r="T404" i="32"/>
  <c r="T392" i="32"/>
  <c r="T380" i="32"/>
  <c r="B403" i="32"/>
  <c r="Q12" i="33" s="1"/>
  <c r="B391" i="32"/>
  <c r="B379" i="32"/>
  <c r="B290" i="32"/>
  <c r="L8" i="33" s="1"/>
  <c r="B276" i="32"/>
  <c r="B278" i="32"/>
  <c r="B266" i="32"/>
  <c r="B288" i="32"/>
  <c r="L6" i="33" s="1"/>
  <c r="B264" i="32"/>
  <c r="D398" i="32"/>
  <c r="D397" i="32"/>
  <c r="D399" i="32"/>
  <c r="D387" i="32"/>
  <c r="D374" i="32"/>
  <c r="D375" i="32"/>
  <c r="D373" i="32"/>
  <c r="D386" i="32"/>
  <c r="D385" i="32"/>
  <c r="D271" i="32"/>
  <c r="D295" i="32"/>
  <c r="D283" i="32"/>
  <c r="AC268" i="32"/>
  <c r="AC280" i="32"/>
  <c r="AC292" i="32"/>
  <c r="DR10" i="33" s="1"/>
  <c r="I290" i="32"/>
  <c r="I266" i="32"/>
  <c r="I288" i="32"/>
  <c r="I278" i="32"/>
  <c r="I264" i="32"/>
  <c r="I276" i="32"/>
  <c r="B392" i="32"/>
  <c r="B404" i="32"/>
  <c r="Q13" i="33" s="1"/>
  <c r="B380" i="32"/>
  <c r="O399" i="32"/>
  <c r="O397" i="32"/>
  <c r="O385" i="32"/>
  <c r="O386" i="32"/>
  <c r="O373" i="32"/>
  <c r="O375" i="32"/>
  <c r="O387" i="32"/>
  <c r="AA268" i="32"/>
  <c r="AA292" i="32"/>
  <c r="AA280" i="32"/>
  <c r="R280" i="32"/>
  <c r="R292" i="32"/>
  <c r="R268" i="32"/>
  <c r="N294" i="32"/>
  <c r="N270" i="32"/>
  <c r="N282" i="32"/>
  <c r="O389" i="32"/>
  <c r="O401" i="32"/>
  <c r="O377" i="32"/>
  <c r="V404" i="32"/>
  <c r="V392" i="32"/>
  <c r="V380" i="32"/>
  <c r="G389" i="32"/>
  <c r="G377" i="32"/>
  <c r="G401" i="32"/>
  <c r="I270" i="32"/>
  <c r="I282" i="32"/>
  <c r="I294" i="32"/>
  <c r="V280" i="32"/>
  <c r="V292" i="32"/>
  <c r="V268" i="32"/>
  <c r="W292" i="32"/>
  <c r="W280" i="32"/>
  <c r="W268" i="32"/>
  <c r="K283" i="32"/>
  <c r="K271" i="32"/>
  <c r="K295" i="32"/>
  <c r="I292" i="32"/>
  <c r="I280" i="32"/>
  <c r="I268" i="32"/>
  <c r="Q186" i="32"/>
  <c r="Q174" i="32"/>
  <c r="Q162" i="32"/>
  <c r="E295" i="32"/>
  <c r="E283" i="32"/>
  <c r="E271" i="32"/>
  <c r="N295" i="32"/>
  <c r="N283" i="32"/>
  <c r="N271" i="32"/>
  <c r="T168" i="32"/>
  <c r="T158" i="32"/>
  <c r="T180" i="32"/>
  <c r="T170" i="32"/>
  <c r="T182" i="32"/>
  <c r="T156" i="32"/>
  <c r="Z170" i="32"/>
  <c r="Z156" i="32"/>
  <c r="Z180" i="32"/>
  <c r="Z168" i="32"/>
  <c r="Z158" i="32"/>
  <c r="Z182" i="32"/>
  <c r="D64" i="32"/>
  <c r="D74" i="32"/>
  <c r="D50" i="32"/>
  <c r="D62" i="32"/>
  <c r="D52" i="32"/>
  <c r="D76" i="32"/>
  <c r="V81" i="32"/>
  <c r="V69" i="32"/>
  <c r="V57" i="32"/>
  <c r="R69" i="32"/>
  <c r="R57" i="32"/>
  <c r="R81" i="32"/>
  <c r="AA76" i="32"/>
  <c r="AA74" i="32"/>
  <c r="AA50" i="32"/>
  <c r="AA64" i="32"/>
  <c r="AA62" i="32"/>
  <c r="AA52" i="32"/>
  <c r="P79" i="32"/>
  <c r="P67" i="32"/>
  <c r="P55" i="32"/>
  <c r="M79" i="32"/>
  <c r="BE11" i="33" s="1"/>
  <c r="M67" i="32"/>
  <c r="M55" i="32"/>
  <c r="E78" i="32"/>
  <c r="E66" i="32"/>
  <c r="E54" i="32"/>
  <c r="M401" i="32"/>
  <c r="BT10" i="33" s="1"/>
  <c r="M377" i="32"/>
  <c r="M389" i="32"/>
  <c r="AA392" i="32"/>
  <c r="AA404" i="32"/>
  <c r="AA380" i="32"/>
  <c r="M288" i="32"/>
  <c r="BO6" i="33" s="1"/>
  <c r="M266" i="32"/>
  <c r="M278" i="32"/>
  <c r="M290" i="32"/>
  <c r="BO8" i="33" s="1"/>
  <c r="M264" i="32"/>
  <c r="M276" i="32"/>
  <c r="L67" i="32"/>
  <c r="L79" i="32"/>
  <c r="L55" i="32"/>
  <c r="AC404" i="32"/>
  <c r="DW13" i="33" s="1"/>
  <c r="AC392" i="32"/>
  <c r="AC380" i="32"/>
  <c r="L292" i="32"/>
  <c r="L268" i="32"/>
  <c r="L280" i="32"/>
  <c r="X276" i="32"/>
  <c r="X290" i="32"/>
  <c r="X278" i="32"/>
  <c r="X264" i="32"/>
  <c r="X266" i="32"/>
  <c r="X288" i="32"/>
  <c r="H281" i="32"/>
  <c r="H293" i="32"/>
  <c r="H269" i="32"/>
  <c r="Y292" i="32"/>
  <c r="Y268" i="32"/>
  <c r="Y280" i="32"/>
  <c r="B161" i="32"/>
  <c r="B185" i="32"/>
  <c r="G11" i="33" s="1"/>
  <c r="B173" i="32"/>
  <c r="H185" i="32"/>
  <c r="H173" i="32"/>
  <c r="H161" i="32"/>
  <c r="U172" i="32"/>
  <c r="U160" i="32"/>
  <c r="U184" i="32"/>
  <c r="AB67" i="32"/>
  <c r="AB55" i="32"/>
  <c r="AB79" i="32"/>
  <c r="Y161" i="32"/>
  <c r="Y185" i="32"/>
  <c r="Y173" i="32"/>
  <c r="V55" i="32"/>
  <c r="V67" i="32"/>
  <c r="V79" i="32"/>
  <c r="D57" i="32"/>
  <c r="D81" i="32"/>
  <c r="D69" i="32"/>
  <c r="G69" i="32"/>
  <c r="G81" i="32"/>
  <c r="G57" i="32"/>
  <c r="Z81" i="32"/>
  <c r="Z69" i="32"/>
  <c r="Z57" i="32"/>
  <c r="C50" i="32"/>
  <c r="C64" i="32"/>
  <c r="C74" i="32"/>
  <c r="C76" i="32"/>
  <c r="C62" i="32"/>
  <c r="C52" i="32"/>
  <c r="K268" i="32"/>
  <c r="K292" i="32"/>
  <c r="K280" i="32"/>
  <c r="D278" i="32"/>
  <c r="D276" i="32"/>
  <c r="D264" i="32"/>
  <c r="D288" i="32"/>
  <c r="D266" i="32"/>
  <c r="D290" i="32"/>
  <c r="R185" i="32"/>
  <c r="R173" i="32"/>
  <c r="R161" i="32"/>
  <c r="D404" i="32"/>
  <c r="D392" i="32"/>
  <c r="D380" i="32"/>
  <c r="U294" i="32"/>
  <c r="U282" i="32"/>
  <c r="U270" i="32"/>
  <c r="H295" i="32"/>
  <c r="H271" i="32"/>
  <c r="H283" i="32"/>
  <c r="V276" i="32"/>
  <c r="V278" i="32"/>
  <c r="V290" i="32"/>
  <c r="V288" i="32"/>
  <c r="V264" i="32"/>
  <c r="V266" i="32"/>
  <c r="F278" i="32"/>
  <c r="F290" i="32"/>
  <c r="F266" i="32"/>
  <c r="B282" i="32"/>
  <c r="B294" i="32"/>
  <c r="L12" i="33" s="1"/>
  <c r="B270" i="32"/>
  <c r="Y373" i="32"/>
  <c r="Y397" i="32"/>
  <c r="Y385" i="32"/>
  <c r="U401" i="32"/>
  <c r="U389" i="32"/>
  <c r="U377" i="32"/>
  <c r="P392" i="32"/>
  <c r="P380" i="32"/>
  <c r="P404" i="32"/>
  <c r="L404" i="32"/>
  <c r="L392" i="32"/>
  <c r="L380" i="32"/>
  <c r="N401" i="32"/>
  <c r="N389" i="32"/>
  <c r="N377" i="32"/>
  <c r="M294" i="32"/>
  <c r="BO12" i="33" s="1"/>
  <c r="M282" i="32"/>
  <c r="M270" i="32"/>
  <c r="V403" i="32"/>
  <c r="V379" i="32"/>
  <c r="V391" i="32"/>
  <c r="C268" i="32"/>
  <c r="C292" i="32"/>
  <c r="C280" i="32"/>
  <c r="P295" i="32"/>
  <c r="P271" i="32"/>
  <c r="P283" i="32"/>
  <c r="R290" i="32"/>
  <c r="R265" i="32"/>
  <c r="R288" i="32"/>
  <c r="R266" i="32"/>
  <c r="R264" i="32"/>
  <c r="R276" i="32"/>
  <c r="R278" i="32"/>
  <c r="T293" i="32"/>
  <c r="T269" i="32"/>
  <c r="T281" i="32"/>
  <c r="G170" i="32"/>
  <c r="G180" i="32"/>
  <c r="G158" i="32"/>
  <c r="G182" i="32"/>
  <c r="G168" i="32"/>
  <c r="G156" i="32"/>
  <c r="M156" i="32"/>
  <c r="M182" i="32"/>
  <c r="BJ8" i="33" s="1"/>
  <c r="M180" i="32"/>
  <c r="BJ6" i="33" s="1"/>
  <c r="M170" i="32"/>
  <c r="M168" i="32"/>
  <c r="M158" i="32"/>
  <c r="J161" i="32"/>
  <c r="J173" i="32"/>
  <c r="J185" i="32"/>
  <c r="B184" i="32"/>
  <c r="G10" i="33" s="1"/>
  <c r="B160" i="32"/>
  <c r="B172" i="32"/>
  <c r="AB185" i="32"/>
  <c r="AB161" i="32"/>
  <c r="AB173" i="32"/>
  <c r="T79" i="32"/>
  <c r="T67" i="32"/>
  <c r="T55" i="32"/>
  <c r="O187" i="32"/>
  <c r="O163" i="32"/>
  <c r="O175" i="32"/>
  <c r="R67" i="32"/>
  <c r="R55" i="32"/>
  <c r="R79" i="32"/>
  <c r="W79" i="32"/>
  <c r="W55" i="32"/>
  <c r="W67" i="32"/>
  <c r="F67" i="32"/>
  <c r="F55" i="32"/>
  <c r="F79" i="32"/>
  <c r="W69" i="32"/>
  <c r="W81" i="32"/>
  <c r="W57" i="32"/>
  <c r="L69" i="32"/>
  <c r="L57" i="32"/>
  <c r="L81" i="32"/>
  <c r="S50" i="32"/>
  <c r="S64" i="32"/>
  <c r="S74" i="32"/>
  <c r="S62" i="32"/>
  <c r="S52" i="32"/>
  <c r="S76" i="32"/>
  <c r="O68" i="32"/>
  <c r="O80" i="32"/>
  <c r="O56" i="32"/>
  <c r="X56" i="32"/>
  <c r="X80" i="32"/>
  <c r="X68" i="32"/>
  <c r="J79" i="32"/>
  <c r="J55" i="32"/>
  <c r="J67" i="32"/>
  <c r="O79" i="32"/>
  <c r="O55" i="32"/>
  <c r="O67" i="32"/>
  <c r="AB57" i="32"/>
  <c r="AB69" i="32"/>
  <c r="AB81" i="32"/>
  <c r="H69" i="32"/>
  <c r="H57" i="32"/>
  <c r="H81" i="32"/>
  <c r="S67" i="32"/>
  <c r="S79" i="32"/>
  <c r="S55" i="32"/>
  <c r="F76" i="32"/>
  <c r="F52" i="32"/>
  <c r="F62" i="32"/>
  <c r="F74" i="32"/>
  <c r="F64" i="32"/>
  <c r="F50" i="32"/>
  <c r="C392" i="32"/>
  <c r="C404" i="32"/>
  <c r="C380" i="32"/>
  <c r="J295" i="32"/>
  <c r="J271" i="32"/>
  <c r="J283" i="32"/>
  <c r="AB404" i="32"/>
  <c r="AB380" i="32"/>
  <c r="AB392" i="32"/>
  <c r="Q160" i="32"/>
  <c r="Q172" i="32"/>
  <c r="Q184" i="32"/>
  <c r="E280" i="32"/>
  <c r="E292" i="32"/>
  <c r="E268" i="32"/>
  <c r="D162" i="32"/>
  <c r="D186" i="32"/>
  <c r="D174" i="32"/>
  <c r="AA180" i="32"/>
  <c r="AA158" i="32"/>
  <c r="AA170" i="32"/>
  <c r="AA182" i="32"/>
  <c r="AA156" i="32"/>
  <c r="AA168" i="32"/>
  <c r="W170" i="32"/>
  <c r="W180" i="32"/>
  <c r="W158" i="32"/>
  <c r="W182" i="32"/>
  <c r="W156" i="32"/>
  <c r="W168" i="32"/>
  <c r="Z161" i="32"/>
  <c r="Z185" i="32"/>
  <c r="Z173" i="32"/>
  <c r="D79" i="32"/>
  <c r="D55" i="32"/>
  <c r="D67" i="32"/>
  <c r="Y81" i="32"/>
  <c r="Y57" i="32"/>
  <c r="Y69" i="32"/>
  <c r="B67" i="32"/>
  <c r="B55" i="32"/>
  <c r="B79" i="32"/>
  <c r="B11" i="33" s="1"/>
  <c r="Y67" i="32"/>
  <c r="Y55" i="32"/>
  <c r="Y79" i="32"/>
  <c r="Q67" i="32"/>
  <c r="Q79" i="32"/>
  <c r="Q55" i="32"/>
  <c r="G79" i="32"/>
  <c r="G67" i="32"/>
  <c r="G55" i="32"/>
  <c r="H187" i="32"/>
  <c r="H163" i="32"/>
  <c r="H175" i="32"/>
  <c r="N175" i="32"/>
  <c r="N163" i="32"/>
  <c r="N187" i="32"/>
  <c r="P81" i="32"/>
  <c r="P57" i="32"/>
  <c r="P69" i="32"/>
  <c r="Q78" i="32"/>
  <c r="Q54" i="32"/>
  <c r="Q66" i="32"/>
  <c r="N76" i="32"/>
  <c r="N52" i="32"/>
  <c r="N62" i="32"/>
  <c r="N64" i="32"/>
  <c r="N50" i="32"/>
  <c r="N74" i="32"/>
  <c r="N63" i="32"/>
  <c r="AB78" i="32"/>
  <c r="AB54" i="32"/>
  <c r="AB66" i="32"/>
  <c r="R293" i="32"/>
  <c r="R269" i="32"/>
  <c r="R281" i="32"/>
  <c r="N182" i="32"/>
  <c r="N170" i="32"/>
  <c r="N156" i="32"/>
  <c r="N158" i="32"/>
  <c r="N180" i="32"/>
  <c r="N168" i="32"/>
  <c r="B170" i="32"/>
  <c r="B156" i="32"/>
  <c r="B182" i="32"/>
  <c r="G8" i="33" s="1"/>
  <c r="B158" i="32"/>
  <c r="B168" i="32"/>
  <c r="D161" i="32"/>
  <c r="D173" i="32"/>
  <c r="D185" i="32"/>
  <c r="E185" i="32"/>
  <c r="E173" i="32"/>
  <c r="E161" i="32"/>
  <c r="Y160" i="32"/>
  <c r="Y184" i="32"/>
  <c r="Y172" i="32"/>
  <c r="AB76" i="32"/>
  <c r="AB64" i="32"/>
  <c r="AB50" i="32"/>
  <c r="AB74" i="32"/>
  <c r="AB62" i="32"/>
  <c r="AB52" i="32"/>
  <c r="I67" i="32"/>
  <c r="I79" i="32"/>
  <c r="I55" i="32"/>
  <c r="Y74" i="32"/>
  <c r="Y52" i="32"/>
  <c r="Y62" i="32"/>
  <c r="Y76" i="32"/>
  <c r="Y50" i="32"/>
  <c r="Y64" i="32"/>
  <c r="O76" i="32"/>
  <c r="O62" i="32"/>
  <c r="O50" i="32"/>
  <c r="O74" i="32"/>
  <c r="O52" i="32"/>
  <c r="O64" i="32"/>
  <c r="H74" i="32"/>
  <c r="H76" i="32"/>
  <c r="H50" i="32"/>
  <c r="H64" i="32"/>
  <c r="H62" i="32"/>
  <c r="H52" i="32"/>
  <c r="J403" i="32"/>
  <c r="J391" i="32"/>
  <c r="J379" i="32"/>
  <c r="X295" i="32"/>
  <c r="X271" i="32"/>
  <c r="X283" i="32"/>
  <c r="S172" i="32"/>
  <c r="S184" i="32"/>
  <c r="S160" i="32"/>
  <c r="I387" i="32"/>
  <c r="I397" i="32"/>
  <c r="I399" i="32"/>
  <c r="I375" i="32"/>
  <c r="I385" i="32"/>
  <c r="I373" i="32"/>
  <c r="S268" i="32"/>
  <c r="S280" i="32"/>
  <c r="S292" i="32"/>
  <c r="L278" i="32"/>
  <c r="L288" i="32"/>
  <c r="L290" i="32"/>
  <c r="L276" i="32"/>
  <c r="L264" i="32"/>
  <c r="L266" i="32"/>
  <c r="C290" i="32"/>
  <c r="C288" i="32"/>
  <c r="C278" i="32"/>
  <c r="C264" i="32"/>
  <c r="C276" i="32"/>
  <c r="C266" i="32"/>
  <c r="C265" i="32"/>
  <c r="F292" i="32"/>
  <c r="F280" i="32"/>
  <c r="F268" i="32"/>
  <c r="Y387" i="32"/>
  <c r="Z397" i="32"/>
  <c r="Z385" i="32"/>
  <c r="Z398" i="32"/>
  <c r="Z399" i="32"/>
  <c r="Z375" i="32"/>
  <c r="Z373" i="32"/>
  <c r="Z387" i="32"/>
  <c r="T278" i="32"/>
  <c r="T276" i="32"/>
  <c r="T288" i="32"/>
  <c r="T264" i="32"/>
  <c r="T290" i="32"/>
  <c r="T266" i="32"/>
  <c r="N276" i="32"/>
  <c r="N289" i="32"/>
  <c r="N290" i="32"/>
  <c r="N266" i="32"/>
  <c r="N278" i="32"/>
  <c r="N264" i="32"/>
  <c r="N288" i="32"/>
  <c r="I160" i="32"/>
  <c r="I184" i="32"/>
  <c r="I172" i="32"/>
  <c r="J392" i="32"/>
  <c r="J404" i="32"/>
  <c r="J380" i="32"/>
  <c r="N404" i="32"/>
  <c r="N392" i="32"/>
  <c r="N380" i="32"/>
  <c r="K402" i="32"/>
  <c r="K378" i="32"/>
  <c r="K390" i="32"/>
  <c r="J390" i="32"/>
  <c r="J378" i="32"/>
  <c r="J402" i="32"/>
  <c r="V402" i="32"/>
  <c r="V390" i="32"/>
  <c r="V378" i="32"/>
  <c r="Y270" i="32"/>
  <c r="Y294" i="32"/>
  <c r="Y282" i="32"/>
  <c r="AB278" i="32"/>
  <c r="AB290" i="32"/>
  <c r="AB277" i="32"/>
  <c r="AB288" i="32"/>
  <c r="AB289" i="32"/>
  <c r="AB276" i="32"/>
  <c r="AB266" i="32"/>
  <c r="AB264" i="32"/>
  <c r="AB265" i="32"/>
  <c r="H392" i="32"/>
  <c r="H380" i="32"/>
  <c r="H404" i="32"/>
  <c r="H292" i="32"/>
  <c r="H280" i="32"/>
  <c r="H268" i="32"/>
  <c r="Y290" i="32"/>
  <c r="Y276" i="32"/>
  <c r="Y288" i="32"/>
  <c r="Y278" i="32"/>
  <c r="Y266" i="32"/>
  <c r="Y264" i="32"/>
  <c r="M292" i="32"/>
  <c r="BO10" i="33" s="1"/>
  <c r="M268" i="32"/>
  <c r="M280" i="32"/>
  <c r="D168" i="32"/>
  <c r="D182" i="32"/>
  <c r="D156" i="32"/>
  <c r="D180" i="32"/>
  <c r="D170" i="32"/>
  <c r="D158" i="32"/>
  <c r="M185" i="32"/>
  <c r="BJ11" i="33" s="1"/>
  <c r="M161" i="32"/>
  <c r="M173" i="32"/>
  <c r="Y56" i="32"/>
  <c r="Y68" i="32"/>
  <c r="Y80" i="32"/>
  <c r="T50" i="32"/>
  <c r="T74" i="32"/>
  <c r="T62" i="32"/>
  <c r="T52" i="32"/>
  <c r="T76" i="32"/>
  <c r="T64" i="32"/>
  <c r="B69" i="32"/>
  <c r="B81" i="32"/>
  <c r="B13" i="33" s="1"/>
  <c r="B57" i="32"/>
  <c r="N79" i="32"/>
  <c r="N55" i="32"/>
  <c r="N67" i="32"/>
  <c r="P64" i="32"/>
  <c r="P74" i="32"/>
  <c r="P50" i="32"/>
  <c r="P76" i="32"/>
  <c r="P51" i="32"/>
  <c r="P62" i="32"/>
  <c r="P52" i="32"/>
  <c r="X64" i="32"/>
  <c r="X74" i="32"/>
  <c r="X50" i="32"/>
  <c r="X62" i="32"/>
  <c r="X52" i="32"/>
  <c r="X63" i="32"/>
  <c r="X76" i="32"/>
  <c r="X45" i="32"/>
  <c r="X151" i="32"/>
  <c r="X369" i="32"/>
  <c r="X46" i="32"/>
  <c r="X152" i="32"/>
  <c r="L294" i="32"/>
  <c r="L270" i="32"/>
  <c r="L282" i="32"/>
  <c r="P282" i="32"/>
  <c r="P270" i="32"/>
  <c r="P294" i="32"/>
  <c r="D293" i="32"/>
  <c r="D281" i="32"/>
  <c r="D269" i="32"/>
  <c r="V269" i="32"/>
  <c r="V281" i="32"/>
  <c r="V293" i="32"/>
  <c r="Y293" i="32"/>
  <c r="Y281" i="32"/>
  <c r="Y269" i="32"/>
  <c r="AC281" i="32"/>
  <c r="AC269" i="32"/>
  <c r="AC293" i="32"/>
  <c r="DR11" i="33" s="1"/>
  <c r="AA293" i="32"/>
  <c r="AA269" i="32"/>
  <c r="AA281" i="32"/>
  <c r="F295" i="32"/>
  <c r="F271" i="32"/>
  <c r="F283" i="32"/>
  <c r="I295" i="32"/>
  <c r="I283" i="32"/>
  <c r="I271" i="32"/>
  <c r="C283" i="32"/>
  <c r="C295" i="32"/>
  <c r="C271" i="32"/>
  <c r="O294" i="32"/>
  <c r="O282" i="32"/>
  <c r="O270" i="32"/>
  <c r="Z290" i="32"/>
  <c r="Z278" i="32"/>
  <c r="Z288" i="32"/>
  <c r="Z276" i="32"/>
  <c r="Z266" i="32"/>
  <c r="Z264" i="32"/>
  <c r="AC288" i="32"/>
  <c r="DR6" i="33" s="1"/>
  <c r="AC266" i="32"/>
  <c r="AC289" i="32"/>
  <c r="DR7" i="33" s="1"/>
  <c r="AC276" i="32"/>
  <c r="AC290" i="32"/>
  <c r="DR8" i="33" s="1"/>
  <c r="AC277" i="32"/>
  <c r="AC265" i="32"/>
  <c r="AC278" i="32"/>
  <c r="AC264" i="32"/>
  <c r="K290" i="32"/>
  <c r="K288" i="32"/>
  <c r="K276" i="32"/>
  <c r="K264" i="32"/>
  <c r="K266" i="32"/>
  <c r="K278" i="32"/>
  <c r="O264" i="32"/>
  <c r="O278" i="32"/>
  <c r="O265" i="32"/>
  <c r="O290" i="32"/>
  <c r="O266" i="32"/>
  <c r="O288" i="32"/>
  <c r="O276" i="32"/>
  <c r="S185" i="32"/>
  <c r="S173" i="32"/>
  <c r="S161" i="32"/>
  <c r="U268" i="32"/>
  <c r="U292" i="32"/>
  <c r="U280" i="32"/>
  <c r="D292" i="32"/>
  <c r="D280" i="32"/>
  <c r="D268" i="32"/>
  <c r="G292" i="32"/>
  <c r="G268" i="32"/>
  <c r="G280" i="32"/>
  <c r="U162" i="32"/>
  <c r="U174" i="32"/>
  <c r="U186" i="32"/>
  <c r="Z186" i="32"/>
  <c r="Z174" i="32"/>
  <c r="Z162" i="32"/>
  <c r="Z184" i="32"/>
  <c r="Z160" i="32"/>
  <c r="Z172" i="32"/>
  <c r="AA160" i="32"/>
  <c r="AA184" i="32"/>
  <c r="AA172" i="32"/>
  <c r="S163" i="32"/>
  <c r="S175" i="32"/>
  <c r="S187" i="32"/>
  <c r="U81" i="32"/>
  <c r="U57" i="32"/>
  <c r="U69" i="32"/>
  <c r="L78" i="32"/>
  <c r="L54" i="32"/>
  <c r="L66" i="32"/>
  <c r="F276" i="32"/>
  <c r="AA187" i="32"/>
  <c r="AA175" i="32"/>
  <c r="AA163" i="32"/>
  <c r="L187" i="32"/>
  <c r="L175" i="32"/>
  <c r="L163" i="32"/>
  <c r="V187" i="32"/>
  <c r="V175" i="32"/>
  <c r="V163" i="32"/>
  <c r="C69" i="32"/>
  <c r="C81" i="32"/>
  <c r="C57" i="32"/>
  <c r="AB168" i="32"/>
  <c r="AB170" i="32"/>
  <c r="AB158" i="32"/>
  <c r="AB182" i="32"/>
  <c r="AB156" i="32"/>
  <c r="AB180" i="32"/>
  <c r="J170" i="32"/>
  <c r="J156" i="32"/>
  <c r="J168" i="32"/>
  <c r="J158" i="32"/>
  <c r="J182" i="32"/>
  <c r="J180" i="32"/>
  <c r="E156" i="32"/>
  <c r="E182" i="32"/>
  <c r="E168" i="32"/>
  <c r="E170" i="32"/>
  <c r="E158" i="32"/>
  <c r="E180" i="32"/>
  <c r="W80" i="32"/>
  <c r="W56" i="32"/>
  <c r="W68" i="32"/>
  <c r="U68" i="32"/>
  <c r="U56" i="32"/>
  <c r="U80" i="32"/>
  <c r="D175" i="32"/>
  <c r="D187" i="32"/>
  <c r="D163" i="32"/>
  <c r="P66" i="32"/>
  <c r="P54" i="32"/>
  <c r="P78" i="32"/>
  <c r="H79" i="32"/>
  <c r="H67" i="32"/>
  <c r="H55" i="32"/>
  <c r="F66" i="32"/>
  <c r="F54" i="32"/>
  <c r="F78" i="32"/>
  <c r="S54" i="32"/>
  <c r="S66" i="32"/>
  <c r="S78" i="32"/>
  <c r="O69" i="32"/>
  <c r="O57" i="32"/>
  <c r="O81" i="32"/>
  <c r="T81" i="32"/>
  <c r="T57" i="32"/>
  <c r="T69" i="32"/>
  <c r="K74" i="32"/>
  <c r="K76" i="32"/>
  <c r="K50" i="32"/>
  <c r="K62" i="32"/>
  <c r="K52" i="32"/>
  <c r="K64" i="32"/>
  <c r="V76" i="32"/>
  <c r="V74" i="32"/>
  <c r="V64" i="32"/>
  <c r="V52" i="32"/>
  <c r="V62" i="32"/>
  <c r="V51" i="32"/>
  <c r="V63" i="32"/>
  <c r="V75" i="32"/>
  <c r="V50" i="32"/>
  <c r="Q74" i="32"/>
  <c r="Q76" i="32"/>
  <c r="Q64" i="32"/>
  <c r="Q52" i="32"/>
  <c r="Q50" i="32"/>
  <c r="Q62" i="32"/>
  <c r="AC81" i="32"/>
  <c r="DH13" i="33" s="1"/>
  <c r="AC57" i="32"/>
  <c r="AC69" i="32"/>
  <c r="Z79" i="32"/>
  <c r="Z55" i="32"/>
  <c r="Z67" i="32"/>
  <c r="AC67" i="32"/>
  <c r="AC79" i="32"/>
  <c r="DH11" i="33" s="1"/>
  <c r="AC55" i="32"/>
  <c r="X79" i="32"/>
  <c r="X67" i="32"/>
  <c r="X55" i="32"/>
  <c r="AC78" i="32"/>
  <c r="DH10" i="33" s="1"/>
  <c r="AC66" i="32"/>
  <c r="AC54" i="32"/>
  <c r="X78" i="32"/>
  <c r="X66" i="32"/>
  <c r="X54" i="32"/>
  <c r="Q57" i="32"/>
  <c r="Q81" i="32"/>
  <c r="Q69" i="32"/>
  <c r="T401" i="32"/>
  <c r="T389" i="32"/>
  <c r="T377" i="32"/>
  <c r="H399" i="32"/>
  <c r="H387" i="32"/>
  <c r="H397" i="32"/>
  <c r="H385" i="32"/>
  <c r="H375" i="32"/>
  <c r="H373" i="32"/>
  <c r="Q402" i="32"/>
  <c r="Q390" i="32"/>
  <c r="Q378" i="32"/>
  <c r="T390" i="32"/>
  <c r="T402" i="32"/>
  <c r="T378" i="32"/>
  <c r="B397" i="32"/>
  <c r="Q6" i="33" s="1"/>
  <c r="B385" i="32"/>
  <c r="B399" i="32"/>
  <c r="Q8" i="33" s="1"/>
  <c r="B375" i="32"/>
  <c r="B387" i="32"/>
  <c r="B374" i="32"/>
  <c r="B373" i="32"/>
  <c r="P399" i="32"/>
  <c r="P387" i="32"/>
  <c r="P397" i="32"/>
  <c r="P385" i="32"/>
  <c r="P375" i="32"/>
  <c r="P373" i="32"/>
  <c r="S404" i="32"/>
  <c r="S380" i="32"/>
  <c r="S392" i="32"/>
  <c r="W404" i="32"/>
  <c r="W392" i="32"/>
  <c r="W380" i="32"/>
  <c r="C402" i="32"/>
  <c r="C378" i="32"/>
  <c r="C390" i="32"/>
  <c r="W402" i="32"/>
  <c r="W390" i="32"/>
  <c r="W378" i="32"/>
  <c r="T282" i="32"/>
  <c r="T294" i="32"/>
  <c r="T270" i="32"/>
  <c r="X282" i="32"/>
  <c r="X270" i="32"/>
  <c r="X294" i="32"/>
  <c r="X391" i="32"/>
  <c r="X403" i="32"/>
  <c r="X379" i="32"/>
  <c r="L293" i="32"/>
  <c r="L281" i="32"/>
  <c r="L269" i="32"/>
  <c r="B293" i="32"/>
  <c r="L11" i="33" s="1"/>
  <c r="B269" i="32"/>
  <c r="B281" i="32"/>
  <c r="P276" i="32"/>
  <c r="P290" i="32"/>
  <c r="P278" i="32"/>
  <c r="P264" i="32"/>
  <c r="P266" i="32"/>
  <c r="P288" i="32"/>
  <c r="Z295" i="32"/>
  <c r="Z283" i="32"/>
  <c r="Z271" i="32"/>
  <c r="U295" i="32"/>
  <c r="U283" i="32"/>
  <c r="U271" i="32"/>
  <c r="S294" i="32"/>
  <c r="S282" i="32"/>
  <c r="S270" i="32"/>
  <c r="O162" i="32"/>
  <c r="O186" i="32"/>
  <c r="O174" i="32"/>
  <c r="X259" i="32"/>
  <c r="E288" i="32"/>
  <c r="E266" i="32"/>
  <c r="E276" i="32"/>
  <c r="E264" i="32"/>
  <c r="E278" i="32"/>
  <c r="E290" i="32"/>
  <c r="S290" i="32"/>
  <c r="S288" i="32"/>
  <c r="S278" i="32"/>
  <c r="S266" i="32"/>
  <c r="S264" i="32"/>
  <c r="S276" i="32"/>
  <c r="W288" i="32"/>
  <c r="W266" i="32"/>
  <c r="W264" i="32"/>
  <c r="W276" i="32"/>
  <c r="W290" i="32"/>
  <c r="W278" i="32"/>
  <c r="G185" i="32"/>
  <c r="G173" i="32"/>
  <c r="G161" i="32"/>
  <c r="AA185" i="32"/>
  <c r="AA173" i="32"/>
  <c r="AA161" i="32"/>
  <c r="Q292" i="32"/>
  <c r="Q280" i="32"/>
  <c r="Q268" i="32"/>
  <c r="I186" i="32"/>
  <c r="I162" i="32"/>
  <c r="I174" i="32"/>
  <c r="W162" i="32"/>
  <c r="W186" i="32"/>
  <c r="W174" i="32"/>
  <c r="M186" i="32"/>
  <c r="BJ12" i="33" s="1"/>
  <c r="M174" i="32"/>
  <c r="M162" i="32"/>
  <c r="C186" i="32"/>
  <c r="C174" i="32"/>
  <c r="C162" i="32"/>
  <c r="Z282" i="32"/>
  <c r="D184" i="32"/>
  <c r="D172" i="32"/>
  <c r="D160" i="32"/>
  <c r="M81" i="32"/>
  <c r="BE13" i="33" s="1"/>
  <c r="M69" i="32"/>
  <c r="M57" i="32"/>
  <c r="D78" i="32"/>
  <c r="D66" i="32"/>
  <c r="D54" i="32"/>
  <c r="J163" i="32"/>
  <c r="J187" i="32"/>
  <c r="J175" i="32"/>
  <c r="Z163" i="32"/>
  <c r="Z187" i="32"/>
  <c r="Z175" i="32"/>
  <c r="I187" i="32"/>
  <c r="I175" i="32"/>
  <c r="I163" i="32"/>
  <c r="G80" i="32"/>
  <c r="G56" i="32"/>
  <c r="G68" i="32"/>
  <c r="M80" i="32"/>
  <c r="BE12" i="33" s="1"/>
  <c r="M56" i="32"/>
  <c r="M68" i="32"/>
  <c r="R76" i="32"/>
  <c r="R62" i="32"/>
  <c r="R64" i="32"/>
  <c r="R50" i="32"/>
  <c r="R74" i="32"/>
  <c r="R52" i="32"/>
  <c r="G45" i="32"/>
  <c r="H78" i="32"/>
  <c r="H66" i="32"/>
  <c r="H54" i="32"/>
  <c r="C80" i="32"/>
  <c r="C68" i="32"/>
  <c r="C56" i="32"/>
  <c r="N66" i="32"/>
  <c r="N78" i="32"/>
  <c r="N54" i="32"/>
  <c r="F81" i="32"/>
  <c r="F69" i="32"/>
  <c r="F57" i="32"/>
  <c r="G76" i="32"/>
  <c r="G62" i="32"/>
  <c r="G50" i="32"/>
  <c r="G74" i="32"/>
  <c r="G64" i="32"/>
  <c r="G52" i="32"/>
  <c r="T68" i="32"/>
  <c r="T80" i="32"/>
  <c r="T56" i="32"/>
  <c r="AC52" i="32"/>
  <c r="AC76" i="32"/>
  <c r="DH8" i="33" s="1"/>
  <c r="AC64" i="32"/>
  <c r="AC50" i="32"/>
  <c r="AC62" i="32"/>
  <c r="AC74" i="32"/>
  <c r="DH6" i="33" s="1"/>
  <c r="C403" i="32"/>
  <c r="C379" i="32"/>
  <c r="C391" i="32"/>
  <c r="I402" i="32"/>
  <c r="I390" i="32"/>
  <c r="I378" i="32"/>
  <c r="E398" i="32"/>
  <c r="E386" i="32"/>
  <c r="E399" i="32"/>
  <c r="E385" i="32"/>
  <c r="E387" i="32"/>
  <c r="E374" i="32"/>
  <c r="E375" i="32"/>
  <c r="E373" i="32"/>
  <c r="E397" i="32"/>
  <c r="M404" i="32"/>
  <c r="BT13" i="33" s="1"/>
  <c r="M392" i="32"/>
  <c r="M380" i="32"/>
  <c r="K403" i="32"/>
  <c r="K379" i="32"/>
  <c r="K391" i="32"/>
  <c r="S403" i="32"/>
  <c r="S391" i="32"/>
  <c r="S379" i="32"/>
  <c r="U391" i="32"/>
  <c r="U403" i="32"/>
  <c r="U379" i="32"/>
  <c r="C401" i="32"/>
  <c r="C389" i="32"/>
  <c r="C377" i="32"/>
  <c r="Q387" i="32"/>
  <c r="Q397" i="32"/>
  <c r="Q375" i="32"/>
  <c r="Q399" i="32"/>
  <c r="Q373" i="32"/>
  <c r="Q385" i="32"/>
  <c r="Y402" i="32"/>
  <c r="Y390" i="32"/>
  <c r="Y378" i="32"/>
  <c r="AB390" i="32"/>
  <c r="AB402" i="32"/>
  <c r="AB378" i="32"/>
  <c r="J397" i="32"/>
  <c r="J385" i="32"/>
  <c r="J399" i="32"/>
  <c r="J375" i="32"/>
  <c r="J386" i="32"/>
  <c r="J373" i="32"/>
  <c r="J387" i="32"/>
  <c r="L398" i="32"/>
  <c r="L397" i="32"/>
  <c r="L385" i="32"/>
  <c r="L387" i="32"/>
  <c r="L386" i="32"/>
  <c r="L374" i="32"/>
  <c r="L373" i="32"/>
  <c r="L375" i="32"/>
  <c r="L399" i="32"/>
  <c r="X399" i="32"/>
  <c r="X387" i="32"/>
  <c r="X397" i="32"/>
  <c r="X385" i="32"/>
  <c r="X375" i="32"/>
  <c r="X373" i="32"/>
  <c r="Y399" i="32"/>
  <c r="AB282" i="32"/>
  <c r="AB270" i="32"/>
  <c r="AB294" i="32"/>
  <c r="Q270" i="32"/>
  <c r="Q294" i="32"/>
  <c r="Q282" i="32"/>
  <c r="X293" i="32"/>
  <c r="X281" i="32"/>
  <c r="X269" i="32"/>
  <c r="J293" i="32"/>
  <c r="J281" i="32"/>
  <c r="J269" i="32"/>
  <c r="S293" i="32"/>
  <c r="S269" i="32"/>
  <c r="S281" i="32"/>
  <c r="AC295" i="32"/>
  <c r="DR13" i="33" s="1"/>
  <c r="AC283" i="32"/>
  <c r="AC271" i="32"/>
  <c r="F269" i="32"/>
  <c r="F281" i="32"/>
  <c r="F293" i="32"/>
  <c r="G283" i="32"/>
  <c r="G271" i="32"/>
  <c r="G295" i="32"/>
  <c r="S283" i="32"/>
  <c r="S271" i="32"/>
  <c r="S295" i="32"/>
  <c r="G186" i="32"/>
  <c r="G162" i="32"/>
  <c r="G174" i="32"/>
  <c r="Q290" i="32"/>
  <c r="Q278" i="32"/>
  <c r="Q288" i="32"/>
  <c r="Q276" i="32"/>
  <c r="Q266" i="32"/>
  <c r="Q264" i="32"/>
  <c r="AA290" i="32"/>
  <c r="AA288" i="32"/>
  <c r="AA278" i="32"/>
  <c r="AA266" i="32"/>
  <c r="AA264" i="32"/>
  <c r="AA265" i="32"/>
  <c r="AA277" i="32"/>
  <c r="AA276" i="32"/>
  <c r="AC173" i="32"/>
  <c r="AC161" i="32"/>
  <c r="AC185" i="32"/>
  <c r="DM11" i="33" s="1"/>
  <c r="O185" i="32"/>
  <c r="O173" i="32"/>
  <c r="O161" i="32"/>
  <c r="V160" i="32"/>
  <c r="V172" i="32"/>
  <c r="V184" i="32"/>
  <c r="K174" i="32"/>
  <c r="K162" i="32"/>
  <c r="K186" i="32"/>
  <c r="Z270" i="32"/>
  <c r="E172" i="32"/>
  <c r="E160" i="32"/>
  <c r="E184" i="32"/>
  <c r="L184" i="32"/>
  <c r="L172" i="32"/>
  <c r="L160" i="32"/>
  <c r="H180" i="32"/>
  <c r="H158" i="32"/>
  <c r="H168" i="32"/>
  <c r="H156" i="32"/>
  <c r="H182" i="32"/>
  <c r="H170" i="32"/>
  <c r="O172" i="32"/>
  <c r="O184" i="32"/>
  <c r="O160" i="32"/>
  <c r="R163" i="32"/>
  <c r="R187" i="32"/>
  <c r="R175" i="32"/>
  <c r="E81" i="32"/>
  <c r="E57" i="32"/>
  <c r="E69" i="32"/>
  <c r="K175" i="32"/>
  <c r="K163" i="32"/>
  <c r="K187" i="32"/>
  <c r="E187" i="32"/>
  <c r="E175" i="32"/>
  <c r="E163" i="32"/>
  <c r="Q187" i="32"/>
  <c r="Q175" i="32"/>
  <c r="Q163" i="32"/>
  <c r="P80" i="32"/>
  <c r="P68" i="32"/>
  <c r="P56" i="32"/>
  <c r="S180" i="32"/>
  <c r="S158" i="32"/>
  <c r="S182" i="32"/>
  <c r="S156" i="32"/>
  <c r="S170" i="32"/>
  <c r="S168" i="32"/>
  <c r="C180" i="32"/>
  <c r="C158" i="32"/>
  <c r="C170" i="32"/>
  <c r="C168" i="32"/>
  <c r="C156" i="32"/>
  <c r="C182" i="32"/>
  <c r="U156" i="32"/>
  <c r="U182" i="32"/>
  <c r="U168" i="32"/>
  <c r="U180" i="32"/>
  <c r="U170" i="32"/>
  <c r="U158" i="32"/>
  <c r="E68" i="32"/>
  <c r="E56" i="32"/>
  <c r="E80" i="32"/>
  <c r="K67" i="32"/>
  <c r="K79" i="32"/>
  <c r="K55" i="32"/>
  <c r="AC186" i="32"/>
  <c r="DM12" i="33" s="1"/>
  <c r="AC174" i="32"/>
  <c r="AC162" i="32"/>
  <c r="J63" i="32"/>
  <c r="J51" i="32"/>
  <c r="J62" i="32"/>
  <c r="J75" i="32"/>
  <c r="J52" i="32"/>
  <c r="J76" i="32"/>
  <c r="J74" i="32"/>
  <c r="J50" i="32"/>
  <c r="J64" i="32"/>
  <c r="K80" i="32"/>
  <c r="K68" i="32"/>
  <c r="K56" i="32"/>
  <c r="V66" i="32"/>
  <c r="V78" i="32"/>
  <c r="V54" i="32"/>
  <c r="C55" i="32"/>
  <c r="C67" i="32"/>
  <c r="C79" i="32"/>
  <c r="N81" i="32"/>
  <c r="N69" i="32"/>
  <c r="N57" i="32"/>
  <c r="Z64" i="32"/>
  <c r="Z62" i="32"/>
  <c r="Z52" i="32"/>
  <c r="Z76" i="32"/>
  <c r="Z50" i="32"/>
  <c r="Z74" i="32"/>
  <c r="B52" i="32"/>
  <c r="Q403" i="32"/>
  <c r="Q391" i="32"/>
  <c r="Q379" i="32"/>
  <c r="Q389" i="32"/>
  <c r="Q401" i="32"/>
  <c r="Q377" i="32"/>
  <c r="Z392" i="32"/>
  <c r="Z380" i="32"/>
  <c r="Z404" i="32"/>
  <c r="M390" i="32"/>
  <c r="M402" i="32"/>
  <c r="BT11" i="33" s="1"/>
  <c r="M378" i="32"/>
  <c r="AA403" i="32"/>
  <c r="AA379" i="32"/>
  <c r="AA391" i="32"/>
  <c r="AC391" i="32"/>
  <c r="AC379" i="32"/>
  <c r="AC403" i="32"/>
  <c r="DW12" i="33" s="1"/>
  <c r="V401" i="32"/>
  <c r="V389" i="32"/>
  <c r="V377" i="32"/>
  <c r="K401" i="32"/>
  <c r="K389" i="32"/>
  <c r="K377" i="32"/>
  <c r="O402" i="32"/>
  <c r="O390" i="32"/>
  <c r="O378" i="32"/>
  <c r="B390" i="32"/>
  <c r="B378" i="32"/>
  <c r="B402" i="32"/>
  <c r="Q11" i="33" s="1"/>
  <c r="F402" i="32"/>
  <c r="F390" i="32"/>
  <c r="F378" i="32"/>
  <c r="R389" i="32"/>
  <c r="R401" i="32"/>
  <c r="R377" i="32"/>
  <c r="Y375" i="32"/>
  <c r="E294" i="32"/>
  <c r="E282" i="32"/>
  <c r="E270" i="32"/>
  <c r="P403" i="32"/>
  <c r="P391" i="32"/>
  <c r="P379" i="32"/>
  <c r="C293" i="32"/>
  <c r="C281" i="32"/>
  <c r="C269" i="32"/>
  <c r="G294" i="32"/>
  <c r="G270" i="32"/>
  <c r="G282" i="32"/>
  <c r="N269" i="32"/>
  <c r="N281" i="32"/>
  <c r="N293" i="32"/>
  <c r="B295" i="32"/>
  <c r="L13" i="33" s="1"/>
  <c r="B283" i="32"/>
  <c r="B271" i="32"/>
  <c r="O271" i="32"/>
  <c r="O283" i="32"/>
  <c r="O295" i="32"/>
  <c r="AA283" i="32"/>
  <c r="AA295" i="32"/>
  <c r="AA271" i="32"/>
  <c r="V294" i="32"/>
  <c r="V282" i="32"/>
  <c r="V270" i="32"/>
  <c r="Q185" i="32"/>
  <c r="Q161" i="32"/>
  <c r="Q173" i="32"/>
  <c r="W185" i="32"/>
  <c r="W173" i="32"/>
  <c r="W161" i="32"/>
  <c r="N184" i="32"/>
  <c r="N160" i="32"/>
  <c r="N172" i="32"/>
  <c r="B280" i="32"/>
  <c r="B292" i="32"/>
  <c r="L10" i="33" s="1"/>
  <c r="B268" i="32"/>
  <c r="L185" i="32"/>
  <c r="L161" i="32"/>
  <c r="L173" i="32"/>
  <c r="X186" i="32"/>
  <c r="X162" i="32"/>
  <c r="X174" i="32"/>
  <c r="E186" i="32"/>
  <c r="E174" i="32"/>
  <c r="E162" i="32"/>
  <c r="S186" i="32"/>
  <c r="S174" i="32"/>
  <c r="S162" i="32"/>
  <c r="R184" i="32"/>
  <c r="R160" i="32"/>
  <c r="R172" i="32"/>
  <c r="T184" i="32"/>
  <c r="T172" i="32"/>
  <c r="T160" i="32"/>
  <c r="Z80" i="32"/>
  <c r="Z56" i="32"/>
  <c r="Z68" i="32"/>
  <c r="C187" i="32"/>
  <c r="C163" i="32"/>
  <c r="C175" i="32"/>
  <c r="M187" i="32"/>
  <c r="BJ13" i="33" s="1"/>
  <c r="M175" i="32"/>
  <c r="M163" i="32"/>
  <c r="Y187" i="32"/>
  <c r="Y175" i="32"/>
  <c r="Y163" i="32"/>
  <c r="H80" i="32"/>
  <c r="H56" i="32"/>
  <c r="H68" i="32"/>
  <c r="AC156" i="32"/>
  <c r="AC182" i="32"/>
  <c r="DM8" i="33" s="1"/>
  <c r="AC180" i="32"/>
  <c r="DM6" i="33" s="1"/>
  <c r="AC168" i="32"/>
  <c r="AC158" i="32"/>
  <c r="AC170" i="32"/>
  <c r="W78" i="32"/>
  <c r="W54" i="32"/>
  <c r="W66" i="32"/>
  <c r="M78" i="32"/>
  <c r="BE10" i="33" s="1"/>
  <c r="M66" i="32"/>
  <c r="M54" i="32"/>
  <c r="F56" i="32"/>
  <c r="F80" i="32"/>
  <c r="F68" i="32"/>
  <c r="S80" i="32"/>
  <c r="S68" i="32"/>
  <c r="S56" i="32"/>
  <c r="D151" i="32"/>
  <c r="E64" i="32"/>
  <c r="E76" i="32"/>
  <c r="E52" i="32"/>
  <c r="E74" i="32"/>
  <c r="E50" i="32"/>
  <c r="E62" i="32"/>
  <c r="W76" i="32"/>
  <c r="W62" i="32"/>
  <c r="W50" i="32"/>
  <c r="W74" i="32"/>
  <c r="W52" i="32"/>
  <c r="W64" i="32"/>
  <c r="V161" i="32"/>
  <c r="V185" i="32"/>
  <c r="V173" i="32"/>
  <c r="U78" i="32"/>
  <c r="U66" i="32"/>
  <c r="U54" i="32"/>
  <c r="B50" i="32"/>
  <c r="B74" i="32"/>
  <c r="B6" i="33" s="1"/>
  <c r="E391" i="32"/>
  <c r="E379" i="32"/>
  <c r="E403" i="32"/>
  <c r="AC401" i="32"/>
  <c r="DW10" i="33" s="1"/>
  <c r="AC377" i="32"/>
  <c r="AC389" i="32"/>
  <c r="U399" i="32"/>
  <c r="U385" i="32"/>
  <c r="U387" i="32"/>
  <c r="U397" i="32"/>
  <c r="U375" i="32"/>
  <c r="U373" i="32"/>
  <c r="P401" i="32"/>
  <c r="P377" i="32"/>
  <c r="P389" i="32"/>
  <c r="O404" i="32"/>
  <c r="O392" i="32"/>
  <c r="O380" i="32"/>
  <c r="Y403" i="32"/>
  <c r="Y391" i="32"/>
  <c r="Y379" i="32"/>
  <c r="Y389" i="32"/>
  <c r="Y401" i="32"/>
  <c r="Y377" i="32"/>
  <c r="Z403" i="32"/>
  <c r="Z391" i="32"/>
  <c r="Z379" i="32"/>
  <c r="D403" i="32"/>
  <c r="D391" i="32"/>
  <c r="D379" i="32"/>
  <c r="G391" i="32"/>
  <c r="G403" i="32"/>
  <c r="G379" i="32"/>
  <c r="S401" i="32"/>
  <c r="S389" i="32"/>
  <c r="S377" i="32"/>
  <c r="H403" i="32"/>
  <c r="H391" i="32"/>
  <c r="H379" i="32"/>
  <c r="U402" i="32"/>
  <c r="U390" i="32"/>
  <c r="U378" i="32"/>
  <c r="N402" i="32"/>
  <c r="N390" i="32"/>
  <c r="N378" i="32"/>
  <c r="AB398" i="32"/>
  <c r="AB397" i="32"/>
  <c r="AB399" i="32"/>
  <c r="AB373" i="32"/>
  <c r="AB385" i="32"/>
  <c r="AB387" i="32"/>
  <c r="AB374" i="32"/>
  <c r="AB375" i="32"/>
  <c r="AB386" i="32"/>
  <c r="N403" i="32"/>
  <c r="N379" i="32"/>
  <c r="N391" i="32"/>
  <c r="I404" i="32"/>
  <c r="I380" i="32"/>
  <c r="I392" i="32"/>
  <c r="X392" i="32"/>
  <c r="X380" i="32"/>
  <c r="X404" i="32"/>
  <c r="O293" i="32"/>
  <c r="O269" i="32"/>
  <c r="O281" i="32"/>
  <c r="Z293" i="32"/>
  <c r="Z281" i="32"/>
  <c r="Z269" i="32"/>
  <c r="X260" i="32"/>
  <c r="K293" i="32"/>
  <c r="K281" i="32"/>
  <c r="K269" i="32"/>
  <c r="AA294" i="32"/>
  <c r="AA282" i="32"/>
  <c r="AA270" i="32"/>
  <c r="M295" i="32"/>
  <c r="BO13" i="33" s="1"/>
  <c r="M283" i="32"/>
  <c r="M271" i="32"/>
  <c r="W283" i="32"/>
  <c r="W295" i="32"/>
  <c r="W271" i="32"/>
  <c r="X292" i="32"/>
  <c r="X268" i="32"/>
  <c r="X280" i="32"/>
  <c r="U288" i="32"/>
  <c r="U266" i="32"/>
  <c r="U290" i="32"/>
  <c r="U278" i="32"/>
  <c r="U264" i="32"/>
  <c r="U276" i="32"/>
  <c r="P173" i="32"/>
  <c r="P161" i="32"/>
  <c r="P185" i="32"/>
  <c r="T292" i="32"/>
  <c r="T268" i="32"/>
  <c r="T280" i="32"/>
  <c r="J280" i="32"/>
  <c r="J268" i="32"/>
  <c r="J292" i="32"/>
  <c r="K184" i="32"/>
  <c r="K172" i="32"/>
  <c r="K160" i="32"/>
  <c r="AA186" i="32"/>
  <c r="AA174" i="32"/>
  <c r="AA162" i="32"/>
  <c r="Q271" i="32"/>
  <c r="M172" i="32"/>
  <c r="M184" i="32"/>
  <c r="BJ10" i="33" s="1"/>
  <c r="M160" i="32"/>
  <c r="AB184" i="32"/>
  <c r="AB172" i="32"/>
  <c r="AB160" i="32"/>
  <c r="R80" i="32"/>
  <c r="R56" i="32"/>
  <c r="R68" i="32"/>
  <c r="G163" i="32"/>
  <c r="G187" i="32"/>
  <c r="G175" i="32"/>
  <c r="P187" i="32"/>
  <c r="P163" i="32"/>
  <c r="P175" i="32"/>
  <c r="U187" i="32"/>
  <c r="U175" i="32"/>
  <c r="U163" i="32"/>
  <c r="Z66" i="32"/>
  <c r="Z78" i="32"/>
  <c r="Z54" i="32"/>
  <c r="V182" i="32"/>
  <c r="V170" i="32"/>
  <c r="V168" i="32"/>
  <c r="V158" i="32"/>
  <c r="V156" i="32"/>
  <c r="V180" i="32"/>
  <c r="X180" i="32"/>
  <c r="X158" i="32"/>
  <c r="X168" i="32"/>
  <c r="X170" i="32"/>
  <c r="X156" i="32"/>
  <c r="X182" i="32"/>
  <c r="P280" i="32"/>
  <c r="X69" i="32"/>
  <c r="X57" i="32"/>
  <c r="X81" i="32"/>
  <c r="O66" i="32"/>
  <c r="O54" i="32"/>
  <c r="O78" i="32"/>
  <c r="Z46" i="32"/>
  <c r="M64" i="32"/>
  <c r="M52" i="32"/>
  <c r="M62" i="32"/>
  <c r="M76" i="32"/>
  <c r="BE8" i="33" s="1"/>
  <c r="M50" i="32"/>
  <c r="M74" i="32"/>
  <c r="BE6" i="33" s="1"/>
  <c r="P162" i="32"/>
  <c r="P174" i="32"/>
  <c r="P186" i="32"/>
  <c r="J46" i="32"/>
  <c r="N80" i="32"/>
  <c r="N68" i="32"/>
  <c r="N56" i="32"/>
  <c r="I66" i="32"/>
  <c r="I78" i="32"/>
  <c r="I54" i="32"/>
  <c r="U74" i="32"/>
  <c r="U64" i="32"/>
  <c r="U52" i="32"/>
  <c r="U76" i="32"/>
  <c r="U50" i="32"/>
  <c r="U62" i="32"/>
  <c r="B64" i="32"/>
  <c r="L390" i="32"/>
  <c r="L402" i="32"/>
  <c r="L378" i="32"/>
  <c r="F401" i="32"/>
  <c r="F389" i="32"/>
  <c r="F377" i="32"/>
  <c r="F403" i="32"/>
  <c r="F379" i="32"/>
  <c r="F391" i="32"/>
  <c r="O391" i="32"/>
  <c r="O403" i="32"/>
  <c r="O379" i="32"/>
  <c r="E401" i="32"/>
  <c r="E377" i="32"/>
  <c r="E389" i="32"/>
  <c r="AA401" i="32"/>
  <c r="AA389" i="32"/>
  <c r="AA377" i="32"/>
  <c r="G402" i="32"/>
  <c r="G390" i="32"/>
  <c r="G378" i="32"/>
  <c r="E402" i="32"/>
  <c r="E390" i="32"/>
  <c r="E378" i="32"/>
  <c r="H402" i="32"/>
  <c r="H378" i="32"/>
  <c r="H390" i="32"/>
  <c r="R390" i="32"/>
  <c r="R378" i="32"/>
  <c r="R402" i="32"/>
  <c r="C385" i="32"/>
  <c r="C387" i="32"/>
  <c r="C397" i="32"/>
  <c r="C373" i="32"/>
  <c r="C399" i="32"/>
  <c r="C375" i="32"/>
  <c r="C374" i="32"/>
  <c r="F386" i="32"/>
  <c r="F399" i="32"/>
  <c r="F387" i="32"/>
  <c r="F374" i="32"/>
  <c r="F385" i="32"/>
  <c r="F397" i="32"/>
  <c r="F373" i="32"/>
  <c r="F375" i="32"/>
  <c r="AB401" i="32"/>
  <c r="AB389" i="32"/>
  <c r="AB377" i="32"/>
  <c r="AC399" i="32"/>
  <c r="DW8" i="33" s="1"/>
  <c r="AC385" i="32"/>
  <c r="AC387" i="32"/>
  <c r="AC375" i="32"/>
  <c r="AC397" i="32"/>
  <c r="DW6" i="33" s="1"/>
  <c r="AC373" i="32"/>
  <c r="K404" i="32"/>
  <c r="K380" i="32"/>
  <c r="K392" i="32"/>
  <c r="S402" i="32"/>
  <c r="S378" i="32"/>
  <c r="S390" i="32"/>
  <c r="K282" i="32"/>
  <c r="K270" i="32"/>
  <c r="K294" i="32"/>
  <c r="R403" i="32"/>
  <c r="R391" i="32"/>
  <c r="R379" i="32"/>
  <c r="T271" i="32"/>
  <c r="T283" i="32"/>
  <c r="T295" i="32"/>
  <c r="AB293" i="32"/>
  <c r="AB269" i="32"/>
  <c r="AB281" i="32"/>
  <c r="E281" i="32"/>
  <c r="E293" i="32"/>
  <c r="E269" i="32"/>
  <c r="E404" i="32"/>
  <c r="E392" i="32"/>
  <c r="E380" i="32"/>
  <c r="W294" i="32"/>
  <c r="W282" i="32"/>
  <c r="W270" i="32"/>
  <c r="U185" i="32"/>
  <c r="U173" i="32"/>
  <c r="U161" i="32"/>
  <c r="AB162" i="32"/>
  <c r="AB174" i="32"/>
  <c r="AB186" i="32"/>
  <c r="X185" i="32"/>
  <c r="X173" i="32"/>
  <c r="X161" i="32"/>
  <c r="C184" i="32"/>
  <c r="C160" i="32"/>
  <c r="C172" i="32"/>
  <c r="B186" i="32"/>
  <c r="G12" i="33" s="1"/>
  <c r="B174" i="32"/>
  <c r="B162" i="32"/>
  <c r="F186" i="32"/>
  <c r="F174" i="32"/>
  <c r="F162" i="32"/>
  <c r="R152" i="32"/>
  <c r="Q283" i="32"/>
  <c r="G184" i="32"/>
  <c r="G172" i="32"/>
  <c r="G160" i="32"/>
  <c r="W184" i="32"/>
  <c r="W172" i="32"/>
  <c r="W160" i="32"/>
  <c r="H184" i="32"/>
  <c r="H172" i="32"/>
  <c r="H160" i="32"/>
  <c r="J80" i="32"/>
  <c r="J68" i="32"/>
  <c r="J56" i="32"/>
  <c r="F288" i="32"/>
  <c r="I68" i="32"/>
  <c r="I56" i="32"/>
  <c r="I80" i="32"/>
  <c r="AB187" i="32"/>
  <c r="AB163" i="32"/>
  <c r="AB175" i="32"/>
  <c r="AC187" i="32"/>
  <c r="DM13" i="33" s="1"/>
  <c r="AC175" i="32"/>
  <c r="AC163" i="32"/>
  <c r="AA69" i="32"/>
  <c r="AA57" i="32"/>
  <c r="AA81" i="32"/>
  <c r="R54" i="32"/>
  <c r="R78" i="32"/>
  <c r="R66" i="32"/>
  <c r="F182" i="32"/>
  <c r="F170" i="32"/>
  <c r="F169" i="32"/>
  <c r="F156" i="32"/>
  <c r="F158" i="32"/>
  <c r="F168" i="32"/>
  <c r="F180" i="32"/>
  <c r="I182" i="32"/>
  <c r="I168" i="32"/>
  <c r="I156" i="32"/>
  <c r="I180" i="32"/>
  <c r="I158" i="32"/>
  <c r="I170" i="32"/>
  <c r="K180" i="32"/>
  <c r="K158" i="32"/>
  <c r="K170" i="32"/>
  <c r="K182" i="32"/>
  <c r="K168" i="32"/>
  <c r="K156" i="32"/>
  <c r="G78" i="32"/>
  <c r="G54" i="32"/>
  <c r="G66" i="32"/>
  <c r="AB68" i="32"/>
  <c r="AB80" i="32"/>
  <c r="AB56" i="32"/>
  <c r="W46" i="32"/>
  <c r="V68" i="32"/>
  <c r="V56" i="32"/>
  <c r="V80" i="32"/>
  <c r="Y66" i="32"/>
  <c r="Y78" i="32"/>
  <c r="Y54" i="32"/>
  <c r="N185" i="32"/>
  <c r="N161" i="32"/>
  <c r="N173" i="32"/>
  <c r="E79" i="32"/>
  <c r="E67" i="32"/>
  <c r="E55" i="32"/>
  <c r="L403" i="32"/>
  <c r="L391" i="32"/>
  <c r="L379" i="32"/>
  <c r="Z389" i="32"/>
  <c r="Z377" i="32"/>
  <c r="Z401" i="32"/>
  <c r="T403" i="32"/>
  <c r="T391" i="32"/>
  <c r="T379" i="32"/>
  <c r="W391" i="32"/>
  <c r="W403" i="32"/>
  <c r="W379" i="32"/>
  <c r="W389" i="32"/>
  <c r="W377" i="32"/>
  <c r="W401" i="32"/>
  <c r="L401" i="32"/>
  <c r="L389" i="32"/>
  <c r="L377" i="32"/>
  <c r="H401" i="32"/>
  <c r="H377" i="32"/>
  <c r="H389" i="32"/>
  <c r="P402" i="32"/>
  <c r="P378" i="32"/>
  <c r="P390" i="32"/>
  <c r="Z390" i="32"/>
  <c r="Z402" i="32"/>
  <c r="Z378" i="32"/>
  <c r="K385" i="32"/>
  <c r="K398" i="32"/>
  <c r="K387" i="32"/>
  <c r="K373" i="32"/>
  <c r="K397" i="32"/>
  <c r="K399" i="32"/>
  <c r="K375" i="32"/>
  <c r="X401" i="32"/>
  <c r="X377" i="32"/>
  <c r="X389" i="32"/>
  <c r="Q404" i="32"/>
  <c r="Q380" i="32"/>
  <c r="Q392" i="32"/>
  <c r="AC294" i="32"/>
  <c r="DR12" i="33" s="1"/>
  <c r="AC270" i="32"/>
  <c r="AC282" i="32"/>
  <c r="R270" i="32"/>
  <c r="R282" i="32"/>
  <c r="R294" i="32"/>
  <c r="I269" i="32"/>
  <c r="I293" i="32"/>
  <c r="I281" i="32"/>
  <c r="M281" i="32"/>
  <c r="M293" i="32"/>
  <c r="BO11" i="33" s="1"/>
  <c r="M269" i="32"/>
  <c r="J270" i="32"/>
  <c r="J282" i="32"/>
  <c r="J294" i="32"/>
  <c r="I161" i="32"/>
  <c r="I185" i="32"/>
  <c r="I173" i="32"/>
  <c r="T186" i="32"/>
  <c r="T162" i="32"/>
  <c r="T174" i="32"/>
  <c r="C185" i="32"/>
  <c r="C173" i="32"/>
  <c r="C161" i="32"/>
  <c r="N280" i="32"/>
  <c r="N268" i="32"/>
  <c r="N292" i="32"/>
  <c r="Z280" i="32"/>
  <c r="Z268" i="32"/>
  <c r="Z292" i="32"/>
  <c r="J186" i="32"/>
  <c r="J174" i="32"/>
  <c r="J162" i="32"/>
  <c r="N186" i="32"/>
  <c r="N174" i="32"/>
  <c r="N162" i="32"/>
  <c r="F160" i="32"/>
  <c r="F184" i="32"/>
  <c r="F172" i="32"/>
  <c r="P184" i="32"/>
  <c r="P172" i="32"/>
  <c r="P160" i="32"/>
  <c r="AC184" i="32"/>
  <c r="DM10" i="33" s="1"/>
  <c r="AC172" i="32"/>
  <c r="AC160" i="32"/>
  <c r="B80" i="32"/>
  <c r="B12" i="33" s="1"/>
  <c r="B56" i="32"/>
  <c r="B68" i="32"/>
  <c r="F264" i="32"/>
  <c r="X175" i="32"/>
  <c r="X163" i="32"/>
  <c r="X187" i="32"/>
  <c r="F175" i="32"/>
  <c r="F163" i="32"/>
  <c r="F187" i="32"/>
  <c r="S57" i="32"/>
  <c r="S81" i="32"/>
  <c r="S69" i="32"/>
  <c r="J66" i="32"/>
  <c r="J78" i="32"/>
  <c r="J54" i="32"/>
  <c r="P180" i="32"/>
  <c r="P158" i="32"/>
  <c r="P168" i="32"/>
  <c r="P170" i="32"/>
  <c r="P156" i="32"/>
  <c r="P182" i="32"/>
  <c r="Q182" i="32"/>
  <c r="Q168" i="32"/>
  <c r="Q156" i="32"/>
  <c r="Q180" i="32"/>
  <c r="Q158" i="32"/>
  <c r="Q170" i="32"/>
  <c r="L68" i="32"/>
  <c r="L56" i="32"/>
  <c r="L80" i="32"/>
  <c r="I81" i="32"/>
  <c r="I69" i="32"/>
  <c r="I57" i="32"/>
  <c r="B46" i="32"/>
  <c r="C66" i="32"/>
  <c r="C54" i="32"/>
  <c r="C78" i="32"/>
  <c r="L151" i="32"/>
  <c r="B62" i="32"/>
  <c r="AA385" i="32"/>
  <c r="AA387" i="32"/>
  <c r="AA399" i="32"/>
  <c r="AA373" i="32"/>
  <c r="AA397" i="32"/>
  <c r="AA375" i="32"/>
  <c r="M391" i="32"/>
  <c r="M379" i="32"/>
  <c r="M403" i="32"/>
  <c r="BT12" i="33" s="1"/>
  <c r="J401" i="32"/>
  <c r="J389" i="32"/>
  <c r="J377" i="32"/>
  <c r="D401" i="32"/>
  <c r="D389" i="32"/>
  <c r="D377" i="32"/>
  <c r="AB403" i="32"/>
  <c r="AB391" i="32"/>
  <c r="AB379" i="32"/>
  <c r="I403" i="32"/>
  <c r="I391" i="32"/>
  <c r="I379" i="32"/>
  <c r="M399" i="32"/>
  <c r="BT8" i="33" s="1"/>
  <c r="M385" i="32"/>
  <c r="M397" i="32"/>
  <c r="BT6" i="33" s="1"/>
  <c r="M387" i="32"/>
  <c r="M375" i="32"/>
  <c r="M373" i="32"/>
  <c r="G399" i="32"/>
  <c r="G397" i="32"/>
  <c r="G398" i="32"/>
  <c r="G385" i="32"/>
  <c r="G373" i="32"/>
  <c r="G387" i="32"/>
  <c r="G375" i="32"/>
  <c r="X402" i="32"/>
  <c r="X390" i="32"/>
  <c r="X378" i="32"/>
  <c r="D390" i="32"/>
  <c r="D402" i="32"/>
  <c r="D378" i="32"/>
  <c r="S385" i="32"/>
  <c r="S386" i="32"/>
  <c r="S387" i="32"/>
  <c r="S373" i="32"/>
  <c r="S397" i="32"/>
  <c r="S399" i="32"/>
  <c r="S375" i="32"/>
  <c r="V399" i="32"/>
  <c r="V387" i="32"/>
  <c r="V397" i="32"/>
  <c r="V374" i="32"/>
  <c r="V385" i="32"/>
  <c r="V373" i="32"/>
  <c r="V375" i="32"/>
  <c r="W399" i="32"/>
  <c r="W397" i="32"/>
  <c r="W374" i="32"/>
  <c r="W385" i="32"/>
  <c r="W373" i="32"/>
  <c r="W375" i="32"/>
  <c r="W387" i="32"/>
  <c r="B401" i="32"/>
  <c r="Q10" i="33" s="1"/>
  <c r="B389" i="32"/>
  <c r="B377" i="32"/>
  <c r="AC390" i="32"/>
  <c r="AC378" i="32"/>
  <c r="AC402" i="32"/>
  <c r="DW11" i="33" s="1"/>
  <c r="U404" i="32"/>
  <c r="U392" i="32"/>
  <c r="U380" i="32"/>
  <c r="G404" i="32"/>
  <c r="G392" i="32"/>
  <c r="G380" i="32"/>
  <c r="AA402" i="32"/>
  <c r="AA378" i="32"/>
  <c r="AA390" i="32"/>
  <c r="D270" i="32"/>
  <c r="D294" i="32"/>
  <c r="D282" i="32"/>
  <c r="H282" i="32"/>
  <c r="H294" i="32"/>
  <c r="H270" i="32"/>
  <c r="F294" i="32"/>
  <c r="F282" i="32"/>
  <c r="F270" i="32"/>
  <c r="G293" i="32"/>
  <c r="G269" i="32"/>
  <c r="G281" i="32"/>
  <c r="W293" i="32"/>
  <c r="W269" i="32"/>
  <c r="W281" i="32"/>
  <c r="Q281" i="32"/>
  <c r="Q269" i="32"/>
  <c r="Q293" i="32"/>
  <c r="U281" i="32"/>
  <c r="U293" i="32"/>
  <c r="U269" i="32"/>
  <c r="C294" i="32"/>
  <c r="C282" i="32"/>
  <c r="C270" i="32"/>
  <c r="P293" i="32"/>
  <c r="P281" i="32"/>
  <c r="P269" i="32"/>
  <c r="Y295" i="32"/>
  <c r="Y283" i="32"/>
  <c r="Y271" i="32"/>
  <c r="R295" i="32"/>
  <c r="R283" i="32"/>
  <c r="R271" i="32"/>
  <c r="G290" i="32"/>
  <c r="G288" i="32"/>
  <c r="G276" i="32"/>
  <c r="G278" i="32"/>
  <c r="G264" i="32"/>
  <c r="G266" i="32"/>
  <c r="L162" i="32"/>
  <c r="L174" i="32"/>
  <c r="L186" i="32"/>
  <c r="K185" i="32"/>
  <c r="K173" i="32"/>
  <c r="K161" i="32"/>
  <c r="O170" i="32"/>
  <c r="O180" i="32"/>
  <c r="O158" i="32"/>
  <c r="O182" i="32"/>
  <c r="O156" i="32"/>
  <c r="O168" i="32"/>
  <c r="H174" i="32"/>
  <c r="H186" i="32"/>
  <c r="H162" i="32"/>
  <c r="R186" i="32"/>
  <c r="R174" i="32"/>
  <c r="R162" i="32"/>
  <c r="V186" i="32"/>
  <c r="V174" i="32"/>
  <c r="V162" i="32"/>
  <c r="J184" i="32"/>
  <c r="J160" i="32"/>
  <c r="J172" i="32"/>
  <c r="X184" i="32"/>
  <c r="X172" i="32"/>
  <c r="X160" i="32"/>
  <c r="F152" i="32"/>
  <c r="T78" i="32"/>
  <c r="T54" i="32"/>
  <c r="T66" i="32"/>
  <c r="B187" i="32"/>
  <c r="G13" i="33" s="1"/>
  <c r="B163" i="32"/>
  <c r="B175" i="32"/>
  <c r="T187" i="32"/>
  <c r="T163" i="32"/>
  <c r="T175" i="32"/>
  <c r="K81" i="32"/>
  <c r="K69" i="32"/>
  <c r="K57" i="32"/>
  <c r="B78" i="32"/>
  <c r="B10" i="33" s="1"/>
  <c r="B54" i="32"/>
  <c r="B66" i="32"/>
  <c r="Y182" i="32"/>
  <c r="Y168" i="32"/>
  <c r="Y156" i="32"/>
  <c r="Y158" i="32"/>
  <c r="Y180" i="32"/>
  <c r="Y170" i="32"/>
  <c r="AC80" i="32"/>
  <c r="DH12" i="33" s="1"/>
  <c r="AC56" i="32"/>
  <c r="AC68" i="32"/>
  <c r="W187" i="32"/>
  <c r="W163" i="32"/>
  <c r="W175" i="32"/>
  <c r="D68" i="32"/>
  <c r="D80" i="32"/>
  <c r="D56" i="32"/>
  <c r="R46" i="32"/>
  <c r="K78" i="32"/>
  <c r="K54" i="32"/>
  <c r="K66" i="32"/>
  <c r="AC151" i="32"/>
  <c r="Q151" i="32"/>
  <c r="U55" i="32"/>
  <c r="U67" i="32"/>
  <c r="U79" i="32"/>
  <c r="Q289" i="32" l="1"/>
  <c r="Q386" i="32"/>
  <c r="O75" i="32"/>
  <c r="S63" i="32"/>
  <c r="R277" i="32"/>
  <c r="M277" i="32"/>
  <c r="G386" i="32"/>
  <c r="O63" i="32"/>
  <c r="M157" i="32"/>
  <c r="B127" i="32"/>
  <c r="V386" i="32"/>
  <c r="S51" i="32"/>
  <c r="S157" i="32"/>
  <c r="N265" i="32"/>
  <c r="M169" i="32"/>
  <c r="M289" i="32"/>
  <c r="BO7" i="33" s="1"/>
  <c r="Q374" i="32"/>
  <c r="I374" i="32"/>
  <c r="B344" i="32"/>
  <c r="C157" i="32"/>
  <c r="B235" i="32"/>
  <c r="P75" i="32"/>
  <c r="T374" i="32"/>
  <c r="O374" i="32"/>
  <c r="Q277" i="32"/>
  <c r="Z386" i="32"/>
  <c r="Y181" i="32"/>
  <c r="K386" i="32"/>
  <c r="U374" i="32"/>
  <c r="X398" i="32"/>
  <c r="O277" i="32"/>
  <c r="F181" i="32"/>
  <c r="C277" i="32"/>
  <c r="U398" i="32"/>
  <c r="R169" i="32"/>
  <c r="G289" i="32"/>
  <c r="H181" i="32"/>
  <c r="X277" i="32"/>
  <c r="U277" i="32"/>
  <c r="X386" i="32"/>
  <c r="J374" i="32"/>
  <c r="K157" i="32"/>
  <c r="U289" i="32"/>
  <c r="E265" i="32"/>
  <c r="H63" i="32"/>
  <c r="R157" i="32"/>
  <c r="AA386" i="32"/>
  <c r="S277" i="32"/>
  <c r="E289" i="32"/>
  <c r="L51" i="32"/>
  <c r="H398" i="32"/>
  <c r="U63" i="32"/>
  <c r="M75" i="32"/>
  <c r="BE7" i="33" s="1"/>
  <c r="H386" i="32"/>
  <c r="H75" i="32"/>
  <c r="AA398" i="32"/>
  <c r="Z51" i="32"/>
  <c r="Y374" i="32"/>
  <c r="Z63" i="32"/>
  <c r="U51" i="32"/>
  <c r="D75" i="32"/>
  <c r="K63" i="32"/>
  <c r="N398" i="32"/>
  <c r="Q75" i="32"/>
  <c r="L181" i="32"/>
  <c r="R398" i="32"/>
  <c r="J277" i="32"/>
  <c r="N386" i="32"/>
  <c r="Y386" i="32"/>
  <c r="V265" i="32"/>
  <c r="D277" i="32"/>
  <c r="I265" i="32"/>
  <c r="T386" i="32"/>
  <c r="N51" i="32"/>
  <c r="D265" i="32"/>
  <c r="W386" i="32"/>
  <c r="S398" i="32"/>
  <c r="M386" i="32"/>
  <c r="AC374" i="32"/>
  <c r="Q51" i="32"/>
  <c r="T63" i="32"/>
  <c r="M398" i="32"/>
  <c r="BT7" i="33" s="1"/>
  <c r="F277" i="32"/>
  <c r="B63" i="32"/>
  <c r="B386" i="32"/>
  <c r="Y63" i="32"/>
  <c r="AC386" i="32"/>
  <c r="U157" i="32"/>
  <c r="K265" i="32"/>
  <c r="T75" i="32"/>
  <c r="Y75" i="32"/>
  <c r="R51" i="32"/>
  <c r="P374" i="32"/>
  <c r="L157" i="32"/>
  <c r="C386" i="32"/>
  <c r="V169" i="32"/>
  <c r="K51" i="32"/>
  <c r="W157" i="32"/>
  <c r="H277" i="32"/>
  <c r="C169" i="32"/>
  <c r="P398" i="32"/>
  <c r="Y289" i="32"/>
  <c r="L265" i="32"/>
  <c r="W181" i="32"/>
  <c r="H157" i="32"/>
  <c r="Z277" i="32"/>
  <c r="V277" i="32"/>
  <c r="H265" i="32"/>
  <c r="Y277" i="32"/>
  <c r="AB63" i="32"/>
  <c r="V181" i="32"/>
  <c r="K277" i="32"/>
  <c r="L289" i="32"/>
  <c r="AB51" i="32"/>
  <c r="I51" i="32"/>
  <c r="R374" i="32"/>
  <c r="M51" i="32"/>
  <c r="I398" i="32"/>
  <c r="Z289" i="32"/>
  <c r="U169" i="32"/>
  <c r="X51" i="32"/>
  <c r="D63" i="32"/>
  <c r="I277" i="32"/>
  <c r="T277" i="32"/>
  <c r="X181" i="32"/>
  <c r="S169" i="32"/>
  <c r="P289" i="32"/>
  <c r="AA157" i="32"/>
  <c r="P277" i="32"/>
  <c r="S265" i="32"/>
  <c r="T265" i="32"/>
  <c r="P169" i="32"/>
  <c r="AA169" i="32"/>
  <c r="P157" i="32"/>
  <c r="G265" i="32"/>
  <c r="E51" i="32"/>
  <c r="E75" i="32"/>
  <c r="F265" i="32"/>
  <c r="B289" i="32"/>
  <c r="L7" i="33" s="1"/>
  <c r="R75" i="32"/>
  <c r="W277" i="32"/>
  <c r="B277" i="32"/>
  <c r="I75" i="32"/>
  <c r="B75" i="32"/>
  <c r="B7" i="33" s="1"/>
  <c r="W289" i="32"/>
  <c r="X289" i="32"/>
  <c r="Y157" i="32"/>
  <c r="K169" i="32"/>
  <c r="AA51" i="32"/>
  <c r="AA63" i="32"/>
  <c r="L75" i="32"/>
  <c r="AC51" i="32"/>
  <c r="E181" i="32"/>
  <c r="AC75" i="32"/>
  <c r="DH7" i="33" s="1"/>
  <c r="E169" i="32"/>
  <c r="N181" i="32"/>
  <c r="G169" i="32"/>
  <c r="G181" i="32"/>
  <c r="N169" i="32"/>
  <c r="G75" i="32"/>
  <c r="AB181" i="32"/>
  <c r="G63" i="32"/>
  <c r="C63" i="32"/>
  <c r="T181" i="32"/>
  <c r="O157" i="32"/>
  <c r="Q169" i="32"/>
  <c r="F63" i="32"/>
  <c r="O169" i="32"/>
  <c r="Q157" i="32"/>
  <c r="W51" i="32"/>
  <c r="AB157" i="32"/>
  <c r="D157" i="32"/>
  <c r="F51" i="32"/>
  <c r="W63" i="32"/>
  <c r="D169" i="32"/>
  <c r="C51" i="32"/>
  <c r="T169" i="32"/>
  <c r="I181" i="32"/>
  <c r="Z169" i="32"/>
  <c r="X157" i="32"/>
  <c r="B157" i="32"/>
  <c r="Z157" i="32"/>
  <c r="AC181" i="32"/>
  <c r="DM7" i="33" s="1"/>
  <c r="I157" i="32"/>
  <c r="AC157" i="32"/>
  <c r="B181" i="32"/>
  <c r="G7" i="33" s="1"/>
  <c r="J181" i="32"/>
  <c r="J169" i="32"/>
  <c r="X90" i="2"/>
  <c r="X20" i="2"/>
  <c r="Q213" i="2" l="1"/>
  <c r="P213" i="2"/>
  <c r="O213" i="2"/>
  <c r="Q201" i="2"/>
  <c r="P201" i="2"/>
  <c r="O201" i="2"/>
  <c r="Q189" i="2"/>
  <c r="P189" i="2"/>
  <c r="O189" i="2"/>
  <c r="Q164" i="2"/>
  <c r="P164" i="2"/>
  <c r="O164" i="2"/>
  <c r="Q135" i="2"/>
  <c r="P135" i="2"/>
  <c r="O135" i="2"/>
  <c r="Q123" i="2"/>
  <c r="P123" i="2"/>
  <c r="O123" i="2"/>
  <c r="Q111" i="2"/>
  <c r="P111" i="2"/>
  <c r="O111" i="2"/>
  <c r="Q53" i="2"/>
  <c r="P53" i="2"/>
  <c r="O53" i="2"/>
  <c r="Q41" i="2"/>
  <c r="P41" i="2"/>
  <c r="O41" i="2"/>
  <c r="Q29" i="2"/>
  <c r="P29" i="2"/>
  <c r="AS155" i="2"/>
  <c r="AN155" i="2"/>
  <c r="AI155" i="2"/>
  <c r="AM155" i="2"/>
  <c r="AH155" i="2"/>
  <c r="AR155" i="2"/>
  <c r="Y155" i="2"/>
  <c r="X155" i="2"/>
  <c r="AN90" i="2"/>
  <c r="AM90" i="2"/>
  <c r="AI90" i="2"/>
  <c r="AH90" i="2"/>
  <c r="AD90" i="2"/>
  <c r="AC90" i="2"/>
  <c r="Y90" i="2"/>
  <c r="Y20" i="2"/>
  <c r="AD20" i="2"/>
  <c r="AC20" i="2"/>
  <c r="AI20" i="2"/>
  <c r="AH20" i="2"/>
  <c r="H41" i="29"/>
  <c r="H51" i="29"/>
  <c r="H56" i="29"/>
  <c r="H61" i="29"/>
  <c r="G51" i="29"/>
  <c r="G56" i="29"/>
  <c r="G61" i="29"/>
  <c r="G41" i="29"/>
  <c r="H37" i="29"/>
  <c r="H47" i="29"/>
  <c r="H52" i="29"/>
  <c r="H57" i="29"/>
  <c r="G47" i="29"/>
  <c r="G52" i="29"/>
  <c r="G57" i="29"/>
  <c r="G37" i="29"/>
  <c r="H39" i="29"/>
  <c r="H49" i="29"/>
  <c r="H54" i="29"/>
  <c r="H59" i="29"/>
  <c r="G49" i="29"/>
  <c r="G54" i="29"/>
  <c r="G59" i="29"/>
  <c r="G39" i="29"/>
  <c r="H40" i="29"/>
  <c r="H50" i="29"/>
  <c r="H55" i="29"/>
  <c r="H60" i="29"/>
  <c r="G50" i="29"/>
  <c r="G55" i="29"/>
  <c r="G60" i="29"/>
  <c r="G40" i="29"/>
  <c r="H6" i="29"/>
  <c r="H11" i="29"/>
  <c r="H16" i="29"/>
  <c r="G11" i="29"/>
  <c r="G16" i="29"/>
  <c r="G6" i="29"/>
  <c r="H3" i="29"/>
  <c r="H8" i="29"/>
  <c r="H13" i="29"/>
  <c r="G8" i="29"/>
  <c r="G13" i="29"/>
  <c r="G3" i="29"/>
  <c r="H2" i="29"/>
  <c r="H7" i="29"/>
  <c r="H12" i="29"/>
  <c r="G7" i="29"/>
  <c r="G12" i="29"/>
  <c r="G2" i="29"/>
  <c r="H4" i="29"/>
  <c r="H9" i="29"/>
  <c r="H14" i="29"/>
  <c r="G9" i="29"/>
  <c r="G14" i="29"/>
  <c r="G4" i="29"/>
  <c r="H5" i="29"/>
  <c r="H10" i="29"/>
  <c r="H15" i="29"/>
  <c r="G10" i="29"/>
  <c r="G15" i="29"/>
  <c r="G5" i="29"/>
  <c r="H21" i="29"/>
  <c r="H26" i="29"/>
  <c r="H31" i="29"/>
  <c r="H36" i="29"/>
  <c r="G26" i="29"/>
  <c r="G31" i="29"/>
  <c r="G36" i="29"/>
  <c r="G21" i="29"/>
  <c r="L344" i="32" l="1"/>
  <c r="L127" i="32"/>
  <c r="L235" i="32"/>
  <c r="L21" i="32"/>
  <c r="O344" i="32"/>
  <c r="O127" i="32"/>
  <c r="O21" i="32"/>
  <c r="O235" i="32"/>
  <c r="P127" i="32"/>
  <c r="P235" i="32"/>
  <c r="P21" i="32"/>
  <c r="P344" i="32"/>
  <c r="V21" i="32" l="1"/>
  <c r="G41" i="32" s="1"/>
  <c r="AP21" i="32"/>
  <c r="AA41" i="32" s="1"/>
  <c r="AG21" i="32"/>
  <c r="R41" i="32" s="1"/>
  <c r="AK21" i="32"/>
  <c r="V41" i="32" s="1"/>
  <c r="AH21" i="32"/>
  <c r="S41" i="32" s="1"/>
  <c r="AA21" i="32"/>
  <c r="L41" i="32" s="1"/>
  <c r="AI21" i="32"/>
  <c r="T41" i="32" s="1"/>
  <c r="AN21" i="32"/>
  <c r="Y41" i="32" s="1"/>
  <c r="Q21" i="32"/>
  <c r="B41" i="32" s="1"/>
  <c r="B58" i="32" s="1"/>
  <c r="AC21" i="32"/>
  <c r="N41" i="32" s="1"/>
  <c r="Z21" i="32"/>
  <c r="K41" i="32" s="1"/>
  <c r="X21" i="32"/>
  <c r="I41" i="32" s="1"/>
  <c r="AM21" i="32"/>
  <c r="X41" i="32" s="1"/>
  <c r="U21" i="32"/>
  <c r="F41" i="32" s="1"/>
  <c r="R21" i="32"/>
  <c r="C41" i="32" s="1"/>
  <c r="S21" i="32"/>
  <c r="D41" i="32" s="1"/>
  <c r="AF21" i="32"/>
  <c r="Q41" i="32" s="1"/>
  <c r="AE21" i="32"/>
  <c r="P41" i="32" s="1"/>
  <c r="AJ21" i="32"/>
  <c r="U41" i="32" s="1"/>
  <c r="AO21" i="32"/>
  <c r="Z41" i="32" s="1"/>
  <c r="W21" i="32"/>
  <c r="H41" i="32" s="1"/>
  <c r="T21" i="32"/>
  <c r="E41" i="32" s="1"/>
  <c r="Y21" i="32"/>
  <c r="J41" i="32" s="1"/>
  <c r="AD21" i="32"/>
  <c r="O41" i="32" s="1"/>
  <c r="AR21" i="32"/>
  <c r="AC41" i="32" s="1"/>
  <c r="AQ21" i="32"/>
  <c r="AB41" i="32" s="1"/>
  <c r="AL21" i="32"/>
  <c r="W41" i="32" s="1"/>
  <c r="AB21" i="32"/>
  <c r="M41" i="32" s="1"/>
  <c r="AA344" i="32"/>
  <c r="L364" i="32" s="1"/>
  <c r="W344" i="32"/>
  <c r="H364" i="32" s="1"/>
  <c r="AD344" i="32"/>
  <c r="O364" i="32" s="1"/>
  <c r="S344" i="32"/>
  <c r="D364" i="32" s="1"/>
  <c r="AK344" i="32"/>
  <c r="V364" i="32" s="1"/>
  <c r="R344" i="32"/>
  <c r="C364" i="32" s="1"/>
  <c r="AP344" i="32"/>
  <c r="AA364" i="32" s="1"/>
  <c r="AO344" i="32"/>
  <c r="Z364" i="32" s="1"/>
  <c r="X344" i="32"/>
  <c r="I364" i="32" s="1"/>
  <c r="AF344" i="32"/>
  <c r="Q364" i="32" s="1"/>
  <c r="AE344" i="32"/>
  <c r="P364" i="32" s="1"/>
  <c r="AN344" i="32"/>
  <c r="Y364" i="32" s="1"/>
  <c r="AG344" i="32"/>
  <c r="R364" i="32" s="1"/>
  <c r="AJ344" i="32"/>
  <c r="U364" i="32" s="1"/>
  <c r="AB344" i="32"/>
  <c r="M364" i="32" s="1"/>
  <c r="AL344" i="32"/>
  <c r="W364" i="32" s="1"/>
  <c r="AI344" i="32"/>
  <c r="T364" i="32" s="1"/>
  <c r="Z344" i="32"/>
  <c r="K364" i="32" s="1"/>
  <c r="Y344" i="32"/>
  <c r="J364" i="32" s="1"/>
  <c r="V344" i="32"/>
  <c r="G364" i="32" s="1"/>
  <c r="T344" i="32"/>
  <c r="E364" i="32" s="1"/>
  <c r="Q344" i="32"/>
  <c r="B364" i="32" s="1"/>
  <c r="AH344" i="32"/>
  <c r="S364" i="32" s="1"/>
  <c r="AC344" i="32"/>
  <c r="N364" i="32" s="1"/>
  <c r="AQ344" i="32"/>
  <c r="AB364" i="32" s="1"/>
  <c r="AM344" i="32"/>
  <c r="X364" i="32" s="1"/>
  <c r="U344" i="32"/>
  <c r="F364" i="32" s="1"/>
  <c r="AR344" i="32"/>
  <c r="AC364" i="32" s="1"/>
  <c r="AB235" i="32"/>
  <c r="M255" i="32" s="1"/>
  <c r="AM235" i="32"/>
  <c r="X255" i="32" s="1"/>
  <c r="Y235" i="32"/>
  <c r="J255" i="32" s="1"/>
  <c r="AE235" i="32"/>
  <c r="P255" i="32" s="1"/>
  <c r="AI235" i="32"/>
  <c r="T255" i="32" s="1"/>
  <c r="AN235" i="32"/>
  <c r="Y255" i="32" s="1"/>
  <c r="Q235" i="32"/>
  <c r="B255" i="32" s="1"/>
  <c r="T235" i="32"/>
  <c r="E255" i="32" s="1"/>
  <c r="AJ235" i="32"/>
  <c r="U255" i="32" s="1"/>
  <c r="AF235" i="32"/>
  <c r="Q255" i="32" s="1"/>
  <c r="S235" i="32"/>
  <c r="D255" i="32" s="1"/>
  <c r="AK235" i="32"/>
  <c r="V255" i="32" s="1"/>
  <c r="Z235" i="32"/>
  <c r="K255" i="32" s="1"/>
  <c r="AL235" i="32"/>
  <c r="W255" i="32" s="1"/>
  <c r="AA235" i="32"/>
  <c r="L255" i="32" s="1"/>
  <c r="AQ235" i="32"/>
  <c r="AB255" i="32" s="1"/>
  <c r="AC235" i="32"/>
  <c r="N255" i="32" s="1"/>
  <c r="AR235" i="32"/>
  <c r="AC255" i="32" s="1"/>
  <c r="X235" i="32"/>
  <c r="I255" i="32" s="1"/>
  <c r="AD235" i="32"/>
  <c r="O255" i="32" s="1"/>
  <c r="V235" i="32"/>
  <c r="G255" i="32" s="1"/>
  <c r="U235" i="32"/>
  <c r="F255" i="32" s="1"/>
  <c r="AH235" i="32"/>
  <c r="S255" i="32" s="1"/>
  <c r="AO235" i="32"/>
  <c r="Z255" i="32" s="1"/>
  <c r="W235" i="32"/>
  <c r="H255" i="32" s="1"/>
  <c r="AG235" i="32"/>
  <c r="R255" i="32" s="1"/>
  <c r="AP235" i="32"/>
  <c r="AA255" i="32" s="1"/>
  <c r="R235" i="32"/>
  <c r="C255" i="32" s="1"/>
  <c r="AM127" i="32"/>
  <c r="X147" i="32" s="1"/>
  <c r="AD127" i="32"/>
  <c r="O147" i="32" s="1"/>
  <c r="V127" i="32"/>
  <c r="G147" i="32" s="1"/>
  <c r="AL127" i="32"/>
  <c r="W147" i="32" s="1"/>
  <c r="T127" i="32"/>
  <c r="E147" i="32" s="1"/>
  <c r="Q127" i="32"/>
  <c r="B147" i="32" s="1"/>
  <c r="AE127" i="32"/>
  <c r="P147" i="32" s="1"/>
  <c r="AG127" i="32"/>
  <c r="R147" i="32" s="1"/>
  <c r="AO127" i="32"/>
  <c r="Z147" i="32" s="1"/>
  <c r="S127" i="32"/>
  <c r="D147" i="32" s="1"/>
  <c r="AJ127" i="32"/>
  <c r="U147" i="32" s="1"/>
  <c r="AR127" i="32"/>
  <c r="AC147" i="32" s="1"/>
  <c r="AB127" i="32"/>
  <c r="M147" i="32" s="1"/>
  <c r="U127" i="32"/>
  <c r="F147" i="32" s="1"/>
  <c r="AA127" i="32"/>
  <c r="L147" i="32" s="1"/>
  <c r="Y127" i="32"/>
  <c r="J147" i="32" s="1"/>
  <c r="Z127" i="32"/>
  <c r="K147" i="32" s="1"/>
  <c r="AC127" i="32"/>
  <c r="N147" i="32" s="1"/>
  <c r="AI127" i="32"/>
  <c r="T147" i="32" s="1"/>
  <c r="AH127" i="32"/>
  <c r="S147" i="32" s="1"/>
  <c r="AQ127" i="32"/>
  <c r="AB147" i="32" s="1"/>
  <c r="AK127" i="32"/>
  <c r="V147" i="32" s="1"/>
  <c r="X127" i="32"/>
  <c r="I147" i="32" s="1"/>
  <c r="W127" i="32"/>
  <c r="H147" i="32" s="1"/>
  <c r="R127" i="32"/>
  <c r="C147" i="32" s="1"/>
  <c r="AF127" i="32"/>
  <c r="Q147" i="32" s="1"/>
  <c r="AP127" i="32"/>
  <c r="AA147" i="32" s="1"/>
  <c r="AN127" i="32"/>
  <c r="Y147" i="32" s="1"/>
  <c r="L206" i="2"/>
  <c r="M206" i="2"/>
  <c r="L194" i="2"/>
  <c r="L182" i="2"/>
  <c r="AC176" i="32" l="1"/>
  <c r="AC190" i="32"/>
  <c r="DM16" i="33" s="1"/>
  <c r="AC164" i="32"/>
  <c r="W176" i="32"/>
  <c r="W164" i="32"/>
  <c r="W190" i="32"/>
  <c r="Z298" i="32"/>
  <c r="Z284" i="32"/>
  <c r="Z272" i="32"/>
  <c r="AB284" i="32"/>
  <c r="AB298" i="32"/>
  <c r="AB272" i="32"/>
  <c r="E272" i="32"/>
  <c r="E298" i="32"/>
  <c r="E284" i="32"/>
  <c r="AC407" i="32"/>
  <c r="DW16" i="33" s="1"/>
  <c r="AC381" i="32"/>
  <c r="AC393" i="32"/>
  <c r="G381" i="32"/>
  <c r="G393" i="32"/>
  <c r="G407" i="32"/>
  <c r="Y393" i="32"/>
  <c r="Y407" i="32"/>
  <c r="Y381" i="32"/>
  <c r="D381" i="32"/>
  <c r="D407" i="32"/>
  <c r="D393" i="32"/>
  <c r="O84" i="32"/>
  <c r="O70" i="32"/>
  <c r="O58" i="32"/>
  <c r="D70" i="32"/>
  <c r="D84" i="32"/>
  <c r="D58" i="32"/>
  <c r="Y70" i="32"/>
  <c r="Y84" i="32"/>
  <c r="Y58" i="32"/>
  <c r="T190" i="32"/>
  <c r="T164" i="32"/>
  <c r="T176" i="32"/>
  <c r="G190" i="32"/>
  <c r="G164" i="32"/>
  <c r="G176" i="32"/>
  <c r="S272" i="32"/>
  <c r="S298" i="32"/>
  <c r="S284" i="32"/>
  <c r="L298" i="32"/>
  <c r="L272" i="32"/>
  <c r="L284" i="32"/>
  <c r="B284" i="32"/>
  <c r="B272" i="32"/>
  <c r="B298" i="32"/>
  <c r="L16" i="33" s="1"/>
  <c r="F381" i="32"/>
  <c r="F407" i="32"/>
  <c r="F393" i="32"/>
  <c r="J407" i="32"/>
  <c r="J381" i="32"/>
  <c r="J393" i="32"/>
  <c r="P393" i="32"/>
  <c r="P407" i="32"/>
  <c r="P381" i="32"/>
  <c r="O393" i="32"/>
  <c r="O381" i="32"/>
  <c r="O407" i="32"/>
  <c r="J84" i="32"/>
  <c r="J58" i="32"/>
  <c r="J70" i="32"/>
  <c r="C84" i="32"/>
  <c r="C58" i="32"/>
  <c r="C70" i="32"/>
  <c r="T70" i="32"/>
  <c r="T58" i="32"/>
  <c r="T84" i="32"/>
  <c r="Q176" i="32"/>
  <c r="Q190" i="32"/>
  <c r="Q164" i="32"/>
  <c r="D164" i="32"/>
  <c r="D190" i="32"/>
  <c r="D176" i="32"/>
  <c r="O164" i="32"/>
  <c r="O190" i="32"/>
  <c r="O176" i="32"/>
  <c r="F284" i="32"/>
  <c r="F272" i="32"/>
  <c r="F298" i="32"/>
  <c r="W298" i="32"/>
  <c r="W284" i="32"/>
  <c r="W272" i="32"/>
  <c r="Y272" i="32"/>
  <c r="Y298" i="32"/>
  <c r="Y284" i="32"/>
  <c r="X407" i="32"/>
  <c r="X393" i="32"/>
  <c r="X381" i="32"/>
  <c r="K407" i="32"/>
  <c r="K393" i="32"/>
  <c r="K381" i="32"/>
  <c r="Q381" i="32"/>
  <c r="Q407" i="32"/>
  <c r="Q393" i="32"/>
  <c r="H407" i="32"/>
  <c r="H393" i="32"/>
  <c r="H381" i="32"/>
  <c r="E70" i="32"/>
  <c r="E84" i="32"/>
  <c r="E58" i="32"/>
  <c r="F58" i="32"/>
  <c r="F70" i="32"/>
  <c r="F84" i="32"/>
  <c r="L70" i="32"/>
  <c r="L58" i="32"/>
  <c r="L84" i="32"/>
  <c r="AA176" i="32"/>
  <c r="AA190" i="32"/>
  <c r="AA164" i="32"/>
  <c r="Z190" i="32"/>
  <c r="Z164" i="32"/>
  <c r="Z176" i="32"/>
  <c r="X164" i="32"/>
  <c r="X176" i="32"/>
  <c r="X190" i="32"/>
  <c r="G298" i="32"/>
  <c r="G272" i="32"/>
  <c r="G284" i="32"/>
  <c r="K272" i="32"/>
  <c r="K298" i="32"/>
  <c r="K284" i="32"/>
  <c r="T284" i="32"/>
  <c r="T272" i="32"/>
  <c r="T298" i="32"/>
  <c r="AB381" i="32"/>
  <c r="AB407" i="32"/>
  <c r="AB393" i="32"/>
  <c r="T381" i="32"/>
  <c r="T407" i="32"/>
  <c r="T393" i="32"/>
  <c r="I407" i="32"/>
  <c r="I381" i="32"/>
  <c r="I393" i="32"/>
  <c r="L381" i="32"/>
  <c r="L393" i="32"/>
  <c r="L407" i="32"/>
  <c r="H84" i="32"/>
  <c r="H58" i="32"/>
  <c r="H70" i="32"/>
  <c r="X84" i="32"/>
  <c r="X58" i="32"/>
  <c r="X70" i="32"/>
  <c r="S84" i="32"/>
  <c r="S58" i="32"/>
  <c r="S70" i="32"/>
  <c r="U190" i="32"/>
  <c r="U164" i="32"/>
  <c r="U176" i="32"/>
  <c r="H176" i="32"/>
  <c r="H190" i="32"/>
  <c r="H164" i="32"/>
  <c r="J190" i="32"/>
  <c r="J164" i="32"/>
  <c r="J176" i="32"/>
  <c r="R164" i="32"/>
  <c r="R190" i="32"/>
  <c r="R176" i="32"/>
  <c r="C284" i="32"/>
  <c r="C272" i="32"/>
  <c r="C298" i="32"/>
  <c r="O284" i="32"/>
  <c r="O272" i="32"/>
  <c r="O298" i="32"/>
  <c r="V272" i="32"/>
  <c r="V284" i="32"/>
  <c r="V298" i="32"/>
  <c r="P284" i="32"/>
  <c r="P298" i="32"/>
  <c r="P272" i="32"/>
  <c r="N407" i="32"/>
  <c r="N393" i="32"/>
  <c r="N381" i="32"/>
  <c r="W407" i="32"/>
  <c r="W393" i="32"/>
  <c r="W381" i="32"/>
  <c r="Z393" i="32"/>
  <c r="Z407" i="32"/>
  <c r="Z381" i="32"/>
  <c r="M84" i="32"/>
  <c r="BE16" i="33" s="1"/>
  <c r="M58" i="32"/>
  <c r="M70" i="32"/>
  <c r="Z58" i="32"/>
  <c r="Z84" i="32"/>
  <c r="Z70" i="32"/>
  <c r="I70" i="32"/>
  <c r="I58" i="32"/>
  <c r="I84" i="32"/>
  <c r="V84" i="32"/>
  <c r="V58" i="32"/>
  <c r="V70" i="32"/>
  <c r="S176" i="32"/>
  <c r="S164" i="32"/>
  <c r="S190" i="32"/>
  <c r="C164" i="32"/>
  <c r="C190" i="32"/>
  <c r="C176" i="32"/>
  <c r="L190" i="32"/>
  <c r="L176" i="32"/>
  <c r="L164" i="32"/>
  <c r="P164" i="32"/>
  <c r="P176" i="32"/>
  <c r="P190" i="32"/>
  <c r="AA272" i="32"/>
  <c r="AA298" i="32"/>
  <c r="AA284" i="32"/>
  <c r="I272" i="32"/>
  <c r="I284" i="32"/>
  <c r="I298" i="32"/>
  <c r="D298" i="32"/>
  <c r="D284" i="32"/>
  <c r="D272" i="32"/>
  <c r="J272" i="32"/>
  <c r="J298" i="32"/>
  <c r="J284" i="32"/>
  <c r="S381" i="32"/>
  <c r="S407" i="32"/>
  <c r="S393" i="32"/>
  <c r="M381" i="32"/>
  <c r="M393" i="32"/>
  <c r="M407" i="32"/>
  <c r="BT16" i="33" s="1"/>
  <c r="AA393" i="32"/>
  <c r="AA381" i="32"/>
  <c r="AA407" i="32"/>
  <c r="W84" i="32"/>
  <c r="W58" i="32"/>
  <c r="W70" i="32"/>
  <c r="U84" i="32"/>
  <c r="U70" i="32"/>
  <c r="U58" i="32"/>
  <c r="K70" i="32"/>
  <c r="K84" i="32"/>
  <c r="K58" i="32"/>
  <c r="R70" i="32"/>
  <c r="R58" i="32"/>
  <c r="R84" i="32"/>
  <c r="K190" i="32"/>
  <c r="K164" i="32"/>
  <c r="K176" i="32"/>
  <c r="F190" i="32"/>
  <c r="F176" i="32"/>
  <c r="F164" i="32"/>
  <c r="B190" i="32"/>
  <c r="G16" i="33" s="1"/>
  <c r="B176" i="32"/>
  <c r="B164" i="32"/>
  <c r="R298" i="32"/>
  <c r="R272" i="32"/>
  <c r="R284" i="32"/>
  <c r="AC298" i="32"/>
  <c r="DR16" i="33" s="1"/>
  <c r="AC284" i="32"/>
  <c r="AC272" i="32"/>
  <c r="Q284" i="32"/>
  <c r="Q298" i="32"/>
  <c r="Q272" i="32"/>
  <c r="X272" i="32"/>
  <c r="X298" i="32"/>
  <c r="X284" i="32"/>
  <c r="B407" i="32"/>
  <c r="Q16" i="33" s="1"/>
  <c r="B381" i="32"/>
  <c r="B393" i="32"/>
  <c r="U407" i="32"/>
  <c r="U393" i="32"/>
  <c r="U381" i="32"/>
  <c r="C393" i="32"/>
  <c r="C381" i="32"/>
  <c r="C407" i="32"/>
  <c r="AB84" i="32"/>
  <c r="AB58" i="32"/>
  <c r="AB70" i="32"/>
  <c r="P58" i="32"/>
  <c r="P84" i="32"/>
  <c r="P70" i="32"/>
  <c r="N70" i="32"/>
  <c r="N58" i="32"/>
  <c r="N84" i="32"/>
  <c r="AA70" i="32"/>
  <c r="AA58" i="32"/>
  <c r="AA84" i="32"/>
  <c r="Y190" i="32"/>
  <c r="Y176" i="32"/>
  <c r="Y164" i="32"/>
  <c r="N190" i="32"/>
  <c r="N176" i="32"/>
  <c r="N164" i="32"/>
  <c r="I176" i="32"/>
  <c r="I164" i="32"/>
  <c r="I190" i="32"/>
  <c r="V190" i="32"/>
  <c r="V176" i="32"/>
  <c r="V164" i="32"/>
  <c r="AB164" i="32"/>
  <c r="AB190" i="32"/>
  <c r="AB176" i="32"/>
  <c r="M190" i="32"/>
  <c r="BJ16" i="33" s="1"/>
  <c r="M164" i="32"/>
  <c r="M176" i="32"/>
  <c r="E176" i="32"/>
  <c r="E164" i="32"/>
  <c r="E190" i="32"/>
  <c r="H272" i="32"/>
  <c r="H284" i="32"/>
  <c r="H298" i="32"/>
  <c r="N284" i="32"/>
  <c r="N298" i="32"/>
  <c r="N272" i="32"/>
  <c r="U298" i="32"/>
  <c r="U284" i="32"/>
  <c r="U272" i="32"/>
  <c r="M284" i="32"/>
  <c r="M272" i="32"/>
  <c r="M298" i="32"/>
  <c r="BO16" i="33" s="1"/>
  <c r="E393" i="32"/>
  <c r="E381" i="32"/>
  <c r="E407" i="32"/>
  <c r="R381" i="32"/>
  <c r="R393" i="32"/>
  <c r="R407" i="32"/>
  <c r="V407" i="32"/>
  <c r="V393" i="32"/>
  <c r="V381" i="32"/>
  <c r="AC70" i="32"/>
  <c r="AC84" i="32"/>
  <c r="DH16" i="33" s="1"/>
  <c r="AC58" i="32"/>
  <c r="Q58" i="32"/>
  <c r="Q70" i="32"/>
  <c r="Q84" i="32"/>
  <c r="B70" i="32"/>
  <c r="B84" i="32"/>
  <c r="B16" i="33" s="1"/>
  <c r="G84" i="32"/>
  <c r="G58" i="32"/>
  <c r="G70" i="32"/>
  <c r="M157" i="2"/>
  <c r="L157" i="2"/>
  <c r="M133" i="2" l="1"/>
  <c r="L133" i="2"/>
  <c r="M121" i="2"/>
  <c r="L121" i="2"/>
  <c r="M22" i="2" l="1"/>
  <c r="L22" i="2"/>
  <c r="AH158" i="2" l="1"/>
  <c r="AH159" i="2" s="1"/>
  <c r="AS158" i="2"/>
  <c r="AS159" i="2" s="1"/>
  <c r="AR158" i="2"/>
  <c r="AR159" i="2" s="1"/>
  <c r="AN158" i="2"/>
  <c r="AN159" i="2" s="1"/>
  <c r="AM158" i="2"/>
  <c r="AM159" i="2" s="1"/>
  <c r="AI158" i="2"/>
  <c r="AI159" i="2" s="1"/>
  <c r="AN93" i="2"/>
  <c r="AM93" i="2"/>
  <c r="AC93" i="2"/>
  <c r="AI93" i="2"/>
  <c r="AH93" i="2"/>
  <c r="AD93" i="2"/>
  <c r="AH23" i="2"/>
  <c r="AH24" i="2" s="1"/>
  <c r="AI23" i="2"/>
  <c r="AI24" i="2" s="1"/>
  <c r="AC23" i="2"/>
  <c r="AC24" i="2" s="1"/>
  <c r="AD23" i="2"/>
  <c r="AD24" i="2" s="1"/>
  <c r="A407" i="26"/>
  <c r="A298" i="26"/>
  <c r="A190" i="26"/>
  <c r="A84" i="26"/>
  <c r="A84" i="25"/>
  <c r="A190" i="25"/>
  <c r="A298" i="25"/>
  <c r="A407" i="25"/>
  <c r="A407" i="24"/>
  <c r="A298" i="24"/>
  <c r="A190" i="24"/>
  <c r="A84" i="24"/>
  <c r="A84" i="13"/>
  <c r="A190" i="13"/>
  <c r="A298" i="13"/>
  <c r="A407" i="13"/>
  <c r="A512" i="23"/>
  <c r="A407" i="23"/>
  <c r="A298" i="23"/>
  <c r="A190" i="23"/>
  <c r="A84" i="23"/>
  <c r="A84" i="22"/>
  <c r="A190" i="22"/>
  <c r="A298" i="22"/>
  <c r="A407" i="22"/>
  <c r="A512" i="22"/>
  <c r="A512" i="21"/>
  <c r="A407" i="21"/>
  <c r="A298" i="21"/>
  <c r="A190" i="21"/>
  <c r="A84" i="21"/>
  <c r="A84" i="20"/>
  <c r="A190" i="20"/>
  <c r="A298" i="20"/>
  <c r="A407" i="20"/>
  <c r="A512" i="20"/>
  <c r="A512" i="19"/>
  <c r="A407" i="19"/>
  <c r="A298" i="19"/>
  <c r="A190" i="19"/>
  <c r="A84" i="19"/>
  <c r="A58" i="20"/>
  <c r="A70" i="20" s="1"/>
  <c r="A164" i="20"/>
  <c r="A176" i="20" s="1"/>
  <c r="A272" i="20"/>
  <c r="A284" i="20" s="1"/>
  <c r="A381" i="20"/>
  <c r="A393" i="20" s="1"/>
  <c r="A486" i="20"/>
  <c r="A498" i="20" s="1"/>
  <c r="A469" i="20"/>
  <c r="A364" i="20"/>
  <c r="A255" i="20"/>
  <c r="A147" i="20"/>
  <c r="A41" i="20"/>
  <c r="A381" i="26"/>
  <c r="A393" i="26" s="1"/>
  <c r="A272" i="26"/>
  <c r="A284" i="26" s="1"/>
  <c r="A164" i="26"/>
  <c r="A176" i="26" s="1"/>
  <c r="A58" i="26"/>
  <c r="A70" i="26" s="1"/>
  <c r="A381" i="25"/>
  <c r="A393" i="25" s="1"/>
  <c r="A272" i="25"/>
  <c r="A284" i="25" s="1"/>
  <c r="A164" i="25"/>
  <c r="A176" i="25" s="1"/>
  <c r="A58" i="25"/>
  <c r="A70" i="25" s="1"/>
  <c r="A381" i="24"/>
  <c r="A393" i="24" s="1"/>
  <c r="A272" i="24"/>
  <c r="A284" i="24" s="1"/>
  <c r="A164" i="24"/>
  <c r="A176" i="24" s="1"/>
  <c r="A58" i="24"/>
  <c r="A70" i="24" s="1"/>
  <c r="A486" i="23"/>
  <c r="A498" i="23" s="1"/>
  <c r="A381" i="23"/>
  <c r="A393" i="23" s="1"/>
  <c r="A272" i="23"/>
  <c r="A284" i="23" s="1"/>
  <c r="A164" i="23"/>
  <c r="A176" i="23" s="1"/>
  <c r="A58" i="23"/>
  <c r="A70" i="23" s="1"/>
  <c r="A58" i="22"/>
  <c r="A70" i="22" s="1"/>
  <c r="A164" i="22"/>
  <c r="A176" i="22" s="1"/>
  <c r="A272" i="22"/>
  <c r="A284" i="22" s="1"/>
  <c r="A381" i="22"/>
  <c r="A393" i="22" s="1"/>
  <c r="A486" i="22"/>
  <c r="A498" i="22" s="1"/>
  <c r="A486" i="21"/>
  <c r="A498" i="21" s="1"/>
  <c r="A381" i="21"/>
  <c r="A393" i="21" s="1"/>
  <c r="A272" i="21"/>
  <c r="A284" i="21" s="1"/>
  <c r="A164" i="21"/>
  <c r="A176" i="21" s="1"/>
  <c r="A58" i="21"/>
  <c r="A70" i="21" s="1"/>
  <c r="A364" i="26"/>
  <c r="A255" i="26"/>
  <c r="A147" i="26"/>
  <c r="A41" i="26"/>
  <c r="A41" i="25"/>
  <c r="A147" i="25"/>
  <c r="A255" i="25"/>
  <c r="A364" i="25"/>
  <c r="A41" i="24"/>
  <c r="A147" i="24"/>
  <c r="A255" i="24"/>
  <c r="A364" i="24"/>
  <c r="A41" i="23"/>
  <c r="A147" i="23"/>
  <c r="A146" i="23"/>
  <c r="A255" i="23"/>
  <c r="A364" i="23"/>
  <c r="A469" i="23"/>
  <c r="A41" i="22"/>
  <c r="A147" i="22"/>
  <c r="A255" i="22"/>
  <c r="A364" i="22"/>
  <c r="A469" i="22"/>
  <c r="A469" i="21"/>
  <c r="A364" i="21"/>
  <c r="A255" i="21"/>
  <c r="A147" i="21"/>
  <c r="A41" i="21"/>
  <c r="P344" i="26"/>
  <c r="O344" i="26"/>
  <c r="L344" i="26"/>
  <c r="P235" i="26"/>
  <c r="O235" i="26"/>
  <c r="L235" i="26"/>
  <c r="P127" i="26"/>
  <c r="O127" i="26"/>
  <c r="L127" i="26"/>
  <c r="P21" i="26"/>
  <c r="O21" i="26"/>
  <c r="L21" i="26"/>
  <c r="P344" i="25"/>
  <c r="O344" i="25"/>
  <c r="L344" i="25"/>
  <c r="P235" i="25"/>
  <c r="O235" i="25"/>
  <c r="L235" i="25"/>
  <c r="P127" i="25"/>
  <c r="O127" i="25"/>
  <c r="L127" i="25"/>
  <c r="P21" i="25"/>
  <c r="O21" i="25"/>
  <c r="L21" i="25"/>
  <c r="P344" i="24"/>
  <c r="O344" i="24"/>
  <c r="L344" i="24"/>
  <c r="P235" i="24"/>
  <c r="O235" i="24"/>
  <c r="L235" i="24"/>
  <c r="P127" i="24"/>
  <c r="O127" i="24"/>
  <c r="L127" i="24"/>
  <c r="P21" i="24"/>
  <c r="O21" i="24"/>
  <c r="L21" i="24"/>
  <c r="P449" i="23"/>
  <c r="O449" i="23"/>
  <c r="L449" i="23"/>
  <c r="P344" i="23"/>
  <c r="O344" i="23"/>
  <c r="L344" i="23"/>
  <c r="P235" i="23"/>
  <c r="O235" i="23"/>
  <c r="L235" i="23"/>
  <c r="P127" i="23"/>
  <c r="O127" i="23"/>
  <c r="L127" i="23"/>
  <c r="P21" i="23"/>
  <c r="O21" i="23"/>
  <c r="L21" i="23"/>
  <c r="P449" i="22"/>
  <c r="O449" i="22"/>
  <c r="L449" i="22"/>
  <c r="P344" i="22"/>
  <c r="O344" i="22"/>
  <c r="L344" i="22"/>
  <c r="P235" i="22"/>
  <c r="O235" i="22"/>
  <c r="L235" i="22"/>
  <c r="P127" i="22"/>
  <c r="O127" i="22"/>
  <c r="L127" i="22"/>
  <c r="P21" i="22"/>
  <c r="O21" i="22"/>
  <c r="L21" i="22"/>
  <c r="P449" i="21"/>
  <c r="O449" i="21"/>
  <c r="L449" i="21"/>
  <c r="P344" i="21"/>
  <c r="O344" i="21"/>
  <c r="L344" i="21"/>
  <c r="P235" i="21"/>
  <c r="O235" i="21"/>
  <c r="L235" i="21"/>
  <c r="P127" i="21"/>
  <c r="O127" i="21"/>
  <c r="L127" i="21"/>
  <c r="P21" i="21"/>
  <c r="O21" i="21"/>
  <c r="L21" i="21"/>
  <c r="P449" i="20"/>
  <c r="O449" i="20"/>
  <c r="L449" i="20"/>
  <c r="P344" i="20"/>
  <c r="O344" i="20"/>
  <c r="L344" i="20"/>
  <c r="P235" i="20"/>
  <c r="O235" i="20"/>
  <c r="L235" i="20"/>
  <c r="P127" i="20"/>
  <c r="O127" i="20"/>
  <c r="L127" i="20"/>
  <c r="P21" i="20"/>
  <c r="O21" i="20"/>
  <c r="L21" i="20"/>
  <c r="A486" i="19"/>
  <c r="A498" i="19" s="1"/>
  <c r="A381" i="19"/>
  <c r="A393" i="19" s="1"/>
  <c r="A272" i="19"/>
  <c r="A284" i="19" s="1"/>
  <c r="A164" i="19"/>
  <c r="A176" i="19" s="1"/>
  <c r="A58" i="19"/>
  <c r="A70" i="19" s="1"/>
  <c r="A469" i="19"/>
  <c r="A364" i="19"/>
  <c r="A255" i="19"/>
  <c r="A147" i="19"/>
  <c r="A41" i="19"/>
  <c r="P449" i="19"/>
  <c r="O449" i="19"/>
  <c r="L449" i="19"/>
  <c r="P344" i="19"/>
  <c r="O344" i="19"/>
  <c r="L344" i="19"/>
  <c r="P235" i="19"/>
  <c r="O235" i="19"/>
  <c r="L235" i="19"/>
  <c r="P127" i="19"/>
  <c r="O127" i="19"/>
  <c r="L127" i="19"/>
  <c r="P21" i="19"/>
  <c r="O21" i="19"/>
  <c r="L21" i="19"/>
  <c r="P449" i="3"/>
  <c r="O449" i="3"/>
  <c r="L449" i="3"/>
  <c r="P344" i="3"/>
  <c r="O344" i="3"/>
  <c r="L344" i="3"/>
  <c r="P235" i="3"/>
  <c r="O235" i="3"/>
  <c r="L235" i="3"/>
  <c r="P127" i="3"/>
  <c r="O127" i="3"/>
  <c r="L127" i="3"/>
  <c r="P21" i="3"/>
  <c r="O21" i="3"/>
  <c r="L21" i="3"/>
  <c r="C138" i="2"/>
  <c r="C139" i="2" s="1"/>
  <c r="B138" i="2"/>
  <c r="B139" i="2" s="1"/>
  <c r="B127" i="2"/>
  <c r="B128" i="2" s="1"/>
  <c r="B115" i="2"/>
  <c r="B116" i="2" s="1"/>
  <c r="B103" i="2"/>
  <c r="B104" i="2" s="1"/>
  <c r="C129" i="2"/>
  <c r="B129" i="2"/>
  <c r="C127" i="2"/>
  <c r="C128" i="2" s="1"/>
  <c r="C117" i="2"/>
  <c r="B117" i="2"/>
  <c r="C115" i="2"/>
  <c r="C116" i="2" s="1"/>
  <c r="C103" i="2"/>
  <c r="C104" i="2" s="1"/>
  <c r="C105" i="2"/>
  <c r="B105" i="2"/>
  <c r="B92" i="2"/>
  <c r="C91" i="2"/>
  <c r="C92" i="2" s="1"/>
  <c r="E87" i="2"/>
  <c r="B94" i="2" s="1"/>
  <c r="M127" i="2"/>
  <c r="M130" i="2" s="1"/>
  <c r="L127" i="2"/>
  <c r="M115" i="2"/>
  <c r="M118" i="2" s="1"/>
  <c r="M106" i="2"/>
  <c r="L106" i="2"/>
  <c r="M92" i="2"/>
  <c r="M95" i="2" l="1"/>
  <c r="L95" i="2"/>
  <c r="X94" i="2" s="1"/>
  <c r="X95" i="2" s="1"/>
  <c r="AI25" i="2"/>
  <c r="M41" i="2" s="1"/>
  <c r="C127" i="19" s="1"/>
  <c r="F8" i="29"/>
  <c r="J8" i="29" s="1"/>
  <c r="F9" i="29"/>
  <c r="J9" i="29" s="1"/>
  <c r="F10" i="29"/>
  <c r="J10" i="29" s="1"/>
  <c r="F11" i="29"/>
  <c r="J11" i="29" s="1"/>
  <c r="F7" i="29"/>
  <c r="J7" i="29" s="1"/>
  <c r="F47" i="29"/>
  <c r="J47" i="29" s="1"/>
  <c r="F48" i="29"/>
  <c r="F49" i="29"/>
  <c r="J49" i="29" s="1"/>
  <c r="F50" i="29"/>
  <c r="J50" i="29" s="1"/>
  <c r="F51" i="29"/>
  <c r="J51" i="29" s="1"/>
  <c r="E52" i="29"/>
  <c r="I52" i="29" s="1"/>
  <c r="E56" i="29"/>
  <c r="I56" i="29" s="1"/>
  <c r="E53" i="29"/>
  <c r="E54" i="29"/>
  <c r="I54" i="29" s="1"/>
  <c r="E55" i="29"/>
  <c r="I55" i="29" s="1"/>
  <c r="E58" i="29"/>
  <c r="E59" i="29"/>
  <c r="I59" i="29" s="1"/>
  <c r="E60" i="29"/>
  <c r="I60" i="29" s="1"/>
  <c r="E61" i="29"/>
  <c r="I61" i="29" s="1"/>
  <c r="E57" i="29"/>
  <c r="I57" i="29" s="1"/>
  <c r="AH25" i="2"/>
  <c r="E7" i="29"/>
  <c r="I7" i="29" s="1"/>
  <c r="E11" i="29"/>
  <c r="I11" i="29" s="1"/>
  <c r="E8" i="29"/>
  <c r="I8" i="29" s="1"/>
  <c r="E9" i="29"/>
  <c r="I9" i="29" s="1"/>
  <c r="E10" i="29"/>
  <c r="I10" i="29" s="1"/>
  <c r="F53" i="29"/>
  <c r="F54" i="29"/>
  <c r="J54" i="29" s="1"/>
  <c r="F55" i="29"/>
  <c r="J55" i="29" s="1"/>
  <c r="F56" i="29"/>
  <c r="J56" i="29" s="1"/>
  <c r="F52" i="29"/>
  <c r="J52" i="29" s="1"/>
  <c r="AD25" i="2"/>
  <c r="F15" i="29"/>
  <c r="J15" i="29" s="1"/>
  <c r="F16" i="29"/>
  <c r="J16" i="29" s="1"/>
  <c r="F12" i="29"/>
  <c r="J12" i="29" s="1"/>
  <c r="F13" i="29"/>
  <c r="J13" i="29" s="1"/>
  <c r="F14" i="29"/>
  <c r="J14" i="29" s="1"/>
  <c r="AS160" i="2"/>
  <c r="M213" i="2" s="1"/>
  <c r="C127" i="26" s="1"/>
  <c r="F60" i="29"/>
  <c r="J60" i="29" s="1"/>
  <c r="F61" i="29"/>
  <c r="J61" i="29" s="1"/>
  <c r="F59" i="29"/>
  <c r="J59" i="29" s="1"/>
  <c r="F57" i="29"/>
  <c r="J57" i="29" s="1"/>
  <c r="F58" i="29"/>
  <c r="AC25" i="2"/>
  <c r="L53" i="2" s="1"/>
  <c r="B449" i="20" s="1"/>
  <c r="E13" i="29"/>
  <c r="I13" i="29" s="1"/>
  <c r="E14" i="29"/>
  <c r="I14" i="29" s="1"/>
  <c r="E15" i="29"/>
  <c r="I15" i="29" s="1"/>
  <c r="E16" i="29"/>
  <c r="I16" i="29" s="1"/>
  <c r="E12" i="29"/>
  <c r="I12" i="29" s="1"/>
  <c r="AH160" i="2"/>
  <c r="L189" i="2" s="1"/>
  <c r="B235" i="24" s="1"/>
  <c r="E50" i="29"/>
  <c r="I50" i="29" s="1"/>
  <c r="E51" i="29"/>
  <c r="I51" i="29" s="1"/>
  <c r="E47" i="29"/>
  <c r="I47" i="29" s="1"/>
  <c r="E48" i="29"/>
  <c r="E49" i="29"/>
  <c r="I49" i="29" s="1"/>
  <c r="L116" i="2"/>
  <c r="L118" i="2"/>
  <c r="L128" i="2"/>
  <c r="L130" i="2"/>
  <c r="C106" i="2"/>
  <c r="C130" i="2"/>
  <c r="B130" i="2"/>
  <c r="C118" i="2"/>
  <c r="B118" i="2"/>
  <c r="B106" i="2"/>
  <c r="C94" i="2"/>
  <c r="AR235" i="24"/>
  <c r="AP21" i="23"/>
  <c r="AK21" i="21"/>
  <c r="W344" i="20"/>
  <c r="AD344" i="22"/>
  <c r="AQ344" i="24"/>
  <c r="AQ235" i="22"/>
  <c r="AI127" i="20"/>
  <c r="AN160" i="2"/>
  <c r="M201" i="2" s="1"/>
  <c r="AI160" i="2"/>
  <c r="M189" i="2" s="1"/>
  <c r="C344" i="24" s="1"/>
  <c r="AR160" i="2"/>
  <c r="L213" i="2" s="1"/>
  <c r="B21" i="26" s="1"/>
  <c r="AM160" i="2"/>
  <c r="L201" i="2" s="1"/>
  <c r="B235" i="25" s="1"/>
  <c r="U235" i="20"/>
  <c r="AQ449" i="21"/>
  <c r="AQ449" i="22"/>
  <c r="S127" i="3"/>
  <c r="W235" i="19"/>
  <c r="AJ127" i="20"/>
  <c r="M53" i="2"/>
  <c r="C21" i="20" s="1"/>
  <c r="AK235" i="3"/>
  <c r="AD449" i="20"/>
  <c r="AE127" i="24"/>
  <c r="AR21" i="25"/>
  <c r="R127" i="20"/>
  <c r="AI21" i="20"/>
  <c r="AO449" i="20"/>
  <c r="AC235" i="20"/>
  <c r="AQ235" i="19"/>
  <c r="AL449" i="20"/>
  <c r="W344" i="19"/>
  <c r="AP344" i="20"/>
  <c r="AP449" i="20"/>
  <c r="U235" i="3"/>
  <c r="AA344" i="25"/>
  <c r="AR127" i="21"/>
  <c r="AQ127" i="20"/>
  <c r="AD127" i="21"/>
  <c r="AR344" i="21"/>
  <c r="R449" i="21"/>
  <c r="AR127" i="23"/>
  <c r="Y235" i="24"/>
  <c r="AR344" i="24"/>
  <c r="AP127" i="20"/>
  <c r="AM21" i="19"/>
  <c r="V449" i="21"/>
  <c r="AA235" i="24"/>
  <c r="R344" i="24"/>
  <c r="AR344" i="25"/>
  <c r="AR449" i="3"/>
  <c r="AR21" i="20"/>
  <c r="AQ344" i="20"/>
  <c r="AQ344" i="21"/>
  <c r="AA449" i="21"/>
  <c r="AR21" i="23"/>
  <c r="AI235" i="24"/>
  <c r="Z344" i="24"/>
  <c r="S344" i="25"/>
  <c r="AR127" i="26"/>
  <c r="Q235" i="24"/>
  <c r="U449" i="19"/>
  <c r="AA21" i="20"/>
  <c r="S127" i="20"/>
  <c r="AL235" i="20"/>
  <c r="AR235" i="21"/>
  <c r="AI449" i="21"/>
  <c r="AK449" i="22"/>
  <c r="Z21" i="23"/>
  <c r="Z21" i="24"/>
  <c r="AK235" i="24"/>
  <c r="AA344" i="24"/>
  <c r="T127" i="20"/>
  <c r="AR127" i="22"/>
  <c r="AQ235" i="24"/>
  <c r="AI344" i="24"/>
  <c r="AC344" i="26"/>
  <c r="T344" i="3"/>
  <c r="AH127" i="20"/>
  <c r="AR235" i="20"/>
  <c r="S344" i="20"/>
  <c r="AQ127" i="21"/>
  <c r="AJ449" i="21"/>
  <c r="AQ449" i="23"/>
  <c r="AK344" i="24"/>
  <c r="AR127" i="25"/>
  <c r="AP21" i="26"/>
  <c r="AQ344" i="26"/>
  <c r="AI449" i="20"/>
  <c r="Z127" i="20"/>
  <c r="AR127" i="20"/>
  <c r="AK235" i="20"/>
  <c r="AA344" i="20"/>
  <c r="R449" i="20"/>
  <c r="AQ449" i="20"/>
  <c r="AA127" i="20"/>
  <c r="AI344" i="20"/>
  <c r="S449" i="20"/>
  <c r="AQ21" i="20"/>
  <c r="AB127" i="20"/>
  <c r="Z449" i="20"/>
  <c r="AA449" i="20"/>
  <c r="AO127" i="20"/>
  <c r="AR344" i="20"/>
  <c r="AH449" i="20"/>
  <c r="AQ344" i="19"/>
  <c r="AB449" i="19"/>
  <c r="AC449" i="19"/>
  <c r="AJ449" i="19"/>
  <c r="AM449" i="19"/>
  <c r="W449" i="19"/>
  <c r="AR449" i="19"/>
  <c r="AQ127" i="19"/>
  <c r="AQ449" i="19"/>
  <c r="T449" i="19"/>
  <c r="AR127" i="3"/>
  <c r="AC235" i="3"/>
  <c r="AQ449" i="3"/>
  <c r="AQ235" i="3"/>
  <c r="AM344" i="3"/>
  <c r="V449" i="3"/>
  <c r="AR235" i="3"/>
  <c r="AQ344" i="3"/>
  <c r="AD449" i="3"/>
  <c r="AQ127" i="3"/>
  <c r="AR235" i="23"/>
  <c r="AR449" i="23"/>
  <c r="AR344" i="23"/>
  <c r="AR449" i="22"/>
  <c r="AR235" i="22"/>
  <c r="AR344" i="22"/>
  <c r="U449" i="22"/>
  <c r="V235" i="22"/>
  <c r="V344" i="22"/>
  <c r="AC449" i="22"/>
  <c r="AD235" i="22"/>
  <c r="AL344" i="22"/>
  <c r="AO127" i="22"/>
  <c r="AL235" i="22"/>
  <c r="AC21" i="21"/>
  <c r="AL127" i="21"/>
  <c r="V235" i="21"/>
  <c r="AO449" i="21"/>
  <c r="AP449" i="21"/>
  <c r="Z235" i="21"/>
  <c r="AA235" i="21"/>
  <c r="S449" i="21"/>
  <c r="AH235" i="21"/>
  <c r="U21" i="21"/>
  <c r="AI235" i="21"/>
  <c r="Z449" i="21"/>
  <c r="AO235" i="21"/>
  <c r="AP235" i="21"/>
  <c r="R235" i="21"/>
  <c r="AQ235" i="21"/>
  <c r="AH449" i="21"/>
  <c r="S235" i="21"/>
  <c r="Z21" i="26"/>
  <c r="AR344" i="26"/>
  <c r="AH21" i="26"/>
  <c r="AI235" i="25"/>
  <c r="AP127" i="25"/>
  <c r="AR235" i="25"/>
  <c r="U127" i="25"/>
  <c r="AC127" i="25"/>
  <c r="AK127" i="25"/>
  <c r="AQ344" i="25"/>
  <c r="AC235" i="24"/>
  <c r="AC344" i="24"/>
  <c r="AG235" i="24"/>
  <c r="AH344" i="24"/>
  <c r="AP127" i="24"/>
  <c r="S235" i="24"/>
  <c r="AO235" i="24"/>
  <c r="S344" i="24"/>
  <c r="AP344" i="24"/>
  <c r="V127" i="24"/>
  <c r="U235" i="24"/>
  <c r="U344" i="24"/>
  <c r="AQ235" i="26"/>
  <c r="AK344" i="26"/>
  <c r="AQ127" i="26"/>
  <c r="AR235" i="26"/>
  <c r="U344" i="26"/>
  <c r="AQ127" i="23"/>
  <c r="AQ235" i="23"/>
  <c r="AI344" i="23"/>
  <c r="AH21" i="23"/>
  <c r="U127" i="23"/>
  <c r="U235" i="23"/>
  <c r="U344" i="23"/>
  <c r="AC127" i="23"/>
  <c r="AC235" i="23"/>
  <c r="AC344" i="23"/>
  <c r="AK127" i="23"/>
  <c r="AK235" i="23"/>
  <c r="AK344" i="23"/>
  <c r="V344" i="26"/>
  <c r="AD344" i="26"/>
  <c r="AL344" i="26"/>
  <c r="W344" i="26"/>
  <c r="AE344" i="26"/>
  <c r="AM344" i="26"/>
  <c r="X344" i="26"/>
  <c r="AF344" i="26"/>
  <c r="AN344" i="26"/>
  <c r="Q344" i="26"/>
  <c r="Y344" i="26"/>
  <c r="AG344" i="26"/>
  <c r="AO344" i="26"/>
  <c r="R344" i="26"/>
  <c r="Z344" i="26"/>
  <c r="AH344" i="26"/>
  <c r="AP344" i="26"/>
  <c r="S344" i="26"/>
  <c r="AA344" i="26"/>
  <c r="AI344" i="26"/>
  <c r="T344" i="26"/>
  <c r="AB344" i="26"/>
  <c r="AJ344" i="26"/>
  <c r="T235" i="26"/>
  <c r="U235" i="26"/>
  <c r="AC235" i="26"/>
  <c r="AK235" i="26"/>
  <c r="W235" i="26"/>
  <c r="AE235" i="26"/>
  <c r="AM235" i="26"/>
  <c r="V235" i="26"/>
  <c r="X235" i="26"/>
  <c r="AF235" i="26"/>
  <c r="AN235" i="26"/>
  <c r="Q235" i="26"/>
  <c r="Y235" i="26"/>
  <c r="AG235" i="26"/>
  <c r="AO235" i="26"/>
  <c r="AD235" i="26"/>
  <c r="R235" i="26"/>
  <c r="Z235" i="26"/>
  <c r="AH235" i="26"/>
  <c r="AP235" i="26"/>
  <c r="AL235" i="26"/>
  <c r="S235" i="26"/>
  <c r="AA235" i="26"/>
  <c r="AI235" i="26"/>
  <c r="AB235" i="26"/>
  <c r="AJ235" i="26"/>
  <c r="U127" i="26"/>
  <c r="AC127" i="26"/>
  <c r="AK127" i="26"/>
  <c r="W127" i="26"/>
  <c r="AE127" i="26"/>
  <c r="AM127" i="26"/>
  <c r="X127" i="26"/>
  <c r="AF127" i="26"/>
  <c r="AN127" i="26"/>
  <c r="V127" i="26"/>
  <c r="Q127" i="26"/>
  <c r="Y127" i="26"/>
  <c r="AG127" i="26"/>
  <c r="AO127" i="26"/>
  <c r="AL127" i="26"/>
  <c r="R127" i="26"/>
  <c r="Z127" i="26"/>
  <c r="AH127" i="26"/>
  <c r="AP127" i="26"/>
  <c r="AD127" i="26"/>
  <c r="S127" i="26"/>
  <c r="AA127" i="26"/>
  <c r="AI127" i="26"/>
  <c r="T127" i="26"/>
  <c r="AB127" i="26"/>
  <c r="AJ127" i="26"/>
  <c r="AO21" i="26"/>
  <c r="AR21" i="26"/>
  <c r="R21" i="26"/>
  <c r="AA21" i="26"/>
  <c r="AQ21" i="26"/>
  <c r="U21" i="26"/>
  <c r="AC21" i="26"/>
  <c r="AK21" i="26"/>
  <c r="V21" i="26"/>
  <c r="W21" i="26"/>
  <c r="AE21" i="26"/>
  <c r="AM21" i="26"/>
  <c r="AL21" i="26"/>
  <c r="X21" i="26"/>
  <c r="AF21" i="26"/>
  <c r="AN21" i="26"/>
  <c r="AD21" i="26"/>
  <c r="Q21" i="26"/>
  <c r="Y21" i="26"/>
  <c r="AG21" i="26"/>
  <c r="S21" i="26"/>
  <c r="AI21" i="26"/>
  <c r="T21" i="26"/>
  <c r="AB21" i="26"/>
  <c r="AJ21" i="26"/>
  <c r="U344" i="25"/>
  <c r="AC344" i="25"/>
  <c r="AK344" i="25"/>
  <c r="V344" i="25"/>
  <c r="AD344" i="25"/>
  <c r="AL344" i="25"/>
  <c r="W344" i="25"/>
  <c r="X344" i="25"/>
  <c r="AF344" i="25"/>
  <c r="AN344" i="25"/>
  <c r="AM344" i="25"/>
  <c r="Q344" i="25"/>
  <c r="Y344" i="25"/>
  <c r="AG344" i="25"/>
  <c r="AO344" i="25"/>
  <c r="AE344" i="25"/>
  <c r="R344" i="25"/>
  <c r="Z344" i="25"/>
  <c r="AH344" i="25"/>
  <c r="AP344" i="25"/>
  <c r="AI344" i="25"/>
  <c r="T344" i="25"/>
  <c r="AB344" i="25"/>
  <c r="AJ344" i="25"/>
  <c r="U235" i="25"/>
  <c r="AC235" i="25"/>
  <c r="AK235" i="25"/>
  <c r="V235" i="25"/>
  <c r="AD235" i="25"/>
  <c r="AL235" i="25"/>
  <c r="AM235" i="25"/>
  <c r="AE235" i="25"/>
  <c r="X235" i="25"/>
  <c r="AF235" i="25"/>
  <c r="AN235" i="25"/>
  <c r="Q235" i="25"/>
  <c r="Y235" i="25"/>
  <c r="AG235" i="25"/>
  <c r="AO235" i="25"/>
  <c r="W235" i="25"/>
  <c r="R235" i="25"/>
  <c r="Z235" i="25"/>
  <c r="AH235" i="25"/>
  <c r="AP235" i="25"/>
  <c r="S235" i="25"/>
  <c r="AA235" i="25"/>
  <c r="AQ235" i="25"/>
  <c r="T235" i="25"/>
  <c r="AB235" i="25"/>
  <c r="AJ235" i="25"/>
  <c r="AL127" i="25"/>
  <c r="W127" i="25"/>
  <c r="AE127" i="25"/>
  <c r="AM127" i="25"/>
  <c r="AD127" i="25"/>
  <c r="X127" i="25"/>
  <c r="AF127" i="25"/>
  <c r="AN127" i="25"/>
  <c r="Q127" i="25"/>
  <c r="Y127" i="25"/>
  <c r="AG127" i="25"/>
  <c r="AO127" i="25"/>
  <c r="V127" i="25"/>
  <c r="R127" i="25"/>
  <c r="Z127" i="25"/>
  <c r="AH127" i="25"/>
  <c r="S127" i="25"/>
  <c r="AA127" i="25"/>
  <c r="AI127" i="25"/>
  <c r="AQ127" i="25"/>
  <c r="T127" i="25"/>
  <c r="AB127" i="25"/>
  <c r="AJ127" i="25"/>
  <c r="AO21" i="25"/>
  <c r="AI21" i="25"/>
  <c r="U21" i="25"/>
  <c r="AC21" i="25"/>
  <c r="AK21" i="25"/>
  <c r="V21" i="25"/>
  <c r="W21" i="25"/>
  <c r="AE21" i="25"/>
  <c r="AM21" i="25"/>
  <c r="AD21" i="25"/>
  <c r="X21" i="25"/>
  <c r="AF21" i="25"/>
  <c r="AN21" i="25"/>
  <c r="AL21" i="25"/>
  <c r="Q21" i="25"/>
  <c r="Y21" i="25"/>
  <c r="AG21" i="25"/>
  <c r="R21" i="25"/>
  <c r="Z21" i="25"/>
  <c r="AH21" i="25"/>
  <c r="AP21" i="25"/>
  <c r="AA21" i="25"/>
  <c r="AQ21" i="25"/>
  <c r="S21" i="25"/>
  <c r="T21" i="25"/>
  <c r="AB21" i="25"/>
  <c r="AJ21" i="25"/>
  <c r="V344" i="24"/>
  <c r="AD344" i="24"/>
  <c r="AL344" i="24"/>
  <c r="W344" i="24"/>
  <c r="AE344" i="24"/>
  <c r="AM344" i="24"/>
  <c r="X344" i="24"/>
  <c r="AF344" i="24"/>
  <c r="AN344" i="24"/>
  <c r="Q344" i="24"/>
  <c r="Y344" i="24"/>
  <c r="AG344" i="24"/>
  <c r="AO344" i="24"/>
  <c r="T344" i="24"/>
  <c r="AB344" i="24"/>
  <c r="AJ344" i="24"/>
  <c r="V235" i="24"/>
  <c r="AD235" i="24"/>
  <c r="AL235" i="24"/>
  <c r="W235" i="24"/>
  <c r="AE235" i="24"/>
  <c r="AM235" i="24"/>
  <c r="X235" i="24"/>
  <c r="AF235" i="24"/>
  <c r="AN235" i="24"/>
  <c r="R235" i="24"/>
  <c r="Z235" i="24"/>
  <c r="AH235" i="24"/>
  <c r="AP235" i="24"/>
  <c r="T235" i="24"/>
  <c r="AB235" i="24"/>
  <c r="AJ235" i="24"/>
  <c r="AD127" i="24"/>
  <c r="S127" i="24"/>
  <c r="AA127" i="24"/>
  <c r="AI127" i="24"/>
  <c r="AQ127" i="24"/>
  <c r="T127" i="24"/>
  <c r="AB127" i="24"/>
  <c r="AJ127" i="24"/>
  <c r="AR127" i="24"/>
  <c r="U127" i="24"/>
  <c r="AC127" i="24"/>
  <c r="AK127" i="24"/>
  <c r="AL127" i="24"/>
  <c r="W127" i="24"/>
  <c r="AM127" i="24"/>
  <c r="X127" i="24"/>
  <c r="AN127" i="24"/>
  <c r="Q127" i="24"/>
  <c r="Y127" i="24"/>
  <c r="AG127" i="24"/>
  <c r="AO127" i="24"/>
  <c r="AF127" i="24"/>
  <c r="R127" i="24"/>
  <c r="Z127" i="24"/>
  <c r="AH127" i="24"/>
  <c r="AR21" i="24"/>
  <c r="R21" i="24"/>
  <c r="AP21" i="24"/>
  <c r="AO21" i="24"/>
  <c r="AH21" i="24"/>
  <c r="S21" i="24"/>
  <c r="AA21" i="24"/>
  <c r="AQ21" i="24"/>
  <c r="U21" i="24"/>
  <c r="AC21" i="24"/>
  <c r="AK21" i="24"/>
  <c r="V21" i="24"/>
  <c r="W21" i="24"/>
  <c r="AE21" i="24"/>
  <c r="AM21" i="24"/>
  <c r="AD21" i="24"/>
  <c r="X21" i="24"/>
  <c r="AF21" i="24"/>
  <c r="AN21" i="24"/>
  <c r="AL21" i="24"/>
  <c r="Q21" i="24"/>
  <c r="Y21" i="24"/>
  <c r="AG21" i="24"/>
  <c r="AI21" i="24"/>
  <c r="T21" i="24"/>
  <c r="AB21" i="24"/>
  <c r="AJ21" i="24"/>
  <c r="U449" i="23"/>
  <c r="AC449" i="23"/>
  <c r="AK449" i="23"/>
  <c r="AL449" i="23"/>
  <c r="W449" i="23"/>
  <c r="AE449" i="23"/>
  <c r="AM449" i="23"/>
  <c r="AD449" i="23"/>
  <c r="X449" i="23"/>
  <c r="AF449" i="23"/>
  <c r="AN449" i="23"/>
  <c r="V449" i="23"/>
  <c r="Q449" i="23"/>
  <c r="Y449" i="23"/>
  <c r="AG449" i="23"/>
  <c r="AO449" i="23"/>
  <c r="R449" i="23"/>
  <c r="Z449" i="23"/>
  <c r="AH449" i="23"/>
  <c r="AP449" i="23"/>
  <c r="S449" i="23"/>
  <c r="AA449" i="23"/>
  <c r="AI449" i="23"/>
  <c r="T449" i="23"/>
  <c r="AB449" i="23"/>
  <c r="AJ449" i="23"/>
  <c r="V344" i="23"/>
  <c r="AD344" i="23"/>
  <c r="AL344" i="23"/>
  <c r="W344" i="23"/>
  <c r="AE344" i="23"/>
  <c r="AM344" i="23"/>
  <c r="X344" i="23"/>
  <c r="AF344" i="23"/>
  <c r="AN344" i="23"/>
  <c r="Q344" i="23"/>
  <c r="Y344" i="23"/>
  <c r="AG344" i="23"/>
  <c r="AO344" i="23"/>
  <c r="R344" i="23"/>
  <c r="Z344" i="23"/>
  <c r="AH344" i="23"/>
  <c r="AP344" i="23"/>
  <c r="S344" i="23"/>
  <c r="AA344" i="23"/>
  <c r="AQ344" i="23"/>
  <c r="T344" i="23"/>
  <c r="AB344" i="23"/>
  <c r="AJ344" i="23"/>
  <c r="V235" i="23"/>
  <c r="AD235" i="23"/>
  <c r="AL235" i="23"/>
  <c r="W235" i="23"/>
  <c r="AE235" i="23"/>
  <c r="AM235" i="23"/>
  <c r="X235" i="23"/>
  <c r="AF235" i="23"/>
  <c r="AN235" i="23"/>
  <c r="Q235" i="23"/>
  <c r="Y235" i="23"/>
  <c r="AG235" i="23"/>
  <c r="AO235" i="23"/>
  <c r="R235" i="23"/>
  <c r="Z235" i="23"/>
  <c r="AH235" i="23"/>
  <c r="AP235" i="23"/>
  <c r="S235" i="23"/>
  <c r="AA235" i="23"/>
  <c r="AI235" i="23"/>
  <c r="T235" i="23"/>
  <c r="AB235" i="23"/>
  <c r="AJ235" i="23"/>
  <c r="V127" i="23"/>
  <c r="AD127" i="23"/>
  <c r="AL127" i="23"/>
  <c r="W127" i="23"/>
  <c r="AE127" i="23"/>
  <c r="AM127" i="23"/>
  <c r="X127" i="23"/>
  <c r="AF127" i="23"/>
  <c r="AN127" i="23"/>
  <c r="Q127" i="23"/>
  <c r="Y127" i="23"/>
  <c r="AG127" i="23"/>
  <c r="AO127" i="23"/>
  <c r="R127" i="23"/>
  <c r="Z127" i="23"/>
  <c r="AH127" i="23"/>
  <c r="AP127" i="23"/>
  <c r="S127" i="23"/>
  <c r="AA127" i="23"/>
  <c r="AI127" i="23"/>
  <c r="T127" i="23"/>
  <c r="AB127" i="23"/>
  <c r="AJ127" i="23"/>
  <c r="AO21" i="23"/>
  <c r="R21" i="23"/>
  <c r="AA21" i="23"/>
  <c r="AQ21" i="23"/>
  <c r="U21" i="23"/>
  <c r="AC21" i="23"/>
  <c r="AK21" i="23"/>
  <c r="V21" i="23"/>
  <c r="W21" i="23"/>
  <c r="AE21" i="23"/>
  <c r="AM21" i="23"/>
  <c r="AD21" i="23"/>
  <c r="X21" i="23"/>
  <c r="AF21" i="23"/>
  <c r="AN21" i="23"/>
  <c r="AL21" i="23"/>
  <c r="Q21" i="23"/>
  <c r="Y21" i="23"/>
  <c r="AG21" i="23"/>
  <c r="S21" i="23"/>
  <c r="AI21" i="23"/>
  <c r="T21" i="23"/>
  <c r="AB21" i="23"/>
  <c r="AJ21" i="23"/>
  <c r="V449" i="22"/>
  <c r="AD449" i="22"/>
  <c r="AL449" i="22"/>
  <c r="W449" i="22"/>
  <c r="AE449" i="22"/>
  <c r="AM449" i="22"/>
  <c r="X449" i="22"/>
  <c r="AF449" i="22"/>
  <c r="AN449" i="22"/>
  <c r="Q449" i="22"/>
  <c r="Y449" i="22"/>
  <c r="AG449" i="22"/>
  <c r="AO449" i="22"/>
  <c r="R449" i="22"/>
  <c r="Z449" i="22"/>
  <c r="AH449" i="22"/>
  <c r="AP449" i="22"/>
  <c r="S449" i="22"/>
  <c r="AA449" i="22"/>
  <c r="AI449" i="22"/>
  <c r="T449" i="22"/>
  <c r="AB449" i="22"/>
  <c r="AJ449" i="22"/>
  <c r="U344" i="22"/>
  <c r="AC344" i="22"/>
  <c r="AK344" i="22"/>
  <c r="W344" i="22"/>
  <c r="AE344" i="22"/>
  <c r="AM344" i="22"/>
  <c r="X344" i="22"/>
  <c r="AF344" i="22"/>
  <c r="AN344" i="22"/>
  <c r="Q344" i="22"/>
  <c r="Y344" i="22"/>
  <c r="AG344" i="22"/>
  <c r="AO344" i="22"/>
  <c r="R344" i="22"/>
  <c r="Z344" i="22"/>
  <c r="AH344" i="22"/>
  <c r="AP344" i="22"/>
  <c r="S344" i="22"/>
  <c r="AA344" i="22"/>
  <c r="AI344" i="22"/>
  <c r="AQ344" i="22"/>
  <c r="T344" i="22"/>
  <c r="AB344" i="22"/>
  <c r="AJ344" i="22"/>
  <c r="U235" i="22"/>
  <c r="AC235" i="22"/>
  <c r="AK235" i="22"/>
  <c r="W235" i="22"/>
  <c r="AE235" i="22"/>
  <c r="AM235" i="22"/>
  <c r="X235" i="22"/>
  <c r="AF235" i="22"/>
  <c r="AN235" i="22"/>
  <c r="Q235" i="22"/>
  <c r="Y235" i="22"/>
  <c r="AG235" i="22"/>
  <c r="AO235" i="22"/>
  <c r="R235" i="22"/>
  <c r="Z235" i="22"/>
  <c r="AH235" i="22"/>
  <c r="AP235" i="22"/>
  <c r="S235" i="22"/>
  <c r="AA235" i="22"/>
  <c r="AI235" i="22"/>
  <c r="T235" i="22"/>
  <c r="AB235" i="22"/>
  <c r="AJ235" i="22"/>
  <c r="U127" i="22"/>
  <c r="AC127" i="22"/>
  <c r="AK127" i="22"/>
  <c r="AL127" i="22"/>
  <c r="W127" i="22"/>
  <c r="AE127" i="22"/>
  <c r="AM127" i="22"/>
  <c r="AD127" i="22"/>
  <c r="X127" i="22"/>
  <c r="AF127" i="22"/>
  <c r="AN127" i="22"/>
  <c r="V127" i="22"/>
  <c r="Q127" i="22"/>
  <c r="Y127" i="22"/>
  <c r="AG127" i="22"/>
  <c r="R127" i="22"/>
  <c r="Z127" i="22"/>
  <c r="AH127" i="22"/>
  <c r="AP127" i="22"/>
  <c r="S127" i="22"/>
  <c r="AA127" i="22"/>
  <c r="AI127" i="22"/>
  <c r="AQ127" i="22"/>
  <c r="T127" i="22"/>
  <c r="AB127" i="22"/>
  <c r="AJ127" i="22"/>
  <c r="AR21" i="22"/>
  <c r="AK21" i="22"/>
  <c r="V21" i="22"/>
  <c r="AD21" i="22"/>
  <c r="AL21" i="22"/>
  <c r="U21" i="22"/>
  <c r="AC21" i="22"/>
  <c r="W21" i="22"/>
  <c r="AE21" i="22"/>
  <c r="AM21" i="22"/>
  <c r="AN21" i="22"/>
  <c r="AF21" i="22"/>
  <c r="Q21" i="22"/>
  <c r="Y21" i="22"/>
  <c r="AG21" i="22"/>
  <c r="AO21" i="22"/>
  <c r="R21" i="22"/>
  <c r="Z21" i="22"/>
  <c r="AH21" i="22"/>
  <c r="AP21" i="22"/>
  <c r="X21" i="22"/>
  <c r="S21" i="22"/>
  <c r="AA21" i="22"/>
  <c r="AI21" i="22"/>
  <c r="AQ21" i="22"/>
  <c r="T21" i="22"/>
  <c r="AB21" i="22"/>
  <c r="AJ21" i="22"/>
  <c r="T449" i="21"/>
  <c r="AB449" i="21"/>
  <c r="AR449" i="21"/>
  <c r="U449" i="21"/>
  <c r="AC449" i="21"/>
  <c r="AK449" i="21"/>
  <c r="W449" i="21"/>
  <c r="AL449" i="21"/>
  <c r="AM449" i="21"/>
  <c r="X449" i="21"/>
  <c r="AF449" i="21"/>
  <c r="AN449" i="21"/>
  <c r="AD449" i="21"/>
  <c r="AE449" i="21"/>
  <c r="Q449" i="21"/>
  <c r="Y449" i="21"/>
  <c r="AG449" i="21"/>
  <c r="AB344" i="21"/>
  <c r="U344" i="21"/>
  <c r="AC344" i="21"/>
  <c r="AK344" i="21"/>
  <c r="AE344" i="21"/>
  <c r="AM344" i="21"/>
  <c r="X344" i="21"/>
  <c r="AF344" i="21"/>
  <c r="AN344" i="21"/>
  <c r="V344" i="21"/>
  <c r="W344" i="21"/>
  <c r="Q344" i="21"/>
  <c r="Y344" i="21"/>
  <c r="AG344" i="21"/>
  <c r="AO344" i="21"/>
  <c r="AD344" i="21"/>
  <c r="R344" i="21"/>
  <c r="Z344" i="21"/>
  <c r="AH344" i="21"/>
  <c r="AP344" i="21"/>
  <c r="AL344" i="21"/>
  <c r="S344" i="21"/>
  <c r="AA344" i="21"/>
  <c r="AI344" i="21"/>
  <c r="T344" i="21"/>
  <c r="AJ344" i="21"/>
  <c r="U235" i="21"/>
  <c r="AC235" i="21"/>
  <c r="AK235" i="21"/>
  <c r="W235" i="21"/>
  <c r="AL235" i="21"/>
  <c r="AE235" i="21"/>
  <c r="X235" i="21"/>
  <c r="AF235" i="21"/>
  <c r="AN235" i="21"/>
  <c r="AD235" i="21"/>
  <c r="AM235" i="21"/>
  <c r="Q235" i="21"/>
  <c r="Y235" i="21"/>
  <c r="AG235" i="21"/>
  <c r="T235" i="21"/>
  <c r="AB235" i="21"/>
  <c r="AJ235" i="21"/>
  <c r="V127" i="21"/>
  <c r="U127" i="21"/>
  <c r="AC127" i="21"/>
  <c r="AK127" i="21"/>
  <c r="W127" i="21"/>
  <c r="AE127" i="21"/>
  <c r="AM127" i="21"/>
  <c r="X127" i="21"/>
  <c r="AF127" i="21"/>
  <c r="AN127" i="21"/>
  <c r="Q127" i="21"/>
  <c r="Y127" i="21"/>
  <c r="AG127" i="21"/>
  <c r="AO127" i="21"/>
  <c r="R127" i="21"/>
  <c r="Z127" i="21"/>
  <c r="AH127" i="21"/>
  <c r="AP127" i="21"/>
  <c r="S127" i="21"/>
  <c r="AA127" i="21"/>
  <c r="AI127" i="21"/>
  <c r="T127" i="21"/>
  <c r="AB127" i="21"/>
  <c r="AJ127" i="21"/>
  <c r="AQ21" i="21"/>
  <c r="AR21" i="21"/>
  <c r="V21" i="21"/>
  <c r="AD21" i="21"/>
  <c r="AL21" i="21"/>
  <c r="W21" i="21"/>
  <c r="AE21" i="21"/>
  <c r="AM21" i="21"/>
  <c r="X21" i="21"/>
  <c r="AF21" i="21"/>
  <c r="AN21" i="21"/>
  <c r="Q21" i="21"/>
  <c r="Y21" i="21"/>
  <c r="AG21" i="21"/>
  <c r="AO21" i="21"/>
  <c r="R21" i="21"/>
  <c r="Z21" i="21"/>
  <c r="AH21" i="21"/>
  <c r="AP21" i="21"/>
  <c r="S21" i="21"/>
  <c r="AA21" i="21"/>
  <c r="AI21" i="21"/>
  <c r="T21" i="21"/>
  <c r="AB21" i="21"/>
  <c r="AJ21" i="21"/>
  <c r="T449" i="20"/>
  <c r="AB449" i="20"/>
  <c r="AJ449" i="20"/>
  <c r="AR449" i="20"/>
  <c r="U449" i="20"/>
  <c r="AC449" i="20"/>
  <c r="AK449" i="20"/>
  <c r="V449" i="20"/>
  <c r="W449" i="20"/>
  <c r="AE449" i="20"/>
  <c r="AM449" i="20"/>
  <c r="X449" i="20"/>
  <c r="AF449" i="20"/>
  <c r="AN449" i="20"/>
  <c r="Q449" i="20"/>
  <c r="Y449" i="20"/>
  <c r="AG449" i="20"/>
  <c r="U344" i="20"/>
  <c r="AC344" i="20"/>
  <c r="AK344" i="20"/>
  <c r="V344" i="20"/>
  <c r="AD344" i="20"/>
  <c r="AL344" i="20"/>
  <c r="AE344" i="20"/>
  <c r="AN344" i="20"/>
  <c r="Q344" i="20"/>
  <c r="Y344" i="20"/>
  <c r="AG344" i="20"/>
  <c r="AO344" i="20"/>
  <c r="AM344" i="20"/>
  <c r="X344" i="20"/>
  <c r="AF344" i="20"/>
  <c r="R344" i="20"/>
  <c r="Z344" i="20"/>
  <c r="AH344" i="20"/>
  <c r="T344" i="20"/>
  <c r="AB344" i="20"/>
  <c r="AJ344" i="20"/>
  <c r="V235" i="20"/>
  <c r="AD235" i="20"/>
  <c r="W235" i="20"/>
  <c r="AE235" i="20"/>
  <c r="AM235" i="20"/>
  <c r="X235" i="20"/>
  <c r="AF235" i="20"/>
  <c r="AN235" i="20"/>
  <c r="Q235" i="20"/>
  <c r="Y235" i="20"/>
  <c r="AG235" i="20"/>
  <c r="AO235" i="20"/>
  <c r="R235" i="20"/>
  <c r="Z235" i="20"/>
  <c r="AH235" i="20"/>
  <c r="AP235" i="20"/>
  <c r="S235" i="20"/>
  <c r="AA235" i="20"/>
  <c r="AI235" i="20"/>
  <c r="AQ235" i="20"/>
  <c r="T235" i="20"/>
  <c r="AB235" i="20"/>
  <c r="AJ235" i="20"/>
  <c r="AK127" i="20"/>
  <c r="V127" i="20"/>
  <c r="AD127" i="20"/>
  <c r="AL127" i="20"/>
  <c r="U127" i="20"/>
  <c r="AC127" i="20"/>
  <c r="W127" i="20"/>
  <c r="AE127" i="20"/>
  <c r="AM127" i="20"/>
  <c r="X127" i="20"/>
  <c r="AF127" i="20"/>
  <c r="AN127" i="20"/>
  <c r="Q127" i="20"/>
  <c r="Y127" i="20"/>
  <c r="AG127" i="20"/>
  <c r="AP21" i="20"/>
  <c r="AO21" i="20"/>
  <c r="T21" i="20"/>
  <c r="S21" i="20"/>
  <c r="AB21" i="20"/>
  <c r="AJ21" i="20"/>
  <c r="U21" i="20"/>
  <c r="AC21" i="20"/>
  <c r="AK21" i="20"/>
  <c r="V21" i="20"/>
  <c r="AD21" i="20"/>
  <c r="AL21" i="20"/>
  <c r="W21" i="20"/>
  <c r="AE21" i="20"/>
  <c r="AM21" i="20"/>
  <c r="X21" i="20"/>
  <c r="AF21" i="20"/>
  <c r="AN21" i="20"/>
  <c r="Q21" i="20"/>
  <c r="Y21" i="20"/>
  <c r="AG21" i="20"/>
  <c r="R21" i="20"/>
  <c r="Z21" i="20"/>
  <c r="AH21" i="20"/>
  <c r="AK449" i="19"/>
  <c r="V449" i="19"/>
  <c r="AD449" i="19"/>
  <c r="AL449" i="19"/>
  <c r="X449" i="19"/>
  <c r="AF449" i="19"/>
  <c r="AN449" i="19"/>
  <c r="AE449" i="19"/>
  <c r="Q449" i="19"/>
  <c r="Y449" i="19"/>
  <c r="AG449" i="19"/>
  <c r="AO449" i="19"/>
  <c r="R449" i="19"/>
  <c r="Z449" i="19"/>
  <c r="AH449" i="19"/>
  <c r="AP449" i="19"/>
  <c r="S449" i="19"/>
  <c r="AA449" i="19"/>
  <c r="AI449" i="19"/>
  <c r="T344" i="19"/>
  <c r="AB344" i="19"/>
  <c r="AJ344" i="19"/>
  <c r="AR344" i="19"/>
  <c r="U344" i="19"/>
  <c r="AC344" i="19"/>
  <c r="AK344" i="19"/>
  <c r="AD344" i="19"/>
  <c r="AM344" i="19"/>
  <c r="X344" i="19"/>
  <c r="AF344" i="19"/>
  <c r="AN344" i="19"/>
  <c r="AL344" i="19"/>
  <c r="AE344" i="19"/>
  <c r="Q344" i="19"/>
  <c r="Y344" i="19"/>
  <c r="AG344" i="19"/>
  <c r="AO344" i="19"/>
  <c r="R344" i="19"/>
  <c r="Z344" i="19"/>
  <c r="AH344" i="19"/>
  <c r="AP344" i="19"/>
  <c r="V344" i="19"/>
  <c r="S344" i="19"/>
  <c r="AA344" i="19"/>
  <c r="AI344" i="19"/>
  <c r="T235" i="19"/>
  <c r="AB235" i="19"/>
  <c r="AJ235" i="19"/>
  <c r="AR235" i="19"/>
  <c r="U235" i="19"/>
  <c r="AC235" i="19"/>
  <c r="AK235" i="19"/>
  <c r="V235" i="19"/>
  <c r="AM235" i="19"/>
  <c r="X235" i="19"/>
  <c r="AF235" i="19"/>
  <c r="AN235" i="19"/>
  <c r="AD235" i="19"/>
  <c r="AE235" i="19"/>
  <c r="Q235" i="19"/>
  <c r="Y235" i="19"/>
  <c r="AG235" i="19"/>
  <c r="AO235" i="19"/>
  <c r="R235" i="19"/>
  <c r="Z235" i="19"/>
  <c r="AH235" i="19"/>
  <c r="AP235" i="19"/>
  <c r="AL235" i="19"/>
  <c r="S235" i="19"/>
  <c r="AA235" i="19"/>
  <c r="AI235" i="19"/>
  <c r="AA127" i="19"/>
  <c r="AI127" i="19"/>
  <c r="AR127" i="19"/>
  <c r="S127" i="19"/>
  <c r="U127" i="19"/>
  <c r="AC127" i="19"/>
  <c r="AK127" i="19"/>
  <c r="V127" i="19"/>
  <c r="AD127" i="19"/>
  <c r="AL127" i="19"/>
  <c r="X127" i="19"/>
  <c r="AF127" i="19"/>
  <c r="AN127" i="19"/>
  <c r="AM127" i="19"/>
  <c r="Q127" i="19"/>
  <c r="Y127" i="19"/>
  <c r="AG127" i="19"/>
  <c r="AO127" i="19"/>
  <c r="W127" i="19"/>
  <c r="AE127" i="19"/>
  <c r="R127" i="19"/>
  <c r="Z127" i="19"/>
  <c r="AH127" i="19"/>
  <c r="AP127" i="19"/>
  <c r="T127" i="19"/>
  <c r="AB127" i="19"/>
  <c r="AJ127" i="19"/>
  <c r="AK21" i="19"/>
  <c r="AC21" i="19"/>
  <c r="U21" i="19"/>
  <c r="AR21" i="19"/>
  <c r="W21" i="19"/>
  <c r="AD21" i="19"/>
  <c r="AE21" i="19"/>
  <c r="AN21" i="19"/>
  <c r="Q21" i="19"/>
  <c r="Y21" i="19"/>
  <c r="AG21" i="19"/>
  <c r="AO21" i="19"/>
  <c r="AL21" i="19"/>
  <c r="AF21" i="19"/>
  <c r="R21" i="19"/>
  <c r="Z21" i="19"/>
  <c r="AH21" i="19"/>
  <c r="AP21" i="19"/>
  <c r="V21" i="19"/>
  <c r="X21" i="19"/>
  <c r="S21" i="19"/>
  <c r="AA21" i="19"/>
  <c r="AI21" i="19"/>
  <c r="AQ21" i="19"/>
  <c r="T21" i="19"/>
  <c r="AB21" i="19"/>
  <c r="AJ21" i="19"/>
  <c r="U449" i="3"/>
  <c r="AC449" i="3"/>
  <c r="AK449" i="3"/>
  <c r="AL449" i="3"/>
  <c r="W449" i="3"/>
  <c r="AE449" i="3"/>
  <c r="AM449" i="3"/>
  <c r="X449" i="3"/>
  <c r="AF449" i="3"/>
  <c r="AN449" i="3"/>
  <c r="Q449" i="3"/>
  <c r="Y449" i="3"/>
  <c r="AG449" i="3"/>
  <c r="AO449" i="3"/>
  <c r="R449" i="3"/>
  <c r="Z449" i="3"/>
  <c r="AH449" i="3"/>
  <c r="AP449" i="3"/>
  <c r="S449" i="3"/>
  <c r="AA449" i="3"/>
  <c r="AI449" i="3"/>
  <c r="T449" i="3"/>
  <c r="AB449" i="3"/>
  <c r="AJ449" i="3"/>
  <c r="AB344" i="3"/>
  <c r="AJ344" i="3"/>
  <c r="AR344" i="3"/>
  <c r="U344" i="3"/>
  <c r="AC344" i="3"/>
  <c r="AK344" i="3"/>
  <c r="V344" i="3"/>
  <c r="AD344" i="3"/>
  <c r="AL344" i="3"/>
  <c r="AE344" i="3"/>
  <c r="AN344" i="3"/>
  <c r="Q344" i="3"/>
  <c r="Y344" i="3"/>
  <c r="AG344" i="3"/>
  <c r="AO344" i="3"/>
  <c r="W344" i="3"/>
  <c r="AF344" i="3"/>
  <c r="R344" i="3"/>
  <c r="Z344" i="3"/>
  <c r="AH344" i="3"/>
  <c r="AP344" i="3"/>
  <c r="X344" i="3"/>
  <c r="S344" i="3"/>
  <c r="AA344" i="3"/>
  <c r="AI344" i="3"/>
  <c r="V235" i="3"/>
  <c r="AD235" i="3"/>
  <c r="AL235" i="3"/>
  <c r="W235" i="3"/>
  <c r="AE235" i="3"/>
  <c r="AM235" i="3"/>
  <c r="X235" i="3"/>
  <c r="AF235" i="3"/>
  <c r="AN235" i="3"/>
  <c r="Q235" i="3"/>
  <c r="Y235" i="3"/>
  <c r="AG235" i="3"/>
  <c r="AO235" i="3"/>
  <c r="R235" i="3"/>
  <c r="Z235" i="3"/>
  <c r="AH235" i="3"/>
  <c r="AP235" i="3"/>
  <c r="S235" i="3"/>
  <c r="AA235" i="3"/>
  <c r="AI235" i="3"/>
  <c r="T235" i="3"/>
  <c r="AB235" i="3"/>
  <c r="AJ235" i="3"/>
  <c r="U127" i="3"/>
  <c r="AC127" i="3"/>
  <c r="AK127" i="3"/>
  <c r="V127" i="3"/>
  <c r="AD127" i="3"/>
  <c r="AL127" i="3"/>
  <c r="AM127" i="3"/>
  <c r="X127" i="3"/>
  <c r="AF127" i="3"/>
  <c r="AN127" i="3"/>
  <c r="AE127" i="3"/>
  <c r="Q127" i="3"/>
  <c r="Y127" i="3"/>
  <c r="AG127" i="3"/>
  <c r="AO127" i="3"/>
  <c r="W127" i="3"/>
  <c r="R127" i="3"/>
  <c r="Z127" i="3"/>
  <c r="AH127" i="3"/>
  <c r="AP127" i="3"/>
  <c r="AA127" i="3"/>
  <c r="AI127" i="3"/>
  <c r="T127" i="3"/>
  <c r="AB127" i="3"/>
  <c r="AJ127" i="3"/>
  <c r="B21" i="20" l="1"/>
  <c r="N41" i="20" s="1"/>
  <c r="N70" i="20" s="1"/>
  <c r="B344" i="20"/>
  <c r="B235" i="20"/>
  <c r="B21" i="24"/>
  <c r="B127" i="20"/>
  <c r="L41" i="2"/>
  <c r="B449" i="19" s="1"/>
  <c r="C344" i="26"/>
  <c r="B344" i="24"/>
  <c r="T364" i="24" s="1"/>
  <c r="T393" i="24" s="1"/>
  <c r="B127" i="24"/>
  <c r="G25" i="29"/>
  <c r="G30" i="29"/>
  <c r="G35" i="29"/>
  <c r="G20" i="29"/>
  <c r="H35" i="29"/>
  <c r="H30" i="29"/>
  <c r="H20" i="29"/>
  <c r="H25" i="29"/>
  <c r="H33" i="29"/>
  <c r="H18" i="29"/>
  <c r="H28" i="29"/>
  <c r="H23" i="29"/>
  <c r="H32" i="29"/>
  <c r="H27" i="29"/>
  <c r="H17" i="29"/>
  <c r="H22" i="29"/>
  <c r="H34" i="29"/>
  <c r="H29" i="29"/>
  <c r="H19" i="29"/>
  <c r="H24" i="29"/>
  <c r="C21" i="26"/>
  <c r="P41" i="26" s="1"/>
  <c r="P70" i="26" s="1"/>
  <c r="Y94" i="2"/>
  <c r="G22" i="29"/>
  <c r="G27" i="29"/>
  <c r="G32" i="29"/>
  <c r="G17" i="29"/>
  <c r="C235" i="26"/>
  <c r="G23" i="29"/>
  <c r="G28" i="29"/>
  <c r="G33" i="29"/>
  <c r="G18" i="29"/>
  <c r="G24" i="29"/>
  <c r="G29" i="29"/>
  <c r="G34" i="29"/>
  <c r="G19" i="29"/>
  <c r="B21" i="25"/>
  <c r="B344" i="25"/>
  <c r="B127" i="25"/>
  <c r="B235" i="26"/>
  <c r="B344" i="26"/>
  <c r="B127" i="26"/>
  <c r="AC147" i="26" s="1"/>
  <c r="AC176" i="26" s="1"/>
  <c r="C235" i="25"/>
  <c r="S255" i="25" s="1"/>
  <c r="S284" i="25" s="1"/>
  <c r="C344" i="25"/>
  <c r="C21" i="25"/>
  <c r="C127" i="25"/>
  <c r="C127" i="24"/>
  <c r="C235" i="24"/>
  <c r="AC255" i="24" s="1"/>
  <c r="AC284" i="24" s="1"/>
  <c r="C21" i="24"/>
  <c r="C127" i="20"/>
  <c r="C344" i="20"/>
  <c r="H364" i="20" s="1"/>
  <c r="H393" i="20" s="1"/>
  <c r="C344" i="19"/>
  <c r="C21" i="19"/>
  <c r="C235" i="19"/>
  <c r="C449" i="19"/>
  <c r="C449" i="20"/>
  <c r="X469" i="20" s="1"/>
  <c r="X498" i="20" s="1"/>
  <c r="C235" i="20"/>
  <c r="L131" i="2"/>
  <c r="AC94" i="2" s="1"/>
  <c r="L107" i="2"/>
  <c r="AH94" i="2" s="1"/>
  <c r="L119" i="2"/>
  <c r="AM94" i="2" s="1"/>
  <c r="AE125" i="2"/>
  <c r="AF125" i="2" s="1"/>
  <c r="I255" i="20" l="1"/>
  <c r="I284" i="20" s="1"/>
  <c r="T41" i="20"/>
  <c r="T70" i="20" s="1"/>
  <c r="S41" i="20"/>
  <c r="S70" i="20" s="1"/>
  <c r="G41" i="20"/>
  <c r="G70" i="20" s="1"/>
  <c r="W41" i="20"/>
  <c r="W70" i="20" s="1"/>
  <c r="AC41" i="24"/>
  <c r="AC70" i="24" s="1"/>
  <c r="J41" i="20"/>
  <c r="J70" i="20" s="1"/>
  <c r="M41" i="20"/>
  <c r="M70" i="20" s="1"/>
  <c r="P41" i="20"/>
  <c r="P70" i="20" s="1"/>
  <c r="AA41" i="20"/>
  <c r="AA70" i="20" s="1"/>
  <c r="AB41" i="20"/>
  <c r="AB70" i="20" s="1"/>
  <c r="H41" i="20"/>
  <c r="H70" i="20" s="1"/>
  <c r="C41" i="20"/>
  <c r="C70" i="20" s="1"/>
  <c r="Q41" i="20"/>
  <c r="Q70" i="20" s="1"/>
  <c r="Y41" i="20"/>
  <c r="Y70" i="20" s="1"/>
  <c r="I41" i="20"/>
  <c r="I70" i="20" s="1"/>
  <c r="V41" i="20"/>
  <c r="V70" i="20" s="1"/>
  <c r="L41" i="20"/>
  <c r="L70" i="20" s="1"/>
  <c r="E41" i="20"/>
  <c r="E70" i="20" s="1"/>
  <c r="R41" i="20"/>
  <c r="R70" i="20" s="1"/>
  <c r="F41" i="20"/>
  <c r="F70" i="20" s="1"/>
  <c r="R147" i="20"/>
  <c r="R176" i="20" s="1"/>
  <c r="X41" i="20"/>
  <c r="X70" i="20" s="1"/>
  <c r="U41" i="20"/>
  <c r="U70" i="20" s="1"/>
  <c r="AC41" i="20"/>
  <c r="AC70" i="20" s="1"/>
  <c r="K41" i="20"/>
  <c r="K70" i="20" s="1"/>
  <c r="O41" i="20"/>
  <c r="O70" i="20" s="1"/>
  <c r="B41" i="20"/>
  <c r="B70" i="20" s="1"/>
  <c r="Z41" i="20"/>
  <c r="Z70" i="20" s="1"/>
  <c r="D41" i="20"/>
  <c r="D70" i="20" s="1"/>
  <c r="G147" i="24"/>
  <c r="G176" i="24" s="1"/>
  <c r="N469" i="19"/>
  <c r="N498" i="19" s="1"/>
  <c r="J364" i="24"/>
  <c r="J393" i="24" s="1"/>
  <c r="E364" i="24"/>
  <c r="E393" i="24" s="1"/>
  <c r="Q364" i="24"/>
  <c r="Q393" i="24" s="1"/>
  <c r="N364" i="24"/>
  <c r="N393" i="24" s="1"/>
  <c r="AB364" i="24"/>
  <c r="AB393" i="24" s="1"/>
  <c r="U364" i="24"/>
  <c r="U393" i="24" s="1"/>
  <c r="H364" i="24"/>
  <c r="H393" i="24" s="1"/>
  <c r="L364" i="24"/>
  <c r="L393" i="24" s="1"/>
  <c r="W364" i="24"/>
  <c r="W393" i="24" s="1"/>
  <c r="V364" i="24"/>
  <c r="V393" i="24" s="1"/>
  <c r="G364" i="24"/>
  <c r="G393" i="24" s="1"/>
  <c r="F364" i="24"/>
  <c r="F393" i="24" s="1"/>
  <c r="Z364" i="24"/>
  <c r="Z393" i="24" s="1"/>
  <c r="Y364" i="24"/>
  <c r="Y393" i="24" s="1"/>
  <c r="I364" i="24"/>
  <c r="I393" i="24" s="1"/>
  <c r="K364" i="24"/>
  <c r="K393" i="24" s="1"/>
  <c r="X364" i="24"/>
  <c r="X393" i="24" s="1"/>
  <c r="AC364" i="24"/>
  <c r="AC393" i="24" s="1"/>
  <c r="B127" i="19"/>
  <c r="R147" i="19" s="1"/>
  <c r="R176" i="19" s="1"/>
  <c r="U364" i="26"/>
  <c r="U393" i="26" s="1"/>
  <c r="B235" i="19"/>
  <c r="P255" i="19" s="1"/>
  <c r="P284" i="19" s="1"/>
  <c r="B344" i="19"/>
  <c r="U364" i="19" s="1"/>
  <c r="U393" i="19" s="1"/>
  <c r="B21" i="19"/>
  <c r="T41" i="19" s="1"/>
  <c r="T70" i="19" s="1"/>
  <c r="B41" i="26"/>
  <c r="B70" i="26" s="1"/>
  <c r="D364" i="20"/>
  <c r="D393" i="20" s="1"/>
  <c r="L147" i="20"/>
  <c r="L176" i="20" s="1"/>
  <c r="V147" i="19"/>
  <c r="V176" i="19" s="1"/>
  <c r="D364" i="24"/>
  <c r="D393" i="24" s="1"/>
  <c r="C364" i="24"/>
  <c r="C393" i="24" s="1"/>
  <c r="O364" i="24"/>
  <c r="O393" i="24" s="1"/>
  <c r="R364" i="24"/>
  <c r="R393" i="24" s="1"/>
  <c r="P364" i="24"/>
  <c r="P393" i="24" s="1"/>
  <c r="M364" i="24"/>
  <c r="M393" i="24" s="1"/>
  <c r="B364" i="24"/>
  <c r="B393" i="24" s="1"/>
  <c r="AB147" i="19"/>
  <c r="AB176" i="19" s="1"/>
  <c r="AA364" i="24"/>
  <c r="AA393" i="24" s="1"/>
  <c r="S364" i="24"/>
  <c r="S393" i="24" s="1"/>
  <c r="H41" i="26"/>
  <c r="H70" i="26" s="1"/>
  <c r="M255" i="26"/>
  <c r="M284" i="26" s="1"/>
  <c r="AC41" i="25"/>
  <c r="AC70" i="25" s="1"/>
  <c r="N41" i="26"/>
  <c r="N70" i="26" s="1"/>
  <c r="S41" i="26"/>
  <c r="S70" i="26" s="1"/>
  <c r="Y41" i="26"/>
  <c r="Y70" i="26" s="1"/>
  <c r="AA41" i="26"/>
  <c r="AA70" i="26" s="1"/>
  <c r="Z41" i="26"/>
  <c r="Z70" i="26" s="1"/>
  <c r="T41" i="26"/>
  <c r="T70" i="26" s="1"/>
  <c r="G41" i="26"/>
  <c r="G70" i="26" s="1"/>
  <c r="J41" i="26"/>
  <c r="J70" i="26" s="1"/>
  <c r="AM95" i="2"/>
  <c r="L123" i="2" s="1"/>
  <c r="B235" i="22" s="1"/>
  <c r="E27" i="29"/>
  <c r="I27" i="29" s="1"/>
  <c r="E31" i="29"/>
  <c r="I31" i="29" s="1"/>
  <c r="E28" i="29"/>
  <c r="I28" i="29" s="1"/>
  <c r="E29" i="29"/>
  <c r="I29" i="29" s="1"/>
  <c r="E30" i="29"/>
  <c r="I30" i="29" s="1"/>
  <c r="AC41" i="26"/>
  <c r="AC70" i="26" s="1"/>
  <c r="E41" i="26"/>
  <c r="E70" i="26" s="1"/>
  <c r="Q41" i="26"/>
  <c r="Q70" i="26" s="1"/>
  <c r="M41" i="26"/>
  <c r="M70" i="26" s="1"/>
  <c r="AC95" i="2"/>
  <c r="L135" i="2" s="1"/>
  <c r="B127" i="23" s="1"/>
  <c r="E33" i="29"/>
  <c r="I33" i="29" s="1"/>
  <c r="E34" i="29"/>
  <c r="I34" i="29" s="1"/>
  <c r="E35" i="29"/>
  <c r="I35" i="29" s="1"/>
  <c r="E36" i="29"/>
  <c r="I36" i="29" s="1"/>
  <c r="E32" i="29"/>
  <c r="I32" i="29" s="1"/>
  <c r="M131" i="2"/>
  <c r="AD94" i="2" s="1"/>
  <c r="M107" i="2"/>
  <c r="AI94" i="2" s="1"/>
  <c r="M119" i="2"/>
  <c r="AN94" i="2" s="1"/>
  <c r="L41" i="26"/>
  <c r="L70" i="26" s="1"/>
  <c r="AB41" i="26"/>
  <c r="AB70" i="26" s="1"/>
  <c r="K41" i="26"/>
  <c r="K70" i="26" s="1"/>
  <c r="O41" i="26"/>
  <c r="O70" i="26" s="1"/>
  <c r="X41" i="26"/>
  <c r="X70" i="26" s="1"/>
  <c r="W41" i="26"/>
  <c r="W70" i="26" s="1"/>
  <c r="U41" i="26"/>
  <c r="U70" i="26" s="1"/>
  <c r="AH95" i="2"/>
  <c r="L111" i="2" s="1"/>
  <c r="B449" i="21" s="1"/>
  <c r="E25" i="29"/>
  <c r="I25" i="29" s="1"/>
  <c r="E26" i="29"/>
  <c r="I26" i="29" s="1"/>
  <c r="E22" i="29"/>
  <c r="I22" i="29" s="1"/>
  <c r="E24" i="29"/>
  <c r="I24" i="29" s="1"/>
  <c r="E23" i="29"/>
  <c r="I23" i="29" s="1"/>
  <c r="R41" i="26"/>
  <c r="R70" i="26" s="1"/>
  <c r="D41" i="26"/>
  <c r="D70" i="26" s="1"/>
  <c r="C41" i="26"/>
  <c r="C70" i="26" s="1"/>
  <c r="I41" i="26"/>
  <c r="I70" i="26" s="1"/>
  <c r="F41" i="26"/>
  <c r="F70" i="26" s="1"/>
  <c r="V41" i="26"/>
  <c r="V70" i="26" s="1"/>
  <c r="Y41" i="25"/>
  <c r="Y70" i="25" s="1"/>
  <c r="E41" i="25"/>
  <c r="E70" i="25" s="1"/>
  <c r="AB41" i="25"/>
  <c r="AB70" i="25" s="1"/>
  <c r="O41" i="25"/>
  <c r="O70" i="25" s="1"/>
  <c r="F41" i="25"/>
  <c r="F70" i="25" s="1"/>
  <c r="Z364" i="25"/>
  <c r="Z393" i="25" s="1"/>
  <c r="Z41" i="25"/>
  <c r="Z70" i="25" s="1"/>
  <c r="W41" i="25"/>
  <c r="W70" i="25" s="1"/>
  <c r="G147" i="25"/>
  <c r="G176" i="25" s="1"/>
  <c r="J364" i="25"/>
  <c r="J393" i="25" s="1"/>
  <c r="L364" i="25"/>
  <c r="L393" i="25" s="1"/>
  <c r="AC364" i="25"/>
  <c r="AC393" i="25" s="1"/>
  <c r="H364" i="25"/>
  <c r="H393" i="25" s="1"/>
  <c r="W364" i="25"/>
  <c r="W393" i="25" s="1"/>
  <c r="M364" i="25"/>
  <c r="M393" i="25" s="1"/>
  <c r="V364" i="25"/>
  <c r="V393" i="25" s="1"/>
  <c r="R364" i="25"/>
  <c r="R393" i="25" s="1"/>
  <c r="X364" i="25"/>
  <c r="X393" i="25" s="1"/>
  <c r="E364" i="25"/>
  <c r="E393" i="25" s="1"/>
  <c r="S364" i="25"/>
  <c r="S393" i="25" s="1"/>
  <c r="N364" i="25"/>
  <c r="N393" i="25" s="1"/>
  <c r="D364" i="25"/>
  <c r="D393" i="25" s="1"/>
  <c r="Y364" i="25"/>
  <c r="Y393" i="25" s="1"/>
  <c r="AB364" i="25"/>
  <c r="AB393" i="25" s="1"/>
  <c r="K364" i="25"/>
  <c r="K393" i="25" s="1"/>
  <c r="O147" i="24"/>
  <c r="O176" i="24" s="1"/>
  <c r="AB147" i="24"/>
  <c r="AB176" i="24" s="1"/>
  <c r="W147" i="24"/>
  <c r="W176" i="24" s="1"/>
  <c r="Z147" i="24"/>
  <c r="Z176" i="24" s="1"/>
  <c r="AC147" i="24"/>
  <c r="AC176" i="24" s="1"/>
  <c r="S147" i="24"/>
  <c r="S176" i="24" s="1"/>
  <c r="Y147" i="24"/>
  <c r="Y176" i="24" s="1"/>
  <c r="K41" i="25"/>
  <c r="K70" i="25" s="1"/>
  <c r="U41" i="25"/>
  <c r="U70" i="25" s="1"/>
  <c r="V41" i="25"/>
  <c r="V70" i="25" s="1"/>
  <c r="G41" i="25"/>
  <c r="G70" i="25" s="1"/>
  <c r="T41" i="25"/>
  <c r="T70" i="25" s="1"/>
  <c r="P364" i="26"/>
  <c r="P393" i="26" s="1"/>
  <c r="AA41" i="25"/>
  <c r="AA70" i="25" s="1"/>
  <c r="L41" i="25"/>
  <c r="L70" i="25" s="1"/>
  <c r="X41" i="25"/>
  <c r="X70" i="25" s="1"/>
  <c r="C41" i="25"/>
  <c r="C70" i="25" s="1"/>
  <c r="B41" i="25"/>
  <c r="B70" i="25" s="1"/>
  <c r="R41" i="25"/>
  <c r="R70" i="25" s="1"/>
  <c r="M41" i="25"/>
  <c r="M70" i="25" s="1"/>
  <c r="H41" i="25"/>
  <c r="H70" i="25" s="1"/>
  <c r="I41" i="25"/>
  <c r="I70" i="25" s="1"/>
  <c r="H255" i="24"/>
  <c r="H284" i="24" s="1"/>
  <c r="N255" i="24"/>
  <c r="N284" i="24" s="1"/>
  <c r="AA147" i="24"/>
  <c r="AA176" i="24" s="1"/>
  <c r="G255" i="24"/>
  <c r="G284" i="24" s="1"/>
  <c r="AB147" i="25"/>
  <c r="AB176" i="25" s="1"/>
  <c r="Q147" i="26"/>
  <c r="Q176" i="26" s="1"/>
  <c r="C147" i="26"/>
  <c r="C176" i="26" s="1"/>
  <c r="V147" i="25"/>
  <c r="V176" i="25" s="1"/>
  <c r="E147" i="26"/>
  <c r="E176" i="26" s="1"/>
  <c r="O147" i="26"/>
  <c r="O176" i="26" s="1"/>
  <c r="AA147" i="25"/>
  <c r="AA176" i="25" s="1"/>
  <c r="M147" i="24"/>
  <c r="M176" i="24" s="1"/>
  <c r="P147" i="25"/>
  <c r="P176" i="25" s="1"/>
  <c r="J147" i="24"/>
  <c r="J176" i="24" s="1"/>
  <c r="U364" i="25"/>
  <c r="U393" i="25" s="1"/>
  <c r="R147" i="25"/>
  <c r="R176" i="25" s="1"/>
  <c r="C364" i="25"/>
  <c r="C393" i="25" s="1"/>
  <c r="D255" i="24"/>
  <c r="D284" i="24" s="1"/>
  <c r="N147" i="25"/>
  <c r="N176" i="25" s="1"/>
  <c r="G364" i="25"/>
  <c r="G393" i="25" s="1"/>
  <c r="P41" i="25"/>
  <c r="P70" i="25" s="1"/>
  <c r="T147" i="24"/>
  <c r="T176" i="24" s="1"/>
  <c r="D147" i="25"/>
  <c r="D176" i="25" s="1"/>
  <c r="AA364" i="25"/>
  <c r="AA393" i="25" s="1"/>
  <c r="J41" i="25"/>
  <c r="J70" i="25" s="1"/>
  <c r="V147" i="24"/>
  <c r="V176" i="24" s="1"/>
  <c r="H147" i="25"/>
  <c r="H176" i="25" s="1"/>
  <c r="T364" i="25"/>
  <c r="T393" i="25" s="1"/>
  <c r="B364" i="25"/>
  <c r="B393" i="25" s="1"/>
  <c r="R147" i="26"/>
  <c r="R176" i="26" s="1"/>
  <c r="R147" i="24"/>
  <c r="R176" i="24" s="1"/>
  <c r="J147" i="25"/>
  <c r="J176" i="25" s="1"/>
  <c r="Q41" i="25"/>
  <c r="Q70" i="25" s="1"/>
  <c r="I364" i="25"/>
  <c r="I393" i="25" s="1"/>
  <c r="U147" i="24"/>
  <c r="U176" i="24" s="1"/>
  <c r="C147" i="24"/>
  <c r="C176" i="24" s="1"/>
  <c r="P364" i="25"/>
  <c r="P393" i="25" s="1"/>
  <c r="B147" i="26"/>
  <c r="B176" i="26" s="1"/>
  <c r="Q147" i="25"/>
  <c r="Q176" i="25" s="1"/>
  <c r="X255" i="25"/>
  <c r="X284" i="25" s="1"/>
  <c r="M147" i="25"/>
  <c r="M176" i="25" s="1"/>
  <c r="L147" i="26"/>
  <c r="L176" i="26" s="1"/>
  <c r="F147" i="26"/>
  <c r="F176" i="26" s="1"/>
  <c r="O469" i="19"/>
  <c r="O498" i="19" s="1"/>
  <c r="X147" i="25"/>
  <c r="X176" i="25" s="1"/>
  <c r="F41" i="24"/>
  <c r="F70" i="24" s="1"/>
  <c r="K147" i="25"/>
  <c r="K176" i="25" s="1"/>
  <c r="E147" i="25"/>
  <c r="E176" i="25" s="1"/>
  <c r="F364" i="25"/>
  <c r="F393" i="25" s="1"/>
  <c r="C255" i="26"/>
  <c r="C284" i="26" s="1"/>
  <c r="I469" i="19"/>
  <c r="I498" i="19" s="1"/>
  <c r="P364" i="20"/>
  <c r="P393" i="20" s="1"/>
  <c r="Z147" i="25"/>
  <c r="Z176" i="25" s="1"/>
  <c r="AC147" i="25"/>
  <c r="AC176" i="25" s="1"/>
  <c r="Y255" i="26"/>
  <c r="Y284" i="26" s="1"/>
  <c r="B147" i="25"/>
  <c r="B176" i="25" s="1"/>
  <c r="F147" i="25"/>
  <c r="F176" i="25" s="1"/>
  <c r="Q364" i="25"/>
  <c r="Q393" i="25" s="1"/>
  <c r="I147" i="26"/>
  <c r="I176" i="26" s="1"/>
  <c r="AA469" i="19"/>
  <c r="AA498" i="19" s="1"/>
  <c r="I41" i="24"/>
  <c r="I70" i="24" s="1"/>
  <c r="AC255" i="26"/>
  <c r="AC284" i="26" s="1"/>
  <c r="Q147" i="24"/>
  <c r="Q176" i="24" s="1"/>
  <c r="B147" i="24"/>
  <c r="B176" i="24" s="1"/>
  <c r="T147" i="25"/>
  <c r="T176" i="25" s="1"/>
  <c r="L147" i="25"/>
  <c r="L176" i="25" s="1"/>
  <c r="N41" i="25"/>
  <c r="N70" i="25" s="1"/>
  <c r="I147" i="25"/>
  <c r="I176" i="25" s="1"/>
  <c r="D41" i="25"/>
  <c r="D70" i="25" s="1"/>
  <c r="C147" i="25"/>
  <c r="C176" i="25" s="1"/>
  <c r="F364" i="20"/>
  <c r="F393" i="20" s="1"/>
  <c r="S364" i="20"/>
  <c r="S393" i="20" s="1"/>
  <c r="D255" i="20"/>
  <c r="D284" i="20" s="1"/>
  <c r="U364" i="20"/>
  <c r="U393" i="20" s="1"/>
  <c r="R364" i="20"/>
  <c r="R393" i="20" s="1"/>
  <c r="C364" i="20"/>
  <c r="C393" i="20" s="1"/>
  <c r="AA364" i="20"/>
  <c r="AA393" i="20" s="1"/>
  <c r="G147" i="20"/>
  <c r="G176" i="20" s="1"/>
  <c r="AB364" i="20"/>
  <c r="AB393" i="20" s="1"/>
  <c r="Q364" i="20"/>
  <c r="Q393" i="20" s="1"/>
  <c r="E364" i="26"/>
  <c r="E393" i="26" s="1"/>
  <c r="R364" i="26"/>
  <c r="R393" i="26" s="1"/>
  <c r="AA364" i="26"/>
  <c r="AA393" i="26" s="1"/>
  <c r="AB255" i="26"/>
  <c r="AB284" i="26" s="1"/>
  <c r="W364" i="26"/>
  <c r="W393" i="26" s="1"/>
  <c r="P255" i="26"/>
  <c r="P284" i="26" s="1"/>
  <c r="X255" i="26"/>
  <c r="X284" i="26" s="1"/>
  <c r="W147" i="26"/>
  <c r="W176" i="26" s="1"/>
  <c r="F255" i="26"/>
  <c r="F284" i="26" s="1"/>
  <c r="O364" i="26"/>
  <c r="O393" i="26" s="1"/>
  <c r="R255" i="26"/>
  <c r="R284" i="26" s="1"/>
  <c r="J364" i="26"/>
  <c r="J393" i="26" s="1"/>
  <c r="H255" i="26"/>
  <c r="H284" i="26" s="1"/>
  <c r="Q364" i="26"/>
  <c r="Q393" i="26" s="1"/>
  <c r="T147" i="26"/>
  <c r="T176" i="26" s="1"/>
  <c r="B364" i="26"/>
  <c r="B393" i="26" s="1"/>
  <c r="L255" i="26"/>
  <c r="L284" i="26" s="1"/>
  <c r="Y147" i="26"/>
  <c r="Y176" i="26" s="1"/>
  <c r="S364" i="26"/>
  <c r="S393" i="26" s="1"/>
  <c r="G147" i="26"/>
  <c r="G176" i="26" s="1"/>
  <c r="M364" i="26"/>
  <c r="M393" i="26" s="1"/>
  <c r="K255" i="26"/>
  <c r="K284" i="26" s="1"/>
  <c r="D364" i="26"/>
  <c r="D393" i="26" s="1"/>
  <c r="F364" i="26"/>
  <c r="F393" i="26" s="1"/>
  <c r="H147" i="26"/>
  <c r="H176" i="26" s="1"/>
  <c r="G255" i="26"/>
  <c r="G284" i="26" s="1"/>
  <c r="N147" i="26"/>
  <c r="N176" i="26" s="1"/>
  <c r="W255" i="26"/>
  <c r="W284" i="26" s="1"/>
  <c r="AB147" i="26"/>
  <c r="AB176" i="26" s="1"/>
  <c r="X147" i="26"/>
  <c r="X176" i="26" s="1"/>
  <c r="K147" i="26"/>
  <c r="K176" i="26" s="1"/>
  <c r="E255" i="26"/>
  <c r="E284" i="26" s="1"/>
  <c r="Y364" i="26"/>
  <c r="Y393" i="26" s="1"/>
  <c r="V364" i="26"/>
  <c r="V393" i="26" s="1"/>
  <c r="C364" i="26"/>
  <c r="C393" i="26" s="1"/>
  <c r="AC364" i="26"/>
  <c r="AC393" i="26" s="1"/>
  <c r="T364" i="26"/>
  <c r="T393" i="26" s="1"/>
  <c r="I364" i="26"/>
  <c r="I393" i="26" s="1"/>
  <c r="M147" i="26"/>
  <c r="M176" i="26" s="1"/>
  <c r="B255" i="26"/>
  <c r="B284" i="26" s="1"/>
  <c r="Z255" i="26"/>
  <c r="Z284" i="26" s="1"/>
  <c r="K364" i="26"/>
  <c r="K393" i="26" s="1"/>
  <c r="Q255" i="26"/>
  <c r="Q284" i="26" s="1"/>
  <c r="AA255" i="26"/>
  <c r="AA284" i="26" s="1"/>
  <c r="D255" i="26"/>
  <c r="D284" i="26" s="1"/>
  <c r="L364" i="26"/>
  <c r="L393" i="26" s="1"/>
  <c r="J255" i="26"/>
  <c r="J284" i="26" s="1"/>
  <c r="T255" i="26"/>
  <c r="T284" i="26" s="1"/>
  <c r="U255" i="26"/>
  <c r="U284" i="26" s="1"/>
  <c r="N255" i="26"/>
  <c r="N284" i="26" s="1"/>
  <c r="V255" i="26"/>
  <c r="V284" i="26" s="1"/>
  <c r="J147" i="26"/>
  <c r="J176" i="26" s="1"/>
  <c r="O255" i="26"/>
  <c r="O284" i="26" s="1"/>
  <c r="U147" i="26"/>
  <c r="U176" i="26" s="1"/>
  <c r="V147" i="26"/>
  <c r="V176" i="26" s="1"/>
  <c r="P147" i="26"/>
  <c r="P176" i="26" s="1"/>
  <c r="Z147" i="26"/>
  <c r="Z176" i="26" s="1"/>
  <c r="I255" i="26"/>
  <c r="I284" i="26" s="1"/>
  <c r="N364" i="26"/>
  <c r="N393" i="26" s="1"/>
  <c r="AB364" i="26"/>
  <c r="AB393" i="26" s="1"/>
  <c r="G364" i="26"/>
  <c r="G393" i="26" s="1"/>
  <c r="S255" i="26"/>
  <c r="S284" i="26" s="1"/>
  <c r="Z364" i="26"/>
  <c r="Z393" i="26" s="1"/>
  <c r="X364" i="26"/>
  <c r="X393" i="26" s="1"/>
  <c r="H364" i="26"/>
  <c r="H393" i="26" s="1"/>
  <c r="AA147" i="26"/>
  <c r="AA176" i="26" s="1"/>
  <c r="D147" i="26"/>
  <c r="D176" i="26" s="1"/>
  <c r="S147" i="26"/>
  <c r="S176" i="26" s="1"/>
  <c r="T255" i="25"/>
  <c r="T284" i="25" s="1"/>
  <c r="AB255" i="25"/>
  <c r="AB284" i="25" s="1"/>
  <c r="P255" i="25"/>
  <c r="P284" i="25" s="1"/>
  <c r="AA255" i="25"/>
  <c r="AA284" i="25" s="1"/>
  <c r="Y147" i="25"/>
  <c r="Y176" i="25" s="1"/>
  <c r="U147" i="25"/>
  <c r="U176" i="25" s="1"/>
  <c r="O364" i="25"/>
  <c r="O393" i="25" s="1"/>
  <c r="S41" i="25"/>
  <c r="S70" i="25" s="1"/>
  <c r="O147" i="25"/>
  <c r="O176" i="25" s="1"/>
  <c r="H255" i="25"/>
  <c r="H284" i="25" s="1"/>
  <c r="F255" i="25"/>
  <c r="F284" i="25" s="1"/>
  <c r="K255" i="25"/>
  <c r="K284" i="25" s="1"/>
  <c r="B255" i="25"/>
  <c r="B284" i="25" s="1"/>
  <c r="Z255" i="25"/>
  <c r="Z284" i="25" s="1"/>
  <c r="Q255" i="25"/>
  <c r="Q284" i="25" s="1"/>
  <c r="S147" i="25"/>
  <c r="S176" i="25" s="1"/>
  <c r="W147" i="25"/>
  <c r="W176" i="25" s="1"/>
  <c r="W255" i="25"/>
  <c r="W284" i="25" s="1"/>
  <c r="E255" i="25"/>
  <c r="E284" i="25" s="1"/>
  <c r="I255" i="25"/>
  <c r="I284" i="25" s="1"/>
  <c r="N255" i="25"/>
  <c r="N284" i="25" s="1"/>
  <c r="R255" i="25"/>
  <c r="R284" i="25" s="1"/>
  <c r="C255" i="25"/>
  <c r="C284" i="25" s="1"/>
  <c r="U255" i="25"/>
  <c r="U284" i="25" s="1"/>
  <c r="O255" i="25"/>
  <c r="O284" i="25" s="1"/>
  <c r="L255" i="25"/>
  <c r="L284" i="25" s="1"/>
  <c r="M255" i="25"/>
  <c r="M284" i="25" s="1"/>
  <c r="V255" i="25"/>
  <c r="V284" i="25" s="1"/>
  <c r="J255" i="25"/>
  <c r="J284" i="25" s="1"/>
  <c r="AC255" i="25"/>
  <c r="AC284" i="25" s="1"/>
  <c r="Y255" i="25"/>
  <c r="Y284" i="25" s="1"/>
  <c r="G255" i="25"/>
  <c r="G284" i="25" s="1"/>
  <c r="D255" i="25"/>
  <c r="D284" i="25" s="1"/>
  <c r="B41" i="24"/>
  <c r="B70" i="24" s="1"/>
  <c r="W255" i="24"/>
  <c r="W284" i="24" s="1"/>
  <c r="AA41" i="24"/>
  <c r="AA70" i="24" s="1"/>
  <c r="L41" i="24"/>
  <c r="L70" i="24" s="1"/>
  <c r="P255" i="24"/>
  <c r="P284" i="24" s="1"/>
  <c r="K255" i="24"/>
  <c r="K284" i="24" s="1"/>
  <c r="V41" i="24"/>
  <c r="V70" i="24" s="1"/>
  <c r="Y255" i="24"/>
  <c r="Y284" i="24" s="1"/>
  <c r="X147" i="24"/>
  <c r="X176" i="24" s="1"/>
  <c r="L147" i="24"/>
  <c r="L176" i="24" s="1"/>
  <c r="V255" i="24"/>
  <c r="V284" i="24" s="1"/>
  <c r="C255" i="24"/>
  <c r="C284" i="24" s="1"/>
  <c r="U255" i="24"/>
  <c r="U284" i="24" s="1"/>
  <c r="C41" i="24"/>
  <c r="C70" i="24" s="1"/>
  <c r="AA255" i="24"/>
  <c r="AA284" i="24" s="1"/>
  <c r="F255" i="24"/>
  <c r="F284" i="24" s="1"/>
  <c r="I147" i="24"/>
  <c r="I176" i="24" s="1"/>
  <c r="E147" i="24"/>
  <c r="E176" i="24" s="1"/>
  <c r="P41" i="24"/>
  <c r="P70" i="24" s="1"/>
  <c r="M41" i="24"/>
  <c r="M70" i="24" s="1"/>
  <c r="X255" i="24"/>
  <c r="X284" i="24" s="1"/>
  <c r="J255" i="24"/>
  <c r="J284" i="24" s="1"/>
  <c r="O255" i="24"/>
  <c r="O284" i="24" s="1"/>
  <c r="D41" i="24"/>
  <c r="D70" i="24" s="1"/>
  <c r="W41" i="24"/>
  <c r="W70" i="24" s="1"/>
  <c r="K147" i="24"/>
  <c r="K176" i="24" s="1"/>
  <c r="H147" i="24"/>
  <c r="H176" i="24" s="1"/>
  <c r="D147" i="24"/>
  <c r="D176" i="24" s="1"/>
  <c r="K41" i="24"/>
  <c r="K70" i="24" s="1"/>
  <c r="E255" i="24"/>
  <c r="E284" i="24" s="1"/>
  <c r="M255" i="24"/>
  <c r="M284" i="24" s="1"/>
  <c r="F147" i="24"/>
  <c r="F176" i="24" s="1"/>
  <c r="AB41" i="24"/>
  <c r="AB70" i="24" s="1"/>
  <c r="Z41" i="24"/>
  <c r="Z70" i="24" s="1"/>
  <c r="N41" i="24"/>
  <c r="N70" i="24" s="1"/>
  <c r="Y41" i="24"/>
  <c r="Y70" i="24" s="1"/>
  <c r="E41" i="24"/>
  <c r="E70" i="24" s="1"/>
  <c r="T41" i="24"/>
  <c r="T70" i="24" s="1"/>
  <c r="G41" i="24"/>
  <c r="G70" i="24" s="1"/>
  <c r="B255" i="24"/>
  <c r="B284" i="24" s="1"/>
  <c r="Q41" i="24"/>
  <c r="Q70" i="24" s="1"/>
  <c r="U41" i="24"/>
  <c r="U70" i="24" s="1"/>
  <c r="Q255" i="24"/>
  <c r="Q284" i="24" s="1"/>
  <c r="L255" i="24"/>
  <c r="L284" i="24" s="1"/>
  <c r="P147" i="24"/>
  <c r="P176" i="24" s="1"/>
  <c r="X41" i="24"/>
  <c r="X70" i="24" s="1"/>
  <c r="S41" i="24"/>
  <c r="S70" i="24" s="1"/>
  <c r="J41" i="24"/>
  <c r="J70" i="24" s="1"/>
  <c r="O41" i="24"/>
  <c r="O70" i="24" s="1"/>
  <c r="T255" i="24"/>
  <c r="T284" i="24" s="1"/>
  <c r="AB255" i="24"/>
  <c r="AB284" i="24" s="1"/>
  <c r="H41" i="24"/>
  <c r="H70" i="24" s="1"/>
  <c r="R41" i="24"/>
  <c r="R70" i="24" s="1"/>
  <c r="N147" i="24"/>
  <c r="N176" i="24" s="1"/>
  <c r="S255" i="24"/>
  <c r="S284" i="24" s="1"/>
  <c r="Z255" i="24"/>
  <c r="Z284" i="24" s="1"/>
  <c r="R255" i="24"/>
  <c r="R284" i="24" s="1"/>
  <c r="I255" i="24"/>
  <c r="I284" i="24" s="1"/>
  <c r="R469" i="19"/>
  <c r="R498" i="19" s="1"/>
  <c r="C469" i="19"/>
  <c r="C498" i="19" s="1"/>
  <c r="H469" i="19"/>
  <c r="H498" i="19" s="1"/>
  <c r="I147" i="20"/>
  <c r="I176" i="20" s="1"/>
  <c r="T469" i="19"/>
  <c r="T498" i="19" s="1"/>
  <c r="F469" i="19"/>
  <c r="F498" i="19" s="1"/>
  <c r="Q147" i="20"/>
  <c r="Q176" i="20" s="1"/>
  <c r="P147" i="20"/>
  <c r="P176" i="20" s="1"/>
  <c r="Q469" i="19"/>
  <c r="Q498" i="19" s="1"/>
  <c r="N147" i="20"/>
  <c r="N176" i="20" s="1"/>
  <c r="V469" i="19"/>
  <c r="V498" i="19" s="1"/>
  <c r="AB469" i="19"/>
  <c r="AB498" i="19" s="1"/>
  <c r="U469" i="19"/>
  <c r="U498" i="19" s="1"/>
  <c r="B469" i="19"/>
  <c r="B498" i="19" s="1"/>
  <c r="Y147" i="20"/>
  <c r="Y176" i="20" s="1"/>
  <c r="G469" i="19"/>
  <c r="G498" i="19" s="1"/>
  <c r="K469" i="19"/>
  <c r="K498" i="19" s="1"/>
  <c r="J147" i="20"/>
  <c r="J176" i="20" s="1"/>
  <c r="W469" i="19"/>
  <c r="W498" i="19" s="1"/>
  <c r="Y469" i="19"/>
  <c r="Y498" i="19" s="1"/>
  <c r="D469" i="19"/>
  <c r="D498" i="19" s="1"/>
  <c r="F147" i="20"/>
  <c r="F176" i="20" s="1"/>
  <c r="J469" i="19"/>
  <c r="J498" i="19" s="1"/>
  <c r="T147" i="20"/>
  <c r="T176" i="20" s="1"/>
  <c r="Z469" i="19"/>
  <c r="Z498" i="19" s="1"/>
  <c r="S469" i="19"/>
  <c r="S498" i="19" s="1"/>
  <c r="C147" i="20"/>
  <c r="C176" i="20" s="1"/>
  <c r="K147" i="20"/>
  <c r="K176" i="20" s="1"/>
  <c r="L469" i="19"/>
  <c r="L498" i="19" s="1"/>
  <c r="D147" i="20"/>
  <c r="D176" i="20" s="1"/>
  <c r="M469" i="19"/>
  <c r="M498" i="19" s="1"/>
  <c r="AA147" i="20"/>
  <c r="AA176" i="20" s="1"/>
  <c r="AC469" i="19"/>
  <c r="AC498" i="19" s="1"/>
  <c r="AC147" i="20"/>
  <c r="AC176" i="20" s="1"/>
  <c r="X469" i="19"/>
  <c r="X498" i="19" s="1"/>
  <c r="E469" i="19"/>
  <c r="E498" i="19" s="1"/>
  <c r="P469" i="19"/>
  <c r="P498" i="19" s="1"/>
  <c r="F255" i="20"/>
  <c r="F284" i="20" s="1"/>
  <c r="B255" i="20"/>
  <c r="B284" i="20" s="1"/>
  <c r="AB255" i="20"/>
  <c r="AB284" i="20" s="1"/>
  <c r="L255" i="20"/>
  <c r="L284" i="20" s="1"/>
  <c r="G255" i="20"/>
  <c r="G284" i="20" s="1"/>
  <c r="Z255" i="20"/>
  <c r="Z284" i="20" s="1"/>
  <c r="V255" i="20"/>
  <c r="V284" i="20" s="1"/>
  <c r="J255" i="20"/>
  <c r="J284" i="20" s="1"/>
  <c r="R255" i="20"/>
  <c r="R284" i="20" s="1"/>
  <c r="S255" i="20"/>
  <c r="S284" i="20" s="1"/>
  <c r="C255" i="20"/>
  <c r="C284" i="20" s="1"/>
  <c r="H255" i="20"/>
  <c r="H284" i="20" s="1"/>
  <c r="K255" i="20"/>
  <c r="K284" i="20" s="1"/>
  <c r="P255" i="20"/>
  <c r="P284" i="20" s="1"/>
  <c r="W255" i="20"/>
  <c r="W284" i="20" s="1"/>
  <c r="N255" i="20"/>
  <c r="N284" i="20" s="1"/>
  <c r="O255" i="20"/>
  <c r="O284" i="20" s="1"/>
  <c r="AC255" i="20"/>
  <c r="AC284" i="20" s="1"/>
  <c r="T255" i="20"/>
  <c r="T284" i="20" s="1"/>
  <c r="U255" i="20"/>
  <c r="U284" i="20" s="1"/>
  <c r="E255" i="20"/>
  <c r="E284" i="20" s="1"/>
  <c r="AA255" i="20"/>
  <c r="AA284" i="20" s="1"/>
  <c r="M255" i="20"/>
  <c r="M284" i="20" s="1"/>
  <c r="Y255" i="20"/>
  <c r="Y284" i="20" s="1"/>
  <c r="Q255" i="20"/>
  <c r="Q284" i="20" s="1"/>
  <c r="X255" i="20"/>
  <c r="X284" i="20" s="1"/>
  <c r="Z469" i="20"/>
  <c r="Z498" i="20" s="1"/>
  <c r="W469" i="20"/>
  <c r="W498" i="20" s="1"/>
  <c r="AA469" i="20"/>
  <c r="AA498" i="20" s="1"/>
  <c r="P469" i="20"/>
  <c r="P498" i="20" s="1"/>
  <c r="M469" i="20"/>
  <c r="M498" i="20" s="1"/>
  <c r="B469" i="20"/>
  <c r="B498" i="20" s="1"/>
  <c r="F469" i="20"/>
  <c r="F498" i="20" s="1"/>
  <c r="I469" i="20"/>
  <c r="I498" i="20" s="1"/>
  <c r="U469" i="20"/>
  <c r="U498" i="20" s="1"/>
  <c r="R469" i="20"/>
  <c r="R498" i="20" s="1"/>
  <c r="V469" i="20"/>
  <c r="V498" i="20" s="1"/>
  <c r="S469" i="20"/>
  <c r="S498" i="20" s="1"/>
  <c r="AC469" i="20"/>
  <c r="AC498" i="20" s="1"/>
  <c r="J469" i="20"/>
  <c r="J498" i="20" s="1"/>
  <c r="L469" i="20"/>
  <c r="L498" i="20" s="1"/>
  <c r="H469" i="20"/>
  <c r="H498" i="20" s="1"/>
  <c r="Y469" i="20"/>
  <c r="Y498" i="20" s="1"/>
  <c r="D469" i="20"/>
  <c r="D498" i="20" s="1"/>
  <c r="T469" i="20"/>
  <c r="T498" i="20" s="1"/>
  <c r="G469" i="20"/>
  <c r="G498" i="20" s="1"/>
  <c r="O469" i="20"/>
  <c r="O498" i="20" s="1"/>
  <c r="AB469" i="20"/>
  <c r="AB498" i="20" s="1"/>
  <c r="C469" i="20"/>
  <c r="C498" i="20" s="1"/>
  <c r="E469" i="20"/>
  <c r="E498" i="20" s="1"/>
  <c r="N469" i="20"/>
  <c r="N498" i="20" s="1"/>
  <c r="K469" i="20"/>
  <c r="K498" i="20" s="1"/>
  <c r="Q469" i="20"/>
  <c r="Q498" i="20" s="1"/>
  <c r="AC364" i="20"/>
  <c r="AC393" i="20" s="1"/>
  <c r="U147" i="20"/>
  <c r="U176" i="20" s="1"/>
  <c r="AB147" i="20"/>
  <c r="AB176" i="20" s="1"/>
  <c r="W147" i="20"/>
  <c r="W176" i="20" s="1"/>
  <c r="H147" i="20"/>
  <c r="H176" i="20" s="1"/>
  <c r="Z364" i="20"/>
  <c r="Z393" i="20" s="1"/>
  <c r="X147" i="20"/>
  <c r="X176" i="20" s="1"/>
  <c r="E364" i="20"/>
  <c r="E393" i="20" s="1"/>
  <c r="T364" i="20"/>
  <c r="T393" i="20" s="1"/>
  <c r="B364" i="20"/>
  <c r="B393" i="20" s="1"/>
  <c r="B147" i="20"/>
  <c r="B176" i="20" s="1"/>
  <c r="G364" i="20"/>
  <c r="G393" i="20" s="1"/>
  <c r="V147" i="20"/>
  <c r="V176" i="20" s="1"/>
  <c r="M147" i="20"/>
  <c r="M176" i="20" s="1"/>
  <c r="M364" i="20"/>
  <c r="M393" i="20" s="1"/>
  <c r="W364" i="20"/>
  <c r="W393" i="20" s="1"/>
  <c r="Z147" i="20"/>
  <c r="Z176" i="20" s="1"/>
  <c r="O364" i="20"/>
  <c r="O393" i="20" s="1"/>
  <c r="I364" i="20"/>
  <c r="I393" i="20" s="1"/>
  <c r="N364" i="20"/>
  <c r="N393" i="20" s="1"/>
  <c r="O147" i="20"/>
  <c r="O176" i="20" s="1"/>
  <c r="X364" i="20"/>
  <c r="X393" i="20" s="1"/>
  <c r="Y364" i="20"/>
  <c r="Y393" i="20" s="1"/>
  <c r="J364" i="20"/>
  <c r="J393" i="20" s="1"/>
  <c r="E147" i="20"/>
  <c r="E176" i="20" s="1"/>
  <c r="V364" i="20"/>
  <c r="V393" i="20" s="1"/>
  <c r="L364" i="20"/>
  <c r="L393" i="20" s="1"/>
  <c r="S147" i="20"/>
  <c r="S176" i="20" s="1"/>
  <c r="K364" i="20"/>
  <c r="K393" i="20" s="1"/>
  <c r="Q147" i="19" l="1"/>
  <c r="Q176" i="19" s="1"/>
  <c r="O147" i="19"/>
  <c r="O176" i="19" s="1"/>
  <c r="C41" i="19"/>
  <c r="C70" i="19" s="1"/>
  <c r="I41" i="19"/>
  <c r="I70" i="19" s="1"/>
  <c r="B21" i="22"/>
  <c r="AB255" i="19"/>
  <c r="AB284" i="19" s="1"/>
  <c r="T255" i="19"/>
  <c r="T284" i="19" s="1"/>
  <c r="I255" i="19"/>
  <c r="I284" i="19" s="1"/>
  <c r="G255" i="19"/>
  <c r="G284" i="19" s="1"/>
  <c r="AA255" i="19"/>
  <c r="AA284" i="19" s="1"/>
  <c r="N255" i="19"/>
  <c r="N284" i="19" s="1"/>
  <c r="U255" i="19"/>
  <c r="U284" i="19" s="1"/>
  <c r="J255" i="19"/>
  <c r="J284" i="19" s="1"/>
  <c r="B255" i="19"/>
  <c r="B284" i="19" s="1"/>
  <c r="S147" i="19"/>
  <c r="S176" i="19" s="1"/>
  <c r="C255" i="19"/>
  <c r="C284" i="19" s="1"/>
  <c r="M255" i="19"/>
  <c r="M284" i="19" s="1"/>
  <c r="S255" i="19"/>
  <c r="S284" i="19" s="1"/>
  <c r="H147" i="19"/>
  <c r="H176" i="19" s="1"/>
  <c r="L147" i="19"/>
  <c r="L176" i="19" s="1"/>
  <c r="C147" i="19"/>
  <c r="C176" i="19" s="1"/>
  <c r="B147" i="19"/>
  <c r="B176" i="19" s="1"/>
  <c r="I147" i="19"/>
  <c r="I176" i="19" s="1"/>
  <c r="AC147" i="19"/>
  <c r="AC176" i="19" s="1"/>
  <c r="K147" i="19"/>
  <c r="K176" i="19" s="1"/>
  <c r="F147" i="19"/>
  <c r="F176" i="19" s="1"/>
  <c r="W147" i="19"/>
  <c r="W176" i="19" s="1"/>
  <c r="AA147" i="19"/>
  <c r="AA176" i="19" s="1"/>
  <c r="J364" i="19"/>
  <c r="J393" i="19" s="1"/>
  <c r="N147" i="19"/>
  <c r="N176" i="19" s="1"/>
  <c r="N41" i="19"/>
  <c r="N70" i="19" s="1"/>
  <c r="W41" i="19"/>
  <c r="W70" i="19" s="1"/>
  <c r="F41" i="19"/>
  <c r="F70" i="19" s="1"/>
  <c r="L41" i="19"/>
  <c r="L70" i="19" s="1"/>
  <c r="J41" i="19"/>
  <c r="J70" i="19" s="1"/>
  <c r="AB41" i="19"/>
  <c r="AB70" i="19" s="1"/>
  <c r="V41" i="19"/>
  <c r="V70" i="19" s="1"/>
  <c r="AC41" i="19"/>
  <c r="AC70" i="19" s="1"/>
  <c r="S41" i="19"/>
  <c r="S70" i="19" s="1"/>
  <c r="M41" i="19"/>
  <c r="M70" i="19" s="1"/>
  <c r="P41" i="19"/>
  <c r="P70" i="19" s="1"/>
  <c r="D41" i="19"/>
  <c r="D70" i="19" s="1"/>
  <c r="K41" i="19"/>
  <c r="K70" i="19" s="1"/>
  <c r="Q41" i="19"/>
  <c r="Q70" i="19" s="1"/>
  <c r="R41" i="19"/>
  <c r="R70" i="19" s="1"/>
  <c r="X41" i="19"/>
  <c r="X70" i="19" s="1"/>
  <c r="M147" i="19"/>
  <c r="M176" i="19" s="1"/>
  <c r="Y41" i="19"/>
  <c r="Y70" i="19" s="1"/>
  <c r="AA41" i="19"/>
  <c r="AA70" i="19" s="1"/>
  <c r="O41" i="19"/>
  <c r="O70" i="19" s="1"/>
  <c r="G41" i="19"/>
  <c r="G70" i="19" s="1"/>
  <c r="Z41" i="19"/>
  <c r="Z70" i="19" s="1"/>
  <c r="U41" i="19"/>
  <c r="U70" i="19" s="1"/>
  <c r="E41" i="19"/>
  <c r="E70" i="19" s="1"/>
  <c r="H41" i="19"/>
  <c r="H70" i="19" s="1"/>
  <c r="U147" i="19"/>
  <c r="U176" i="19" s="1"/>
  <c r="J147" i="19"/>
  <c r="J176" i="19" s="1"/>
  <c r="B127" i="21"/>
  <c r="T147" i="19"/>
  <c r="T176" i="19" s="1"/>
  <c r="D147" i="19"/>
  <c r="D176" i="19" s="1"/>
  <c r="M364" i="19"/>
  <c r="M393" i="19" s="1"/>
  <c r="V364" i="19"/>
  <c r="V393" i="19" s="1"/>
  <c r="F364" i="19"/>
  <c r="F393" i="19" s="1"/>
  <c r="AA364" i="19"/>
  <c r="AA393" i="19" s="1"/>
  <c r="H364" i="19"/>
  <c r="H393" i="19" s="1"/>
  <c r="O364" i="19"/>
  <c r="O393" i="19" s="1"/>
  <c r="K364" i="19"/>
  <c r="K393" i="19" s="1"/>
  <c r="Z364" i="19"/>
  <c r="Z393" i="19" s="1"/>
  <c r="R364" i="19"/>
  <c r="R393" i="19" s="1"/>
  <c r="G364" i="19"/>
  <c r="G393" i="19" s="1"/>
  <c r="D364" i="19"/>
  <c r="D393" i="19" s="1"/>
  <c r="P364" i="19"/>
  <c r="P393" i="19" s="1"/>
  <c r="AB364" i="19"/>
  <c r="AB393" i="19" s="1"/>
  <c r="Q364" i="19"/>
  <c r="Q393" i="19" s="1"/>
  <c r="B364" i="19"/>
  <c r="B393" i="19" s="1"/>
  <c r="L364" i="19"/>
  <c r="L393" i="19" s="1"/>
  <c r="C364" i="19"/>
  <c r="C393" i="19" s="1"/>
  <c r="S364" i="19"/>
  <c r="S393" i="19" s="1"/>
  <c r="T364" i="19"/>
  <c r="T393" i="19" s="1"/>
  <c r="I364" i="19"/>
  <c r="I393" i="19" s="1"/>
  <c r="E147" i="19"/>
  <c r="E176" i="19" s="1"/>
  <c r="X364" i="19"/>
  <c r="X393" i="19" s="1"/>
  <c r="E364" i="19"/>
  <c r="E393" i="19" s="1"/>
  <c r="Y364" i="19"/>
  <c r="Y393" i="19" s="1"/>
  <c r="AC364" i="19"/>
  <c r="AC393" i="19" s="1"/>
  <c r="Z147" i="19"/>
  <c r="Z176" i="19" s="1"/>
  <c r="N364" i="19"/>
  <c r="N393" i="19" s="1"/>
  <c r="W364" i="19"/>
  <c r="W393" i="19" s="1"/>
  <c r="X147" i="19"/>
  <c r="X176" i="19" s="1"/>
  <c r="G147" i="19"/>
  <c r="G176" i="19" s="1"/>
  <c r="P147" i="19"/>
  <c r="P176" i="19" s="1"/>
  <c r="Y147" i="19"/>
  <c r="Y176" i="19" s="1"/>
  <c r="F255" i="19"/>
  <c r="F284" i="19" s="1"/>
  <c r="E255" i="19"/>
  <c r="E284" i="19" s="1"/>
  <c r="Y255" i="19"/>
  <c r="Y284" i="19" s="1"/>
  <c r="R255" i="19"/>
  <c r="R284" i="19" s="1"/>
  <c r="AC255" i="19"/>
  <c r="AC284" i="19" s="1"/>
  <c r="K255" i="19"/>
  <c r="K284" i="19" s="1"/>
  <c r="X255" i="19"/>
  <c r="X284" i="19" s="1"/>
  <c r="H255" i="19"/>
  <c r="H284" i="19" s="1"/>
  <c r="O255" i="19"/>
  <c r="O284" i="19" s="1"/>
  <c r="D255" i="19"/>
  <c r="D284" i="19" s="1"/>
  <c r="L255" i="19"/>
  <c r="L284" i="19" s="1"/>
  <c r="Q255" i="19"/>
  <c r="Q284" i="19" s="1"/>
  <c r="W255" i="19"/>
  <c r="W284" i="19" s="1"/>
  <c r="Z255" i="19"/>
  <c r="Z284" i="19" s="1"/>
  <c r="V255" i="19"/>
  <c r="V284" i="19" s="1"/>
  <c r="B344" i="22"/>
  <c r="B127" i="22"/>
  <c r="B449" i="22"/>
  <c r="B41" i="19"/>
  <c r="B70" i="19" s="1"/>
  <c r="B344" i="23"/>
  <c r="B449" i="23"/>
  <c r="B21" i="21"/>
  <c r="B344" i="21"/>
  <c r="B235" i="23"/>
  <c r="B235" i="21"/>
  <c r="B21" i="23"/>
  <c r="AN95" i="2"/>
  <c r="M123" i="2" s="1"/>
  <c r="F28" i="29"/>
  <c r="J28" i="29" s="1"/>
  <c r="F29" i="29"/>
  <c r="J29" i="29" s="1"/>
  <c r="F30" i="29"/>
  <c r="J30" i="29" s="1"/>
  <c r="F31" i="29"/>
  <c r="J31" i="29" s="1"/>
  <c r="F27" i="29"/>
  <c r="J27" i="29" s="1"/>
  <c r="AI95" i="2"/>
  <c r="M111" i="2" s="1"/>
  <c r="F22" i="29"/>
  <c r="J22" i="29" s="1"/>
  <c r="F23" i="29"/>
  <c r="J23" i="29" s="1"/>
  <c r="F24" i="29"/>
  <c r="J24" i="29" s="1"/>
  <c r="F25" i="29"/>
  <c r="J25" i="29" s="1"/>
  <c r="F26" i="29"/>
  <c r="J26" i="29" s="1"/>
  <c r="AD95" i="2"/>
  <c r="M135" i="2" s="1"/>
  <c r="F35" i="29"/>
  <c r="J35" i="29" s="1"/>
  <c r="F36" i="29"/>
  <c r="J36" i="29" s="1"/>
  <c r="F34" i="29"/>
  <c r="J34" i="29" s="1"/>
  <c r="F32" i="29"/>
  <c r="J32" i="29" s="1"/>
  <c r="F33" i="29"/>
  <c r="J33" i="29" s="1"/>
  <c r="C21" i="23" l="1"/>
  <c r="C235" i="23"/>
  <c r="C449" i="23"/>
  <c r="C127" i="23"/>
  <c r="C344" i="23"/>
  <c r="C235" i="21"/>
  <c r="C127" i="21"/>
  <c r="C344" i="21"/>
  <c r="C449" i="21"/>
  <c r="C21" i="21"/>
  <c r="C344" i="22"/>
  <c r="C127" i="22"/>
  <c r="C21" i="22"/>
  <c r="C235" i="22"/>
  <c r="C449" i="22"/>
  <c r="M94" i="2"/>
  <c r="L94" i="2"/>
  <c r="I364" i="21" l="1"/>
  <c r="I393" i="21" s="1"/>
  <c r="J364" i="21"/>
  <c r="J393" i="21" s="1"/>
  <c r="L364" i="21"/>
  <c r="L393" i="21" s="1"/>
  <c r="O364" i="21"/>
  <c r="O393" i="21" s="1"/>
  <c r="K364" i="21"/>
  <c r="K393" i="21" s="1"/>
  <c r="G364" i="21"/>
  <c r="G393" i="21" s="1"/>
  <c r="V364" i="21"/>
  <c r="V393" i="21" s="1"/>
  <c r="Y364" i="21"/>
  <c r="Y393" i="21" s="1"/>
  <c r="AA364" i="21"/>
  <c r="AA393" i="21" s="1"/>
  <c r="N364" i="21"/>
  <c r="N393" i="21" s="1"/>
  <c r="U364" i="21"/>
  <c r="U393" i="21" s="1"/>
  <c r="AB364" i="21"/>
  <c r="AB393" i="21" s="1"/>
  <c r="Q364" i="21"/>
  <c r="Q393" i="21" s="1"/>
  <c r="R364" i="21"/>
  <c r="R393" i="21" s="1"/>
  <c r="T364" i="21"/>
  <c r="T393" i="21" s="1"/>
  <c r="Z364" i="21"/>
  <c r="Z393" i="21" s="1"/>
  <c r="B364" i="21"/>
  <c r="B393" i="21" s="1"/>
  <c r="F364" i="21"/>
  <c r="F393" i="21" s="1"/>
  <c r="S364" i="21"/>
  <c r="S393" i="21" s="1"/>
  <c r="X364" i="21"/>
  <c r="X393" i="21" s="1"/>
  <c r="C364" i="21"/>
  <c r="C393" i="21" s="1"/>
  <c r="AC364" i="21"/>
  <c r="AC393" i="21" s="1"/>
  <c r="E364" i="21"/>
  <c r="E393" i="21" s="1"/>
  <c r="P364" i="21"/>
  <c r="P393" i="21" s="1"/>
  <c r="H364" i="21"/>
  <c r="H393" i="21" s="1"/>
  <c r="W364" i="21"/>
  <c r="W393" i="21" s="1"/>
  <c r="M364" i="21"/>
  <c r="M393" i="21" s="1"/>
  <c r="D364" i="21"/>
  <c r="D393" i="21" s="1"/>
  <c r="P147" i="21"/>
  <c r="P176" i="21" s="1"/>
  <c r="R147" i="21"/>
  <c r="R176" i="21" s="1"/>
  <c r="N147" i="21"/>
  <c r="N176" i="21" s="1"/>
  <c r="Z147" i="21"/>
  <c r="Z176" i="21" s="1"/>
  <c r="E147" i="21"/>
  <c r="E176" i="21" s="1"/>
  <c r="Y147" i="21"/>
  <c r="Y176" i="21" s="1"/>
  <c r="U147" i="21"/>
  <c r="U176" i="21" s="1"/>
  <c r="F147" i="21"/>
  <c r="F176" i="21" s="1"/>
  <c r="D147" i="21"/>
  <c r="D176" i="21" s="1"/>
  <c r="Q147" i="21"/>
  <c r="Q176" i="21" s="1"/>
  <c r="W147" i="21"/>
  <c r="W176" i="21" s="1"/>
  <c r="AC147" i="21"/>
  <c r="AC176" i="21" s="1"/>
  <c r="C147" i="21"/>
  <c r="C176" i="21" s="1"/>
  <c r="I147" i="21"/>
  <c r="I176" i="21" s="1"/>
  <c r="X147" i="21"/>
  <c r="X176" i="21" s="1"/>
  <c r="V147" i="21"/>
  <c r="V176" i="21" s="1"/>
  <c r="B147" i="21"/>
  <c r="B176" i="21" s="1"/>
  <c r="S147" i="21"/>
  <c r="S176" i="21" s="1"/>
  <c r="M147" i="21"/>
  <c r="M176" i="21" s="1"/>
  <c r="H147" i="21"/>
  <c r="H176" i="21" s="1"/>
  <c r="AB147" i="21"/>
  <c r="AB176" i="21" s="1"/>
  <c r="O147" i="21"/>
  <c r="O176" i="21" s="1"/>
  <c r="AA147" i="21"/>
  <c r="AA176" i="21" s="1"/>
  <c r="J147" i="21"/>
  <c r="J176" i="21" s="1"/>
  <c r="T147" i="21"/>
  <c r="T176" i="21" s="1"/>
  <c r="L147" i="21"/>
  <c r="L176" i="21" s="1"/>
  <c r="G147" i="21"/>
  <c r="G176" i="21" s="1"/>
  <c r="K147" i="21"/>
  <c r="K176" i="21" s="1"/>
  <c r="E255" i="21"/>
  <c r="E284" i="21" s="1"/>
  <c r="I255" i="21"/>
  <c r="I284" i="21" s="1"/>
  <c r="M255" i="21"/>
  <c r="M284" i="21" s="1"/>
  <c r="AA255" i="21"/>
  <c r="AA284" i="21" s="1"/>
  <c r="Q255" i="21"/>
  <c r="Q284" i="21" s="1"/>
  <c r="P255" i="21"/>
  <c r="P284" i="21" s="1"/>
  <c r="F255" i="21"/>
  <c r="F284" i="21" s="1"/>
  <c r="W255" i="21"/>
  <c r="W284" i="21" s="1"/>
  <c r="D255" i="21"/>
  <c r="D284" i="21" s="1"/>
  <c r="R255" i="21"/>
  <c r="R284" i="21" s="1"/>
  <c r="K255" i="21"/>
  <c r="K284" i="21" s="1"/>
  <c r="O255" i="21"/>
  <c r="O284" i="21" s="1"/>
  <c r="B255" i="21"/>
  <c r="B284" i="21" s="1"/>
  <c r="H255" i="21"/>
  <c r="H284" i="21" s="1"/>
  <c r="AC255" i="21"/>
  <c r="AC284" i="21" s="1"/>
  <c r="G255" i="21"/>
  <c r="G284" i="21" s="1"/>
  <c r="S255" i="21"/>
  <c r="S284" i="21" s="1"/>
  <c r="X255" i="21"/>
  <c r="X284" i="21" s="1"/>
  <c r="AB255" i="21"/>
  <c r="AB284" i="21" s="1"/>
  <c r="V255" i="21"/>
  <c r="V284" i="21" s="1"/>
  <c r="C255" i="21"/>
  <c r="C284" i="21" s="1"/>
  <c r="T255" i="21"/>
  <c r="T284" i="21" s="1"/>
  <c r="J255" i="21"/>
  <c r="J284" i="21" s="1"/>
  <c r="U255" i="21"/>
  <c r="U284" i="21" s="1"/>
  <c r="Z255" i="21"/>
  <c r="Z284" i="21" s="1"/>
  <c r="Y255" i="21"/>
  <c r="Y284" i="21" s="1"/>
  <c r="N255" i="21"/>
  <c r="N284" i="21" s="1"/>
  <c r="L255" i="21"/>
  <c r="L284" i="21" s="1"/>
  <c r="D364" i="23"/>
  <c r="D393" i="23" s="1"/>
  <c r="C364" i="23"/>
  <c r="C393" i="23" s="1"/>
  <c r="G364" i="23"/>
  <c r="G393" i="23" s="1"/>
  <c r="X364" i="23"/>
  <c r="X393" i="23" s="1"/>
  <c r="T364" i="23"/>
  <c r="T393" i="23" s="1"/>
  <c r="Z364" i="23"/>
  <c r="Z393" i="23" s="1"/>
  <c r="AA364" i="23"/>
  <c r="AA393" i="23" s="1"/>
  <c r="AB364" i="23"/>
  <c r="AB393" i="23" s="1"/>
  <c r="I364" i="23"/>
  <c r="I393" i="23" s="1"/>
  <c r="O364" i="23"/>
  <c r="O393" i="23" s="1"/>
  <c r="K364" i="23"/>
  <c r="K393" i="23" s="1"/>
  <c r="B364" i="23"/>
  <c r="B393" i="23" s="1"/>
  <c r="V364" i="23"/>
  <c r="V393" i="23" s="1"/>
  <c r="L364" i="23"/>
  <c r="L393" i="23" s="1"/>
  <c r="Y364" i="23"/>
  <c r="Y393" i="23" s="1"/>
  <c r="H364" i="23"/>
  <c r="H393" i="23" s="1"/>
  <c r="M364" i="23"/>
  <c r="M393" i="23" s="1"/>
  <c r="Q364" i="23"/>
  <c r="Q393" i="23" s="1"/>
  <c r="U364" i="23"/>
  <c r="U393" i="23" s="1"/>
  <c r="J364" i="23"/>
  <c r="J393" i="23" s="1"/>
  <c r="S364" i="23"/>
  <c r="S393" i="23" s="1"/>
  <c r="W364" i="23"/>
  <c r="W393" i="23" s="1"/>
  <c r="P364" i="23"/>
  <c r="P393" i="23" s="1"/>
  <c r="AC364" i="23"/>
  <c r="AC393" i="23" s="1"/>
  <c r="R364" i="23"/>
  <c r="R393" i="23" s="1"/>
  <c r="N364" i="23"/>
  <c r="N393" i="23" s="1"/>
  <c r="E364" i="23"/>
  <c r="E393" i="23" s="1"/>
  <c r="F364" i="23"/>
  <c r="F393" i="23" s="1"/>
  <c r="T147" i="23"/>
  <c r="T176" i="23" s="1"/>
  <c r="E147" i="23"/>
  <c r="E176" i="23" s="1"/>
  <c r="P147" i="23"/>
  <c r="P176" i="23" s="1"/>
  <c r="G147" i="23"/>
  <c r="G176" i="23" s="1"/>
  <c r="D147" i="23"/>
  <c r="D176" i="23" s="1"/>
  <c r="L147" i="23"/>
  <c r="L176" i="23" s="1"/>
  <c r="B147" i="23"/>
  <c r="B176" i="23" s="1"/>
  <c r="AC147" i="23"/>
  <c r="AC176" i="23" s="1"/>
  <c r="AA147" i="23"/>
  <c r="AA176" i="23" s="1"/>
  <c r="X147" i="23"/>
  <c r="X176" i="23" s="1"/>
  <c r="Z147" i="23"/>
  <c r="Z176" i="23" s="1"/>
  <c r="AB147" i="23"/>
  <c r="AB176" i="23" s="1"/>
  <c r="H147" i="23"/>
  <c r="H176" i="23" s="1"/>
  <c r="K147" i="23"/>
  <c r="K176" i="23" s="1"/>
  <c r="V147" i="23"/>
  <c r="V176" i="23" s="1"/>
  <c r="M147" i="23"/>
  <c r="M176" i="23" s="1"/>
  <c r="C147" i="23"/>
  <c r="C176" i="23" s="1"/>
  <c r="R147" i="23"/>
  <c r="R176" i="23" s="1"/>
  <c r="N147" i="23"/>
  <c r="N176" i="23" s="1"/>
  <c r="J147" i="23"/>
  <c r="J176" i="23" s="1"/>
  <c r="W147" i="23"/>
  <c r="W176" i="23" s="1"/>
  <c r="Q147" i="23"/>
  <c r="Q176" i="23" s="1"/>
  <c r="F147" i="23"/>
  <c r="F176" i="23" s="1"/>
  <c r="Y147" i="23"/>
  <c r="Y176" i="23" s="1"/>
  <c r="O147" i="23"/>
  <c r="O176" i="23" s="1"/>
  <c r="I147" i="23"/>
  <c r="I176" i="23" s="1"/>
  <c r="U147" i="23"/>
  <c r="U176" i="23" s="1"/>
  <c r="S147" i="23"/>
  <c r="S176" i="23" s="1"/>
  <c r="L99" i="2"/>
  <c r="E18" i="29"/>
  <c r="I18" i="29" s="1"/>
  <c r="E19" i="29"/>
  <c r="I19" i="29" s="1"/>
  <c r="E20" i="29"/>
  <c r="I20" i="29" s="1"/>
  <c r="E21" i="29"/>
  <c r="I21" i="29" s="1"/>
  <c r="E17" i="29"/>
  <c r="I17" i="29" s="1"/>
  <c r="Y41" i="22"/>
  <c r="Y70" i="22" s="1"/>
  <c r="U41" i="22"/>
  <c r="U70" i="22" s="1"/>
  <c r="Q41" i="22"/>
  <c r="Q70" i="22" s="1"/>
  <c r="AA41" i="22"/>
  <c r="AA70" i="22" s="1"/>
  <c r="J41" i="22"/>
  <c r="J70" i="22" s="1"/>
  <c r="Z41" i="22"/>
  <c r="Z70" i="22" s="1"/>
  <c r="S41" i="22"/>
  <c r="S70" i="22" s="1"/>
  <c r="N41" i="22"/>
  <c r="N70" i="22" s="1"/>
  <c r="H41" i="22"/>
  <c r="H70" i="22" s="1"/>
  <c r="C41" i="22"/>
  <c r="C70" i="22" s="1"/>
  <c r="G41" i="22"/>
  <c r="G70" i="22" s="1"/>
  <c r="I41" i="22"/>
  <c r="I70" i="22" s="1"/>
  <c r="L41" i="22"/>
  <c r="L70" i="22" s="1"/>
  <c r="X41" i="22"/>
  <c r="X70" i="22" s="1"/>
  <c r="T41" i="22"/>
  <c r="T70" i="22" s="1"/>
  <c r="R41" i="22"/>
  <c r="R70" i="22" s="1"/>
  <c r="K41" i="22"/>
  <c r="K70" i="22" s="1"/>
  <c r="AB41" i="22"/>
  <c r="AB70" i="22" s="1"/>
  <c r="P41" i="22"/>
  <c r="P70" i="22" s="1"/>
  <c r="W41" i="22"/>
  <c r="W70" i="22" s="1"/>
  <c r="O41" i="22"/>
  <c r="O70" i="22" s="1"/>
  <c r="V41" i="22"/>
  <c r="V70" i="22" s="1"/>
  <c r="AC41" i="22"/>
  <c r="AC70" i="22" s="1"/>
  <c r="D41" i="22"/>
  <c r="D70" i="22" s="1"/>
  <c r="F41" i="22"/>
  <c r="F70" i="22" s="1"/>
  <c r="E41" i="22"/>
  <c r="E70" i="22" s="1"/>
  <c r="M41" i="22"/>
  <c r="M70" i="22" s="1"/>
  <c r="B41" i="22"/>
  <c r="B70" i="22" s="1"/>
  <c r="T364" i="22"/>
  <c r="T393" i="22" s="1"/>
  <c r="J364" i="22"/>
  <c r="J393" i="22" s="1"/>
  <c r="X364" i="22"/>
  <c r="X393" i="22" s="1"/>
  <c r="K364" i="22"/>
  <c r="K393" i="22" s="1"/>
  <c r="V364" i="22"/>
  <c r="V393" i="22" s="1"/>
  <c r="O364" i="22"/>
  <c r="O393" i="22" s="1"/>
  <c r="Y364" i="22"/>
  <c r="Y393" i="22" s="1"/>
  <c r="AB364" i="22"/>
  <c r="AB393" i="22" s="1"/>
  <c r="N364" i="22"/>
  <c r="N393" i="22" s="1"/>
  <c r="M364" i="22"/>
  <c r="M393" i="22" s="1"/>
  <c r="D364" i="22"/>
  <c r="D393" i="22" s="1"/>
  <c r="C364" i="22"/>
  <c r="C393" i="22" s="1"/>
  <c r="Z364" i="22"/>
  <c r="Z393" i="22" s="1"/>
  <c r="Q364" i="22"/>
  <c r="Q393" i="22" s="1"/>
  <c r="P364" i="22"/>
  <c r="P393" i="22" s="1"/>
  <c r="L364" i="22"/>
  <c r="L393" i="22" s="1"/>
  <c r="H364" i="22"/>
  <c r="H393" i="22" s="1"/>
  <c r="AC364" i="22"/>
  <c r="AC393" i="22" s="1"/>
  <c r="E364" i="22"/>
  <c r="E393" i="22" s="1"/>
  <c r="S364" i="22"/>
  <c r="S393" i="22" s="1"/>
  <c r="AA364" i="22"/>
  <c r="AA393" i="22" s="1"/>
  <c r="G364" i="22"/>
  <c r="G393" i="22" s="1"/>
  <c r="W364" i="22"/>
  <c r="W393" i="22" s="1"/>
  <c r="U364" i="22"/>
  <c r="U393" i="22" s="1"/>
  <c r="R364" i="22"/>
  <c r="R393" i="22" s="1"/>
  <c r="I364" i="22"/>
  <c r="I393" i="22" s="1"/>
  <c r="B364" i="22"/>
  <c r="B393" i="22" s="1"/>
  <c r="F364" i="22"/>
  <c r="F393" i="22" s="1"/>
  <c r="Z469" i="22"/>
  <c r="Z498" i="22" s="1"/>
  <c r="K469" i="22"/>
  <c r="K498" i="22" s="1"/>
  <c r="L469" i="22"/>
  <c r="L498" i="22" s="1"/>
  <c r="M469" i="22"/>
  <c r="M498" i="22" s="1"/>
  <c r="G469" i="22"/>
  <c r="G498" i="22" s="1"/>
  <c r="D469" i="22"/>
  <c r="D498" i="22" s="1"/>
  <c r="F469" i="22"/>
  <c r="F498" i="22" s="1"/>
  <c r="E469" i="22"/>
  <c r="E498" i="22" s="1"/>
  <c r="X469" i="22"/>
  <c r="X498" i="22" s="1"/>
  <c r="O469" i="22"/>
  <c r="O498" i="22" s="1"/>
  <c r="Q469" i="22"/>
  <c r="Q498" i="22" s="1"/>
  <c r="R469" i="22"/>
  <c r="R498" i="22" s="1"/>
  <c r="V469" i="22"/>
  <c r="V498" i="22" s="1"/>
  <c r="S469" i="22"/>
  <c r="S498" i="22" s="1"/>
  <c r="B469" i="22"/>
  <c r="B498" i="22" s="1"/>
  <c r="T469" i="22"/>
  <c r="T498" i="22" s="1"/>
  <c r="W469" i="22"/>
  <c r="W498" i="22" s="1"/>
  <c r="U469" i="22"/>
  <c r="U498" i="22" s="1"/>
  <c r="C469" i="22"/>
  <c r="C498" i="22" s="1"/>
  <c r="J469" i="22"/>
  <c r="J498" i="22" s="1"/>
  <c r="AA469" i="22"/>
  <c r="AA498" i="22" s="1"/>
  <c r="N469" i="22"/>
  <c r="N498" i="22" s="1"/>
  <c r="P469" i="22"/>
  <c r="P498" i="22" s="1"/>
  <c r="I469" i="22"/>
  <c r="I498" i="22" s="1"/>
  <c r="AB469" i="22"/>
  <c r="AB498" i="22" s="1"/>
  <c r="AC469" i="22"/>
  <c r="AC498" i="22" s="1"/>
  <c r="Y469" i="22"/>
  <c r="Y498" i="22" s="1"/>
  <c r="H469" i="22"/>
  <c r="H498" i="22" s="1"/>
  <c r="L255" i="22"/>
  <c r="L284" i="22" s="1"/>
  <c r="AA255" i="22"/>
  <c r="AA284" i="22" s="1"/>
  <c r="M255" i="22"/>
  <c r="M284" i="22" s="1"/>
  <c r="X255" i="22"/>
  <c r="X284" i="22" s="1"/>
  <c r="H255" i="22"/>
  <c r="H284" i="22" s="1"/>
  <c r="Y255" i="22"/>
  <c r="Y284" i="22" s="1"/>
  <c r="Q255" i="22"/>
  <c r="Q284" i="22" s="1"/>
  <c r="E255" i="22"/>
  <c r="E284" i="22" s="1"/>
  <c r="B255" i="22"/>
  <c r="B284" i="22" s="1"/>
  <c r="K255" i="22"/>
  <c r="K284" i="22" s="1"/>
  <c r="D255" i="22"/>
  <c r="D284" i="22" s="1"/>
  <c r="U255" i="22"/>
  <c r="U284" i="22" s="1"/>
  <c r="R255" i="22"/>
  <c r="R284" i="22" s="1"/>
  <c r="W255" i="22"/>
  <c r="W284" i="22" s="1"/>
  <c r="F255" i="22"/>
  <c r="F284" i="22" s="1"/>
  <c r="S255" i="22"/>
  <c r="S284" i="22" s="1"/>
  <c r="V255" i="22"/>
  <c r="V284" i="22" s="1"/>
  <c r="I255" i="22"/>
  <c r="I284" i="22" s="1"/>
  <c r="G255" i="22"/>
  <c r="G284" i="22" s="1"/>
  <c r="C255" i="22"/>
  <c r="C284" i="22" s="1"/>
  <c r="O255" i="22"/>
  <c r="O284" i="22" s="1"/>
  <c r="T255" i="22"/>
  <c r="T284" i="22" s="1"/>
  <c r="J255" i="22"/>
  <c r="J284" i="22" s="1"/>
  <c r="Z255" i="22"/>
  <c r="Z284" i="22" s="1"/>
  <c r="AC255" i="22"/>
  <c r="AC284" i="22" s="1"/>
  <c r="N255" i="22"/>
  <c r="N284" i="22" s="1"/>
  <c r="AB255" i="22"/>
  <c r="AB284" i="22" s="1"/>
  <c r="P255" i="22"/>
  <c r="P284" i="22" s="1"/>
  <c r="AB147" i="22"/>
  <c r="AB176" i="22" s="1"/>
  <c r="W147" i="22"/>
  <c r="W176" i="22" s="1"/>
  <c r="I147" i="22"/>
  <c r="I176" i="22" s="1"/>
  <c r="N147" i="22"/>
  <c r="N176" i="22" s="1"/>
  <c r="P147" i="22"/>
  <c r="P176" i="22" s="1"/>
  <c r="J147" i="22"/>
  <c r="J176" i="22" s="1"/>
  <c r="AC147" i="22"/>
  <c r="AC176" i="22" s="1"/>
  <c r="O147" i="22"/>
  <c r="O176" i="22" s="1"/>
  <c r="H147" i="22"/>
  <c r="H176" i="22" s="1"/>
  <c r="AA147" i="22"/>
  <c r="AA176" i="22" s="1"/>
  <c r="G147" i="22"/>
  <c r="G176" i="22" s="1"/>
  <c r="X147" i="22"/>
  <c r="X176" i="22" s="1"/>
  <c r="B147" i="22"/>
  <c r="B176" i="22" s="1"/>
  <c r="D147" i="22"/>
  <c r="D176" i="22" s="1"/>
  <c r="R147" i="22"/>
  <c r="R176" i="22" s="1"/>
  <c r="L147" i="22"/>
  <c r="L176" i="22" s="1"/>
  <c r="S147" i="22"/>
  <c r="S176" i="22" s="1"/>
  <c r="Z147" i="22"/>
  <c r="Z176" i="22" s="1"/>
  <c r="M147" i="22"/>
  <c r="M176" i="22" s="1"/>
  <c r="U147" i="22"/>
  <c r="U176" i="22" s="1"/>
  <c r="Y147" i="22"/>
  <c r="Y176" i="22" s="1"/>
  <c r="Q147" i="22"/>
  <c r="Q176" i="22" s="1"/>
  <c r="T147" i="22"/>
  <c r="T176" i="22" s="1"/>
  <c r="V147" i="22"/>
  <c r="V176" i="22" s="1"/>
  <c r="E147" i="22"/>
  <c r="E176" i="22" s="1"/>
  <c r="F147" i="22"/>
  <c r="F176" i="22" s="1"/>
  <c r="K147" i="22"/>
  <c r="K176" i="22" s="1"/>
  <c r="C147" i="22"/>
  <c r="C176" i="22" s="1"/>
  <c r="N469" i="23"/>
  <c r="N498" i="23" s="1"/>
  <c r="Z469" i="23"/>
  <c r="Z498" i="23" s="1"/>
  <c r="U469" i="23"/>
  <c r="U498" i="23" s="1"/>
  <c r="AC469" i="23"/>
  <c r="AC498" i="23" s="1"/>
  <c r="G469" i="23"/>
  <c r="G498" i="23" s="1"/>
  <c r="V469" i="23"/>
  <c r="V498" i="23" s="1"/>
  <c r="X469" i="23"/>
  <c r="X498" i="23" s="1"/>
  <c r="C469" i="23"/>
  <c r="C498" i="23" s="1"/>
  <c r="Y469" i="23"/>
  <c r="Y498" i="23" s="1"/>
  <c r="M469" i="23"/>
  <c r="M498" i="23" s="1"/>
  <c r="J469" i="23"/>
  <c r="J498" i="23" s="1"/>
  <c r="H469" i="23"/>
  <c r="H498" i="23" s="1"/>
  <c r="T469" i="23"/>
  <c r="T498" i="23" s="1"/>
  <c r="W469" i="23"/>
  <c r="W498" i="23" s="1"/>
  <c r="B469" i="23"/>
  <c r="B498" i="23" s="1"/>
  <c r="E469" i="23"/>
  <c r="E498" i="23" s="1"/>
  <c r="R469" i="23"/>
  <c r="R498" i="23" s="1"/>
  <c r="D469" i="23"/>
  <c r="D498" i="23" s="1"/>
  <c r="L469" i="23"/>
  <c r="L498" i="23" s="1"/>
  <c r="AA469" i="23"/>
  <c r="AA498" i="23" s="1"/>
  <c r="AB469" i="23"/>
  <c r="AB498" i="23" s="1"/>
  <c r="K469" i="23"/>
  <c r="K498" i="23" s="1"/>
  <c r="I469" i="23"/>
  <c r="I498" i="23" s="1"/>
  <c r="Q469" i="23"/>
  <c r="Q498" i="23" s="1"/>
  <c r="P469" i="23"/>
  <c r="P498" i="23" s="1"/>
  <c r="O469" i="23"/>
  <c r="O498" i="23" s="1"/>
  <c r="S469" i="23"/>
  <c r="S498" i="23" s="1"/>
  <c r="F469" i="23"/>
  <c r="F498" i="23" s="1"/>
  <c r="K41" i="21"/>
  <c r="K70" i="21" s="1"/>
  <c r="O41" i="21"/>
  <c r="O70" i="21" s="1"/>
  <c r="J41" i="21"/>
  <c r="J70" i="21" s="1"/>
  <c r="U41" i="21"/>
  <c r="U70" i="21" s="1"/>
  <c r="I41" i="21"/>
  <c r="I70" i="21" s="1"/>
  <c r="G41" i="21"/>
  <c r="G70" i="21" s="1"/>
  <c r="D41" i="21"/>
  <c r="D70" i="21" s="1"/>
  <c r="Q41" i="21"/>
  <c r="Q70" i="21" s="1"/>
  <c r="AB41" i="21"/>
  <c r="AB70" i="21" s="1"/>
  <c r="X41" i="21"/>
  <c r="X70" i="21" s="1"/>
  <c r="S41" i="21"/>
  <c r="S70" i="21" s="1"/>
  <c r="N41" i="21"/>
  <c r="N70" i="21" s="1"/>
  <c r="H41" i="21"/>
  <c r="H70" i="21" s="1"/>
  <c r="R41" i="21"/>
  <c r="R70" i="21" s="1"/>
  <c r="W41" i="21"/>
  <c r="W70" i="21" s="1"/>
  <c r="T41" i="21"/>
  <c r="T70" i="21" s="1"/>
  <c r="AC41" i="21"/>
  <c r="AC70" i="21" s="1"/>
  <c r="AA41" i="21"/>
  <c r="AA70" i="21" s="1"/>
  <c r="Y41" i="21"/>
  <c r="Y70" i="21" s="1"/>
  <c r="E41" i="21"/>
  <c r="E70" i="21" s="1"/>
  <c r="L41" i="21"/>
  <c r="L70" i="21" s="1"/>
  <c r="C41" i="21"/>
  <c r="C70" i="21" s="1"/>
  <c r="B41" i="21"/>
  <c r="B70" i="21" s="1"/>
  <c r="M41" i="21"/>
  <c r="M70" i="21" s="1"/>
  <c r="F41" i="21"/>
  <c r="F70" i="21" s="1"/>
  <c r="V41" i="21"/>
  <c r="V70" i="21" s="1"/>
  <c r="P41" i="21"/>
  <c r="P70" i="21" s="1"/>
  <c r="Z41" i="21"/>
  <c r="Z70" i="21" s="1"/>
  <c r="Z255" i="23"/>
  <c r="Z284" i="23" s="1"/>
  <c r="M255" i="23"/>
  <c r="M284" i="23" s="1"/>
  <c r="U255" i="23"/>
  <c r="U284" i="23" s="1"/>
  <c r="L255" i="23"/>
  <c r="L284" i="23" s="1"/>
  <c r="Y255" i="23"/>
  <c r="Y284" i="23" s="1"/>
  <c r="Q255" i="23"/>
  <c r="Q284" i="23" s="1"/>
  <c r="R255" i="23"/>
  <c r="R284" i="23" s="1"/>
  <c r="X255" i="23"/>
  <c r="X284" i="23" s="1"/>
  <c r="K255" i="23"/>
  <c r="K284" i="23" s="1"/>
  <c r="I255" i="23"/>
  <c r="I284" i="23" s="1"/>
  <c r="AA255" i="23"/>
  <c r="AA284" i="23" s="1"/>
  <c r="G255" i="23"/>
  <c r="G284" i="23" s="1"/>
  <c r="J255" i="23"/>
  <c r="J284" i="23" s="1"/>
  <c r="AC255" i="23"/>
  <c r="AC284" i="23" s="1"/>
  <c r="S255" i="23"/>
  <c r="S284" i="23" s="1"/>
  <c r="O255" i="23"/>
  <c r="O284" i="23" s="1"/>
  <c r="E255" i="23"/>
  <c r="E284" i="23" s="1"/>
  <c r="P255" i="23"/>
  <c r="P284" i="23" s="1"/>
  <c r="B255" i="23"/>
  <c r="B284" i="23" s="1"/>
  <c r="N255" i="23"/>
  <c r="N284" i="23" s="1"/>
  <c r="T255" i="23"/>
  <c r="T284" i="23" s="1"/>
  <c r="D255" i="23"/>
  <c r="D284" i="23" s="1"/>
  <c r="AB255" i="23"/>
  <c r="AB284" i="23" s="1"/>
  <c r="F255" i="23"/>
  <c r="F284" i="23" s="1"/>
  <c r="C255" i="23"/>
  <c r="C284" i="23" s="1"/>
  <c r="V255" i="23"/>
  <c r="V284" i="23" s="1"/>
  <c r="H255" i="23"/>
  <c r="H284" i="23" s="1"/>
  <c r="W255" i="23"/>
  <c r="W284" i="23" s="1"/>
  <c r="E469" i="21"/>
  <c r="E498" i="21" s="1"/>
  <c r="W469" i="21"/>
  <c r="W498" i="21" s="1"/>
  <c r="T469" i="21"/>
  <c r="T498" i="21" s="1"/>
  <c r="X469" i="21"/>
  <c r="X498" i="21" s="1"/>
  <c r="D469" i="21"/>
  <c r="D498" i="21" s="1"/>
  <c r="AB469" i="21"/>
  <c r="AB498" i="21" s="1"/>
  <c r="M469" i="21"/>
  <c r="M498" i="21" s="1"/>
  <c r="Q469" i="21"/>
  <c r="Q498" i="21" s="1"/>
  <c r="H469" i="21"/>
  <c r="H498" i="21" s="1"/>
  <c r="O469" i="21"/>
  <c r="O498" i="21" s="1"/>
  <c r="S469" i="21"/>
  <c r="S498" i="21" s="1"/>
  <c r="P469" i="21"/>
  <c r="P498" i="21" s="1"/>
  <c r="V469" i="21"/>
  <c r="V498" i="21" s="1"/>
  <c r="N469" i="21"/>
  <c r="N498" i="21" s="1"/>
  <c r="I469" i="21"/>
  <c r="I498" i="21" s="1"/>
  <c r="K469" i="21"/>
  <c r="K498" i="21" s="1"/>
  <c r="AA469" i="21"/>
  <c r="AA498" i="21" s="1"/>
  <c r="C469" i="21"/>
  <c r="C498" i="21" s="1"/>
  <c r="Z469" i="21"/>
  <c r="Z498" i="21" s="1"/>
  <c r="J469" i="21"/>
  <c r="J498" i="21" s="1"/>
  <c r="L469" i="21"/>
  <c r="L498" i="21" s="1"/>
  <c r="F469" i="21"/>
  <c r="F498" i="21" s="1"/>
  <c r="B469" i="21"/>
  <c r="B498" i="21" s="1"/>
  <c r="U469" i="21"/>
  <c r="U498" i="21" s="1"/>
  <c r="R469" i="21"/>
  <c r="R498" i="21" s="1"/>
  <c r="Y469" i="21"/>
  <c r="Y498" i="21" s="1"/>
  <c r="AC469" i="21"/>
  <c r="AC498" i="21" s="1"/>
  <c r="G469" i="21"/>
  <c r="G498" i="21" s="1"/>
  <c r="O41" i="23"/>
  <c r="O70" i="23" s="1"/>
  <c r="C41" i="23"/>
  <c r="C70" i="23" s="1"/>
  <c r="X41" i="23"/>
  <c r="X70" i="23" s="1"/>
  <c r="M41" i="23"/>
  <c r="M70" i="23" s="1"/>
  <c r="H41" i="23"/>
  <c r="H70" i="23" s="1"/>
  <c r="U41" i="23"/>
  <c r="U70" i="23" s="1"/>
  <c r="B41" i="23"/>
  <c r="B70" i="23" s="1"/>
  <c r="Q41" i="23"/>
  <c r="Q70" i="23" s="1"/>
  <c r="G41" i="23"/>
  <c r="G70" i="23" s="1"/>
  <c r="E41" i="23"/>
  <c r="E70" i="23" s="1"/>
  <c r="V41" i="23"/>
  <c r="V70" i="23" s="1"/>
  <c r="T41" i="23"/>
  <c r="T70" i="23" s="1"/>
  <c r="AC41" i="23"/>
  <c r="AC70" i="23" s="1"/>
  <c r="AA41" i="23"/>
  <c r="AA70" i="23" s="1"/>
  <c r="J41" i="23"/>
  <c r="J70" i="23" s="1"/>
  <c r="F41" i="23"/>
  <c r="F70" i="23" s="1"/>
  <c r="P41" i="23"/>
  <c r="P70" i="23" s="1"/>
  <c r="N41" i="23"/>
  <c r="N70" i="23" s="1"/>
  <c r="L41" i="23"/>
  <c r="L70" i="23" s="1"/>
  <c r="I41" i="23"/>
  <c r="I70" i="23" s="1"/>
  <c r="Y41" i="23"/>
  <c r="Y70" i="23" s="1"/>
  <c r="Z41" i="23"/>
  <c r="Z70" i="23" s="1"/>
  <c r="S41" i="23"/>
  <c r="S70" i="23" s="1"/>
  <c r="AB41" i="23"/>
  <c r="AB70" i="23" s="1"/>
  <c r="R41" i="23"/>
  <c r="R70" i="23" s="1"/>
  <c r="W41" i="23"/>
  <c r="W70" i="23" s="1"/>
  <c r="D41" i="23"/>
  <c r="D70" i="23" s="1"/>
  <c r="K41" i="23"/>
  <c r="K70" i="23" s="1"/>
  <c r="X23" i="2"/>
  <c r="Y24" i="2" s="1"/>
  <c r="X158" i="2"/>
  <c r="X159" i="2" s="1"/>
  <c r="Y159" i="2" l="1"/>
  <c r="F2" i="29"/>
  <c r="J2" i="29" s="1"/>
  <c r="F3" i="29"/>
  <c r="J3" i="29" s="1"/>
  <c r="F4" i="29"/>
  <c r="J4" i="29" s="1"/>
  <c r="F5" i="29"/>
  <c r="J5" i="29" s="1"/>
  <c r="F6" i="29"/>
  <c r="J6" i="29" s="1"/>
  <c r="P344" i="13"/>
  <c r="O344" i="13"/>
  <c r="L344" i="13"/>
  <c r="P235" i="13"/>
  <c r="O235" i="13"/>
  <c r="L235" i="13"/>
  <c r="P127" i="13"/>
  <c r="O127" i="13"/>
  <c r="L127" i="13"/>
  <c r="A393" i="13"/>
  <c r="A381" i="13"/>
  <c r="A364" i="13"/>
  <c r="A284" i="13"/>
  <c r="A272" i="13"/>
  <c r="A255" i="13"/>
  <c r="A176" i="13"/>
  <c r="A164" i="13"/>
  <c r="A147" i="13"/>
  <c r="A70" i="13"/>
  <c r="A58" i="13"/>
  <c r="A41" i="13"/>
  <c r="P21" i="13"/>
  <c r="O21" i="13"/>
  <c r="L21" i="13"/>
  <c r="B128" i="13"/>
  <c r="C128" i="13"/>
  <c r="L128" i="13"/>
  <c r="O128" i="13"/>
  <c r="P128" i="13"/>
  <c r="P449" i="9"/>
  <c r="O449" i="9"/>
  <c r="L449" i="9"/>
  <c r="P344" i="9"/>
  <c r="O344" i="9"/>
  <c r="L344" i="9"/>
  <c r="P235" i="9"/>
  <c r="O235" i="9"/>
  <c r="L235" i="9"/>
  <c r="P127" i="9"/>
  <c r="O127" i="9"/>
  <c r="L127" i="9"/>
  <c r="P21" i="9"/>
  <c r="O21" i="9"/>
  <c r="L21" i="9"/>
  <c r="A512" i="9"/>
  <c r="A498" i="9"/>
  <c r="A486" i="9"/>
  <c r="A469" i="9"/>
  <c r="A407" i="9"/>
  <c r="A393" i="9"/>
  <c r="A381" i="9"/>
  <c r="A364" i="9"/>
  <c r="A298" i="9"/>
  <c r="A284" i="9"/>
  <c r="A272" i="9"/>
  <c r="A255" i="9"/>
  <c r="A190" i="9"/>
  <c r="A176" i="9"/>
  <c r="A164" i="9"/>
  <c r="A147" i="9"/>
  <c r="A84" i="9"/>
  <c r="A70" i="9"/>
  <c r="A58" i="9"/>
  <c r="A41" i="9"/>
  <c r="A512" i="3"/>
  <c r="A498" i="3"/>
  <c r="A486" i="3"/>
  <c r="A469" i="3"/>
  <c r="A407" i="3"/>
  <c r="A393" i="3"/>
  <c r="A381" i="3"/>
  <c r="A364" i="3"/>
  <c r="A298" i="3"/>
  <c r="A284" i="3"/>
  <c r="A272" i="3"/>
  <c r="A255" i="3"/>
  <c r="A190" i="3"/>
  <c r="A164" i="3"/>
  <c r="A176" i="3"/>
  <c r="A147" i="3"/>
  <c r="A84" i="3"/>
  <c r="A58" i="3"/>
  <c r="A70" i="3" s="1"/>
  <c r="A41" i="3"/>
  <c r="X24" i="2"/>
  <c r="X160" i="2" l="1"/>
  <c r="L164" i="2" s="1"/>
  <c r="B235" i="13" s="1"/>
  <c r="E38" i="29"/>
  <c r="E39" i="29"/>
  <c r="I39" i="29" s="1"/>
  <c r="E40" i="29"/>
  <c r="I40" i="29" s="1"/>
  <c r="E41" i="29"/>
  <c r="I41" i="29" s="1"/>
  <c r="E37" i="29"/>
  <c r="I37" i="29" s="1"/>
  <c r="X25" i="2"/>
  <c r="L29" i="2" s="1"/>
  <c r="B21" i="3" s="1"/>
  <c r="E5" i="29"/>
  <c r="I5" i="29" s="1"/>
  <c r="E6" i="29"/>
  <c r="I6" i="29" s="1"/>
  <c r="E2" i="29"/>
  <c r="I2" i="29" s="1"/>
  <c r="E4" i="29"/>
  <c r="I4" i="29" s="1"/>
  <c r="E3" i="29"/>
  <c r="I3" i="29" s="1"/>
  <c r="F38" i="29"/>
  <c r="Y25" i="2"/>
  <c r="M29" i="2" s="1"/>
  <c r="AB235" i="9"/>
  <c r="X449" i="9"/>
  <c r="Q127" i="9"/>
  <c r="V344" i="13"/>
  <c r="AN21" i="13"/>
  <c r="AK235" i="13"/>
  <c r="AF449" i="9"/>
  <c r="T344" i="9"/>
  <c r="U127" i="9"/>
  <c r="V127" i="13"/>
  <c r="W21" i="13"/>
  <c r="U21" i="13"/>
  <c r="AM344" i="9"/>
  <c r="AK21" i="13"/>
  <c r="AQ235" i="9"/>
  <c r="AR344" i="9"/>
  <c r="AN449" i="9"/>
  <c r="AC21" i="13"/>
  <c r="V127" i="9"/>
  <c r="AK235" i="9"/>
  <c r="W344" i="9"/>
  <c r="AJ235" i="9"/>
  <c r="R344" i="9"/>
  <c r="AA344" i="13"/>
  <c r="U235" i="9"/>
  <c r="AI235" i="9"/>
  <c r="AE344" i="9"/>
  <c r="Y235" i="13"/>
  <c r="AD344" i="13"/>
  <c r="T235" i="9"/>
  <c r="AC235" i="9"/>
  <c r="AQ344" i="13"/>
  <c r="AA235" i="9"/>
  <c r="AK127" i="9"/>
  <c r="Q235" i="9"/>
  <c r="AP344" i="9"/>
  <c r="V21" i="13"/>
  <c r="AC127" i="9"/>
  <c r="AR235" i="9"/>
  <c r="V449" i="9"/>
  <c r="Q21" i="13"/>
  <c r="AD127" i="13"/>
  <c r="W21" i="9"/>
  <c r="AE21" i="9"/>
  <c r="AF21" i="9"/>
  <c r="AN21" i="9"/>
  <c r="X21" i="9"/>
  <c r="Y21" i="9"/>
  <c r="AG21" i="9"/>
  <c r="AO21" i="9"/>
  <c r="S21" i="9"/>
  <c r="AA21" i="9"/>
  <c r="AI21" i="9"/>
  <c r="AQ21" i="9"/>
  <c r="AR21" i="9"/>
  <c r="Q21" i="9"/>
  <c r="R21" i="9"/>
  <c r="AM21" i="9"/>
  <c r="AL21" i="9"/>
  <c r="AD21" i="9"/>
  <c r="V21" i="9"/>
  <c r="AR127" i="9"/>
  <c r="AJ127" i="9"/>
  <c r="AB127" i="9"/>
  <c r="T127" i="9"/>
  <c r="AP235" i="9"/>
  <c r="AH235" i="9"/>
  <c r="Y235" i="9"/>
  <c r="AJ344" i="9"/>
  <c r="AK21" i="9"/>
  <c r="AC21" i="9"/>
  <c r="U21" i="9"/>
  <c r="AQ127" i="9"/>
  <c r="AI127" i="9"/>
  <c r="AA127" i="9"/>
  <c r="S127" i="9"/>
  <c r="AO235" i="9"/>
  <c r="AG235" i="9"/>
  <c r="V235" i="9"/>
  <c r="AH344" i="9"/>
  <c r="AJ21" i="9"/>
  <c r="AB21" i="9"/>
  <c r="T21" i="9"/>
  <c r="AP127" i="9"/>
  <c r="AH127" i="9"/>
  <c r="Z127" i="9"/>
  <c r="R127" i="9"/>
  <c r="AN235" i="9"/>
  <c r="AF235" i="9"/>
  <c r="AO127" i="9"/>
  <c r="AG127" i="9"/>
  <c r="Y127" i="9"/>
  <c r="AM235" i="9"/>
  <c r="AE235" i="9"/>
  <c r="Y344" i="9"/>
  <c r="AG344" i="9"/>
  <c r="AO344" i="9"/>
  <c r="S344" i="9"/>
  <c r="AA344" i="9"/>
  <c r="AI344" i="9"/>
  <c r="AQ344" i="9"/>
  <c r="AB344" i="9"/>
  <c r="R449" i="9"/>
  <c r="Z449" i="9"/>
  <c r="AH449" i="9"/>
  <c r="AP449" i="9"/>
  <c r="S449" i="9"/>
  <c r="AA449" i="9"/>
  <c r="AI449" i="9"/>
  <c r="AQ449" i="9"/>
  <c r="T449" i="9"/>
  <c r="AB449" i="9"/>
  <c r="AJ449" i="9"/>
  <c r="AR449" i="9"/>
  <c r="U449" i="9"/>
  <c r="AC449" i="9"/>
  <c r="AK449" i="9"/>
  <c r="Q449" i="9"/>
  <c r="AP21" i="9"/>
  <c r="AH21" i="9"/>
  <c r="Z21" i="9"/>
  <c r="AN127" i="9"/>
  <c r="AF127" i="9"/>
  <c r="X127" i="9"/>
  <c r="W235" i="9"/>
  <c r="X235" i="9"/>
  <c r="R235" i="9"/>
  <c r="Z235" i="9"/>
  <c r="AL235" i="9"/>
  <c r="AD235" i="9"/>
  <c r="S235" i="9"/>
  <c r="U344" i="9"/>
  <c r="Z344" i="9"/>
  <c r="AM127" i="9"/>
  <c r="AE127" i="9"/>
  <c r="W127" i="9"/>
  <c r="AL127" i="9"/>
  <c r="AD127" i="9"/>
  <c r="AN344" i="9"/>
  <c r="AF344" i="9"/>
  <c r="X344" i="9"/>
  <c r="AO449" i="9"/>
  <c r="AG449" i="9"/>
  <c r="Y449" i="9"/>
  <c r="AL344" i="9"/>
  <c r="AD344" i="9"/>
  <c r="V344" i="9"/>
  <c r="AM449" i="9"/>
  <c r="AE449" i="9"/>
  <c r="W449" i="9"/>
  <c r="Q344" i="9"/>
  <c r="AK344" i="9"/>
  <c r="AC344" i="9"/>
  <c r="AL449" i="9"/>
  <c r="AD449" i="9"/>
  <c r="W127" i="13"/>
  <c r="AE127" i="13"/>
  <c r="AM127" i="13"/>
  <c r="X127" i="13"/>
  <c r="AF127" i="13"/>
  <c r="AN127" i="13"/>
  <c r="Y127" i="13"/>
  <c r="AG127" i="13"/>
  <c r="AO127" i="13"/>
  <c r="R127" i="13"/>
  <c r="Z127" i="13"/>
  <c r="AH127" i="13"/>
  <c r="AP127" i="13"/>
  <c r="S127" i="13"/>
  <c r="AA127" i="13"/>
  <c r="AI127" i="13"/>
  <c r="AQ127" i="13"/>
  <c r="T127" i="13"/>
  <c r="AB127" i="13"/>
  <c r="AJ127" i="13"/>
  <c r="AR127" i="13"/>
  <c r="U127" i="13"/>
  <c r="AC127" i="13"/>
  <c r="AK127" i="13"/>
  <c r="Q127" i="13"/>
  <c r="R235" i="13"/>
  <c r="Z235" i="13"/>
  <c r="AH235" i="13"/>
  <c r="AP235" i="13"/>
  <c r="AA235" i="13"/>
  <c r="AN235" i="13"/>
  <c r="AB235" i="13"/>
  <c r="AO235" i="13"/>
  <c r="AC235" i="13"/>
  <c r="AQ235" i="13"/>
  <c r="S235" i="13"/>
  <c r="AF235" i="13"/>
  <c r="AR235" i="13"/>
  <c r="T235" i="13"/>
  <c r="AG235" i="13"/>
  <c r="Q235" i="13"/>
  <c r="U235" i="13"/>
  <c r="AI235" i="13"/>
  <c r="X235" i="13"/>
  <c r="AJ235" i="13"/>
  <c r="AL127" i="13"/>
  <c r="AR21" i="13"/>
  <c r="AJ21" i="13"/>
  <c r="AB21" i="13"/>
  <c r="T21" i="13"/>
  <c r="AM344" i="13"/>
  <c r="S344" i="13"/>
  <c r="AQ21" i="13"/>
  <c r="AI21" i="13"/>
  <c r="AA21" i="13"/>
  <c r="S21" i="13"/>
  <c r="V235" i="13"/>
  <c r="AL344" i="13"/>
  <c r="AP21" i="13"/>
  <c r="AH21" i="13"/>
  <c r="Z21" i="13"/>
  <c r="R21" i="13"/>
  <c r="AI344" i="13"/>
  <c r="AO21" i="13"/>
  <c r="AG21" i="13"/>
  <c r="Y21" i="13"/>
  <c r="AE344" i="13"/>
  <c r="AF21" i="13"/>
  <c r="X21" i="13"/>
  <c r="AM21" i="13"/>
  <c r="AE21" i="13"/>
  <c r="AL21" i="13"/>
  <c r="AD21" i="13"/>
  <c r="R344" i="13"/>
  <c r="Z344" i="13"/>
  <c r="AH344" i="13"/>
  <c r="AP344" i="13"/>
  <c r="T344" i="13"/>
  <c r="AB344" i="13"/>
  <c r="AJ344" i="13"/>
  <c r="AR344" i="13"/>
  <c r="U344" i="13"/>
  <c r="AC344" i="13"/>
  <c r="AK344" i="13"/>
  <c r="Q344" i="13"/>
  <c r="X344" i="13"/>
  <c r="AF344" i="13"/>
  <c r="AN344" i="13"/>
  <c r="Y344" i="13"/>
  <c r="AG344" i="13"/>
  <c r="AO344" i="13"/>
  <c r="W344" i="13"/>
  <c r="AM235" i="13"/>
  <c r="AE235" i="13"/>
  <c r="W235" i="13"/>
  <c r="AL235" i="13"/>
  <c r="AD235" i="13"/>
  <c r="R128" i="13"/>
  <c r="AP128" i="13"/>
  <c r="AH128" i="13"/>
  <c r="Z128" i="13"/>
  <c r="T128" i="13"/>
  <c r="AQ128" i="13"/>
  <c r="AI128" i="13"/>
  <c r="AA128" i="13"/>
  <c r="S128" i="13"/>
  <c r="AO128" i="13"/>
  <c r="AG128" i="13"/>
  <c r="Y128" i="13"/>
  <c r="Q128" i="13"/>
  <c r="AN128" i="13"/>
  <c r="AF128" i="13"/>
  <c r="X128" i="13"/>
  <c r="AM128" i="13"/>
  <c r="AE128" i="13"/>
  <c r="W128" i="13"/>
  <c r="AL128" i="13"/>
  <c r="AD128" i="13"/>
  <c r="V128" i="13"/>
  <c r="AK128" i="13"/>
  <c r="AC128" i="13"/>
  <c r="U128" i="13"/>
  <c r="AR128" i="13"/>
  <c r="AJ128" i="13"/>
  <c r="AB128" i="13"/>
  <c r="T21" i="3"/>
  <c r="R21" i="3"/>
  <c r="S21" i="3"/>
  <c r="AP21" i="3"/>
  <c r="AI21" i="3"/>
  <c r="AQ21" i="3"/>
  <c r="AH21" i="3"/>
  <c r="AA21" i="3"/>
  <c r="Z21" i="3"/>
  <c r="AO21" i="3"/>
  <c r="AG21" i="3"/>
  <c r="Y21" i="3"/>
  <c r="AN21" i="3"/>
  <c r="AF21" i="3"/>
  <c r="X21" i="3"/>
  <c r="W21" i="3"/>
  <c r="AM21" i="3"/>
  <c r="AD21" i="3"/>
  <c r="Q21" i="3"/>
  <c r="AK21" i="3"/>
  <c r="AC21" i="3"/>
  <c r="U21" i="3"/>
  <c r="AE21" i="3"/>
  <c r="AL21" i="3"/>
  <c r="V21" i="3"/>
  <c r="AR21" i="3"/>
  <c r="AJ21" i="3"/>
  <c r="AB21" i="3"/>
  <c r="B344" i="13" l="1"/>
  <c r="B127" i="13"/>
  <c r="B21" i="13"/>
  <c r="B127" i="3"/>
  <c r="B235" i="3"/>
  <c r="B344" i="3"/>
  <c r="B449" i="3"/>
  <c r="Y95" i="2"/>
  <c r="M99" i="2" s="1"/>
  <c r="C344" i="9" s="1"/>
  <c r="F17" i="29"/>
  <c r="J17" i="29" s="1"/>
  <c r="F21" i="29"/>
  <c r="J21" i="29" s="1"/>
  <c r="F18" i="29"/>
  <c r="J18" i="29" s="1"/>
  <c r="F19" i="29"/>
  <c r="J19" i="29" s="1"/>
  <c r="F20" i="29"/>
  <c r="J20" i="29" s="1"/>
  <c r="Y160" i="2"/>
  <c r="F37" i="29"/>
  <c r="J37" i="29" s="1"/>
  <c r="F39" i="29"/>
  <c r="J39" i="29" s="1"/>
  <c r="F41" i="29"/>
  <c r="J41" i="29" s="1"/>
  <c r="F40" i="29"/>
  <c r="J40" i="29" s="1"/>
  <c r="C449" i="3"/>
  <c r="C344" i="3"/>
  <c r="C235" i="3"/>
  <c r="C127" i="3"/>
  <c r="C21" i="3"/>
  <c r="B41" i="3" s="1"/>
  <c r="B70" i="3" s="1"/>
  <c r="B344" i="9"/>
  <c r="B127" i="9"/>
  <c r="B449" i="9"/>
  <c r="B21" i="9"/>
  <c r="B235" i="9"/>
  <c r="Z469" i="3" l="1"/>
  <c r="Z498" i="3" s="1"/>
  <c r="F147" i="3"/>
  <c r="F176" i="3" s="1"/>
  <c r="M164" i="2"/>
  <c r="C21" i="13" s="1"/>
  <c r="X41" i="13" s="1"/>
  <c r="X70" i="13" s="1"/>
  <c r="N469" i="3"/>
  <c r="N498" i="3" s="1"/>
  <c r="Q364" i="9"/>
  <c r="Q393" i="9" s="1"/>
  <c r="C235" i="9"/>
  <c r="N255" i="9" s="1"/>
  <c r="N284" i="9" s="1"/>
  <c r="M255" i="3"/>
  <c r="M284" i="3" s="1"/>
  <c r="C21" i="9"/>
  <c r="N41" i="9" s="1"/>
  <c r="N70" i="9" s="1"/>
  <c r="R364" i="9"/>
  <c r="R393" i="9" s="1"/>
  <c r="C127" i="9"/>
  <c r="Z147" i="9" s="1"/>
  <c r="Z176" i="9" s="1"/>
  <c r="M364" i="9"/>
  <c r="M393" i="9" s="1"/>
  <c r="C344" i="13"/>
  <c r="B364" i="13" s="1"/>
  <c r="B393" i="13" s="1"/>
  <c r="J469" i="3"/>
  <c r="J498" i="3" s="1"/>
  <c r="I469" i="3"/>
  <c r="I498" i="3" s="1"/>
  <c r="AB469" i="3"/>
  <c r="AB498" i="3" s="1"/>
  <c r="C449" i="9"/>
  <c r="O469" i="9" s="1"/>
  <c r="O498" i="9" s="1"/>
  <c r="Y469" i="3"/>
  <c r="Y498" i="3" s="1"/>
  <c r="AC469" i="3"/>
  <c r="AC498" i="3" s="1"/>
  <c r="M469" i="3"/>
  <c r="M498" i="3" s="1"/>
  <c r="Q469" i="3"/>
  <c r="Q498" i="3" s="1"/>
  <c r="L469" i="3"/>
  <c r="L498" i="3" s="1"/>
  <c r="D469" i="3"/>
  <c r="D498" i="3" s="1"/>
  <c r="S469" i="3"/>
  <c r="S498" i="3" s="1"/>
  <c r="P469" i="3"/>
  <c r="P498" i="3" s="1"/>
  <c r="F469" i="3"/>
  <c r="F498" i="3" s="1"/>
  <c r="E469" i="3"/>
  <c r="E498" i="3" s="1"/>
  <c r="K469" i="3"/>
  <c r="K498" i="3" s="1"/>
  <c r="W469" i="3"/>
  <c r="W498" i="3" s="1"/>
  <c r="R469" i="3"/>
  <c r="R498" i="3" s="1"/>
  <c r="B469" i="3"/>
  <c r="B498" i="3" s="1"/>
  <c r="H469" i="3"/>
  <c r="H498" i="3" s="1"/>
  <c r="O469" i="3"/>
  <c r="O498" i="3" s="1"/>
  <c r="AC364" i="3"/>
  <c r="AC393" i="3" s="1"/>
  <c r="C364" i="9"/>
  <c r="C393" i="9" s="1"/>
  <c r="W364" i="9"/>
  <c r="W393" i="9" s="1"/>
  <c r="AA364" i="9"/>
  <c r="AA393" i="9" s="1"/>
  <c r="P364" i="9"/>
  <c r="P393" i="9" s="1"/>
  <c r="G364" i="9"/>
  <c r="G393" i="9" s="1"/>
  <c r="Z364" i="9"/>
  <c r="Z393" i="9" s="1"/>
  <c r="AB364" i="9"/>
  <c r="AB393" i="9" s="1"/>
  <c r="U469" i="3"/>
  <c r="U498" i="3" s="1"/>
  <c r="V469" i="3"/>
  <c r="V498" i="3" s="1"/>
  <c r="T469" i="3"/>
  <c r="T498" i="3" s="1"/>
  <c r="G469" i="3"/>
  <c r="G498" i="3" s="1"/>
  <c r="C469" i="3"/>
  <c r="C498" i="3" s="1"/>
  <c r="K41" i="3"/>
  <c r="K70" i="3" s="1"/>
  <c r="X469" i="3"/>
  <c r="X498" i="3" s="1"/>
  <c r="AA469" i="3"/>
  <c r="AA498" i="3" s="1"/>
  <c r="AC364" i="9"/>
  <c r="AC393" i="9" s="1"/>
  <c r="N364" i="9"/>
  <c r="N393" i="9" s="1"/>
  <c r="L364" i="9"/>
  <c r="L393" i="9" s="1"/>
  <c r="B364" i="9"/>
  <c r="B393" i="9" s="1"/>
  <c r="J364" i="9"/>
  <c r="J393" i="9" s="1"/>
  <c r="V364" i="9"/>
  <c r="V393" i="9" s="1"/>
  <c r="Y364" i="9"/>
  <c r="Y393" i="9" s="1"/>
  <c r="U364" i="9"/>
  <c r="U393" i="9" s="1"/>
  <c r="E364" i="9"/>
  <c r="E393" i="9" s="1"/>
  <c r="D364" i="9"/>
  <c r="D393" i="9" s="1"/>
  <c r="K364" i="9"/>
  <c r="K393" i="9" s="1"/>
  <c r="X364" i="9"/>
  <c r="X393" i="9" s="1"/>
  <c r="O364" i="9"/>
  <c r="O393" i="9" s="1"/>
  <c r="T364" i="9"/>
  <c r="T393" i="9" s="1"/>
  <c r="I364" i="9"/>
  <c r="I393" i="9" s="1"/>
  <c r="H364" i="9"/>
  <c r="H393" i="9" s="1"/>
  <c r="S364" i="9"/>
  <c r="S393" i="9" s="1"/>
  <c r="F364" i="9"/>
  <c r="F393" i="9" s="1"/>
  <c r="Z41" i="13"/>
  <c r="L41" i="13"/>
  <c r="H41" i="13"/>
  <c r="M41" i="13"/>
  <c r="J41" i="13"/>
  <c r="P41" i="13"/>
  <c r="I41" i="13"/>
  <c r="N41" i="3"/>
  <c r="N70" i="3" s="1"/>
  <c r="J41" i="3"/>
  <c r="J70" i="3" s="1"/>
  <c r="F41" i="3"/>
  <c r="F70" i="3" s="1"/>
  <c r="D147" i="3"/>
  <c r="D176" i="3" s="1"/>
  <c r="T255" i="3"/>
  <c r="T284" i="3" s="1"/>
  <c r="M41" i="3"/>
  <c r="M70" i="3" s="1"/>
  <c r="C41" i="3"/>
  <c r="C70" i="3" s="1"/>
  <c r="AA41" i="3"/>
  <c r="AA70" i="3" s="1"/>
  <c r="L147" i="3"/>
  <c r="L176" i="3" s="1"/>
  <c r="R255" i="3"/>
  <c r="R284" i="3" s="1"/>
  <c r="T147" i="3"/>
  <c r="T176" i="3" s="1"/>
  <c r="S147" i="3"/>
  <c r="S176" i="3" s="1"/>
  <c r="K147" i="3"/>
  <c r="K176" i="3" s="1"/>
  <c r="X147" i="3"/>
  <c r="X176" i="3" s="1"/>
  <c r="AC147" i="3"/>
  <c r="AC176" i="3" s="1"/>
  <c r="P147" i="3"/>
  <c r="P176" i="3" s="1"/>
  <c r="AA147" i="3"/>
  <c r="AA176" i="3" s="1"/>
  <c r="V147" i="3"/>
  <c r="V176" i="3" s="1"/>
  <c r="W147" i="3"/>
  <c r="W176" i="3" s="1"/>
  <c r="S255" i="3"/>
  <c r="S284" i="3" s="1"/>
  <c r="B147" i="3"/>
  <c r="C147" i="3"/>
  <c r="C176" i="3" s="1"/>
  <c r="I255" i="3"/>
  <c r="I284" i="3" s="1"/>
  <c r="J255" i="3"/>
  <c r="J284" i="3" s="1"/>
  <c r="L255" i="3"/>
  <c r="L284" i="3" s="1"/>
  <c r="O41" i="3"/>
  <c r="O70" i="3" s="1"/>
  <c r="N147" i="3"/>
  <c r="N176" i="3" s="1"/>
  <c r="M147" i="3"/>
  <c r="M176" i="3" s="1"/>
  <c r="R147" i="3"/>
  <c r="R176" i="3" s="1"/>
  <c r="E147" i="3"/>
  <c r="E176" i="3" s="1"/>
  <c r="C255" i="3"/>
  <c r="C284" i="3" s="1"/>
  <c r="C364" i="3"/>
  <c r="C393" i="3" s="1"/>
  <c r="K364" i="3"/>
  <c r="K393" i="3" s="1"/>
  <c r="T41" i="3"/>
  <c r="T70" i="3" s="1"/>
  <c r="L41" i="3"/>
  <c r="L70" i="3" s="1"/>
  <c r="Y41" i="3"/>
  <c r="Y70" i="3" s="1"/>
  <c r="V41" i="3"/>
  <c r="V70" i="3" s="1"/>
  <c r="AC41" i="3"/>
  <c r="AC70" i="3" s="1"/>
  <c r="AB41" i="3"/>
  <c r="AB70" i="3" s="1"/>
  <c r="R41" i="3"/>
  <c r="R70" i="3" s="1"/>
  <c r="Q41" i="3"/>
  <c r="Q70" i="3" s="1"/>
  <c r="O255" i="3"/>
  <c r="O284" i="3" s="1"/>
  <c r="Y147" i="3"/>
  <c r="Y176" i="3" s="1"/>
  <c r="Q147" i="3"/>
  <c r="Q176" i="3" s="1"/>
  <c r="U41" i="3"/>
  <c r="U70" i="3" s="1"/>
  <c r="W255" i="3"/>
  <c r="W284" i="3" s="1"/>
  <c r="U255" i="3"/>
  <c r="U284" i="3" s="1"/>
  <c r="J147" i="3"/>
  <c r="J176" i="3" s="1"/>
  <c r="G255" i="3"/>
  <c r="G284" i="3" s="1"/>
  <c r="B255" i="3"/>
  <c r="B284" i="3" s="1"/>
  <c r="D255" i="3"/>
  <c r="D284" i="3" s="1"/>
  <c r="Z147" i="3"/>
  <c r="Z176" i="3" s="1"/>
  <c r="S41" i="3"/>
  <c r="S70" i="3" s="1"/>
  <c r="Z41" i="3"/>
  <c r="Z70" i="3" s="1"/>
  <c r="AA255" i="3"/>
  <c r="AA284" i="3" s="1"/>
  <c r="H147" i="3"/>
  <c r="H176" i="3" s="1"/>
  <c r="Y255" i="3"/>
  <c r="Y284" i="3" s="1"/>
  <c r="AB147" i="3"/>
  <c r="AB176" i="3" s="1"/>
  <c r="I147" i="3"/>
  <c r="I176" i="3" s="1"/>
  <c r="Y364" i="3"/>
  <c r="Y393" i="3" s="1"/>
  <c r="N364" i="3"/>
  <c r="N393" i="3" s="1"/>
  <c r="P41" i="3"/>
  <c r="P70" i="3" s="1"/>
  <c r="X41" i="3"/>
  <c r="X70" i="3" s="1"/>
  <c r="E255" i="3"/>
  <c r="E284" i="3" s="1"/>
  <c r="K255" i="3"/>
  <c r="K284" i="3" s="1"/>
  <c r="I364" i="3"/>
  <c r="I393" i="3" s="1"/>
  <c r="E41" i="3"/>
  <c r="E70" i="3" s="1"/>
  <c r="X255" i="3"/>
  <c r="X284" i="3" s="1"/>
  <c r="I41" i="3"/>
  <c r="I70" i="3" s="1"/>
  <c r="G41" i="3"/>
  <c r="G70" i="3" s="1"/>
  <c r="Z255" i="3"/>
  <c r="Z284" i="3" s="1"/>
  <c r="G147" i="3"/>
  <c r="G176" i="3" s="1"/>
  <c r="Q255" i="3"/>
  <c r="Q284" i="3" s="1"/>
  <c r="O147" i="3"/>
  <c r="O176" i="3" s="1"/>
  <c r="H41" i="3"/>
  <c r="H70" i="3" s="1"/>
  <c r="AC255" i="3"/>
  <c r="AC284" i="3" s="1"/>
  <c r="AB255" i="3"/>
  <c r="AB284" i="3" s="1"/>
  <c r="U147" i="3"/>
  <c r="U176" i="3" s="1"/>
  <c r="W41" i="3"/>
  <c r="W70" i="3" s="1"/>
  <c r="D41" i="3"/>
  <c r="D70" i="3" s="1"/>
  <c r="H255" i="3"/>
  <c r="H284" i="3" s="1"/>
  <c r="P255" i="3"/>
  <c r="P284" i="3" s="1"/>
  <c r="AA364" i="3"/>
  <c r="AA393" i="3" s="1"/>
  <c r="X364" i="3"/>
  <c r="X393" i="3" s="1"/>
  <c r="M364" i="3"/>
  <c r="M393" i="3" s="1"/>
  <c r="S364" i="3"/>
  <c r="S393" i="3" s="1"/>
  <c r="F364" i="3"/>
  <c r="F393" i="3" s="1"/>
  <c r="R364" i="3"/>
  <c r="R393" i="3" s="1"/>
  <c r="V364" i="3"/>
  <c r="V393" i="3" s="1"/>
  <c r="L364" i="3"/>
  <c r="L393" i="3" s="1"/>
  <c r="Q364" i="3"/>
  <c r="Q393" i="3" s="1"/>
  <c r="Z364" i="3"/>
  <c r="Z393" i="3" s="1"/>
  <c r="H364" i="3"/>
  <c r="H393" i="3" s="1"/>
  <c r="E364" i="3"/>
  <c r="E393" i="3" s="1"/>
  <c r="AB364" i="3"/>
  <c r="AB393" i="3" s="1"/>
  <c r="N255" i="3"/>
  <c r="N284" i="3" s="1"/>
  <c r="P364" i="3"/>
  <c r="P393" i="3" s="1"/>
  <c r="V255" i="3"/>
  <c r="V284" i="3" s="1"/>
  <c r="F255" i="3"/>
  <c r="F284" i="3" s="1"/>
  <c r="U364" i="3"/>
  <c r="U393" i="3" s="1"/>
  <c r="W364" i="3"/>
  <c r="W393" i="3" s="1"/>
  <c r="T364" i="3"/>
  <c r="T393" i="3" s="1"/>
  <c r="G364" i="3"/>
  <c r="G393" i="3" s="1"/>
  <c r="J364" i="3"/>
  <c r="J393" i="3" s="1"/>
  <c r="B364" i="3"/>
  <c r="B393" i="3" s="1"/>
  <c r="O364" i="3"/>
  <c r="O393" i="3" s="1"/>
  <c r="D364" i="3"/>
  <c r="D393" i="3" s="1"/>
  <c r="F41" i="13" l="1"/>
  <c r="V41" i="13"/>
  <c r="B41" i="13"/>
  <c r="B70" i="13" s="1"/>
  <c r="C41" i="13"/>
  <c r="C70" i="13" s="1"/>
  <c r="S41" i="13"/>
  <c r="S70" i="13" s="1"/>
  <c r="AB41" i="13"/>
  <c r="T41" i="13"/>
  <c r="T70" i="13" s="1"/>
  <c r="W41" i="13"/>
  <c r="W70" i="13" s="1"/>
  <c r="O41" i="13"/>
  <c r="Q41" i="13"/>
  <c r="Q70" i="13" s="1"/>
  <c r="N41" i="13"/>
  <c r="N70" i="13" s="1"/>
  <c r="Y41" i="13"/>
  <c r="Y70" i="13" s="1"/>
  <c r="R41" i="13"/>
  <c r="R70" i="13" s="1"/>
  <c r="C235" i="13"/>
  <c r="R255" i="13" s="1"/>
  <c r="R284" i="13" s="1"/>
  <c r="T41" i="9"/>
  <c r="T70" i="9" s="1"/>
  <c r="G41" i="9"/>
  <c r="G70" i="9" s="1"/>
  <c r="C41" i="9"/>
  <c r="C70" i="9" s="1"/>
  <c r="AA41" i="13"/>
  <c r="AA70" i="13" s="1"/>
  <c r="AC41" i="13"/>
  <c r="D41" i="13"/>
  <c r="D70" i="13" s="1"/>
  <c r="G41" i="13"/>
  <c r="G70" i="13" s="1"/>
  <c r="K41" i="13"/>
  <c r="K70" i="13" s="1"/>
  <c r="E41" i="13"/>
  <c r="E70" i="13" s="1"/>
  <c r="H364" i="13"/>
  <c r="H393" i="13" s="1"/>
  <c r="U41" i="13"/>
  <c r="U70" i="13" s="1"/>
  <c r="S41" i="9"/>
  <c r="S70" i="9" s="1"/>
  <c r="L41" i="9"/>
  <c r="L70" i="9" s="1"/>
  <c r="H41" i="9"/>
  <c r="H70" i="9" s="1"/>
  <c r="AB41" i="9"/>
  <c r="AB70" i="9" s="1"/>
  <c r="I41" i="9"/>
  <c r="I70" i="9" s="1"/>
  <c r="X41" i="9"/>
  <c r="X70" i="9" s="1"/>
  <c r="Y41" i="9"/>
  <c r="Y70" i="9" s="1"/>
  <c r="Z41" i="9"/>
  <c r="Z70" i="9" s="1"/>
  <c r="AC41" i="9"/>
  <c r="AC70" i="9" s="1"/>
  <c r="O41" i="9"/>
  <c r="O70" i="9" s="1"/>
  <c r="F41" i="9"/>
  <c r="F70" i="9" s="1"/>
  <c r="D41" i="9"/>
  <c r="D70" i="9" s="1"/>
  <c r="B41" i="9"/>
  <c r="B70" i="9" s="1"/>
  <c r="Q41" i="9"/>
  <c r="Q70" i="9" s="1"/>
  <c r="AA41" i="9"/>
  <c r="AA70" i="9" s="1"/>
  <c r="K41" i="9"/>
  <c r="K70" i="9" s="1"/>
  <c r="U41" i="9"/>
  <c r="U70" i="9" s="1"/>
  <c r="E41" i="9"/>
  <c r="E70" i="9" s="1"/>
  <c r="V41" i="9"/>
  <c r="V70" i="9" s="1"/>
  <c r="O147" i="9"/>
  <c r="O176" i="9" s="1"/>
  <c r="C127" i="13"/>
  <c r="M41" i="9"/>
  <c r="M70" i="9" s="1"/>
  <c r="J41" i="9"/>
  <c r="J70" i="9" s="1"/>
  <c r="W41" i="9"/>
  <c r="W70" i="9" s="1"/>
  <c r="R41" i="9"/>
  <c r="R70" i="9" s="1"/>
  <c r="P41" i="9"/>
  <c r="P70" i="9" s="1"/>
  <c r="Y255" i="9"/>
  <c r="Y284" i="9" s="1"/>
  <c r="Z255" i="9"/>
  <c r="Z284" i="9" s="1"/>
  <c r="V255" i="9"/>
  <c r="V284" i="9" s="1"/>
  <c r="T255" i="9"/>
  <c r="T284" i="9" s="1"/>
  <c r="M255" i="9"/>
  <c r="M284" i="9" s="1"/>
  <c r="R255" i="9"/>
  <c r="R284" i="9" s="1"/>
  <c r="U469" i="9"/>
  <c r="U498" i="9" s="1"/>
  <c r="H255" i="9"/>
  <c r="H284" i="9" s="1"/>
  <c r="K255" i="9"/>
  <c r="K284" i="9" s="1"/>
  <c r="S255" i="9"/>
  <c r="S284" i="9" s="1"/>
  <c r="P255" i="9"/>
  <c r="P284" i="9" s="1"/>
  <c r="B255" i="9"/>
  <c r="B284" i="9" s="1"/>
  <c r="W255" i="9"/>
  <c r="W284" i="9" s="1"/>
  <c r="AA255" i="9"/>
  <c r="AA284" i="9" s="1"/>
  <c r="E255" i="9"/>
  <c r="E284" i="9" s="1"/>
  <c r="N147" i="9"/>
  <c r="N176" i="9" s="1"/>
  <c r="I255" i="9"/>
  <c r="I284" i="9" s="1"/>
  <c r="U255" i="9"/>
  <c r="U284" i="9" s="1"/>
  <c r="D255" i="9"/>
  <c r="D284" i="9" s="1"/>
  <c r="Q255" i="9"/>
  <c r="Q284" i="9" s="1"/>
  <c r="AB255" i="9"/>
  <c r="AB284" i="9" s="1"/>
  <c r="X255" i="9"/>
  <c r="X284" i="9" s="1"/>
  <c r="AC255" i="9"/>
  <c r="AC284" i="9" s="1"/>
  <c r="W147" i="9"/>
  <c r="W176" i="9" s="1"/>
  <c r="C255" i="9"/>
  <c r="C284" i="9" s="1"/>
  <c r="G255" i="9"/>
  <c r="G284" i="9" s="1"/>
  <c r="L255" i="9"/>
  <c r="L284" i="9" s="1"/>
  <c r="J255" i="9"/>
  <c r="J284" i="9" s="1"/>
  <c r="O255" i="9"/>
  <c r="O284" i="9" s="1"/>
  <c r="F255" i="9"/>
  <c r="F284" i="9" s="1"/>
  <c r="E147" i="9"/>
  <c r="E176" i="9" s="1"/>
  <c r="X255" i="13"/>
  <c r="X284" i="13" s="1"/>
  <c r="C255" i="13"/>
  <c r="C284" i="13" s="1"/>
  <c r="D255" i="13"/>
  <c r="D284" i="13" s="1"/>
  <c r="B255" i="13"/>
  <c r="B284" i="13" s="1"/>
  <c r="J147" i="9"/>
  <c r="J176" i="9" s="1"/>
  <c r="C147" i="9"/>
  <c r="C176" i="9" s="1"/>
  <c r="S147" i="9"/>
  <c r="S176" i="9" s="1"/>
  <c r="I147" i="9"/>
  <c r="I176" i="9" s="1"/>
  <c r="M469" i="9"/>
  <c r="M498" i="9" s="1"/>
  <c r="R147" i="9"/>
  <c r="R176" i="9" s="1"/>
  <c r="K147" i="9"/>
  <c r="K176" i="9" s="1"/>
  <c r="D469" i="9"/>
  <c r="D498" i="9" s="1"/>
  <c r="D147" i="9"/>
  <c r="D176" i="9" s="1"/>
  <c r="G147" i="9"/>
  <c r="G176" i="9" s="1"/>
  <c r="F147" i="9"/>
  <c r="F176" i="9" s="1"/>
  <c r="P147" i="9"/>
  <c r="P176" i="9" s="1"/>
  <c r="AB147" i="9"/>
  <c r="AB176" i="9" s="1"/>
  <c r="M147" i="9"/>
  <c r="M176" i="9" s="1"/>
  <c r="W469" i="9"/>
  <c r="W498" i="9" s="1"/>
  <c r="H147" i="9"/>
  <c r="H176" i="9" s="1"/>
  <c r="Y147" i="9"/>
  <c r="Y176" i="9" s="1"/>
  <c r="U147" i="9"/>
  <c r="U176" i="9" s="1"/>
  <c r="T147" i="9"/>
  <c r="T176" i="9" s="1"/>
  <c r="AC469" i="9"/>
  <c r="AC498" i="9" s="1"/>
  <c r="J469" i="9"/>
  <c r="J498" i="9" s="1"/>
  <c r="P469" i="9"/>
  <c r="P498" i="9" s="1"/>
  <c r="Q469" i="9"/>
  <c r="Q498" i="9" s="1"/>
  <c r="B147" i="9"/>
  <c r="B176" i="9" s="1"/>
  <c r="V147" i="9"/>
  <c r="V176" i="9" s="1"/>
  <c r="AA147" i="9"/>
  <c r="AA176" i="9" s="1"/>
  <c r="Q147" i="9"/>
  <c r="Q176" i="9" s="1"/>
  <c r="AC147" i="9"/>
  <c r="AC176" i="9" s="1"/>
  <c r="X147" i="9"/>
  <c r="X176" i="9" s="1"/>
  <c r="L147" i="9"/>
  <c r="L176" i="9" s="1"/>
  <c r="X364" i="13"/>
  <c r="X393" i="13" s="1"/>
  <c r="D364" i="13"/>
  <c r="D393" i="13" s="1"/>
  <c r="N364" i="13"/>
  <c r="N393" i="13" s="1"/>
  <c r="AA469" i="9"/>
  <c r="AA498" i="9" s="1"/>
  <c r="Y469" i="9"/>
  <c r="Y498" i="9" s="1"/>
  <c r="H469" i="9"/>
  <c r="H498" i="9" s="1"/>
  <c r="S469" i="9"/>
  <c r="S498" i="9" s="1"/>
  <c r="L364" i="13"/>
  <c r="L393" i="13" s="1"/>
  <c r="K364" i="13"/>
  <c r="K393" i="13" s="1"/>
  <c r="AB364" i="13"/>
  <c r="AB393" i="13" s="1"/>
  <c r="B469" i="9"/>
  <c r="B498" i="9" s="1"/>
  <c r="X469" i="9"/>
  <c r="X498" i="9" s="1"/>
  <c r="L469" i="9"/>
  <c r="L498" i="9" s="1"/>
  <c r="P364" i="13"/>
  <c r="P393" i="13" s="1"/>
  <c r="T364" i="13"/>
  <c r="T393" i="13" s="1"/>
  <c r="V469" i="9"/>
  <c r="V498" i="9" s="1"/>
  <c r="C469" i="9"/>
  <c r="C498" i="9" s="1"/>
  <c r="I469" i="9"/>
  <c r="I498" i="9" s="1"/>
  <c r="AA364" i="13"/>
  <c r="AA393" i="13" s="1"/>
  <c r="G364" i="13"/>
  <c r="G393" i="13" s="1"/>
  <c r="S364" i="13"/>
  <c r="S393" i="13" s="1"/>
  <c r="K469" i="9"/>
  <c r="K498" i="9" s="1"/>
  <c r="R469" i="9"/>
  <c r="R498" i="9" s="1"/>
  <c r="U364" i="13"/>
  <c r="U393" i="13" s="1"/>
  <c r="Y364" i="13"/>
  <c r="Y393" i="13" s="1"/>
  <c r="AB469" i="9"/>
  <c r="AB498" i="9" s="1"/>
  <c r="J364" i="13"/>
  <c r="J393" i="13" s="1"/>
  <c r="V364" i="13"/>
  <c r="V393" i="13" s="1"/>
  <c r="C364" i="13"/>
  <c r="C393" i="13" s="1"/>
  <c r="W364" i="13"/>
  <c r="W393" i="13" s="1"/>
  <c r="AC364" i="13"/>
  <c r="AC393" i="13" s="1"/>
  <c r="E469" i="9"/>
  <c r="E498" i="9" s="1"/>
  <c r="N469" i="9"/>
  <c r="N498" i="9" s="1"/>
  <c r="T469" i="9"/>
  <c r="T498" i="9" s="1"/>
  <c r="I364" i="13"/>
  <c r="I393" i="13" s="1"/>
  <c r="Z469" i="9"/>
  <c r="Z498" i="9" s="1"/>
  <c r="Q364" i="13"/>
  <c r="Q393" i="13" s="1"/>
  <c r="M364" i="13"/>
  <c r="M393" i="13" s="1"/>
  <c r="F364" i="13"/>
  <c r="F393" i="13" s="1"/>
  <c r="O364" i="13"/>
  <c r="O393" i="13" s="1"/>
  <c r="Z364" i="13"/>
  <c r="Z393" i="13" s="1"/>
  <c r="R364" i="13"/>
  <c r="R393" i="13" s="1"/>
  <c r="E364" i="13"/>
  <c r="E393" i="13" s="1"/>
  <c r="F469" i="9"/>
  <c r="F498" i="9" s="1"/>
  <c r="G469" i="9"/>
  <c r="G498" i="9" s="1"/>
  <c r="AC70" i="13"/>
  <c r="M70" i="13"/>
  <c r="V70" i="13"/>
  <c r="I70" i="13"/>
  <c r="H70" i="13"/>
  <c r="P70" i="13"/>
  <c r="J70" i="13"/>
  <c r="O70" i="13"/>
  <c r="AB70" i="13"/>
  <c r="L70" i="13"/>
  <c r="F70" i="13"/>
  <c r="Z70" i="13"/>
  <c r="B176" i="3"/>
  <c r="M128" i="2"/>
  <c r="M116" i="2"/>
  <c r="M104" i="2"/>
  <c r="L104" i="2"/>
  <c r="L92" i="2"/>
  <c r="J255" i="13" l="1"/>
  <c r="J284" i="13" s="1"/>
  <c r="P255" i="13"/>
  <c r="P284" i="13" s="1"/>
  <c r="AC255" i="13"/>
  <c r="AC284" i="13" s="1"/>
  <c r="T255" i="13"/>
  <c r="T284" i="13" s="1"/>
  <c r="I255" i="13"/>
  <c r="I284" i="13" s="1"/>
  <c r="V255" i="13"/>
  <c r="V284" i="13" s="1"/>
  <c r="F255" i="13"/>
  <c r="F284" i="13" s="1"/>
  <c r="E255" i="13"/>
  <c r="E284" i="13" s="1"/>
  <c r="K255" i="13"/>
  <c r="K284" i="13" s="1"/>
  <c r="S255" i="13"/>
  <c r="S284" i="13" s="1"/>
  <c r="L255" i="13"/>
  <c r="L284" i="13" s="1"/>
  <c r="Y255" i="13"/>
  <c r="Y284" i="13" s="1"/>
  <c r="AB255" i="13"/>
  <c r="AB284" i="13" s="1"/>
  <c r="AA255" i="13"/>
  <c r="AA284" i="13" s="1"/>
  <c r="U255" i="13"/>
  <c r="U284" i="13" s="1"/>
  <c r="H255" i="13"/>
  <c r="H284" i="13" s="1"/>
  <c r="W255" i="13"/>
  <c r="W284" i="13" s="1"/>
  <c r="Q255" i="13"/>
  <c r="Q284" i="13" s="1"/>
  <c r="M255" i="13"/>
  <c r="M284" i="13" s="1"/>
  <c r="G255" i="13"/>
  <c r="G284" i="13" s="1"/>
  <c r="N255" i="13"/>
  <c r="N284" i="13" s="1"/>
  <c r="Z255" i="13"/>
  <c r="Z284" i="13" s="1"/>
  <c r="O255" i="13"/>
  <c r="O284" i="13" s="1"/>
  <c r="T147" i="13"/>
  <c r="T176" i="13" s="1"/>
  <c r="P147" i="13"/>
  <c r="P176" i="13" s="1"/>
  <c r="M147" i="13"/>
  <c r="M176" i="13" s="1"/>
  <c r="G147" i="13"/>
  <c r="G176" i="13" s="1"/>
  <c r="O147" i="13"/>
  <c r="O176" i="13" s="1"/>
  <c r="U147" i="13"/>
  <c r="U176" i="13" s="1"/>
  <c r="H147" i="13"/>
  <c r="H176" i="13" s="1"/>
  <c r="E147" i="13"/>
  <c r="E176" i="13" s="1"/>
  <c r="Y147" i="13"/>
  <c r="Y176" i="13" s="1"/>
  <c r="X147" i="13"/>
  <c r="X176" i="13" s="1"/>
  <c r="D147" i="13"/>
  <c r="D176" i="13" s="1"/>
  <c r="J147" i="13"/>
  <c r="J176" i="13" s="1"/>
  <c r="N147" i="13"/>
  <c r="N176" i="13" s="1"/>
  <c r="R147" i="13"/>
  <c r="R176" i="13" s="1"/>
  <c r="K147" i="13"/>
  <c r="K176" i="13" s="1"/>
  <c r="F147" i="13"/>
  <c r="F176" i="13" s="1"/>
  <c r="AC147" i="13"/>
  <c r="AC176" i="13" s="1"/>
  <c r="Q147" i="13"/>
  <c r="Q176" i="13" s="1"/>
  <c r="V147" i="13"/>
  <c r="V176" i="13" s="1"/>
  <c r="I147" i="13"/>
  <c r="I176" i="13" s="1"/>
  <c r="C147" i="13"/>
  <c r="C176" i="13" s="1"/>
  <c r="Z147" i="13"/>
  <c r="Z176" i="13" s="1"/>
  <c r="AB147" i="13"/>
  <c r="AB176" i="13" s="1"/>
  <c r="W147" i="13"/>
  <c r="W176" i="13" s="1"/>
  <c r="L147" i="13"/>
  <c r="L176" i="13" s="1"/>
  <c r="B147" i="13"/>
  <c r="B176" i="13" s="1"/>
  <c r="AA147" i="13"/>
  <c r="AA176" i="13" s="1"/>
  <c r="S147" i="13"/>
  <c r="S176" i="13" s="1"/>
  <c r="C194" i="2"/>
  <c r="C337" i="32" s="1"/>
  <c r="B194" i="2"/>
  <c r="B337" i="32" s="1"/>
  <c r="C181" i="2"/>
  <c r="C228" i="32" s="1"/>
  <c r="B181" i="2"/>
  <c r="B228" i="32" s="1"/>
  <c r="C169" i="2"/>
  <c r="C120" i="32" s="1"/>
  <c r="B169" i="2"/>
  <c r="B120" i="32" s="1"/>
  <c r="C157" i="2"/>
  <c r="C14" i="32" s="1"/>
  <c r="B157" i="2"/>
  <c r="B14" i="32" s="1"/>
  <c r="B140" i="32" l="1"/>
  <c r="L140" i="32"/>
  <c r="V140" i="32"/>
  <c r="W140" i="32"/>
  <c r="N140" i="32"/>
  <c r="F140" i="32"/>
  <c r="D140" i="32"/>
  <c r="O140" i="32"/>
  <c r="Y140" i="32"/>
  <c r="R140" i="32"/>
  <c r="H140" i="32"/>
  <c r="P140" i="32"/>
  <c r="J140" i="32"/>
  <c r="AB140" i="32"/>
  <c r="AC140" i="32"/>
  <c r="E140" i="32"/>
  <c r="Z140" i="32"/>
  <c r="U140" i="32"/>
  <c r="C140" i="32"/>
  <c r="K140" i="32"/>
  <c r="M140" i="32"/>
  <c r="AA140" i="32"/>
  <c r="S140" i="32"/>
  <c r="X140" i="32"/>
  <c r="T140" i="32"/>
  <c r="G140" i="32"/>
  <c r="Q140" i="32"/>
  <c r="I140" i="32"/>
  <c r="P248" i="32"/>
  <c r="K248" i="32"/>
  <c r="H248" i="32"/>
  <c r="B248" i="32"/>
  <c r="R248" i="32"/>
  <c r="AB248" i="32"/>
  <c r="N248" i="32"/>
  <c r="S248" i="32"/>
  <c r="T248" i="32"/>
  <c r="AA248" i="32"/>
  <c r="Z248" i="32"/>
  <c r="L248" i="32"/>
  <c r="G248" i="32"/>
  <c r="X248" i="32"/>
  <c r="D248" i="32"/>
  <c r="U248" i="32"/>
  <c r="Y248" i="32"/>
  <c r="AC248" i="32"/>
  <c r="F248" i="32"/>
  <c r="C248" i="32"/>
  <c r="W248" i="32"/>
  <c r="M248" i="32"/>
  <c r="J248" i="32"/>
  <c r="I248" i="32"/>
  <c r="Q248" i="32"/>
  <c r="E248" i="32"/>
  <c r="O248" i="32"/>
  <c r="V248" i="32"/>
  <c r="U357" i="32"/>
  <c r="AB357" i="32"/>
  <c r="M357" i="32"/>
  <c r="F357" i="32"/>
  <c r="E357" i="32"/>
  <c r="B357" i="32"/>
  <c r="Y357" i="32"/>
  <c r="R357" i="32"/>
  <c r="AC357" i="32"/>
  <c r="H357" i="32"/>
  <c r="Q357" i="32"/>
  <c r="N357" i="32"/>
  <c r="X357" i="32"/>
  <c r="Z357" i="32"/>
  <c r="P357" i="32"/>
  <c r="D357" i="32"/>
  <c r="J357" i="32"/>
  <c r="V357" i="32"/>
  <c r="C357" i="32"/>
  <c r="O357" i="32"/>
  <c r="W357" i="32"/>
  <c r="AA357" i="32"/>
  <c r="I357" i="32"/>
  <c r="L357" i="32"/>
  <c r="G357" i="32"/>
  <c r="S357" i="32"/>
  <c r="T357" i="32"/>
  <c r="K357" i="32"/>
  <c r="S34" i="32"/>
  <c r="T34" i="32"/>
  <c r="Q34" i="32"/>
  <c r="V34" i="32"/>
  <c r="X34" i="32"/>
  <c r="AB34" i="32"/>
  <c r="H34" i="32"/>
  <c r="AA34" i="32"/>
  <c r="L34" i="32"/>
  <c r="P34" i="32"/>
  <c r="N34" i="32"/>
  <c r="M34" i="32"/>
  <c r="I34" i="32"/>
  <c r="F34" i="32"/>
  <c r="D34" i="32"/>
  <c r="K34" i="32"/>
  <c r="Y34" i="32"/>
  <c r="W34" i="32"/>
  <c r="U34" i="32"/>
  <c r="J34" i="32"/>
  <c r="E34" i="32"/>
  <c r="O34" i="32"/>
  <c r="B34" i="32"/>
  <c r="Z34" i="32"/>
  <c r="C34" i="32"/>
  <c r="AC34" i="32"/>
  <c r="G34" i="32"/>
  <c r="R34" i="32"/>
  <c r="M194" i="2"/>
  <c r="M182" i="2"/>
  <c r="A324" i="26"/>
  <c r="A215" i="26"/>
  <c r="A107" i="26"/>
  <c r="A1" i="26"/>
  <c r="A324" i="25"/>
  <c r="A215" i="25"/>
  <c r="A107" i="25"/>
  <c r="A1" i="25"/>
  <c r="A324" i="24"/>
  <c r="A215" i="24"/>
  <c r="A107" i="24"/>
  <c r="A1" i="24"/>
  <c r="A324" i="13"/>
  <c r="A215" i="13"/>
  <c r="A107" i="13"/>
  <c r="A1" i="13"/>
  <c r="A429" i="23"/>
  <c r="A324" i="23"/>
  <c r="A215" i="23"/>
  <c r="A107" i="23"/>
  <c r="A1" i="23"/>
  <c r="A429" i="22"/>
  <c r="A324" i="22"/>
  <c r="A215" i="22"/>
  <c r="A107" i="22"/>
  <c r="A1" i="22"/>
  <c r="A429" i="21"/>
  <c r="A324" i="21"/>
  <c r="A215" i="21"/>
  <c r="A107" i="21"/>
  <c r="A1" i="21"/>
  <c r="A429" i="9"/>
  <c r="A324" i="9"/>
  <c r="A215" i="9"/>
  <c r="A107" i="9"/>
  <c r="A1" i="9"/>
  <c r="A429" i="20"/>
  <c r="A324" i="20"/>
  <c r="A215" i="20"/>
  <c r="A107" i="20"/>
  <c r="A1" i="20"/>
  <c r="A429" i="19"/>
  <c r="A324" i="19"/>
  <c r="A215" i="19"/>
  <c r="A107" i="19"/>
  <c r="A1" i="19"/>
  <c r="P26" i="19"/>
  <c r="O26" i="19"/>
  <c r="L26" i="19"/>
  <c r="C26" i="19"/>
  <c r="B26" i="19"/>
  <c r="P454" i="3"/>
  <c r="O454" i="3"/>
  <c r="L454" i="3"/>
  <c r="C454" i="3"/>
  <c r="B454" i="3"/>
  <c r="P349" i="3"/>
  <c r="O349" i="3"/>
  <c r="L349" i="3"/>
  <c r="C349" i="3"/>
  <c r="B349" i="3"/>
  <c r="P240" i="3"/>
  <c r="O240" i="3"/>
  <c r="L240" i="3"/>
  <c r="C240" i="3"/>
  <c r="B240" i="3"/>
  <c r="P132" i="3"/>
  <c r="O132" i="3"/>
  <c r="L132" i="3"/>
  <c r="C132" i="3"/>
  <c r="B132" i="3"/>
  <c r="A429" i="3"/>
  <c r="A324" i="3"/>
  <c r="A215" i="3"/>
  <c r="A107" i="3"/>
  <c r="A1" i="3"/>
  <c r="L388" i="32" l="1"/>
  <c r="L394" i="32" s="1"/>
  <c r="L376" i="32"/>
  <c r="L382" i="32" s="1"/>
  <c r="L400" i="32"/>
  <c r="D388" i="32"/>
  <c r="D394" i="32" s="1"/>
  <c r="D400" i="32"/>
  <c r="D376" i="32"/>
  <c r="D382" i="32" s="1"/>
  <c r="R400" i="32"/>
  <c r="R388" i="32"/>
  <c r="R394" i="32" s="1"/>
  <c r="R376" i="32"/>
  <c r="R382" i="32" s="1"/>
  <c r="V267" i="32"/>
  <c r="V273" i="32" s="1"/>
  <c r="V279" i="32"/>
  <c r="V285" i="32" s="1"/>
  <c r="V291" i="32"/>
  <c r="C291" i="32"/>
  <c r="C279" i="32"/>
  <c r="C285" i="32" s="1"/>
  <c r="C267" i="32"/>
  <c r="C273" i="32" s="1"/>
  <c r="L267" i="32"/>
  <c r="L273" i="32" s="1"/>
  <c r="L291" i="32"/>
  <c r="L279" i="32"/>
  <c r="L285" i="32" s="1"/>
  <c r="B279" i="32"/>
  <c r="B285" i="32" s="1"/>
  <c r="B267" i="32"/>
  <c r="B273" i="32" s="1"/>
  <c r="B291" i="32"/>
  <c r="L9" i="33" s="1"/>
  <c r="X171" i="32"/>
  <c r="X177" i="32" s="1"/>
  <c r="X183" i="32"/>
  <c r="X159" i="32"/>
  <c r="X165" i="32" s="1"/>
  <c r="E183" i="32"/>
  <c r="E171" i="32"/>
  <c r="E177" i="32" s="1"/>
  <c r="E159" i="32"/>
  <c r="E165" i="32" s="1"/>
  <c r="O171" i="32"/>
  <c r="O177" i="32" s="1"/>
  <c r="O183" i="32"/>
  <c r="O159" i="32"/>
  <c r="O165" i="32" s="1"/>
  <c r="I400" i="32"/>
  <c r="I388" i="32"/>
  <c r="I394" i="32" s="1"/>
  <c r="I376" i="32"/>
  <c r="I382" i="32" s="1"/>
  <c r="P388" i="32"/>
  <c r="P394" i="32" s="1"/>
  <c r="P376" i="32"/>
  <c r="P382" i="32" s="1"/>
  <c r="P400" i="32"/>
  <c r="Y376" i="32"/>
  <c r="Y382" i="32" s="1"/>
  <c r="Y388" i="32"/>
  <c r="Y394" i="32" s="1"/>
  <c r="Y400" i="32"/>
  <c r="O279" i="32"/>
  <c r="O285" i="32" s="1"/>
  <c r="O267" i="32"/>
  <c r="O273" i="32" s="1"/>
  <c r="O291" i="32"/>
  <c r="F267" i="32"/>
  <c r="F273" i="32" s="1"/>
  <c r="F279" i="32"/>
  <c r="F285" i="32" s="1"/>
  <c r="F291" i="32"/>
  <c r="Z267" i="32"/>
  <c r="Z273" i="32" s="1"/>
  <c r="Z279" i="32"/>
  <c r="Z285" i="32" s="1"/>
  <c r="Z291" i="32"/>
  <c r="H291" i="32"/>
  <c r="H267" i="32"/>
  <c r="H273" i="32" s="1"/>
  <c r="H279" i="32"/>
  <c r="H285" i="32" s="1"/>
  <c r="S183" i="32"/>
  <c r="S171" i="32"/>
  <c r="S177" i="32" s="1"/>
  <c r="S159" i="32"/>
  <c r="S165" i="32" s="1"/>
  <c r="AC159" i="32"/>
  <c r="AC165" i="32" s="1"/>
  <c r="AC183" i="32"/>
  <c r="DM9" i="33" s="1"/>
  <c r="AC171" i="32"/>
  <c r="AC177" i="32" s="1"/>
  <c r="D159" i="32"/>
  <c r="D165" i="32" s="1"/>
  <c r="D183" i="32"/>
  <c r="D171" i="32"/>
  <c r="D177" i="32" s="1"/>
  <c r="AA400" i="32"/>
  <c r="AA376" i="32"/>
  <c r="AA382" i="32" s="1"/>
  <c r="AA388" i="32"/>
  <c r="AA394" i="32" s="1"/>
  <c r="Z400" i="32"/>
  <c r="Z376" i="32"/>
  <c r="Z382" i="32" s="1"/>
  <c r="Z388" i="32"/>
  <c r="Z394" i="32" s="1"/>
  <c r="B400" i="32"/>
  <c r="Q9" i="33" s="1"/>
  <c r="B376" i="32"/>
  <c r="B382" i="32" s="1"/>
  <c r="B388" i="32"/>
  <c r="B394" i="32" s="1"/>
  <c r="E279" i="32"/>
  <c r="E285" i="32" s="1"/>
  <c r="E291" i="32"/>
  <c r="E267" i="32"/>
  <c r="E273" i="32" s="1"/>
  <c r="AC267" i="32"/>
  <c r="AC273" i="32" s="1"/>
  <c r="AC291" i="32"/>
  <c r="DR9" i="33" s="1"/>
  <c r="AC279" i="32"/>
  <c r="AC285" i="32" s="1"/>
  <c r="AA291" i="32"/>
  <c r="AA279" i="32"/>
  <c r="AA285" i="32" s="1"/>
  <c r="AA267" i="32"/>
  <c r="AA273" i="32" s="1"/>
  <c r="K279" i="32"/>
  <c r="K285" i="32" s="1"/>
  <c r="K291" i="32"/>
  <c r="K267" i="32"/>
  <c r="K273" i="32" s="1"/>
  <c r="AA183" i="32"/>
  <c r="AA159" i="32"/>
  <c r="AA165" i="32" s="1"/>
  <c r="AA171" i="32"/>
  <c r="AA177" i="32" s="1"/>
  <c r="AB159" i="32"/>
  <c r="AB165" i="32" s="1"/>
  <c r="AB183" i="32"/>
  <c r="AB171" i="32"/>
  <c r="AB177" i="32" s="1"/>
  <c r="F183" i="32"/>
  <c r="F159" i="32"/>
  <c r="F165" i="32" s="1"/>
  <c r="F171" i="32"/>
  <c r="F177" i="32" s="1"/>
  <c r="W376" i="32"/>
  <c r="W382" i="32" s="1"/>
  <c r="W388" i="32"/>
  <c r="W394" i="32" s="1"/>
  <c r="W400" i="32"/>
  <c r="X388" i="32"/>
  <c r="X394" i="32" s="1"/>
  <c r="X376" i="32"/>
  <c r="X382" i="32" s="1"/>
  <c r="X400" i="32"/>
  <c r="E400" i="32"/>
  <c r="E376" i="32"/>
  <c r="E382" i="32" s="1"/>
  <c r="E388" i="32"/>
  <c r="E394" i="32" s="1"/>
  <c r="Q291" i="32"/>
  <c r="Q267" i="32"/>
  <c r="Q273" i="32" s="1"/>
  <c r="Q279" i="32"/>
  <c r="Q285" i="32" s="1"/>
  <c r="Y267" i="32"/>
  <c r="Y273" i="32" s="1"/>
  <c r="Y279" i="32"/>
  <c r="Y285" i="32" s="1"/>
  <c r="Y291" i="32"/>
  <c r="T279" i="32"/>
  <c r="T285" i="32" s="1"/>
  <c r="T291" i="32"/>
  <c r="T267" i="32"/>
  <c r="T273" i="32" s="1"/>
  <c r="P267" i="32"/>
  <c r="P273" i="32" s="1"/>
  <c r="P279" i="32"/>
  <c r="P285" i="32" s="1"/>
  <c r="P291" i="32"/>
  <c r="M183" i="32"/>
  <c r="BJ9" i="33" s="1"/>
  <c r="M171" i="32"/>
  <c r="M177" i="32" s="1"/>
  <c r="M159" i="32"/>
  <c r="M165" i="32" s="1"/>
  <c r="J171" i="32"/>
  <c r="J177" i="32" s="1"/>
  <c r="J183" i="32"/>
  <c r="J159" i="32"/>
  <c r="J165" i="32" s="1"/>
  <c r="N159" i="32"/>
  <c r="N165" i="32" s="1"/>
  <c r="N171" i="32"/>
  <c r="N177" i="32" s="1"/>
  <c r="N183" i="32"/>
  <c r="K376" i="32"/>
  <c r="K382" i="32" s="1"/>
  <c r="K400" i="32"/>
  <c r="K388" i="32"/>
  <c r="K394" i="32" s="1"/>
  <c r="O400" i="32"/>
  <c r="O388" i="32"/>
  <c r="O394" i="32" s="1"/>
  <c r="O376" i="32"/>
  <c r="O382" i="32" s="1"/>
  <c r="N376" i="32"/>
  <c r="N382" i="32" s="1"/>
  <c r="N388" i="32"/>
  <c r="N394" i="32" s="1"/>
  <c r="N400" i="32"/>
  <c r="F400" i="32"/>
  <c r="F376" i="32"/>
  <c r="F382" i="32" s="1"/>
  <c r="F388" i="32"/>
  <c r="F394" i="32" s="1"/>
  <c r="I267" i="32"/>
  <c r="I273" i="32" s="1"/>
  <c r="I291" i="32"/>
  <c r="I279" i="32"/>
  <c r="I285" i="32" s="1"/>
  <c r="U291" i="32"/>
  <c r="U267" i="32"/>
  <c r="U273" i="32" s="1"/>
  <c r="U279" i="32"/>
  <c r="U285" i="32" s="1"/>
  <c r="S279" i="32"/>
  <c r="S285" i="32" s="1"/>
  <c r="S291" i="32"/>
  <c r="S267" i="32"/>
  <c r="S273" i="32" s="1"/>
  <c r="I183" i="32"/>
  <c r="I171" i="32"/>
  <c r="I177" i="32" s="1"/>
  <c r="I159" i="32"/>
  <c r="I165" i="32" s="1"/>
  <c r="K183" i="32"/>
  <c r="K159" i="32"/>
  <c r="K165" i="32" s="1"/>
  <c r="K171" i="32"/>
  <c r="K177" i="32" s="1"/>
  <c r="P171" i="32"/>
  <c r="P177" i="32" s="1"/>
  <c r="P183" i="32"/>
  <c r="P159" i="32"/>
  <c r="P165" i="32" s="1"/>
  <c r="W171" i="32"/>
  <c r="W177" i="32" s="1"/>
  <c r="W183" i="32"/>
  <c r="W159" i="32"/>
  <c r="W165" i="32" s="1"/>
  <c r="T388" i="32"/>
  <c r="T394" i="32" s="1"/>
  <c r="T400" i="32"/>
  <c r="T376" i="32"/>
  <c r="T382" i="32" s="1"/>
  <c r="C400" i="32"/>
  <c r="C376" i="32"/>
  <c r="C382" i="32" s="1"/>
  <c r="C388" i="32"/>
  <c r="C394" i="32" s="1"/>
  <c r="Q376" i="32"/>
  <c r="Q382" i="32" s="1"/>
  <c r="Q400" i="32"/>
  <c r="Q388" i="32"/>
  <c r="Q394" i="32" s="1"/>
  <c r="M400" i="32"/>
  <c r="BT9" i="33" s="1"/>
  <c r="M388" i="32"/>
  <c r="M394" i="32" s="1"/>
  <c r="M376" i="32"/>
  <c r="M382" i="32" s="1"/>
  <c r="J291" i="32"/>
  <c r="J267" i="32"/>
  <c r="J273" i="32" s="1"/>
  <c r="J279" i="32"/>
  <c r="J285" i="32" s="1"/>
  <c r="D279" i="32"/>
  <c r="D285" i="32" s="1"/>
  <c r="D267" i="32"/>
  <c r="D273" i="32" s="1"/>
  <c r="D291" i="32"/>
  <c r="N291" i="32"/>
  <c r="N267" i="32"/>
  <c r="N273" i="32" s="1"/>
  <c r="N279" i="32"/>
  <c r="N285" i="32" s="1"/>
  <c r="Q171" i="32"/>
  <c r="Q177" i="32" s="1"/>
  <c r="Q159" i="32"/>
  <c r="Q165" i="32" s="1"/>
  <c r="Q183" i="32"/>
  <c r="C159" i="32"/>
  <c r="C165" i="32" s="1"/>
  <c r="C183" i="32"/>
  <c r="C171" i="32"/>
  <c r="C177" i="32" s="1"/>
  <c r="H183" i="32"/>
  <c r="H171" i="32"/>
  <c r="H177" i="32" s="1"/>
  <c r="H159" i="32"/>
  <c r="H165" i="32" s="1"/>
  <c r="V159" i="32"/>
  <c r="V165" i="32" s="1"/>
  <c r="V183" i="32"/>
  <c r="V171" i="32"/>
  <c r="V177" i="32" s="1"/>
  <c r="S388" i="32"/>
  <c r="S394" i="32" s="1"/>
  <c r="S400" i="32"/>
  <c r="S376" i="32"/>
  <c r="S382" i="32" s="1"/>
  <c r="V388" i="32"/>
  <c r="V394" i="32" s="1"/>
  <c r="V376" i="32"/>
  <c r="V382" i="32" s="1"/>
  <c r="V400" i="32"/>
  <c r="H400" i="32"/>
  <c r="H388" i="32"/>
  <c r="H394" i="32" s="1"/>
  <c r="H376" i="32"/>
  <c r="H382" i="32" s="1"/>
  <c r="AB376" i="32"/>
  <c r="AB382" i="32" s="1"/>
  <c r="AB388" i="32"/>
  <c r="AB394" i="32" s="1"/>
  <c r="AB400" i="32"/>
  <c r="M291" i="32"/>
  <c r="BO9" i="33" s="1"/>
  <c r="M279" i="32"/>
  <c r="M285" i="32" s="1"/>
  <c r="M267" i="32"/>
  <c r="M273" i="32" s="1"/>
  <c r="X279" i="32"/>
  <c r="X285" i="32" s="1"/>
  <c r="X267" i="32"/>
  <c r="X273" i="32" s="1"/>
  <c r="X291" i="32"/>
  <c r="AB291" i="32"/>
  <c r="AB279" i="32"/>
  <c r="AB285" i="32" s="1"/>
  <c r="AB267" i="32"/>
  <c r="AB273" i="32" s="1"/>
  <c r="G183" i="32"/>
  <c r="G159" i="32"/>
  <c r="G165" i="32" s="1"/>
  <c r="G171" i="32"/>
  <c r="G177" i="32" s="1"/>
  <c r="U159" i="32"/>
  <c r="U165" i="32" s="1"/>
  <c r="U183" i="32"/>
  <c r="U171" i="32"/>
  <c r="U177" i="32" s="1"/>
  <c r="R159" i="32"/>
  <c r="R165" i="32" s="1"/>
  <c r="R183" i="32"/>
  <c r="R171" i="32"/>
  <c r="R177" i="32" s="1"/>
  <c r="L159" i="32"/>
  <c r="L165" i="32" s="1"/>
  <c r="L183" i="32"/>
  <c r="L171" i="32"/>
  <c r="L177" i="32" s="1"/>
  <c r="G388" i="32"/>
  <c r="G394" i="32" s="1"/>
  <c r="G400" i="32"/>
  <c r="G376" i="32"/>
  <c r="G382" i="32" s="1"/>
  <c r="J376" i="32"/>
  <c r="J382" i="32" s="1"/>
  <c r="J400" i="32"/>
  <c r="J388" i="32"/>
  <c r="J394" i="32" s="1"/>
  <c r="AC388" i="32"/>
  <c r="AC394" i="32" s="1"/>
  <c r="AC400" i="32"/>
  <c r="DW9" i="33" s="1"/>
  <c r="AC376" i="32"/>
  <c r="AC382" i="32" s="1"/>
  <c r="U400" i="32"/>
  <c r="U376" i="32"/>
  <c r="U382" i="32" s="1"/>
  <c r="U388" i="32"/>
  <c r="U394" i="32" s="1"/>
  <c r="W279" i="32"/>
  <c r="W285" i="32" s="1"/>
  <c r="W267" i="32"/>
  <c r="W273" i="32" s="1"/>
  <c r="W291" i="32"/>
  <c r="G279" i="32"/>
  <c r="G285" i="32" s="1"/>
  <c r="G267" i="32"/>
  <c r="G273" i="32" s="1"/>
  <c r="G291" i="32"/>
  <c r="R279" i="32"/>
  <c r="R285" i="32" s="1"/>
  <c r="R267" i="32"/>
  <c r="R273" i="32" s="1"/>
  <c r="R291" i="32"/>
  <c r="T183" i="32"/>
  <c r="T159" i="32"/>
  <c r="T165" i="32" s="1"/>
  <c r="T171" i="32"/>
  <c r="T177" i="32" s="1"/>
  <c r="Z159" i="32"/>
  <c r="Z165" i="32" s="1"/>
  <c r="Z183" i="32"/>
  <c r="Z171" i="32"/>
  <c r="Z177" i="32" s="1"/>
  <c r="Y171" i="32"/>
  <c r="Y177" i="32" s="1"/>
  <c r="Y159" i="32"/>
  <c r="Y165" i="32" s="1"/>
  <c r="Y183" i="32"/>
  <c r="B183" i="32"/>
  <c r="G9" i="33" s="1"/>
  <c r="B171" i="32"/>
  <c r="B177" i="32" s="1"/>
  <c r="B159" i="32"/>
  <c r="B165" i="32" s="1"/>
  <c r="Y77" i="32"/>
  <c r="Y65" i="32"/>
  <c r="Y71" i="32" s="1"/>
  <c r="Y53" i="32"/>
  <c r="Y59" i="32" s="1"/>
  <c r="K65" i="32"/>
  <c r="K71" i="32" s="1"/>
  <c r="K77" i="32"/>
  <c r="K53" i="32"/>
  <c r="K59" i="32" s="1"/>
  <c r="B77" i="32"/>
  <c r="B9" i="33" s="1"/>
  <c r="B65" i="32"/>
  <c r="B71" i="32" s="1"/>
  <c r="B53" i="32"/>
  <c r="D77" i="32"/>
  <c r="D53" i="32"/>
  <c r="D59" i="32" s="1"/>
  <c r="D65" i="32"/>
  <c r="D71" i="32" s="1"/>
  <c r="H53" i="32"/>
  <c r="H59" i="32" s="1"/>
  <c r="H65" i="32"/>
  <c r="H71" i="32" s="1"/>
  <c r="H77" i="32"/>
  <c r="S77" i="32"/>
  <c r="S53" i="32"/>
  <c r="S59" i="32" s="1"/>
  <c r="S65" i="32"/>
  <c r="S71" i="32" s="1"/>
  <c r="Z65" i="32"/>
  <c r="Z71" i="32" s="1"/>
  <c r="Z77" i="32"/>
  <c r="Z53" i="32"/>
  <c r="Z59" i="32" s="1"/>
  <c r="O53" i="32"/>
  <c r="O59" i="32" s="1"/>
  <c r="O77" i="32"/>
  <c r="O65" i="32"/>
  <c r="O71" i="32" s="1"/>
  <c r="F53" i="32"/>
  <c r="F59" i="32" s="1"/>
  <c r="F65" i="32"/>
  <c r="F71" i="32" s="1"/>
  <c r="F77" i="32"/>
  <c r="AB65" i="32"/>
  <c r="AB71" i="32" s="1"/>
  <c r="AB53" i="32"/>
  <c r="AB59" i="32" s="1"/>
  <c r="AB77" i="32"/>
  <c r="L77" i="32"/>
  <c r="L65" i="32"/>
  <c r="L71" i="32" s="1"/>
  <c r="L53" i="32"/>
  <c r="L59" i="32" s="1"/>
  <c r="AA77" i="32"/>
  <c r="AA65" i="32"/>
  <c r="AA71" i="32" s="1"/>
  <c r="AA53" i="32"/>
  <c r="AA59" i="32" s="1"/>
  <c r="E77" i="32"/>
  <c r="E65" i="32"/>
  <c r="E71" i="32" s="1"/>
  <c r="E53" i="32"/>
  <c r="E59" i="32" s="1"/>
  <c r="I53" i="32"/>
  <c r="I59" i="32" s="1"/>
  <c r="I65" i="32"/>
  <c r="I71" i="32" s="1"/>
  <c r="I77" i="32"/>
  <c r="X65" i="32"/>
  <c r="X71" i="32" s="1"/>
  <c r="X53" i="32"/>
  <c r="X59" i="32" s="1"/>
  <c r="X77" i="32"/>
  <c r="C65" i="32"/>
  <c r="C71" i="32" s="1"/>
  <c r="C53" i="32"/>
  <c r="C59" i="32" s="1"/>
  <c r="C77" i="32"/>
  <c r="J53" i="32"/>
  <c r="J59" i="32" s="1"/>
  <c r="J77" i="32"/>
  <c r="J65" i="32"/>
  <c r="J71" i="32" s="1"/>
  <c r="V65" i="32"/>
  <c r="V71" i="32" s="1"/>
  <c r="V77" i="32"/>
  <c r="V53" i="32"/>
  <c r="V59" i="32" s="1"/>
  <c r="G53" i="32"/>
  <c r="G59" i="32" s="1"/>
  <c r="G77" i="32"/>
  <c r="G65" i="32"/>
  <c r="G71" i="32" s="1"/>
  <c r="U65" i="32"/>
  <c r="U71" i="32" s="1"/>
  <c r="U77" i="32"/>
  <c r="U53" i="32"/>
  <c r="U59" i="32" s="1"/>
  <c r="N53" i="32"/>
  <c r="N59" i="32" s="1"/>
  <c r="N77" i="32"/>
  <c r="N65" i="32"/>
  <c r="N71" i="32" s="1"/>
  <c r="Q65" i="32"/>
  <c r="Q71" i="32" s="1"/>
  <c r="Q77" i="32"/>
  <c r="Q53" i="32"/>
  <c r="Q59" i="32" s="1"/>
  <c r="R77" i="32"/>
  <c r="R65" i="32"/>
  <c r="R71" i="32" s="1"/>
  <c r="R53" i="32"/>
  <c r="R59" i="32" s="1"/>
  <c r="M65" i="32"/>
  <c r="M71" i="32" s="1"/>
  <c r="M77" i="32"/>
  <c r="BE9" i="33" s="1"/>
  <c r="M53" i="32"/>
  <c r="M59" i="32" s="1"/>
  <c r="AC65" i="32"/>
  <c r="AC71" i="32" s="1"/>
  <c r="AC53" i="32"/>
  <c r="AC59" i="32" s="1"/>
  <c r="AC77" i="32"/>
  <c r="DH9" i="33" s="1"/>
  <c r="W53" i="32"/>
  <c r="W59" i="32" s="1"/>
  <c r="W65" i="32"/>
  <c r="W71" i="32" s="1"/>
  <c r="W77" i="32"/>
  <c r="P53" i="32"/>
  <c r="P59" i="32" s="1"/>
  <c r="P65" i="32"/>
  <c r="P71" i="32" s="1"/>
  <c r="P77" i="32"/>
  <c r="T65" i="32"/>
  <c r="T71" i="32" s="1"/>
  <c r="T53" i="32"/>
  <c r="T59" i="32" s="1"/>
  <c r="T77" i="32"/>
  <c r="M46" i="2"/>
  <c r="L46" i="2"/>
  <c r="M34" i="2"/>
  <c r="L34" i="2"/>
  <c r="C74" i="2"/>
  <c r="B74" i="2"/>
  <c r="C60" i="2"/>
  <c r="B60" i="2"/>
  <c r="C47" i="2"/>
  <c r="B47" i="2"/>
  <c r="C34" i="2"/>
  <c r="B34" i="2"/>
  <c r="C22" i="2"/>
  <c r="B22" i="2"/>
  <c r="B59" i="32" l="1"/>
  <c r="AG61" i="32"/>
  <c r="AG62" i="32" s="1"/>
  <c r="W297" i="32"/>
  <c r="W296" i="32"/>
  <c r="R188" i="32"/>
  <c r="R189" i="32"/>
  <c r="M296" i="32"/>
  <c r="BO14" i="33" s="1"/>
  <c r="M297" i="32"/>
  <c r="BO15" i="33" s="1"/>
  <c r="J297" i="32"/>
  <c r="J296" i="32"/>
  <c r="N406" i="32"/>
  <c r="N405" i="32"/>
  <c r="Y297" i="32"/>
  <c r="Y296" i="32"/>
  <c r="O297" i="32"/>
  <c r="O296" i="32"/>
  <c r="I405" i="32"/>
  <c r="I406" i="32"/>
  <c r="R406" i="32"/>
  <c r="R405" i="32"/>
  <c r="Y189" i="32"/>
  <c r="Y188" i="32"/>
  <c r="U406" i="32"/>
  <c r="U405" i="32"/>
  <c r="Q189" i="32"/>
  <c r="Q188" i="32"/>
  <c r="C405" i="32"/>
  <c r="C406" i="32"/>
  <c r="W189" i="32"/>
  <c r="W188" i="32"/>
  <c r="I188" i="32"/>
  <c r="I189" i="32"/>
  <c r="I296" i="32"/>
  <c r="I297" i="32"/>
  <c r="N188" i="32"/>
  <c r="N189" i="32"/>
  <c r="AB188" i="32"/>
  <c r="AB189" i="32"/>
  <c r="K296" i="32"/>
  <c r="K297" i="32"/>
  <c r="AA406" i="32"/>
  <c r="AA405" i="32"/>
  <c r="Z296" i="32"/>
  <c r="Z297" i="32"/>
  <c r="Z188" i="32"/>
  <c r="Z189" i="32"/>
  <c r="R297" i="32"/>
  <c r="R296" i="32"/>
  <c r="AB296" i="32"/>
  <c r="AB297" i="32"/>
  <c r="V405" i="32"/>
  <c r="V406" i="32"/>
  <c r="H188" i="32"/>
  <c r="H189" i="32"/>
  <c r="N297" i="32"/>
  <c r="N296" i="32"/>
  <c r="P297" i="32"/>
  <c r="P296" i="32"/>
  <c r="Q296" i="32"/>
  <c r="Q297" i="32"/>
  <c r="X405" i="32"/>
  <c r="X406" i="32"/>
  <c r="E296" i="32"/>
  <c r="E297" i="32"/>
  <c r="Y406" i="32"/>
  <c r="Y405" i="32"/>
  <c r="X188" i="32"/>
  <c r="X189" i="32"/>
  <c r="C296" i="32"/>
  <c r="C297" i="32"/>
  <c r="U189" i="32"/>
  <c r="U188" i="32"/>
  <c r="AB405" i="32"/>
  <c r="AB406" i="32"/>
  <c r="O405" i="32"/>
  <c r="O406" i="32"/>
  <c r="AA296" i="32"/>
  <c r="AA297" i="32"/>
  <c r="B405" i="32"/>
  <c r="Q14" i="33" s="1"/>
  <c r="B406" i="32"/>
  <c r="Q15" i="33" s="1"/>
  <c r="S189" i="32"/>
  <c r="S188" i="32"/>
  <c r="G405" i="32"/>
  <c r="G406" i="32"/>
  <c r="C189" i="32"/>
  <c r="C188" i="32"/>
  <c r="M405" i="32"/>
  <c r="BT14" i="33" s="1"/>
  <c r="M406" i="32"/>
  <c r="BT15" i="33" s="1"/>
  <c r="P189" i="32"/>
  <c r="P188" i="32"/>
  <c r="F406" i="32"/>
  <c r="F405" i="32"/>
  <c r="W405" i="32"/>
  <c r="W406" i="32"/>
  <c r="AA189" i="32"/>
  <c r="AA188" i="32"/>
  <c r="D188" i="32"/>
  <c r="D189" i="32"/>
  <c r="F296" i="32"/>
  <c r="F297" i="32"/>
  <c r="O189" i="32"/>
  <c r="O188" i="32"/>
  <c r="D406" i="32"/>
  <c r="D405" i="32"/>
  <c r="B188" i="32"/>
  <c r="G14" i="33" s="1"/>
  <c r="B189" i="32"/>
  <c r="G15" i="33" s="1"/>
  <c r="T189" i="32"/>
  <c r="T188" i="32"/>
  <c r="G296" i="32"/>
  <c r="G297" i="32"/>
  <c r="L189" i="32"/>
  <c r="L188" i="32"/>
  <c r="S406" i="32"/>
  <c r="S405" i="32"/>
  <c r="K189" i="32"/>
  <c r="K188" i="32"/>
  <c r="S297" i="32"/>
  <c r="S296" i="32"/>
  <c r="K406" i="32"/>
  <c r="K405" i="32"/>
  <c r="J188" i="32"/>
  <c r="J189" i="32"/>
  <c r="E405" i="32"/>
  <c r="E406" i="32"/>
  <c r="AC296" i="32"/>
  <c r="DR14" i="33" s="1"/>
  <c r="AC297" i="32"/>
  <c r="DR15" i="33" s="1"/>
  <c r="H296" i="32"/>
  <c r="H297" i="32"/>
  <c r="B297" i="32"/>
  <c r="L15" i="33" s="1"/>
  <c r="B296" i="32"/>
  <c r="L14" i="33" s="1"/>
  <c r="V297" i="32"/>
  <c r="V296" i="32"/>
  <c r="AC405" i="32"/>
  <c r="DW14" i="33" s="1"/>
  <c r="AC406" i="32"/>
  <c r="DW15" i="33" s="1"/>
  <c r="G189" i="32"/>
  <c r="G188" i="32"/>
  <c r="X297" i="32"/>
  <c r="X296" i="32"/>
  <c r="H405" i="32"/>
  <c r="H406" i="32"/>
  <c r="V189" i="32"/>
  <c r="V188" i="32"/>
  <c r="Q406" i="32"/>
  <c r="Q405" i="32"/>
  <c r="T405" i="32"/>
  <c r="T406" i="32"/>
  <c r="U297" i="32"/>
  <c r="U296" i="32"/>
  <c r="T296" i="32"/>
  <c r="T297" i="32"/>
  <c r="F189" i="32"/>
  <c r="F188" i="32"/>
  <c r="Z406" i="32"/>
  <c r="Z405" i="32"/>
  <c r="P405" i="32"/>
  <c r="P406" i="32"/>
  <c r="E189" i="32"/>
  <c r="E188" i="32"/>
  <c r="L297" i="32"/>
  <c r="L296" i="32"/>
  <c r="J405" i="32"/>
  <c r="J406" i="32"/>
  <c r="D296" i="32"/>
  <c r="D297" i="32"/>
  <c r="M189" i="32"/>
  <c r="BJ15" i="33" s="1"/>
  <c r="M188" i="32"/>
  <c r="BJ14" i="33" s="1"/>
  <c r="AC188" i="32"/>
  <c r="DM14" i="33" s="1"/>
  <c r="AC189" i="32"/>
  <c r="DM15" i="33" s="1"/>
  <c r="L406" i="32"/>
  <c r="L405" i="32"/>
  <c r="P82" i="32"/>
  <c r="P83" i="32"/>
  <c r="N82" i="32"/>
  <c r="N83" i="32"/>
  <c r="G82" i="32"/>
  <c r="G83" i="32"/>
  <c r="O82" i="32"/>
  <c r="O83" i="32"/>
  <c r="M82" i="32"/>
  <c r="BE14" i="33" s="1"/>
  <c r="M83" i="32"/>
  <c r="BE15" i="33" s="1"/>
  <c r="C83" i="32"/>
  <c r="C82" i="32"/>
  <c r="E83" i="32"/>
  <c r="E82" i="32"/>
  <c r="H82" i="32"/>
  <c r="H83" i="32"/>
  <c r="AC83" i="32"/>
  <c r="DH15" i="33" s="1"/>
  <c r="AC82" i="32"/>
  <c r="DH14" i="33" s="1"/>
  <c r="I83" i="32"/>
  <c r="I82" i="32"/>
  <c r="B82" i="32"/>
  <c r="B14" i="33" s="1"/>
  <c r="B83" i="32"/>
  <c r="B15" i="33" s="1"/>
  <c r="W82" i="32"/>
  <c r="W83" i="32"/>
  <c r="Q83" i="32"/>
  <c r="Q82" i="32"/>
  <c r="L82" i="32"/>
  <c r="L83" i="32"/>
  <c r="R82" i="32"/>
  <c r="R83" i="32"/>
  <c r="V82" i="32"/>
  <c r="V83" i="32"/>
  <c r="AB82" i="32"/>
  <c r="AB83" i="32"/>
  <c r="D83" i="32"/>
  <c r="D82" i="32"/>
  <c r="K82" i="32"/>
  <c r="K83" i="32"/>
  <c r="J82" i="32"/>
  <c r="J83" i="32"/>
  <c r="X82" i="32"/>
  <c r="X83" i="32"/>
  <c r="AA82" i="32"/>
  <c r="AA83" i="32"/>
  <c r="Z83" i="32"/>
  <c r="Z82" i="32"/>
  <c r="T83" i="32"/>
  <c r="T82" i="32"/>
  <c r="U83" i="32"/>
  <c r="U82" i="32"/>
  <c r="F83" i="32"/>
  <c r="F82" i="32"/>
  <c r="S82" i="32"/>
  <c r="S83" i="32"/>
  <c r="Y83" i="32"/>
  <c r="Y82" i="32"/>
  <c r="P349" i="26"/>
  <c r="O349" i="26"/>
  <c r="L349" i="26"/>
  <c r="P240" i="26"/>
  <c r="O240" i="26"/>
  <c r="L240" i="26"/>
  <c r="P132" i="26"/>
  <c r="O132" i="26"/>
  <c r="L132" i="26"/>
  <c r="C349" i="26"/>
  <c r="B349" i="26"/>
  <c r="C240" i="26"/>
  <c r="B240" i="26"/>
  <c r="C132" i="26"/>
  <c r="B132" i="26"/>
  <c r="P345" i="26"/>
  <c r="O345" i="26"/>
  <c r="L345" i="26"/>
  <c r="P343" i="26"/>
  <c r="O343" i="26"/>
  <c r="L343" i="26"/>
  <c r="P342" i="26"/>
  <c r="O342" i="26"/>
  <c r="L342" i="26"/>
  <c r="P236" i="26"/>
  <c r="O236" i="26"/>
  <c r="L236" i="26"/>
  <c r="P234" i="26"/>
  <c r="O234" i="26"/>
  <c r="L234" i="26"/>
  <c r="P233" i="26"/>
  <c r="O233" i="26"/>
  <c r="L233" i="26"/>
  <c r="P128" i="26"/>
  <c r="O128" i="26"/>
  <c r="L128" i="26"/>
  <c r="P126" i="26"/>
  <c r="O126" i="26"/>
  <c r="L126" i="26"/>
  <c r="P125" i="26"/>
  <c r="O125" i="26"/>
  <c r="L125" i="26"/>
  <c r="C345" i="26"/>
  <c r="B345" i="26"/>
  <c r="C343" i="26"/>
  <c r="B343" i="26"/>
  <c r="C342" i="26"/>
  <c r="B342" i="26"/>
  <c r="C236" i="26"/>
  <c r="B236" i="26"/>
  <c r="C234" i="26"/>
  <c r="B234" i="26"/>
  <c r="C233" i="26"/>
  <c r="B233" i="26"/>
  <c r="C128" i="26"/>
  <c r="B128" i="26"/>
  <c r="C126" i="26"/>
  <c r="B126" i="26"/>
  <c r="C125" i="26"/>
  <c r="B125" i="26"/>
  <c r="P340" i="26"/>
  <c r="O340" i="26"/>
  <c r="L340" i="26"/>
  <c r="P231" i="26"/>
  <c r="O231" i="26"/>
  <c r="L231" i="26"/>
  <c r="P123" i="26"/>
  <c r="O123" i="26"/>
  <c r="L123" i="26"/>
  <c r="C340" i="26"/>
  <c r="B340" i="26"/>
  <c r="C231" i="26"/>
  <c r="B231" i="26"/>
  <c r="C123" i="26"/>
  <c r="B123" i="26"/>
  <c r="P338" i="26"/>
  <c r="O338" i="26"/>
  <c r="L338" i="26"/>
  <c r="P229" i="26"/>
  <c r="O229" i="26"/>
  <c r="L229" i="26"/>
  <c r="P121" i="26"/>
  <c r="O121" i="26"/>
  <c r="L121" i="26"/>
  <c r="C338" i="26"/>
  <c r="B338" i="26"/>
  <c r="C229" i="26"/>
  <c r="B229" i="26"/>
  <c r="C121" i="26"/>
  <c r="B121" i="26"/>
  <c r="P335" i="26"/>
  <c r="O335" i="26"/>
  <c r="L335" i="26"/>
  <c r="P334" i="26"/>
  <c r="O334" i="26"/>
  <c r="L334" i="26"/>
  <c r="P226" i="26"/>
  <c r="O226" i="26"/>
  <c r="L226" i="26"/>
  <c r="P225" i="26"/>
  <c r="O225" i="26"/>
  <c r="L225" i="26"/>
  <c r="P118" i="26"/>
  <c r="O118" i="26"/>
  <c r="L118" i="26"/>
  <c r="P117" i="26"/>
  <c r="O117" i="26"/>
  <c r="L117" i="26"/>
  <c r="C335" i="26"/>
  <c r="B335" i="26"/>
  <c r="C334" i="26"/>
  <c r="B334" i="26"/>
  <c r="C226" i="26"/>
  <c r="B226" i="26"/>
  <c r="C225" i="26"/>
  <c r="B225" i="26"/>
  <c r="C118" i="26"/>
  <c r="B118" i="26"/>
  <c r="C117" i="26"/>
  <c r="B117" i="26"/>
  <c r="P26" i="26"/>
  <c r="O26" i="26"/>
  <c r="L26" i="26"/>
  <c r="C26" i="26"/>
  <c r="B26" i="26"/>
  <c r="P22" i="26"/>
  <c r="O22" i="26"/>
  <c r="L22" i="26"/>
  <c r="C22" i="26"/>
  <c r="B22" i="26"/>
  <c r="P20" i="26"/>
  <c r="O20" i="26"/>
  <c r="L20" i="26"/>
  <c r="C20" i="26"/>
  <c r="B20" i="26"/>
  <c r="P19" i="26"/>
  <c r="O19" i="26"/>
  <c r="L19" i="26"/>
  <c r="C19" i="26"/>
  <c r="B19" i="26"/>
  <c r="P17" i="26"/>
  <c r="O17" i="26"/>
  <c r="L17" i="26"/>
  <c r="C17" i="26"/>
  <c r="B17" i="26"/>
  <c r="P15" i="26"/>
  <c r="O15" i="26"/>
  <c r="L15" i="26"/>
  <c r="C15" i="26"/>
  <c r="B15" i="26"/>
  <c r="P12" i="26"/>
  <c r="O12" i="26"/>
  <c r="L12" i="26"/>
  <c r="C12" i="26"/>
  <c r="B12" i="26"/>
  <c r="P11" i="26"/>
  <c r="O11" i="26"/>
  <c r="L11" i="26"/>
  <c r="C11" i="26"/>
  <c r="B11" i="26"/>
  <c r="A406" i="26"/>
  <c r="A370" i="26"/>
  <c r="A368" i="26"/>
  <c r="A405" i="26" s="1"/>
  <c r="A367" i="26"/>
  <c r="A366" i="26"/>
  <c r="A365" i="26"/>
  <c r="A363" i="26"/>
  <c r="A380" i="26" s="1"/>
  <c r="A362" i="26"/>
  <c r="A361" i="26"/>
  <c r="A379" i="26" s="1"/>
  <c r="A360" i="26"/>
  <c r="A378" i="26" s="1"/>
  <c r="A359" i="26"/>
  <c r="A377" i="26" s="1"/>
  <c r="A358" i="26"/>
  <c r="A357" i="26"/>
  <c r="A376" i="26" s="1"/>
  <c r="A356" i="26"/>
  <c r="A375" i="26" s="1"/>
  <c r="A399" i="26" s="1"/>
  <c r="A355" i="26"/>
  <c r="A374" i="26" s="1"/>
  <c r="A354" i="26"/>
  <c r="A373" i="26" s="1"/>
  <c r="A397" i="26" s="1"/>
  <c r="P350" i="26"/>
  <c r="O350" i="26"/>
  <c r="L350" i="26"/>
  <c r="C350" i="26"/>
  <c r="B350" i="26"/>
  <c r="P348" i="26"/>
  <c r="O348" i="26"/>
  <c r="L348" i="26"/>
  <c r="C348" i="26"/>
  <c r="B348" i="26"/>
  <c r="P347" i="26"/>
  <c r="O347" i="26"/>
  <c r="L347" i="26"/>
  <c r="C347" i="26"/>
  <c r="B347" i="26"/>
  <c r="P346" i="26"/>
  <c r="O346" i="26"/>
  <c r="L346" i="26"/>
  <c r="C346" i="26"/>
  <c r="B346" i="26"/>
  <c r="P341" i="26"/>
  <c r="O341" i="26"/>
  <c r="L341" i="26"/>
  <c r="C341" i="26"/>
  <c r="B341" i="26"/>
  <c r="P339" i="26"/>
  <c r="O339" i="26"/>
  <c r="L339" i="26"/>
  <c r="C339" i="26"/>
  <c r="B339" i="26"/>
  <c r="P337" i="26"/>
  <c r="O337" i="26"/>
  <c r="L337" i="26"/>
  <c r="C337" i="26"/>
  <c r="B337" i="26"/>
  <c r="P336" i="26"/>
  <c r="O336" i="26"/>
  <c r="L336" i="26"/>
  <c r="C336" i="26"/>
  <c r="B336" i="26"/>
  <c r="A297" i="26"/>
  <c r="A261" i="26"/>
  <c r="A259" i="26"/>
  <c r="A296" i="26" s="1"/>
  <c r="A258" i="26"/>
  <c r="A257" i="26"/>
  <c r="A256" i="26"/>
  <c r="A254" i="26"/>
  <c r="A271" i="26" s="1"/>
  <c r="A295" i="26" s="1"/>
  <c r="A253" i="26"/>
  <c r="A252" i="26"/>
  <c r="A270" i="26" s="1"/>
  <c r="A251" i="26"/>
  <c r="A269" i="26" s="1"/>
  <c r="A250" i="26"/>
  <c r="A268" i="26" s="1"/>
  <c r="A292" i="26" s="1"/>
  <c r="A249" i="26"/>
  <c r="A248" i="26"/>
  <c r="A267" i="26" s="1"/>
  <c r="A247" i="26"/>
  <c r="A266" i="26" s="1"/>
  <c r="A246" i="26"/>
  <c r="A265" i="26" s="1"/>
  <c r="A245" i="26"/>
  <c r="A264" i="26" s="1"/>
  <c r="P241" i="26"/>
  <c r="O241" i="26"/>
  <c r="L241" i="26"/>
  <c r="C241" i="26"/>
  <c r="B241" i="26"/>
  <c r="P239" i="26"/>
  <c r="O239" i="26"/>
  <c r="L239" i="26"/>
  <c r="C239" i="26"/>
  <c r="B239" i="26"/>
  <c r="P238" i="26"/>
  <c r="O238" i="26"/>
  <c r="L238" i="26"/>
  <c r="C238" i="26"/>
  <c r="B238" i="26"/>
  <c r="P237" i="26"/>
  <c r="O237" i="26"/>
  <c r="L237" i="26"/>
  <c r="C237" i="26"/>
  <c r="B237" i="26"/>
  <c r="P232" i="26"/>
  <c r="O232" i="26"/>
  <c r="L232" i="26"/>
  <c r="C232" i="26"/>
  <c r="B232" i="26"/>
  <c r="P230" i="26"/>
  <c r="O230" i="26"/>
  <c r="L230" i="26"/>
  <c r="C230" i="26"/>
  <c r="B230" i="26"/>
  <c r="P228" i="26"/>
  <c r="O228" i="26"/>
  <c r="L228" i="26"/>
  <c r="C228" i="26"/>
  <c r="B228" i="26"/>
  <c r="P227" i="26"/>
  <c r="O227" i="26"/>
  <c r="L227" i="26"/>
  <c r="C227" i="26"/>
  <c r="B227" i="26"/>
  <c r="A189" i="26"/>
  <c r="A153" i="26"/>
  <c r="A151" i="26"/>
  <c r="A188" i="26" s="1"/>
  <c r="A150" i="26"/>
  <c r="A149" i="26"/>
  <c r="A148" i="26"/>
  <c r="A146" i="26"/>
  <c r="A163" i="26" s="1"/>
  <c r="A145" i="26"/>
  <c r="A144" i="26"/>
  <c r="A162" i="26" s="1"/>
  <c r="A174" i="26" s="1"/>
  <c r="A143" i="26"/>
  <c r="A161" i="26" s="1"/>
  <c r="A142" i="26"/>
  <c r="A160" i="26" s="1"/>
  <c r="A141" i="26"/>
  <c r="A140" i="26"/>
  <c r="A159" i="26" s="1"/>
  <c r="A139" i="26"/>
  <c r="A158" i="26" s="1"/>
  <c r="A138" i="26"/>
  <c r="A157" i="26" s="1"/>
  <c r="A181" i="26" s="1"/>
  <c r="A137" i="26"/>
  <c r="A156" i="26" s="1"/>
  <c r="P133" i="26"/>
  <c r="O133" i="26"/>
  <c r="L133" i="26"/>
  <c r="C133" i="26"/>
  <c r="B133" i="26"/>
  <c r="P131" i="26"/>
  <c r="O131" i="26"/>
  <c r="L131" i="26"/>
  <c r="C131" i="26"/>
  <c r="B131" i="26"/>
  <c r="P130" i="26"/>
  <c r="O130" i="26"/>
  <c r="L130" i="26"/>
  <c r="C130" i="26"/>
  <c r="B130" i="26"/>
  <c r="P129" i="26"/>
  <c r="O129" i="26"/>
  <c r="L129" i="26"/>
  <c r="C129" i="26"/>
  <c r="B129" i="26"/>
  <c r="P124" i="26"/>
  <c r="O124" i="26"/>
  <c r="L124" i="26"/>
  <c r="C124" i="26"/>
  <c r="B124" i="26"/>
  <c r="P122" i="26"/>
  <c r="O122" i="26"/>
  <c r="L122" i="26"/>
  <c r="C122" i="26"/>
  <c r="B122" i="26"/>
  <c r="P120" i="26"/>
  <c r="O120" i="26"/>
  <c r="L120" i="26"/>
  <c r="C120" i="26"/>
  <c r="B120" i="26"/>
  <c r="P119" i="26"/>
  <c r="O119" i="26"/>
  <c r="L119" i="26"/>
  <c r="C119" i="26"/>
  <c r="B119" i="26"/>
  <c r="A83" i="26"/>
  <c r="A47" i="26"/>
  <c r="A45" i="26"/>
  <c r="A82" i="26" s="1"/>
  <c r="A44" i="26"/>
  <c r="A43" i="26"/>
  <c r="A42" i="26"/>
  <c r="A40" i="26"/>
  <c r="A57" i="26" s="1"/>
  <c r="A39" i="26"/>
  <c r="A38" i="26"/>
  <c r="A56" i="26" s="1"/>
  <c r="A80" i="26" s="1"/>
  <c r="A37" i="26"/>
  <c r="A55" i="26" s="1"/>
  <c r="A36" i="26"/>
  <c r="A54" i="26" s="1"/>
  <c r="A78" i="26" s="1"/>
  <c r="A35" i="26"/>
  <c r="A34" i="26"/>
  <c r="A53" i="26" s="1"/>
  <c r="A33" i="26"/>
  <c r="A52" i="26" s="1"/>
  <c r="A76" i="26" s="1"/>
  <c r="A32" i="26"/>
  <c r="A51" i="26" s="1"/>
  <c r="A63" i="26" s="1"/>
  <c r="A31" i="26"/>
  <c r="A50" i="26" s="1"/>
  <c r="P27" i="26"/>
  <c r="O27" i="26"/>
  <c r="L27" i="26"/>
  <c r="C27" i="26"/>
  <c r="B27" i="26"/>
  <c r="P25" i="26"/>
  <c r="O25" i="26"/>
  <c r="L25" i="26"/>
  <c r="C25" i="26"/>
  <c r="B25" i="26"/>
  <c r="P24" i="26"/>
  <c r="O24" i="26"/>
  <c r="L24" i="26"/>
  <c r="C24" i="26"/>
  <c r="B24" i="26"/>
  <c r="P23" i="26"/>
  <c r="O23" i="26"/>
  <c r="L23" i="26"/>
  <c r="C23" i="26"/>
  <c r="B23" i="26"/>
  <c r="P18" i="26"/>
  <c r="O18" i="26"/>
  <c r="L18" i="26"/>
  <c r="C18" i="26"/>
  <c r="B18" i="26"/>
  <c r="P16" i="26"/>
  <c r="O16" i="26"/>
  <c r="L16" i="26"/>
  <c r="C16" i="26"/>
  <c r="B16" i="26"/>
  <c r="P14" i="26"/>
  <c r="O14" i="26"/>
  <c r="L14" i="26"/>
  <c r="C14" i="26"/>
  <c r="B14" i="26"/>
  <c r="P13" i="26"/>
  <c r="O13" i="26"/>
  <c r="L13" i="26"/>
  <c r="C13" i="26"/>
  <c r="B13" i="26"/>
  <c r="P349" i="25"/>
  <c r="O349" i="25"/>
  <c r="L349" i="25"/>
  <c r="P240" i="25"/>
  <c r="O240" i="25"/>
  <c r="L240" i="25"/>
  <c r="P132" i="25"/>
  <c r="O132" i="25"/>
  <c r="L132" i="25"/>
  <c r="C349" i="25"/>
  <c r="B349" i="25"/>
  <c r="C240" i="25"/>
  <c r="B240" i="25"/>
  <c r="C132" i="25"/>
  <c r="B132" i="25"/>
  <c r="P345" i="25"/>
  <c r="O345" i="25"/>
  <c r="L345" i="25"/>
  <c r="P343" i="25"/>
  <c r="O343" i="25"/>
  <c r="L343" i="25"/>
  <c r="P342" i="25"/>
  <c r="O342" i="25"/>
  <c r="L342" i="25"/>
  <c r="P236" i="25"/>
  <c r="O236" i="25"/>
  <c r="L236" i="25"/>
  <c r="P234" i="25"/>
  <c r="O234" i="25"/>
  <c r="L234" i="25"/>
  <c r="P233" i="25"/>
  <c r="O233" i="25"/>
  <c r="L233" i="25"/>
  <c r="P128" i="25"/>
  <c r="O128" i="25"/>
  <c r="L128" i="25"/>
  <c r="P126" i="25"/>
  <c r="O126" i="25"/>
  <c r="L126" i="25"/>
  <c r="P125" i="25"/>
  <c r="O125" i="25"/>
  <c r="L125" i="25"/>
  <c r="C345" i="25"/>
  <c r="B345" i="25"/>
  <c r="C343" i="25"/>
  <c r="B343" i="25"/>
  <c r="C236" i="25"/>
  <c r="B236" i="25"/>
  <c r="C234" i="25"/>
  <c r="B234" i="25"/>
  <c r="C128" i="25"/>
  <c r="B128" i="25"/>
  <c r="C126" i="25"/>
  <c r="B126" i="25"/>
  <c r="C342" i="25"/>
  <c r="B342" i="25"/>
  <c r="C233" i="25"/>
  <c r="B233" i="25"/>
  <c r="C125" i="25"/>
  <c r="B125" i="25"/>
  <c r="P340" i="25"/>
  <c r="O340" i="25"/>
  <c r="L340" i="25"/>
  <c r="P231" i="25"/>
  <c r="O231" i="25"/>
  <c r="L231" i="25"/>
  <c r="P123" i="25"/>
  <c r="O123" i="25"/>
  <c r="L123" i="25"/>
  <c r="C340" i="25"/>
  <c r="B340" i="25"/>
  <c r="C231" i="25"/>
  <c r="B231" i="25"/>
  <c r="C123" i="25"/>
  <c r="B123" i="25"/>
  <c r="P338" i="25"/>
  <c r="O338" i="25"/>
  <c r="L338" i="25"/>
  <c r="P229" i="25"/>
  <c r="O229" i="25"/>
  <c r="L229" i="25"/>
  <c r="P121" i="25"/>
  <c r="O121" i="25"/>
  <c r="L121" i="25"/>
  <c r="C338" i="25"/>
  <c r="B338" i="25"/>
  <c r="C229" i="25"/>
  <c r="B229" i="25"/>
  <c r="C121" i="25"/>
  <c r="B121" i="25"/>
  <c r="P335" i="25"/>
  <c r="O335" i="25"/>
  <c r="L335" i="25"/>
  <c r="P334" i="25"/>
  <c r="O334" i="25"/>
  <c r="L334" i="25"/>
  <c r="P226" i="25"/>
  <c r="O226" i="25"/>
  <c r="L226" i="25"/>
  <c r="P225" i="25"/>
  <c r="O225" i="25"/>
  <c r="L225" i="25"/>
  <c r="P118" i="25"/>
  <c r="O118" i="25"/>
  <c r="L118" i="25"/>
  <c r="P117" i="25"/>
  <c r="O117" i="25"/>
  <c r="L117" i="25"/>
  <c r="C335" i="25"/>
  <c r="B335" i="25"/>
  <c r="C334" i="25"/>
  <c r="B334" i="25"/>
  <c r="C226" i="25"/>
  <c r="B226" i="25"/>
  <c r="C225" i="25"/>
  <c r="B225" i="25"/>
  <c r="C118" i="25"/>
  <c r="B118" i="25"/>
  <c r="C117" i="25"/>
  <c r="B117" i="25"/>
  <c r="P26" i="25"/>
  <c r="O26" i="25"/>
  <c r="L26" i="25"/>
  <c r="C26" i="25"/>
  <c r="B26" i="25"/>
  <c r="P22" i="25"/>
  <c r="O22" i="25"/>
  <c r="L22" i="25"/>
  <c r="C22" i="25"/>
  <c r="B22" i="25"/>
  <c r="P20" i="25"/>
  <c r="O20" i="25"/>
  <c r="L20" i="25"/>
  <c r="C20" i="25"/>
  <c r="B20" i="25"/>
  <c r="P19" i="25"/>
  <c r="O19" i="25"/>
  <c r="L19" i="25"/>
  <c r="C19" i="25"/>
  <c r="B19" i="25"/>
  <c r="P17" i="25"/>
  <c r="O17" i="25"/>
  <c r="L17" i="25"/>
  <c r="C17" i="25"/>
  <c r="B17" i="25"/>
  <c r="P15" i="25"/>
  <c r="O15" i="25"/>
  <c r="L15" i="25"/>
  <c r="C15" i="25"/>
  <c r="B15" i="25"/>
  <c r="P12" i="25"/>
  <c r="O12" i="25"/>
  <c r="L12" i="25"/>
  <c r="C12" i="25"/>
  <c r="B12" i="25"/>
  <c r="P11" i="25"/>
  <c r="O11" i="25"/>
  <c r="L11" i="25"/>
  <c r="C11" i="25"/>
  <c r="B11" i="25"/>
  <c r="A406" i="25"/>
  <c r="A370" i="25"/>
  <c r="A368" i="25"/>
  <c r="A405" i="25" s="1"/>
  <c r="A367" i="25"/>
  <c r="A366" i="25"/>
  <c r="A365" i="25"/>
  <c r="A363" i="25"/>
  <c r="A380" i="25" s="1"/>
  <c r="A362" i="25"/>
  <c r="A361" i="25"/>
  <c r="A379" i="25" s="1"/>
  <c r="A360" i="25"/>
  <c r="A378" i="25" s="1"/>
  <c r="A359" i="25"/>
  <c r="A377" i="25" s="1"/>
  <c r="A358" i="25"/>
  <c r="A357" i="25"/>
  <c r="A376" i="25" s="1"/>
  <c r="A356" i="25"/>
  <c r="A375" i="25" s="1"/>
  <c r="A355" i="25"/>
  <c r="A374" i="25" s="1"/>
  <c r="A354" i="25"/>
  <c r="A373" i="25" s="1"/>
  <c r="P350" i="25"/>
  <c r="O350" i="25"/>
  <c r="L350" i="25"/>
  <c r="C350" i="25"/>
  <c r="B350" i="25"/>
  <c r="P348" i="25"/>
  <c r="O348" i="25"/>
  <c r="L348" i="25"/>
  <c r="C348" i="25"/>
  <c r="B348" i="25"/>
  <c r="P347" i="25"/>
  <c r="O347" i="25"/>
  <c r="L347" i="25"/>
  <c r="C347" i="25"/>
  <c r="B347" i="25"/>
  <c r="P346" i="25"/>
  <c r="O346" i="25"/>
  <c r="L346" i="25"/>
  <c r="C346" i="25"/>
  <c r="B346" i="25"/>
  <c r="P341" i="25"/>
  <c r="O341" i="25"/>
  <c r="L341" i="25"/>
  <c r="C341" i="25"/>
  <c r="B341" i="25"/>
  <c r="P339" i="25"/>
  <c r="O339" i="25"/>
  <c r="L339" i="25"/>
  <c r="C339" i="25"/>
  <c r="B339" i="25"/>
  <c r="P337" i="25"/>
  <c r="O337" i="25"/>
  <c r="L337" i="25"/>
  <c r="C337" i="25"/>
  <c r="B337" i="25"/>
  <c r="P336" i="25"/>
  <c r="O336" i="25"/>
  <c r="L336" i="25"/>
  <c r="C336" i="25"/>
  <c r="B336" i="25"/>
  <c r="A297" i="25"/>
  <c r="A261" i="25"/>
  <c r="A259" i="25"/>
  <c r="A296" i="25" s="1"/>
  <c r="A258" i="25"/>
  <c r="A257" i="25"/>
  <c r="A256" i="25"/>
  <c r="A254" i="25"/>
  <c r="A271" i="25" s="1"/>
  <c r="A295" i="25" s="1"/>
  <c r="A253" i="25"/>
  <c r="A252" i="25"/>
  <c r="A270" i="25" s="1"/>
  <c r="A251" i="25"/>
  <c r="A269" i="25" s="1"/>
  <c r="A293" i="25" s="1"/>
  <c r="A250" i="25"/>
  <c r="A268" i="25" s="1"/>
  <c r="A249" i="25"/>
  <c r="A248" i="25"/>
  <c r="A267" i="25" s="1"/>
  <c r="A279" i="25" s="1"/>
  <c r="A247" i="25"/>
  <c r="A266" i="25" s="1"/>
  <c r="A246" i="25"/>
  <c r="A265" i="25" s="1"/>
  <c r="A245" i="25"/>
  <c r="A264" i="25" s="1"/>
  <c r="P241" i="25"/>
  <c r="O241" i="25"/>
  <c r="L241" i="25"/>
  <c r="C241" i="25"/>
  <c r="B241" i="25"/>
  <c r="P239" i="25"/>
  <c r="O239" i="25"/>
  <c r="L239" i="25"/>
  <c r="C239" i="25"/>
  <c r="B239" i="25"/>
  <c r="P238" i="25"/>
  <c r="O238" i="25"/>
  <c r="L238" i="25"/>
  <c r="C238" i="25"/>
  <c r="B238" i="25"/>
  <c r="P237" i="25"/>
  <c r="O237" i="25"/>
  <c r="L237" i="25"/>
  <c r="C237" i="25"/>
  <c r="B237" i="25"/>
  <c r="P232" i="25"/>
  <c r="O232" i="25"/>
  <c r="L232" i="25"/>
  <c r="C232" i="25"/>
  <c r="B232" i="25"/>
  <c r="P230" i="25"/>
  <c r="O230" i="25"/>
  <c r="L230" i="25"/>
  <c r="C230" i="25"/>
  <c r="B230" i="25"/>
  <c r="P228" i="25"/>
  <c r="O228" i="25"/>
  <c r="L228" i="25"/>
  <c r="C228" i="25"/>
  <c r="B228" i="25"/>
  <c r="P227" i="25"/>
  <c r="O227" i="25"/>
  <c r="L227" i="25"/>
  <c r="C227" i="25"/>
  <c r="B227" i="25"/>
  <c r="A189" i="25"/>
  <c r="A153" i="25"/>
  <c r="A151" i="25"/>
  <c r="A188" i="25" s="1"/>
  <c r="A150" i="25"/>
  <c r="A149" i="25"/>
  <c r="A148" i="25"/>
  <c r="A146" i="25"/>
  <c r="A163" i="25" s="1"/>
  <c r="A187" i="25" s="1"/>
  <c r="A145" i="25"/>
  <c r="A144" i="25"/>
  <c r="A162" i="25" s="1"/>
  <c r="A186" i="25" s="1"/>
  <c r="A143" i="25"/>
  <c r="A161" i="25" s="1"/>
  <c r="A142" i="25"/>
  <c r="A160" i="25" s="1"/>
  <c r="A141" i="25"/>
  <c r="A140" i="25"/>
  <c r="A159" i="25" s="1"/>
  <c r="A139" i="25"/>
  <c r="A158" i="25" s="1"/>
  <c r="A138" i="25"/>
  <c r="A157" i="25" s="1"/>
  <c r="A181" i="25" s="1"/>
  <c r="A137" i="25"/>
  <c r="A156" i="25" s="1"/>
  <c r="P133" i="25"/>
  <c r="O133" i="25"/>
  <c r="L133" i="25"/>
  <c r="C133" i="25"/>
  <c r="B133" i="25"/>
  <c r="P131" i="25"/>
  <c r="O131" i="25"/>
  <c r="L131" i="25"/>
  <c r="C131" i="25"/>
  <c r="B131" i="25"/>
  <c r="P130" i="25"/>
  <c r="O130" i="25"/>
  <c r="L130" i="25"/>
  <c r="C130" i="25"/>
  <c r="B130" i="25"/>
  <c r="P129" i="25"/>
  <c r="O129" i="25"/>
  <c r="L129" i="25"/>
  <c r="C129" i="25"/>
  <c r="B129" i="25"/>
  <c r="P124" i="25"/>
  <c r="O124" i="25"/>
  <c r="L124" i="25"/>
  <c r="C124" i="25"/>
  <c r="B124" i="25"/>
  <c r="P122" i="25"/>
  <c r="O122" i="25"/>
  <c r="L122" i="25"/>
  <c r="C122" i="25"/>
  <c r="B122" i="25"/>
  <c r="P120" i="25"/>
  <c r="O120" i="25"/>
  <c r="L120" i="25"/>
  <c r="C120" i="25"/>
  <c r="B120" i="25"/>
  <c r="P119" i="25"/>
  <c r="O119" i="25"/>
  <c r="L119" i="25"/>
  <c r="C119" i="25"/>
  <c r="B119" i="25"/>
  <c r="A83" i="25"/>
  <c r="A47" i="25"/>
  <c r="A45" i="25"/>
  <c r="A82" i="25" s="1"/>
  <c r="A44" i="25"/>
  <c r="A43" i="25"/>
  <c r="A42" i="25"/>
  <c r="A40" i="25"/>
  <c r="A57" i="25" s="1"/>
  <c r="A39" i="25"/>
  <c r="A38" i="25"/>
  <c r="A56" i="25" s="1"/>
  <c r="A37" i="25"/>
  <c r="A55" i="25" s="1"/>
  <c r="A79" i="25" s="1"/>
  <c r="A36" i="25"/>
  <c r="A54" i="25" s="1"/>
  <c r="A35" i="25"/>
  <c r="A34" i="25"/>
  <c r="A53" i="25" s="1"/>
  <c r="A33" i="25"/>
  <c r="A52" i="25" s="1"/>
  <c r="A76" i="25" s="1"/>
  <c r="A32" i="25"/>
  <c r="A51" i="25" s="1"/>
  <c r="A31" i="25"/>
  <c r="A50" i="25" s="1"/>
  <c r="A74" i="25" s="1"/>
  <c r="P27" i="25"/>
  <c r="O27" i="25"/>
  <c r="L27" i="25"/>
  <c r="C27" i="25"/>
  <c r="B27" i="25"/>
  <c r="P25" i="25"/>
  <c r="O25" i="25"/>
  <c r="L25" i="25"/>
  <c r="C25" i="25"/>
  <c r="B25" i="25"/>
  <c r="P24" i="25"/>
  <c r="O24" i="25"/>
  <c r="L24" i="25"/>
  <c r="C24" i="25"/>
  <c r="B24" i="25"/>
  <c r="P23" i="25"/>
  <c r="O23" i="25"/>
  <c r="L23" i="25"/>
  <c r="C23" i="25"/>
  <c r="B23" i="25"/>
  <c r="P18" i="25"/>
  <c r="O18" i="25"/>
  <c r="L18" i="25"/>
  <c r="C18" i="25"/>
  <c r="B18" i="25"/>
  <c r="P16" i="25"/>
  <c r="O16" i="25"/>
  <c r="L16" i="25"/>
  <c r="C16" i="25"/>
  <c r="B16" i="25"/>
  <c r="P14" i="25"/>
  <c r="O14" i="25"/>
  <c r="L14" i="25"/>
  <c r="C14" i="25"/>
  <c r="B14" i="25"/>
  <c r="P13" i="25"/>
  <c r="O13" i="25"/>
  <c r="L13" i="25"/>
  <c r="C13" i="25"/>
  <c r="B13" i="25"/>
  <c r="P349" i="24"/>
  <c r="O349" i="24"/>
  <c r="L349" i="24"/>
  <c r="P240" i="24"/>
  <c r="O240" i="24"/>
  <c r="L240" i="24"/>
  <c r="P132" i="24"/>
  <c r="O132" i="24"/>
  <c r="L132" i="24"/>
  <c r="C349" i="24"/>
  <c r="B349" i="24"/>
  <c r="C240" i="24"/>
  <c r="B240" i="24"/>
  <c r="C132" i="24"/>
  <c r="B132" i="24"/>
  <c r="P345" i="24"/>
  <c r="O345" i="24"/>
  <c r="L345" i="24"/>
  <c r="P343" i="24"/>
  <c r="O343" i="24"/>
  <c r="L343" i="24"/>
  <c r="P342" i="24"/>
  <c r="O342" i="24"/>
  <c r="L342" i="24"/>
  <c r="P236" i="24"/>
  <c r="O236" i="24"/>
  <c r="L236" i="24"/>
  <c r="P234" i="24"/>
  <c r="O234" i="24"/>
  <c r="L234" i="24"/>
  <c r="P233" i="24"/>
  <c r="O233" i="24"/>
  <c r="L233" i="24"/>
  <c r="P128" i="24"/>
  <c r="O128" i="24"/>
  <c r="L128" i="24"/>
  <c r="P126" i="24"/>
  <c r="O126" i="24"/>
  <c r="L126" i="24"/>
  <c r="P125" i="24"/>
  <c r="O125" i="24"/>
  <c r="L125" i="24"/>
  <c r="C345" i="24"/>
  <c r="B345" i="24"/>
  <c r="C343" i="24"/>
  <c r="B343" i="24"/>
  <c r="C342" i="24"/>
  <c r="B342" i="24"/>
  <c r="C236" i="24"/>
  <c r="B236" i="24"/>
  <c r="C234" i="24"/>
  <c r="B234" i="24"/>
  <c r="C233" i="24"/>
  <c r="B233" i="24"/>
  <c r="C128" i="24"/>
  <c r="B128" i="24"/>
  <c r="C126" i="24"/>
  <c r="B126" i="24"/>
  <c r="C125" i="24"/>
  <c r="B125" i="24"/>
  <c r="P340" i="24"/>
  <c r="O340" i="24"/>
  <c r="L340" i="24"/>
  <c r="P231" i="24"/>
  <c r="O231" i="24"/>
  <c r="L231" i="24"/>
  <c r="P123" i="24"/>
  <c r="O123" i="24"/>
  <c r="L123" i="24"/>
  <c r="C340" i="24"/>
  <c r="B340" i="24"/>
  <c r="C231" i="24"/>
  <c r="B231" i="24"/>
  <c r="C123" i="24"/>
  <c r="B123" i="24"/>
  <c r="P338" i="24"/>
  <c r="O338" i="24"/>
  <c r="L338" i="24"/>
  <c r="P229" i="24"/>
  <c r="O229" i="24"/>
  <c r="L229" i="24"/>
  <c r="P121" i="24"/>
  <c r="O121" i="24"/>
  <c r="L121" i="24"/>
  <c r="C338" i="24"/>
  <c r="B338" i="24"/>
  <c r="C229" i="24"/>
  <c r="B229" i="24"/>
  <c r="C121" i="24"/>
  <c r="B121" i="24"/>
  <c r="P335" i="24"/>
  <c r="O335" i="24"/>
  <c r="L335" i="24"/>
  <c r="P334" i="24"/>
  <c r="O334" i="24"/>
  <c r="L334" i="24"/>
  <c r="P226" i="24"/>
  <c r="O226" i="24"/>
  <c r="L226" i="24"/>
  <c r="P225" i="24"/>
  <c r="O225" i="24"/>
  <c r="L225" i="24"/>
  <c r="P118" i="24"/>
  <c r="O118" i="24"/>
  <c r="L118" i="24"/>
  <c r="P117" i="24"/>
  <c r="O117" i="24"/>
  <c r="L117" i="24"/>
  <c r="C335" i="24"/>
  <c r="B335" i="24"/>
  <c r="C334" i="24"/>
  <c r="B334" i="24"/>
  <c r="C226" i="24"/>
  <c r="B226" i="24"/>
  <c r="C225" i="24"/>
  <c r="B225" i="24"/>
  <c r="C118" i="24"/>
  <c r="B118" i="24"/>
  <c r="C117" i="24"/>
  <c r="B117" i="24"/>
  <c r="P26" i="24"/>
  <c r="O26" i="24"/>
  <c r="L26" i="24"/>
  <c r="C26" i="24"/>
  <c r="B26" i="24"/>
  <c r="P22" i="24"/>
  <c r="O22" i="24"/>
  <c r="L22" i="24"/>
  <c r="C22" i="24"/>
  <c r="B22" i="24"/>
  <c r="P20" i="24"/>
  <c r="O20" i="24"/>
  <c r="L20" i="24"/>
  <c r="C20" i="24"/>
  <c r="B20" i="24"/>
  <c r="P19" i="24"/>
  <c r="O19" i="24"/>
  <c r="L19" i="24"/>
  <c r="C19" i="24"/>
  <c r="B19" i="24"/>
  <c r="P17" i="24"/>
  <c r="O17" i="24"/>
  <c r="L17" i="24"/>
  <c r="C17" i="24"/>
  <c r="B17" i="24"/>
  <c r="P15" i="24"/>
  <c r="O15" i="24"/>
  <c r="L15" i="24"/>
  <c r="C15" i="24"/>
  <c r="B15" i="24"/>
  <c r="P12" i="24"/>
  <c r="O12" i="24"/>
  <c r="L12" i="24"/>
  <c r="C12" i="24"/>
  <c r="B12" i="24"/>
  <c r="P11" i="24"/>
  <c r="O11" i="24"/>
  <c r="L11" i="24"/>
  <c r="C11" i="24"/>
  <c r="B11" i="24"/>
  <c r="A406" i="24"/>
  <c r="A370" i="24"/>
  <c r="A368" i="24"/>
  <c r="A405" i="24" s="1"/>
  <c r="A367" i="24"/>
  <c r="A366" i="24"/>
  <c r="A365" i="24"/>
  <c r="A363" i="24"/>
  <c r="A380" i="24" s="1"/>
  <c r="A404" i="24" s="1"/>
  <c r="A362" i="24"/>
  <c r="A361" i="24"/>
  <c r="A379" i="24" s="1"/>
  <c r="A360" i="24"/>
  <c r="A378" i="24" s="1"/>
  <c r="A359" i="24"/>
  <c r="A377" i="24" s="1"/>
  <c r="A358" i="24"/>
  <c r="A357" i="24"/>
  <c r="A376" i="24" s="1"/>
  <c r="A356" i="24"/>
  <c r="A375" i="24" s="1"/>
  <c r="A355" i="24"/>
  <c r="A374" i="24" s="1"/>
  <c r="A354" i="24"/>
  <c r="A373" i="24" s="1"/>
  <c r="A385" i="24" s="1"/>
  <c r="P350" i="24"/>
  <c r="O350" i="24"/>
  <c r="L350" i="24"/>
  <c r="C350" i="24"/>
  <c r="B350" i="24"/>
  <c r="P348" i="24"/>
  <c r="O348" i="24"/>
  <c r="L348" i="24"/>
  <c r="C348" i="24"/>
  <c r="B348" i="24"/>
  <c r="P347" i="24"/>
  <c r="O347" i="24"/>
  <c r="L347" i="24"/>
  <c r="C347" i="24"/>
  <c r="B347" i="24"/>
  <c r="P346" i="24"/>
  <c r="O346" i="24"/>
  <c r="L346" i="24"/>
  <c r="C346" i="24"/>
  <c r="B346" i="24"/>
  <c r="P341" i="24"/>
  <c r="O341" i="24"/>
  <c r="L341" i="24"/>
  <c r="C341" i="24"/>
  <c r="B341" i="24"/>
  <c r="P339" i="24"/>
  <c r="O339" i="24"/>
  <c r="L339" i="24"/>
  <c r="C339" i="24"/>
  <c r="B339" i="24"/>
  <c r="P337" i="24"/>
  <c r="O337" i="24"/>
  <c r="L337" i="24"/>
  <c r="C337" i="24"/>
  <c r="B337" i="24"/>
  <c r="P336" i="24"/>
  <c r="O336" i="24"/>
  <c r="L336" i="24"/>
  <c r="C336" i="24"/>
  <c r="B336" i="24"/>
  <c r="A297" i="24"/>
  <c r="A261" i="24"/>
  <c r="A259" i="24"/>
  <c r="A296" i="24" s="1"/>
  <c r="A258" i="24"/>
  <c r="A257" i="24"/>
  <c r="A256" i="24"/>
  <c r="A254" i="24"/>
  <c r="A271" i="24" s="1"/>
  <c r="A253" i="24"/>
  <c r="A252" i="24"/>
  <c r="A270" i="24" s="1"/>
  <c r="A251" i="24"/>
  <c r="A269" i="24" s="1"/>
  <c r="A250" i="24"/>
  <c r="A268" i="24" s="1"/>
  <c r="A249" i="24"/>
  <c r="A248" i="24"/>
  <c r="A267" i="24" s="1"/>
  <c r="A279" i="24" s="1"/>
  <c r="A247" i="24"/>
  <c r="A266" i="24" s="1"/>
  <c r="A246" i="24"/>
  <c r="A265" i="24" s="1"/>
  <c r="A245" i="24"/>
  <c r="A264" i="24" s="1"/>
  <c r="P241" i="24"/>
  <c r="O241" i="24"/>
  <c r="L241" i="24"/>
  <c r="C241" i="24"/>
  <c r="B241" i="24"/>
  <c r="P239" i="24"/>
  <c r="O239" i="24"/>
  <c r="L239" i="24"/>
  <c r="C239" i="24"/>
  <c r="B239" i="24"/>
  <c r="P238" i="24"/>
  <c r="O238" i="24"/>
  <c r="L238" i="24"/>
  <c r="C238" i="24"/>
  <c r="B238" i="24"/>
  <c r="P237" i="24"/>
  <c r="O237" i="24"/>
  <c r="L237" i="24"/>
  <c r="C237" i="24"/>
  <c r="B237" i="24"/>
  <c r="P232" i="24"/>
  <c r="O232" i="24"/>
  <c r="L232" i="24"/>
  <c r="C232" i="24"/>
  <c r="B232" i="24"/>
  <c r="P230" i="24"/>
  <c r="O230" i="24"/>
  <c r="L230" i="24"/>
  <c r="C230" i="24"/>
  <c r="B230" i="24"/>
  <c r="P228" i="24"/>
  <c r="O228" i="24"/>
  <c r="L228" i="24"/>
  <c r="C228" i="24"/>
  <c r="B228" i="24"/>
  <c r="P227" i="24"/>
  <c r="O227" i="24"/>
  <c r="L227" i="24"/>
  <c r="C227" i="24"/>
  <c r="B227" i="24"/>
  <c r="A189" i="24"/>
  <c r="A153" i="24"/>
  <c r="A151" i="24"/>
  <c r="A188" i="24" s="1"/>
  <c r="A150" i="24"/>
  <c r="A149" i="24"/>
  <c r="A148" i="24"/>
  <c r="A146" i="24"/>
  <c r="A163" i="24" s="1"/>
  <c r="A145" i="24"/>
  <c r="A144" i="24"/>
  <c r="A162" i="24" s="1"/>
  <c r="A143" i="24"/>
  <c r="A161" i="24" s="1"/>
  <c r="A142" i="24"/>
  <c r="A160" i="24" s="1"/>
  <c r="A141" i="24"/>
  <c r="A140" i="24"/>
  <c r="A159" i="24" s="1"/>
  <c r="A171" i="24" s="1"/>
  <c r="A139" i="24"/>
  <c r="A158" i="24" s="1"/>
  <c r="A138" i="24"/>
  <c r="A157" i="24" s="1"/>
  <c r="A169" i="24" s="1"/>
  <c r="A137" i="24"/>
  <c r="A156" i="24" s="1"/>
  <c r="P133" i="24"/>
  <c r="O133" i="24"/>
  <c r="L133" i="24"/>
  <c r="C133" i="24"/>
  <c r="B133" i="24"/>
  <c r="P131" i="24"/>
  <c r="O131" i="24"/>
  <c r="L131" i="24"/>
  <c r="C131" i="24"/>
  <c r="B131" i="24"/>
  <c r="P130" i="24"/>
  <c r="O130" i="24"/>
  <c r="L130" i="24"/>
  <c r="C130" i="24"/>
  <c r="B130" i="24"/>
  <c r="P129" i="24"/>
  <c r="O129" i="24"/>
  <c r="L129" i="24"/>
  <c r="C129" i="24"/>
  <c r="B129" i="24"/>
  <c r="P124" i="24"/>
  <c r="O124" i="24"/>
  <c r="L124" i="24"/>
  <c r="C124" i="24"/>
  <c r="B124" i="24"/>
  <c r="P122" i="24"/>
  <c r="O122" i="24"/>
  <c r="L122" i="24"/>
  <c r="C122" i="24"/>
  <c r="B122" i="24"/>
  <c r="P120" i="24"/>
  <c r="O120" i="24"/>
  <c r="L120" i="24"/>
  <c r="C120" i="24"/>
  <c r="B120" i="24"/>
  <c r="P119" i="24"/>
  <c r="O119" i="24"/>
  <c r="L119" i="24"/>
  <c r="C119" i="24"/>
  <c r="B119" i="24"/>
  <c r="A83" i="24"/>
  <c r="A47" i="24"/>
  <c r="A45" i="24"/>
  <c r="A82" i="24" s="1"/>
  <c r="A44" i="24"/>
  <c r="A43" i="24"/>
  <c r="A42" i="24"/>
  <c r="A40" i="24"/>
  <c r="A57" i="24" s="1"/>
  <c r="A81" i="24" s="1"/>
  <c r="A39" i="24"/>
  <c r="A38" i="24"/>
  <c r="A56" i="24" s="1"/>
  <c r="A37" i="24"/>
  <c r="A55" i="24" s="1"/>
  <c r="A67" i="24" s="1"/>
  <c r="A36" i="24"/>
  <c r="A54" i="24" s="1"/>
  <c r="A35" i="24"/>
  <c r="A34" i="24"/>
  <c r="A53" i="24" s="1"/>
  <c r="A33" i="24"/>
  <c r="A52" i="24" s="1"/>
  <c r="A32" i="24"/>
  <c r="A51" i="24" s="1"/>
  <c r="A31" i="24"/>
  <c r="A50" i="24" s="1"/>
  <c r="A74" i="24" s="1"/>
  <c r="P27" i="24"/>
  <c r="O27" i="24"/>
  <c r="L27" i="24"/>
  <c r="C27" i="24"/>
  <c r="B27" i="24"/>
  <c r="P25" i="24"/>
  <c r="O25" i="24"/>
  <c r="L25" i="24"/>
  <c r="C25" i="24"/>
  <c r="B25" i="24"/>
  <c r="P24" i="24"/>
  <c r="O24" i="24"/>
  <c r="L24" i="24"/>
  <c r="C24" i="24"/>
  <c r="B24" i="24"/>
  <c r="P23" i="24"/>
  <c r="O23" i="24"/>
  <c r="L23" i="24"/>
  <c r="C23" i="24"/>
  <c r="B23" i="24"/>
  <c r="P18" i="24"/>
  <c r="O18" i="24"/>
  <c r="L18" i="24"/>
  <c r="C18" i="24"/>
  <c r="B18" i="24"/>
  <c r="P16" i="24"/>
  <c r="O16" i="24"/>
  <c r="L16" i="24"/>
  <c r="C16" i="24"/>
  <c r="B16" i="24"/>
  <c r="P14" i="24"/>
  <c r="O14" i="24"/>
  <c r="L14" i="24"/>
  <c r="C14" i="24"/>
  <c r="B14" i="24"/>
  <c r="P13" i="24"/>
  <c r="O13" i="24"/>
  <c r="L13" i="24"/>
  <c r="C13" i="24"/>
  <c r="B13" i="24"/>
  <c r="P350" i="13"/>
  <c r="O350" i="13"/>
  <c r="L350" i="13"/>
  <c r="P348" i="13"/>
  <c r="O348" i="13"/>
  <c r="L348" i="13"/>
  <c r="P347" i="13"/>
  <c r="O347" i="13"/>
  <c r="L347" i="13"/>
  <c r="P346" i="13"/>
  <c r="O346" i="13"/>
  <c r="L346" i="13"/>
  <c r="P341" i="13"/>
  <c r="O341" i="13"/>
  <c r="L341" i="13"/>
  <c r="P339" i="13"/>
  <c r="O339" i="13"/>
  <c r="L339" i="13"/>
  <c r="P337" i="13"/>
  <c r="O337" i="13"/>
  <c r="L337" i="13"/>
  <c r="P336" i="13"/>
  <c r="O336" i="13"/>
  <c r="L336" i="13"/>
  <c r="C350" i="13"/>
  <c r="B350" i="13"/>
  <c r="C348" i="13"/>
  <c r="B348" i="13"/>
  <c r="C347" i="13"/>
  <c r="B347" i="13"/>
  <c r="C346" i="13"/>
  <c r="B346" i="13"/>
  <c r="C341" i="13"/>
  <c r="B341" i="13"/>
  <c r="C339" i="13"/>
  <c r="B339" i="13"/>
  <c r="C337" i="13"/>
  <c r="B337" i="13"/>
  <c r="C336" i="13"/>
  <c r="B336" i="13"/>
  <c r="P241" i="13"/>
  <c r="O241" i="13"/>
  <c r="L241" i="13"/>
  <c r="P239" i="13"/>
  <c r="O239" i="13"/>
  <c r="L239" i="13"/>
  <c r="P238" i="13"/>
  <c r="O238" i="13"/>
  <c r="L238" i="13"/>
  <c r="P237" i="13"/>
  <c r="O237" i="13"/>
  <c r="L237" i="13"/>
  <c r="P232" i="13"/>
  <c r="O232" i="13"/>
  <c r="L232" i="13"/>
  <c r="P230" i="13"/>
  <c r="O230" i="13"/>
  <c r="L230" i="13"/>
  <c r="P228" i="13"/>
  <c r="O228" i="13"/>
  <c r="L228" i="13"/>
  <c r="P227" i="13"/>
  <c r="O227" i="13"/>
  <c r="L227" i="13"/>
  <c r="C241" i="13"/>
  <c r="B241" i="13"/>
  <c r="C239" i="13"/>
  <c r="B239" i="13"/>
  <c r="C238" i="13"/>
  <c r="B238" i="13"/>
  <c r="C237" i="13"/>
  <c r="B237" i="13"/>
  <c r="C232" i="13"/>
  <c r="B232" i="13"/>
  <c r="C230" i="13"/>
  <c r="B230" i="13"/>
  <c r="C228" i="13"/>
  <c r="B228" i="13"/>
  <c r="C227" i="13"/>
  <c r="B227" i="13"/>
  <c r="P133" i="13"/>
  <c r="O133" i="13"/>
  <c r="L133" i="13"/>
  <c r="P131" i="13"/>
  <c r="O131" i="13"/>
  <c r="L131" i="13"/>
  <c r="P130" i="13"/>
  <c r="O130" i="13"/>
  <c r="L130" i="13"/>
  <c r="P129" i="13"/>
  <c r="O129" i="13"/>
  <c r="L129" i="13"/>
  <c r="P124" i="13"/>
  <c r="O124" i="13"/>
  <c r="L124" i="13"/>
  <c r="P122" i="13"/>
  <c r="O122" i="13"/>
  <c r="L122" i="13"/>
  <c r="P120" i="13"/>
  <c r="O120" i="13"/>
  <c r="L120" i="13"/>
  <c r="P119" i="13"/>
  <c r="O119" i="13"/>
  <c r="L119" i="13"/>
  <c r="C133" i="13"/>
  <c r="B133" i="13"/>
  <c r="C131" i="13"/>
  <c r="B131" i="13"/>
  <c r="C130" i="13"/>
  <c r="B130" i="13"/>
  <c r="C129" i="13"/>
  <c r="B129" i="13"/>
  <c r="C124" i="13"/>
  <c r="B124" i="13"/>
  <c r="C122" i="13"/>
  <c r="B122" i="13"/>
  <c r="C120" i="13"/>
  <c r="B120" i="13"/>
  <c r="C119" i="13"/>
  <c r="B119" i="13"/>
  <c r="P349" i="13"/>
  <c r="O349" i="13"/>
  <c r="L349" i="13"/>
  <c r="P345" i="13"/>
  <c r="O345" i="13"/>
  <c r="L345" i="13"/>
  <c r="P343" i="13"/>
  <c r="O343" i="13"/>
  <c r="L343" i="13"/>
  <c r="P342" i="13"/>
  <c r="O342" i="13"/>
  <c r="L342" i="13"/>
  <c r="P340" i="13"/>
  <c r="O340" i="13"/>
  <c r="L340" i="13"/>
  <c r="P338" i="13"/>
  <c r="O338" i="13"/>
  <c r="L338" i="13"/>
  <c r="P335" i="13"/>
  <c r="O335" i="13"/>
  <c r="L335" i="13"/>
  <c r="P334" i="13"/>
  <c r="O334" i="13"/>
  <c r="L334" i="13"/>
  <c r="P240" i="13"/>
  <c r="O240" i="13"/>
  <c r="L240" i="13"/>
  <c r="P236" i="13"/>
  <c r="O236" i="13"/>
  <c r="L236" i="13"/>
  <c r="P234" i="13"/>
  <c r="O234" i="13"/>
  <c r="L234" i="13"/>
  <c r="P233" i="13"/>
  <c r="O233" i="13"/>
  <c r="L233" i="13"/>
  <c r="P231" i="13"/>
  <c r="O231" i="13"/>
  <c r="L231" i="13"/>
  <c r="P229" i="13"/>
  <c r="O229" i="13"/>
  <c r="L229" i="13"/>
  <c r="P226" i="13"/>
  <c r="O226" i="13"/>
  <c r="L226" i="13"/>
  <c r="P225" i="13"/>
  <c r="O225" i="13"/>
  <c r="L225" i="13"/>
  <c r="P132" i="13"/>
  <c r="O132" i="13"/>
  <c r="L132" i="13"/>
  <c r="P126" i="13"/>
  <c r="O126" i="13"/>
  <c r="L126" i="13"/>
  <c r="P125" i="13"/>
  <c r="O125" i="13"/>
  <c r="L125" i="13"/>
  <c r="P123" i="13"/>
  <c r="O123" i="13"/>
  <c r="L123" i="13"/>
  <c r="P121" i="13"/>
  <c r="O121" i="13"/>
  <c r="L121" i="13"/>
  <c r="P118" i="13"/>
  <c r="O118" i="13"/>
  <c r="L118" i="13"/>
  <c r="P117" i="13"/>
  <c r="O117" i="13"/>
  <c r="L117" i="13"/>
  <c r="C349" i="13"/>
  <c r="B349" i="13"/>
  <c r="C345" i="13"/>
  <c r="B345" i="13"/>
  <c r="C343" i="13"/>
  <c r="B343" i="13"/>
  <c r="C342" i="13"/>
  <c r="B342" i="13"/>
  <c r="C340" i="13"/>
  <c r="B340" i="13"/>
  <c r="C338" i="13"/>
  <c r="B338" i="13"/>
  <c r="C335" i="13"/>
  <c r="B335" i="13"/>
  <c r="C334" i="13"/>
  <c r="B334" i="13"/>
  <c r="C240" i="13"/>
  <c r="B240" i="13"/>
  <c r="C236" i="13"/>
  <c r="B236" i="13"/>
  <c r="C234" i="13"/>
  <c r="B234" i="13"/>
  <c r="C233" i="13"/>
  <c r="B233" i="13"/>
  <c r="C231" i="13"/>
  <c r="B231" i="13"/>
  <c r="C229" i="13"/>
  <c r="B229" i="13"/>
  <c r="C226" i="13"/>
  <c r="B226" i="13"/>
  <c r="C225" i="13"/>
  <c r="B225" i="13"/>
  <c r="C132" i="13"/>
  <c r="B132" i="13"/>
  <c r="C126" i="13"/>
  <c r="B126" i="13"/>
  <c r="C125" i="13"/>
  <c r="B125" i="13"/>
  <c r="C123" i="13"/>
  <c r="B123" i="13"/>
  <c r="C121" i="13"/>
  <c r="B121" i="13"/>
  <c r="C118" i="13"/>
  <c r="B118" i="13"/>
  <c r="C117" i="13"/>
  <c r="B117" i="13"/>
  <c r="P22" i="13"/>
  <c r="P20" i="13"/>
  <c r="P19" i="13"/>
  <c r="P17" i="13"/>
  <c r="P15" i="13"/>
  <c r="P12" i="13"/>
  <c r="P11" i="13"/>
  <c r="O26" i="13"/>
  <c r="O22" i="13"/>
  <c r="O20" i="13"/>
  <c r="O19" i="13"/>
  <c r="O17" i="13"/>
  <c r="O15" i="13"/>
  <c r="O12" i="13"/>
  <c r="O11" i="13"/>
  <c r="L26" i="13"/>
  <c r="L22" i="13"/>
  <c r="L20" i="13"/>
  <c r="L19" i="13"/>
  <c r="L17" i="13"/>
  <c r="L15" i="13"/>
  <c r="L12" i="13"/>
  <c r="L11" i="13"/>
  <c r="P26" i="13"/>
  <c r="C26" i="13"/>
  <c r="C27" i="13"/>
  <c r="B26" i="13"/>
  <c r="C15" i="13"/>
  <c r="G17" i="33" l="1"/>
  <c r="D53" i="34" s="1"/>
  <c r="DW17" i="33"/>
  <c r="W63" i="34" s="1"/>
  <c r="DR17" i="33"/>
  <c r="W58" i="34" s="1"/>
  <c r="Q17" i="33"/>
  <c r="D63" i="34" s="1"/>
  <c r="BO17" i="33"/>
  <c r="N58" i="34" s="1"/>
  <c r="DH17" i="33"/>
  <c r="W48" i="34" s="1"/>
  <c r="B17" i="33"/>
  <c r="D48" i="34" s="1"/>
  <c r="DM17" i="33"/>
  <c r="W53" i="34" s="1"/>
  <c r="BJ17" i="33"/>
  <c r="N53" i="34" s="1"/>
  <c r="BE17" i="33"/>
  <c r="N48" i="34" s="1"/>
  <c r="L17" i="33"/>
  <c r="D58" i="34" s="1"/>
  <c r="BT17" i="33"/>
  <c r="N63" i="34" s="1"/>
  <c r="C191" i="32"/>
  <c r="F44" i="28" s="1"/>
  <c r="U191" i="32"/>
  <c r="X44" i="28" s="1"/>
  <c r="N299" i="32"/>
  <c r="Q45" i="28" s="1"/>
  <c r="R299" i="32"/>
  <c r="U45" i="28" s="1"/>
  <c r="AA299" i="32"/>
  <c r="AD45" i="28" s="1"/>
  <c r="C299" i="32"/>
  <c r="F45" i="28" s="1"/>
  <c r="AB191" i="32"/>
  <c r="AE44" i="28" s="1"/>
  <c r="W191" i="32"/>
  <c r="Z44" i="28" s="1"/>
  <c r="Y191" i="32"/>
  <c r="AB44" i="28" s="1"/>
  <c r="Y299" i="32"/>
  <c r="AB45" i="28" s="1"/>
  <c r="M408" i="32"/>
  <c r="P46" i="28" s="1"/>
  <c r="O299" i="32"/>
  <c r="R45" i="28" s="1"/>
  <c r="U299" i="32"/>
  <c r="X45" i="28" s="1"/>
  <c r="O408" i="32"/>
  <c r="R46" i="28" s="1"/>
  <c r="Z299" i="32"/>
  <c r="AC45" i="28" s="1"/>
  <c r="C408" i="32"/>
  <c r="F46" i="28" s="1"/>
  <c r="N408" i="32"/>
  <c r="Q46" i="28" s="1"/>
  <c r="W299" i="32"/>
  <c r="Z45" i="28" s="1"/>
  <c r="R191" i="32"/>
  <c r="U44" i="28" s="1"/>
  <c r="I299" i="32"/>
  <c r="L45" i="28" s="1"/>
  <c r="Q191" i="32"/>
  <c r="T44" i="28" s="1"/>
  <c r="J299" i="32"/>
  <c r="M45" i="28" s="1"/>
  <c r="W408" i="32"/>
  <c r="Z46" i="28" s="1"/>
  <c r="Q408" i="32"/>
  <c r="T46" i="28" s="1"/>
  <c r="H299" i="32"/>
  <c r="K45" i="28" s="1"/>
  <c r="L191" i="32"/>
  <c r="O44" i="28" s="1"/>
  <c r="E191" i="32"/>
  <c r="H44" i="28" s="1"/>
  <c r="V191" i="32"/>
  <c r="Y44" i="28" s="1"/>
  <c r="T191" i="32"/>
  <c r="W44" i="28" s="1"/>
  <c r="AA408" i="32"/>
  <c r="AD46" i="28" s="1"/>
  <c r="I408" i="32"/>
  <c r="L46" i="28" s="1"/>
  <c r="T299" i="32"/>
  <c r="W45" i="28" s="1"/>
  <c r="AC299" i="32"/>
  <c r="AF45" i="28" s="1"/>
  <c r="M299" i="32"/>
  <c r="P45" i="28" s="1"/>
  <c r="X191" i="32"/>
  <c r="AA44" i="28" s="1"/>
  <c r="H191" i="32"/>
  <c r="K44" i="28" s="1"/>
  <c r="P191" i="32"/>
  <c r="S44" i="28" s="1"/>
  <c r="Y408" i="32"/>
  <c r="AB46" i="28" s="1"/>
  <c r="P299" i="32"/>
  <c r="S45" i="28" s="1"/>
  <c r="Z85" i="32"/>
  <c r="AC42" i="28" s="1"/>
  <c r="R85" i="32"/>
  <c r="U42" i="28" s="1"/>
  <c r="I85" i="32"/>
  <c r="L42" i="28" s="1"/>
  <c r="C85" i="32"/>
  <c r="F42" i="28" s="1"/>
  <c r="N85" i="32"/>
  <c r="Q42" i="28" s="1"/>
  <c r="P408" i="32"/>
  <c r="S46" i="28" s="1"/>
  <c r="H408" i="32"/>
  <c r="K46" i="28" s="1"/>
  <c r="E408" i="32"/>
  <c r="H46" i="28" s="1"/>
  <c r="T408" i="32"/>
  <c r="W46" i="28" s="1"/>
  <c r="K408" i="32"/>
  <c r="N46" i="28" s="1"/>
  <c r="AC408" i="32"/>
  <c r="AF46" i="28" s="1"/>
  <c r="V299" i="32"/>
  <c r="Y45" i="28" s="1"/>
  <c r="F299" i="32"/>
  <c r="I45" i="28" s="1"/>
  <c r="K299" i="32"/>
  <c r="N45" i="28" s="1"/>
  <c r="D299" i="32"/>
  <c r="G45" i="28" s="1"/>
  <c r="M191" i="32"/>
  <c r="P44" i="28" s="1"/>
  <c r="F191" i="32"/>
  <c r="I44" i="28" s="1"/>
  <c r="G191" i="32"/>
  <c r="J44" i="28" s="1"/>
  <c r="I191" i="32"/>
  <c r="L44" i="28" s="1"/>
  <c r="K191" i="32"/>
  <c r="N44" i="28" s="1"/>
  <c r="N191" i="32"/>
  <c r="Q44" i="28" s="1"/>
  <c r="L299" i="32"/>
  <c r="O45" i="28" s="1"/>
  <c r="X299" i="32"/>
  <c r="AA45" i="28" s="1"/>
  <c r="B299" i="32"/>
  <c r="E45" i="28" s="1"/>
  <c r="J191" i="32"/>
  <c r="M44" i="28" s="1"/>
  <c r="B408" i="32"/>
  <c r="E46" i="28" s="1"/>
  <c r="AB408" i="32"/>
  <c r="AE46" i="28" s="1"/>
  <c r="Z191" i="32"/>
  <c r="AC44" i="28" s="1"/>
  <c r="E85" i="32"/>
  <c r="H42" i="28" s="1"/>
  <c r="S408" i="32"/>
  <c r="V46" i="28" s="1"/>
  <c r="G408" i="32"/>
  <c r="J46" i="28" s="1"/>
  <c r="V408" i="32"/>
  <c r="Y46" i="28" s="1"/>
  <c r="AC191" i="32"/>
  <c r="AF44" i="28" s="1"/>
  <c r="B191" i="32"/>
  <c r="E44" i="28" s="1"/>
  <c r="J408" i="32"/>
  <c r="M46" i="28" s="1"/>
  <c r="D408" i="32"/>
  <c r="G46" i="28" s="1"/>
  <c r="AA191" i="32"/>
  <c r="AD44" i="28" s="1"/>
  <c r="S191" i="32"/>
  <c r="V44" i="28" s="1"/>
  <c r="X408" i="32"/>
  <c r="AA46" i="28" s="1"/>
  <c r="AB299" i="32"/>
  <c r="AE45" i="28" s="1"/>
  <c r="R408" i="32"/>
  <c r="U46" i="28" s="1"/>
  <c r="Z408" i="32"/>
  <c r="AC46" i="28" s="1"/>
  <c r="G299" i="32"/>
  <c r="J45" i="28" s="1"/>
  <c r="O191" i="32"/>
  <c r="R44" i="28" s="1"/>
  <c r="Q299" i="32"/>
  <c r="T45" i="28" s="1"/>
  <c r="Q85" i="32"/>
  <c r="T42" i="28" s="1"/>
  <c r="AC85" i="32"/>
  <c r="AF42" i="28" s="1"/>
  <c r="D191" i="32"/>
  <c r="G44" i="28" s="1"/>
  <c r="F408" i="32"/>
  <c r="I46" i="28" s="1"/>
  <c r="U408" i="32"/>
  <c r="X46" i="28" s="1"/>
  <c r="L408" i="32"/>
  <c r="O46" i="28" s="1"/>
  <c r="S299" i="32"/>
  <c r="V45" i="28" s="1"/>
  <c r="E299" i="32"/>
  <c r="H45" i="28" s="1"/>
  <c r="AA85" i="32"/>
  <c r="AD42" i="28" s="1"/>
  <c r="U85" i="32"/>
  <c r="X42" i="28" s="1"/>
  <c r="V85" i="32"/>
  <c r="Y42" i="28" s="1"/>
  <c r="W85" i="32"/>
  <c r="Z42" i="28" s="1"/>
  <c r="H85" i="32"/>
  <c r="K42" i="28" s="1"/>
  <c r="O85" i="32"/>
  <c r="R42" i="28" s="1"/>
  <c r="D85" i="32"/>
  <c r="G42" i="28" s="1"/>
  <c r="X85" i="32"/>
  <c r="AA42" i="28" s="1"/>
  <c r="F85" i="32"/>
  <c r="I42" i="28" s="1"/>
  <c r="B85" i="32"/>
  <c r="E42" i="28" s="1"/>
  <c r="L85" i="32"/>
  <c r="O42" i="28" s="1"/>
  <c r="M85" i="32"/>
  <c r="P42" i="28" s="1"/>
  <c r="Y85" i="32"/>
  <c r="AB42" i="28" s="1"/>
  <c r="T85" i="32"/>
  <c r="W42" i="28" s="1"/>
  <c r="P85" i="32"/>
  <c r="S42" i="28" s="1"/>
  <c r="AB85" i="32"/>
  <c r="AE42" i="28" s="1"/>
  <c r="G85" i="32"/>
  <c r="J42" i="28" s="1"/>
  <c r="S85" i="32"/>
  <c r="V42" i="28" s="1"/>
  <c r="J85" i="32"/>
  <c r="M42" i="28" s="1"/>
  <c r="K85" i="32"/>
  <c r="N42" i="28" s="1"/>
  <c r="A280" i="26"/>
  <c r="A182" i="26"/>
  <c r="A170" i="26"/>
  <c r="A68" i="26"/>
  <c r="A399" i="25"/>
  <c r="A387" i="25"/>
  <c r="A283" i="25"/>
  <c r="A291" i="25"/>
  <c r="A174" i="25"/>
  <c r="A67" i="25"/>
  <c r="A397" i="24"/>
  <c r="A172" i="24"/>
  <c r="A184" i="24"/>
  <c r="A183" i="24"/>
  <c r="A79" i="24"/>
  <c r="AF236" i="26"/>
  <c r="Q256" i="26" s="1"/>
  <c r="Y20" i="24"/>
  <c r="J40" i="24" s="1"/>
  <c r="Z335" i="24"/>
  <c r="K355" i="24" s="1"/>
  <c r="AA123" i="24"/>
  <c r="L143" i="24" s="1"/>
  <c r="AP241" i="24"/>
  <c r="AA261" i="24" s="1"/>
  <c r="AE336" i="24"/>
  <c r="P356" i="24" s="1"/>
  <c r="AE117" i="26"/>
  <c r="P137" i="26" s="1"/>
  <c r="V121" i="26"/>
  <c r="G141" i="26" s="1"/>
  <c r="AN128" i="26"/>
  <c r="Y148" i="26" s="1"/>
  <c r="T128" i="26"/>
  <c r="E148" i="26" s="1"/>
  <c r="AF15" i="26"/>
  <c r="Q35" i="26" s="1"/>
  <c r="AN117" i="26"/>
  <c r="Y137" i="26" s="1"/>
  <c r="AQ128" i="26"/>
  <c r="AB148" i="26" s="1"/>
  <c r="AG231" i="24"/>
  <c r="R251" i="24" s="1"/>
  <c r="AA18" i="25"/>
  <c r="L38" i="25" s="1"/>
  <c r="AF20" i="25"/>
  <c r="Q40" i="25" s="1"/>
  <c r="AQ20" i="26"/>
  <c r="AB40" i="26" s="1"/>
  <c r="AQ225" i="26"/>
  <c r="AB245" i="26" s="1"/>
  <c r="S123" i="26"/>
  <c r="D143" i="26" s="1"/>
  <c r="AN234" i="26"/>
  <c r="Y254" i="26" s="1"/>
  <c r="V240" i="26"/>
  <c r="AR131" i="26"/>
  <c r="Y236" i="26"/>
  <c r="J256" i="26" s="1"/>
  <c r="AI130" i="24"/>
  <c r="T150" i="24" s="1"/>
  <c r="AQ126" i="26"/>
  <c r="AB146" i="26" s="1"/>
  <c r="V117" i="26"/>
  <c r="G137" i="26" s="1"/>
  <c r="AI128" i="26"/>
  <c r="T148" i="26" s="1"/>
  <c r="AC234" i="26"/>
  <c r="N254" i="26" s="1"/>
  <c r="AO234" i="26"/>
  <c r="Z254" i="26" s="1"/>
  <c r="V20" i="26"/>
  <c r="G40" i="26" s="1"/>
  <c r="AN13" i="26"/>
  <c r="Y33" i="26" s="1"/>
  <c r="AG26" i="26"/>
  <c r="V23" i="24"/>
  <c r="G43" i="24" s="1"/>
  <c r="T121" i="24"/>
  <c r="E141" i="24" s="1"/>
  <c r="W16" i="25"/>
  <c r="AP120" i="25"/>
  <c r="AA140" i="25" s="1"/>
  <c r="AK15" i="25"/>
  <c r="V35" i="25" s="1"/>
  <c r="AO19" i="25"/>
  <c r="Z39" i="25" s="1"/>
  <c r="W117" i="25"/>
  <c r="H137" i="25" s="1"/>
  <c r="AE121" i="25"/>
  <c r="P141" i="25" s="1"/>
  <c r="AR128" i="25"/>
  <c r="AC148" i="25" s="1"/>
  <c r="W120" i="26"/>
  <c r="H140" i="26" s="1"/>
  <c r="AI26" i="24"/>
  <c r="AQ236" i="24"/>
  <c r="AB256" i="24" s="1"/>
  <c r="AJ124" i="25"/>
  <c r="U144" i="25" s="1"/>
  <c r="Y16" i="26"/>
  <c r="J36" i="26" s="1"/>
  <c r="AN236" i="26"/>
  <c r="Y256" i="26" s="1"/>
  <c r="W238" i="26"/>
  <c r="H258" i="26" s="1"/>
  <c r="S231" i="24"/>
  <c r="D251" i="24" s="1"/>
  <c r="AQ341" i="25"/>
  <c r="AB361" i="25" s="1"/>
  <c r="AR12" i="25"/>
  <c r="AC32" i="25" s="1"/>
  <c r="AJ132" i="25"/>
  <c r="AO229" i="25"/>
  <c r="Z249" i="25" s="1"/>
  <c r="AQ18" i="24"/>
  <c r="AB38" i="24" s="1"/>
  <c r="AD339" i="25"/>
  <c r="O359" i="25" s="1"/>
  <c r="AC11" i="25"/>
  <c r="N31" i="25" s="1"/>
  <c r="AR225" i="25"/>
  <c r="AC245" i="25" s="1"/>
  <c r="AM240" i="25"/>
  <c r="AR240" i="26"/>
  <c r="AA19" i="24"/>
  <c r="L39" i="24" s="1"/>
  <c r="S18" i="26"/>
  <c r="D38" i="26" s="1"/>
  <c r="AQ129" i="26"/>
  <c r="AB149" i="26" s="1"/>
  <c r="AN125" i="24"/>
  <c r="Y145" i="24" s="1"/>
  <c r="Z119" i="24"/>
  <c r="K139" i="24" s="1"/>
  <c r="Z15" i="24"/>
  <c r="K35" i="24" s="1"/>
  <c r="AC117" i="24"/>
  <c r="N137" i="24" s="1"/>
  <c r="Q236" i="25"/>
  <c r="AD130" i="26"/>
  <c r="O150" i="26" s="1"/>
  <c r="AR118" i="26"/>
  <c r="AC138" i="26" s="1"/>
  <c r="T229" i="26"/>
  <c r="E249" i="26" s="1"/>
  <c r="X231" i="26"/>
  <c r="I251" i="26" s="1"/>
  <c r="I269" i="26" s="1"/>
  <c r="AC24" i="24"/>
  <c r="N44" i="24" s="1"/>
  <c r="T17" i="25"/>
  <c r="E37" i="25" s="1"/>
  <c r="AI22" i="25"/>
  <c r="T42" i="25" s="1"/>
  <c r="AR334" i="25"/>
  <c r="AJ126" i="25"/>
  <c r="U146" i="25" s="1"/>
  <c r="Z239" i="24"/>
  <c r="R11" i="24"/>
  <c r="C31" i="24" s="1"/>
  <c r="AK338" i="24"/>
  <c r="V358" i="24" s="1"/>
  <c r="T234" i="24"/>
  <c r="E254" i="24" s="1"/>
  <c r="AI240" i="24"/>
  <c r="Q126" i="26"/>
  <c r="B146" i="26" s="1"/>
  <c r="AN17" i="26"/>
  <c r="Y37" i="26" s="1"/>
  <c r="W335" i="26"/>
  <c r="H355" i="26" s="1"/>
  <c r="AI338" i="26"/>
  <c r="T358" i="26" s="1"/>
  <c r="AP123" i="26"/>
  <c r="AA143" i="26" s="1"/>
  <c r="X11" i="25"/>
  <c r="I31" i="25" s="1"/>
  <c r="AR226" i="25"/>
  <c r="AC246" i="25" s="1"/>
  <c r="U231" i="25"/>
  <c r="F251" i="25" s="1"/>
  <c r="AN15" i="26"/>
  <c r="Y35" i="26" s="1"/>
  <c r="AK117" i="26"/>
  <c r="V137" i="26" s="1"/>
  <c r="AD128" i="26"/>
  <c r="O148" i="26" s="1"/>
  <c r="U132" i="25"/>
  <c r="AP14" i="24"/>
  <c r="AA34" i="24" s="1"/>
  <c r="AA346" i="24"/>
  <c r="L366" i="24" s="1"/>
  <c r="X119" i="25"/>
  <c r="I139" i="25" s="1"/>
  <c r="AF229" i="25"/>
  <c r="Q249" i="25" s="1"/>
  <c r="AO237" i="25"/>
  <c r="Z257" i="25" s="1"/>
  <c r="AB337" i="25"/>
  <c r="M357" i="25" s="1"/>
  <c r="AA124" i="26"/>
  <c r="L144" i="26" s="1"/>
  <c r="V129" i="26"/>
  <c r="G149" i="26" s="1"/>
  <c r="AE227" i="26"/>
  <c r="P247" i="26" s="1"/>
  <c r="W347" i="26"/>
  <c r="H367" i="26" s="1"/>
  <c r="AP15" i="24"/>
  <c r="AA35" i="24" s="1"/>
  <c r="AN133" i="24"/>
  <c r="Y153" i="24" s="1"/>
  <c r="Z337" i="24"/>
  <c r="K357" i="24" s="1"/>
  <c r="AN27" i="25"/>
  <c r="Y47" i="25" s="1"/>
  <c r="AK19" i="25"/>
  <c r="V39" i="25" s="1"/>
  <c r="AP231" i="25"/>
  <c r="AA251" i="25" s="1"/>
  <c r="AK227" i="26"/>
  <c r="V247" i="26" s="1"/>
  <c r="AL347" i="26"/>
  <c r="W367" i="26" s="1"/>
  <c r="Y13" i="24"/>
  <c r="J33" i="24" s="1"/>
  <c r="W231" i="24"/>
  <c r="H251" i="24" s="1"/>
  <c r="AH239" i="25"/>
  <c r="AG340" i="26"/>
  <c r="R360" i="26" s="1"/>
  <c r="AF126" i="26"/>
  <c r="Q146" i="26" s="1"/>
  <c r="AD234" i="26"/>
  <c r="O254" i="26" s="1"/>
  <c r="X343" i="26"/>
  <c r="I363" i="26" s="1"/>
  <c r="AB240" i="26"/>
  <c r="T19" i="25"/>
  <c r="E39" i="25" s="1"/>
  <c r="AF14" i="26"/>
  <c r="Q34" i="26" s="1"/>
  <c r="AO16" i="26"/>
  <c r="Z36" i="26" s="1"/>
  <c r="AO25" i="26"/>
  <c r="AG237" i="26"/>
  <c r="R257" i="26" s="1"/>
  <c r="Y117" i="24"/>
  <c r="J137" i="24" s="1"/>
  <c r="S125" i="24"/>
  <c r="D145" i="24" s="1"/>
  <c r="W336" i="24"/>
  <c r="H356" i="24" s="1"/>
  <c r="AH12" i="24"/>
  <c r="S32" i="24" s="1"/>
  <c r="AR22" i="24"/>
  <c r="AC42" i="24" s="1"/>
  <c r="T118" i="24"/>
  <c r="E138" i="24" s="1"/>
  <c r="AL334" i="24"/>
  <c r="W354" i="24" s="1"/>
  <c r="AC229" i="24"/>
  <c r="N249" i="24" s="1"/>
  <c r="AM126" i="24"/>
  <c r="X146" i="24" s="1"/>
  <c r="V233" i="24"/>
  <c r="G253" i="24" s="1"/>
  <c r="AH342" i="24"/>
  <c r="S362" i="24" s="1"/>
  <c r="AP132" i="24"/>
  <c r="AG19" i="25"/>
  <c r="R39" i="25" s="1"/>
  <c r="AF132" i="25"/>
  <c r="AG17" i="26"/>
  <c r="R37" i="26" s="1"/>
  <c r="AI20" i="26"/>
  <c r="T40" i="26" s="1"/>
  <c r="U26" i="26"/>
  <c r="AG122" i="26"/>
  <c r="R142" i="26" s="1"/>
  <c r="W126" i="26"/>
  <c r="H146" i="26" s="1"/>
  <c r="R236" i="26"/>
  <c r="C256" i="26" s="1"/>
  <c r="AF237" i="26"/>
  <c r="Q257" i="26" s="1"/>
  <c r="Q335" i="26"/>
  <c r="B355" i="26" s="1"/>
  <c r="AB339" i="24"/>
  <c r="M359" i="24" s="1"/>
  <c r="Q347" i="24"/>
  <c r="B367" i="24" s="1"/>
  <c r="S120" i="26"/>
  <c r="D140" i="26" s="1"/>
  <c r="AI27" i="24"/>
  <c r="T47" i="24" s="1"/>
  <c r="V117" i="25"/>
  <c r="G137" i="25" s="1"/>
  <c r="AC226" i="25"/>
  <c r="N246" i="25" s="1"/>
  <c r="V121" i="25"/>
  <c r="G141" i="25" s="1"/>
  <c r="AB128" i="25"/>
  <c r="M148" i="25" s="1"/>
  <c r="AF341" i="26"/>
  <c r="Q361" i="26" s="1"/>
  <c r="AJ25" i="24"/>
  <c r="AI124" i="24"/>
  <c r="T144" i="24" s="1"/>
  <c r="AA350" i="24"/>
  <c r="L370" i="24" s="1"/>
  <c r="R18" i="25"/>
  <c r="C38" i="25" s="1"/>
  <c r="Z27" i="25"/>
  <c r="K47" i="25" s="1"/>
  <c r="V119" i="25"/>
  <c r="G139" i="25" s="1"/>
  <c r="AO238" i="25"/>
  <c r="Z258" i="25" s="1"/>
  <c r="AK350" i="25"/>
  <c r="AO133" i="26"/>
  <c r="Z153" i="26" s="1"/>
  <c r="AK239" i="26"/>
  <c r="AG335" i="26"/>
  <c r="R355" i="26" s="1"/>
  <c r="AE337" i="26"/>
  <c r="P357" i="26" s="1"/>
  <c r="AI347" i="26"/>
  <c r="T367" i="26" s="1"/>
  <c r="AP16" i="24"/>
  <c r="AA36" i="24" s="1"/>
  <c r="AK124" i="24"/>
  <c r="V144" i="24" s="1"/>
  <c r="AG238" i="24"/>
  <c r="R258" i="24" s="1"/>
  <c r="T241" i="24"/>
  <c r="E261" i="24" s="1"/>
  <c r="AL228" i="25"/>
  <c r="W248" i="25" s="1"/>
  <c r="U346" i="25"/>
  <c r="F366" i="25" s="1"/>
  <c r="AN350" i="25"/>
  <c r="Y370" i="25" s="1"/>
  <c r="AQ131" i="26"/>
  <c r="AL133" i="26"/>
  <c r="W153" i="26" s="1"/>
  <c r="AL346" i="26"/>
  <c r="W366" i="26" s="1"/>
  <c r="U17" i="25"/>
  <c r="F37" i="25" s="1"/>
  <c r="AR341" i="24"/>
  <c r="AC361" i="24" s="1"/>
  <c r="U126" i="25"/>
  <c r="F146" i="25" s="1"/>
  <c r="AQ133" i="25"/>
  <c r="AB153" i="25" s="1"/>
  <c r="AJ337" i="25"/>
  <c r="U357" i="25" s="1"/>
  <c r="Q122" i="26"/>
  <c r="B142" i="26" s="1"/>
  <c r="AF232" i="26"/>
  <c r="Q252" i="26" s="1"/>
  <c r="AQ341" i="26"/>
  <c r="AB361" i="26" s="1"/>
  <c r="AP120" i="24"/>
  <c r="AA140" i="24" s="1"/>
  <c r="AC227" i="24"/>
  <c r="N247" i="24" s="1"/>
  <c r="T237" i="24"/>
  <c r="E257" i="24" s="1"/>
  <c r="AK126" i="25"/>
  <c r="V146" i="25" s="1"/>
  <c r="AB226" i="25"/>
  <c r="M246" i="25" s="1"/>
  <c r="AP236" i="25"/>
  <c r="AA256" i="25" s="1"/>
  <c r="AM230" i="26"/>
  <c r="X250" i="26" s="1"/>
  <c r="AH238" i="26"/>
  <c r="S258" i="26" s="1"/>
  <c r="AA341" i="26"/>
  <c r="L361" i="26" s="1"/>
  <c r="AL20" i="26"/>
  <c r="W40" i="26" s="1"/>
  <c r="Z123" i="26"/>
  <c r="K143" i="26" s="1"/>
  <c r="Z343" i="26"/>
  <c r="K363" i="26" s="1"/>
  <c r="AO336" i="24"/>
  <c r="Z356" i="24" s="1"/>
  <c r="AO125" i="24"/>
  <c r="Z145" i="24" s="1"/>
  <c r="AF236" i="24"/>
  <c r="Q256" i="24" s="1"/>
  <c r="AQ349" i="24"/>
  <c r="AE12" i="25"/>
  <c r="P32" i="25" s="1"/>
  <c r="AG118" i="25"/>
  <c r="R138" i="25" s="1"/>
  <c r="AM229" i="25"/>
  <c r="X249" i="25" s="1"/>
  <c r="T233" i="25"/>
  <c r="E253" i="25" s="1"/>
  <c r="X132" i="25"/>
  <c r="AQ119" i="26"/>
  <c r="AB139" i="26" s="1"/>
  <c r="AO130" i="26"/>
  <c r="Z150" i="26" s="1"/>
  <c r="S341" i="26"/>
  <c r="D361" i="26" s="1"/>
  <c r="V15" i="26"/>
  <c r="G35" i="26" s="1"/>
  <c r="T26" i="26"/>
  <c r="AH117" i="26"/>
  <c r="S137" i="26" s="1"/>
  <c r="AL121" i="26"/>
  <c r="W141" i="26" s="1"/>
  <c r="AP128" i="26"/>
  <c r="AA148" i="26" s="1"/>
  <c r="AG236" i="26"/>
  <c r="R256" i="26" s="1"/>
  <c r="AF119" i="24"/>
  <c r="Q139" i="24" s="1"/>
  <c r="X129" i="24"/>
  <c r="I149" i="24" s="1"/>
  <c r="AA233" i="24"/>
  <c r="L253" i="24" s="1"/>
  <c r="AP126" i="25"/>
  <c r="AA146" i="25" s="1"/>
  <c r="AD25" i="26"/>
  <c r="AM133" i="26"/>
  <c r="X153" i="26" s="1"/>
  <c r="AK241" i="26"/>
  <c r="V261" i="26" s="1"/>
  <c r="AR13" i="24"/>
  <c r="AC33" i="24" s="1"/>
  <c r="V14" i="24"/>
  <c r="G34" i="24" s="1"/>
  <c r="Z16" i="24"/>
  <c r="K36" i="24" s="1"/>
  <c r="AG124" i="24"/>
  <c r="R144" i="24" s="1"/>
  <c r="T125" i="24"/>
  <c r="E145" i="24" s="1"/>
  <c r="W133" i="24"/>
  <c r="H153" i="24" s="1"/>
  <c r="AI231" i="24"/>
  <c r="T251" i="24" s="1"/>
  <c r="AK239" i="24"/>
  <c r="AI241" i="24"/>
  <c r="T261" i="24" s="1"/>
  <c r="X348" i="24"/>
  <c r="AE17" i="25"/>
  <c r="P37" i="25" s="1"/>
  <c r="U18" i="25"/>
  <c r="AI124" i="25"/>
  <c r="T144" i="25" s="1"/>
  <c r="Y126" i="25"/>
  <c r="J146" i="25" s="1"/>
  <c r="AO126" i="25"/>
  <c r="Z146" i="25" s="1"/>
  <c r="AI129" i="25"/>
  <c r="T149" i="25" s="1"/>
  <c r="U228" i="25"/>
  <c r="F248" i="25" s="1"/>
  <c r="AD17" i="25"/>
  <c r="O37" i="25" s="1"/>
  <c r="S14" i="26"/>
  <c r="D34" i="26" s="1"/>
  <c r="AH16" i="26"/>
  <c r="S36" i="26" s="1"/>
  <c r="Z20" i="26"/>
  <c r="K40" i="26" s="1"/>
  <c r="AN23" i="26"/>
  <c r="Y43" i="26" s="1"/>
  <c r="AF26" i="26"/>
  <c r="R117" i="26"/>
  <c r="C137" i="26" s="1"/>
  <c r="AM117" i="26"/>
  <c r="X137" i="26" s="1"/>
  <c r="AE121" i="26"/>
  <c r="P141" i="26" s="1"/>
  <c r="AG126" i="26"/>
  <c r="R146" i="26" s="1"/>
  <c r="V128" i="26"/>
  <c r="G148" i="26" s="1"/>
  <c r="AA232" i="26"/>
  <c r="L252" i="26" s="1"/>
  <c r="AP234" i="26"/>
  <c r="AA254" i="26" s="1"/>
  <c r="AP236" i="26"/>
  <c r="AA256" i="26" s="1"/>
  <c r="X341" i="26"/>
  <c r="I361" i="26" s="1"/>
  <c r="Y347" i="26"/>
  <c r="J367" i="26" s="1"/>
  <c r="AG13" i="24"/>
  <c r="R33" i="24" s="1"/>
  <c r="AG22" i="24"/>
  <c r="R42" i="24" s="1"/>
  <c r="T27" i="24"/>
  <c r="E47" i="24" s="1"/>
  <c r="W118" i="24"/>
  <c r="H138" i="24" s="1"/>
  <c r="Z125" i="24"/>
  <c r="K145" i="24" s="1"/>
  <c r="AR129" i="24"/>
  <c r="AC149" i="24" s="1"/>
  <c r="AN231" i="24"/>
  <c r="Y251" i="24" s="1"/>
  <c r="AM236" i="24"/>
  <c r="X256" i="24" s="1"/>
  <c r="AI341" i="24"/>
  <c r="T361" i="24" s="1"/>
  <c r="AM350" i="24"/>
  <c r="X370" i="24" s="1"/>
  <c r="AE11" i="24"/>
  <c r="P31" i="24" s="1"/>
  <c r="W17" i="24"/>
  <c r="H37" i="24" s="1"/>
  <c r="AH20" i="24"/>
  <c r="S40" i="24" s="1"/>
  <c r="AL225" i="24"/>
  <c r="W245" i="24" s="1"/>
  <c r="AN335" i="24"/>
  <c r="Y355" i="24" s="1"/>
  <c r="W338" i="24"/>
  <c r="H358" i="24" s="1"/>
  <c r="AL123" i="24"/>
  <c r="W143" i="24" s="1"/>
  <c r="S340" i="24"/>
  <c r="D360" i="24" s="1"/>
  <c r="AO126" i="24"/>
  <c r="Z146" i="24" s="1"/>
  <c r="AN343" i="24"/>
  <c r="Y363" i="24" s="1"/>
  <c r="Q240" i="24"/>
  <c r="AI12" i="25"/>
  <c r="T32" i="25" s="1"/>
  <c r="AI13" i="25"/>
  <c r="T33" i="25" s="1"/>
  <c r="AQ17" i="25"/>
  <c r="AB37" i="25" s="1"/>
  <c r="AA119" i="25"/>
  <c r="L139" i="25" s="1"/>
  <c r="Z126" i="25"/>
  <c r="K146" i="25" s="1"/>
  <c r="AA129" i="25"/>
  <c r="AF225" i="25"/>
  <c r="Q245" i="25" s="1"/>
  <c r="AE227" i="25"/>
  <c r="P247" i="25" s="1"/>
  <c r="R231" i="25"/>
  <c r="C251" i="25" s="1"/>
  <c r="AB11" i="25"/>
  <c r="M31" i="25" s="1"/>
  <c r="AI20" i="25"/>
  <c r="T40" i="25" s="1"/>
  <c r="W121" i="25"/>
  <c r="H141" i="25" s="1"/>
  <c r="AJ338" i="25"/>
  <c r="U358" i="25" s="1"/>
  <c r="AE14" i="26"/>
  <c r="P34" i="26" s="1"/>
  <c r="AE16" i="26"/>
  <c r="P36" i="26" s="1"/>
  <c r="AC20" i="26"/>
  <c r="N40" i="26" s="1"/>
  <c r="U117" i="26"/>
  <c r="F137" i="26" s="1"/>
  <c r="AP117" i="26"/>
  <c r="AA137" i="26" s="1"/>
  <c r="AH120" i="26"/>
  <c r="S140" i="26" s="1"/>
  <c r="AO121" i="26"/>
  <c r="Z141" i="26" s="1"/>
  <c r="AI123" i="26"/>
  <c r="T143" i="26" s="1"/>
  <c r="AN124" i="26"/>
  <c r="Y144" i="26" s="1"/>
  <c r="AI126" i="26"/>
  <c r="T146" i="26" s="1"/>
  <c r="Z128" i="26"/>
  <c r="K148" i="26" s="1"/>
  <c r="AF131" i="26"/>
  <c r="T230" i="26"/>
  <c r="E250" i="26" s="1"/>
  <c r="AE232" i="26"/>
  <c r="P252" i="26" s="1"/>
  <c r="Q236" i="26"/>
  <c r="B256" i="26" s="1"/>
  <c r="AE239" i="26"/>
  <c r="AC337" i="26"/>
  <c r="N357" i="26" s="1"/>
  <c r="AJ340" i="26"/>
  <c r="U360" i="26" s="1"/>
  <c r="AG225" i="26"/>
  <c r="R245" i="26" s="1"/>
  <c r="AI234" i="26"/>
  <c r="T254" i="26" s="1"/>
  <c r="AJ240" i="26"/>
  <c r="AJ13" i="24"/>
  <c r="U33" i="24" s="1"/>
  <c r="V27" i="24"/>
  <c r="G47" i="24" s="1"/>
  <c r="AM126" i="25"/>
  <c r="X146" i="25" s="1"/>
  <c r="AB126" i="25"/>
  <c r="M146" i="25" s="1"/>
  <c r="AR126" i="25"/>
  <c r="AC146" i="25" s="1"/>
  <c r="AQ334" i="25"/>
  <c r="AB354" i="25" s="1"/>
  <c r="Z124" i="26"/>
  <c r="K144" i="26" s="1"/>
  <c r="AK230" i="26"/>
  <c r="V250" i="26" s="1"/>
  <c r="AF241" i="24"/>
  <c r="Q261" i="24" s="1"/>
  <c r="AR350" i="24"/>
  <c r="AC370" i="24" s="1"/>
  <c r="AI24" i="24"/>
  <c r="T44" i="24" s="1"/>
  <c r="AP27" i="24"/>
  <c r="AA47" i="24" s="1"/>
  <c r="S124" i="24"/>
  <c r="D144" i="24" s="1"/>
  <c r="Z131" i="24"/>
  <c r="AO230" i="24"/>
  <c r="Z250" i="24" s="1"/>
  <c r="AI238" i="24"/>
  <c r="T258" i="24" s="1"/>
  <c r="AA336" i="24"/>
  <c r="L356" i="24" s="1"/>
  <c r="AN339" i="24"/>
  <c r="Y359" i="24" s="1"/>
  <c r="AG347" i="24"/>
  <c r="R367" i="24" s="1"/>
  <c r="AI349" i="24"/>
  <c r="S12" i="25"/>
  <c r="D32" i="25" s="1"/>
  <c r="X19" i="25"/>
  <c r="I39" i="25" s="1"/>
  <c r="AL27" i="25"/>
  <c r="W47" i="25" s="1"/>
  <c r="Q117" i="25"/>
  <c r="B137" i="25" s="1"/>
  <c r="R121" i="25"/>
  <c r="C141" i="25" s="1"/>
  <c r="AN126" i="25"/>
  <c r="Y146" i="25" s="1"/>
  <c r="AC126" i="25"/>
  <c r="N146" i="25" s="1"/>
  <c r="S128" i="25"/>
  <c r="AD131" i="25"/>
  <c r="AO133" i="25"/>
  <c r="Z153" i="25" s="1"/>
  <c r="AE231" i="25"/>
  <c r="P251" i="25" s="1"/>
  <c r="AE341" i="25"/>
  <c r="P361" i="25" s="1"/>
  <c r="S15" i="26"/>
  <c r="D35" i="26" s="1"/>
  <c r="V16" i="26"/>
  <c r="G36" i="26" s="1"/>
  <c r="AP25" i="26"/>
  <c r="W117" i="26"/>
  <c r="H137" i="26" s="1"/>
  <c r="AI120" i="26"/>
  <c r="T140" i="26" s="1"/>
  <c r="AR126" i="26"/>
  <c r="AC146" i="26" s="1"/>
  <c r="AE128" i="26"/>
  <c r="P148" i="26" s="1"/>
  <c r="AG129" i="26"/>
  <c r="R149" i="26" s="1"/>
  <c r="AG131" i="26"/>
  <c r="Z227" i="26"/>
  <c r="K247" i="26" s="1"/>
  <c r="U234" i="26"/>
  <c r="F254" i="26" s="1"/>
  <c r="AP238" i="26"/>
  <c r="AA258" i="26" s="1"/>
  <c r="W239" i="26"/>
  <c r="AN241" i="26"/>
  <c r="Y261" i="26" s="1"/>
  <c r="AR338" i="26"/>
  <c r="AC358" i="26" s="1"/>
  <c r="V18" i="24"/>
  <c r="G38" i="24" s="1"/>
  <c r="AM24" i="24"/>
  <c r="X44" i="24" s="1"/>
  <c r="S122" i="24"/>
  <c r="D142" i="24" s="1"/>
  <c r="V124" i="24"/>
  <c r="G144" i="24" s="1"/>
  <c r="Q231" i="24"/>
  <c r="B251" i="24" s="1"/>
  <c r="S336" i="24"/>
  <c r="D356" i="24" s="1"/>
  <c r="AN337" i="24"/>
  <c r="Y357" i="24" s="1"/>
  <c r="AP347" i="24"/>
  <c r="AA367" i="24" s="1"/>
  <c r="AN349" i="24"/>
  <c r="AA15" i="24"/>
  <c r="L35" i="24" s="1"/>
  <c r="AI117" i="24"/>
  <c r="T137" i="24" s="1"/>
  <c r="AN121" i="24"/>
  <c r="Y141" i="24" s="1"/>
  <c r="AF231" i="24"/>
  <c r="Q251" i="24" s="1"/>
  <c r="AI125" i="24"/>
  <c r="T145" i="24" s="1"/>
  <c r="AP128" i="24"/>
  <c r="AA148" i="24" s="1"/>
  <c r="AI236" i="24"/>
  <c r="T256" i="24" s="1"/>
  <c r="T12" i="25"/>
  <c r="E32" i="25" s="1"/>
  <c r="AK16" i="25"/>
  <c r="V36" i="25" s="1"/>
  <c r="AB19" i="25"/>
  <c r="M39" i="25" s="1"/>
  <c r="Z23" i="25"/>
  <c r="K43" i="25" s="1"/>
  <c r="Q126" i="25"/>
  <c r="B146" i="25" s="1"/>
  <c r="AG126" i="25"/>
  <c r="R146" i="25" s="1"/>
  <c r="AL231" i="25"/>
  <c r="W251" i="25" s="1"/>
  <c r="AI341" i="25"/>
  <c r="T361" i="25" s="1"/>
  <c r="W16" i="26"/>
  <c r="H36" i="26" s="1"/>
  <c r="H54" i="26" s="1"/>
  <c r="AP20" i="26"/>
  <c r="AA40" i="26" s="1"/>
  <c r="Z117" i="26"/>
  <c r="K137" i="26" s="1"/>
  <c r="AD123" i="26"/>
  <c r="O143" i="26" s="1"/>
  <c r="AJ126" i="26"/>
  <c r="U146" i="26" s="1"/>
  <c r="AF128" i="26"/>
  <c r="Q148" i="26" s="1"/>
  <c r="AJ128" i="26"/>
  <c r="U148" i="26" s="1"/>
  <c r="AA129" i="26"/>
  <c r="L149" i="26" s="1"/>
  <c r="U131" i="26"/>
  <c r="AC133" i="26"/>
  <c r="N153" i="26" s="1"/>
  <c r="U227" i="26"/>
  <c r="F247" i="26" s="1"/>
  <c r="V234" i="26"/>
  <c r="G254" i="26" s="1"/>
  <c r="Z236" i="26"/>
  <c r="K256" i="26" s="1"/>
  <c r="AN237" i="26"/>
  <c r="Y257" i="26" s="1"/>
  <c r="AJ241" i="26"/>
  <c r="AO341" i="26"/>
  <c r="Z361" i="26" s="1"/>
  <c r="AA347" i="26"/>
  <c r="L367" i="26" s="1"/>
  <c r="AH15" i="26"/>
  <c r="S35" i="26" s="1"/>
  <c r="AB227" i="24"/>
  <c r="M247" i="24" s="1"/>
  <c r="AR229" i="24"/>
  <c r="AC249" i="24" s="1"/>
  <c r="AQ237" i="24"/>
  <c r="AB257" i="24" s="1"/>
  <c r="R126" i="25"/>
  <c r="C146" i="25" s="1"/>
  <c r="AH126" i="25"/>
  <c r="S146" i="25" s="1"/>
  <c r="AL240" i="25"/>
  <c r="AF334" i="25"/>
  <c r="Q354" i="25" s="1"/>
  <c r="AR14" i="26"/>
  <c r="AC34" i="26" s="1"/>
  <c r="W131" i="26"/>
  <c r="R133" i="26"/>
  <c r="C153" i="26" s="1"/>
  <c r="Y227" i="26"/>
  <c r="J247" i="26" s="1"/>
  <c r="W241" i="26"/>
  <c r="H261" i="26" s="1"/>
  <c r="T18" i="24"/>
  <c r="E38" i="24" s="1"/>
  <c r="AQ23" i="24"/>
  <c r="AB43" i="24" s="1"/>
  <c r="V119" i="24"/>
  <c r="G139" i="24" s="1"/>
  <c r="Z120" i="24"/>
  <c r="K140" i="24" s="1"/>
  <c r="AQ124" i="24"/>
  <c r="AB144" i="24" s="1"/>
  <c r="AE130" i="24"/>
  <c r="P150" i="24" s="1"/>
  <c r="V229" i="24"/>
  <c r="G249" i="24" s="1"/>
  <c r="AN237" i="24"/>
  <c r="Y257" i="24" s="1"/>
  <c r="AJ336" i="24"/>
  <c r="U356" i="24" s="1"/>
  <c r="AG14" i="25"/>
  <c r="R34" i="25" s="1"/>
  <c r="AM17" i="25"/>
  <c r="X37" i="25" s="1"/>
  <c r="Q18" i="25"/>
  <c r="B38" i="25" s="1"/>
  <c r="AG23" i="25"/>
  <c r="R43" i="25" s="1"/>
  <c r="R27" i="25"/>
  <c r="C47" i="25" s="1"/>
  <c r="T126" i="25"/>
  <c r="E146" i="25" s="1"/>
  <c r="AP230" i="25"/>
  <c r="AA250" i="25" s="1"/>
  <c r="AA268" i="25" s="1"/>
  <c r="AI337" i="25"/>
  <c r="T357" i="25" s="1"/>
  <c r="AN20" i="26"/>
  <c r="Y40" i="26" s="1"/>
  <c r="AD117" i="26"/>
  <c r="O137" i="26" s="1"/>
  <c r="AJ122" i="26"/>
  <c r="U142" i="26" s="1"/>
  <c r="U126" i="26"/>
  <c r="F146" i="26" s="1"/>
  <c r="S128" i="26"/>
  <c r="D148" i="26" s="1"/>
  <c r="Z129" i="26"/>
  <c r="K149" i="26" s="1"/>
  <c r="U133" i="26"/>
  <c r="F153" i="26" s="1"/>
  <c r="AB225" i="26"/>
  <c r="M245" i="26" s="1"/>
  <c r="AN232" i="26"/>
  <c r="Y252" i="26" s="1"/>
  <c r="Y237" i="26"/>
  <c r="J257" i="26" s="1"/>
  <c r="AM241" i="26"/>
  <c r="X261" i="26" s="1"/>
  <c r="AA335" i="26"/>
  <c r="L355" i="26" s="1"/>
  <c r="W226" i="26"/>
  <c r="H246" i="26" s="1"/>
  <c r="AK236" i="26"/>
  <c r="V256" i="26" s="1"/>
  <c r="AQ14" i="24"/>
  <c r="AB34" i="24" s="1"/>
  <c r="AO24" i="24"/>
  <c r="Z44" i="24" s="1"/>
  <c r="AL122" i="24"/>
  <c r="W142" i="24" s="1"/>
  <c r="V123" i="24"/>
  <c r="G143" i="24" s="1"/>
  <c r="AA133" i="24"/>
  <c r="L153" i="24" s="1"/>
  <c r="W227" i="24"/>
  <c r="H247" i="24" s="1"/>
  <c r="AN227" i="24"/>
  <c r="Y247" i="24" s="1"/>
  <c r="Z238" i="24"/>
  <c r="K258" i="24" s="1"/>
  <c r="X240" i="24"/>
  <c r="U335" i="24"/>
  <c r="F355" i="24" s="1"/>
  <c r="AP335" i="24"/>
  <c r="AA355" i="24" s="1"/>
  <c r="AC338" i="24"/>
  <c r="N358" i="24" s="1"/>
  <c r="AJ341" i="24"/>
  <c r="U361" i="24" s="1"/>
  <c r="AD350" i="24"/>
  <c r="O370" i="24" s="1"/>
  <c r="AR17" i="24"/>
  <c r="AC37" i="24" s="1"/>
  <c r="AC55" i="24" s="1"/>
  <c r="AK340" i="24"/>
  <c r="V360" i="24" s="1"/>
  <c r="AG126" i="24"/>
  <c r="R146" i="24" s="1"/>
  <c r="AH14" i="25"/>
  <c r="S34" i="25" s="1"/>
  <c r="AQ120" i="25"/>
  <c r="AB140" i="25" s="1"/>
  <c r="AJ27" i="26"/>
  <c r="U47" i="26" s="1"/>
  <c r="T27" i="26"/>
  <c r="E47" i="26" s="1"/>
  <c r="AN339" i="26"/>
  <c r="Y359" i="26" s="1"/>
  <c r="AH339" i="26"/>
  <c r="S359" i="26" s="1"/>
  <c r="AC339" i="26"/>
  <c r="N359" i="26" s="1"/>
  <c r="AA339" i="26"/>
  <c r="L359" i="26" s="1"/>
  <c r="Z339" i="26"/>
  <c r="K359" i="26" s="1"/>
  <c r="AQ339" i="26"/>
  <c r="AB359" i="26" s="1"/>
  <c r="U339" i="26"/>
  <c r="F359" i="26" s="1"/>
  <c r="AP339" i="26"/>
  <c r="AA359" i="26" s="1"/>
  <c r="S339" i="26"/>
  <c r="D359" i="26" s="1"/>
  <c r="AK339" i="26"/>
  <c r="V359" i="26" s="1"/>
  <c r="R339" i="26"/>
  <c r="C359" i="26" s="1"/>
  <c r="AN348" i="26"/>
  <c r="AL348" i="26"/>
  <c r="AD348" i="26"/>
  <c r="AG12" i="26"/>
  <c r="R32" i="26" s="1"/>
  <c r="V12" i="26"/>
  <c r="G32" i="26" s="1"/>
  <c r="S12" i="26"/>
  <c r="D32" i="26" s="1"/>
  <c r="AN12" i="26"/>
  <c r="Y32" i="26" s="1"/>
  <c r="AH12" i="26"/>
  <c r="S32" i="26" s="1"/>
  <c r="AO12" i="26"/>
  <c r="Z32" i="26" s="1"/>
  <c r="AL12" i="26"/>
  <c r="W32" i="26" s="1"/>
  <c r="AI12" i="26"/>
  <c r="T32" i="26" s="1"/>
  <c r="S19" i="26"/>
  <c r="D39" i="26" s="1"/>
  <c r="AR19" i="26"/>
  <c r="AC39" i="26" s="1"/>
  <c r="AE19" i="26"/>
  <c r="P39" i="26" s="1"/>
  <c r="T19" i="26"/>
  <c r="E39" i="26" s="1"/>
  <c r="AO19" i="26"/>
  <c r="Z39" i="26" s="1"/>
  <c r="AO22" i="26"/>
  <c r="Z42" i="26" s="1"/>
  <c r="AR22" i="26"/>
  <c r="AC42" i="26" s="1"/>
  <c r="AJ22" i="26"/>
  <c r="U42" i="26" s="1"/>
  <c r="AH22" i="26"/>
  <c r="S42" i="26" s="1"/>
  <c r="U22" i="26"/>
  <c r="F42" i="26" s="1"/>
  <c r="AR334" i="26"/>
  <c r="AC354" i="26" s="1"/>
  <c r="AA334" i="26"/>
  <c r="L354" i="26" s="1"/>
  <c r="R334" i="26"/>
  <c r="C354" i="26" s="1"/>
  <c r="AB345" i="26"/>
  <c r="M365" i="26" s="1"/>
  <c r="AK345" i="26"/>
  <c r="V365" i="26" s="1"/>
  <c r="AQ11" i="24"/>
  <c r="AB31" i="24" s="1"/>
  <c r="V24" i="24"/>
  <c r="G44" i="24" s="1"/>
  <c r="AP123" i="24"/>
  <c r="AA143" i="24" s="1"/>
  <c r="AK11" i="24"/>
  <c r="V31" i="24" s="1"/>
  <c r="AI13" i="24"/>
  <c r="T33" i="24" s="1"/>
  <c r="T14" i="24"/>
  <c r="E34" i="24" s="1"/>
  <c r="AR14" i="24"/>
  <c r="AC34" i="24" s="1"/>
  <c r="Y16" i="24"/>
  <c r="J36" i="24" s="1"/>
  <c r="T23" i="24"/>
  <c r="E43" i="24" s="1"/>
  <c r="AK24" i="24"/>
  <c r="V44" i="24" s="1"/>
  <c r="AA24" i="24"/>
  <c r="L44" i="24" s="1"/>
  <c r="AP24" i="24"/>
  <c r="AA44" i="24" s="1"/>
  <c r="AE27" i="24"/>
  <c r="P47" i="24" s="1"/>
  <c r="AA119" i="24"/>
  <c r="L139" i="24" s="1"/>
  <c r="U120" i="24"/>
  <c r="F140" i="24" s="1"/>
  <c r="Z123" i="24"/>
  <c r="K143" i="24" s="1"/>
  <c r="AR123" i="24"/>
  <c r="AC143" i="24" s="1"/>
  <c r="U124" i="24"/>
  <c r="F144" i="24" s="1"/>
  <c r="AO124" i="24"/>
  <c r="Z144" i="24" s="1"/>
  <c r="AP126" i="24"/>
  <c r="AA146" i="24" s="1"/>
  <c r="V129" i="24"/>
  <c r="G149" i="24" s="1"/>
  <c r="AE133" i="24"/>
  <c r="P153" i="24" s="1"/>
  <c r="X227" i="24"/>
  <c r="I247" i="24" s="1"/>
  <c r="AQ227" i="24"/>
  <c r="AB247" i="24" s="1"/>
  <c r="Q229" i="24"/>
  <c r="B249" i="24" s="1"/>
  <c r="AL233" i="24"/>
  <c r="W253" i="24" s="1"/>
  <c r="AI237" i="24"/>
  <c r="T257" i="24" s="1"/>
  <c r="AA238" i="24"/>
  <c r="L258" i="24" s="1"/>
  <c r="AB240" i="24"/>
  <c r="V241" i="24"/>
  <c r="G261" i="24" s="1"/>
  <c r="X335" i="24"/>
  <c r="I355" i="24" s="1"/>
  <c r="AR335" i="24"/>
  <c r="AC355" i="24" s="1"/>
  <c r="T336" i="24"/>
  <c r="E356" i="24" s="1"/>
  <c r="AM336" i="24"/>
  <c r="X356" i="24" s="1"/>
  <c r="X337" i="24"/>
  <c r="I357" i="24" s="1"/>
  <c r="AG338" i="24"/>
  <c r="R358" i="24" s="1"/>
  <c r="X339" i="24"/>
  <c r="I359" i="24" s="1"/>
  <c r="AM341" i="24"/>
  <c r="X361" i="24" s="1"/>
  <c r="AN341" i="24"/>
  <c r="Y361" i="24" s="1"/>
  <c r="AK14" i="25"/>
  <c r="V34" i="25" s="1"/>
  <c r="V16" i="25"/>
  <c r="G36" i="25" s="1"/>
  <c r="AC24" i="25"/>
  <c r="N44" i="25" s="1"/>
  <c r="Q120" i="25"/>
  <c r="B140" i="25" s="1"/>
  <c r="AK130" i="25"/>
  <c r="V150" i="25" s="1"/>
  <c r="AM130" i="25"/>
  <c r="X150" i="25" s="1"/>
  <c r="AL130" i="25"/>
  <c r="W150" i="25" s="1"/>
  <c r="AD130" i="25"/>
  <c r="O150" i="25" s="1"/>
  <c r="W130" i="25"/>
  <c r="H150" i="25" s="1"/>
  <c r="V130" i="25"/>
  <c r="G150" i="25" s="1"/>
  <c r="U131" i="25"/>
  <c r="AG238" i="25"/>
  <c r="R258" i="25" s="1"/>
  <c r="Y238" i="25"/>
  <c r="J258" i="25" s="1"/>
  <c r="AD225" i="25"/>
  <c r="O245" i="25" s="1"/>
  <c r="AA225" i="25"/>
  <c r="L245" i="25" s="1"/>
  <c r="AQ128" i="25"/>
  <c r="AB148" i="25" s="1"/>
  <c r="AG128" i="25"/>
  <c r="R148" i="25" s="1"/>
  <c r="AF128" i="25"/>
  <c r="Q148" i="25" s="1"/>
  <c r="AA128" i="25"/>
  <c r="L148" i="25" s="1"/>
  <c r="T128" i="25"/>
  <c r="E148" i="25" s="1"/>
  <c r="W240" i="25"/>
  <c r="AR240" i="25"/>
  <c r="AN119" i="26"/>
  <c r="Y139" i="26" s="1"/>
  <c r="AI339" i="26"/>
  <c r="T359" i="26" s="1"/>
  <c r="AJ346" i="26"/>
  <c r="U366" i="26" s="1"/>
  <c r="AE346" i="26"/>
  <c r="P366" i="26" s="1"/>
  <c r="AB346" i="26"/>
  <c r="M366" i="26" s="1"/>
  <c r="AA346" i="26"/>
  <c r="L366" i="26" s="1"/>
  <c r="V346" i="26"/>
  <c r="G366" i="26" s="1"/>
  <c r="S346" i="26"/>
  <c r="D366" i="26" s="1"/>
  <c r="AN346" i="26"/>
  <c r="Y366" i="26" s="1"/>
  <c r="R346" i="26"/>
  <c r="C366" i="26" s="1"/>
  <c r="U24" i="25"/>
  <c r="F44" i="25" s="1"/>
  <c r="AB25" i="25"/>
  <c r="AH27" i="25"/>
  <c r="S47" i="25" s="1"/>
  <c r="AG119" i="25"/>
  <c r="R139" i="25" s="1"/>
  <c r="X120" i="25"/>
  <c r="I140" i="25" s="1"/>
  <c r="X129" i="25"/>
  <c r="I149" i="25" s="1"/>
  <c r="R130" i="25"/>
  <c r="C150" i="25" s="1"/>
  <c r="V131" i="25"/>
  <c r="AN336" i="25"/>
  <c r="Y356" i="25" s="1"/>
  <c r="AR336" i="25"/>
  <c r="AC356" i="25" s="1"/>
  <c r="AK336" i="25"/>
  <c r="V356" i="25" s="1"/>
  <c r="AF336" i="25"/>
  <c r="Q356" i="25" s="1"/>
  <c r="AD336" i="25"/>
  <c r="O356" i="25" s="1"/>
  <c r="X336" i="25"/>
  <c r="I356" i="25" s="1"/>
  <c r="T336" i="25"/>
  <c r="E356" i="25" s="1"/>
  <c r="AQ20" i="25"/>
  <c r="AB40" i="25" s="1"/>
  <c r="X226" i="25"/>
  <c r="I246" i="25" s="1"/>
  <c r="T226" i="25"/>
  <c r="E246" i="25" s="1"/>
  <c r="R226" i="25"/>
  <c r="C246" i="25" s="1"/>
  <c r="AJ226" i="25"/>
  <c r="U246" i="25" s="1"/>
  <c r="AD226" i="25"/>
  <c r="O246" i="25" s="1"/>
  <c r="AD335" i="25"/>
  <c r="O355" i="25" s="1"/>
  <c r="AI335" i="25"/>
  <c r="T355" i="25" s="1"/>
  <c r="AM335" i="25"/>
  <c r="X355" i="25" s="1"/>
  <c r="AC123" i="25"/>
  <c r="N143" i="25" s="1"/>
  <c r="AM123" i="25"/>
  <c r="X143" i="25" s="1"/>
  <c r="AL236" i="25"/>
  <c r="W256" i="25" s="1"/>
  <c r="AA236" i="25"/>
  <c r="L256" i="25" s="1"/>
  <c r="V236" i="25"/>
  <c r="G256" i="25" s="1"/>
  <c r="AH343" i="25"/>
  <c r="S363" i="25" s="1"/>
  <c r="V343" i="25"/>
  <c r="G363" i="25" s="1"/>
  <c r="AG343" i="25"/>
  <c r="R363" i="25" s="1"/>
  <c r="AK343" i="25"/>
  <c r="V363" i="25" s="1"/>
  <c r="AH349" i="25"/>
  <c r="W349" i="25"/>
  <c r="AG23" i="26"/>
  <c r="R43" i="26" s="1"/>
  <c r="AJ228" i="26"/>
  <c r="U248" i="26" s="1"/>
  <c r="AN228" i="26"/>
  <c r="Y248" i="26" s="1"/>
  <c r="AG228" i="26"/>
  <c r="R248" i="26" s="1"/>
  <c r="AC228" i="26"/>
  <c r="N248" i="26" s="1"/>
  <c r="AB228" i="26"/>
  <c r="M248" i="26" s="1"/>
  <c r="U228" i="26"/>
  <c r="F248" i="26" s="1"/>
  <c r="X336" i="26"/>
  <c r="I356" i="26" s="1"/>
  <c r="Z336" i="26"/>
  <c r="K356" i="26" s="1"/>
  <c r="AN334" i="26"/>
  <c r="Y354" i="26" s="1"/>
  <c r="AH342" i="26"/>
  <c r="S362" i="26" s="1"/>
  <c r="AR227" i="24"/>
  <c r="AC247" i="24" s="1"/>
  <c r="U11" i="24"/>
  <c r="F31" i="24" s="1"/>
  <c r="W14" i="24"/>
  <c r="H34" i="24" s="1"/>
  <c r="AJ16" i="24"/>
  <c r="U36" i="24" s="1"/>
  <c r="AE23" i="24"/>
  <c r="P43" i="24" s="1"/>
  <c r="AD24" i="24"/>
  <c r="O44" i="24" s="1"/>
  <c r="AN119" i="24"/>
  <c r="Y139" i="24" s="1"/>
  <c r="AL120" i="24"/>
  <c r="W140" i="24" s="1"/>
  <c r="AD123" i="24"/>
  <c r="O143" i="24" s="1"/>
  <c r="AA124" i="24"/>
  <c r="L144" i="24" s="1"/>
  <c r="AR124" i="24"/>
  <c r="AC144" i="24" s="1"/>
  <c r="AK129" i="24"/>
  <c r="V149" i="24" s="1"/>
  <c r="AQ229" i="24"/>
  <c r="AB249" i="24" s="1"/>
  <c r="AJ232" i="24"/>
  <c r="U252" i="24" s="1"/>
  <c r="V237" i="24"/>
  <c r="G257" i="24" s="1"/>
  <c r="AQ241" i="24"/>
  <c r="AB261" i="24" s="1"/>
  <c r="AB335" i="24"/>
  <c r="M355" i="24" s="1"/>
  <c r="Y336" i="24"/>
  <c r="J356" i="24" s="1"/>
  <c r="AQ336" i="24"/>
  <c r="AB356" i="24" s="1"/>
  <c r="AM338" i="24"/>
  <c r="X358" i="24" s="1"/>
  <c r="AD339" i="24"/>
  <c r="O359" i="24" s="1"/>
  <c r="S341" i="24"/>
  <c r="D361" i="24" s="1"/>
  <c r="AG342" i="24"/>
  <c r="R362" i="24" s="1"/>
  <c r="X346" i="24"/>
  <c r="I366" i="24" s="1"/>
  <c r="V347" i="24"/>
  <c r="G367" i="24" s="1"/>
  <c r="AE350" i="24"/>
  <c r="P370" i="24" s="1"/>
  <c r="S11" i="24"/>
  <c r="D31" i="24" s="1"/>
  <c r="AJ20" i="24"/>
  <c r="U40" i="24" s="1"/>
  <c r="AR240" i="24"/>
  <c r="Q13" i="25"/>
  <c r="B33" i="25" s="1"/>
  <c r="AF16" i="25"/>
  <c r="Q36" i="25" s="1"/>
  <c r="AB18" i="25"/>
  <c r="M38" i="25" s="1"/>
  <c r="AF24" i="25"/>
  <c r="Q44" i="25" s="1"/>
  <c r="AP27" i="25"/>
  <c r="AA47" i="25" s="1"/>
  <c r="AO119" i="25"/>
  <c r="Z139" i="25" s="1"/>
  <c r="Z120" i="25"/>
  <c r="K140" i="25" s="1"/>
  <c r="Z129" i="25"/>
  <c r="K149" i="25" s="1"/>
  <c r="Z130" i="25"/>
  <c r="K150" i="25" s="1"/>
  <c r="AJ228" i="25"/>
  <c r="U248" i="25" s="1"/>
  <c r="AR228" i="25"/>
  <c r="AC248" i="25" s="1"/>
  <c r="AF228" i="25"/>
  <c r="Q248" i="25" s="1"/>
  <c r="AD228" i="25"/>
  <c r="O248" i="25" s="1"/>
  <c r="AQ238" i="25"/>
  <c r="AB258" i="25" s="1"/>
  <c r="Q336" i="25"/>
  <c r="B356" i="25" s="1"/>
  <c r="AC347" i="25"/>
  <c r="N367" i="25" s="1"/>
  <c r="AR347" i="25"/>
  <c r="AC367" i="25" s="1"/>
  <c r="AB347" i="25"/>
  <c r="M367" i="25" s="1"/>
  <c r="AO347" i="25"/>
  <c r="Z367" i="25" s="1"/>
  <c r="X347" i="25"/>
  <c r="I367" i="25" s="1"/>
  <c r="AN347" i="25"/>
  <c r="Y367" i="25" s="1"/>
  <c r="W347" i="25"/>
  <c r="H367" i="25" s="1"/>
  <c r="AM347" i="25"/>
  <c r="X367" i="25" s="1"/>
  <c r="T347" i="25"/>
  <c r="E367" i="25" s="1"/>
  <c r="AI347" i="25"/>
  <c r="T367" i="25" s="1"/>
  <c r="S347" i="25"/>
  <c r="D367" i="25" s="1"/>
  <c r="AK27" i="26"/>
  <c r="V47" i="26" s="1"/>
  <c r="AE229" i="26"/>
  <c r="P249" i="26" s="1"/>
  <c r="Y11" i="24"/>
  <c r="J31" i="24" s="1"/>
  <c r="AE14" i="24"/>
  <c r="P34" i="24" s="1"/>
  <c r="AE18" i="24"/>
  <c r="P38" i="24" s="1"/>
  <c r="AF23" i="24"/>
  <c r="Q43" i="24" s="1"/>
  <c r="Q24" i="24"/>
  <c r="B44" i="24" s="1"/>
  <c r="AE24" i="24"/>
  <c r="P44" i="24" s="1"/>
  <c r="AO120" i="24"/>
  <c r="Z140" i="24" s="1"/>
  <c r="AI123" i="24"/>
  <c r="AE123" i="24"/>
  <c r="P143" i="24" s="1"/>
  <c r="AB124" i="24"/>
  <c r="M144" i="24" s="1"/>
  <c r="AM129" i="24"/>
  <c r="X149" i="24" s="1"/>
  <c r="AC133" i="24"/>
  <c r="N153" i="24" s="1"/>
  <c r="AQ133" i="24"/>
  <c r="AB153" i="24" s="1"/>
  <c r="AJ227" i="24"/>
  <c r="U247" i="24" s="1"/>
  <c r="AF227" i="24"/>
  <c r="Q247" i="24" s="1"/>
  <c r="AI232" i="24"/>
  <c r="T252" i="24" s="1"/>
  <c r="AE237" i="24"/>
  <c r="P257" i="24" s="1"/>
  <c r="AR238" i="24"/>
  <c r="AC258" i="24" s="1"/>
  <c r="AK238" i="24"/>
  <c r="V258" i="24" s="1"/>
  <c r="AC335" i="24"/>
  <c r="N355" i="24" s="1"/>
  <c r="AL336" i="24"/>
  <c r="W356" i="24" s="1"/>
  <c r="Q338" i="24"/>
  <c r="B358" i="24" s="1"/>
  <c r="W341" i="24"/>
  <c r="H361" i="24" s="1"/>
  <c r="X343" i="24"/>
  <c r="I363" i="24" s="1"/>
  <c r="Z347" i="24"/>
  <c r="K367" i="24" s="1"/>
  <c r="AA13" i="25"/>
  <c r="L33" i="25" s="1"/>
  <c r="AI16" i="25"/>
  <c r="T36" i="25" s="1"/>
  <c r="AD18" i="25"/>
  <c r="O38" i="25" s="1"/>
  <c r="AG18" i="25"/>
  <c r="R38" i="25" s="1"/>
  <c r="AG24" i="25"/>
  <c r="R44" i="25" s="1"/>
  <c r="AA120" i="25"/>
  <c r="L140" i="25" s="1"/>
  <c r="AD124" i="25"/>
  <c r="O144" i="25" s="1"/>
  <c r="AP130" i="25"/>
  <c r="AA150" i="25" s="1"/>
  <c r="S238" i="25"/>
  <c r="D258" i="25" s="1"/>
  <c r="AO346" i="25"/>
  <c r="Z366" i="25" s="1"/>
  <c r="Q347" i="25"/>
  <c r="B367" i="25" s="1"/>
  <c r="AE23" i="26"/>
  <c r="P43" i="26" s="1"/>
  <c r="AN336" i="26"/>
  <c r="Y356" i="26" s="1"/>
  <c r="AC238" i="24"/>
  <c r="N258" i="24" s="1"/>
  <c r="AC11" i="24"/>
  <c r="N31" i="24" s="1"/>
  <c r="AN13" i="24"/>
  <c r="Y33" i="24" s="1"/>
  <c r="AF14" i="24"/>
  <c r="Q34" i="24" s="1"/>
  <c r="AF18" i="24"/>
  <c r="Q38" i="24" s="1"/>
  <c r="AP23" i="24"/>
  <c r="AA43" i="24" s="1"/>
  <c r="R24" i="24"/>
  <c r="C44" i="24" s="1"/>
  <c r="AG24" i="24"/>
  <c r="R44" i="24" s="1"/>
  <c r="AO123" i="24"/>
  <c r="Z143" i="24" s="1"/>
  <c r="AH123" i="24"/>
  <c r="S143" i="24" s="1"/>
  <c r="AC124" i="24"/>
  <c r="N144" i="24" s="1"/>
  <c r="Q133" i="24"/>
  <c r="B153" i="24" s="1"/>
  <c r="AR133" i="24"/>
  <c r="AC153" i="24" s="1"/>
  <c r="Q227" i="24"/>
  <c r="B247" i="24" s="1"/>
  <c r="AG227" i="24"/>
  <c r="R247" i="24" s="1"/>
  <c r="AD232" i="24"/>
  <c r="O252" i="24" s="1"/>
  <c r="AF237" i="24"/>
  <c r="Q257" i="24" s="1"/>
  <c r="Q238" i="24"/>
  <c r="B258" i="24" s="1"/>
  <c r="AL238" i="24"/>
  <c r="W258" i="24" s="1"/>
  <c r="AH335" i="24"/>
  <c r="S355" i="24" s="1"/>
  <c r="R338" i="24"/>
  <c r="C358" i="24" s="1"/>
  <c r="Z341" i="24"/>
  <c r="K361" i="24" s="1"/>
  <c r="AD347" i="24"/>
  <c r="O367" i="24" s="1"/>
  <c r="S350" i="24"/>
  <c r="D370" i="24" s="1"/>
  <c r="W345" i="24"/>
  <c r="H365" i="24" s="1"/>
  <c r="AM13" i="25"/>
  <c r="X33" i="25" s="1"/>
  <c r="AR16" i="25"/>
  <c r="AC36" i="25" s="1"/>
  <c r="AL18" i="25"/>
  <c r="W38" i="25" s="1"/>
  <c r="AO24" i="25"/>
  <c r="Z44" i="25" s="1"/>
  <c r="AC120" i="25"/>
  <c r="N140" i="25" s="1"/>
  <c r="AP124" i="25"/>
  <c r="AA144" i="25" s="1"/>
  <c r="AQ124" i="25"/>
  <c r="AB144" i="25" s="1"/>
  <c r="V124" i="25"/>
  <c r="G144" i="25" s="1"/>
  <c r="AM124" i="25"/>
  <c r="X144" i="25" s="1"/>
  <c r="T124" i="25"/>
  <c r="E144" i="25" s="1"/>
  <c r="AL124" i="25"/>
  <c r="W144" i="25" s="1"/>
  <c r="S124" i="25"/>
  <c r="D144" i="25" s="1"/>
  <c r="AE124" i="25"/>
  <c r="P144" i="25" s="1"/>
  <c r="S133" i="25"/>
  <c r="D153" i="25" s="1"/>
  <c r="AO232" i="25"/>
  <c r="Z252" i="25" s="1"/>
  <c r="AF232" i="25"/>
  <c r="Q252" i="25" s="1"/>
  <c r="AF237" i="25"/>
  <c r="Q257" i="25" s="1"/>
  <c r="W238" i="25"/>
  <c r="H258" i="25" s="1"/>
  <c r="AR241" i="25"/>
  <c r="AC261" i="25" s="1"/>
  <c r="AN241" i="25"/>
  <c r="Y261" i="25" s="1"/>
  <c r="AJ241" i="25"/>
  <c r="U261" i="25" s="1"/>
  <c r="X241" i="25"/>
  <c r="I261" i="25" s="1"/>
  <c r="V241" i="25"/>
  <c r="G261" i="25" s="1"/>
  <c r="T241" i="25"/>
  <c r="E261" i="25" s="1"/>
  <c r="AF346" i="25"/>
  <c r="Q366" i="25" s="1"/>
  <c r="AE347" i="25"/>
  <c r="P367" i="25" s="1"/>
  <c r="AJ23" i="26"/>
  <c r="U43" i="26" s="1"/>
  <c r="AO350" i="26"/>
  <c r="Z370" i="26" s="1"/>
  <c r="AL350" i="26"/>
  <c r="W370" i="26" s="1"/>
  <c r="AB350" i="26"/>
  <c r="M370" i="26" s="1"/>
  <c r="W350" i="26"/>
  <c r="H370" i="26" s="1"/>
  <c r="T350" i="26"/>
  <c r="E370" i="26" s="1"/>
  <c r="AD11" i="24"/>
  <c r="O31" i="24" s="1"/>
  <c r="W13" i="24"/>
  <c r="H33" i="24" s="1"/>
  <c r="AJ14" i="24"/>
  <c r="U34" i="24" s="1"/>
  <c r="AH14" i="24"/>
  <c r="S34" i="24" s="1"/>
  <c r="AP18" i="24"/>
  <c r="AA38" i="24" s="1"/>
  <c r="AJ23" i="24"/>
  <c r="U43" i="24" s="1"/>
  <c r="S24" i="24"/>
  <c r="D44" i="24" s="1"/>
  <c r="AL24" i="24"/>
  <c r="W44" i="24" s="1"/>
  <c r="AH25" i="24"/>
  <c r="Q119" i="24"/>
  <c r="B139" i="24" s="1"/>
  <c r="AH120" i="24"/>
  <c r="S140" i="24" s="1"/>
  <c r="R123" i="24"/>
  <c r="C143" i="24" s="1"/>
  <c r="AK123" i="24"/>
  <c r="V143" i="24" s="1"/>
  <c r="AH124" i="24"/>
  <c r="S144" i="24" s="1"/>
  <c r="U133" i="24"/>
  <c r="F153" i="24" s="1"/>
  <c r="V225" i="24"/>
  <c r="G245" i="24" s="1"/>
  <c r="S227" i="24"/>
  <c r="D247" i="24" s="1"/>
  <c r="AI227" i="24"/>
  <c r="T247" i="24" s="1"/>
  <c r="AK230" i="24"/>
  <c r="V250" i="24" s="1"/>
  <c r="AN232" i="24"/>
  <c r="Y252" i="24" s="1"/>
  <c r="AP237" i="24"/>
  <c r="AA257" i="24" s="1"/>
  <c r="R238" i="24"/>
  <c r="C258" i="24" s="1"/>
  <c r="AM238" i="24"/>
  <c r="X258" i="24" s="1"/>
  <c r="AK335" i="24"/>
  <c r="V355" i="24" s="1"/>
  <c r="AN336" i="24"/>
  <c r="Y356" i="24" s="1"/>
  <c r="AG336" i="24"/>
  <c r="R356" i="24" s="1"/>
  <c r="AP337" i="24"/>
  <c r="AA357" i="24" s="1"/>
  <c r="U338" i="24"/>
  <c r="F358" i="24" s="1"/>
  <c r="AF339" i="24"/>
  <c r="Q359" i="24" s="1"/>
  <c r="AB341" i="24"/>
  <c r="M361" i="24" s="1"/>
  <c r="W350" i="24"/>
  <c r="H370" i="24" s="1"/>
  <c r="AD19" i="24"/>
  <c r="O39" i="24" s="1"/>
  <c r="AG26" i="24"/>
  <c r="AP226" i="24"/>
  <c r="AA246" i="24" s="1"/>
  <c r="AO18" i="25"/>
  <c r="Z38" i="25" s="1"/>
  <c r="AE120" i="25"/>
  <c r="P140" i="25" s="1"/>
  <c r="Y122" i="25"/>
  <c r="J142" i="25" s="1"/>
  <c r="W124" i="25"/>
  <c r="H144" i="25" s="1"/>
  <c r="AI133" i="25"/>
  <c r="T153" i="25" s="1"/>
  <c r="Y227" i="25"/>
  <c r="J247" i="25" s="1"/>
  <c r="W227" i="25"/>
  <c r="H247" i="25" s="1"/>
  <c r="AA238" i="25"/>
  <c r="L258" i="25" s="1"/>
  <c r="AK346" i="25"/>
  <c r="V366" i="25" s="1"/>
  <c r="AG347" i="25"/>
  <c r="R367" i="25" s="1"/>
  <c r="V350" i="25"/>
  <c r="G370" i="25" s="1"/>
  <c r="U350" i="25"/>
  <c r="F370" i="25" s="1"/>
  <c r="Z12" i="26"/>
  <c r="K32" i="26" s="1"/>
  <c r="AK133" i="24"/>
  <c r="V153" i="24" s="1"/>
  <c r="X13" i="24"/>
  <c r="I33" i="24" s="1"/>
  <c r="AJ18" i="24"/>
  <c r="U38" i="24" s="1"/>
  <c r="U24" i="24"/>
  <c r="F44" i="24" s="1"/>
  <c r="Y25" i="24"/>
  <c r="T123" i="24"/>
  <c r="E143" i="24" s="1"/>
  <c r="Q124" i="24"/>
  <c r="B144" i="24" s="1"/>
  <c r="AA130" i="24"/>
  <c r="L150" i="24" s="1"/>
  <c r="U227" i="24"/>
  <c r="F247" i="24" s="1"/>
  <c r="AM227" i="24"/>
  <c r="X247" i="24" s="1"/>
  <c r="AQ232" i="24"/>
  <c r="AB252" i="24" s="1"/>
  <c r="V238" i="24"/>
  <c r="G258" i="24" s="1"/>
  <c r="AQ238" i="24"/>
  <c r="AB258" i="24" s="1"/>
  <c r="R335" i="24"/>
  <c r="C355" i="24" s="1"/>
  <c r="Q336" i="24"/>
  <c r="B356" i="24" s="1"/>
  <c r="AI336" i="24"/>
  <c r="T356" i="24" s="1"/>
  <c r="AD341" i="24"/>
  <c r="O361" i="24" s="1"/>
  <c r="AF120" i="25"/>
  <c r="Q140" i="25" s="1"/>
  <c r="AA124" i="25"/>
  <c r="L144" i="25" s="1"/>
  <c r="AJ133" i="25"/>
  <c r="U153" i="25" s="1"/>
  <c r="AN238" i="25"/>
  <c r="Y258" i="25" s="1"/>
  <c r="AI19" i="26"/>
  <c r="T39" i="26" s="1"/>
  <c r="R22" i="26"/>
  <c r="C42" i="26" s="1"/>
  <c r="AN229" i="26"/>
  <c r="Y249" i="26" s="1"/>
  <c r="AE129" i="25"/>
  <c r="P149" i="25" s="1"/>
  <c r="AL131" i="25"/>
  <c r="AM133" i="25"/>
  <c r="X153" i="25" s="1"/>
  <c r="Y231" i="25"/>
  <c r="J251" i="25" s="1"/>
  <c r="X238" i="25"/>
  <c r="I258" i="25" s="1"/>
  <c r="AN337" i="25"/>
  <c r="Y357" i="25" s="1"/>
  <c r="AE348" i="25"/>
  <c r="AL350" i="25"/>
  <c r="W370" i="25" s="1"/>
  <c r="AA26" i="25"/>
  <c r="AP117" i="25"/>
  <c r="AA137" i="25" s="1"/>
  <c r="AO236" i="25"/>
  <c r="Z256" i="25" s="1"/>
  <c r="AA20" i="26"/>
  <c r="L40" i="26" s="1"/>
  <c r="AM23" i="26"/>
  <c r="X43" i="26" s="1"/>
  <c r="AR119" i="26"/>
  <c r="AC139" i="26" s="1"/>
  <c r="Z120" i="26"/>
  <c r="K140" i="26" s="1"/>
  <c r="S122" i="26"/>
  <c r="D142" i="26" s="1"/>
  <c r="AI122" i="26"/>
  <c r="T142" i="26" s="1"/>
  <c r="T123" i="26"/>
  <c r="E143" i="26" s="1"/>
  <c r="AI124" i="26"/>
  <c r="T144" i="26" s="1"/>
  <c r="AC124" i="26"/>
  <c r="N144" i="26" s="1"/>
  <c r="S126" i="26"/>
  <c r="D146" i="26" s="1"/>
  <c r="AM126" i="26"/>
  <c r="X146" i="26" s="1"/>
  <c r="X131" i="26"/>
  <c r="V133" i="26"/>
  <c r="G153" i="26" s="1"/>
  <c r="AA234" i="26"/>
  <c r="L254" i="26" s="1"/>
  <c r="AQ234" i="26"/>
  <c r="AB254" i="26" s="1"/>
  <c r="AC236" i="26"/>
  <c r="N256" i="26" s="1"/>
  <c r="AR236" i="26"/>
  <c r="AC256" i="26" s="1"/>
  <c r="AP239" i="26"/>
  <c r="X241" i="26"/>
  <c r="I261" i="26" s="1"/>
  <c r="AR241" i="26"/>
  <c r="AC261" i="26" s="1"/>
  <c r="AF334" i="26"/>
  <c r="Q354" i="26" s="1"/>
  <c r="AL335" i="26"/>
  <c r="W355" i="26" s="1"/>
  <c r="AD335" i="26"/>
  <c r="O355" i="26" s="1"/>
  <c r="AR337" i="26"/>
  <c r="AC357" i="26" s="1"/>
  <c r="AR340" i="26"/>
  <c r="AC360" i="26" s="1"/>
  <c r="Y341" i="26"/>
  <c r="J361" i="26" s="1"/>
  <c r="AF343" i="26"/>
  <c r="Q363" i="26" s="1"/>
  <c r="AF229" i="26"/>
  <c r="Q249" i="26" s="1"/>
  <c r="AD233" i="26"/>
  <c r="O253" i="26" s="1"/>
  <c r="AP342" i="26"/>
  <c r="AA362" i="26" s="1"/>
  <c r="AP133" i="25"/>
  <c r="AA153" i="25" s="1"/>
  <c r="AR133" i="25"/>
  <c r="AC153" i="25" s="1"/>
  <c r="AR346" i="25"/>
  <c r="AC366" i="25" s="1"/>
  <c r="AP346" i="25"/>
  <c r="AA366" i="25" s="1"/>
  <c r="AO12" i="25"/>
  <c r="Z32" i="25" s="1"/>
  <c r="AM26" i="25"/>
  <c r="AC125" i="25"/>
  <c r="N145" i="25" s="1"/>
  <c r="AM233" i="25"/>
  <c r="X253" i="25" s="1"/>
  <c r="AI236" i="25"/>
  <c r="T256" i="25" s="1"/>
  <c r="AQ349" i="25"/>
  <c r="AQ14" i="26"/>
  <c r="AB34" i="26" s="1"/>
  <c r="AC16" i="26"/>
  <c r="N36" i="26" s="1"/>
  <c r="Q23" i="26"/>
  <c r="B43" i="26" s="1"/>
  <c r="AQ23" i="26"/>
  <c r="AB43" i="26" s="1"/>
  <c r="S25" i="26"/>
  <c r="AN27" i="26"/>
  <c r="Y47" i="26" s="1"/>
  <c r="U119" i="26"/>
  <c r="F139" i="26" s="1"/>
  <c r="AE120" i="26"/>
  <c r="P140" i="26" s="1"/>
  <c r="U122" i="26"/>
  <c r="F142" i="26" s="1"/>
  <c r="AM122" i="26"/>
  <c r="X142" i="26" s="1"/>
  <c r="AG124" i="26"/>
  <c r="R144" i="26" s="1"/>
  <c r="AI129" i="26"/>
  <c r="T149" i="26" s="1"/>
  <c r="AC129" i="26"/>
  <c r="N149" i="26" s="1"/>
  <c r="X130" i="26"/>
  <c r="I150" i="26" s="1"/>
  <c r="AB131" i="26"/>
  <c r="Z133" i="26"/>
  <c r="K153" i="26" s="1"/>
  <c r="AA241" i="26"/>
  <c r="L261" i="26" s="1"/>
  <c r="AR335" i="26"/>
  <c r="AC355" i="26" s="1"/>
  <c r="AE335" i="26"/>
  <c r="P355" i="26" s="1"/>
  <c r="AI343" i="26"/>
  <c r="T363" i="26" s="1"/>
  <c r="AP11" i="26"/>
  <c r="AA31" i="26" s="1"/>
  <c r="AF22" i="26"/>
  <c r="Q42" i="26" s="1"/>
  <c r="T23" i="26"/>
  <c r="E43" i="26" s="1"/>
  <c r="X119" i="26"/>
  <c r="I139" i="26" s="1"/>
  <c r="W122" i="26"/>
  <c r="H142" i="26" s="1"/>
  <c r="AN122" i="26"/>
  <c r="Y142" i="26" s="1"/>
  <c r="Y160" i="26" s="1"/>
  <c r="AK124" i="26"/>
  <c r="V144" i="26" s="1"/>
  <c r="AA133" i="26"/>
  <c r="L153" i="26" s="1"/>
  <c r="AE241" i="26"/>
  <c r="P261" i="26" s="1"/>
  <c r="T133" i="25"/>
  <c r="E153" i="25" s="1"/>
  <c r="AR237" i="25"/>
  <c r="AC257" i="25" s="1"/>
  <c r="U337" i="25"/>
  <c r="F357" i="25" s="1"/>
  <c r="V346" i="25"/>
  <c r="G366" i="25" s="1"/>
  <c r="X350" i="25"/>
  <c r="I370" i="25" s="1"/>
  <c r="AP12" i="25"/>
  <c r="AA32" i="25" s="1"/>
  <c r="AR118" i="25"/>
  <c r="AC138" i="25" s="1"/>
  <c r="AA334" i="25"/>
  <c r="L354" i="25" s="1"/>
  <c r="AC132" i="25"/>
  <c r="AN14" i="26"/>
  <c r="Y34" i="26" s="1"/>
  <c r="AR16" i="26"/>
  <c r="AC36" i="26" s="1"/>
  <c r="AG16" i="26"/>
  <c r="R36" i="26" s="1"/>
  <c r="X23" i="26"/>
  <c r="I43" i="26" s="1"/>
  <c r="AR25" i="26"/>
  <c r="W27" i="26"/>
  <c r="H47" i="26" s="1"/>
  <c r="AA119" i="26"/>
  <c r="L139" i="26" s="1"/>
  <c r="AR120" i="26"/>
  <c r="AC140" i="26" s="1"/>
  <c r="X122" i="26"/>
  <c r="I142" i="26" s="1"/>
  <c r="AQ122" i="26"/>
  <c r="AB142" i="26" s="1"/>
  <c r="AJ123" i="26"/>
  <c r="U143" i="26" s="1"/>
  <c r="Q124" i="26"/>
  <c r="B144" i="26" s="1"/>
  <c r="AL124" i="26"/>
  <c r="W144" i="26" s="1"/>
  <c r="X126" i="26"/>
  <c r="I146" i="26" s="1"/>
  <c r="AR129" i="26"/>
  <c r="AC149" i="26" s="1"/>
  <c r="AK129" i="26"/>
  <c r="V149" i="26" s="1"/>
  <c r="AJ130" i="26"/>
  <c r="U150" i="26" s="1"/>
  <c r="Q234" i="26"/>
  <c r="B254" i="26" s="1"/>
  <c r="AG234" i="26"/>
  <c r="R254" i="26" s="1"/>
  <c r="T236" i="26"/>
  <c r="E256" i="26" s="1"/>
  <c r="AH236" i="26"/>
  <c r="S256" i="26" s="1"/>
  <c r="Z239" i="26"/>
  <c r="AC240" i="26"/>
  <c r="AF241" i="26"/>
  <c r="Q261" i="26" s="1"/>
  <c r="AB334" i="26"/>
  <c r="M354" i="26" s="1"/>
  <c r="R335" i="26"/>
  <c r="C355" i="26" s="1"/>
  <c r="AI335" i="26"/>
  <c r="T355" i="26" s="1"/>
  <c r="AC336" i="26"/>
  <c r="N356" i="26" s="1"/>
  <c r="U337" i="26"/>
  <c r="F357" i="26" s="1"/>
  <c r="AN340" i="26"/>
  <c r="Y360" i="26" s="1"/>
  <c r="W129" i="25"/>
  <c r="H149" i="25" s="1"/>
  <c r="Q131" i="25"/>
  <c r="AA133" i="25"/>
  <c r="L153" i="25" s="1"/>
  <c r="T229" i="25"/>
  <c r="E249" i="25" s="1"/>
  <c r="Y237" i="25"/>
  <c r="J257" i="25" s="1"/>
  <c r="AE238" i="25"/>
  <c r="P258" i="25" s="1"/>
  <c r="AI238" i="25"/>
  <c r="T258" i="25" s="1"/>
  <c r="X334" i="25"/>
  <c r="I354" i="25" s="1"/>
  <c r="W337" i="25"/>
  <c r="H357" i="25" s="1"/>
  <c r="AK339" i="25"/>
  <c r="V359" i="25" s="1"/>
  <c r="AO341" i="25"/>
  <c r="Z361" i="25" s="1"/>
  <c r="Y346" i="25"/>
  <c r="J366" i="25" s="1"/>
  <c r="Z350" i="25"/>
  <c r="K370" i="25" s="1"/>
  <c r="AF342" i="25"/>
  <c r="Q362" i="25" s="1"/>
  <c r="AM14" i="26"/>
  <c r="X34" i="26" s="1"/>
  <c r="R16" i="26"/>
  <c r="C36" i="26" s="1"/>
  <c r="Y23" i="26"/>
  <c r="J43" i="26" s="1"/>
  <c r="AM24" i="26"/>
  <c r="X44" i="26" s="1"/>
  <c r="Q25" i="26"/>
  <c r="X27" i="26"/>
  <c r="I47" i="26" s="1"/>
  <c r="AC119" i="26"/>
  <c r="N139" i="26" s="1"/>
  <c r="AO120" i="26"/>
  <c r="Z140" i="26" s="1"/>
  <c r="AM120" i="26"/>
  <c r="X140" i="26" s="1"/>
  <c r="AB122" i="26"/>
  <c r="M142" i="26" s="1"/>
  <c r="AR122" i="26"/>
  <c r="AC142" i="26" s="1"/>
  <c r="AN123" i="26"/>
  <c r="Y143" i="26" s="1"/>
  <c r="Y161" i="26" s="1"/>
  <c r="R124" i="26"/>
  <c r="C144" i="26" s="1"/>
  <c r="AM124" i="26"/>
  <c r="X144" i="26" s="1"/>
  <c r="AB126" i="26"/>
  <c r="M146" i="26" s="1"/>
  <c r="Q129" i="26"/>
  <c r="B149" i="26" s="1"/>
  <c r="AL129" i="26"/>
  <c r="W149" i="26" s="1"/>
  <c r="T130" i="26"/>
  <c r="E150" i="26" s="1"/>
  <c r="AJ131" i="26"/>
  <c r="AI131" i="26"/>
  <c r="AN133" i="26"/>
  <c r="Y153" i="26" s="1"/>
  <c r="AG133" i="26"/>
  <c r="R153" i="26" s="1"/>
  <c r="R234" i="26"/>
  <c r="C254" i="26" s="1"/>
  <c r="AH234" i="26"/>
  <c r="S254" i="26" s="1"/>
  <c r="U236" i="26"/>
  <c r="F256" i="26" s="1"/>
  <c r="AJ236" i="26"/>
  <c r="U256" i="26" s="1"/>
  <c r="AG240" i="26"/>
  <c r="S241" i="26"/>
  <c r="D261" i="26" s="1"/>
  <c r="AI241" i="26"/>
  <c r="T261" i="26" s="1"/>
  <c r="AE334" i="26"/>
  <c r="P354" i="26" s="1"/>
  <c r="S335" i="26"/>
  <c r="D355" i="26" s="1"/>
  <c r="AQ335" i="26"/>
  <c r="AB355" i="26" s="1"/>
  <c r="AD336" i="26"/>
  <c r="O356" i="26" s="1"/>
  <c r="W337" i="26"/>
  <c r="H357" i="26" s="1"/>
  <c r="Q340" i="26"/>
  <c r="B360" i="26" s="1"/>
  <c r="AO20" i="26"/>
  <c r="Z40" i="26" s="1"/>
  <c r="AH130" i="25"/>
  <c r="S150" i="25" s="1"/>
  <c r="AB133" i="25"/>
  <c r="M153" i="25" s="1"/>
  <c r="Y229" i="25"/>
  <c r="J249" i="25" s="1"/>
  <c r="AB237" i="25"/>
  <c r="M257" i="25" s="1"/>
  <c r="Q238" i="25"/>
  <c r="B258" i="25" s="1"/>
  <c r="AM238" i="25"/>
  <c r="X258" i="25" s="1"/>
  <c r="AB341" i="25"/>
  <c r="M361" i="25" s="1"/>
  <c r="AD346" i="25"/>
  <c r="O366" i="25" s="1"/>
  <c r="AJ347" i="25"/>
  <c r="U367" i="25" s="1"/>
  <c r="AH350" i="25"/>
  <c r="S370" i="25" s="1"/>
  <c r="T20" i="25"/>
  <c r="E40" i="25" s="1"/>
  <c r="W338" i="25"/>
  <c r="H358" i="25" s="1"/>
  <c r="AO240" i="25"/>
  <c r="Q14" i="26"/>
  <c r="B34" i="26" s="1"/>
  <c r="U16" i="26"/>
  <c r="F36" i="26" s="1"/>
  <c r="AK16" i="26"/>
  <c r="V36" i="26" s="1"/>
  <c r="AN18" i="26"/>
  <c r="Y38" i="26" s="1"/>
  <c r="Q20" i="26"/>
  <c r="B40" i="26" s="1"/>
  <c r="AN24" i="26"/>
  <c r="Y44" i="26" s="1"/>
  <c r="AC25" i="26"/>
  <c r="AF27" i="26"/>
  <c r="Q47" i="26" s="1"/>
  <c r="AK119" i="26"/>
  <c r="V139" i="26" s="1"/>
  <c r="R120" i="26"/>
  <c r="C140" i="26" s="1"/>
  <c r="AP120" i="26"/>
  <c r="AA140" i="26" s="1"/>
  <c r="AC122" i="26"/>
  <c r="N142" i="26" s="1"/>
  <c r="N160" i="26" s="1"/>
  <c r="AF123" i="26"/>
  <c r="Q143" i="26" s="1"/>
  <c r="V124" i="26"/>
  <c r="G144" i="26" s="1"/>
  <c r="AQ124" i="26"/>
  <c r="AB144" i="26" s="1"/>
  <c r="R129" i="26"/>
  <c r="C149" i="26" s="1"/>
  <c r="AM129" i="26"/>
  <c r="X149" i="26" s="1"/>
  <c r="Y130" i="26"/>
  <c r="J150" i="26" s="1"/>
  <c r="Q131" i="26"/>
  <c r="AM131" i="26"/>
  <c r="Q133" i="26"/>
  <c r="B153" i="26" s="1"/>
  <c r="AK133" i="26"/>
  <c r="V153" i="26" s="1"/>
  <c r="AF227" i="26"/>
  <c r="Q247" i="26" s="1"/>
  <c r="S234" i="26"/>
  <c r="D254" i="26" s="1"/>
  <c r="X236" i="26"/>
  <c r="I256" i="26" s="1"/>
  <c r="T241" i="26"/>
  <c r="E261" i="26" s="1"/>
  <c r="V335" i="26"/>
  <c r="G355" i="26" s="1"/>
  <c r="AB337" i="26"/>
  <c r="M357" i="26" s="1"/>
  <c r="AO339" i="26"/>
  <c r="Z359" i="26" s="1"/>
  <c r="Y340" i="26"/>
  <c r="J360" i="26" s="1"/>
  <c r="AG341" i="26"/>
  <c r="R361" i="26" s="1"/>
  <c r="AI346" i="26"/>
  <c r="T366" i="26" s="1"/>
  <c r="AK347" i="26"/>
  <c r="V367" i="26" s="1"/>
  <c r="AF122" i="26"/>
  <c r="Q142" i="26" s="1"/>
  <c r="AE230" i="26"/>
  <c r="P250" i="26" s="1"/>
  <c r="U241" i="26"/>
  <c r="F261" i="26" s="1"/>
  <c r="AM339" i="26"/>
  <c r="X359" i="26" s="1"/>
  <c r="AH340" i="26"/>
  <c r="S360" i="26" s="1"/>
  <c r="AQ346" i="26"/>
  <c r="AB366" i="26" s="1"/>
  <c r="AK350" i="26"/>
  <c r="V370" i="26" s="1"/>
  <c r="AK125" i="26"/>
  <c r="V145" i="26" s="1"/>
  <c r="W342" i="26"/>
  <c r="H362" i="26" s="1"/>
  <c r="X342" i="26"/>
  <c r="I362" i="26" s="1"/>
  <c r="Z342" i="26"/>
  <c r="K362" i="26" s="1"/>
  <c r="AE342" i="26"/>
  <c r="P362" i="26" s="1"/>
  <c r="Z345" i="26"/>
  <c r="K365" i="26" s="1"/>
  <c r="AF342" i="26"/>
  <c r="Q362" i="26" s="1"/>
  <c r="AP233" i="26"/>
  <c r="AA253" i="26" s="1"/>
  <c r="T233" i="26"/>
  <c r="E253" i="26" s="1"/>
  <c r="Z125" i="26"/>
  <c r="K145" i="26" s="1"/>
  <c r="R340" i="26"/>
  <c r="C360" i="26" s="1"/>
  <c r="C378" i="26" s="1"/>
  <c r="AO340" i="26"/>
  <c r="Z360" i="26" s="1"/>
  <c r="T340" i="26"/>
  <c r="E360" i="26" s="1"/>
  <c r="AP340" i="26"/>
  <c r="AA360" i="26" s="1"/>
  <c r="Z340" i="26"/>
  <c r="K360" i="26" s="1"/>
  <c r="AB340" i="26"/>
  <c r="M360" i="26" s="1"/>
  <c r="AL340" i="26"/>
  <c r="W360" i="26" s="1"/>
  <c r="AD226" i="26"/>
  <c r="O246" i="26" s="1"/>
  <c r="AN26" i="26"/>
  <c r="X22" i="26"/>
  <c r="I42" i="26" s="1"/>
  <c r="AD20" i="26"/>
  <c r="O40" i="26" s="1"/>
  <c r="U20" i="26"/>
  <c r="F40" i="26" s="1"/>
  <c r="AH20" i="26"/>
  <c r="S40" i="26" s="1"/>
  <c r="R20" i="26"/>
  <c r="C40" i="26" s="1"/>
  <c r="AG20" i="26"/>
  <c r="R40" i="26" s="1"/>
  <c r="S20" i="26"/>
  <c r="D40" i="26" s="1"/>
  <c r="AB19" i="26"/>
  <c r="M39" i="26" s="1"/>
  <c r="AH19" i="26"/>
  <c r="S39" i="26" s="1"/>
  <c r="AP19" i="26"/>
  <c r="AA39" i="26" s="1"/>
  <c r="AA12" i="26"/>
  <c r="L32" i="26" s="1"/>
  <c r="AA11" i="26"/>
  <c r="L31" i="26" s="1"/>
  <c r="Q13" i="26"/>
  <c r="B33" i="26" s="1"/>
  <c r="AP13" i="26"/>
  <c r="AA33" i="26" s="1"/>
  <c r="AR18" i="26"/>
  <c r="AC38" i="26" s="1"/>
  <c r="AB11" i="26"/>
  <c r="M31" i="26" s="1"/>
  <c r="Q12" i="26"/>
  <c r="B32" i="26" s="1"/>
  <c r="AP12" i="26"/>
  <c r="AA32" i="26" s="1"/>
  <c r="AF13" i="26"/>
  <c r="Q33" i="26" s="1"/>
  <c r="AR13" i="26"/>
  <c r="AC33" i="26" s="1"/>
  <c r="AG14" i="26"/>
  <c r="R34" i="26" s="1"/>
  <c r="W15" i="26"/>
  <c r="H35" i="26" s="1"/>
  <c r="AI15" i="26"/>
  <c r="T35" i="26" s="1"/>
  <c r="AI16" i="26"/>
  <c r="T36" i="26" s="1"/>
  <c r="AA16" i="26"/>
  <c r="L36" i="26" s="1"/>
  <c r="S16" i="26"/>
  <c r="D36" i="26" s="1"/>
  <c r="AL16" i="26"/>
  <c r="W36" i="26" s="1"/>
  <c r="AC17" i="26"/>
  <c r="N37" i="26" s="1"/>
  <c r="AO17" i="26"/>
  <c r="Z37" i="26" s="1"/>
  <c r="AF18" i="26"/>
  <c r="Q38" i="26" s="1"/>
  <c r="V19" i="26"/>
  <c r="G39" i="26" s="1"/>
  <c r="AK22" i="26"/>
  <c r="V42" i="26" s="1"/>
  <c r="AA23" i="26"/>
  <c r="L43" i="26" s="1"/>
  <c r="AK24" i="26"/>
  <c r="V44" i="26" s="1"/>
  <c r="AC24" i="26"/>
  <c r="N44" i="26" s="1"/>
  <c r="U24" i="26"/>
  <c r="F44" i="26" s="1"/>
  <c r="AR24" i="26"/>
  <c r="AC44" i="26" s="1"/>
  <c r="AJ24" i="26"/>
  <c r="U44" i="26" s="1"/>
  <c r="AB24" i="26"/>
  <c r="M44" i="26" s="1"/>
  <c r="T24" i="26"/>
  <c r="E44" i="26" s="1"/>
  <c r="AO24" i="26"/>
  <c r="Z44" i="26" s="1"/>
  <c r="AG24" i="26"/>
  <c r="R44" i="26" s="1"/>
  <c r="Y24" i="26"/>
  <c r="J44" i="26" s="1"/>
  <c r="Q24" i="26"/>
  <c r="B44" i="26" s="1"/>
  <c r="R25" i="26"/>
  <c r="AJ26" i="26"/>
  <c r="AA27" i="26"/>
  <c r="L47" i="26" s="1"/>
  <c r="R11" i="26"/>
  <c r="C31" i="26" s="1"/>
  <c r="AD11" i="26"/>
  <c r="O31" i="26" s="1"/>
  <c r="AQ11" i="26"/>
  <c r="AB31" i="26" s="1"/>
  <c r="R12" i="26"/>
  <c r="C32" i="26" s="1"/>
  <c r="AD12" i="26"/>
  <c r="O32" i="26" s="1"/>
  <c r="AQ12" i="26"/>
  <c r="AB32" i="26" s="1"/>
  <c r="T13" i="26"/>
  <c r="E33" i="26" s="1"/>
  <c r="AG13" i="26"/>
  <c r="R33" i="26" s="1"/>
  <c r="W14" i="26"/>
  <c r="H34" i="26" s="1"/>
  <c r="AI14" i="26"/>
  <c r="T34" i="26" s="1"/>
  <c r="X15" i="26"/>
  <c r="I35" i="26" s="1"/>
  <c r="AL15" i="26"/>
  <c r="W35" i="26" s="1"/>
  <c r="Z16" i="26"/>
  <c r="K36" i="26" s="1"/>
  <c r="AM16" i="26"/>
  <c r="X36" i="26" s="1"/>
  <c r="Q17" i="26"/>
  <c r="B37" i="26" s="1"/>
  <c r="AD17" i="26"/>
  <c r="O37" i="26" s="1"/>
  <c r="AR17" i="26"/>
  <c r="AC37" i="26" s="1"/>
  <c r="U18" i="26"/>
  <c r="F38" i="26" s="1"/>
  <c r="AI18" i="26"/>
  <c r="T38" i="26" s="1"/>
  <c r="W19" i="26"/>
  <c r="H39" i="26" s="1"/>
  <c r="AJ19" i="26"/>
  <c r="U39" i="26" s="1"/>
  <c r="AM20" i="26"/>
  <c r="X40" i="26" s="1"/>
  <c r="AE20" i="26"/>
  <c r="P40" i="26" s="1"/>
  <c r="W20" i="26"/>
  <c r="H40" i="26" s="1"/>
  <c r="Y20" i="26"/>
  <c r="J40" i="26" s="1"/>
  <c r="AK20" i="26"/>
  <c r="V40" i="26" s="1"/>
  <c r="Z22" i="26"/>
  <c r="K42" i="26" s="1"/>
  <c r="AN22" i="26"/>
  <c r="Y42" i="26" s="1"/>
  <c r="AL23" i="26"/>
  <c r="W43" i="26" s="1"/>
  <c r="AD23" i="26"/>
  <c r="O43" i="26" s="1"/>
  <c r="V23" i="26"/>
  <c r="G43" i="26" s="1"/>
  <c r="AK23" i="26"/>
  <c r="V43" i="26" s="1"/>
  <c r="AC23" i="26"/>
  <c r="N43" i="26" s="1"/>
  <c r="U23" i="26"/>
  <c r="F43" i="26" s="1"/>
  <c r="AP23" i="26"/>
  <c r="AA43" i="26" s="1"/>
  <c r="AH23" i="26"/>
  <c r="S43" i="26" s="1"/>
  <c r="Z23" i="26"/>
  <c r="K43" i="26" s="1"/>
  <c r="R23" i="26"/>
  <c r="C43" i="26" s="1"/>
  <c r="AB23" i="26"/>
  <c r="M43" i="26" s="1"/>
  <c r="AO23" i="26"/>
  <c r="Z43" i="26" s="1"/>
  <c r="R24" i="26"/>
  <c r="C44" i="26" s="1"/>
  <c r="AE24" i="26"/>
  <c r="P44" i="26" s="1"/>
  <c r="AQ24" i="26"/>
  <c r="AB44" i="26" s="1"/>
  <c r="U25" i="26"/>
  <c r="AG25" i="26"/>
  <c r="X26" i="26"/>
  <c r="AK26" i="26"/>
  <c r="AB27" i="26"/>
  <c r="M47" i="26" s="1"/>
  <c r="A64" i="26"/>
  <c r="T118" i="26"/>
  <c r="E138" i="26" s="1"/>
  <c r="AE11" i="26"/>
  <c r="P31" i="26" s="1"/>
  <c r="AH13" i="26"/>
  <c r="S33" i="26" s="1"/>
  <c r="AJ14" i="26"/>
  <c r="U34" i="26" s="1"/>
  <c r="Z15" i="26"/>
  <c r="K35" i="26" s="1"/>
  <c r="AM15" i="26"/>
  <c r="X35" i="26" s="1"/>
  <c r="T17" i="26"/>
  <c r="E37" i="26" s="1"/>
  <c r="AJ18" i="26"/>
  <c r="U38" i="26" s="1"/>
  <c r="Z19" i="26"/>
  <c r="K39" i="26" s="1"/>
  <c r="AB22" i="26"/>
  <c r="M42" i="26" s="1"/>
  <c r="S24" i="26"/>
  <c r="D44" i="26" s="1"/>
  <c r="AP27" i="26"/>
  <c r="AA47" i="26" s="1"/>
  <c r="AH27" i="26"/>
  <c r="S47" i="26" s="1"/>
  <c r="Z27" i="26"/>
  <c r="K47" i="26" s="1"/>
  <c r="R27" i="26"/>
  <c r="C47" i="26" s="1"/>
  <c r="AO27" i="26"/>
  <c r="Z47" i="26" s="1"/>
  <c r="AG27" i="26"/>
  <c r="R47" i="26" s="1"/>
  <c r="Y27" i="26"/>
  <c r="J47" i="26" s="1"/>
  <c r="Q27" i="26"/>
  <c r="B47" i="26" s="1"/>
  <c r="AL27" i="26"/>
  <c r="W47" i="26" s="1"/>
  <c r="AD27" i="26"/>
  <c r="O47" i="26" s="1"/>
  <c r="V27" i="26"/>
  <c r="G47" i="26" s="1"/>
  <c r="AQ27" i="26"/>
  <c r="AB47" i="26" s="1"/>
  <c r="A79" i="26"/>
  <c r="A67" i="26"/>
  <c r="AB118" i="26"/>
  <c r="M138" i="26" s="1"/>
  <c r="Z132" i="26"/>
  <c r="AP132" i="26"/>
  <c r="T132" i="26"/>
  <c r="AN132" i="26"/>
  <c r="S132" i="26"/>
  <c r="AJ132" i="26"/>
  <c r="AE132" i="26"/>
  <c r="AD132" i="26"/>
  <c r="A183" i="26"/>
  <c r="A171" i="26"/>
  <c r="S11" i="26"/>
  <c r="D31" i="26" s="1"/>
  <c r="AR11" i="26"/>
  <c r="AC31" i="26" s="1"/>
  <c r="U13" i="26"/>
  <c r="F33" i="26" s="1"/>
  <c r="X14" i="26"/>
  <c r="I34" i="26" s="1"/>
  <c r="AF17" i="26"/>
  <c r="Q37" i="26" s="1"/>
  <c r="W18" i="26"/>
  <c r="H38" i="26" s="1"/>
  <c r="AL19" i="26"/>
  <c r="W39" i="26" s="1"/>
  <c r="AM22" i="26"/>
  <c r="X42" i="26" s="1"/>
  <c r="AE22" i="26"/>
  <c r="P42" i="26" s="1"/>
  <c r="W22" i="26"/>
  <c r="H42" i="26" s="1"/>
  <c r="AL22" i="26"/>
  <c r="W42" i="26" s="1"/>
  <c r="AD22" i="26"/>
  <c r="O42" i="26" s="1"/>
  <c r="V22" i="26"/>
  <c r="G42" i="26" s="1"/>
  <c r="AQ22" i="26"/>
  <c r="AB42" i="26" s="1"/>
  <c r="AI22" i="26"/>
  <c r="T42" i="26" s="1"/>
  <c r="AA22" i="26"/>
  <c r="L42" i="26" s="1"/>
  <c r="S22" i="26"/>
  <c r="D42" i="26" s="1"/>
  <c r="AF24" i="26"/>
  <c r="Q44" i="26" s="1"/>
  <c r="V25" i="26"/>
  <c r="AH25" i="26"/>
  <c r="Y26" i="26"/>
  <c r="AL26" i="26"/>
  <c r="AC27" i="26"/>
  <c r="N47" i="26" s="1"/>
  <c r="T11" i="26"/>
  <c r="E31" i="26" s="1"/>
  <c r="AH11" i="26"/>
  <c r="S31" i="26" s="1"/>
  <c r="U12" i="26"/>
  <c r="F32" i="26" s="1"/>
  <c r="X13" i="26"/>
  <c r="I33" i="26" s="1"/>
  <c r="AJ13" i="26"/>
  <c r="U33" i="26" s="1"/>
  <c r="Y14" i="26"/>
  <c r="J34" i="26" s="1"/>
  <c r="AA15" i="26"/>
  <c r="L35" i="26" s="1"/>
  <c r="Q16" i="26"/>
  <c r="B36" i="26" s="1"/>
  <c r="AD16" i="26"/>
  <c r="O36" i="26" s="1"/>
  <c r="AP16" i="26"/>
  <c r="AA36" i="26" s="1"/>
  <c r="U17" i="26"/>
  <c r="F37" i="26" s="1"/>
  <c r="X18" i="26"/>
  <c r="I38" i="26" s="1"/>
  <c r="AK18" i="26"/>
  <c r="V38" i="26" s="1"/>
  <c r="AA19" i="26"/>
  <c r="L39" i="26" s="1"/>
  <c r="AM19" i="26"/>
  <c r="X39" i="26" s="1"/>
  <c r="Q22" i="26"/>
  <c r="B42" i="26" s="1"/>
  <c r="AC22" i="26"/>
  <c r="N42" i="26" s="1"/>
  <c r="AP22" i="26"/>
  <c r="AA42" i="26" s="1"/>
  <c r="S23" i="26"/>
  <c r="D43" i="26" s="1"/>
  <c r="AF23" i="26"/>
  <c r="Q43" i="26" s="1"/>
  <c r="AR23" i="26"/>
  <c r="AC43" i="26" s="1"/>
  <c r="V24" i="26"/>
  <c r="G44" i="26" s="1"/>
  <c r="AH24" i="26"/>
  <c r="S44" i="26" s="1"/>
  <c r="W25" i="26"/>
  <c r="AK25" i="26"/>
  <c r="AB26" i="26"/>
  <c r="S27" i="26"/>
  <c r="D47" i="26" s="1"/>
  <c r="AE27" i="26"/>
  <c r="P47" i="26" s="1"/>
  <c r="AR27" i="26"/>
  <c r="AC47" i="26" s="1"/>
  <c r="A77" i="26"/>
  <c r="A65" i="26"/>
  <c r="AD118" i="26"/>
  <c r="O138" i="26" s="1"/>
  <c r="AM125" i="26"/>
  <c r="X145" i="26" s="1"/>
  <c r="AE125" i="26"/>
  <c r="P145" i="26" s="1"/>
  <c r="W125" i="26"/>
  <c r="H145" i="26" s="1"/>
  <c r="AQ125" i="26"/>
  <c r="AB145" i="26" s="1"/>
  <c r="AI125" i="26"/>
  <c r="T145" i="26" s="1"/>
  <c r="AA125" i="26"/>
  <c r="L145" i="26" s="1"/>
  <c r="S125" i="26"/>
  <c r="D145" i="26" s="1"/>
  <c r="AR125" i="26"/>
  <c r="AC145" i="26" s="1"/>
  <c r="AG125" i="26"/>
  <c r="R145" i="26" s="1"/>
  <c r="V125" i="26"/>
  <c r="G145" i="26" s="1"/>
  <c r="AP125" i="26"/>
  <c r="AA145" i="26" s="1"/>
  <c r="AF125" i="26"/>
  <c r="Q145" i="26" s="1"/>
  <c r="U125" i="26"/>
  <c r="F145" i="26" s="1"/>
  <c r="AN125" i="26"/>
  <c r="Y145" i="26" s="1"/>
  <c r="AC125" i="26"/>
  <c r="N145" i="26" s="1"/>
  <c r="R125" i="26"/>
  <c r="C145" i="26" s="1"/>
  <c r="AL125" i="26"/>
  <c r="W145" i="26" s="1"/>
  <c r="AB125" i="26"/>
  <c r="M145" i="26" s="1"/>
  <c r="Q125" i="26"/>
  <c r="B145" i="26" s="1"/>
  <c r="AO125" i="26"/>
  <c r="Z145" i="26" s="1"/>
  <c r="T125" i="26"/>
  <c r="E145" i="26" s="1"/>
  <c r="AJ125" i="26"/>
  <c r="U145" i="26" s="1"/>
  <c r="AH125" i="26"/>
  <c r="S145" i="26" s="1"/>
  <c r="AD125" i="26"/>
  <c r="O145" i="26" s="1"/>
  <c r="Y125" i="26"/>
  <c r="J145" i="26" s="1"/>
  <c r="X125" i="26"/>
  <c r="I145" i="26" s="1"/>
  <c r="V11" i="26"/>
  <c r="G31" i="26" s="1"/>
  <c r="AI11" i="26"/>
  <c r="T31" i="26" s="1"/>
  <c r="Y13" i="26"/>
  <c r="J33" i="26" s="1"/>
  <c r="AK13" i="26"/>
  <c r="V33" i="26" s="1"/>
  <c r="AA14" i="26"/>
  <c r="L34" i="26" s="1"/>
  <c r="AK15" i="26"/>
  <c r="V35" i="26" s="1"/>
  <c r="AC15" i="26"/>
  <c r="N35" i="26" s="1"/>
  <c r="U15" i="26"/>
  <c r="F35" i="26" s="1"/>
  <c r="AR15" i="26"/>
  <c r="AC35" i="26" s="1"/>
  <c r="AJ15" i="26"/>
  <c r="U35" i="26" s="1"/>
  <c r="AB15" i="26"/>
  <c r="M35" i="26" s="1"/>
  <c r="T15" i="26"/>
  <c r="E35" i="26" s="1"/>
  <c r="AO15" i="26"/>
  <c r="Z35" i="26" s="1"/>
  <c r="AG15" i="26"/>
  <c r="R35" i="26" s="1"/>
  <c r="Y15" i="26"/>
  <c r="J35" i="26" s="1"/>
  <c r="Q15" i="26"/>
  <c r="B35" i="26" s="1"/>
  <c r="AD15" i="26"/>
  <c r="O35" i="26" s="1"/>
  <c r="AP15" i="26"/>
  <c r="AA35" i="26" s="1"/>
  <c r="V17" i="26"/>
  <c r="G37" i="26" s="1"/>
  <c r="AJ17" i="26"/>
  <c r="U37" i="26" s="1"/>
  <c r="AA18" i="26"/>
  <c r="L38" i="26" s="1"/>
  <c r="AM18" i="26"/>
  <c r="X38" i="26" s="1"/>
  <c r="W24" i="26"/>
  <c r="H44" i="26" s="1"/>
  <c r="AI24" i="26"/>
  <c r="T44" i="26" s="1"/>
  <c r="Y25" i="26"/>
  <c r="AL25" i="26"/>
  <c r="AQ26" i="26"/>
  <c r="AI26" i="26"/>
  <c r="AA26" i="26"/>
  <c r="S26" i="26"/>
  <c r="AP26" i="26"/>
  <c r="AH26" i="26"/>
  <c r="Z26" i="26"/>
  <c r="R26" i="26"/>
  <c r="AM26" i="26"/>
  <c r="AE26" i="26"/>
  <c r="W26" i="26"/>
  <c r="AC26" i="26"/>
  <c r="AO26" i="26"/>
  <c r="A62" i="26"/>
  <c r="A74" i="26"/>
  <c r="AJ118" i="26"/>
  <c r="U138" i="26" s="1"/>
  <c r="V132" i="26"/>
  <c r="W11" i="26"/>
  <c r="H31" i="26" s="1"/>
  <c r="AJ11" i="26"/>
  <c r="U31" i="26" s="1"/>
  <c r="AE12" i="26"/>
  <c r="P32" i="26" s="1"/>
  <c r="W12" i="26"/>
  <c r="H32" i="26" s="1"/>
  <c r="Y12" i="26"/>
  <c r="J32" i="26" s="1"/>
  <c r="AK12" i="26"/>
  <c r="V32" i="26" s="1"/>
  <c r="Z13" i="26"/>
  <c r="K33" i="26" s="1"/>
  <c r="AL14" i="26"/>
  <c r="W34" i="26" s="1"/>
  <c r="AD14" i="26"/>
  <c r="O34" i="26" s="1"/>
  <c r="V14" i="26"/>
  <c r="G34" i="26" s="1"/>
  <c r="AK14" i="26"/>
  <c r="V34" i="26" s="1"/>
  <c r="AC14" i="26"/>
  <c r="N34" i="26" s="1"/>
  <c r="U14" i="26"/>
  <c r="F34" i="26" s="1"/>
  <c r="AP14" i="26"/>
  <c r="AA34" i="26" s="1"/>
  <c r="AH14" i="26"/>
  <c r="S34" i="26" s="1"/>
  <c r="Z14" i="26"/>
  <c r="K34" i="26" s="1"/>
  <c r="R14" i="26"/>
  <c r="C34" i="26" s="1"/>
  <c r="AB14" i="26"/>
  <c r="M34" i="26" s="1"/>
  <c r="AO14" i="26"/>
  <c r="Z34" i="26" s="1"/>
  <c r="R15" i="26"/>
  <c r="C35" i="26" s="1"/>
  <c r="AE15" i="26"/>
  <c r="P35" i="26" s="1"/>
  <c r="AQ15" i="26"/>
  <c r="AB35" i="26" s="1"/>
  <c r="X17" i="26"/>
  <c r="I37" i="26" s="1"/>
  <c r="AK17" i="26"/>
  <c r="V37" i="26" s="1"/>
  <c r="AB18" i="26"/>
  <c r="M38" i="26" s="1"/>
  <c r="R19" i="26"/>
  <c r="C39" i="26" s="1"/>
  <c r="AD19" i="26"/>
  <c r="O39" i="26" s="1"/>
  <c r="AQ19" i="26"/>
  <c r="AB39" i="26" s="1"/>
  <c r="T22" i="26"/>
  <c r="E42" i="26" s="1"/>
  <c r="AG22" i="26"/>
  <c r="R42" i="26" s="1"/>
  <c r="W23" i="26"/>
  <c r="H43" i="26" s="1"/>
  <c r="AI23" i="26"/>
  <c r="T43" i="26" s="1"/>
  <c r="X24" i="26"/>
  <c r="I44" i="26" s="1"/>
  <c r="AL24" i="26"/>
  <c r="W44" i="26" s="1"/>
  <c r="Z25" i="26"/>
  <c r="AM25" i="26"/>
  <c r="Q26" i="26"/>
  <c r="AD26" i="26"/>
  <c r="AR26" i="26"/>
  <c r="U27" i="26"/>
  <c r="F47" i="26" s="1"/>
  <c r="AI27" i="26"/>
  <c r="T47" i="26" s="1"/>
  <c r="A75" i="26"/>
  <c r="AF132" i="26"/>
  <c r="A172" i="26"/>
  <c r="A184" i="26"/>
  <c r="Z11" i="26"/>
  <c r="K31" i="26" s="1"/>
  <c r="AL11" i="26"/>
  <c r="W31" i="26" s="1"/>
  <c r="AM13" i="26"/>
  <c r="X33" i="26" s="1"/>
  <c r="AE13" i="26"/>
  <c r="P33" i="26" s="1"/>
  <c r="W13" i="26"/>
  <c r="H33" i="26" s="1"/>
  <c r="AL13" i="26"/>
  <c r="W33" i="26" s="1"/>
  <c r="AD13" i="26"/>
  <c r="O33" i="26" s="1"/>
  <c r="V13" i="26"/>
  <c r="G33" i="26" s="1"/>
  <c r="AQ13" i="26"/>
  <c r="AB33" i="26" s="1"/>
  <c r="AI13" i="26"/>
  <c r="T33" i="26" s="1"/>
  <c r="AA13" i="26"/>
  <c r="L33" i="26" s="1"/>
  <c r="S13" i="26"/>
  <c r="D33" i="26" s="1"/>
  <c r="AB13" i="26"/>
  <c r="M33" i="26" s="1"/>
  <c r="AO13" i="26"/>
  <c r="Z33" i="26" s="1"/>
  <c r="Y17" i="26"/>
  <c r="J37" i="26" s="1"/>
  <c r="AL17" i="26"/>
  <c r="W37" i="26" s="1"/>
  <c r="AP18" i="26"/>
  <c r="AA38" i="26" s="1"/>
  <c r="AH18" i="26"/>
  <c r="S38" i="26" s="1"/>
  <c r="Z18" i="26"/>
  <c r="K38" i="26" s="1"/>
  <c r="R18" i="26"/>
  <c r="C38" i="26" s="1"/>
  <c r="AO18" i="26"/>
  <c r="Z38" i="26" s="1"/>
  <c r="AG18" i="26"/>
  <c r="R38" i="26" s="1"/>
  <c r="Y18" i="26"/>
  <c r="J38" i="26" s="1"/>
  <c r="Q18" i="26"/>
  <c r="B38" i="26" s="1"/>
  <c r="AL18" i="26"/>
  <c r="W38" i="26" s="1"/>
  <c r="AD18" i="26"/>
  <c r="O38" i="26" s="1"/>
  <c r="V18" i="26"/>
  <c r="G38" i="26" s="1"/>
  <c r="AC18" i="26"/>
  <c r="N38" i="26" s="1"/>
  <c r="AQ18" i="26"/>
  <c r="AB38" i="26" s="1"/>
  <c r="Z24" i="26"/>
  <c r="K44" i="26" s="1"/>
  <c r="AP118" i="26"/>
  <c r="AA138" i="26" s="1"/>
  <c r="AH118" i="26"/>
  <c r="S138" i="26" s="1"/>
  <c r="Z118" i="26"/>
  <c r="K138" i="26" s="1"/>
  <c r="R118" i="26"/>
  <c r="C138" i="26" s="1"/>
  <c r="AC118" i="26"/>
  <c r="N138" i="26" s="1"/>
  <c r="AO118" i="26"/>
  <c r="Z138" i="26" s="1"/>
  <c r="Y118" i="26"/>
  <c r="J138" i="26" s="1"/>
  <c r="AL118" i="26"/>
  <c r="W138" i="26" s="1"/>
  <c r="V118" i="26"/>
  <c r="G138" i="26" s="1"/>
  <c r="AK118" i="26"/>
  <c r="V138" i="26" s="1"/>
  <c r="U118" i="26"/>
  <c r="F138" i="26" s="1"/>
  <c r="AG118" i="26"/>
  <c r="R138" i="26" s="1"/>
  <c r="Q118" i="26"/>
  <c r="B138" i="26" s="1"/>
  <c r="AQ132" i="26"/>
  <c r="AB17" i="26"/>
  <c r="M37" i="26" s="1"/>
  <c r="AE18" i="26"/>
  <c r="P38" i="26" s="1"/>
  <c r="AA24" i="26"/>
  <c r="L44" i="26" s="1"/>
  <c r="AM11" i="26"/>
  <c r="X31" i="26" s="1"/>
  <c r="AC13" i="26"/>
  <c r="N33" i="26" s="1"/>
  <c r="AO11" i="26"/>
  <c r="Z31" i="26" s="1"/>
  <c r="AC12" i="26"/>
  <c r="N32" i="26" s="1"/>
  <c r="R13" i="26"/>
  <c r="C33" i="26" s="1"/>
  <c r="T14" i="26"/>
  <c r="E34" i="26" s="1"/>
  <c r="AQ17" i="26"/>
  <c r="AB37" i="26" s="1"/>
  <c r="AI17" i="26"/>
  <c r="T37" i="26" s="1"/>
  <c r="AA17" i="26"/>
  <c r="L37" i="26" s="1"/>
  <c r="S17" i="26"/>
  <c r="D37" i="26" s="1"/>
  <c r="AP17" i="26"/>
  <c r="AA37" i="26" s="1"/>
  <c r="AH17" i="26"/>
  <c r="S37" i="26" s="1"/>
  <c r="Z17" i="26"/>
  <c r="K37" i="26" s="1"/>
  <c r="R17" i="26"/>
  <c r="C37" i="26" s="1"/>
  <c r="AM17" i="26"/>
  <c r="X37" i="26" s="1"/>
  <c r="AE17" i="26"/>
  <c r="P37" i="26" s="1"/>
  <c r="W17" i="26"/>
  <c r="H37" i="26" s="1"/>
  <c r="T18" i="26"/>
  <c r="E38" i="26" s="1"/>
  <c r="Y22" i="26"/>
  <c r="J42" i="26" s="1"/>
  <c r="AD24" i="26"/>
  <c r="O44" i="26" s="1"/>
  <c r="AP24" i="26"/>
  <c r="AA44" i="26" s="1"/>
  <c r="AE25" i="26"/>
  <c r="V26" i="26"/>
  <c r="AM27" i="26"/>
  <c r="X47" i="26" s="1"/>
  <c r="A81" i="26"/>
  <c r="A69" i="26"/>
  <c r="AQ118" i="26"/>
  <c r="AB138" i="26" s="1"/>
  <c r="AP121" i="26"/>
  <c r="AA141" i="26" s="1"/>
  <c r="AF121" i="26"/>
  <c r="Q141" i="26" s="1"/>
  <c r="W121" i="26"/>
  <c r="H141" i="26" s="1"/>
  <c r="AN121" i="26"/>
  <c r="Y141" i="26" s="1"/>
  <c r="AD121" i="26"/>
  <c r="O141" i="26" s="1"/>
  <c r="U121" i="26"/>
  <c r="F141" i="26" s="1"/>
  <c r="Z121" i="26"/>
  <c r="K141" i="26" s="1"/>
  <c r="U11" i="26"/>
  <c r="F31" i="26" s="1"/>
  <c r="AC11" i="26"/>
  <c r="N31" i="26" s="1"/>
  <c r="AK11" i="26"/>
  <c r="V31" i="26" s="1"/>
  <c r="T12" i="26"/>
  <c r="E32" i="26" s="1"/>
  <c r="AB12" i="26"/>
  <c r="M32" i="26" s="1"/>
  <c r="AJ12" i="26"/>
  <c r="U32" i="26" s="1"/>
  <c r="AR12" i="26"/>
  <c r="AC32" i="26" s="1"/>
  <c r="X16" i="26"/>
  <c r="I36" i="26" s="1"/>
  <c r="AF16" i="26"/>
  <c r="Q36" i="26" s="1"/>
  <c r="AN16" i="26"/>
  <c r="Y36" i="26" s="1"/>
  <c r="U19" i="26"/>
  <c r="F39" i="26" s="1"/>
  <c r="AC19" i="26"/>
  <c r="N39" i="26" s="1"/>
  <c r="AK19" i="26"/>
  <c r="V39" i="26" s="1"/>
  <c r="T20" i="26"/>
  <c r="E40" i="26" s="1"/>
  <c r="AB20" i="26"/>
  <c r="M40" i="26" s="1"/>
  <c r="AJ20" i="26"/>
  <c r="U40" i="26" s="1"/>
  <c r="AR20" i="26"/>
  <c r="AC40" i="26" s="1"/>
  <c r="X25" i="26"/>
  <c r="AF25" i="26"/>
  <c r="AN25" i="26"/>
  <c r="AL117" i="26"/>
  <c r="W137" i="26" s="1"/>
  <c r="AB119" i="26"/>
  <c r="M139" i="26" s="1"/>
  <c r="T120" i="26"/>
  <c r="E140" i="26" s="1"/>
  <c r="AJ120" i="26"/>
  <c r="U140" i="26" s="1"/>
  <c r="AB121" i="26"/>
  <c r="M141" i="26" s="1"/>
  <c r="V123" i="26"/>
  <c r="G143" i="26" s="1"/>
  <c r="AQ123" i="26"/>
  <c r="AB143" i="26" s="1"/>
  <c r="Z130" i="26"/>
  <c r="K150" i="26" s="1"/>
  <c r="A185" i="26"/>
  <c r="A173" i="26"/>
  <c r="A66" i="26"/>
  <c r="AP119" i="26"/>
  <c r="AA139" i="26" s="1"/>
  <c r="AH119" i="26"/>
  <c r="S139" i="26" s="1"/>
  <c r="Z119" i="26"/>
  <c r="K139" i="26" s="1"/>
  <c r="R119" i="26"/>
  <c r="C139" i="26" s="1"/>
  <c r="AO119" i="26"/>
  <c r="Z139" i="26" s="1"/>
  <c r="AG119" i="26"/>
  <c r="R139" i="26" s="1"/>
  <c r="Y119" i="26"/>
  <c r="J139" i="26" s="1"/>
  <c r="Q119" i="26"/>
  <c r="B139" i="26" s="1"/>
  <c r="AM119" i="26"/>
  <c r="X139" i="26" s="1"/>
  <c r="AE119" i="26"/>
  <c r="P139" i="26" s="1"/>
  <c r="W119" i="26"/>
  <c r="H139" i="26" s="1"/>
  <c r="AL119" i="26"/>
  <c r="W139" i="26" s="1"/>
  <c r="AD119" i="26"/>
  <c r="O139" i="26" s="1"/>
  <c r="V119" i="26"/>
  <c r="G139" i="26" s="1"/>
  <c r="AF119" i="26"/>
  <c r="Q139" i="26" s="1"/>
  <c r="Q121" i="26"/>
  <c r="B141" i="26" s="1"/>
  <c r="AH121" i="26"/>
  <c r="S141" i="26" s="1"/>
  <c r="AH130" i="26"/>
  <c r="S150" i="26" s="1"/>
  <c r="AI132" i="26"/>
  <c r="X11" i="26"/>
  <c r="I31" i="26" s="1"/>
  <c r="AF11" i="26"/>
  <c r="Q31" i="26" s="1"/>
  <c r="AN11" i="26"/>
  <c r="Y31" i="26" s="1"/>
  <c r="AM12" i="26"/>
  <c r="X32" i="26" s="1"/>
  <c r="AQ16" i="26"/>
  <c r="AB36" i="26" s="1"/>
  <c r="X19" i="26"/>
  <c r="I39" i="26" s="1"/>
  <c r="AF19" i="26"/>
  <c r="Q39" i="26" s="1"/>
  <c r="AN19" i="26"/>
  <c r="Y39" i="26" s="1"/>
  <c r="AA25" i="26"/>
  <c r="AI25" i="26"/>
  <c r="AQ25" i="26"/>
  <c r="AR117" i="26"/>
  <c r="AC137" i="26" s="1"/>
  <c r="AJ117" i="26"/>
  <c r="U137" i="26" s="1"/>
  <c r="AB117" i="26"/>
  <c r="M137" i="26" s="1"/>
  <c r="T117" i="26"/>
  <c r="E137" i="26" s="1"/>
  <c r="AQ117" i="26"/>
  <c r="AB137" i="26" s="1"/>
  <c r="AI117" i="26"/>
  <c r="T137" i="26" s="1"/>
  <c r="AA117" i="26"/>
  <c r="L137" i="26" s="1"/>
  <c r="S117" i="26"/>
  <c r="D137" i="26" s="1"/>
  <c r="AO117" i="26"/>
  <c r="Z137" i="26" s="1"/>
  <c r="AG117" i="26"/>
  <c r="R137" i="26" s="1"/>
  <c r="Y117" i="26"/>
  <c r="J137" i="26" s="1"/>
  <c r="Q117" i="26"/>
  <c r="B137" i="26" s="1"/>
  <c r="AC117" i="26"/>
  <c r="N137" i="26" s="1"/>
  <c r="S119" i="26"/>
  <c r="D139" i="26" s="1"/>
  <c r="AI119" i="26"/>
  <c r="T139" i="26" s="1"/>
  <c r="AA120" i="26"/>
  <c r="L140" i="26" s="1"/>
  <c r="AQ120" i="26"/>
  <c r="AB140" i="26" s="1"/>
  <c r="R121" i="26"/>
  <c r="C141" i="26" s="1"/>
  <c r="AJ121" i="26"/>
  <c r="U141" i="26" s="1"/>
  <c r="AE123" i="26"/>
  <c r="P143" i="26" s="1"/>
  <c r="Q11" i="26"/>
  <c r="B31" i="26" s="1"/>
  <c r="Y11" i="26"/>
  <c r="J31" i="26" s="1"/>
  <c r="AG11" i="26"/>
  <c r="R31" i="26" s="1"/>
  <c r="X12" i="26"/>
  <c r="I32" i="26" s="1"/>
  <c r="AF12" i="26"/>
  <c r="Q32" i="26" s="1"/>
  <c r="T16" i="26"/>
  <c r="E36" i="26" s="1"/>
  <c r="AB16" i="26"/>
  <c r="M36" i="26" s="1"/>
  <c r="AJ16" i="26"/>
  <c r="U36" i="26" s="1"/>
  <c r="Q19" i="26"/>
  <c r="B39" i="26" s="1"/>
  <c r="Y19" i="26"/>
  <c r="J39" i="26" s="1"/>
  <c r="AG19" i="26"/>
  <c r="R39" i="26" s="1"/>
  <c r="X20" i="26"/>
  <c r="I40" i="26" s="1"/>
  <c r="AF20" i="26"/>
  <c r="Q40" i="26" s="1"/>
  <c r="T25" i="26"/>
  <c r="AB25" i="26"/>
  <c r="AJ25" i="26"/>
  <c r="T119" i="26"/>
  <c r="E139" i="26" s="1"/>
  <c r="AJ119" i="26"/>
  <c r="U139" i="26" s="1"/>
  <c r="AB120" i="26"/>
  <c r="M140" i="26" s="1"/>
  <c r="S121" i="26"/>
  <c r="D141" i="26" s="1"/>
  <c r="AK121" i="26"/>
  <c r="V141" i="26" s="1"/>
  <c r="AQ130" i="26"/>
  <c r="AB150" i="26" s="1"/>
  <c r="AI130" i="26"/>
  <c r="T150" i="26" s="1"/>
  <c r="AA130" i="26"/>
  <c r="L150" i="26" s="1"/>
  <c r="S130" i="26"/>
  <c r="D150" i="26" s="1"/>
  <c r="AM130" i="26"/>
  <c r="X150" i="26" s="1"/>
  <c r="AE130" i="26"/>
  <c r="P150" i="26" s="1"/>
  <c r="W130" i="26"/>
  <c r="H150" i="26" s="1"/>
  <c r="AR130" i="26"/>
  <c r="AC150" i="26" s="1"/>
  <c r="AG130" i="26"/>
  <c r="R150" i="26" s="1"/>
  <c r="V130" i="26"/>
  <c r="G150" i="26" s="1"/>
  <c r="AP130" i="26"/>
  <c r="AA150" i="26" s="1"/>
  <c r="AF130" i="26"/>
  <c r="Q150" i="26" s="1"/>
  <c r="U130" i="26"/>
  <c r="F150" i="26" s="1"/>
  <c r="AN130" i="26"/>
  <c r="Y150" i="26" s="1"/>
  <c r="AC130" i="26"/>
  <c r="N150" i="26" s="1"/>
  <c r="R130" i="26"/>
  <c r="C150" i="26" s="1"/>
  <c r="AL130" i="26"/>
  <c r="W150" i="26" s="1"/>
  <c r="AB130" i="26"/>
  <c r="M150" i="26" s="1"/>
  <c r="Q130" i="26"/>
  <c r="B150" i="26" s="1"/>
  <c r="AK130" i="26"/>
  <c r="V150" i="26" s="1"/>
  <c r="A187" i="26"/>
  <c r="A175" i="26"/>
  <c r="A186" i="26"/>
  <c r="Y121" i="26"/>
  <c r="J141" i="26" s="1"/>
  <c r="A168" i="26"/>
  <c r="A180" i="26"/>
  <c r="X117" i="26"/>
  <c r="I137" i="26" s="1"/>
  <c r="AF117" i="26"/>
  <c r="Q137" i="26" s="1"/>
  <c r="W118" i="26"/>
  <c r="H138" i="26" s="1"/>
  <c r="AE118" i="26"/>
  <c r="P138" i="26" s="1"/>
  <c r="AM118" i="26"/>
  <c r="X138" i="26" s="1"/>
  <c r="U120" i="26"/>
  <c r="F140" i="26" s="1"/>
  <c r="AC120" i="26"/>
  <c r="N140" i="26" s="1"/>
  <c r="AK120" i="26"/>
  <c r="V140" i="26" s="1"/>
  <c r="T121" i="26"/>
  <c r="E141" i="26" s="1"/>
  <c r="AC121" i="26"/>
  <c r="N141" i="26" s="1"/>
  <c r="Y122" i="26"/>
  <c r="J142" i="26" s="1"/>
  <c r="W123" i="26"/>
  <c r="H143" i="26" s="1"/>
  <c r="AH123" i="26"/>
  <c r="S143" i="26" s="1"/>
  <c r="AR123" i="26"/>
  <c r="AC143" i="26" s="1"/>
  <c r="S124" i="26"/>
  <c r="D144" i="26" s="1"/>
  <c r="AD124" i="26"/>
  <c r="O144" i="26" s="1"/>
  <c r="AO124" i="26"/>
  <c r="Z144" i="26" s="1"/>
  <c r="Y126" i="26"/>
  <c r="J146" i="26" s="1"/>
  <c r="W128" i="26"/>
  <c r="H148" i="26" s="1"/>
  <c r="AH128" i="26"/>
  <c r="S148" i="26" s="1"/>
  <c r="AR128" i="26"/>
  <c r="AC148" i="26" s="1"/>
  <c r="S129" i="26"/>
  <c r="D149" i="26" s="1"/>
  <c r="AD129" i="26"/>
  <c r="O149" i="26" s="1"/>
  <c r="AO129" i="26"/>
  <c r="Z149" i="26" s="1"/>
  <c r="Y131" i="26"/>
  <c r="W132" i="26"/>
  <c r="AH132" i="26"/>
  <c r="AR132" i="26"/>
  <c r="S133" i="26"/>
  <c r="D153" i="26" s="1"/>
  <c r="AD133" i="26"/>
  <c r="O153" i="26" s="1"/>
  <c r="AP133" i="26"/>
  <c r="AA153" i="26" s="1"/>
  <c r="AJ225" i="26"/>
  <c r="U245" i="26" s="1"/>
  <c r="X118" i="26"/>
  <c r="I138" i="26" s="1"/>
  <c r="AF118" i="26"/>
  <c r="Q138" i="26" s="1"/>
  <c r="AN118" i="26"/>
  <c r="Y138" i="26" s="1"/>
  <c r="V120" i="26"/>
  <c r="G140" i="26" s="1"/>
  <c r="AD120" i="26"/>
  <c r="O140" i="26" s="1"/>
  <c r="AL120" i="26"/>
  <c r="W140" i="26" s="1"/>
  <c r="AP122" i="26"/>
  <c r="AA142" i="26" s="1"/>
  <c r="AH122" i="26"/>
  <c r="S142" i="26" s="1"/>
  <c r="Z122" i="26"/>
  <c r="K142" i="26" s="1"/>
  <c r="R122" i="26"/>
  <c r="C142" i="26" s="1"/>
  <c r="AL122" i="26"/>
  <c r="W142" i="26" s="1"/>
  <c r="AD122" i="26"/>
  <c r="O142" i="26" s="1"/>
  <c r="V122" i="26"/>
  <c r="G142" i="26" s="1"/>
  <c r="AA122" i="26"/>
  <c r="L142" i="26" s="1"/>
  <c r="AK122" i="26"/>
  <c r="V142" i="26" s="1"/>
  <c r="X123" i="26"/>
  <c r="I143" i="26" s="1"/>
  <c r="U124" i="26"/>
  <c r="F144" i="26" s="1"/>
  <c r="AE124" i="26"/>
  <c r="P144" i="26" s="1"/>
  <c r="AP124" i="26"/>
  <c r="AA144" i="26" s="1"/>
  <c r="AL126" i="26"/>
  <c r="W146" i="26" s="1"/>
  <c r="AD126" i="26"/>
  <c r="O146" i="26" s="1"/>
  <c r="V126" i="26"/>
  <c r="G146" i="26" s="1"/>
  <c r="AP126" i="26"/>
  <c r="AA146" i="26" s="1"/>
  <c r="AH126" i="26"/>
  <c r="S146" i="26" s="1"/>
  <c r="Z126" i="26"/>
  <c r="K146" i="26" s="1"/>
  <c r="R126" i="26"/>
  <c r="C146" i="26" s="1"/>
  <c r="AA126" i="26"/>
  <c r="L146" i="26" s="1"/>
  <c r="AK126" i="26"/>
  <c r="V146" i="26" s="1"/>
  <c r="X128" i="26"/>
  <c r="I148" i="26" s="1"/>
  <c r="U129" i="26"/>
  <c r="F149" i="26" s="1"/>
  <c r="AE129" i="26"/>
  <c r="P149" i="26" s="1"/>
  <c r="AP129" i="26"/>
  <c r="AA149" i="26" s="1"/>
  <c r="AP131" i="26"/>
  <c r="AH131" i="26"/>
  <c r="Z131" i="26"/>
  <c r="R131" i="26"/>
  <c r="AL131" i="26"/>
  <c r="AD131" i="26"/>
  <c r="V131" i="26"/>
  <c r="AA131" i="26"/>
  <c r="AK131" i="26"/>
  <c r="X132" i="26"/>
  <c r="AE133" i="26"/>
  <c r="P153" i="26" s="1"/>
  <c r="AQ133" i="26"/>
  <c r="AB153" i="26" s="1"/>
  <c r="A169" i="26"/>
  <c r="AQ231" i="26"/>
  <c r="AB251" i="26" s="1"/>
  <c r="AI231" i="26"/>
  <c r="T251" i="26" s="1"/>
  <c r="AA231" i="26"/>
  <c r="L251" i="26" s="1"/>
  <c r="S231" i="26"/>
  <c r="D251" i="26" s="1"/>
  <c r="AP231" i="26"/>
  <c r="AA251" i="26" s="1"/>
  <c r="AM231" i="26"/>
  <c r="X251" i="26" s="1"/>
  <c r="AE231" i="26"/>
  <c r="P251" i="26" s="1"/>
  <c r="W231" i="26"/>
  <c r="H251" i="26" s="1"/>
  <c r="AG231" i="26"/>
  <c r="R251" i="26" s="1"/>
  <c r="V231" i="26"/>
  <c r="G251" i="26" s="1"/>
  <c r="AR231" i="26"/>
  <c r="AC251" i="26" s="1"/>
  <c r="AF231" i="26"/>
  <c r="Q251" i="26" s="1"/>
  <c r="U231" i="26"/>
  <c r="F251" i="26" s="1"/>
  <c r="AL231" i="26"/>
  <c r="W251" i="26" s="1"/>
  <c r="AB231" i="26"/>
  <c r="M251" i="26" s="1"/>
  <c r="Q231" i="26"/>
  <c r="B251" i="26" s="1"/>
  <c r="AK231" i="26"/>
  <c r="V251" i="26" s="1"/>
  <c r="T231" i="26"/>
  <c r="E251" i="26" s="1"/>
  <c r="AJ231" i="26"/>
  <c r="U251" i="26" s="1"/>
  <c r="R231" i="26"/>
  <c r="C251" i="26" s="1"/>
  <c r="AC231" i="26"/>
  <c r="N251" i="26" s="1"/>
  <c r="AO231" i="26"/>
  <c r="Z251" i="26" s="1"/>
  <c r="AN231" i="26"/>
  <c r="Y251" i="26" s="1"/>
  <c r="AH231" i="26"/>
  <c r="S251" i="26" s="1"/>
  <c r="Z231" i="26"/>
  <c r="K251" i="26" s="1"/>
  <c r="Y231" i="26"/>
  <c r="J251" i="26" s="1"/>
  <c r="X120" i="26"/>
  <c r="I140" i="26" s="1"/>
  <c r="AF120" i="26"/>
  <c r="Q140" i="26" s="1"/>
  <c r="AN120" i="26"/>
  <c r="Y140" i="26" s="1"/>
  <c r="AO123" i="26"/>
  <c r="Z143" i="26" s="1"/>
  <c r="AG123" i="26"/>
  <c r="R143" i="26" s="1"/>
  <c r="Y123" i="26"/>
  <c r="J143" i="26" s="1"/>
  <c r="Q123" i="26"/>
  <c r="B143" i="26" s="1"/>
  <c r="AK123" i="26"/>
  <c r="V143" i="26" s="1"/>
  <c r="AC123" i="26"/>
  <c r="N143" i="26" s="1"/>
  <c r="U123" i="26"/>
  <c r="F143" i="26" s="1"/>
  <c r="AA123" i="26"/>
  <c r="L143" i="26" s="1"/>
  <c r="AL123" i="26"/>
  <c r="W143" i="26" s="1"/>
  <c r="W124" i="26"/>
  <c r="H144" i="26" s="1"/>
  <c r="AH124" i="26"/>
  <c r="S144" i="26" s="1"/>
  <c r="AC126" i="26"/>
  <c r="N146" i="26" s="1"/>
  <c r="AN126" i="26"/>
  <c r="Y146" i="26" s="1"/>
  <c r="AK128" i="26"/>
  <c r="V148" i="26" s="1"/>
  <c r="AC128" i="26"/>
  <c r="N148" i="26" s="1"/>
  <c r="U128" i="26"/>
  <c r="F148" i="26" s="1"/>
  <c r="AO128" i="26"/>
  <c r="Z148" i="26" s="1"/>
  <c r="AG128" i="26"/>
  <c r="R148" i="26" s="1"/>
  <c r="Y128" i="26"/>
  <c r="J148" i="26" s="1"/>
  <c r="Q128" i="26"/>
  <c r="B148" i="26" s="1"/>
  <c r="AA128" i="26"/>
  <c r="L148" i="26" s="1"/>
  <c r="AL128" i="26"/>
  <c r="W148" i="26" s="1"/>
  <c r="W129" i="26"/>
  <c r="H149" i="26" s="1"/>
  <c r="AH129" i="26"/>
  <c r="S149" i="26" s="1"/>
  <c r="S131" i="26"/>
  <c r="AC131" i="26"/>
  <c r="AN131" i="26"/>
  <c r="AO132" i="26"/>
  <c r="AG132" i="26"/>
  <c r="Y132" i="26"/>
  <c r="Q132" i="26"/>
  <c r="AK132" i="26"/>
  <c r="AC132" i="26"/>
  <c r="U132" i="26"/>
  <c r="AA132" i="26"/>
  <c r="AL132" i="26"/>
  <c r="W133" i="26"/>
  <c r="H153" i="26" s="1"/>
  <c r="AH133" i="26"/>
  <c r="S153" i="26" s="1"/>
  <c r="AD231" i="26"/>
  <c r="O251" i="26" s="1"/>
  <c r="S118" i="26"/>
  <c r="D138" i="26" s="1"/>
  <c r="AA118" i="26"/>
  <c r="L138" i="26" s="1"/>
  <c r="AI118" i="26"/>
  <c r="T138" i="26" s="1"/>
  <c r="Q120" i="26"/>
  <c r="B140" i="26" s="1"/>
  <c r="Y120" i="26"/>
  <c r="J140" i="26" s="1"/>
  <c r="AG120" i="26"/>
  <c r="R140" i="26" s="1"/>
  <c r="AQ121" i="26"/>
  <c r="AB141" i="26" s="1"/>
  <c r="AI121" i="26"/>
  <c r="T141" i="26" s="1"/>
  <c r="AA121" i="26"/>
  <c r="L141" i="26" s="1"/>
  <c r="AM121" i="26"/>
  <c r="X141" i="26" s="1"/>
  <c r="X121" i="26"/>
  <c r="I141" i="26" s="1"/>
  <c r="AG121" i="26"/>
  <c r="R141" i="26" s="1"/>
  <c r="AR121" i="26"/>
  <c r="AC141" i="26" s="1"/>
  <c r="T122" i="26"/>
  <c r="E142" i="26" s="1"/>
  <c r="AE122" i="26"/>
  <c r="P142" i="26" s="1"/>
  <c r="AO122" i="26"/>
  <c r="Z142" i="26" s="1"/>
  <c r="R123" i="26"/>
  <c r="C143" i="26" s="1"/>
  <c r="AB123" i="26"/>
  <c r="M143" i="26" s="1"/>
  <c r="AM123" i="26"/>
  <c r="X143" i="26" s="1"/>
  <c r="Y124" i="26"/>
  <c r="J144" i="26" s="1"/>
  <c r="T126" i="26"/>
  <c r="E146" i="26" s="1"/>
  <c r="AE126" i="26"/>
  <c r="P146" i="26" s="1"/>
  <c r="AO126" i="26"/>
  <c r="Z146" i="26" s="1"/>
  <c r="R128" i="26"/>
  <c r="C148" i="26" s="1"/>
  <c r="AB128" i="26"/>
  <c r="M148" i="26" s="1"/>
  <c r="AM128" i="26"/>
  <c r="X148" i="26" s="1"/>
  <c r="Y129" i="26"/>
  <c r="J149" i="26" s="1"/>
  <c r="T131" i="26"/>
  <c r="AE131" i="26"/>
  <c r="AO131" i="26"/>
  <c r="R132" i="26"/>
  <c r="AB132" i="26"/>
  <c r="AM132" i="26"/>
  <c r="Y133" i="26"/>
  <c r="J153" i="26" s="1"/>
  <c r="AI133" i="26"/>
  <c r="T153" i="26" s="1"/>
  <c r="AL225" i="26"/>
  <c r="W245" i="26" s="1"/>
  <c r="AD225" i="26"/>
  <c r="O245" i="26" s="1"/>
  <c r="V225" i="26"/>
  <c r="G245" i="26" s="1"/>
  <c r="AK225" i="26"/>
  <c r="V245" i="26" s="1"/>
  <c r="AC225" i="26"/>
  <c r="N245" i="26" s="1"/>
  <c r="U225" i="26"/>
  <c r="F245" i="26" s="1"/>
  <c r="AI225" i="26"/>
  <c r="T245" i="26" s="1"/>
  <c r="Y225" i="26"/>
  <c r="J245" i="26" s="1"/>
  <c r="AR225" i="26"/>
  <c r="AC245" i="26" s="1"/>
  <c r="AH225" i="26"/>
  <c r="S245" i="26" s="1"/>
  <c r="X225" i="26"/>
  <c r="I245" i="26" s="1"/>
  <c r="AO225" i="26"/>
  <c r="Z245" i="26" s="1"/>
  <c r="AF225" i="26"/>
  <c r="Q245" i="26" s="1"/>
  <c r="R225" i="26"/>
  <c r="C245" i="26" s="1"/>
  <c r="AE225" i="26"/>
  <c r="P245" i="26" s="1"/>
  <c r="Q225" i="26"/>
  <c r="B245" i="26" s="1"/>
  <c r="AP225" i="26"/>
  <c r="AA245" i="26" s="1"/>
  <c r="AA225" i="26"/>
  <c r="L245" i="26" s="1"/>
  <c r="AN225" i="26"/>
  <c r="Y245" i="26" s="1"/>
  <c r="Z225" i="26"/>
  <c r="K245" i="26" s="1"/>
  <c r="W225" i="26"/>
  <c r="H245" i="26" s="1"/>
  <c r="T225" i="26"/>
  <c r="E245" i="26" s="1"/>
  <c r="S225" i="26"/>
  <c r="D245" i="26" s="1"/>
  <c r="AM225" i="26"/>
  <c r="X245" i="26" s="1"/>
  <c r="AM226" i="26"/>
  <c r="X246" i="26" s="1"/>
  <c r="AG226" i="26"/>
  <c r="R246" i="26" s="1"/>
  <c r="AA226" i="26"/>
  <c r="L246" i="26" s="1"/>
  <c r="AB229" i="26"/>
  <c r="M249" i="26" s="1"/>
  <c r="AA229" i="26"/>
  <c r="L249" i="26" s="1"/>
  <c r="AR229" i="26"/>
  <c r="AC249" i="26" s="1"/>
  <c r="X229" i="26"/>
  <c r="I249" i="26" s="1"/>
  <c r="AM229" i="26"/>
  <c r="X249" i="26" s="1"/>
  <c r="S229" i="26"/>
  <c r="D249" i="26" s="1"/>
  <c r="AK229" i="26"/>
  <c r="V249" i="26" s="1"/>
  <c r="AQ226" i="26"/>
  <c r="AB246" i="26" s="1"/>
  <c r="Y226" i="26"/>
  <c r="J246" i="26" s="1"/>
  <c r="AN226" i="26"/>
  <c r="Y246" i="26" s="1"/>
  <c r="X226" i="26"/>
  <c r="I246" i="26" s="1"/>
  <c r="AI226" i="26"/>
  <c r="T246" i="26" s="1"/>
  <c r="R226" i="26"/>
  <c r="C246" i="26" s="1"/>
  <c r="AH226" i="26"/>
  <c r="S246" i="26" s="1"/>
  <c r="Q226" i="26"/>
  <c r="B246" i="26" s="1"/>
  <c r="AG230" i="26"/>
  <c r="R250" i="26" s="1"/>
  <c r="S230" i="26"/>
  <c r="D250" i="26" s="1"/>
  <c r="AC230" i="26"/>
  <c r="N250" i="26" s="1"/>
  <c r="AA230" i="26"/>
  <c r="L250" i="26" s="1"/>
  <c r="V230" i="26"/>
  <c r="G250" i="26" s="1"/>
  <c r="AQ230" i="26"/>
  <c r="AB250" i="26" s="1"/>
  <c r="R230" i="26"/>
  <c r="C250" i="26" s="1"/>
  <c r="AL230" i="26"/>
  <c r="W250" i="26" s="1"/>
  <c r="T124" i="26"/>
  <c r="E144" i="26" s="1"/>
  <c r="AB124" i="26"/>
  <c r="M144" i="26" s="1"/>
  <c r="AJ124" i="26"/>
  <c r="U144" i="26" s="1"/>
  <c r="AR124" i="26"/>
  <c r="AC144" i="26" s="1"/>
  <c r="X129" i="26"/>
  <c r="I149" i="26" s="1"/>
  <c r="AF129" i="26"/>
  <c r="Q149" i="26" s="1"/>
  <c r="AN129" i="26"/>
  <c r="Y149" i="26" s="1"/>
  <c r="T133" i="26"/>
  <c r="E153" i="26" s="1"/>
  <c r="AB133" i="26"/>
  <c r="M153" i="26" s="1"/>
  <c r="AJ133" i="26"/>
  <c r="U153" i="26" s="1"/>
  <c r="AR133" i="26"/>
  <c r="AC153" i="26" s="1"/>
  <c r="V233" i="26"/>
  <c r="G253" i="26" s="1"/>
  <c r="X238" i="26"/>
  <c r="I258" i="26" s="1"/>
  <c r="AR227" i="26"/>
  <c r="AC247" i="26" s="1"/>
  <c r="AJ227" i="26"/>
  <c r="U247" i="26" s="1"/>
  <c r="AB227" i="26"/>
  <c r="M247" i="26" s="1"/>
  <c r="T227" i="26"/>
  <c r="E247" i="26" s="1"/>
  <c r="AQ227" i="26"/>
  <c r="AB247" i="26" s="1"/>
  <c r="AI227" i="26"/>
  <c r="T247" i="26" s="1"/>
  <c r="AA227" i="26"/>
  <c r="L247" i="26" s="1"/>
  <c r="S227" i="26"/>
  <c r="D247" i="26" s="1"/>
  <c r="AN227" i="26"/>
  <c r="Y247" i="26" s="1"/>
  <c r="AO227" i="26"/>
  <c r="Z247" i="26" s="1"/>
  <c r="AD227" i="26"/>
  <c r="O247" i="26" s="1"/>
  <c r="R227" i="26"/>
  <c r="C247" i="26" s="1"/>
  <c r="AM227" i="26"/>
  <c r="X247" i="26" s="1"/>
  <c r="AC227" i="26"/>
  <c r="N247" i="26" s="1"/>
  <c r="Q227" i="26"/>
  <c r="B247" i="26" s="1"/>
  <c r="AH227" i="26"/>
  <c r="S247" i="26" s="1"/>
  <c r="X227" i="26"/>
  <c r="I247" i="26" s="1"/>
  <c r="AG227" i="26"/>
  <c r="R247" i="26" s="1"/>
  <c r="AQ228" i="26"/>
  <c r="AB248" i="26" s="1"/>
  <c r="AI228" i="26"/>
  <c r="T248" i="26" s="1"/>
  <c r="AA228" i="26"/>
  <c r="L248" i="26" s="1"/>
  <c r="S228" i="26"/>
  <c r="D248" i="26" s="1"/>
  <c r="AP228" i="26"/>
  <c r="AA248" i="26" s="1"/>
  <c r="AH228" i="26"/>
  <c r="S248" i="26" s="1"/>
  <c r="Z228" i="26"/>
  <c r="K248" i="26" s="1"/>
  <c r="R228" i="26"/>
  <c r="C248" i="26" s="1"/>
  <c r="AM228" i="26"/>
  <c r="X248" i="26" s="1"/>
  <c r="AE228" i="26"/>
  <c r="P248" i="26" s="1"/>
  <c r="W228" i="26"/>
  <c r="H248" i="26" s="1"/>
  <c r="AF228" i="26"/>
  <c r="Q248" i="26" s="1"/>
  <c r="T228" i="26"/>
  <c r="E248" i="26" s="1"/>
  <c r="AR228" i="26"/>
  <c r="AC248" i="26" s="1"/>
  <c r="AD228" i="26"/>
  <c r="O248" i="26" s="1"/>
  <c r="Q228" i="26"/>
  <c r="B248" i="26" s="1"/>
  <c r="AL228" i="26"/>
  <c r="W248" i="26" s="1"/>
  <c r="Y228" i="26"/>
  <c r="J248" i="26" s="1"/>
  <c r="AK228" i="26"/>
  <c r="V248" i="26" s="1"/>
  <c r="AM232" i="26"/>
  <c r="X252" i="26" s="1"/>
  <c r="S232" i="26"/>
  <c r="D252" i="26" s="1"/>
  <c r="AK232" i="26"/>
  <c r="V252" i="26" s="1"/>
  <c r="AB232" i="26"/>
  <c r="M252" i="26" s="1"/>
  <c r="AR232" i="26"/>
  <c r="AC252" i="26" s="1"/>
  <c r="AA233" i="26"/>
  <c r="L253" i="26" s="1"/>
  <c r="AJ237" i="26"/>
  <c r="U257" i="26" s="1"/>
  <c r="X237" i="26"/>
  <c r="I257" i="26" s="1"/>
  <c r="AM237" i="26"/>
  <c r="X257" i="26" s="1"/>
  <c r="S237" i="26"/>
  <c r="D257" i="26" s="1"/>
  <c r="AI237" i="26"/>
  <c r="T257" i="26" s="1"/>
  <c r="AA237" i="26"/>
  <c r="L257" i="26" s="1"/>
  <c r="AR237" i="26"/>
  <c r="AC257" i="26" s="1"/>
  <c r="AA238" i="26"/>
  <c r="L258" i="26" s="1"/>
  <c r="AQ349" i="26"/>
  <c r="AI349" i="26"/>
  <c r="AA349" i="26"/>
  <c r="S349" i="26"/>
  <c r="AP349" i="26"/>
  <c r="AH349" i="26"/>
  <c r="Z349" i="26"/>
  <c r="R349" i="26"/>
  <c r="AL349" i="26"/>
  <c r="AD349" i="26"/>
  <c r="V349" i="26"/>
  <c r="AN349" i="26"/>
  <c r="AB349" i="26"/>
  <c r="AM349" i="26"/>
  <c r="Y349" i="26"/>
  <c r="AK349" i="26"/>
  <c r="X349" i="26"/>
  <c r="AJ349" i="26"/>
  <c r="W349" i="26"/>
  <c r="AF349" i="26"/>
  <c r="T349" i="26"/>
  <c r="AR349" i="26"/>
  <c r="AO349" i="26"/>
  <c r="AG349" i="26"/>
  <c r="AC349" i="26"/>
  <c r="AE349" i="26"/>
  <c r="U349" i="26"/>
  <c r="Q349" i="26"/>
  <c r="V227" i="26"/>
  <c r="G247" i="26" s="1"/>
  <c r="AL227" i="26"/>
  <c r="W247" i="26" s="1"/>
  <c r="V228" i="26"/>
  <c r="G248" i="26" s="1"/>
  <c r="AO228" i="26"/>
  <c r="Z248" i="26" s="1"/>
  <c r="T232" i="26"/>
  <c r="E252" i="26" s="1"/>
  <c r="AH233" i="26"/>
  <c r="S253" i="26" s="1"/>
  <c r="T237" i="26"/>
  <c r="E257" i="26" s="1"/>
  <c r="AI238" i="26"/>
  <c r="T258" i="26" s="1"/>
  <c r="Y239" i="26"/>
  <c r="X124" i="26"/>
  <c r="I144" i="26" s="1"/>
  <c r="AF124" i="26"/>
  <c r="Q144" i="26" s="1"/>
  <c r="T129" i="26"/>
  <c r="E149" i="26" s="1"/>
  <c r="AB129" i="26"/>
  <c r="M149" i="26" s="1"/>
  <c r="AJ129" i="26"/>
  <c r="U149" i="26" s="1"/>
  <c r="X133" i="26"/>
  <c r="I153" i="26" s="1"/>
  <c r="AF133" i="26"/>
  <c r="Q153" i="26" s="1"/>
  <c r="W227" i="26"/>
  <c r="H247" i="26" s="1"/>
  <c r="AP227" i="26"/>
  <c r="AA247" i="26" s="1"/>
  <c r="X228" i="26"/>
  <c r="I248" i="26" s="1"/>
  <c r="X232" i="26"/>
  <c r="I252" i="26" s="1"/>
  <c r="AL233" i="26"/>
  <c r="W253" i="26" s="1"/>
  <c r="W237" i="26"/>
  <c r="H257" i="26" s="1"/>
  <c r="AQ240" i="26"/>
  <c r="AI240" i="26"/>
  <c r="AA240" i="26"/>
  <c r="S240" i="26"/>
  <c r="AP240" i="26"/>
  <c r="AH240" i="26"/>
  <c r="Z240" i="26"/>
  <c r="R240" i="26"/>
  <c r="AM240" i="26"/>
  <c r="AE240" i="26"/>
  <c r="W240" i="26"/>
  <c r="AL240" i="26"/>
  <c r="Y240" i="26"/>
  <c r="AK240" i="26"/>
  <c r="X240" i="26"/>
  <c r="AF240" i="26"/>
  <c r="T240" i="26"/>
  <c r="AO240" i="26"/>
  <c r="U240" i="26"/>
  <c r="AN240" i="26"/>
  <c r="Q240" i="26"/>
  <c r="AD240" i="26"/>
  <c r="AJ233" i="26"/>
  <c r="U253" i="26" s="1"/>
  <c r="W233" i="26"/>
  <c r="H253" i="26" s="1"/>
  <c r="AR233" i="26"/>
  <c r="AC253" i="26" s="1"/>
  <c r="AE233" i="26"/>
  <c r="P253" i="26" s="1"/>
  <c r="S233" i="26"/>
  <c r="D253" i="26" s="1"/>
  <c r="AM233" i="26"/>
  <c r="X253" i="26" s="1"/>
  <c r="R233" i="26"/>
  <c r="C253" i="26" s="1"/>
  <c r="AI233" i="26"/>
  <c r="T253" i="26" s="1"/>
  <c r="AB233" i="26"/>
  <c r="M253" i="26" s="1"/>
  <c r="AQ233" i="26"/>
  <c r="AB253" i="26" s="1"/>
  <c r="AN238" i="26"/>
  <c r="Y258" i="26" s="1"/>
  <c r="V238" i="26"/>
  <c r="G258" i="26" s="1"/>
  <c r="AD238" i="26"/>
  <c r="O258" i="26" s="1"/>
  <c r="A276" i="26"/>
  <c r="A288" i="26"/>
  <c r="A293" i="26"/>
  <c r="A281" i="26"/>
  <c r="AK226" i="26"/>
  <c r="V246" i="26" s="1"/>
  <c r="AC226" i="26"/>
  <c r="N246" i="26" s="1"/>
  <c r="U226" i="26"/>
  <c r="F246" i="26" s="1"/>
  <c r="AR226" i="26"/>
  <c r="AC246" i="26" s="1"/>
  <c r="AJ226" i="26"/>
  <c r="U246" i="26" s="1"/>
  <c r="AB226" i="26"/>
  <c r="M246" i="26" s="1"/>
  <c r="T226" i="26"/>
  <c r="E246" i="26" s="1"/>
  <c r="Z226" i="26"/>
  <c r="K246" i="26" s="1"/>
  <c r="AL226" i="26"/>
  <c r="W246" i="26" s="1"/>
  <c r="AP229" i="26"/>
  <c r="AA249" i="26" s="1"/>
  <c r="AH229" i="26"/>
  <c r="S249" i="26" s="1"/>
  <c r="Z229" i="26"/>
  <c r="K249" i="26" s="1"/>
  <c r="R229" i="26"/>
  <c r="C249" i="26" s="1"/>
  <c r="AO229" i="26"/>
  <c r="Z249" i="26" s="1"/>
  <c r="AG229" i="26"/>
  <c r="R249" i="26" s="1"/>
  <c r="Y229" i="26"/>
  <c r="J249" i="26" s="1"/>
  <c r="Q229" i="26"/>
  <c r="B249" i="26" s="1"/>
  <c r="AL229" i="26"/>
  <c r="W249" i="26" s="1"/>
  <c r="AD229" i="26"/>
  <c r="O249" i="26" s="1"/>
  <c r="V229" i="26"/>
  <c r="G249" i="26" s="1"/>
  <c r="AC229" i="26"/>
  <c r="N249" i="26" s="1"/>
  <c r="AQ229" i="26"/>
  <c r="AB249" i="26" s="1"/>
  <c r="AA239" i="26"/>
  <c r="S239" i="26"/>
  <c r="AH239" i="26"/>
  <c r="V239" i="26"/>
  <c r="AG239" i="26"/>
  <c r="U239" i="26"/>
  <c r="AO239" i="26"/>
  <c r="AC239" i="26"/>
  <c r="AD239" i="26"/>
  <c r="A282" i="26"/>
  <c r="A294" i="26"/>
  <c r="A277" i="26"/>
  <c r="A289" i="26"/>
  <c r="S226" i="26"/>
  <c r="D246" i="26" s="1"/>
  <c r="AE226" i="26"/>
  <c r="P246" i="26" s="1"/>
  <c r="AO226" i="26"/>
  <c r="Z246" i="26" s="1"/>
  <c r="U229" i="26"/>
  <c r="F249" i="26" s="1"/>
  <c r="AI229" i="26"/>
  <c r="T249" i="26" s="1"/>
  <c r="W230" i="26"/>
  <c r="H250" i="26" s="1"/>
  <c r="AO233" i="26"/>
  <c r="Z253" i="26" s="1"/>
  <c r="AK238" i="26"/>
  <c r="V258" i="26" s="1"/>
  <c r="AC238" i="26"/>
  <c r="N258" i="26" s="1"/>
  <c r="U238" i="26"/>
  <c r="F258" i="26" s="1"/>
  <c r="AR238" i="26"/>
  <c r="AC258" i="26" s="1"/>
  <c r="AJ238" i="26"/>
  <c r="U258" i="26" s="1"/>
  <c r="AB238" i="26"/>
  <c r="M258" i="26" s="1"/>
  <c r="T238" i="26"/>
  <c r="E258" i="26" s="1"/>
  <c r="AO238" i="26"/>
  <c r="Z258" i="26" s="1"/>
  <c r="AG238" i="26"/>
  <c r="R258" i="26" s="1"/>
  <c r="Y238" i="26"/>
  <c r="J258" i="26" s="1"/>
  <c r="Q238" i="26"/>
  <c r="B258" i="26" s="1"/>
  <c r="AF238" i="26"/>
  <c r="Q258" i="26" s="1"/>
  <c r="S238" i="26"/>
  <c r="D258" i="26" s="1"/>
  <c r="AQ238" i="26"/>
  <c r="AB258" i="26" s="1"/>
  <c r="AE238" i="26"/>
  <c r="P258" i="26" s="1"/>
  <c r="R238" i="26"/>
  <c r="C258" i="26" s="1"/>
  <c r="AM238" i="26"/>
  <c r="X258" i="26" s="1"/>
  <c r="Z238" i="26"/>
  <c r="K258" i="26" s="1"/>
  <c r="AL238" i="26"/>
  <c r="W258" i="26" s="1"/>
  <c r="Q239" i="26"/>
  <c r="AL239" i="26"/>
  <c r="V226" i="26"/>
  <c r="G246" i="26" s="1"/>
  <c r="AF226" i="26"/>
  <c r="Q246" i="26" s="1"/>
  <c r="AP226" i="26"/>
  <c r="AA246" i="26" s="1"/>
  <c r="W229" i="26"/>
  <c r="H249" i="26" s="1"/>
  <c r="AJ229" i="26"/>
  <c r="U249" i="26" s="1"/>
  <c r="AO230" i="26"/>
  <c r="Z250" i="26" s="1"/>
  <c r="AD230" i="26"/>
  <c r="O250" i="26" s="1"/>
  <c r="U230" i="26"/>
  <c r="F250" i="26" s="1"/>
  <c r="Z230" i="26"/>
  <c r="K250" i="26" s="1"/>
  <c r="AP230" i="26"/>
  <c r="AA250" i="26" s="1"/>
  <c r="R239" i="26"/>
  <c r="AM239" i="26"/>
  <c r="A290" i="26"/>
  <c r="A278" i="26"/>
  <c r="U261" i="26"/>
  <c r="A279" i="26"/>
  <c r="A291" i="26"/>
  <c r="AP232" i="26"/>
  <c r="AA252" i="26" s="1"/>
  <c r="AH232" i="26"/>
  <c r="S252" i="26" s="1"/>
  <c r="Z232" i="26"/>
  <c r="K252" i="26" s="1"/>
  <c r="R232" i="26"/>
  <c r="C252" i="26" s="1"/>
  <c r="AO232" i="26"/>
  <c r="Z252" i="26" s="1"/>
  <c r="AG232" i="26"/>
  <c r="R252" i="26" s="1"/>
  <c r="Y232" i="26"/>
  <c r="J252" i="26" s="1"/>
  <c r="Q232" i="26"/>
  <c r="B252" i="26" s="1"/>
  <c r="AL232" i="26"/>
  <c r="W252" i="26" s="1"/>
  <c r="AD232" i="26"/>
  <c r="O252" i="26" s="1"/>
  <c r="V232" i="26"/>
  <c r="G252" i="26" s="1"/>
  <c r="AC232" i="26"/>
  <c r="N252" i="26" s="1"/>
  <c r="AQ232" i="26"/>
  <c r="AB252" i="26" s="1"/>
  <c r="AR239" i="26"/>
  <c r="V338" i="26"/>
  <c r="G358" i="26" s="1"/>
  <c r="AR230" i="26"/>
  <c r="AC250" i="26" s="1"/>
  <c r="AJ230" i="26"/>
  <c r="U250" i="26" s="1"/>
  <c r="AB230" i="26"/>
  <c r="M250" i="26" s="1"/>
  <c r="AN230" i="26"/>
  <c r="Y250" i="26" s="1"/>
  <c r="AF230" i="26"/>
  <c r="Q250" i="26" s="1"/>
  <c r="X230" i="26"/>
  <c r="I250" i="26" s="1"/>
  <c r="AH230" i="26"/>
  <c r="S250" i="26" s="1"/>
  <c r="U232" i="26"/>
  <c r="F252" i="26" s="1"/>
  <c r="AI232" i="26"/>
  <c r="T252" i="26" s="1"/>
  <c r="AM234" i="26"/>
  <c r="X254" i="26" s="1"/>
  <c r="AE234" i="26"/>
  <c r="P254" i="26" s="1"/>
  <c r="W234" i="26"/>
  <c r="H254" i="26" s="1"/>
  <c r="Y234" i="26"/>
  <c r="J254" i="26" s="1"/>
  <c r="AK234" i="26"/>
  <c r="V254" i="26" s="1"/>
  <c r="AL237" i="26"/>
  <c r="W257" i="26" s="1"/>
  <c r="AD237" i="26"/>
  <c r="O257" i="26" s="1"/>
  <c r="V237" i="26"/>
  <c r="G257" i="26" s="1"/>
  <c r="AK237" i="26"/>
  <c r="V257" i="26" s="1"/>
  <c r="AC237" i="26"/>
  <c r="N257" i="26" s="1"/>
  <c r="U237" i="26"/>
  <c r="F257" i="26" s="1"/>
  <c r="AP237" i="26"/>
  <c r="AA257" i="26" s="1"/>
  <c r="AH237" i="26"/>
  <c r="S257" i="26" s="1"/>
  <c r="Z237" i="26"/>
  <c r="K257" i="26" s="1"/>
  <c r="R237" i="26"/>
  <c r="C257" i="26" s="1"/>
  <c r="AB237" i="26"/>
  <c r="M257" i="26" s="1"/>
  <c r="AO237" i="26"/>
  <c r="Z257" i="26" s="1"/>
  <c r="AB241" i="26"/>
  <c r="M261" i="26" s="1"/>
  <c r="Q230" i="26"/>
  <c r="B250" i="26" s="1"/>
  <c r="Y230" i="26"/>
  <c r="J250" i="26" s="1"/>
  <c r="AI230" i="26"/>
  <c r="T250" i="26" s="1"/>
  <c r="W232" i="26"/>
  <c r="H252" i="26" s="1"/>
  <c r="AJ232" i="26"/>
  <c r="U252" i="26" s="1"/>
  <c r="Z233" i="26"/>
  <c r="K253" i="26" s="1"/>
  <c r="Z234" i="26"/>
  <c r="K254" i="26" s="1"/>
  <c r="AL234" i="26"/>
  <c r="W254" i="26" s="1"/>
  <c r="AM236" i="26"/>
  <c r="X256" i="26" s="1"/>
  <c r="AE236" i="26"/>
  <c r="P256" i="26" s="1"/>
  <c r="W236" i="26"/>
  <c r="H256" i="26" s="1"/>
  <c r="AL236" i="26"/>
  <c r="W256" i="26" s="1"/>
  <c r="AD236" i="26"/>
  <c r="O256" i="26" s="1"/>
  <c r="V236" i="26"/>
  <c r="G256" i="26" s="1"/>
  <c r="AQ236" i="26"/>
  <c r="AB256" i="26" s="1"/>
  <c r="AI236" i="26"/>
  <c r="T256" i="26" s="1"/>
  <c r="AA236" i="26"/>
  <c r="L256" i="26" s="1"/>
  <c r="S236" i="26"/>
  <c r="D256" i="26" s="1"/>
  <c r="AB236" i="26"/>
  <c r="M256" i="26" s="1"/>
  <c r="AO236" i="26"/>
  <c r="Z256" i="26" s="1"/>
  <c r="Q237" i="26"/>
  <c r="B257" i="26" s="1"/>
  <c r="AE237" i="26"/>
  <c r="P257" i="26" s="1"/>
  <c r="AQ237" i="26"/>
  <c r="AB257" i="26" s="1"/>
  <c r="AP241" i="26"/>
  <c r="AA261" i="26" s="1"/>
  <c r="AH241" i="26"/>
  <c r="S261" i="26" s="1"/>
  <c r="Z241" i="26"/>
  <c r="K261" i="26" s="1"/>
  <c r="R241" i="26"/>
  <c r="C261" i="26" s="1"/>
  <c r="AO241" i="26"/>
  <c r="Z261" i="26" s="1"/>
  <c r="AG241" i="26"/>
  <c r="R261" i="26" s="1"/>
  <c r="Y241" i="26"/>
  <c r="J261" i="26" s="1"/>
  <c r="Q241" i="26"/>
  <c r="B261" i="26" s="1"/>
  <c r="AL241" i="26"/>
  <c r="W261" i="26" s="1"/>
  <c r="AD241" i="26"/>
  <c r="O261" i="26" s="1"/>
  <c r="V241" i="26"/>
  <c r="G261" i="26" s="1"/>
  <c r="AC241" i="26"/>
  <c r="N261" i="26" s="1"/>
  <c r="AQ241" i="26"/>
  <c r="AB261" i="26" s="1"/>
  <c r="AQ338" i="26"/>
  <c r="AB358" i="26" s="1"/>
  <c r="T338" i="26"/>
  <c r="E358" i="26" s="1"/>
  <c r="AL338" i="26"/>
  <c r="W358" i="26" s="1"/>
  <c r="S338" i="26"/>
  <c r="D358" i="26" s="1"/>
  <c r="AJ338" i="26"/>
  <c r="U358" i="26" s="1"/>
  <c r="AD338" i="26"/>
  <c r="O358" i="26" s="1"/>
  <c r="AB338" i="26"/>
  <c r="M358" i="26" s="1"/>
  <c r="AA338" i="26"/>
  <c r="L358" i="26" s="1"/>
  <c r="U233" i="26"/>
  <c r="F253" i="26" s="1"/>
  <c r="AC233" i="26"/>
  <c r="N253" i="26" s="1"/>
  <c r="AK233" i="26"/>
  <c r="V253" i="26" s="1"/>
  <c r="T234" i="26"/>
  <c r="E254" i="26" s="1"/>
  <c r="AB234" i="26"/>
  <c r="M254" i="26" s="1"/>
  <c r="AJ234" i="26"/>
  <c r="U254" i="26" s="1"/>
  <c r="AR234" i="26"/>
  <c r="AC254" i="26" s="1"/>
  <c r="X239" i="26"/>
  <c r="AF239" i="26"/>
  <c r="AN239" i="26"/>
  <c r="AL336" i="26"/>
  <c r="W356" i="26" s="1"/>
  <c r="AH345" i="26"/>
  <c r="S365" i="26" s="1"/>
  <c r="AL334" i="26"/>
  <c r="W354" i="26" s="1"/>
  <c r="AD334" i="26"/>
  <c r="O354" i="26" s="1"/>
  <c r="V334" i="26"/>
  <c r="G354" i="26" s="1"/>
  <c r="AK334" i="26"/>
  <c r="V354" i="26" s="1"/>
  <c r="AC334" i="26"/>
  <c r="N354" i="26" s="1"/>
  <c r="U334" i="26"/>
  <c r="F354" i="26" s="1"/>
  <c r="AO334" i="26"/>
  <c r="Z354" i="26" s="1"/>
  <c r="AG334" i="26"/>
  <c r="R354" i="26" s="1"/>
  <c r="Y334" i="26"/>
  <c r="J354" i="26" s="1"/>
  <c r="Q334" i="26"/>
  <c r="B354" i="26" s="1"/>
  <c r="AM334" i="26"/>
  <c r="X354" i="26" s="1"/>
  <c r="Z334" i="26"/>
  <c r="K354" i="26" s="1"/>
  <c r="AJ334" i="26"/>
  <c r="U354" i="26" s="1"/>
  <c r="X334" i="26"/>
  <c r="I354" i="26" s="1"/>
  <c r="AI334" i="26"/>
  <c r="T354" i="26" s="1"/>
  <c r="W334" i="26"/>
  <c r="H354" i="26" s="1"/>
  <c r="AH334" i="26"/>
  <c r="S354" i="26" s="1"/>
  <c r="X233" i="26"/>
  <c r="I253" i="26" s="1"/>
  <c r="AF233" i="26"/>
  <c r="Q253" i="26" s="1"/>
  <c r="AN233" i="26"/>
  <c r="Y253" i="26" s="1"/>
  <c r="AI239" i="26"/>
  <c r="AQ239" i="26"/>
  <c r="A283" i="26"/>
  <c r="S334" i="26"/>
  <c r="D354" i="26" s="1"/>
  <c r="AP334" i="26"/>
  <c r="AA354" i="26" s="1"/>
  <c r="V336" i="26"/>
  <c r="G356" i="26" s="1"/>
  <c r="Q233" i="26"/>
  <c r="B253" i="26" s="1"/>
  <c r="Y233" i="26"/>
  <c r="J253" i="26" s="1"/>
  <c r="AG233" i="26"/>
  <c r="R253" i="26" s="1"/>
  <c r="X234" i="26"/>
  <c r="I254" i="26" s="1"/>
  <c r="AF234" i="26"/>
  <c r="Q254" i="26" s="1"/>
  <c r="T239" i="26"/>
  <c r="AB239" i="26"/>
  <c r="AJ239" i="26"/>
  <c r="T334" i="26"/>
  <c r="E354" i="26" s="1"/>
  <c r="AQ334" i="26"/>
  <c r="AB354" i="26" s="1"/>
  <c r="AG348" i="26"/>
  <c r="U348" i="26"/>
  <c r="AF348" i="26"/>
  <c r="R348" i="26"/>
  <c r="Z348" i="26"/>
  <c r="Y348" i="26"/>
  <c r="Q348" i="26"/>
  <c r="AP348" i="26"/>
  <c r="AL345" i="26"/>
  <c r="W365" i="26" s="1"/>
  <c r="AD345" i="26"/>
  <c r="O365" i="26" s="1"/>
  <c r="V345" i="26"/>
  <c r="G365" i="26" s="1"/>
  <c r="AP345" i="26"/>
  <c r="AA365" i="26" s="1"/>
  <c r="AG345" i="26"/>
  <c r="R365" i="26" s="1"/>
  <c r="X345" i="26"/>
  <c r="I365" i="26" s="1"/>
  <c r="AO345" i="26"/>
  <c r="Z365" i="26" s="1"/>
  <c r="AF345" i="26"/>
  <c r="Q365" i="26" s="1"/>
  <c r="W345" i="26"/>
  <c r="H365" i="26" s="1"/>
  <c r="AN345" i="26"/>
  <c r="Y365" i="26" s="1"/>
  <c r="AE345" i="26"/>
  <c r="P365" i="26" s="1"/>
  <c r="U345" i="26"/>
  <c r="F365" i="26" s="1"/>
  <c r="AM345" i="26"/>
  <c r="X365" i="26" s="1"/>
  <c r="AC345" i="26"/>
  <c r="N365" i="26" s="1"/>
  <c r="T345" i="26"/>
  <c r="E365" i="26" s="1"/>
  <c r="AJ345" i="26"/>
  <c r="U365" i="26" s="1"/>
  <c r="AA345" i="26"/>
  <c r="L365" i="26" s="1"/>
  <c r="R345" i="26"/>
  <c r="C365" i="26" s="1"/>
  <c r="Y345" i="26"/>
  <c r="J365" i="26" s="1"/>
  <c r="AR345" i="26"/>
  <c r="AC365" i="26" s="1"/>
  <c r="S345" i="26"/>
  <c r="D365" i="26" s="1"/>
  <c r="AQ345" i="26"/>
  <c r="AB365" i="26" s="1"/>
  <c r="Q345" i="26"/>
  <c r="B365" i="26" s="1"/>
  <c r="AI345" i="26"/>
  <c r="T365" i="26" s="1"/>
  <c r="U343" i="26"/>
  <c r="F363" i="26" s="1"/>
  <c r="AK343" i="26"/>
  <c r="V363" i="26" s="1"/>
  <c r="AB343" i="26"/>
  <c r="M363" i="26" s="1"/>
  <c r="S343" i="26"/>
  <c r="D363" i="26" s="1"/>
  <c r="AJ343" i="26"/>
  <c r="U363" i="26" s="1"/>
  <c r="AA343" i="26"/>
  <c r="L363" i="26" s="1"/>
  <c r="R343" i="26"/>
  <c r="C363" i="26" s="1"/>
  <c r="AG343" i="26"/>
  <c r="R363" i="26" s="1"/>
  <c r="AR336" i="26"/>
  <c r="AC356" i="26" s="1"/>
  <c r="AJ336" i="26"/>
  <c r="U356" i="26" s="1"/>
  <c r="AB336" i="26"/>
  <c r="M356" i="26" s="1"/>
  <c r="T336" i="26"/>
  <c r="E356" i="26" s="1"/>
  <c r="AQ336" i="26"/>
  <c r="AB356" i="26" s="1"/>
  <c r="AI336" i="26"/>
  <c r="T356" i="26" s="1"/>
  <c r="AA336" i="26"/>
  <c r="L356" i="26" s="1"/>
  <c r="S336" i="26"/>
  <c r="D356" i="26" s="1"/>
  <c r="AP336" i="26"/>
  <c r="AA356" i="26" s="1"/>
  <c r="AO336" i="26"/>
  <c r="Z356" i="26" s="1"/>
  <c r="AG336" i="26"/>
  <c r="R356" i="26" s="1"/>
  <c r="Y336" i="26"/>
  <c r="J356" i="26" s="1"/>
  <c r="Q336" i="26"/>
  <c r="B356" i="26" s="1"/>
  <c r="AM336" i="26"/>
  <c r="X356" i="26" s="1"/>
  <c r="AE336" i="26"/>
  <c r="P356" i="26" s="1"/>
  <c r="W336" i="26"/>
  <c r="H356" i="26" s="1"/>
  <c r="AF336" i="26"/>
  <c r="Q356" i="26" s="1"/>
  <c r="AO337" i="26"/>
  <c r="Z357" i="26" s="1"/>
  <c r="AG337" i="26"/>
  <c r="R357" i="26" s="1"/>
  <c r="Y337" i="26"/>
  <c r="J357" i="26" s="1"/>
  <c r="Q337" i="26"/>
  <c r="B357" i="26" s="1"/>
  <c r="AJ337" i="26"/>
  <c r="U357" i="26" s="1"/>
  <c r="AP338" i="26"/>
  <c r="AA358" i="26" s="1"/>
  <c r="AO343" i="26"/>
  <c r="Z363" i="26" s="1"/>
  <c r="AK335" i="26"/>
  <c r="V355" i="26" s="1"/>
  <c r="AC335" i="26"/>
  <c r="N355" i="26" s="1"/>
  <c r="U335" i="26"/>
  <c r="F355" i="26" s="1"/>
  <c r="AP335" i="26"/>
  <c r="AA355" i="26" s="1"/>
  <c r="AH335" i="26"/>
  <c r="S355" i="26" s="1"/>
  <c r="Y335" i="26"/>
  <c r="J355" i="26" s="1"/>
  <c r="AM335" i="26"/>
  <c r="X355" i="26" s="1"/>
  <c r="R336" i="26"/>
  <c r="C356" i="26" s="1"/>
  <c r="AH336" i="26"/>
  <c r="S356" i="26" s="1"/>
  <c r="AQ337" i="26"/>
  <c r="AB357" i="26" s="1"/>
  <c r="AK337" i="26"/>
  <c r="V357" i="26" s="1"/>
  <c r="AM341" i="26"/>
  <c r="X361" i="26" s="1"/>
  <c r="AE341" i="26"/>
  <c r="P361" i="26" s="1"/>
  <c r="W341" i="26"/>
  <c r="H361" i="26" s="1"/>
  <c r="AL341" i="26"/>
  <c r="W361" i="26" s="1"/>
  <c r="AD341" i="26"/>
  <c r="O361" i="26" s="1"/>
  <c r="V341" i="26"/>
  <c r="G361" i="26" s="1"/>
  <c r="AK341" i="26"/>
  <c r="V361" i="26" s="1"/>
  <c r="AC341" i="26"/>
  <c r="N361" i="26" s="1"/>
  <c r="U341" i="26"/>
  <c r="F361" i="26" s="1"/>
  <c r="AR341" i="26"/>
  <c r="AC361" i="26" s="1"/>
  <c r="AJ341" i="26"/>
  <c r="U361" i="26" s="1"/>
  <c r="AB341" i="26"/>
  <c r="M361" i="26" s="1"/>
  <c r="T341" i="26"/>
  <c r="E361" i="26" s="1"/>
  <c r="AP341" i="26"/>
  <c r="AA361" i="26" s="1"/>
  <c r="AH341" i="26"/>
  <c r="S361" i="26" s="1"/>
  <c r="Z341" i="26"/>
  <c r="K361" i="26" s="1"/>
  <c r="R341" i="26"/>
  <c r="C361" i="26" s="1"/>
  <c r="AI341" i="26"/>
  <c r="T361" i="26" s="1"/>
  <c r="AL342" i="26"/>
  <c r="W362" i="26" s="1"/>
  <c r="AD342" i="26"/>
  <c r="O362" i="26" s="1"/>
  <c r="V342" i="26"/>
  <c r="G362" i="26" s="1"/>
  <c r="AK342" i="26"/>
  <c r="V362" i="26" s="1"/>
  <c r="AC342" i="26"/>
  <c r="N362" i="26" s="1"/>
  <c r="U342" i="26"/>
  <c r="F362" i="26" s="1"/>
  <c r="AR342" i="26"/>
  <c r="AC362" i="26" s="1"/>
  <c r="AJ342" i="26"/>
  <c r="U362" i="26" s="1"/>
  <c r="AB342" i="26"/>
  <c r="M362" i="26" s="1"/>
  <c r="T342" i="26"/>
  <c r="E362" i="26" s="1"/>
  <c r="AQ342" i="26"/>
  <c r="AB362" i="26" s="1"/>
  <c r="AI342" i="26"/>
  <c r="T362" i="26" s="1"/>
  <c r="AA342" i="26"/>
  <c r="L362" i="26" s="1"/>
  <c r="S342" i="26"/>
  <c r="D362" i="26" s="1"/>
  <c r="AO342" i="26"/>
  <c r="Z362" i="26" s="1"/>
  <c r="AG342" i="26"/>
  <c r="R362" i="26" s="1"/>
  <c r="Y342" i="26"/>
  <c r="J362" i="26" s="1"/>
  <c r="Q342" i="26"/>
  <c r="B362" i="26" s="1"/>
  <c r="AM342" i="26"/>
  <c r="X362" i="26" s="1"/>
  <c r="Q343" i="26"/>
  <c r="B363" i="26" s="1"/>
  <c r="AP343" i="26"/>
  <c r="AA363" i="26" s="1"/>
  <c r="Z335" i="26"/>
  <c r="K355" i="26" s="1"/>
  <c r="AO335" i="26"/>
  <c r="Z355" i="26" s="1"/>
  <c r="U336" i="26"/>
  <c r="F356" i="26" s="1"/>
  <c r="AK336" i="26"/>
  <c r="V356" i="26" s="1"/>
  <c r="T337" i="26"/>
  <c r="E357" i="26" s="1"/>
  <c r="AM337" i="26"/>
  <c r="X357" i="26" s="1"/>
  <c r="Q341" i="26"/>
  <c r="B361" i="26" s="1"/>
  <c r="AN341" i="26"/>
  <c r="Y361" i="26" s="1"/>
  <c r="R342" i="26"/>
  <c r="C362" i="26" s="1"/>
  <c r="AN342" i="26"/>
  <c r="Y362" i="26" s="1"/>
  <c r="V343" i="26"/>
  <c r="G363" i="26" s="1"/>
  <c r="AR343" i="26"/>
  <c r="AC363" i="26" s="1"/>
  <c r="U347" i="26"/>
  <c r="F367" i="26" s="1"/>
  <c r="AH347" i="26"/>
  <c r="S367" i="26" s="1"/>
  <c r="V347" i="26"/>
  <c r="G367" i="26" s="1"/>
  <c r="AG347" i="26"/>
  <c r="R367" i="26" s="1"/>
  <c r="S347" i="26"/>
  <c r="D367" i="26" s="1"/>
  <c r="AQ347" i="26"/>
  <c r="AB367" i="26" s="1"/>
  <c r="AE347" i="26"/>
  <c r="P367" i="26" s="1"/>
  <c r="R347" i="26"/>
  <c r="C367" i="26" s="1"/>
  <c r="AP347" i="26"/>
  <c r="AA367" i="26" s="1"/>
  <c r="AD347" i="26"/>
  <c r="O367" i="26" s="1"/>
  <c r="Q347" i="26"/>
  <c r="B367" i="26" s="1"/>
  <c r="AM347" i="26"/>
  <c r="X367" i="26" s="1"/>
  <c r="Z347" i="26"/>
  <c r="K367" i="26" s="1"/>
  <c r="AO347" i="26"/>
  <c r="Z367" i="26" s="1"/>
  <c r="X335" i="26"/>
  <c r="I355" i="26" s="1"/>
  <c r="AF335" i="26"/>
  <c r="Q355" i="26" s="1"/>
  <c r="AN335" i="26"/>
  <c r="Y355" i="26" s="1"/>
  <c r="V337" i="26"/>
  <c r="G357" i="26" s="1"/>
  <c r="AD337" i="26"/>
  <c r="O357" i="26" s="1"/>
  <c r="AL337" i="26"/>
  <c r="W357" i="26" s="1"/>
  <c r="U338" i="26"/>
  <c r="F358" i="26" s="1"/>
  <c r="AC338" i="26"/>
  <c r="N358" i="26" s="1"/>
  <c r="AK338" i="26"/>
  <c r="V358" i="26" s="1"/>
  <c r="T339" i="26"/>
  <c r="E359" i="26" s="1"/>
  <c r="AB339" i="26"/>
  <c r="M359" i="26" s="1"/>
  <c r="AJ339" i="26"/>
  <c r="U359" i="26" s="1"/>
  <c r="AR339" i="26"/>
  <c r="AC359" i="26" s="1"/>
  <c r="S340" i="26"/>
  <c r="D360" i="26" s="1"/>
  <c r="AA340" i="26"/>
  <c r="L360" i="26" s="1"/>
  <c r="AI340" i="26"/>
  <c r="T360" i="26" s="1"/>
  <c r="AQ340" i="26"/>
  <c r="AB360" i="26" s="1"/>
  <c r="AM343" i="26"/>
  <c r="X363" i="26" s="1"/>
  <c r="AE343" i="26"/>
  <c r="P363" i="26" s="1"/>
  <c r="W343" i="26"/>
  <c r="H363" i="26" s="1"/>
  <c r="Y343" i="26"/>
  <c r="J363" i="26" s="1"/>
  <c r="AH343" i="26"/>
  <c r="S363" i="26" s="1"/>
  <c r="AQ343" i="26"/>
  <c r="AB363" i="26" s="1"/>
  <c r="T346" i="26"/>
  <c r="E366" i="26" s="1"/>
  <c r="AD346" i="26"/>
  <c r="O366" i="26" s="1"/>
  <c r="AM346" i="26"/>
  <c r="X366" i="26" s="1"/>
  <c r="AR348" i="26"/>
  <c r="AJ348" i="26"/>
  <c r="AB348" i="26"/>
  <c r="T348" i="26"/>
  <c r="AQ348" i="26"/>
  <c r="AI348" i="26"/>
  <c r="AA348" i="26"/>
  <c r="S348" i="26"/>
  <c r="AM348" i="26"/>
  <c r="AE348" i="26"/>
  <c r="W348" i="26"/>
  <c r="AC348" i="26"/>
  <c r="AO348" i="26"/>
  <c r="X350" i="26"/>
  <c r="I370" i="26" s="1"/>
  <c r="AR350" i="26"/>
  <c r="AC370" i="26" s="1"/>
  <c r="X337" i="26"/>
  <c r="I357" i="26" s="1"/>
  <c r="AF337" i="26"/>
  <c r="Q357" i="26" s="1"/>
  <c r="AN337" i="26"/>
  <c r="Y357" i="26" s="1"/>
  <c r="W338" i="26"/>
  <c r="H358" i="26" s="1"/>
  <c r="AE338" i="26"/>
  <c r="P358" i="26" s="1"/>
  <c r="AM338" i="26"/>
  <c r="X358" i="26" s="1"/>
  <c r="V339" i="26"/>
  <c r="G359" i="26" s="1"/>
  <c r="AD339" i="26"/>
  <c r="O359" i="26" s="1"/>
  <c r="AL339" i="26"/>
  <c r="W359" i="26" s="1"/>
  <c r="U340" i="26"/>
  <c r="F360" i="26" s="1"/>
  <c r="AC340" i="26"/>
  <c r="N360" i="26" s="1"/>
  <c r="AK340" i="26"/>
  <c r="V360" i="26" s="1"/>
  <c r="W346" i="26"/>
  <c r="H366" i="26" s="1"/>
  <c r="AF346" i="26"/>
  <c r="Q366" i="26" s="1"/>
  <c r="AP346" i="26"/>
  <c r="AA366" i="26" s="1"/>
  <c r="AC350" i="26"/>
  <c r="N370" i="26" s="1"/>
  <c r="A389" i="26"/>
  <c r="A401" i="26"/>
  <c r="A391" i="26"/>
  <c r="A403" i="26"/>
  <c r="X338" i="26"/>
  <c r="I358" i="26" s="1"/>
  <c r="AF338" i="26"/>
  <c r="Q358" i="26" s="1"/>
  <c r="AN338" i="26"/>
  <c r="Y358" i="26" s="1"/>
  <c r="W339" i="26"/>
  <c r="H359" i="26" s="1"/>
  <c r="AE339" i="26"/>
  <c r="P359" i="26" s="1"/>
  <c r="V340" i="26"/>
  <c r="G360" i="26" s="1"/>
  <c r="AD340" i="26"/>
  <c r="O360" i="26" s="1"/>
  <c r="X346" i="26"/>
  <c r="I366" i="26" s="1"/>
  <c r="AG346" i="26"/>
  <c r="R366" i="26" s="1"/>
  <c r="AF350" i="26"/>
  <c r="Q370" i="26" s="1"/>
  <c r="A388" i="26"/>
  <c r="A400" i="26"/>
  <c r="T335" i="26"/>
  <c r="E355" i="26" s="1"/>
  <c r="AB335" i="26"/>
  <c r="M355" i="26" s="1"/>
  <c r="AJ335" i="26"/>
  <c r="U355" i="26" s="1"/>
  <c r="R337" i="26"/>
  <c r="C357" i="26" s="1"/>
  <c r="Z337" i="26"/>
  <c r="K357" i="26" s="1"/>
  <c r="AH337" i="26"/>
  <c r="S357" i="26" s="1"/>
  <c r="AP337" i="26"/>
  <c r="AA357" i="26" s="1"/>
  <c r="Q338" i="26"/>
  <c r="B358" i="26" s="1"/>
  <c r="Y338" i="26"/>
  <c r="J358" i="26" s="1"/>
  <c r="AG338" i="26"/>
  <c r="R358" i="26" s="1"/>
  <c r="AO338" i="26"/>
  <c r="Z358" i="26" s="1"/>
  <c r="X339" i="26"/>
  <c r="I359" i="26" s="1"/>
  <c r="AF339" i="26"/>
  <c r="Q359" i="26" s="1"/>
  <c r="W340" i="26"/>
  <c r="H360" i="26" s="1"/>
  <c r="AE340" i="26"/>
  <c r="P360" i="26" s="1"/>
  <c r="AM340" i="26"/>
  <c r="X360" i="26" s="1"/>
  <c r="T343" i="26"/>
  <c r="E363" i="26" s="1"/>
  <c r="AC343" i="26"/>
  <c r="N363" i="26" s="1"/>
  <c r="AL343" i="26"/>
  <c r="W363" i="26" s="1"/>
  <c r="AK346" i="26"/>
  <c r="V366" i="26" s="1"/>
  <c r="AC346" i="26"/>
  <c r="N366" i="26" s="1"/>
  <c r="U346" i="26"/>
  <c r="F366" i="26" s="1"/>
  <c r="AO346" i="26"/>
  <c r="Z366" i="26" s="1"/>
  <c r="Y346" i="26"/>
  <c r="J366" i="26" s="1"/>
  <c r="AH346" i="26"/>
  <c r="S366" i="26" s="1"/>
  <c r="AR346" i="26"/>
  <c r="AC366" i="26" s="1"/>
  <c r="V348" i="26"/>
  <c r="AH348" i="26"/>
  <c r="AQ350" i="26"/>
  <c r="AB370" i="26" s="1"/>
  <c r="AI350" i="26"/>
  <c r="T370" i="26" s="1"/>
  <c r="AA350" i="26"/>
  <c r="L370" i="26" s="1"/>
  <c r="AP350" i="26"/>
  <c r="AA370" i="26" s="1"/>
  <c r="AJ350" i="26"/>
  <c r="U370" i="26" s="1"/>
  <c r="Z350" i="26"/>
  <c r="K370" i="26" s="1"/>
  <c r="R350" i="26"/>
  <c r="C370" i="26" s="1"/>
  <c r="AH350" i="26"/>
  <c r="S370" i="26" s="1"/>
  <c r="Y350" i="26"/>
  <c r="J370" i="26" s="1"/>
  <c r="Q350" i="26"/>
  <c r="B370" i="26" s="1"/>
  <c r="AN350" i="26"/>
  <c r="Y370" i="26" s="1"/>
  <c r="AE350" i="26"/>
  <c r="P370" i="26" s="1"/>
  <c r="V350" i="26"/>
  <c r="G370" i="26" s="1"/>
  <c r="AM350" i="26"/>
  <c r="X370" i="26" s="1"/>
  <c r="AD350" i="26"/>
  <c r="O370" i="26" s="1"/>
  <c r="U350" i="26"/>
  <c r="F370" i="26" s="1"/>
  <c r="AG350" i="26"/>
  <c r="R370" i="26" s="1"/>
  <c r="S337" i="26"/>
  <c r="D357" i="26" s="1"/>
  <c r="AA337" i="26"/>
  <c r="L357" i="26" s="1"/>
  <c r="AI337" i="26"/>
  <c r="T357" i="26" s="1"/>
  <c r="R338" i="26"/>
  <c r="C358" i="26" s="1"/>
  <c r="Z338" i="26"/>
  <c r="K358" i="26" s="1"/>
  <c r="AH338" i="26"/>
  <c r="S358" i="26" s="1"/>
  <c r="Q339" i="26"/>
  <c r="B359" i="26" s="1"/>
  <c r="Y339" i="26"/>
  <c r="J359" i="26" s="1"/>
  <c r="AG339" i="26"/>
  <c r="R359" i="26" s="1"/>
  <c r="X340" i="26"/>
  <c r="I360" i="26" s="1"/>
  <c r="AF340" i="26"/>
  <c r="Q360" i="26" s="1"/>
  <c r="AD343" i="26"/>
  <c r="O363" i="26" s="1"/>
  <c r="AN343" i="26"/>
  <c r="Y363" i="26" s="1"/>
  <c r="Q346" i="26"/>
  <c r="B366" i="26" s="1"/>
  <c r="Z346" i="26"/>
  <c r="K366" i="26" s="1"/>
  <c r="X348" i="26"/>
  <c r="AK348" i="26"/>
  <c r="S350" i="26"/>
  <c r="D370" i="26" s="1"/>
  <c r="X347" i="26"/>
  <c r="I367" i="26" s="1"/>
  <c r="AF347" i="26"/>
  <c r="Q367" i="26" s="1"/>
  <c r="AN347" i="26"/>
  <c r="Y367" i="26" s="1"/>
  <c r="A402" i="26"/>
  <c r="A390" i="26"/>
  <c r="A385" i="26"/>
  <c r="T347" i="26"/>
  <c r="E367" i="26" s="1"/>
  <c r="AB347" i="26"/>
  <c r="M367" i="26" s="1"/>
  <c r="AJ347" i="26"/>
  <c r="U367" i="26" s="1"/>
  <c r="AR347" i="26"/>
  <c r="AC367" i="26" s="1"/>
  <c r="A387" i="26"/>
  <c r="AC347" i="26"/>
  <c r="N367" i="26" s="1"/>
  <c r="A386" i="26"/>
  <c r="A398" i="26"/>
  <c r="A404" i="26"/>
  <c r="A392" i="26"/>
  <c r="Y349" i="25"/>
  <c r="Q240" i="25"/>
  <c r="U240" i="25"/>
  <c r="AE240" i="25"/>
  <c r="AK240" i="25"/>
  <c r="AC240" i="25"/>
  <c r="T132" i="25"/>
  <c r="AB132" i="25"/>
  <c r="AQ342" i="25"/>
  <c r="AB362" i="25" s="1"/>
  <c r="AN342" i="25"/>
  <c r="Y362" i="25" s="1"/>
  <c r="R342" i="25"/>
  <c r="C362" i="25" s="1"/>
  <c r="S342" i="25"/>
  <c r="D362" i="25" s="1"/>
  <c r="X342" i="25"/>
  <c r="I362" i="25" s="1"/>
  <c r="AR233" i="25"/>
  <c r="AC253" i="25" s="1"/>
  <c r="Z236" i="25"/>
  <c r="K256" i="25" s="1"/>
  <c r="AQ236" i="25"/>
  <c r="AB256" i="25" s="1"/>
  <c r="W233" i="25"/>
  <c r="H253" i="25" s="1"/>
  <c r="AA233" i="25"/>
  <c r="L253" i="25" s="1"/>
  <c r="AC236" i="25"/>
  <c r="N256" i="25" s="1"/>
  <c r="AD236" i="25"/>
  <c r="O256" i="25" s="1"/>
  <c r="AN236" i="25"/>
  <c r="Y256" i="25" s="1"/>
  <c r="R236" i="25"/>
  <c r="C256" i="25" s="1"/>
  <c r="S125" i="25"/>
  <c r="D145" i="25" s="1"/>
  <c r="AP125" i="25"/>
  <c r="AA145" i="25" s="1"/>
  <c r="AE342" i="25"/>
  <c r="P362" i="25" s="1"/>
  <c r="AL342" i="25"/>
  <c r="W362" i="25" s="1"/>
  <c r="X233" i="25"/>
  <c r="I253" i="25" s="1"/>
  <c r="AF233" i="25"/>
  <c r="Q253" i="25" s="1"/>
  <c r="AJ233" i="25"/>
  <c r="U253" i="25" s="1"/>
  <c r="AK233" i="25"/>
  <c r="V253" i="25" s="1"/>
  <c r="AQ125" i="25"/>
  <c r="AB145" i="25" s="1"/>
  <c r="AH125" i="25"/>
  <c r="S145" i="25" s="1"/>
  <c r="AO125" i="25"/>
  <c r="Z145" i="25" s="1"/>
  <c r="R125" i="25"/>
  <c r="C145" i="25" s="1"/>
  <c r="AC231" i="25"/>
  <c r="N251" i="25" s="1"/>
  <c r="AR231" i="25"/>
  <c r="AC251" i="25" s="1"/>
  <c r="AO231" i="25"/>
  <c r="Z251" i="25" s="1"/>
  <c r="Z269" i="25" s="1"/>
  <c r="Q231" i="25"/>
  <c r="B251" i="25" s="1"/>
  <c r="B269" i="25" s="1"/>
  <c r="Q229" i="25"/>
  <c r="B249" i="25" s="1"/>
  <c r="AN229" i="25"/>
  <c r="Y249" i="25" s="1"/>
  <c r="U229" i="25"/>
  <c r="F249" i="25" s="1"/>
  <c r="AQ229" i="25"/>
  <c r="AB249" i="25" s="1"/>
  <c r="AB229" i="25"/>
  <c r="M249" i="25" s="1"/>
  <c r="AE229" i="25"/>
  <c r="P249" i="25" s="1"/>
  <c r="AJ229" i="25"/>
  <c r="U249" i="25" s="1"/>
  <c r="AD121" i="25"/>
  <c r="O141" i="25" s="1"/>
  <c r="AO121" i="25"/>
  <c r="Z141" i="25" s="1"/>
  <c r="AL121" i="25"/>
  <c r="W141" i="25" s="1"/>
  <c r="AH121" i="25"/>
  <c r="S141" i="25" s="1"/>
  <c r="AM121" i="25"/>
  <c r="X141" i="25" s="1"/>
  <c r="Q121" i="25"/>
  <c r="B141" i="25" s="1"/>
  <c r="AB334" i="25"/>
  <c r="M354" i="25" s="1"/>
  <c r="R335" i="25"/>
  <c r="C355" i="25" s="1"/>
  <c r="W334" i="25"/>
  <c r="H354" i="25" s="1"/>
  <c r="U335" i="25"/>
  <c r="F355" i="25" s="1"/>
  <c r="Y335" i="25"/>
  <c r="J355" i="25" s="1"/>
  <c r="AD117" i="25"/>
  <c r="O137" i="25" s="1"/>
  <c r="W118" i="25"/>
  <c r="H138" i="25" s="1"/>
  <c r="AE117" i="25"/>
  <c r="P137" i="25" s="1"/>
  <c r="AF117" i="25"/>
  <c r="Q137" i="25" s="1"/>
  <c r="AG117" i="25"/>
  <c r="R137" i="25" s="1"/>
  <c r="R117" i="25"/>
  <c r="C137" i="25" s="1"/>
  <c r="AH117" i="25"/>
  <c r="S137" i="25" s="1"/>
  <c r="U117" i="25"/>
  <c r="F137" i="25" s="1"/>
  <c r="AM117" i="25"/>
  <c r="X137" i="25" s="1"/>
  <c r="AI26" i="25"/>
  <c r="AB20" i="25"/>
  <c r="M40" i="25" s="1"/>
  <c r="AN19" i="25"/>
  <c r="Y39" i="25" s="1"/>
  <c r="Y19" i="25"/>
  <c r="J39" i="25" s="1"/>
  <c r="AR19" i="25"/>
  <c r="AC39" i="25" s="1"/>
  <c r="AC19" i="25"/>
  <c r="N39" i="25" s="1"/>
  <c r="Q19" i="25"/>
  <c r="B39" i="25" s="1"/>
  <c r="AJ19" i="25"/>
  <c r="U39" i="25" s="1"/>
  <c r="U19" i="25"/>
  <c r="F39" i="25" s="1"/>
  <c r="AR17" i="25"/>
  <c r="AC37" i="25" s="1"/>
  <c r="AF12" i="25"/>
  <c r="Q32" i="25" s="1"/>
  <c r="AH11" i="25"/>
  <c r="S31" i="25" s="1"/>
  <c r="AO11" i="25"/>
  <c r="Z31" i="25" s="1"/>
  <c r="AR11" i="25"/>
  <c r="AC31" i="25" s="1"/>
  <c r="S11" i="25"/>
  <c r="D31" i="25" s="1"/>
  <c r="Y11" i="25"/>
  <c r="J31" i="25" s="1"/>
  <c r="AN11" i="25"/>
  <c r="Y31" i="25" s="1"/>
  <c r="AQ11" i="25"/>
  <c r="AB31" i="25" s="1"/>
  <c r="AI11" i="25"/>
  <c r="T31" i="25" s="1"/>
  <c r="R11" i="25"/>
  <c r="C31" i="25" s="1"/>
  <c r="AD13" i="25"/>
  <c r="O33" i="25" s="1"/>
  <c r="Q11" i="25"/>
  <c r="B31" i="25" s="1"/>
  <c r="AA11" i="25"/>
  <c r="L31" i="25" s="1"/>
  <c r="AK11" i="25"/>
  <c r="V31" i="25" s="1"/>
  <c r="X12" i="25"/>
  <c r="I32" i="25" s="1"/>
  <c r="AH12" i="25"/>
  <c r="S32" i="25" s="1"/>
  <c r="S13" i="25"/>
  <c r="D33" i="25" s="1"/>
  <c r="AE13" i="25"/>
  <c r="P33" i="25" s="1"/>
  <c r="AO13" i="25"/>
  <c r="Z33" i="25" s="1"/>
  <c r="Q14" i="25"/>
  <c r="B34" i="25" s="1"/>
  <c r="AC14" i="25"/>
  <c r="N34" i="25" s="1"/>
  <c r="AM14" i="25"/>
  <c r="X34" i="25" s="1"/>
  <c r="AQ15" i="25"/>
  <c r="AB35" i="25" s="1"/>
  <c r="AI15" i="25"/>
  <c r="T35" i="25" s="1"/>
  <c r="AA15" i="25"/>
  <c r="L35" i="25" s="1"/>
  <c r="S15" i="25"/>
  <c r="D35" i="25" s="1"/>
  <c r="AP15" i="25"/>
  <c r="AA35" i="25" s="1"/>
  <c r="AH15" i="25"/>
  <c r="S35" i="25" s="1"/>
  <c r="Z15" i="25"/>
  <c r="K35" i="25" s="1"/>
  <c r="R15" i="25"/>
  <c r="C35" i="25" s="1"/>
  <c r="AB15" i="25"/>
  <c r="M35" i="25" s="1"/>
  <c r="AL15" i="25"/>
  <c r="W35" i="25" s="1"/>
  <c r="AA16" i="25"/>
  <c r="L36" i="25" s="1"/>
  <c r="W17" i="25"/>
  <c r="H37" i="25" s="1"/>
  <c r="AI17" i="25"/>
  <c r="T37" i="25" s="1"/>
  <c r="F38" i="25"/>
  <c r="T18" i="25"/>
  <c r="E38" i="25" s="1"/>
  <c r="S20" i="25"/>
  <c r="D40" i="25" s="1"/>
  <c r="AN20" i="25"/>
  <c r="Y40" i="25" s="1"/>
  <c r="R22" i="25"/>
  <c r="C42" i="25" s="1"/>
  <c r="AM22" i="25"/>
  <c r="X42" i="25" s="1"/>
  <c r="Q23" i="25"/>
  <c r="B43" i="25" s="1"/>
  <c r="AL23" i="25"/>
  <c r="W43" i="25" s="1"/>
  <c r="Q24" i="25"/>
  <c r="B44" i="25" s="1"/>
  <c r="AN24" i="25"/>
  <c r="Y44" i="25" s="1"/>
  <c r="W25" i="25"/>
  <c r="Y12" i="25"/>
  <c r="J32" i="25" s="1"/>
  <c r="V13" i="25"/>
  <c r="G33" i="25" s="1"/>
  <c r="AF13" i="25"/>
  <c r="Q33" i="25" s="1"/>
  <c r="AP13" i="25"/>
  <c r="AA33" i="25" s="1"/>
  <c r="R14" i="25"/>
  <c r="C34" i="25" s="1"/>
  <c r="AD14" i="25"/>
  <c r="O34" i="25" s="1"/>
  <c r="AN14" i="25"/>
  <c r="Y34" i="25" s="1"/>
  <c r="Q15" i="25"/>
  <c r="B35" i="25" s="1"/>
  <c r="AC15" i="25"/>
  <c r="N35" i="25" s="1"/>
  <c r="AM15" i="25"/>
  <c r="X35" i="25" s="1"/>
  <c r="AP16" i="25"/>
  <c r="AA36" i="25" s="1"/>
  <c r="AH16" i="25"/>
  <c r="S36" i="25" s="1"/>
  <c r="Z16" i="25"/>
  <c r="K36" i="25" s="1"/>
  <c r="R16" i="25"/>
  <c r="C36" i="25" s="1"/>
  <c r="AO16" i="25"/>
  <c r="Z36" i="25" s="1"/>
  <c r="AG16" i="25"/>
  <c r="R36" i="25" s="1"/>
  <c r="Y16" i="25"/>
  <c r="J36" i="25" s="1"/>
  <c r="Q16" i="25"/>
  <c r="B36" i="25" s="1"/>
  <c r="AB16" i="25"/>
  <c r="M36" i="25" s="1"/>
  <c r="AL16" i="25"/>
  <c r="W36" i="25" s="1"/>
  <c r="Z17" i="25"/>
  <c r="K37" i="25" s="1"/>
  <c r="AJ17" i="25"/>
  <c r="U37" i="25" s="1"/>
  <c r="S22" i="25"/>
  <c r="D42" i="25" s="1"/>
  <c r="AP22" i="25"/>
  <c r="AA42" i="25" s="1"/>
  <c r="R23" i="25"/>
  <c r="C43" i="25" s="1"/>
  <c r="AO23" i="25"/>
  <c r="Z43" i="25" s="1"/>
  <c r="X25" i="25"/>
  <c r="A80" i="25"/>
  <c r="A68" i="25"/>
  <c r="AL12" i="25"/>
  <c r="W32" i="25" s="1"/>
  <c r="AD12" i="25"/>
  <c r="O32" i="25" s="1"/>
  <c r="V12" i="25"/>
  <c r="G32" i="25" s="1"/>
  <c r="AK12" i="25"/>
  <c r="V32" i="25" s="1"/>
  <c r="AC12" i="25"/>
  <c r="N32" i="25" s="1"/>
  <c r="U12" i="25"/>
  <c r="F32" i="25" s="1"/>
  <c r="Z12" i="25"/>
  <c r="K32" i="25" s="1"/>
  <c r="AJ12" i="25"/>
  <c r="U32" i="25" s="1"/>
  <c r="W13" i="25"/>
  <c r="H33" i="25" s="1"/>
  <c r="AG13" i="25"/>
  <c r="R33" i="25" s="1"/>
  <c r="AQ13" i="25"/>
  <c r="AB33" i="25" s="1"/>
  <c r="U14" i="25"/>
  <c r="F34" i="25" s="1"/>
  <c r="AE14" i="25"/>
  <c r="P34" i="25" s="1"/>
  <c r="AO14" i="25"/>
  <c r="Z34" i="25" s="1"/>
  <c r="T15" i="25"/>
  <c r="E35" i="25" s="1"/>
  <c r="AD15" i="25"/>
  <c r="O35" i="25" s="1"/>
  <c r="AN15" i="25"/>
  <c r="Y35" i="25" s="1"/>
  <c r="S16" i="25"/>
  <c r="D36" i="25" s="1"/>
  <c r="AC16" i="25"/>
  <c r="N36" i="25" s="1"/>
  <c r="AM16" i="25"/>
  <c r="X36" i="25" s="1"/>
  <c r="AO17" i="25"/>
  <c r="Z37" i="25" s="1"/>
  <c r="AA17" i="25"/>
  <c r="L37" i="25" s="1"/>
  <c r="AK17" i="25"/>
  <c r="V37" i="25" s="1"/>
  <c r="AR18" i="25"/>
  <c r="AC38" i="25" s="1"/>
  <c r="AJ18" i="25"/>
  <c r="U38" i="25" s="1"/>
  <c r="AQ18" i="25"/>
  <c r="AB38" i="25" s="1"/>
  <c r="V18" i="25"/>
  <c r="G38" i="25" s="1"/>
  <c r="AH18" i="25"/>
  <c r="S38" i="25" s="1"/>
  <c r="X20" i="25"/>
  <c r="I40" i="25" s="1"/>
  <c r="AR20" i="25"/>
  <c r="AC40" i="25" s="1"/>
  <c r="W22" i="25"/>
  <c r="H42" i="25" s="1"/>
  <c r="AQ22" i="25"/>
  <c r="AB42" i="25" s="1"/>
  <c r="V23" i="25"/>
  <c r="G43" i="25" s="1"/>
  <c r="AP23" i="25"/>
  <c r="AA43" i="25" s="1"/>
  <c r="X24" i="25"/>
  <c r="I44" i="25" s="1"/>
  <c r="AE26" i="25"/>
  <c r="W26" i="25"/>
  <c r="Y14" i="25"/>
  <c r="J34" i="25" s="1"/>
  <c r="X15" i="25"/>
  <c r="I35" i="25" s="1"/>
  <c r="AM25" i="25"/>
  <c r="AE25" i="25"/>
  <c r="AL25" i="25"/>
  <c r="AD25" i="25"/>
  <c r="V25" i="25"/>
  <c r="AK25" i="25"/>
  <c r="AC25" i="25"/>
  <c r="U25" i="25"/>
  <c r="AQ25" i="25"/>
  <c r="AI25" i="25"/>
  <c r="AA25" i="25"/>
  <c r="S25" i="25"/>
  <c r="AP25" i="25"/>
  <c r="AH25" i="25"/>
  <c r="Z25" i="25"/>
  <c r="R25" i="25"/>
  <c r="AO25" i="25"/>
  <c r="AG25" i="25"/>
  <c r="Y25" i="25"/>
  <c r="Q25" i="25"/>
  <c r="T11" i="25"/>
  <c r="E31" i="25" s="1"/>
  <c r="AF11" i="25"/>
  <c r="Q31" i="25" s="1"/>
  <c r="AP11" i="25"/>
  <c r="AA31" i="25" s="1"/>
  <c r="Q12" i="25"/>
  <c r="B32" i="25" s="1"/>
  <c r="AA12" i="25"/>
  <c r="L32" i="25" s="1"/>
  <c r="AM12" i="25"/>
  <c r="X32" i="25" s="1"/>
  <c r="X13" i="25"/>
  <c r="I33" i="25" s="1"/>
  <c r="AH13" i="25"/>
  <c r="S33" i="25" s="1"/>
  <c r="V14" i="25"/>
  <c r="G34" i="25" s="1"/>
  <c r="AF14" i="25"/>
  <c r="Q34" i="25" s="1"/>
  <c r="AP14" i="25"/>
  <c r="AA34" i="25" s="1"/>
  <c r="U15" i="25"/>
  <c r="F35" i="25" s="1"/>
  <c r="AE15" i="25"/>
  <c r="P35" i="25" s="1"/>
  <c r="AO15" i="25"/>
  <c r="Z35" i="25" s="1"/>
  <c r="T16" i="25"/>
  <c r="E36" i="25" s="1"/>
  <c r="AD16" i="25"/>
  <c r="O36" i="25" s="1"/>
  <c r="AN16" i="25"/>
  <c r="Y36" i="25" s="1"/>
  <c r="R17" i="25"/>
  <c r="C37" i="25" s="1"/>
  <c r="AB17" i="25"/>
  <c r="M37" i="25" s="1"/>
  <c r="AL17" i="25"/>
  <c r="W37" i="25" s="1"/>
  <c r="Y18" i="25"/>
  <c r="J38" i="25" s="1"/>
  <c r="AI18" i="25"/>
  <c r="T38" i="25" s="1"/>
  <c r="AA20" i="25"/>
  <c r="L40" i="25" s="1"/>
  <c r="Z22" i="25"/>
  <c r="K42" i="25" s="1"/>
  <c r="Y23" i="25"/>
  <c r="J43" i="25" s="1"/>
  <c r="Y24" i="25"/>
  <c r="J44" i="25" s="1"/>
  <c r="AF25" i="25"/>
  <c r="AO26" i="25"/>
  <c r="A69" i="25"/>
  <c r="A81" i="25"/>
  <c r="AR25" i="25"/>
  <c r="U11" i="25"/>
  <c r="F31" i="25" s="1"/>
  <c r="AG11" i="25"/>
  <c r="R31" i="25" s="1"/>
  <c r="R12" i="25"/>
  <c r="C32" i="25" s="1"/>
  <c r="AB12" i="25"/>
  <c r="M32" i="25" s="1"/>
  <c r="AN12" i="25"/>
  <c r="Y32" i="25" s="1"/>
  <c r="Y13" i="25"/>
  <c r="J33" i="25" s="1"/>
  <c r="W14" i="25"/>
  <c r="H34" i="25" s="1"/>
  <c r="V15" i="25"/>
  <c r="G35" i="25" s="1"/>
  <c r="AF15" i="25"/>
  <c r="Q35" i="25" s="1"/>
  <c r="AR15" i="25"/>
  <c r="AC35" i="25" s="1"/>
  <c r="U16" i="25"/>
  <c r="F36" i="25" s="1"/>
  <c r="AE16" i="25"/>
  <c r="P36" i="25" s="1"/>
  <c r="AQ16" i="25"/>
  <c r="AB36" i="25" s="1"/>
  <c r="S17" i="25"/>
  <c r="D37" i="25" s="1"/>
  <c r="AC17" i="25"/>
  <c r="N37" i="25" s="1"/>
  <c r="AN18" i="25"/>
  <c r="Y38" i="25" s="1"/>
  <c r="Z18" i="25"/>
  <c r="K38" i="25" s="1"/>
  <c r="AK18" i="25"/>
  <c r="V38" i="25" s="1"/>
  <c r="AQ19" i="25"/>
  <c r="AB39" i="25" s="1"/>
  <c r="AI19" i="25"/>
  <c r="T39" i="25" s="1"/>
  <c r="AA19" i="25"/>
  <c r="L39" i="25" s="1"/>
  <c r="S19" i="25"/>
  <c r="D39" i="25" s="1"/>
  <c r="AP19" i="25"/>
  <c r="AA39" i="25" s="1"/>
  <c r="AH19" i="25"/>
  <c r="S39" i="25" s="1"/>
  <c r="Z19" i="25"/>
  <c r="K39" i="25" s="1"/>
  <c r="R19" i="25"/>
  <c r="C39" i="25" s="1"/>
  <c r="AM19" i="25"/>
  <c r="X39" i="25" s="1"/>
  <c r="AE19" i="25"/>
  <c r="P39" i="25" s="1"/>
  <c r="W19" i="25"/>
  <c r="H39" i="25" s="1"/>
  <c r="AL19" i="25"/>
  <c r="W39" i="25" s="1"/>
  <c r="AD19" i="25"/>
  <c r="O39" i="25" s="1"/>
  <c r="V19" i="25"/>
  <c r="G39" i="25" s="1"/>
  <c r="AF19" i="25"/>
  <c r="Q39" i="25" s="1"/>
  <c r="AA22" i="25"/>
  <c r="L42" i="25" s="1"/>
  <c r="AJ25" i="25"/>
  <c r="S26" i="25"/>
  <c r="AK13" i="25"/>
  <c r="V33" i="25" s="1"/>
  <c r="AC13" i="25"/>
  <c r="N33" i="25" s="1"/>
  <c r="U13" i="25"/>
  <c r="F33" i="25" s="1"/>
  <c r="AR13" i="25"/>
  <c r="AC33" i="25" s="1"/>
  <c r="AJ13" i="25"/>
  <c r="U33" i="25" s="1"/>
  <c r="AB13" i="25"/>
  <c r="M33" i="25" s="1"/>
  <c r="T13" i="25"/>
  <c r="E33" i="25" s="1"/>
  <c r="Z13" i="25"/>
  <c r="K33" i="25" s="1"/>
  <c r="AL13" i="25"/>
  <c r="W33" i="25" s="1"/>
  <c r="X14" i="25"/>
  <c r="I34" i="25" s="1"/>
  <c r="W15" i="25"/>
  <c r="H35" i="25" s="1"/>
  <c r="AG15" i="25"/>
  <c r="R35" i="25" s="1"/>
  <c r="H36" i="25"/>
  <c r="AP17" i="25"/>
  <c r="AA37" i="25" s="1"/>
  <c r="AL22" i="25"/>
  <c r="W42" i="25" s="1"/>
  <c r="AE22" i="25"/>
  <c r="P42" i="25" s="1"/>
  <c r="AK23" i="25"/>
  <c r="V43" i="25" s="1"/>
  <c r="AC23" i="25"/>
  <c r="N43" i="25" s="1"/>
  <c r="U23" i="25"/>
  <c r="F43" i="25" s="1"/>
  <c r="AD23" i="25"/>
  <c r="O43" i="25" s="1"/>
  <c r="AN25" i="25"/>
  <c r="A63" i="25"/>
  <c r="A75" i="25"/>
  <c r="A77" i="25"/>
  <c r="A65" i="25"/>
  <c r="AJ15" i="25"/>
  <c r="U35" i="25" s="1"/>
  <c r="AH22" i="25"/>
  <c r="S42" i="25" s="1"/>
  <c r="AM11" i="25"/>
  <c r="X31" i="25" s="1"/>
  <c r="AE11" i="25"/>
  <c r="P31" i="25" s="1"/>
  <c r="W11" i="25"/>
  <c r="H31" i="25" s="1"/>
  <c r="AL11" i="25"/>
  <c r="W31" i="25" s="1"/>
  <c r="AD11" i="25"/>
  <c r="O31" i="25" s="1"/>
  <c r="V11" i="25"/>
  <c r="G31" i="25" s="1"/>
  <c r="Z11" i="25"/>
  <c r="K31" i="25" s="1"/>
  <c r="AJ11" i="25"/>
  <c r="U31" i="25" s="1"/>
  <c r="W12" i="25"/>
  <c r="H32" i="25" s="1"/>
  <c r="AG12" i="25"/>
  <c r="R32" i="25" s="1"/>
  <c r="AQ12" i="25"/>
  <c r="AB32" i="25" s="1"/>
  <c r="R13" i="25"/>
  <c r="C33" i="25" s="1"/>
  <c r="AN13" i="25"/>
  <c r="Y33" i="25" s="1"/>
  <c r="AR14" i="25"/>
  <c r="AC34" i="25" s="1"/>
  <c r="AJ14" i="25"/>
  <c r="U34" i="25" s="1"/>
  <c r="AB14" i="25"/>
  <c r="M34" i="25" s="1"/>
  <c r="T14" i="25"/>
  <c r="E34" i="25" s="1"/>
  <c r="AQ14" i="25"/>
  <c r="AB34" i="25" s="1"/>
  <c r="AI14" i="25"/>
  <c r="T34" i="25" s="1"/>
  <c r="AA14" i="25"/>
  <c r="L34" i="25" s="1"/>
  <c r="S14" i="25"/>
  <c r="D34" i="25" s="1"/>
  <c r="Z14" i="25"/>
  <c r="K34" i="25" s="1"/>
  <c r="AL14" i="25"/>
  <c r="W34" i="25" s="1"/>
  <c r="Y15" i="25"/>
  <c r="J35" i="25" s="1"/>
  <c r="X16" i="25"/>
  <c r="I36" i="25" s="1"/>
  <c r="AJ16" i="25"/>
  <c r="U36" i="25" s="1"/>
  <c r="V17" i="25"/>
  <c r="G37" i="25" s="1"/>
  <c r="AH17" i="25"/>
  <c r="S37" i="25" s="1"/>
  <c r="S18" i="25"/>
  <c r="D38" i="25" s="1"/>
  <c r="AC18" i="25"/>
  <c r="N38" i="25" s="1"/>
  <c r="AP18" i="25"/>
  <c r="AA38" i="25" s="1"/>
  <c r="AP20" i="25"/>
  <c r="AA40" i="25" s="1"/>
  <c r="AH20" i="25"/>
  <c r="S40" i="25" s="1"/>
  <c r="Z20" i="25"/>
  <c r="K40" i="25" s="1"/>
  <c r="R20" i="25"/>
  <c r="C40" i="25" s="1"/>
  <c r="AO20" i="25"/>
  <c r="Z40" i="25" s="1"/>
  <c r="AG20" i="25"/>
  <c r="R40" i="25" s="1"/>
  <c r="Y20" i="25"/>
  <c r="J40" i="25" s="1"/>
  <c r="Q20" i="25"/>
  <c r="B40" i="25" s="1"/>
  <c r="AM20" i="25"/>
  <c r="X40" i="25" s="1"/>
  <c r="AE20" i="25"/>
  <c r="P40" i="25" s="1"/>
  <c r="W20" i="25"/>
  <c r="H40" i="25" s="1"/>
  <c r="AL20" i="25"/>
  <c r="W40" i="25" s="1"/>
  <c r="AD20" i="25"/>
  <c r="O40" i="25" s="1"/>
  <c r="V20" i="25"/>
  <c r="G40" i="25" s="1"/>
  <c r="AK20" i="25"/>
  <c r="V40" i="25" s="1"/>
  <c r="AC20" i="25"/>
  <c r="N40" i="25" s="1"/>
  <c r="U20" i="25"/>
  <c r="F40" i="25" s="1"/>
  <c r="AJ20" i="25"/>
  <c r="U40" i="25" s="1"/>
  <c r="AO22" i="25"/>
  <c r="Z42" i="25" s="1"/>
  <c r="AN23" i="25"/>
  <c r="Y43" i="25" s="1"/>
  <c r="AH23" i="25"/>
  <c r="S43" i="25" s="1"/>
  <c r="AM24" i="25"/>
  <c r="X44" i="25" s="1"/>
  <c r="AE24" i="25"/>
  <c r="P44" i="25" s="1"/>
  <c r="W24" i="25"/>
  <c r="H44" i="25" s="1"/>
  <c r="AL24" i="25"/>
  <c r="W44" i="25" s="1"/>
  <c r="AD24" i="25"/>
  <c r="O44" i="25" s="1"/>
  <c r="V24" i="25"/>
  <c r="G44" i="25" s="1"/>
  <c r="AR24" i="25"/>
  <c r="AC44" i="25" s="1"/>
  <c r="AJ24" i="25"/>
  <c r="U44" i="25" s="1"/>
  <c r="AB24" i="25"/>
  <c r="M44" i="25" s="1"/>
  <c r="T24" i="25"/>
  <c r="E44" i="25" s="1"/>
  <c r="AQ24" i="25"/>
  <c r="AB44" i="25" s="1"/>
  <c r="AI24" i="25"/>
  <c r="T44" i="25" s="1"/>
  <c r="AA24" i="25"/>
  <c r="L44" i="25" s="1"/>
  <c r="S24" i="25"/>
  <c r="D44" i="25" s="1"/>
  <c r="AP24" i="25"/>
  <c r="AA44" i="25" s="1"/>
  <c r="AH24" i="25"/>
  <c r="S44" i="25" s="1"/>
  <c r="Z24" i="25"/>
  <c r="K44" i="25" s="1"/>
  <c r="R24" i="25"/>
  <c r="C44" i="25" s="1"/>
  <c r="AK24" i="25"/>
  <c r="V44" i="25" s="1"/>
  <c r="T25" i="25"/>
  <c r="AQ26" i="25"/>
  <c r="A66" i="25"/>
  <c r="A78" i="25"/>
  <c r="X17" i="25"/>
  <c r="I37" i="25" s="1"/>
  <c r="AF17" i="25"/>
  <c r="Q37" i="25" s="1"/>
  <c r="AN17" i="25"/>
  <c r="Y37" i="25" s="1"/>
  <c r="W18" i="25"/>
  <c r="H38" i="25" s="1"/>
  <c r="AE18" i="25"/>
  <c r="P38" i="25" s="1"/>
  <c r="AM18" i="25"/>
  <c r="X38" i="25" s="1"/>
  <c r="T22" i="25"/>
  <c r="E42" i="25" s="1"/>
  <c r="AB22" i="25"/>
  <c r="M42" i="25" s="1"/>
  <c r="AJ22" i="25"/>
  <c r="U42" i="25" s="1"/>
  <c r="AR22" i="25"/>
  <c r="AC42" i="25" s="1"/>
  <c r="S23" i="25"/>
  <c r="D43" i="25" s="1"/>
  <c r="AA23" i="25"/>
  <c r="L43" i="25" s="1"/>
  <c r="AI23" i="25"/>
  <c r="T43" i="25" s="1"/>
  <c r="AQ23" i="25"/>
  <c r="AB43" i="25" s="1"/>
  <c r="X26" i="25"/>
  <c r="AF26" i="25"/>
  <c r="AN26" i="25"/>
  <c r="W27" i="25"/>
  <c r="H47" i="25" s="1"/>
  <c r="AE27" i="25"/>
  <c r="P47" i="25" s="1"/>
  <c r="AM27" i="25"/>
  <c r="X47" i="25" s="1"/>
  <c r="AK117" i="25"/>
  <c r="V137" i="25" s="1"/>
  <c r="Y117" i="25"/>
  <c r="J137" i="25" s="1"/>
  <c r="X117" i="25"/>
  <c r="I137" i="25" s="1"/>
  <c r="AN117" i="25"/>
  <c r="Y137" i="25" s="1"/>
  <c r="Q118" i="25"/>
  <c r="B138" i="25" s="1"/>
  <c r="AI118" i="25"/>
  <c r="T138" i="25" s="1"/>
  <c r="AI119" i="25"/>
  <c r="T139" i="25" s="1"/>
  <c r="AH119" i="25"/>
  <c r="S139" i="25" s="1"/>
  <c r="AC122" i="25"/>
  <c r="N142" i="25" s="1"/>
  <c r="AD125" i="25"/>
  <c r="O145" i="25" s="1"/>
  <c r="A184" i="25"/>
  <c r="A172" i="25"/>
  <c r="Q17" i="25"/>
  <c r="B37" i="25" s="1"/>
  <c r="Y17" i="25"/>
  <c r="J37" i="25" s="1"/>
  <c r="AG17" i="25"/>
  <c r="R37" i="25" s="1"/>
  <c r="X18" i="25"/>
  <c r="I38" i="25" s="1"/>
  <c r="AF18" i="25"/>
  <c r="Q38" i="25" s="1"/>
  <c r="U22" i="25"/>
  <c r="F42" i="25" s="1"/>
  <c r="AC22" i="25"/>
  <c r="N42" i="25" s="1"/>
  <c r="AK22" i="25"/>
  <c r="V42" i="25" s="1"/>
  <c r="T23" i="25"/>
  <c r="E43" i="25" s="1"/>
  <c r="AB23" i="25"/>
  <c r="M43" i="25" s="1"/>
  <c r="AJ23" i="25"/>
  <c r="U43" i="25" s="1"/>
  <c r="AR23" i="25"/>
  <c r="AC43" i="25" s="1"/>
  <c r="Q26" i="25"/>
  <c r="Y26" i="25"/>
  <c r="AG26" i="25"/>
  <c r="X27" i="25"/>
  <c r="I47" i="25" s="1"/>
  <c r="AF27" i="25"/>
  <c r="Q47" i="25" s="1"/>
  <c r="AC117" i="25"/>
  <c r="N137" i="25" s="1"/>
  <c r="AO117" i="25"/>
  <c r="Z137" i="25" s="1"/>
  <c r="T118" i="25"/>
  <c r="E138" i="25" s="1"/>
  <c r="AJ118" i="25"/>
  <c r="U138" i="25" s="1"/>
  <c r="S119" i="25"/>
  <c r="D139" i="25" s="1"/>
  <c r="AL119" i="25"/>
  <c r="W139" i="25" s="1"/>
  <c r="AL120" i="25"/>
  <c r="W140" i="25" s="1"/>
  <c r="AD120" i="25"/>
  <c r="O140" i="25" s="1"/>
  <c r="V120" i="25"/>
  <c r="G140" i="25" s="1"/>
  <c r="AR120" i="25"/>
  <c r="AC140" i="25" s="1"/>
  <c r="AJ120" i="25"/>
  <c r="U140" i="25" s="1"/>
  <c r="AB120" i="25"/>
  <c r="M140" i="25" s="1"/>
  <c r="T120" i="25"/>
  <c r="E140" i="25" s="1"/>
  <c r="AO120" i="25"/>
  <c r="Z140" i="25" s="1"/>
  <c r="AG120" i="25"/>
  <c r="R140" i="25" s="1"/>
  <c r="Y120" i="25"/>
  <c r="J140" i="25" s="1"/>
  <c r="AI120" i="25"/>
  <c r="T140" i="25" s="1"/>
  <c r="W120" i="25"/>
  <c r="H140" i="25" s="1"/>
  <c r="AH120" i="25"/>
  <c r="S140" i="25" s="1"/>
  <c r="U120" i="25"/>
  <c r="F140" i="25" s="1"/>
  <c r="AM120" i="25"/>
  <c r="X140" i="25" s="1"/>
  <c r="S120" i="25"/>
  <c r="D140" i="25" s="1"/>
  <c r="AK120" i="25"/>
  <c r="V140" i="25" s="1"/>
  <c r="R120" i="25"/>
  <c r="C140" i="25" s="1"/>
  <c r="AN120" i="25"/>
  <c r="Y140" i="25" s="1"/>
  <c r="AD122" i="25"/>
  <c r="O142" i="25" s="1"/>
  <c r="U123" i="25"/>
  <c r="F143" i="25" s="1"/>
  <c r="AH129" i="25"/>
  <c r="S149" i="25" s="1"/>
  <c r="R129" i="25"/>
  <c r="C149" i="25" s="1"/>
  <c r="AN129" i="25"/>
  <c r="Y149" i="25" s="1"/>
  <c r="S129" i="25"/>
  <c r="D149" i="25" s="1"/>
  <c r="AM129" i="25"/>
  <c r="X149" i="25" s="1"/>
  <c r="AQ129" i="25"/>
  <c r="AB149" i="25" s="1"/>
  <c r="AK131" i="25"/>
  <c r="AG131" i="25"/>
  <c r="AC131" i="25"/>
  <c r="Y131" i="25"/>
  <c r="AO131" i="25"/>
  <c r="V22" i="25"/>
  <c r="G42" i="25" s="1"/>
  <c r="AD22" i="25"/>
  <c r="O42" i="25" s="1"/>
  <c r="R26" i="25"/>
  <c r="Z26" i="25"/>
  <c r="AH26" i="25"/>
  <c r="AP26" i="25"/>
  <c r="Q27" i="25"/>
  <c r="B47" i="25" s="1"/>
  <c r="Y27" i="25"/>
  <c r="J47" i="25" s="1"/>
  <c r="AG27" i="25"/>
  <c r="R47" i="25" s="1"/>
  <c r="AO27" i="25"/>
  <c r="Z47" i="25" s="1"/>
  <c r="A64" i="25"/>
  <c r="U118" i="25"/>
  <c r="F138" i="25" s="1"/>
  <c r="AK118" i="25"/>
  <c r="V138" i="25" s="1"/>
  <c r="T119" i="25"/>
  <c r="E139" i="25" s="1"/>
  <c r="AN119" i="25"/>
  <c r="Y139" i="25" s="1"/>
  <c r="AF122" i="25"/>
  <c r="Q142" i="25" s="1"/>
  <c r="AB123" i="25"/>
  <c r="M143" i="25" s="1"/>
  <c r="AL125" i="25"/>
  <c r="W145" i="25" s="1"/>
  <c r="V125" i="25"/>
  <c r="G145" i="25" s="1"/>
  <c r="AK125" i="25"/>
  <c r="V145" i="25" s="1"/>
  <c r="U125" i="25"/>
  <c r="F145" i="25" s="1"/>
  <c r="AA125" i="25"/>
  <c r="L145" i="25" s="1"/>
  <c r="Z125" i="25"/>
  <c r="K145" i="25" s="1"/>
  <c r="AI125" i="25"/>
  <c r="T145" i="25" s="1"/>
  <c r="AG122" i="25"/>
  <c r="R142" i="25" s="1"/>
  <c r="A170" i="25"/>
  <c r="A182" i="25"/>
  <c r="X22" i="25"/>
  <c r="I42" i="25" s="1"/>
  <c r="AF22" i="25"/>
  <c r="Q42" i="25" s="1"/>
  <c r="AN22" i="25"/>
  <c r="Y42" i="25" s="1"/>
  <c r="W23" i="25"/>
  <c r="H43" i="25" s="1"/>
  <c r="AE23" i="25"/>
  <c r="P43" i="25" s="1"/>
  <c r="AM23" i="25"/>
  <c r="X43" i="25" s="1"/>
  <c r="T26" i="25"/>
  <c r="AB26" i="25"/>
  <c r="AJ26" i="25"/>
  <c r="AR26" i="25"/>
  <c r="S27" i="25"/>
  <c r="D47" i="25" s="1"/>
  <c r="AA27" i="25"/>
  <c r="L47" i="25" s="1"/>
  <c r="AI27" i="25"/>
  <c r="T47" i="25" s="1"/>
  <c r="AQ27" i="25"/>
  <c r="AB47" i="25" s="1"/>
  <c r="Y118" i="25"/>
  <c r="J138" i="25" s="1"/>
  <c r="AP119" i="25"/>
  <c r="AA139" i="25" s="1"/>
  <c r="AE123" i="25"/>
  <c r="P143" i="25" s="1"/>
  <c r="Q22" i="25"/>
  <c r="B42" i="25" s="1"/>
  <c r="Y22" i="25"/>
  <c r="J42" i="25" s="1"/>
  <c r="AG22" i="25"/>
  <c r="R42" i="25" s="1"/>
  <c r="X23" i="25"/>
  <c r="I43" i="25" s="1"/>
  <c r="AF23" i="25"/>
  <c r="Q43" i="25" s="1"/>
  <c r="U26" i="25"/>
  <c r="AC26" i="25"/>
  <c r="AK26" i="25"/>
  <c r="T27" i="25"/>
  <c r="E47" i="25" s="1"/>
  <c r="AB27" i="25"/>
  <c r="M47" i="25" s="1"/>
  <c r="AJ27" i="25"/>
  <c r="U47" i="25" s="1"/>
  <c r="AR27" i="25"/>
  <c r="AC47" i="25" s="1"/>
  <c r="AE118" i="25"/>
  <c r="P138" i="25" s="1"/>
  <c r="AK123" i="25"/>
  <c r="V143" i="25" s="1"/>
  <c r="A173" i="25"/>
  <c r="A185" i="25"/>
  <c r="V26" i="25"/>
  <c r="AD26" i="25"/>
  <c r="AL26" i="25"/>
  <c r="U27" i="25"/>
  <c r="F47" i="25" s="1"/>
  <c r="AC27" i="25"/>
  <c r="N47" i="25" s="1"/>
  <c r="AK27" i="25"/>
  <c r="V47" i="25" s="1"/>
  <c r="A62" i="25"/>
  <c r="AR119" i="25"/>
  <c r="AC139" i="25" s="1"/>
  <c r="AF119" i="25"/>
  <c r="Q139" i="25" s="1"/>
  <c r="R119" i="25"/>
  <c r="C139" i="25" s="1"/>
  <c r="AQ119" i="25"/>
  <c r="AB139" i="25" s="1"/>
  <c r="AD119" i="25"/>
  <c r="O139" i="25" s="1"/>
  <c r="Q119" i="25"/>
  <c r="B139" i="25" s="1"/>
  <c r="AB119" i="25"/>
  <c r="M139" i="25" s="1"/>
  <c r="X122" i="25"/>
  <c r="I142" i="25" s="1"/>
  <c r="V27" i="25"/>
  <c r="G47" i="25" s="1"/>
  <c r="AD27" i="25"/>
  <c r="O47" i="25" s="1"/>
  <c r="AN118" i="25"/>
  <c r="Y138" i="25" s="1"/>
  <c r="AF118" i="25"/>
  <c r="Q138" i="25" s="1"/>
  <c r="X118" i="25"/>
  <c r="I138" i="25" s="1"/>
  <c r="AL118" i="25"/>
  <c r="W138" i="25" s="1"/>
  <c r="AD118" i="25"/>
  <c r="O138" i="25" s="1"/>
  <c r="V118" i="25"/>
  <c r="G138" i="25" s="1"/>
  <c r="AO118" i="25"/>
  <c r="Z138" i="25" s="1"/>
  <c r="AC118" i="25"/>
  <c r="N138" i="25" s="1"/>
  <c r="S118" i="25"/>
  <c r="D138" i="25" s="1"/>
  <c r="AM118" i="25"/>
  <c r="X138" i="25" s="1"/>
  <c r="AB118" i="25"/>
  <c r="M138" i="25" s="1"/>
  <c r="R118" i="25"/>
  <c r="C138" i="25" s="1"/>
  <c r="AQ118" i="25"/>
  <c r="AB138" i="25" s="1"/>
  <c r="AA118" i="25"/>
  <c r="L138" i="25" s="1"/>
  <c r="AP118" i="25"/>
  <c r="AA138" i="25" s="1"/>
  <c r="Z118" i="25"/>
  <c r="K138" i="25" s="1"/>
  <c r="AH118" i="25"/>
  <c r="S138" i="25" s="1"/>
  <c r="AJ123" i="25"/>
  <c r="U143" i="25" s="1"/>
  <c r="T123" i="25"/>
  <c r="E143" i="25" s="1"/>
  <c r="X123" i="25"/>
  <c r="I143" i="25" s="1"/>
  <c r="AR123" i="25"/>
  <c r="AC143" i="25" s="1"/>
  <c r="W123" i="25"/>
  <c r="H143" i="25" s="1"/>
  <c r="AN123" i="25"/>
  <c r="Y143" i="25" s="1"/>
  <c r="AG121" i="25"/>
  <c r="R141" i="25" s="1"/>
  <c r="AR122" i="25"/>
  <c r="AC142" i="25" s="1"/>
  <c r="AJ122" i="25"/>
  <c r="U142" i="25" s="1"/>
  <c r="AB122" i="25"/>
  <c r="M142" i="25" s="1"/>
  <c r="T122" i="25"/>
  <c r="E142" i="25" s="1"/>
  <c r="AQ122" i="25"/>
  <c r="AB142" i="25" s="1"/>
  <c r="AI122" i="25"/>
  <c r="T142" i="25" s="1"/>
  <c r="AA122" i="25"/>
  <c r="L142" i="25" s="1"/>
  <c r="S122" i="25"/>
  <c r="D142" i="25" s="1"/>
  <c r="AP122" i="25"/>
  <c r="AA142" i="25" s="1"/>
  <c r="AH122" i="25"/>
  <c r="S142" i="25" s="1"/>
  <c r="Z122" i="25"/>
  <c r="K142" i="25" s="1"/>
  <c r="R122" i="25"/>
  <c r="C142" i="25" s="1"/>
  <c r="AM122" i="25"/>
  <c r="X142" i="25" s="1"/>
  <c r="AE122" i="25"/>
  <c r="P142" i="25" s="1"/>
  <c r="W122" i="25"/>
  <c r="H142" i="25" s="1"/>
  <c r="AL122" i="25"/>
  <c r="W142" i="25" s="1"/>
  <c r="V122" i="25"/>
  <c r="G142" i="25" s="1"/>
  <c r="AK122" i="25"/>
  <c r="V142" i="25" s="1"/>
  <c r="U122" i="25"/>
  <c r="F142" i="25" s="1"/>
  <c r="AN122" i="25"/>
  <c r="Y142" i="25" s="1"/>
  <c r="AM128" i="25"/>
  <c r="X148" i="25" s="1"/>
  <c r="AE128" i="25"/>
  <c r="P148" i="25" s="1"/>
  <c r="W128" i="25"/>
  <c r="H148" i="25" s="1"/>
  <c r="AL128" i="25"/>
  <c r="W148" i="25" s="1"/>
  <c r="AD128" i="25"/>
  <c r="O148" i="25" s="1"/>
  <c r="V128" i="25"/>
  <c r="G148" i="25" s="1"/>
  <c r="AK128" i="25"/>
  <c r="V148" i="25" s="1"/>
  <c r="AC128" i="25"/>
  <c r="N148" i="25" s="1"/>
  <c r="U128" i="25"/>
  <c r="F148" i="25" s="1"/>
  <c r="AP128" i="25"/>
  <c r="AA148" i="25" s="1"/>
  <c r="AH128" i="25"/>
  <c r="S148" i="25" s="1"/>
  <c r="Z128" i="25"/>
  <c r="K148" i="25" s="1"/>
  <c r="R128" i="25"/>
  <c r="C148" i="25" s="1"/>
  <c r="AO128" i="25"/>
  <c r="Z148" i="25" s="1"/>
  <c r="Y128" i="25"/>
  <c r="J148" i="25" s="1"/>
  <c r="AN128" i="25"/>
  <c r="Y148" i="25" s="1"/>
  <c r="X128" i="25"/>
  <c r="I148" i="25" s="1"/>
  <c r="AI128" i="25"/>
  <c r="T148" i="25" s="1"/>
  <c r="A171" i="25"/>
  <c r="A183" i="25"/>
  <c r="A180" i="25"/>
  <c r="A168" i="25"/>
  <c r="AR117" i="25"/>
  <c r="AC137" i="25" s="1"/>
  <c r="AJ117" i="25"/>
  <c r="U137" i="25" s="1"/>
  <c r="AB117" i="25"/>
  <c r="M137" i="25" s="1"/>
  <c r="T117" i="25"/>
  <c r="E137" i="25" s="1"/>
  <c r="AQ117" i="25"/>
  <c r="AB137" i="25" s="1"/>
  <c r="AI117" i="25"/>
  <c r="T137" i="25" s="1"/>
  <c r="AA117" i="25"/>
  <c r="L137" i="25" s="1"/>
  <c r="S117" i="25"/>
  <c r="D137" i="25" s="1"/>
  <c r="Z117" i="25"/>
  <c r="K137" i="25" s="1"/>
  <c r="AL117" i="25"/>
  <c r="W137" i="25" s="1"/>
  <c r="AK121" i="25"/>
  <c r="V141" i="25" s="1"/>
  <c r="Q122" i="25"/>
  <c r="B142" i="25" s="1"/>
  <c r="AO122" i="25"/>
  <c r="Z142" i="25" s="1"/>
  <c r="Q128" i="25"/>
  <c r="B148" i="25" s="1"/>
  <c r="AJ128" i="25"/>
  <c r="U148" i="25" s="1"/>
  <c r="Y119" i="25"/>
  <c r="J139" i="25" s="1"/>
  <c r="Y121" i="25"/>
  <c r="J141" i="25" s="1"/>
  <c r="AQ123" i="25"/>
  <c r="AB143" i="25" s="1"/>
  <c r="AI123" i="25"/>
  <c r="T143" i="25" s="1"/>
  <c r="AA123" i="25"/>
  <c r="L143" i="25" s="1"/>
  <c r="S123" i="25"/>
  <c r="D143" i="25" s="1"/>
  <c r="AP123" i="25"/>
  <c r="AA143" i="25" s="1"/>
  <c r="AH123" i="25"/>
  <c r="S143" i="25" s="1"/>
  <c r="Z123" i="25"/>
  <c r="K143" i="25" s="1"/>
  <c r="R123" i="25"/>
  <c r="C143" i="25" s="1"/>
  <c r="AO123" i="25"/>
  <c r="Z143" i="25" s="1"/>
  <c r="AG123" i="25"/>
  <c r="R143" i="25" s="1"/>
  <c r="Y123" i="25"/>
  <c r="J143" i="25" s="1"/>
  <c r="Q123" i="25"/>
  <c r="B143" i="25" s="1"/>
  <c r="AL123" i="25"/>
  <c r="W143" i="25" s="1"/>
  <c r="AD123" i="25"/>
  <c r="O143" i="25" s="1"/>
  <c r="V123" i="25"/>
  <c r="G143" i="25" s="1"/>
  <c r="AF123" i="25"/>
  <c r="Q143" i="25" s="1"/>
  <c r="AO124" i="25"/>
  <c r="Z144" i="25" s="1"/>
  <c r="AG124" i="25"/>
  <c r="R144" i="25" s="1"/>
  <c r="Y124" i="25"/>
  <c r="J144" i="25" s="1"/>
  <c r="Q124" i="25"/>
  <c r="B144" i="25" s="1"/>
  <c r="AK124" i="25"/>
  <c r="V144" i="25" s="1"/>
  <c r="AC124" i="25"/>
  <c r="N144" i="25" s="1"/>
  <c r="U124" i="25"/>
  <c r="F144" i="25" s="1"/>
  <c r="AB124" i="25"/>
  <c r="M144" i="25" s="1"/>
  <c r="AR124" i="25"/>
  <c r="AC144" i="25" s="1"/>
  <c r="D148" i="25"/>
  <c r="AL129" i="25"/>
  <c r="W149" i="25" s="1"/>
  <c r="AD129" i="25"/>
  <c r="O149" i="25" s="1"/>
  <c r="V129" i="25"/>
  <c r="G149" i="25" s="1"/>
  <c r="AK129" i="25"/>
  <c r="V149" i="25" s="1"/>
  <c r="AC129" i="25"/>
  <c r="N149" i="25" s="1"/>
  <c r="U129" i="25"/>
  <c r="F149" i="25" s="1"/>
  <c r="AR129" i="25"/>
  <c r="AC149" i="25" s="1"/>
  <c r="AJ129" i="25"/>
  <c r="U149" i="25" s="1"/>
  <c r="AB129" i="25"/>
  <c r="M149" i="25" s="1"/>
  <c r="T129" i="25"/>
  <c r="E149" i="25" s="1"/>
  <c r="AP129" i="25"/>
  <c r="AA149" i="25" s="1"/>
  <c r="AO129" i="25"/>
  <c r="Z149" i="25" s="1"/>
  <c r="AG129" i="25"/>
  <c r="R149" i="25" s="1"/>
  <c r="Y129" i="25"/>
  <c r="J149" i="25" s="1"/>
  <c r="Q129" i="25"/>
  <c r="B149" i="25" s="1"/>
  <c r="AF129" i="25"/>
  <c r="Q149" i="25" s="1"/>
  <c r="T130" i="25"/>
  <c r="E150" i="25" s="1"/>
  <c r="AO130" i="25"/>
  <c r="Z150" i="25" s="1"/>
  <c r="AG130" i="25"/>
  <c r="R150" i="25" s="1"/>
  <c r="Y130" i="25"/>
  <c r="J150" i="25" s="1"/>
  <c r="Q130" i="25"/>
  <c r="B150" i="25" s="1"/>
  <c r="AE130" i="25"/>
  <c r="P150" i="25" s="1"/>
  <c r="AQ132" i="25"/>
  <c r="AI132" i="25"/>
  <c r="AA132" i="25"/>
  <c r="S132" i="25"/>
  <c r="AP132" i="25"/>
  <c r="AH132" i="25"/>
  <c r="Z132" i="25"/>
  <c r="R132" i="25"/>
  <c r="AO132" i="25"/>
  <c r="AG132" i="25"/>
  <c r="Y132" i="25"/>
  <c r="Q132" i="25"/>
  <c r="AN132" i="25"/>
  <c r="AM132" i="25"/>
  <c r="AE132" i="25"/>
  <c r="W132" i="25"/>
  <c r="AL132" i="25"/>
  <c r="AD132" i="25"/>
  <c r="V132" i="25"/>
  <c r="AK132" i="25"/>
  <c r="AM119" i="25"/>
  <c r="X139" i="25" s="1"/>
  <c r="AE119" i="25"/>
  <c r="P139" i="25" s="1"/>
  <c r="W119" i="25"/>
  <c r="H139" i="25" s="1"/>
  <c r="AK119" i="25"/>
  <c r="V139" i="25" s="1"/>
  <c r="AC119" i="25"/>
  <c r="N139" i="25" s="1"/>
  <c r="U119" i="25"/>
  <c r="F139" i="25" s="1"/>
  <c r="Z119" i="25"/>
  <c r="K139" i="25" s="1"/>
  <c r="AJ119" i="25"/>
  <c r="U139" i="25" s="1"/>
  <c r="AB121" i="25"/>
  <c r="M141" i="25" s="1"/>
  <c r="T121" i="25"/>
  <c r="E141" i="25" s="1"/>
  <c r="Z121" i="25"/>
  <c r="K141" i="25" s="1"/>
  <c r="AP121" i="25"/>
  <c r="AA141" i="25" s="1"/>
  <c r="AR131" i="25"/>
  <c r="AR132" i="25"/>
  <c r="AK230" i="25"/>
  <c r="V250" i="25" s="1"/>
  <c r="AC230" i="25"/>
  <c r="N250" i="25" s="1"/>
  <c r="U230" i="25"/>
  <c r="F250" i="25" s="1"/>
  <c r="AR230" i="25"/>
  <c r="AC250" i="25" s="1"/>
  <c r="AJ230" i="25"/>
  <c r="U250" i="25" s="1"/>
  <c r="AB230" i="25"/>
  <c r="M250" i="25" s="1"/>
  <c r="AO230" i="25"/>
  <c r="Z250" i="25" s="1"/>
  <c r="AG230" i="25"/>
  <c r="R250" i="25" s="1"/>
  <c r="Y230" i="25"/>
  <c r="J250" i="25" s="1"/>
  <c r="Q230" i="25"/>
  <c r="B250" i="25" s="1"/>
  <c r="AH230" i="25"/>
  <c r="S250" i="25" s="1"/>
  <c r="V230" i="25"/>
  <c r="G250" i="25" s="1"/>
  <c r="AF230" i="25"/>
  <c r="Q250" i="25" s="1"/>
  <c r="T230" i="25"/>
  <c r="E250" i="25" s="1"/>
  <c r="AL230" i="25"/>
  <c r="W250" i="25" s="1"/>
  <c r="X230" i="25"/>
  <c r="I250" i="25" s="1"/>
  <c r="AE230" i="25"/>
  <c r="P250" i="25" s="1"/>
  <c r="AD230" i="25"/>
  <c r="O250" i="25" s="1"/>
  <c r="AQ230" i="25"/>
  <c r="AB250" i="25" s="1"/>
  <c r="Z230" i="25"/>
  <c r="K250" i="25" s="1"/>
  <c r="AM230" i="25"/>
  <c r="X250" i="25" s="1"/>
  <c r="AI230" i="25"/>
  <c r="T250" i="25" s="1"/>
  <c r="AA230" i="25"/>
  <c r="L250" i="25" s="1"/>
  <c r="W230" i="25"/>
  <c r="H250" i="25" s="1"/>
  <c r="S230" i="25"/>
  <c r="D250" i="25" s="1"/>
  <c r="R230" i="25"/>
  <c r="C250" i="25" s="1"/>
  <c r="AN230" i="25"/>
  <c r="Y250" i="25" s="1"/>
  <c r="AH234" i="25"/>
  <c r="S254" i="25" s="1"/>
  <c r="T234" i="25"/>
  <c r="E254" i="25" s="1"/>
  <c r="AR234" i="25"/>
  <c r="AC254" i="25" s="1"/>
  <c r="AE234" i="25"/>
  <c r="P254" i="25" s="1"/>
  <c r="S234" i="25"/>
  <c r="D254" i="25" s="1"/>
  <c r="AQ234" i="25"/>
  <c r="AB254" i="25" s="1"/>
  <c r="AD234" i="25"/>
  <c r="O254" i="25" s="1"/>
  <c r="R234" i="25"/>
  <c r="C254" i="25" s="1"/>
  <c r="AP234" i="25"/>
  <c r="AA254" i="25" s="1"/>
  <c r="AB234" i="25"/>
  <c r="M254" i="25" s="1"/>
  <c r="AJ234" i="25"/>
  <c r="U254" i="25" s="1"/>
  <c r="W234" i="25"/>
  <c r="H254" i="25" s="1"/>
  <c r="AL234" i="25"/>
  <c r="W254" i="25" s="1"/>
  <c r="AI234" i="25"/>
  <c r="T254" i="25" s="1"/>
  <c r="Z234" i="25"/>
  <c r="K254" i="25" s="1"/>
  <c r="X121" i="25"/>
  <c r="I141" i="25" s="1"/>
  <c r="AF121" i="25"/>
  <c r="Q141" i="25" s="1"/>
  <c r="AN121" i="25"/>
  <c r="Y141" i="25" s="1"/>
  <c r="T125" i="25"/>
  <c r="E145" i="25" s="1"/>
  <c r="AB125" i="25"/>
  <c r="M145" i="25" s="1"/>
  <c r="AJ125" i="25"/>
  <c r="U145" i="25" s="1"/>
  <c r="AR125" i="25"/>
  <c r="AC145" i="25" s="1"/>
  <c r="S126" i="25"/>
  <c r="D146" i="25" s="1"/>
  <c r="AA126" i="25"/>
  <c r="L146" i="25" s="1"/>
  <c r="AI126" i="25"/>
  <c r="T146" i="25" s="1"/>
  <c r="AQ126" i="25"/>
  <c r="AB146" i="25" s="1"/>
  <c r="X130" i="25"/>
  <c r="I150" i="25" s="1"/>
  <c r="AF130" i="25"/>
  <c r="Q150" i="25" s="1"/>
  <c r="AN130" i="25"/>
  <c r="Y150" i="25" s="1"/>
  <c r="W131" i="25"/>
  <c r="AE131" i="25"/>
  <c r="AM131" i="25"/>
  <c r="U133" i="25"/>
  <c r="F153" i="25" s="1"/>
  <c r="AC133" i="25"/>
  <c r="N153" i="25" s="1"/>
  <c r="AK133" i="25"/>
  <c r="V153" i="25" s="1"/>
  <c r="A175" i="25"/>
  <c r="AE225" i="25"/>
  <c r="P245" i="25" s="1"/>
  <c r="AD227" i="25"/>
  <c r="O247" i="25" s="1"/>
  <c r="AN228" i="25"/>
  <c r="Y248" i="25" s="1"/>
  <c r="AC228" i="25"/>
  <c r="N248" i="25" s="1"/>
  <c r="R228" i="25"/>
  <c r="C248" i="25" s="1"/>
  <c r="AP228" i="25"/>
  <c r="AA248" i="25" s="1"/>
  <c r="X228" i="25"/>
  <c r="I248" i="25" s="1"/>
  <c r="AO228" i="25"/>
  <c r="Z248" i="25" s="1"/>
  <c r="V228" i="25"/>
  <c r="G248" i="25" s="1"/>
  <c r="AH228" i="25"/>
  <c r="S248" i="25" s="1"/>
  <c r="T228" i="25"/>
  <c r="E248" i="25" s="1"/>
  <c r="AG228" i="25"/>
  <c r="R248" i="25" s="1"/>
  <c r="X131" i="25"/>
  <c r="AF131" i="25"/>
  <c r="AN131" i="25"/>
  <c r="V133" i="25"/>
  <c r="G153" i="25" s="1"/>
  <c r="AD133" i="25"/>
  <c r="O153" i="25" s="1"/>
  <c r="AL133" i="25"/>
  <c r="W153" i="25" s="1"/>
  <c r="AH227" i="25"/>
  <c r="S247" i="25" s="1"/>
  <c r="W133" i="25"/>
  <c r="H153" i="25" s="1"/>
  <c r="AE133" i="25"/>
  <c r="P153" i="25" s="1"/>
  <c r="AP225" i="25"/>
  <c r="AA245" i="25" s="1"/>
  <c r="AH225" i="25"/>
  <c r="S245" i="25" s="1"/>
  <c r="Z225" i="25"/>
  <c r="K245" i="25" s="1"/>
  <c r="R225" i="25"/>
  <c r="C245" i="25" s="1"/>
  <c r="AL225" i="25"/>
  <c r="W245" i="25" s="1"/>
  <c r="AC225" i="25"/>
  <c r="N245" i="25" s="1"/>
  <c r="T225" i="25"/>
  <c r="E245" i="25" s="1"/>
  <c r="AK225" i="25"/>
  <c r="V245" i="25" s="1"/>
  <c r="AB225" i="25"/>
  <c r="M245" i="25" s="1"/>
  <c r="S225" i="25"/>
  <c r="D245" i="25" s="1"/>
  <c r="AM225" i="25"/>
  <c r="X245" i="25" s="1"/>
  <c r="Y225" i="25"/>
  <c r="J245" i="25" s="1"/>
  <c r="AJ225" i="25"/>
  <c r="U245" i="25" s="1"/>
  <c r="X225" i="25"/>
  <c r="I245" i="25" s="1"/>
  <c r="AG225" i="25"/>
  <c r="R245" i="25" s="1"/>
  <c r="V225" i="25"/>
  <c r="G245" i="25" s="1"/>
  <c r="AI225" i="25"/>
  <c r="T245" i="25" s="1"/>
  <c r="AI227" i="25"/>
  <c r="T247" i="25" s="1"/>
  <c r="AQ232" i="25"/>
  <c r="AB252" i="25" s="1"/>
  <c r="AI232" i="25"/>
  <c r="T252" i="25" s="1"/>
  <c r="AA232" i="25"/>
  <c r="L252" i="25" s="1"/>
  <c r="S232" i="25"/>
  <c r="D252" i="25" s="1"/>
  <c r="AP232" i="25"/>
  <c r="AA252" i="25" s="1"/>
  <c r="AH232" i="25"/>
  <c r="S252" i="25" s="1"/>
  <c r="Z232" i="25"/>
  <c r="K252" i="25" s="1"/>
  <c r="R232" i="25"/>
  <c r="C252" i="25" s="1"/>
  <c r="AM232" i="25"/>
  <c r="X252" i="25" s="1"/>
  <c r="AE232" i="25"/>
  <c r="P252" i="25" s="1"/>
  <c r="W232" i="25"/>
  <c r="H252" i="25" s="1"/>
  <c r="AN232" i="25"/>
  <c r="Y252" i="25" s="1"/>
  <c r="AB232" i="25"/>
  <c r="M252" i="25" s="1"/>
  <c r="AL232" i="25"/>
  <c r="W252" i="25" s="1"/>
  <c r="Y232" i="25"/>
  <c r="J252" i="25" s="1"/>
  <c r="AK232" i="25"/>
  <c r="V252" i="25" s="1"/>
  <c r="X232" i="25"/>
  <c r="I252" i="25" s="1"/>
  <c r="AR232" i="25"/>
  <c r="AC252" i="25" s="1"/>
  <c r="AD232" i="25"/>
  <c r="O252" i="25" s="1"/>
  <c r="Q232" i="25"/>
  <c r="B252" i="25" s="1"/>
  <c r="AJ232" i="25"/>
  <c r="U252" i="25" s="1"/>
  <c r="AG232" i="25"/>
  <c r="R252" i="25" s="1"/>
  <c r="AC232" i="25"/>
  <c r="N252" i="25" s="1"/>
  <c r="V234" i="25"/>
  <c r="G254" i="25" s="1"/>
  <c r="A289" i="25"/>
  <c r="A277" i="25"/>
  <c r="S121" i="25"/>
  <c r="D141" i="25" s="1"/>
  <c r="AA121" i="25"/>
  <c r="L141" i="25" s="1"/>
  <c r="AI121" i="25"/>
  <c r="T141" i="25" s="1"/>
  <c r="AQ121" i="25"/>
  <c r="AB141" i="25" s="1"/>
  <c r="X124" i="25"/>
  <c r="I144" i="25" s="1"/>
  <c r="AF124" i="25"/>
  <c r="Q144" i="25" s="1"/>
  <c r="AN124" i="25"/>
  <c r="Y144" i="25" s="1"/>
  <c r="W125" i="25"/>
  <c r="H145" i="25" s="1"/>
  <c r="AE125" i="25"/>
  <c r="P145" i="25" s="1"/>
  <c r="AM125" i="25"/>
  <c r="X145" i="25" s="1"/>
  <c r="V126" i="25"/>
  <c r="G146" i="25" s="1"/>
  <c r="AD126" i="25"/>
  <c r="O146" i="25" s="1"/>
  <c r="AL126" i="25"/>
  <c r="W146" i="25" s="1"/>
  <c r="L149" i="25"/>
  <c r="S130" i="25"/>
  <c r="D150" i="25" s="1"/>
  <c r="AA130" i="25"/>
  <c r="L150" i="25" s="1"/>
  <c r="AI130" i="25"/>
  <c r="T150" i="25" s="1"/>
  <c r="AQ130" i="25"/>
  <c r="AB150" i="25" s="1"/>
  <c r="R131" i="25"/>
  <c r="Z131" i="25"/>
  <c r="AH131" i="25"/>
  <c r="AP131" i="25"/>
  <c r="X133" i="25"/>
  <c r="I153" i="25" s="1"/>
  <c r="AF133" i="25"/>
  <c r="Q153" i="25" s="1"/>
  <c r="AN133" i="25"/>
  <c r="Y153" i="25" s="1"/>
  <c r="Q225" i="25"/>
  <c r="B245" i="25" s="1"/>
  <c r="AN225" i="25"/>
  <c r="Y245" i="25" s="1"/>
  <c r="AO226" i="25"/>
  <c r="Z246" i="25" s="1"/>
  <c r="AG226" i="25"/>
  <c r="R246" i="25" s="1"/>
  <c r="Y226" i="25"/>
  <c r="J246" i="25" s="1"/>
  <c r="Q226" i="25"/>
  <c r="B246" i="25" s="1"/>
  <c r="AK226" i="25"/>
  <c r="V246" i="25" s="1"/>
  <c r="AQ226" i="25"/>
  <c r="AB246" i="25" s="1"/>
  <c r="AF226" i="25"/>
  <c r="Q246" i="25" s="1"/>
  <c r="W226" i="25"/>
  <c r="H246" i="25" s="1"/>
  <c r="AP226" i="25"/>
  <c r="AA246" i="25" s="1"/>
  <c r="AE226" i="25"/>
  <c r="P246" i="25" s="1"/>
  <c r="V226" i="25"/>
  <c r="G246" i="25" s="1"/>
  <c r="AM226" i="25"/>
  <c r="X246" i="25" s="1"/>
  <c r="AA226" i="25"/>
  <c r="L246" i="25" s="1"/>
  <c r="AL226" i="25"/>
  <c r="W246" i="25" s="1"/>
  <c r="Z226" i="25"/>
  <c r="K246" i="25" s="1"/>
  <c r="AI226" i="25"/>
  <c r="T246" i="25" s="1"/>
  <c r="U226" i="25"/>
  <c r="F246" i="25" s="1"/>
  <c r="AH226" i="25"/>
  <c r="S246" i="25" s="1"/>
  <c r="AK227" i="25"/>
  <c r="V247" i="25" s="1"/>
  <c r="Q228" i="25"/>
  <c r="B248" i="25" s="1"/>
  <c r="T232" i="25"/>
  <c r="E252" i="25" s="1"/>
  <c r="AA234" i="25"/>
  <c r="L254" i="25" s="1"/>
  <c r="AJ121" i="25"/>
  <c r="U141" i="25" s="1"/>
  <c r="AR121" i="25"/>
  <c r="AC141" i="25" s="1"/>
  <c r="X125" i="25"/>
  <c r="I145" i="25" s="1"/>
  <c r="AF125" i="25"/>
  <c r="Q145" i="25" s="1"/>
  <c r="AN125" i="25"/>
  <c r="Y145" i="25" s="1"/>
  <c r="W126" i="25"/>
  <c r="H146" i="25" s="1"/>
  <c r="AE126" i="25"/>
  <c r="P146" i="25" s="1"/>
  <c r="AB130" i="25"/>
  <c r="M150" i="25" s="1"/>
  <c r="AJ130" i="25"/>
  <c r="U150" i="25" s="1"/>
  <c r="AR130" i="25"/>
  <c r="AC150" i="25" s="1"/>
  <c r="S131" i="25"/>
  <c r="AA131" i="25"/>
  <c r="AI131" i="25"/>
  <c r="AQ131" i="25"/>
  <c r="Q133" i="25"/>
  <c r="B153" i="25" s="1"/>
  <c r="Y133" i="25"/>
  <c r="J153" i="25" s="1"/>
  <c r="AG133" i="25"/>
  <c r="R153" i="25" s="1"/>
  <c r="A169" i="25"/>
  <c r="U225" i="25"/>
  <c r="F245" i="25" s="1"/>
  <c r="AO225" i="25"/>
  <c r="Z245" i="25" s="1"/>
  <c r="U227" i="25"/>
  <c r="F247" i="25" s="1"/>
  <c r="AO227" i="25"/>
  <c r="Z247" i="25" s="1"/>
  <c r="U232" i="25"/>
  <c r="F252" i="25" s="1"/>
  <c r="AM234" i="25"/>
  <c r="X254" i="25" s="1"/>
  <c r="AM239" i="25"/>
  <c r="AE239" i="25"/>
  <c r="AK239" i="25"/>
  <c r="AC239" i="25"/>
  <c r="U239" i="25"/>
  <c r="AR239" i="25"/>
  <c r="AJ239" i="25"/>
  <c r="AB239" i="25"/>
  <c r="T239" i="25"/>
  <c r="AQ239" i="25"/>
  <c r="AI239" i="25"/>
  <c r="AA239" i="25"/>
  <c r="S239" i="25"/>
  <c r="AO239" i="25"/>
  <c r="AG239" i="25"/>
  <c r="Y239" i="25"/>
  <c r="Q239" i="25"/>
  <c r="Z239" i="25"/>
  <c r="X239" i="25"/>
  <c r="AP239" i="25"/>
  <c r="W239" i="25"/>
  <c r="AN239" i="25"/>
  <c r="V239" i="25"/>
  <c r="AF239" i="25"/>
  <c r="AL239" i="25"/>
  <c r="AD239" i="25"/>
  <c r="U121" i="25"/>
  <c r="F141" i="25" s="1"/>
  <c r="AC121" i="25"/>
  <c r="N141" i="25" s="1"/>
  <c r="R124" i="25"/>
  <c r="C144" i="25" s="1"/>
  <c r="Z124" i="25"/>
  <c r="K144" i="25" s="1"/>
  <c r="AH124" i="25"/>
  <c r="S144" i="25" s="1"/>
  <c r="Q125" i="25"/>
  <c r="B145" i="25" s="1"/>
  <c r="Y125" i="25"/>
  <c r="J145" i="25" s="1"/>
  <c r="AG125" i="25"/>
  <c r="R145" i="25" s="1"/>
  <c r="X126" i="25"/>
  <c r="I146" i="25" s="1"/>
  <c r="AF126" i="25"/>
  <c r="Q146" i="25" s="1"/>
  <c r="U130" i="25"/>
  <c r="F150" i="25" s="1"/>
  <c r="AC130" i="25"/>
  <c r="N150" i="25" s="1"/>
  <c r="T131" i="25"/>
  <c r="AB131" i="25"/>
  <c r="AJ131" i="25"/>
  <c r="R133" i="25"/>
  <c r="C153" i="25" s="1"/>
  <c r="Z133" i="25"/>
  <c r="K153" i="25" s="1"/>
  <c r="AH133" i="25"/>
  <c r="S153" i="25" s="1"/>
  <c r="W225" i="25"/>
  <c r="H245" i="25" s="1"/>
  <c r="AQ225" i="25"/>
  <c r="AB245" i="25" s="1"/>
  <c r="S226" i="25"/>
  <c r="D246" i="25" s="1"/>
  <c r="AN226" i="25"/>
  <c r="Y246" i="25" s="1"/>
  <c r="V227" i="25"/>
  <c r="G247" i="25" s="1"/>
  <c r="AQ227" i="25"/>
  <c r="AB247" i="25" s="1"/>
  <c r="AB228" i="25"/>
  <c r="M248" i="25" s="1"/>
  <c r="V232" i="25"/>
  <c r="G252" i="25" s="1"/>
  <c r="R239" i="25"/>
  <c r="AR227" i="25"/>
  <c r="AC247" i="25" s="1"/>
  <c r="AJ227" i="25"/>
  <c r="U247" i="25" s="1"/>
  <c r="AB227" i="25"/>
  <c r="M247" i="25" s="1"/>
  <c r="T227" i="25"/>
  <c r="E247" i="25" s="1"/>
  <c r="AM227" i="25"/>
  <c r="X247" i="25" s="1"/>
  <c r="AC227" i="25"/>
  <c r="N247" i="25" s="1"/>
  <c r="R227" i="25"/>
  <c r="C247" i="25" s="1"/>
  <c r="AL227" i="25"/>
  <c r="W247" i="25" s="1"/>
  <c r="AA227" i="25"/>
  <c r="L247" i="25" s="1"/>
  <c r="Q227" i="25"/>
  <c r="B247" i="25" s="1"/>
  <c r="Z227" i="25"/>
  <c r="K247" i="25" s="1"/>
  <c r="AP227" i="25"/>
  <c r="AA247" i="25" s="1"/>
  <c r="AC229" i="25"/>
  <c r="N249" i="25" s="1"/>
  <c r="AP345" i="25"/>
  <c r="AA365" i="25" s="1"/>
  <c r="AE345" i="25"/>
  <c r="P365" i="25" s="1"/>
  <c r="U345" i="25"/>
  <c r="F365" i="25" s="1"/>
  <c r="AO345" i="25"/>
  <c r="Z365" i="25" s="1"/>
  <c r="AD345" i="25"/>
  <c r="O365" i="25" s="1"/>
  <c r="S345" i="25"/>
  <c r="D365" i="25" s="1"/>
  <c r="AK345" i="25"/>
  <c r="V365" i="25" s="1"/>
  <c r="Z345" i="25"/>
  <c r="K365" i="25" s="1"/>
  <c r="AQ345" i="25"/>
  <c r="AB365" i="25" s="1"/>
  <c r="Y345" i="25"/>
  <c r="J365" i="25" s="1"/>
  <c r="AM345" i="25"/>
  <c r="X365" i="25" s="1"/>
  <c r="W345" i="25"/>
  <c r="H365" i="25" s="1"/>
  <c r="AL345" i="25"/>
  <c r="W365" i="25" s="1"/>
  <c r="V345" i="25"/>
  <c r="G365" i="25" s="1"/>
  <c r="AI345" i="25"/>
  <c r="T365" i="25" s="1"/>
  <c r="R345" i="25"/>
  <c r="C365" i="25" s="1"/>
  <c r="AH345" i="25"/>
  <c r="S365" i="25" s="1"/>
  <c r="Q345" i="25"/>
  <c r="B365" i="25" s="1"/>
  <c r="AG345" i="25"/>
  <c r="R365" i="25" s="1"/>
  <c r="AC345" i="25"/>
  <c r="N365" i="25" s="1"/>
  <c r="AA345" i="25"/>
  <c r="L365" i="25" s="1"/>
  <c r="AN227" i="25"/>
  <c r="Y247" i="25" s="1"/>
  <c r="AM237" i="25"/>
  <c r="X257" i="25" s="1"/>
  <c r="AE237" i="25"/>
  <c r="P257" i="25" s="1"/>
  <c r="W237" i="25"/>
  <c r="H257" i="25" s="1"/>
  <c r="AL237" i="25"/>
  <c r="W257" i="25" s="1"/>
  <c r="AD237" i="25"/>
  <c r="O257" i="25" s="1"/>
  <c r="V237" i="25"/>
  <c r="G257" i="25" s="1"/>
  <c r="AK237" i="25"/>
  <c r="V257" i="25" s="1"/>
  <c r="AC237" i="25"/>
  <c r="N257" i="25" s="1"/>
  <c r="AQ237" i="25"/>
  <c r="AB257" i="25" s="1"/>
  <c r="AI237" i="25"/>
  <c r="T257" i="25" s="1"/>
  <c r="AA237" i="25"/>
  <c r="L257" i="25" s="1"/>
  <c r="S237" i="25"/>
  <c r="D257" i="25" s="1"/>
  <c r="AN237" i="25"/>
  <c r="Y257" i="25" s="1"/>
  <c r="X237" i="25"/>
  <c r="I257" i="25" s="1"/>
  <c r="AJ237" i="25"/>
  <c r="U257" i="25" s="1"/>
  <c r="U237" i="25"/>
  <c r="F257" i="25" s="1"/>
  <c r="AH237" i="25"/>
  <c r="S257" i="25" s="1"/>
  <c r="T237" i="25"/>
  <c r="E257" i="25" s="1"/>
  <c r="AG237" i="25"/>
  <c r="R257" i="25" s="1"/>
  <c r="R237" i="25"/>
  <c r="C257" i="25" s="1"/>
  <c r="AP237" i="25"/>
  <c r="AA257" i="25" s="1"/>
  <c r="Z237" i="25"/>
  <c r="K257" i="25" s="1"/>
  <c r="S227" i="25"/>
  <c r="D247" i="25" s="1"/>
  <c r="AG227" i="25"/>
  <c r="R247" i="25" s="1"/>
  <c r="S229" i="25"/>
  <c r="D249" i="25" s="1"/>
  <c r="AQ231" i="25"/>
  <c r="AB251" i="25" s="1"/>
  <c r="AI231" i="25"/>
  <c r="T251" i="25" s="1"/>
  <c r="AA231" i="25"/>
  <c r="L251" i="25" s="1"/>
  <c r="S231" i="25"/>
  <c r="D251" i="25" s="1"/>
  <c r="AK231" i="25"/>
  <c r="V251" i="25" s="1"/>
  <c r="W231" i="25"/>
  <c r="H251" i="25" s="1"/>
  <c r="AH231" i="25"/>
  <c r="S251" i="25" s="1"/>
  <c r="V231" i="25"/>
  <c r="G251" i="25" s="1"/>
  <c r="AG231" i="25"/>
  <c r="R251" i="25" s="1"/>
  <c r="AM231" i="25"/>
  <c r="X251" i="25" s="1"/>
  <c r="Z231" i="25"/>
  <c r="K251" i="25" s="1"/>
  <c r="AD231" i="25"/>
  <c r="O251" i="25" s="1"/>
  <c r="Q237" i="25"/>
  <c r="B257" i="25" s="1"/>
  <c r="AL229" i="25"/>
  <c r="W249" i="25" s="1"/>
  <c r="AD229" i="25"/>
  <c r="O249" i="25" s="1"/>
  <c r="V229" i="25"/>
  <c r="G249" i="25" s="1"/>
  <c r="AP229" i="25"/>
  <c r="AA249" i="25" s="1"/>
  <c r="AH229" i="25"/>
  <c r="S249" i="25" s="1"/>
  <c r="Z229" i="25"/>
  <c r="K249" i="25" s="1"/>
  <c r="R229" i="25"/>
  <c r="C249" i="25" s="1"/>
  <c r="AA229" i="25"/>
  <c r="L249" i="25" s="1"/>
  <c r="AK229" i="25"/>
  <c r="V249" i="25" s="1"/>
  <c r="U233" i="25"/>
  <c r="F253" i="25" s="1"/>
  <c r="AI233" i="25"/>
  <c r="T253" i="25" s="1"/>
  <c r="AM236" i="25"/>
  <c r="X256" i="25" s="1"/>
  <c r="AE236" i="25"/>
  <c r="P256" i="25" s="1"/>
  <c r="W236" i="25"/>
  <c r="H256" i="25" s="1"/>
  <c r="AR236" i="25"/>
  <c r="AC256" i="25" s="1"/>
  <c r="AJ236" i="25"/>
  <c r="U256" i="25" s="1"/>
  <c r="AB236" i="25"/>
  <c r="M256" i="25" s="1"/>
  <c r="T236" i="25"/>
  <c r="E256" i="25" s="1"/>
  <c r="Y236" i="25"/>
  <c r="J256" i="25" s="1"/>
  <c r="AK236" i="25"/>
  <c r="V256" i="25" s="1"/>
  <c r="AG240" i="25"/>
  <c r="AK241" i="25"/>
  <c r="V261" i="25" s="1"/>
  <c r="AC241" i="25"/>
  <c r="N261" i="25" s="1"/>
  <c r="U241" i="25"/>
  <c r="F261" i="25" s="1"/>
  <c r="AQ241" i="25"/>
  <c r="AB261" i="25" s="1"/>
  <c r="AI241" i="25"/>
  <c r="T261" i="25" s="1"/>
  <c r="AA241" i="25"/>
  <c r="L261" i="25" s="1"/>
  <c r="S241" i="25"/>
  <c r="D261" i="25" s="1"/>
  <c r="AP241" i="25"/>
  <c r="AA261" i="25" s="1"/>
  <c r="AH241" i="25"/>
  <c r="S261" i="25" s="1"/>
  <c r="Z241" i="25"/>
  <c r="K261" i="25" s="1"/>
  <c r="R241" i="25"/>
  <c r="C261" i="25" s="1"/>
  <c r="AO241" i="25"/>
  <c r="Z261" i="25" s="1"/>
  <c r="AG241" i="25"/>
  <c r="R261" i="25" s="1"/>
  <c r="Y241" i="25"/>
  <c r="J261" i="25" s="1"/>
  <c r="Q241" i="25"/>
  <c r="B261" i="25" s="1"/>
  <c r="AM241" i="25"/>
  <c r="X261" i="25" s="1"/>
  <c r="AE241" i="25"/>
  <c r="P261" i="25" s="1"/>
  <c r="W241" i="25"/>
  <c r="H261" i="25" s="1"/>
  <c r="AL241" i="25"/>
  <c r="W261" i="25" s="1"/>
  <c r="AO234" i="25"/>
  <c r="Z254" i="25" s="1"/>
  <c r="A290" i="25"/>
  <c r="A278" i="25"/>
  <c r="AM340" i="25"/>
  <c r="X360" i="25" s="1"/>
  <c r="AE340" i="25"/>
  <c r="P360" i="25" s="1"/>
  <c r="W340" i="25"/>
  <c r="H360" i="25" s="1"/>
  <c r="AL340" i="25"/>
  <c r="W360" i="25" s="1"/>
  <c r="AD340" i="25"/>
  <c r="O360" i="25" s="1"/>
  <c r="V340" i="25"/>
  <c r="G360" i="25" s="1"/>
  <c r="AQ340" i="25"/>
  <c r="AB360" i="25" s="1"/>
  <c r="AI340" i="25"/>
  <c r="T360" i="25" s="1"/>
  <c r="AA340" i="25"/>
  <c r="L360" i="25" s="1"/>
  <c r="S340" i="25"/>
  <c r="D360" i="25" s="1"/>
  <c r="AK340" i="25"/>
  <c r="V360" i="25" s="1"/>
  <c r="Y340" i="25"/>
  <c r="J360" i="25" s="1"/>
  <c r="AJ340" i="25"/>
  <c r="U360" i="25" s="1"/>
  <c r="X340" i="25"/>
  <c r="I360" i="25" s="1"/>
  <c r="AH340" i="25"/>
  <c r="S360" i="25" s="1"/>
  <c r="U340" i="25"/>
  <c r="F360" i="25" s="1"/>
  <c r="AR340" i="25"/>
  <c r="AC360" i="25" s="1"/>
  <c r="AF340" i="25"/>
  <c r="Q360" i="25" s="1"/>
  <c r="R340" i="25"/>
  <c r="C360" i="25" s="1"/>
  <c r="AP340" i="25"/>
  <c r="AA360" i="25" s="1"/>
  <c r="AC340" i="25"/>
  <c r="N360" i="25" s="1"/>
  <c r="Q340" i="25"/>
  <c r="B360" i="25" s="1"/>
  <c r="AO340" i="25"/>
  <c r="Z360" i="25" s="1"/>
  <c r="AN340" i="25"/>
  <c r="Y360" i="25" s="1"/>
  <c r="AG340" i="25"/>
  <c r="R360" i="25" s="1"/>
  <c r="AB340" i="25"/>
  <c r="M360" i="25" s="1"/>
  <c r="Z340" i="25"/>
  <c r="K360" i="25" s="1"/>
  <c r="T340" i="25"/>
  <c r="E360" i="25" s="1"/>
  <c r="AB233" i="25"/>
  <c r="M253" i="25" s="1"/>
  <c r="AN233" i="25"/>
  <c r="Y253" i="25" s="1"/>
  <c r="AB241" i="25"/>
  <c r="M261" i="25" s="1"/>
  <c r="A294" i="25"/>
  <c r="A282" i="25"/>
  <c r="Y228" i="25"/>
  <c r="J248" i="25" s="1"/>
  <c r="W229" i="25"/>
  <c r="H249" i="25" s="1"/>
  <c r="AG229" i="25"/>
  <c r="R249" i="25" s="1"/>
  <c r="AR229" i="25"/>
  <c r="AC249" i="25" s="1"/>
  <c r="AP233" i="25"/>
  <c r="AA253" i="25" s="1"/>
  <c r="AH233" i="25"/>
  <c r="S253" i="25" s="1"/>
  <c r="Z233" i="25"/>
  <c r="K253" i="25" s="1"/>
  <c r="R233" i="25"/>
  <c r="C253" i="25" s="1"/>
  <c r="AO233" i="25"/>
  <c r="Z253" i="25" s="1"/>
  <c r="AG233" i="25"/>
  <c r="R253" i="25" s="1"/>
  <c r="Y233" i="25"/>
  <c r="J253" i="25" s="1"/>
  <c r="Q233" i="25"/>
  <c r="B253" i="25" s="1"/>
  <c r="AL233" i="25"/>
  <c r="W253" i="25" s="1"/>
  <c r="AD233" i="25"/>
  <c r="O253" i="25" s="1"/>
  <c r="V233" i="25"/>
  <c r="G253" i="25" s="1"/>
  <c r="AC233" i="25"/>
  <c r="N253" i="25" s="1"/>
  <c r="AQ233" i="25"/>
  <c r="AB253" i="25" s="1"/>
  <c r="S236" i="25"/>
  <c r="D256" i="25" s="1"/>
  <c r="AG236" i="25"/>
  <c r="R256" i="25" s="1"/>
  <c r="Y240" i="25"/>
  <c r="AD241" i="25"/>
  <c r="O261" i="25" s="1"/>
  <c r="A292" i="25"/>
  <c r="A280" i="25"/>
  <c r="AM228" i="25"/>
  <c r="X248" i="25" s="1"/>
  <c r="AE228" i="25"/>
  <c r="P248" i="25" s="1"/>
  <c r="W228" i="25"/>
  <c r="H248" i="25" s="1"/>
  <c r="AQ228" i="25"/>
  <c r="AB248" i="25" s="1"/>
  <c r="AI228" i="25"/>
  <c r="T248" i="25" s="1"/>
  <c r="AA228" i="25"/>
  <c r="L248" i="25" s="1"/>
  <c r="S228" i="25"/>
  <c r="D248" i="25" s="1"/>
  <c r="Z228" i="25"/>
  <c r="K248" i="25" s="1"/>
  <c r="AK228" i="25"/>
  <c r="V248" i="25" s="1"/>
  <c r="X229" i="25"/>
  <c r="I249" i="25" s="1"/>
  <c r="AI229" i="25"/>
  <c r="T249" i="25" s="1"/>
  <c r="S233" i="25"/>
  <c r="D253" i="25" s="1"/>
  <c r="AE233" i="25"/>
  <c r="P253" i="25" s="1"/>
  <c r="U236" i="25"/>
  <c r="F256" i="25" s="1"/>
  <c r="AH236" i="25"/>
  <c r="S256" i="25" s="1"/>
  <c r="AL238" i="25"/>
  <c r="W258" i="25" s="1"/>
  <c r="AD238" i="25"/>
  <c r="O258" i="25" s="1"/>
  <c r="V238" i="25"/>
  <c r="G258" i="25" s="1"/>
  <c r="AK238" i="25"/>
  <c r="V258" i="25" s="1"/>
  <c r="AC238" i="25"/>
  <c r="N258" i="25" s="1"/>
  <c r="U238" i="25"/>
  <c r="F258" i="25" s="1"/>
  <c r="AR238" i="25"/>
  <c r="AC258" i="25" s="1"/>
  <c r="AJ238" i="25"/>
  <c r="U258" i="25" s="1"/>
  <c r="AB238" i="25"/>
  <c r="M258" i="25" s="1"/>
  <c r="T238" i="25"/>
  <c r="E258" i="25" s="1"/>
  <c r="AP238" i="25"/>
  <c r="AA258" i="25" s="1"/>
  <c r="AH238" i="25"/>
  <c r="S258" i="25" s="1"/>
  <c r="Z238" i="25"/>
  <c r="K258" i="25" s="1"/>
  <c r="R238" i="25"/>
  <c r="C258" i="25" s="1"/>
  <c r="AF238" i="25"/>
  <c r="Q258" i="25" s="1"/>
  <c r="AF241" i="25"/>
  <c r="Q261" i="25" s="1"/>
  <c r="X231" i="25"/>
  <c r="I251" i="25" s="1"/>
  <c r="AF231" i="25"/>
  <c r="Q251" i="25" s="1"/>
  <c r="AN231" i="25"/>
  <c r="Y251" i="25" s="1"/>
  <c r="U234" i="25"/>
  <c r="F254" i="25" s="1"/>
  <c r="AC234" i="25"/>
  <c r="N254" i="25" s="1"/>
  <c r="AK234" i="25"/>
  <c r="V254" i="25" s="1"/>
  <c r="B256" i="25"/>
  <c r="X240" i="25"/>
  <c r="AF240" i="25"/>
  <c r="AN240" i="25"/>
  <c r="A281" i="25"/>
  <c r="AE335" i="25"/>
  <c r="P355" i="25" s="1"/>
  <c r="R338" i="25"/>
  <c r="C358" i="25" s="1"/>
  <c r="AM339" i="25"/>
  <c r="X359" i="25" s="1"/>
  <c r="AE339" i="25"/>
  <c r="P359" i="25" s="1"/>
  <c r="W339" i="25"/>
  <c r="H359" i="25" s="1"/>
  <c r="AJ339" i="25"/>
  <c r="U359" i="25" s="1"/>
  <c r="AB339" i="25"/>
  <c r="M359" i="25" s="1"/>
  <c r="T339" i="25"/>
  <c r="E359" i="25" s="1"/>
  <c r="AI339" i="25"/>
  <c r="T359" i="25" s="1"/>
  <c r="V339" i="25"/>
  <c r="G359" i="25" s="1"/>
  <c r="AH339" i="25"/>
  <c r="S359" i="25" s="1"/>
  <c r="U339" i="25"/>
  <c r="F359" i="25" s="1"/>
  <c r="AG339" i="25"/>
  <c r="R359" i="25" s="1"/>
  <c r="S339" i="25"/>
  <c r="D359" i="25" s="1"/>
  <c r="AP339" i="25"/>
  <c r="AA359" i="25" s="1"/>
  <c r="AC339" i="25"/>
  <c r="N359" i="25" s="1"/>
  <c r="Q339" i="25"/>
  <c r="B359" i="25" s="1"/>
  <c r="AO339" i="25"/>
  <c r="Z359" i="25" s="1"/>
  <c r="AA339" i="25"/>
  <c r="L359" i="25" s="1"/>
  <c r="AL339" i="25"/>
  <c r="W359" i="25" s="1"/>
  <c r="R240" i="25"/>
  <c r="Z240" i="25"/>
  <c r="AH240" i="25"/>
  <c r="AP240" i="25"/>
  <c r="AK334" i="25"/>
  <c r="V354" i="25" s="1"/>
  <c r="AC334" i="25"/>
  <c r="N354" i="25" s="1"/>
  <c r="U334" i="25"/>
  <c r="F354" i="25" s="1"/>
  <c r="AO334" i="25"/>
  <c r="Z354" i="25" s="1"/>
  <c r="AG334" i="25"/>
  <c r="R354" i="25" s="1"/>
  <c r="Y334" i="25"/>
  <c r="J354" i="25" s="1"/>
  <c r="Q334" i="25"/>
  <c r="B354" i="25" s="1"/>
  <c r="AP334" i="25"/>
  <c r="AA354" i="25" s="1"/>
  <c r="AE334" i="25"/>
  <c r="P354" i="25" s="1"/>
  <c r="T334" i="25"/>
  <c r="E354" i="25" s="1"/>
  <c r="AN334" i="25"/>
  <c r="Y354" i="25" s="1"/>
  <c r="AD334" i="25"/>
  <c r="O354" i="25" s="1"/>
  <c r="S334" i="25"/>
  <c r="D354" i="25" s="1"/>
  <c r="AL334" i="25"/>
  <c r="W354" i="25" s="1"/>
  <c r="AJ334" i="25"/>
  <c r="U354" i="25" s="1"/>
  <c r="Z334" i="25"/>
  <c r="K354" i="25" s="1"/>
  <c r="AH334" i="25"/>
  <c r="S354" i="25" s="1"/>
  <c r="AO335" i="25"/>
  <c r="Z355" i="25" s="1"/>
  <c r="Z338" i="25"/>
  <c r="K358" i="25" s="1"/>
  <c r="AQ339" i="25"/>
  <c r="AB359" i="25" s="1"/>
  <c r="AL341" i="25"/>
  <c r="W361" i="25" s="1"/>
  <c r="AD341" i="25"/>
  <c r="O361" i="25" s="1"/>
  <c r="V341" i="25"/>
  <c r="G361" i="25" s="1"/>
  <c r="AK341" i="25"/>
  <c r="V361" i="25" s="1"/>
  <c r="AC341" i="25"/>
  <c r="N361" i="25" s="1"/>
  <c r="U341" i="25"/>
  <c r="F361" i="25" s="1"/>
  <c r="AP341" i="25"/>
  <c r="AA361" i="25" s="1"/>
  <c r="AH341" i="25"/>
  <c r="S361" i="25" s="1"/>
  <c r="Z341" i="25"/>
  <c r="K361" i="25" s="1"/>
  <c r="R341" i="25"/>
  <c r="C361" i="25" s="1"/>
  <c r="AN341" i="25"/>
  <c r="Y361" i="25" s="1"/>
  <c r="AA341" i="25"/>
  <c r="L361" i="25" s="1"/>
  <c r="AM341" i="25"/>
  <c r="X361" i="25" s="1"/>
  <c r="Y341" i="25"/>
  <c r="J361" i="25" s="1"/>
  <c r="AJ341" i="25"/>
  <c r="U361" i="25" s="1"/>
  <c r="X341" i="25"/>
  <c r="I361" i="25" s="1"/>
  <c r="AG341" i="25"/>
  <c r="R361" i="25" s="1"/>
  <c r="T341" i="25"/>
  <c r="E361" i="25" s="1"/>
  <c r="AR341" i="25"/>
  <c r="AC361" i="25" s="1"/>
  <c r="AF341" i="25"/>
  <c r="Q361" i="25" s="1"/>
  <c r="S341" i="25"/>
  <c r="D361" i="25" s="1"/>
  <c r="X234" i="25"/>
  <c r="I254" i="25" s="1"/>
  <c r="AF234" i="25"/>
  <c r="Q254" i="25" s="1"/>
  <c r="AN234" i="25"/>
  <c r="Y254" i="25" s="1"/>
  <c r="S240" i="25"/>
  <c r="AA240" i="25"/>
  <c r="AI240" i="25"/>
  <c r="AQ240" i="25"/>
  <c r="R334" i="25"/>
  <c r="C354" i="25" s="1"/>
  <c r="AI334" i="25"/>
  <c r="T354" i="25" s="1"/>
  <c r="AP335" i="25"/>
  <c r="AA355" i="25" s="1"/>
  <c r="AF337" i="25"/>
  <c r="Q357" i="25" s="1"/>
  <c r="T337" i="25"/>
  <c r="E357" i="25" s="1"/>
  <c r="AM337" i="25"/>
  <c r="X357" i="25" s="1"/>
  <c r="AA337" i="25"/>
  <c r="L357" i="25" s="1"/>
  <c r="AD338" i="25"/>
  <c r="O358" i="25" s="1"/>
  <c r="Q341" i="25"/>
  <c r="B361" i="25" s="1"/>
  <c r="X227" i="25"/>
  <c r="I247" i="25" s="1"/>
  <c r="AF227" i="25"/>
  <c r="Q247" i="25" s="1"/>
  <c r="T231" i="25"/>
  <c r="E251" i="25" s="1"/>
  <c r="AB231" i="25"/>
  <c r="M251" i="25" s="1"/>
  <c r="AJ231" i="25"/>
  <c r="U251" i="25" s="1"/>
  <c r="Q234" i="25"/>
  <c r="B254" i="25" s="1"/>
  <c r="Y234" i="25"/>
  <c r="J254" i="25" s="1"/>
  <c r="AG234" i="25"/>
  <c r="R254" i="25" s="1"/>
  <c r="X236" i="25"/>
  <c r="I256" i="25" s="1"/>
  <c r="AF236" i="25"/>
  <c r="Q256" i="25" s="1"/>
  <c r="T240" i="25"/>
  <c r="AB240" i="25"/>
  <c r="AJ240" i="25"/>
  <c r="V334" i="25"/>
  <c r="G354" i="25" s="1"/>
  <c r="AM334" i="25"/>
  <c r="X354" i="25" s="1"/>
  <c r="S335" i="25"/>
  <c r="D355" i="25" s="1"/>
  <c r="AK337" i="25"/>
  <c r="V357" i="25" s="1"/>
  <c r="R339" i="25"/>
  <c r="C359" i="25" s="1"/>
  <c r="W341" i="25"/>
  <c r="H361" i="25" s="1"/>
  <c r="AI338" i="25"/>
  <c r="T358" i="25" s="1"/>
  <c r="V338" i="25"/>
  <c r="G358" i="25" s="1"/>
  <c r="AH338" i="25"/>
  <c r="S358" i="25" s="1"/>
  <c r="T338" i="25"/>
  <c r="E358" i="25" s="1"/>
  <c r="AR338" i="25"/>
  <c r="AC358" i="25" s="1"/>
  <c r="AE338" i="25"/>
  <c r="P358" i="25" s="1"/>
  <c r="S338" i="25"/>
  <c r="D358" i="25" s="1"/>
  <c r="AP338" i="25"/>
  <c r="AA358" i="25" s="1"/>
  <c r="AB338" i="25"/>
  <c r="M358" i="25" s="1"/>
  <c r="AM338" i="25"/>
  <c r="X358" i="25" s="1"/>
  <c r="AA338" i="25"/>
  <c r="L358" i="25" s="1"/>
  <c r="AL338" i="25"/>
  <c r="W358" i="25" s="1"/>
  <c r="Y339" i="25"/>
  <c r="J359" i="25" s="1"/>
  <c r="V240" i="25"/>
  <c r="AD240" i="25"/>
  <c r="A276" i="25"/>
  <c r="A288" i="25"/>
  <c r="AC354" i="25"/>
  <c r="AQ338" i="25"/>
  <c r="AB358" i="25" s="1"/>
  <c r="Z339" i="25"/>
  <c r="K359" i="25" s="1"/>
  <c r="AB348" i="25"/>
  <c r="AQ348" i="25"/>
  <c r="AA348" i="25"/>
  <c r="AL348" i="25"/>
  <c r="T348" i="25"/>
  <c r="AJ348" i="25"/>
  <c r="R348" i="25"/>
  <c r="V335" i="25"/>
  <c r="G355" i="25" s="1"/>
  <c r="AG335" i="25"/>
  <c r="R355" i="25" s="1"/>
  <c r="AQ335" i="25"/>
  <c r="AB355" i="25" s="1"/>
  <c r="U336" i="25"/>
  <c r="F356" i="25" s="1"/>
  <c r="AG336" i="25"/>
  <c r="R356" i="25" s="1"/>
  <c r="X337" i="25"/>
  <c r="I357" i="25" s="1"/>
  <c r="AN339" i="25"/>
  <c r="Y359" i="25" s="1"/>
  <c r="V342" i="25"/>
  <c r="G362" i="25" s="1"/>
  <c r="AH342" i="25"/>
  <c r="S362" i="25" s="1"/>
  <c r="W343" i="25"/>
  <c r="H363" i="25" s="1"/>
  <c r="Z346" i="25"/>
  <c r="K366" i="25" s="1"/>
  <c r="AO348" i="25"/>
  <c r="AG348" i="25"/>
  <c r="Y348" i="25"/>
  <c r="Q348" i="25"/>
  <c r="AK348" i="25"/>
  <c r="AC348" i="25"/>
  <c r="U348" i="25"/>
  <c r="AI348" i="25"/>
  <c r="X348" i="25"/>
  <c r="AR348" i="25"/>
  <c r="AH348" i="25"/>
  <c r="W348" i="25"/>
  <c r="AN348" i="25"/>
  <c r="AD348" i="25"/>
  <c r="S348" i="25"/>
  <c r="AF348" i="25"/>
  <c r="AP349" i="25"/>
  <c r="AE349" i="25"/>
  <c r="U349" i="25"/>
  <c r="AO349" i="25"/>
  <c r="AD349" i="25"/>
  <c r="S349" i="25"/>
  <c r="AM349" i="25"/>
  <c r="AC349" i="25"/>
  <c r="AK349" i="25"/>
  <c r="Z349" i="25"/>
  <c r="AA349" i="25"/>
  <c r="W335" i="25"/>
  <c r="H355" i="25" s="1"/>
  <c r="AH335" i="25"/>
  <c r="S355" i="25" s="1"/>
  <c r="V336" i="25"/>
  <c r="G356" i="25" s="1"/>
  <c r="AJ336" i="25"/>
  <c r="U356" i="25" s="1"/>
  <c r="AO338" i="25"/>
  <c r="Z358" i="25" s="1"/>
  <c r="W342" i="25"/>
  <c r="H362" i="25" s="1"/>
  <c r="AI342" i="25"/>
  <c r="T362" i="25" s="1"/>
  <c r="AR343" i="25"/>
  <c r="AC363" i="25" s="1"/>
  <c r="AI343" i="25"/>
  <c r="T363" i="25" s="1"/>
  <c r="AA343" i="25"/>
  <c r="L363" i="25" s="1"/>
  <c r="S343" i="25"/>
  <c r="D363" i="25" s="1"/>
  <c r="Y343" i="25"/>
  <c r="J363" i="25" s="1"/>
  <c r="AL343" i="25"/>
  <c r="W363" i="25" s="1"/>
  <c r="AG349" i="25"/>
  <c r="Z343" i="25"/>
  <c r="K363" i="25" s="1"/>
  <c r="AM343" i="25"/>
  <c r="X363" i="25" s="1"/>
  <c r="A398" i="25"/>
  <c r="A386" i="25"/>
  <c r="AR335" i="25"/>
  <c r="AC355" i="25" s="1"/>
  <c r="Z335" i="25"/>
  <c r="K355" i="25" s="1"/>
  <c r="AK335" i="25"/>
  <c r="V355" i="25" s="1"/>
  <c r="Y336" i="25"/>
  <c r="J356" i="25" s="1"/>
  <c r="AL336" i="25"/>
  <c r="W356" i="25" s="1"/>
  <c r="AP337" i="25"/>
  <c r="AA357" i="25" s="1"/>
  <c r="AH337" i="25"/>
  <c r="S357" i="25" s="1"/>
  <c r="Z337" i="25"/>
  <c r="K357" i="25" s="1"/>
  <c r="R337" i="25"/>
  <c r="C357" i="25" s="1"/>
  <c r="AO337" i="25"/>
  <c r="Z357" i="25" s="1"/>
  <c r="AG337" i="25"/>
  <c r="R357" i="25" s="1"/>
  <c r="Y337" i="25"/>
  <c r="J357" i="25" s="1"/>
  <c r="Q337" i="25"/>
  <c r="B357" i="25" s="1"/>
  <c r="AL337" i="25"/>
  <c r="W357" i="25" s="1"/>
  <c r="AD337" i="25"/>
  <c r="O357" i="25" s="1"/>
  <c r="V337" i="25"/>
  <c r="G357" i="25" s="1"/>
  <c r="AC337" i="25"/>
  <c r="N357" i="25" s="1"/>
  <c r="AQ337" i="25"/>
  <c r="AB357" i="25" s="1"/>
  <c r="Z342" i="25"/>
  <c r="K362" i="25" s="1"/>
  <c r="AM342" i="25"/>
  <c r="X362" i="25" s="1"/>
  <c r="AC343" i="25"/>
  <c r="N363" i="25" s="1"/>
  <c r="AP343" i="25"/>
  <c r="AA363" i="25" s="1"/>
  <c r="AQ346" i="25"/>
  <c r="AB366" i="25" s="1"/>
  <c r="AI346" i="25"/>
  <c r="T366" i="25" s="1"/>
  <c r="AA346" i="25"/>
  <c r="L366" i="25" s="1"/>
  <c r="S346" i="25"/>
  <c r="D366" i="25" s="1"/>
  <c r="AM346" i="25"/>
  <c r="X366" i="25" s="1"/>
  <c r="AE346" i="25"/>
  <c r="P366" i="25" s="1"/>
  <c r="W346" i="25"/>
  <c r="H366" i="25" s="1"/>
  <c r="AN346" i="25"/>
  <c r="Y366" i="25" s="1"/>
  <c r="AC346" i="25"/>
  <c r="N366" i="25" s="1"/>
  <c r="R346" i="25"/>
  <c r="C366" i="25" s="1"/>
  <c r="AL346" i="25"/>
  <c r="W366" i="25" s="1"/>
  <c r="AB346" i="25"/>
  <c r="M366" i="25" s="1"/>
  <c r="Q346" i="25"/>
  <c r="B366" i="25" s="1"/>
  <c r="AH346" i="25"/>
  <c r="S366" i="25" s="1"/>
  <c r="X346" i="25"/>
  <c r="I366" i="25" s="1"/>
  <c r="AG346" i="25"/>
  <c r="R366" i="25" s="1"/>
  <c r="V348" i="25"/>
  <c r="AM348" i="25"/>
  <c r="Q349" i="25"/>
  <c r="AI349" i="25"/>
  <c r="Q335" i="25"/>
  <c r="B355" i="25" s="1"/>
  <c r="AA335" i="25"/>
  <c r="L355" i="25" s="1"/>
  <c r="AL335" i="25"/>
  <c r="W355" i="25" s="1"/>
  <c r="AB336" i="25"/>
  <c r="M356" i="25" s="1"/>
  <c r="S337" i="25"/>
  <c r="D357" i="25" s="1"/>
  <c r="AE337" i="25"/>
  <c r="P357" i="25" s="1"/>
  <c r="AR337" i="25"/>
  <c r="AC357" i="25" s="1"/>
  <c r="AA342" i="25"/>
  <c r="L362" i="25" s="1"/>
  <c r="Q343" i="25"/>
  <c r="B363" i="25" s="1"/>
  <c r="AD343" i="25"/>
  <c r="O363" i="25" s="1"/>
  <c r="AQ343" i="25"/>
  <c r="AB363" i="25" s="1"/>
  <c r="T346" i="25"/>
  <c r="E366" i="25" s="1"/>
  <c r="AJ346" i="25"/>
  <c r="U366" i="25" s="1"/>
  <c r="Z348" i="25"/>
  <c r="AP348" i="25"/>
  <c r="R349" i="25"/>
  <c r="AL349" i="25"/>
  <c r="AC335" i="25"/>
  <c r="N355" i="25" s="1"/>
  <c r="AQ336" i="25"/>
  <c r="AB356" i="25" s="1"/>
  <c r="AI336" i="25"/>
  <c r="T356" i="25" s="1"/>
  <c r="AA336" i="25"/>
  <c r="L356" i="25" s="1"/>
  <c r="S336" i="25"/>
  <c r="D356" i="25" s="1"/>
  <c r="AP336" i="25"/>
  <c r="AA356" i="25" s="1"/>
  <c r="AH336" i="25"/>
  <c r="S356" i="25" s="1"/>
  <c r="Z336" i="25"/>
  <c r="K356" i="25" s="1"/>
  <c r="R336" i="25"/>
  <c r="C356" i="25" s="1"/>
  <c r="AM336" i="25"/>
  <c r="X356" i="25" s="1"/>
  <c r="AE336" i="25"/>
  <c r="P356" i="25" s="1"/>
  <c r="W336" i="25"/>
  <c r="H356" i="25" s="1"/>
  <c r="AC336" i="25"/>
  <c r="N356" i="25" s="1"/>
  <c r="AO336" i="25"/>
  <c r="Z356" i="25" s="1"/>
  <c r="AK342" i="25"/>
  <c r="V362" i="25" s="1"/>
  <c r="AC342" i="25"/>
  <c r="N362" i="25" s="1"/>
  <c r="U342" i="25"/>
  <c r="F362" i="25" s="1"/>
  <c r="AR342" i="25"/>
  <c r="AC362" i="25" s="1"/>
  <c r="AJ342" i="25"/>
  <c r="U362" i="25" s="1"/>
  <c r="AB342" i="25"/>
  <c r="M362" i="25" s="1"/>
  <c r="T342" i="25"/>
  <c r="E362" i="25" s="1"/>
  <c r="AO342" i="25"/>
  <c r="Z362" i="25" s="1"/>
  <c r="AG342" i="25"/>
  <c r="R362" i="25" s="1"/>
  <c r="Y342" i="25"/>
  <c r="J362" i="25" s="1"/>
  <c r="Q342" i="25"/>
  <c r="B362" i="25" s="1"/>
  <c r="AD342" i="25"/>
  <c r="O362" i="25" s="1"/>
  <c r="AP342" i="25"/>
  <c r="AA362" i="25" s="1"/>
  <c r="R343" i="25"/>
  <c r="C363" i="25" s="1"/>
  <c r="AE343" i="25"/>
  <c r="P363" i="25" s="1"/>
  <c r="V349" i="25"/>
  <c r="U343" i="25"/>
  <c r="F363" i="25" s="1"/>
  <c r="X335" i="25"/>
  <c r="I355" i="25" s="1"/>
  <c r="AF335" i="25"/>
  <c r="Q355" i="25" s="1"/>
  <c r="AN335" i="25"/>
  <c r="Y355" i="25" s="1"/>
  <c r="U338" i="25"/>
  <c r="F358" i="25" s="1"/>
  <c r="AC338" i="25"/>
  <c r="N358" i="25" s="1"/>
  <c r="AK338" i="25"/>
  <c r="V358" i="25" s="1"/>
  <c r="AR339" i="25"/>
  <c r="AC359" i="25" s="1"/>
  <c r="AO343" i="25"/>
  <c r="Z363" i="25" s="1"/>
  <c r="X343" i="25"/>
  <c r="I363" i="25" s="1"/>
  <c r="AF343" i="25"/>
  <c r="Q363" i="25" s="1"/>
  <c r="AN343" i="25"/>
  <c r="Y363" i="25" s="1"/>
  <c r="AR345" i="25"/>
  <c r="AC365" i="25" s="1"/>
  <c r="U347" i="25"/>
  <c r="F367" i="25" s="1"/>
  <c r="AF347" i="25"/>
  <c r="Q367" i="25" s="1"/>
  <c r="AQ347" i="25"/>
  <c r="AB367" i="25" s="1"/>
  <c r="AN349" i="25"/>
  <c r="Y350" i="25"/>
  <c r="J370" i="25" s="1"/>
  <c r="A389" i="25"/>
  <c r="A401" i="25"/>
  <c r="AM350" i="25"/>
  <c r="X370" i="25" s="1"/>
  <c r="AE350" i="25"/>
  <c r="P370" i="25" s="1"/>
  <c r="W350" i="25"/>
  <c r="H370" i="25" s="1"/>
  <c r="AR350" i="25"/>
  <c r="AC370" i="25" s="1"/>
  <c r="AJ350" i="25"/>
  <c r="U370" i="25" s="1"/>
  <c r="AB350" i="25"/>
  <c r="M370" i="25" s="1"/>
  <c r="T350" i="25"/>
  <c r="E370" i="25" s="1"/>
  <c r="AQ350" i="25"/>
  <c r="AB370" i="25" s="1"/>
  <c r="AI350" i="25"/>
  <c r="T370" i="25" s="1"/>
  <c r="AA350" i="25"/>
  <c r="L370" i="25" s="1"/>
  <c r="S350" i="25"/>
  <c r="D370" i="25" s="1"/>
  <c r="AC350" i="25"/>
  <c r="N370" i="25" s="1"/>
  <c r="AO350" i="25"/>
  <c r="Z370" i="25" s="1"/>
  <c r="X338" i="25"/>
  <c r="I358" i="25" s="1"/>
  <c r="AF338" i="25"/>
  <c r="Q358" i="25" s="1"/>
  <c r="AN338" i="25"/>
  <c r="Y358" i="25" s="1"/>
  <c r="Y347" i="25"/>
  <c r="J367" i="25" s="1"/>
  <c r="Q350" i="25"/>
  <c r="B370" i="25" s="1"/>
  <c r="AD350" i="25"/>
  <c r="O370" i="25" s="1"/>
  <c r="AP350" i="25"/>
  <c r="AA370" i="25" s="1"/>
  <c r="A392" i="25"/>
  <c r="A404" i="25"/>
  <c r="T335" i="25"/>
  <c r="E355" i="25" s="1"/>
  <c r="AB335" i="25"/>
  <c r="M355" i="25" s="1"/>
  <c r="AJ335" i="25"/>
  <c r="U355" i="25" s="1"/>
  <c r="Q338" i="25"/>
  <c r="B358" i="25" s="1"/>
  <c r="Y338" i="25"/>
  <c r="J358" i="25" s="1"/>
  <c r="AG338" i="25"/>
  <c r="R358" i="25" s="1"/>
  <c r="X339" i="25"/>
  <c r="I359" i="25" s="1"/>
  <c r="AF339" i="25"/>
  <c r="Q359" i="25" s="1"/>
  <c r="T343" i="25"/>
  <c r="E363" i="25" s="1"/>
  <c r="AB343" i="25"/>
  <c r="M363" i="25" s="1"/>
  <c r="AJ343" i="25"/>
  <c r="U363" i="25" s="1"/>
  <c r="AP347" i="25"/>
  <c r="AA367" i="25" s="1"/>
  <c r="AH347" i="25"/>
  <c r="S367" i="25" s="1"/>
  <c r="Z347" i="25"/>
  <c r="K367" i="25" s="1"/>
  <c r="R347" i="25"/>
  <c r="C367" i="25" s="1"/>
  <c r="AL347" i="25"/>
  <c r="W367" i="25" s="1"/>
  <c r="AD347" i="25"/>
  <c r="O367" i="25" s="1"/>
  <c r="V347" i="25"/>
  <c r="G367" i="25" s="1"/>
  <c r="AA347" i="25"/>
  <c r="L367" i="25" s="1"/>
  <c r="AK347" i="25"/>
  <c r="V367" i="25" s="1"/>
  <c r="R350" i="25"/>
  <c r="C370" i="25" s="1"/>
  <c r="AF350" i="25"/>
  <c r="Q370" i="25" s="1"/>
  <c r="A397" i="25"/>
  <c r="A385" i="25"/>
  <c r="AG350" i="25"/>
  <c r="R370" i="25" s="1"/>
  <c r="A391" i="25"/>
  <c r="A403" i="25"/>
  <c r="X345" i="25"/>
  <c r="I365" i="25" s="1"/>
  <c r="AF345" i="25"/>
  <c r="Q365" i="25" s="1"/>
  <c r="AN345" i="25"/>
  <c r="Y365" i="25" s="1"/>
  <c r="T349" i="25"/>
  <c r="AB349" i="25"/>
  <c r="AJ349" i="25"/>
  <c r="AR349" i="25"/>
  <c r="A402" i="25"/>
  <c r="A390" i="25"/>
  <c r="V370" i="25"/>
  <c r="A400" i="25"/>
  <c r="A388" i="25"/>
  <c r="T345" i="25"/>
  <c r="E365" i="25" s="1"/>
  <c r="AB345" i="25"/>
  <c r="M365" i="25" s="1"/>
  <c r="AJ345" i="25"/>
  <c r="U365" i="25" s="1"/>
  <c r="X349" i="25"/>
  <c r="AF349" i="25"/>
  <c r="AQ15" i="24"/>
  <c r="AB35" i="24" s="1"/>
  <c r="AR26" i="24"/>
  <c r="AN117" i="24"/>
  <c r="Y137" i="24" s="1"/>
  <c r="AD121" i="24"/>
  <c r="O141" i="24" s="1"/>
  <c r="Y125" i="24"/>
  <c r="J145" i="24" s="1"/>
  <c r="AP125" i="24"/>
  <c r="R229" i="24"/>
  <c r="C249" i="24" s="1"/>
  <c r="U231" i="24"/>
  <c r="F251" i="24" s="1"/>
  <c r="AM231" i="24"/>
  <c r="X251" i="24" s="1"/>
  <c r="AQ233" i="24"/>
  <c r="AB253" i="24" s="1"/>
  <c r="AJ12" i="24"/>
  <c r="U32" i="24" s="1"/>
  <c r="AE19" i="24"/>
  <c r="P39" i="24" s="1"/>
  <c r="AI22" i="24"/>
  <c r="T42" i="24" s="1"/>
  <c r="AM233" i="24"/>
  <c r="X253" i="24" s="1"/>
  <c r="AI17" i="24"/>
  <c r="T37" i="24" s="1"/>
  <c r="T55" i="24" s="1"/>
  <c r="AE118" i="24"/>
  <c r="P138" i="24" s="1"/>
  <c r="X121" i="24"/>
  <c r="I141" i="24" s="1"/>
  <c r="AB125" i="24"/>
  <c r="M145" i="24" s="1"/>
  <c r="S126" i="24"/>
  <c r="D146" i="24" s="1"/>
  <c r="AA229" i="24"/>
  <c r="L249" i="24" s="1"/>
  <c r="X231" i="24"/>
  <c r="I251" i="24" s="1"/>
  <c r="AQ231" i="24"/>
  <c r="AB251" i="24" s="1"/>
  <c r="Q236" i="24"/>
  <c r="B256" i="24" s="1"/>
  <c r="X340" i="24"/>
  <c r="I360" i="24" s="1"/>
  <c r="AL342" i="24"/>
  <c r="W362" i="24" s="1"/>
  <c r="AP11" i="24"/>
  <c r="AA31" i="24" s="1"/>
  <c r="AJ22" i="24"/>
  <c r="U42" i="24" s="1"/>
  <c r="AM225" i="24"/>
  <c r="X245" i="24" s="1"/>
  <c r="AB340" i="24"/>
  <c r="M360" i="24" s="1"/>
  <c r="AD234" i="24"/>
  <c r="O254" i="24" s="1"/>
  <c r="AJ118" i="24"/>
  <c r="U138" i="24" s="1"/>
  <c r="Y121" i="24"/>
  <c r="J141" i="24" s="1"/>
  <c r="AF125" i="24"/>
  <c r="Q145" i="24" s="1"/>
  <c r="Y126" i="24"/>
  <c r="J146" i="24" s="1"/>
  <c r="AG229" i="24"/>
  <c r="R249" i="24" s="1"/>
  <c r="AB231" i="24"/>
  <c r="M251" i="24" s="1"/>
  <c r="AR231" i="24"/>
  <c r="AC251" i="24" s="1"/>
  <c r="U236" i="24"/>
  <c r="F256" i="24" s="1"/>
  <c r="AO11" i="24"/>
  <c r="Z31" i="24" s="1"/>
  <c r="AQ340" i="24"/>
  <c r="AB360" i="24" s="1"/>
  <c r="AJ343" i="24"/>
  <c r="U363" i="24" s="1"/>
  <c r="Y12" i="24"/>
  <c r="J32" i="24" s="1"/>
  <c r="AG121" i="24"/>
  <c r="R141" i="24" s="1"/>
  <c r="AJ125" i="24"/>
  <c r="U145" i="24" s="1"/>
  <c r="AH125" i="24"/>
  <c r="S145" i="24" s="1"/>
  <c r="Z126" i="24"/>
  <c r="K146" i="24" s="1"/>
  <c r="AK229" i="24"/>
  <c r="V249" i="24" s="1"/>
  <c r="AC231" i="24"/>
  <c r="N251" i="24" s="1"/>
  <c r="Q233" i="24"/>
  <c r="B253" i="24" s="1"/>
  <c r="X236" i="24"/>
  <c r="I256" i="24" s="1"/>
  <c r="AD15" i="24"/>
  <c r="O35" i="24" s="1"/>
  <c r="R117" i="24"/>
  <c r="C137" i="24" s="1"/>
  <c r="R125" i="24"/>
  <c r="C145" i="24" s="1"/>
  <c r="T229" i="24"/>
  <c r="E249" i="24" s="1"/>
  <c r="AL229" i="24"/>
  <c r="W249" i="24" s="1"/>
  <c r="AJ231" i="24"/>
  <c r="U251" i="24" s="1"/>
  <c r="AG236" i="24"/>
  <c r="R256" i="24" s="1"/>
  <c r="Q15" i="24"/>
  <c r="B35" i="24" s="1"/>
  <c r="X26" i="24"/>
  <c r="U226" i="24"/>
  <c r="F246" i="24" s="1"/>
  <c r="AK233" i="24"/>
  <c r="V253" i="24" s="1"/>
  <c r="AF240" i="24"/>
  <c r="AJ240" i="24"/>
  <c r="AG240" i="24"/>
  <c r="S240" i="24"/>
  <c r="U240" i="24"/>
  <c r="AQ240" i="24"/>
  <c r="AM240" i="24"/>
  <c r="W240" i="24"/>
  <c r="Y132" i="24"/>
  <c r="AQ342" i="24"/>
  <c r="AB362" i="24" s="1"/>
  <c r="AN342" i="24"/>
  <c r="Y362" i="24" s="1"/>
  <c r="V342" i="24"/>
  <c r="G362" i="24" s="1"/>
  <c r="AB343" i="24"/>
  <c r="M363" i="24" s="1"/>
  <c r="Y342" i="24"/>
  <c r="J362" i="24" s="1"/>
  <c r="AG343" i="24"/>
  <c r="R363" i="24" s="1"/>
  <c r="Z342" i="24"/>
  <c r="K362" i="24" s="1"/>
  <c r="AD342" i="24"/>
  <c r="O362" i="24" s="1"/>
  <c r="Z233" i="24"/>
  <c r="K253" i="24" s="1"/>
  <c r="AO234" i="24"/>
  <c r="Z254" i="24" s="1"/>
  <c r="W236" i="24"/>
  <c r="H256" i="24" s="1"/>
  <c r="AN236" i="24"/>
  <c r="Y256" i="24" s="1"/>
  <c r="AC233" i="24"/>
  <c r="N253" i="24" s="1"/>
  <c r="Z234" i="24"/>
  <c r="K254" i="24" s="1"/>
  <c r="AB236" i="24"/>
  <c r="M256" i="24" s="1"/>
  <c r="AR236" i="24"/>
  <c r="AC256" i="24" s="1"/>
  <c r="AI233" i="24"/>
  <c r="T253" i="24" s="1"/>
  <c r="AG233" i="24"/>
  <c r="R253" i="24" s="1"/>
  <c r="AC236" i="24"/>
  <c r="N256" i="24" s="1"/>
  <c r="AN233" i="24"/>
  <c r="Y253" i="24" s="1"/>
  <c r="AJ236" i="24"/>
  <c r="U256" i="24" s="1"/>
  <c r="R233" i="24"/>
  <c r="C253" i="24" s="1"/>
  <c r="S236" i="24"/>
  <c r="D256" i="24" s="1"/>
  <c r="AA145" i="24"/>
  <c r="AD340" i="24"/>
  <c r="O360" i="24" s="1"/>
  <c r="AO340" i="24"/>
  <c r="Z360" i="24" s="1"/>
  <c r="AF340" i="24"/>
  <c r="Q360" i="24" s="1"/>
  <c r="Q378" i="24" s="1"/>
  <c r="W340" i="24"/>
  <c r="H360" i="24" s="1"/>
  <c r="AM229" i="24"/>
  <c r="X249" i="24" s="1"/>
  <c r="Z229" i="24"/>
  <c r="K249" i="24" s="1"/>
  <c r="AC225" i="24"/>
  <c r="N245" i="24" s="1"/>
  <c r="AN225" i="24"/>
  <c r="Y245" i="24" s="1"/>
  <c r="AH226" i="24"/>
  <c r="S246" i="24" s="1"/>
  <c r="R225" i="24"/>
  <c r="C245" i="24" s="1"/>
  <c r="AJ226" i="24"/>
  <c r="U246" i="24" s="1"/>
  <c r="W225" i="24"/>
  <c r="H245" i="24" s="1"/>
  <c r="AA225" i="24"/>
  <c r="L245" i="24" s="1"/>
  <c r="Z226" i="24"/>
  <c r="K246" i="24" s="1"/>
  <c r="Y226" i="24"/>
  <c r="J246" i="24" s="1"/>
  <c r="AK225" i="24"/>
  <c r="V245" i="24" s="1"/>
  <c r="AF117" i="24"/>
  <c r="Q137" i="24" s="1"/>
  <c r="AO118" i="24"/>
  <c r="Z138" i="24" s="1"/>
  <c r="W26" i="24"/>
  <c r="AJ26" i="24"/>
  <c r="W22" i="24"/>
  <c r="H42" i="24" s="1"/>
  <c r="X22" i="24"/>
  <c r="I42" i="24" s="1"/>
  <c r="Z19" i="24"/>
  <c r="K39" i="24" s="1"/>
  <c r="AG19" i="24"/>
  <c r="R39" i="24" s="1"/>
  <c r="Q19" i="24"/>
  <c r="B39" i="24" s="1"/>
  <c r="AM19" i="24"/>
  <c r="X39" i="24" s="1"/>
  <c r="R19" i="24"/>
  <c r="C39" i="24" s="1"/>
  <c r="AP19" i="24"/>
  <c r="AA39" i="24" s="1"/>
  <c r="U19" i="24"/>
  <c r="F39" i="24" s="1"/>
  <c r="AQ19" i="24"/>
  <c r="AB39" i="24" s="1"/>
  <c r="AC19" i="24"/>
  <c r="N39" i="24" s="1"/>
  <c r="AK19" i="24"/>
  <c r="V39" i="24" s="1"/>
  <c r="AO19" i="24"/>
  <c r="Z39" i="24" s="1"/>
  <c r="S19" i="24"/>
  <c r="D39" i="24" s="1"/>
  <c r="AL19" i="24"/>
  <c r="W39" i="24" s="1"/>
  <c r="V19" i="24"/>
  <c r="G39" i="24" s="1"/>
  <c r="X17" i="24"/>
  <c r="I37" i="24" s="1"/>
  <c r="AG17" i="24"/>
  <c r="R37" i="24" s="1"/>
  <c r="V15" i="24"/>
  <c r="G35" i="24" s="1"/>
  <c r="AC15" i="24"/>
  <c r="N35" i="24" s="1"/>
  <c r="AE15" i="24"/>
  <c r="P35" i="24" s="1"/>
  <c r="AK15" i="24"/>
  <c r="V35" i="24" s="1"/>
  <c r="AO15" i="24"/>
  <c r="Z35" i="24" s="1"/>
  <c r="R15" i="24"/>
  <c r="C35" i="24" s="1"/>
  <c r="AG15" i="24"/>
  <c r="R35" i="24" s="1"/>
  <c r="S15" i="24"/>
  <c r="D35" i="24" s="1"/>
  <c r="AL15" i="24"/>
  <c r="W35" i="24" s="1"/>
  <c r="U15" i="24"/>
  <c r="F35" i="24" s="1"/>
  <c r="AM15" i="24"/>
  <c r="X35" i="24" s="1"/>
  <c r="Q11" i="24"/>
  <c r="B31" i="24" s="1"/>
  <c r="AG11" i="24"/>
  <c r="R31" i="24" s="1"/>
  <c r="AL11" i="24"/>
  <c r="W31" i="24" s="1"/>
  <c r="V11" i="24"/>
  <c r="G31" i="24" s="1"/>
  <c r="AM11" i="24"/>
  <c r="X31" i="24" s="1"/>
  <c r="AI11" i="24"/>
  <c r="T31" i="24" s="1"/>
  <c r="AA11" i="24"/>
  <c r="L31" i="24" s="1"/>
  <c r="A65" i="24"/>
  <c r="A77" i="24"/>
  <c r="A76" i="24"/>
  <c r="A64" i="24"/>
  <c r="A66" i="24"/>
  <c r="A78" i="24"/>
  <c r="A80" i="24"/>
  <c r="A68" i="24"/>
  <c r="Q12" i="24"/>
  <c r="B32" i="24" s="1"/>
  <c r="AL12" i="24"/>
  <c r="W32" i="24" s="1"/>
  <c r="AC12" i="24"/>
  <c r="N32" i="24" s="1"/>
  <c r="AN12" i="24"/>
  <c r="Y32" i="24" s="1"/>
  <c r="AK13" i="24"/>
  <c r="V33" i="24" s="1"/>
  <c r="X14" i="24"/>
  <c r="I34" i="24" s="1"/>
  <c r="R16" i="24"/>
  <c r="C36" i="24" s="1"/>
  <c r="AP17" i="24"/>
  <c r="AA37" i="24" s="1"/>
  <c r="AH17" i="24"/>
  <c r="S37" i="24" s="1"/>
  <c r="Z17" i="24"/>
  <c r="K37" i="24" s="1"/>
  <c r="R17" i="24"/>
  <c r="C37" i="24" s="1"/>
  <c r="AL17" i="24"/>
  <c r="W37" i="24" s="1"/>
  <c r="AD17" i="24"/>
  <c r="O37" i="24" s="1"/>
  <c r="V17" i="24"/>
  <c r="G37" i="24" s="1"/>
  <c r="T12" i="24"/>
  <c r="E32" i="24" s="1"/>
  <c r="AO12" i="24"/>
  <c r="Z32" i="24" s="1"/>
  <c r="AM13" i="24"/>
  <c r="X33" i="24" s="1"/>
  <c r="Z14" i="24"/>
  <c r="K34" i="24" s="1"/>
  <c r="AD16" i="24"/>
  <c r="O36" i="24" s="1"/>
  <c r="Q17" i="24"/>
  <c r="B37" i="24" s="1"/>
  <c r="AB17" i="24"/>
  <c r="M37" i="24" s="1"/>
  <c r="AD20" i="24"/>
  <c r="O40" i="24" s="1"/>
  <c r="Q22" i="24"/>
  <c r="B42" i="24" s="1"/>
  <c r="AM22" i="24"/>
  <c r="X42" i="24" s="1"/>
  <c r="Z23" i="24"/>
  <c r="K43" i="24" s="1"/>
  <c r="AQ24" i="24"/>
  <c r="AB44" i="24" s="1"/>
  <c r="T25" i="24"/>
  <c r="AO25" i="24"/>
  <c r="Q26" i="24"/>
  <c r="AB26" i="24"/>
  <c r="AM26" i="24"/>
  <c r="Z27" i="24"/>
  <c r="K47" i="24" s="1"/>
  <c r="AJ27" i="24"/>
  <c r="U47" i="24" s="1"/>
  <c r="W11" i="24"/>
  <c r="H31" i="24" s="1"/>
  <c r="AH11" i="24"/>
  <c r="S31" i="24" s="1"/>
  <c r="U12" i="24"/>
  <c r="F32" i="24" s="1"/>
  <c r="AF12" i="24"/>
  <c r="Q32" i="24" s="1"/>
  <c r="AP12" i="24"/>
  <c r="AA32" i="24" s="1"/>
  <c r="S13" i="24"/>
  <c r="D33" i="24" s="1"/>
  <c r="AC13" i="24"/>
  <c r="N33" i="24" s="1"/>
  <c r="AK14" i="24"/>
  <c r="V34" i="24" s="1"/>
  <c r="AC14" i="24"/>
  <c r="N34" i="24" s="1"/>
  <c r="U14" i="24"/>
  <c r="F34" i="24" s="1"/>
  <c r="AO14" i="24"/>
  <c r="Z34" i="24" s="1"/>
  <c r="AG14" i="24"/>
  <c r="R34" i="24" s="1"/>
  <c r="Y14" i="24"/>
  <c r="J34" i="24" s="1"/>
  <c r="Q14" i="24"/>
  <c r="B34" i="24" s="1"/>
  <c r="AA14" i="24"/>
  <c r="L34" i="24" s="1"/>
  <c r="AL14" i="24"/>
  <c r="W34" i="24" s="1"/>
  <c r="W15" i="24"/>
  <c r="H35" i="24" s="1"/>
  <c r="AH15" i="24"/>
  <c r="S35" i="24" s="1"/>
  <c r="U16" i="24"/>
  <c r="F36" i="24" s="1"/>
  <c r="AF16" i="24"/>
  <c r="Q36" i="24" s="1"/>
  <c r="S17" i="24"/>
  <c r="D37" i="24" s="1"/>
  <c r="AC17" i="24"/>
  <c r="N37" i="24" s="1"/>
  <c r="AN17" i="24"/>
  <c r="Y37" i="24" s="1"/>
  <c r="AO18" i="24"/>
  <c r="Z38" i="24" s="1"/>
  <c r="AG18" i="24"/>
  <c r="R38" i="24" s="1"/>
  <c r="Y18" i="24"/>
  <c r="J38" i="24" s="1"/>
  <c r="Q18" i="24"/>
  <c r="B38" i="24" s="1"/>
  <c r="AK18" i="24"/>
  <c r="V38" i="24" s="1"/>
  <c r="AC18" i="24"/>
  <c r="N38" i="24" s="1"/>
  <c r="U18" i="24"/>
  <c r="F38" i="24" s="1"/>
  <c r="AA18" i="24"/>
  <c r="L38" i="24" s="1"/>
  <c r="AL18" i="24"/>
  <c r="W38" i="24" s="1"/>
  <c r="W19" i="24"/>
  <c r="H39" i="24" s="1"/>
  <c r="AH19" i="24"/>
  <c r="S39" i="24" s="1"/>
  <c r="U20" i="24"/>
  <c r="F40" i="24" s="1"/>
  <c r="AF20" i="24"/>
  <c r="Q40" i="24" s="1"/>
  <c r="AP20" i="24"/>
  <c r="AA40" i="24" s="1"/>
  <c r="S22" i="24"/>
  <c r="D42" i="24" s="1"/>
  <c r="AC22" i="24"/>
  <c r="N42" i="24" s="1"/>
  <c r="AN22" i="24"/>
  <c r="Y42" i="24" s="1"/>
  <c r="AK23" i="24"/>
  <c r="V43" i="24" s="1"/>
  <c r="AC23" i="24"/>
  <c r="N43" i="24" s="1"/>
  <c r="U23" i="24"/>
  <c r="F43" i="24" s="1"/>
  <c r="AO23" i="24"/>
  <c r="Z43" i="24" s="1"/>
  <c r="AG23" i="24"/>
  <c r="R43" i="24" s="1"/>
  <c r="Y23" i="24"/>
  <c r="J43" i="24" s="1"/>
  <c r="Q23" i="24"/>
  <c r="B43" i="24" s="1"/>
  <c r="AA23" i="24"/>
  <c r="L43" i="24" s="1"/>
  <c r="AL23" i="24"/>
  <c r="W43" i="24" s="1"/>
  <c r="W24" i="24"/>
  <c r="H44" i="24" s="1"/>
  <c r="AH24" i="24"/>
  <c r="S44" i="24" s="1"/>
  <c r="U25" i="24"/>
  <c r="AF25" i="24"/>
  <c r="AP25" i="24"/>
  <c r="S26" i="24"/>
  <c r="AC26" i="24"/>
  <c r="AN26" i="24"/>
  <c r="AO27" i="24"/>
  <c r="Z47" i="24" s="1"/>
  <c r="AG27" i="24"/>
  <c r="R47" i="24" s="1"/>
  <c r="Y27" i="24"/>
  <c r="J47" i="24" s="1"/>
  <c r="Q27" i="24"/>
  <c r="B47" i="24" s="1"/>
  <c r="AK27" i="24"/>
  <c r="V47" i="24" s="1"/>
  <c r="AC27" i="24"/>
  <c r="N47" i="24" s="1"/>
  <c r="U27" i="24"/>
  <c r="F47" i="24" s="1"/>
  <c r="AA27" i="24"/>
  <c r="L47" i="24" s="1"/>
  <c r="AL27" i="24"/>
  <c r="W47" i="24" s="1"/>
  <c r="AM117" i="24"/>
  <c r="X137" i="24" s="1"/>
  <c r="AE117" i="24"/>
  <c r="P137" i="24" s="1"/>
  <c r="W117" i="24"/>
  <c r="H137" i="24" s="1"/>
  <c r="AL117" i="24"/>
  <c r="W137" i="24" s="1"/>
  <c r="AD117" i="24"/>
  <c r="O137" i="24" s="1"/>
  <c r="V117" i="24"/>
  <c r="G137" i="24" s="1"/>
  <c r="AK117" i="24"/>
  <c r="V137" i="24" s="1"/>
  <c r="AA117" i="24"/>
  <c r="L137" i="24" s="1"/>
  <c r="Q117" i="24"/>
  <c r="B137" i="24" s="1"/>
  <c r="AQ117" i="24"/>
  <c r="AB137" i="24" s="1"/>
  <c r="AG117" i="24"/>
  <c r="R137" i="24" s="1"/>
  <c r="U117" i="24"/>
  <c r="F137" i="24" s="1"/>
  <c r="AP117" i="24"/>
  <c r="AA137" i="24" s="1"/>
  <c r="AB117" i="24"/>
  <c r="M137" i="24" s="1"/>
  <c r="AO117" i="24"/>
  <c r="Z137" i="24" s="1"/>
  <c r="Z117" i="24"/>
  <c r="K137" i="24" s="1"/>
  <c r="AJ117" i="24"/>
  <c r="U137" i="24" s="1"/>
  <c r="X117" i="24"/>
  <c r="I137" i="24" s="1"/>
  <c r="AH117" i="24"/>
  <c r="S137" i="24" s="1"/>
  <c r="S117" i="24"/>
  <c r="D137" i="24" s="1"/>
  <c r="AR117" i="24"/>
  <c r="AC137" i="24" s="1"/>
  <c r="Z118" i="24"/>
  <c r="K138" i="24" s="1"/>
  <c r="AM119" i="24"/>
  <c r="X139" i="24" s="1"/>
  <c r="X119" i="24"/>
  <c r="I139" i="24" s="1"/>
  <c r="AG119" i="24"/>
  <c r="R139" i="24" s="1"/>
  <c r="R119" i="24"/>
  <c r="C139" i="24" s="1"/>
  <c r="AH119" i="24"/>
  <c r="S139" i="24" s="1"/>
  <c r="R120" i="24"/>
  <c r="C140" i="24" s="1"/>
  <c r="AR122" i="24"/>
  <c r="AC142" i="24" s="1"/>
  <c r="Z12" i="24"/>
  <c r="K32" i="24" s="1"/>
  <c r="AK12" i="24"/>
  <c r="V32" i="24" s="1"/>
  <c r="AQ16" i="24"/>
  <c r="AB36" i="24" s="1"/>
  <c r="AI16" i="24"/>
  <c r="T36" i="24" s="1"/>
  <c r="AA16" i="24"/>
  <c r="L36" i="24" s="1"/>
  <c r="S16" i="24"/>
  <c r="D36" i="24" s="1"/>
  <c r="AM16" i="24"/>
  <c r="X36" i="24" s="1"/>
  <c r="AE16" i="24"/>
  <c r="P36" i="24" s="1"/>
  <c r="W16" i="24"/>
  <c r="H36" i="24" s="1"/>
  <c r="AL13" i="24"/>
  <c r="W33" i="24" s="1"/>
  <c r="AD13" i="24"/>
  <c r="O33" i="24" s="1"/>
  <c r="V13" i="24"/>
  <c r="G33" i="24" s="1"/>
  <c r="AP13" i="24"/>
  <c r="AA33" i="24" s="1"/>
  <c r="AH13" i="24"/>
  <c r="S33" i="24" s="1"/>
  <c r="Z13" i="24"/>
  <c r="K33" i="24" s="1"/>
  <c r="R13" i="24"/>
  <c r="C33" i="24" s="1"/>
  <c r="AI14" i="24"/>
  <c r="T34" i="24" s="1"/>
  <c r="V12" i="24"/>
  <c r="G32" i="24" s="1"/>
  <c r="T13" i="24"/>
  <c r="E33" i="24" s="1"/>
  <c r="AO13" i="24"/>
  <c r="Z33" i="24" s="1"/>
  <c r="AB14" i="24"/>
  <c r="M34" i="24" s="1"/>
  <c r="AG16" i="24"/>
  <c r="R36" i="24" s="1"/>
  <c r="T17" i="24"/>
  <c r="E37" i="24" s="1"/>
  <c r="AE17" i="24"/>
  <c r="P37" i="24" s="1"/>
  <c r="AB18" i="24"/>
  <c r="M38" i="24" s="1"/>
  <c r="AI19" i="24"/>
  <c r="T39" i="24" s="1"/>
  <c r="V20" i="24"/>
  <c r="G40" i="24" s="1"/>
  <c r="T22" i="24"/>
  <c r="E42" i="24" s="1"/>
  <c r="AO22" i="24"/>
  <c r="Z42" i="24" s="1"/>
  <c r="AB23" i="24"/>
  <c r="M43" i="24" s="1"/>
  <c r="AR25" i="24"/>
  <c r="AE26" i="24"/>
  <c r="AB27" i="24"/>
  <c r="M47" i="24" s="1"/>
  <c r="R12" i="24"/>
  <c r="C32" i="24" s="1"/>
  <c r="AN16" i="24"/>
  <c r="Y36" i="24" s="1"/>
  <c r="AK17" i="24"/>
  <c r="V37" i="24" s="1"/>
  <c r="AI18" i="24"/>
  <c r="T38" i="24" s="1"/>
  <c r="AB13" i="24"/>
  <c r="M33" i="24" s="1"/>
  <c r="AG12" i="24"/>
  <c r="R32" i="24" s="1"/>
  <c r="AR12" i="24"/>
  <c r="AC32" i="24" s="1"/>
  <c r="AE13" i="24"/>
  <c r="P33" i="24" s="1"/>
  <c r="R14" i="24"/>
  <c r="C34" i="24" s="1"/>
  <c r="AM14" i="24"/>
  <c r="X34" i="24" s="1"/>
  <c r="Y15" i="24"/>
  <c r="J35" i="24" s="1"/>
  <c r="AI15" i="24"/>
  <c r="T35" i="24" s="1"/>
  <c r="V16" i="24"/>
  <c r="G36" i="24" s="1"/>
  <c r="AR16" i="24"/>
  <c r="AC36" i="24" s="1"/>
  <c r="AO17" i="24"/>
  <c r="Z37" i="24" s="1"/>
  <c r="R18" i="24"/>
  <c r="C38" i="24" s="1"/>
  <c r="AM18" i="24"/>
  <c r="X38" i="24" s="1"/>
  <c r="Y19" i="24"/>
  <c r="J39" i="24" s="1"/>
  <c r="AG20" i="24"/>
  <c r="R40" i="24" s="1"/>
  <c r="AR20" i="24"/>
  <c r="AC40" i="24" s="1"/>
  <c r="AE22" i="24"/>
  <c r="P42" i="24" s="1"/>
  <c r="R23" i="24"/>
  <c r="C43" i="24" s="1"/>
  <c r="AM23" i="24"/>
  <c r="X43" i="24" s="1"/>
  <c r="Y24" i="24"/>
  <c r="J44" i="24" s="1"/>
  <c r="V25" i="24"/>
  <c r="AG25" i="24"/>
  <c r="T26" i="24"/>
  <c r="AO26" i="24"/>
  <c r="R27" i="24"/>
  <c r="C47" i="24" s="1"/>
  <c r="AM27" i="24"/>
  <c r="X47" i="24" s="1"/>
  <c r="AN11" i="24"/>
  <c r="Y31" i="24" s="1"/>
  <c r="Z11" i="24"/>
  <c r="K31" i="24" s="1"/>
  <c r="X12" i="24"/>
  <c r="I32" i="24" s="1"/>
  <c r="U13" i="24"/>
  <c r="F33" i="24" s="1"/>
  <c r="AF13" i="24"/>
  <c r="Q33" i="24" s="1"/>
  <c r="AQ13" i="24"/>
  <c r="AB33" i="24" s="1"/>
  <c r="S14" i="24"/>
  <c r="D34" i="24" s="1"/>
  <c r="AD14" i="24"/>
  <c r="O34" i="24" s="1"/>
  <c r="AN14" i="24"/>
  <c r="Y34" i="24" s="1"/>
  <c r="AR15" i="24"/>
  <c r="AC35" i="24" s="1"/>
  <c r="X16" i="24"/>
  <c r="I36" i="24" s="1"/>
  <c r="AH16" i="24"/>
  <c r="S36" i="24" s="1"/>
  <c r="U17" i="24"/>
  <c r="F37" i="24" s="1"/>
  <c r="AF17" i="24"/>
  <c r="Q37" i="24" s="1"/>
  <c r="AQ17" i="24"/>
  <c r="AB37" i="24" s="1"/>
  <c r="S18" i="24"/>
  <c r="D38" i="24" s="1"/>
  <c r="AD18" i="24"/>
  <c r="O38" i="24" s="1"/>
  <c r="AN18" i="24"/>
  <c r="Y38" i="24" s="1"/>
  <c r="AN19" i="24"/>
  <c r="Y39" i="24" s="1"/>
  <c r="X20" i="24"/>
  <c r="I40" i="24" s="1"/>
  <c r="U22" i="24"/>
  <c r="F42" i="24" s="1"/>
  <c r="AF22" i="24"/>
  <c r="Q42" i="24" s="1"/>
  <c r="AQ22" i="24"/>
  <c r="AB42" i="24" s="1"/>
  <c r="S23" i="24"/>
  <c r="D43" i="24" s="1"/>
  <c r="AD23" i="24"/>
  <c r="O43" i="24" s="1"/>
  <c r="AN23" i="24"/>
  <c r="Y43" i="24" s="1"/>
  <c r="AR24" i="24"/>
  <c r="AC44" i="24" s="1"/>
  <c r="Z24" i="24"/>
  <c r="K44" i="24" s="1"/>
  <c r="X25" i="24"/>
  <c r="U26" i="24"/>
  <c r="AF26" i="24"/>
  <c r="AQ26" i="24"/>
  <c r="S27" i="24"/>
  <c r="D47" i="24" s="1"/>
  <c r="AD27" i="24"/>
  <c r="O47" i="24" s="1"/>
  <c r="AN27" i="24"/>
  <c r="Y47" i="24" s="1"/>
  <c r="A69" i="24"/>
  <c r="T117" i="24"/>
  <c r="E137" i="24" s="1"/>
  <c r="AI118" i="24"/>
  <c r="T138" i="24" s="1"/>
  <c r="AP119" i="24"/>
  <c r="AA139" i="24" s="1"/>
  <c r="X120" i="24"/>
  <c r="I140" i="24" s="1"/>
  <c r="AR121" i="24"/>
  <c r="AC141" i="24" s="1"/>
  <c r="AF121" i="24"/>
  <c r="Q141" i="24" s="1"/>
  <c r="V121" i="24"/>
  <c r="G141" i="24" s="1"/>
  <c r="AK121" i="24"/>
  <c r="V141" i="24" s="1"/>
  <c r="W121" i="24"/>
  <c r="H141" i="24" s="1"/>
  <c r="AJ121" i="24"/>
  <c r="U141" i="24" s="1"/>
  <c r="U121" i="24"/>
  <c r="F141" i="24" s="1"/>
  <c r="AE121" i="24"/>
  <c r="P141" i="24" s="1"/>
  <c r="Q121" i="24"/>
  <c r="B141" i="24" s="1"/>
  <c r="AO121" i="24"/>
  <c r="Z141" i="24" s="1"/>
  <c r="AC121" i="24"/>
  <c r="N141" i="24" s="1"/>
  <c r="AM121" i="24"/>
  <c r="X141" i="24" s="1"/>
  <c r="T122" i="24"/>
  <c r="E142" i="24" s="1"/>
  <c r="W122" i="24"/>
  <c r="H142" i="24" s="1"/>
  <c r="AK16" i="24"/>
  <c r="V36" i="24" s="1"/>
  <c r="AM20" i="24"/>
  <c r="X40" i="24" s="1"/>
  <c r="AE20" i="24"/>
  <c r="P40" i="24" s="1"/>
  <c r="W20" i="24"/>
  <c r="H40" i="24" s="1"/>
  <c r="AQ20" i="24"/>
  <c r="AB40" i="24" s="1"/>
  <c r="AI20" i="24"/>
  <c r="T40" i="24" s="1"/>
  <c r="AA20" i="24"/>
  <c r="L40" i="24" s="1"/>
  <c r="S20" i="24"/>
  <c r="D40" i="24" s="1"/>
  <c r="Z20" i="24"/>
  <c r="K40" i="24" s="1"/>
  <c r="AK20" i="24"/>
  <c r="V40" i="24" s="1"/>
  <c r="AQ25" i="24"/>
  <c r="AI25" i="24"/>
  <c r="AA25" i="24"/>
  <c r="S25" i="24"/>
  <c r="AM25" i="24"/>
  <c r="AE25" i="24"/>
  <c r="W25" i="24"/>
  <c r="Z25" i="24"/>
  <c r="AK25" i="24"/>
  <c r="AF27" i="24"/>
  <c r="Q47" i="24" s="1"/>
  <c r="AQ27" i="24"/>
  <c r="AB47" i="24" s="1"/>
  <c r="A75" i="24"/>
  <c r="A63" i="24"/>
  <c r="AF120" i="24"/>
  <c r="Q140" i="24" s="1"/>
  <c r="AB122" i="24"/>
  <c r="M142" i="24" s="1"/>
  <c r="Q16" i="24"/>
  <c r="B36" i="24" s="1"/>
  <c r="AB16" i="24"/>
  <c r="M36" i="24" s="1"/>
  <c r="AL16" i="24"/>
  <c r="W36" i="24" s="1"/>
  <c r="Y17" i="24"/>
  <c r="J37" i="24" s="1"/>
  <c r="AJ17" i="24"/>
  <c r="U37" i="24" s="1"/>
  <c r="W18" i="24"/>
  <c r="H38" i="24" s="1"/>
  <c r="AH18" i="24"/>
  <c r="S38" i="24" s="1"/>
  <c r="AR18" i="24"/>
  <c r="AC38" i="24" s="1"/>
  <c r="Q20" i="24"/>
  <c r="B40" i="24" s="1"/>
  <c r="AB20" i="24"/>
  <c r="M40" i="24" s="1"/>
  <c r="AL20" i="24"/>
  <c r="W40" i="24" s="1"/>
  <c r="Y22" i="24"/>
  <c r="J42" i="24" s="1"/>
  <c r="W23" i="24"/>
  <c r="H43" i="24" s="1"/>
  <c r="AH23" i="24"/>
  <c r="S43" i="24" s="1"/>
  <c r="AR23" i="24"/>
  <c r="AC43" i="24" s="1"/>
  <c r="Q25" i="24"/>
  <c r="AB25" i="24"/>
  <c r="AL25" i="24"/>
  <c r="Y26" i="24"/>
  <c r="W27" i="24"/>
  <c r="H47" i="24" s="1"/>
  <c r="AH27" i="24"/>
  <c r="S47" i="24" s="1"/>
  <c r="AR27" i="24"/>
  <c r="AC47" i="24" s="1"/>
  <c r="AL118" i="24"/>
  <c r="W138" i="24" s="1"/>
  <c r="AD118" i="24"/>
  <c r="O138" i="24" s="1"/>
  <c r="V118" i="24"/>
  <c r="G138" i="24" s="1"/>
  <c r="AK118" i="24"/>
  <c r="V138" i="24" s="1"/>
  <c r="AC118" i="24"/>
  <c r="N138" i="24" s="1"/>
  <c r="U118" i="24"/>
  <c r="F138" i="24" s="1"/>
  <c r="AR118" i="24"/>
  <c r="AC138" i="24" s="1"/>
  <c r="AH118" i="24"/>
  <c r="S138" i="24" s="1"/>
  <c r="X118" i="24"/>
  <c r="I138" i="24" s="1"/>
  <c r="AN118" i="24"/>
  <c r="Y138" i="24" s="1"/>
  <c r="AB118" i="24"/>
  <c r="M138" i="24" s="1"/>
  <c r="R118" i="24"/>
  <c r="C138" i="24" s="1"/>
  <c r="AG118" i="24"/>
  <c r="R138" i="24" s="1"/>
  <c r="S118" i="24"/>
  <c r="D138" i="24" s="1"/>
  <c r="AF118" i="24"/>
  <c r="Q138" i="24" s="1"/>
  <c r="Q118" i="24"/>
  <c r="B138" i="24" s="1"/>
  <c r="AP118" i="24"/>
  <c r="AA138" i="24" s="1"/>
  <c r="AA118" i="24"/>
  <c r="L138" i="24" s="1"/>
  <c r="AM118" i="24"/>
  <c r="X138" i="24" s="1"/>
  <c r="Y118" i="24"/>
  <c r="J138" i="24" s="1"/>
  <c r="AQ118" i="24"/>
  <c r="AB138" i="24" s="1"/>
  <c r="AF122" i="24"/>
  <c r="Q142" i="24" s="1"/>
  <c r="AA13" i="24"/>
  <c r="L33" i="24" s="1"/>
  <c r="AC16" i="24"/>
  <c r="N36" i="24" s="1"/>
  <c r="AA17" i="24"/>
  <c r="L37" i="24" s="1"/>
  <c r="X18" i="24"/>
  <c r="I38" i="24" s="1"/>
  <c r="R20" i="24"/>
  <c r="C40" i="24" s="1"/>
  <c r="AC20" i="24"/>
  <c r="N40" i="24" s="1"/>
  <c r="AN20" i="24"/>
  <c r="Y40" i="24" s="1"/>
  <c r="AL22" i="24"/>
  <c r="W42" i="24" s="1"/>
  <c r="AD22" i="24"/>
  <c r="O42" i="24" s="1"/>
  <c r="V22" i="24"/>
  <c r="G42" i="24" s="1"/>
  <c r="AP22" i="24"/>
  <c r="AA42" i="24" s="1"/>
  <c r="AH22" i="24"/>
  <c r="S42" i="24" s="1"/>
  <c r="Z22" i="24"/>
  <c r="K42" i="24" s="1"/>
  <c r="R22" i="24"/>
  <c r="C42" i="24" s="1"/>
  <c r="AA22" i="24"/>
  <c r="L42" i="24" s="1"/>
  <c r="AK22" i="24"/>
  <c r="V42" i="24" s="1"/>
  <c r="X23" i="24"/>
  <c r="I43" i="24" s="1"/>
  <c r="AI23" i="24"/>
  <c r="T43" i="24" s="1"/>
  <c r="R25" i="24"/>
  <c r="AC25" i="24"/>
  <c r="AN25" i="24"/>
  <c r="AP26" i="24"/>
  <c r="AH26" i="24"/>
  <c r="Z26" i="24"/>
  <c r="R26" i="24"/>
  <c r="AL26" i="24"/>
  <c r="AD26" i="24"/>
  <c r="V26" i="24"/>
  <c r="AA26" i="24"/>
  <c r="AK26" i="24"/>
  <c r="X27" i="24"/>
  <c r="I47" i="24" s="1"/>
  <c r="A62" i="24"/>
  <c r="AI122" i="24"/>
  <c r="T142" i="24" s="1"/>
  <c r="AM12" i="24"/>
  <c r="X32" i="24" s="1"/>
  <c r="AE12" i="24"/>
  <c r="P32" i="24" s="1"/>
  <c r="W12" i="24"/>
  <c r="H32" i="24" s="1"/>
  <c r="AQ12" i="24"/>
  <c r="AB32" i="24" s="1"/>
  <c r="AI12" i="24"/>
  <c r="T32" i="24" s="1"/>
  <c r="AA12" i="24"/>
  <c r="L32" i="24" s="1"/>
  <c r="S12" i="24"/>
  <c r="D32" i="24" s="1"/>
  <c r="AB12" i="24"/>
  <c r="M32" i="24" s="1"/>
  <c r="AD12" i="24"/>
  <c r="O32" i="24" s="1"/>
  <c r="Q13" i="24"/>
  <c r="B33" i="24" s="1"/>
  <c r="T16" i="24"/>
  <c r="E36" i="24" s="1"/>
  <c r="AO16" i="24"/>
  <c r="Z36" i="24" s="1"/>
  <c r="AM17" i="24"/>
  <c r="X37" i="24" s="1"/>
  <c r="Z18" i="24"/>
  <c r="K38" i="24" s="1"/>
  <c r="T20" i="24"/>
  <c r="E40" i="24" s="1"/>
  <c r="AO20" i="24"/>
  <c r="Z40" i="24" s="1"/>
  <c r="AB22" i="24"/>
  <c r="M42" i="24" s="1"/>
  <c r="AD25" i="24"/>
  <c r="AN122" i="24"/>
  <c r="Y142" i="24" s="1"/>
  <c r="T11" i="24"/>
  <c r="E31" i="24" s="1"/>
  <c r="AB11" i="24"/>
  <c r="M31" i="24" s="1"/>
  <c r="AJ11" i="24"/>
  <c r="U31" i="24" s="1"/>
  <c r="AR11" i="24"/>
  <c r="AC31" i="24" s="1"/>
  <c r="X15" i="24"/>
  <c r="I35" i="24" s="1"/>
  <c r="AF15" i="24"/>
  <c r="Q35" i="24" s="1"/>
  <c r="AN15" i="24"/>
  <c r="Y35" i="24" s="1"/>
  <c r="T19" i="24"/>
  <c r="E39" i="24" s="1"/>
  <c r="AB19" i="24"/>
  <c r="M39" i="24" s="1"/>
  <c r="AJ19" i="24"/>
  <c r="U39" i="24" s="1"/>
  <c r="AR19" i="24"/>
  <c r="AC39" i="24" s="1"/>
  <c r="X24" i="24"/>
  <c r="I44" i="24" s="1"/>
  <c r="AF24" i="24"/>
  <c r="Q44" i="24" s="1"/>
  <c r="AN24" i="24"/>
  <c r="Y44" i="24" s="1"/>
  <c r="AK119" i="24"/>
  <c r="V139" i="24" s="1"/>
  <c r="AC119" i="24"/>
  <c r="N139" i="24" s="1"/>
  <c r="U119" i="24"/>
  <c r="F139" i="24" s="1"/>
  <c r="AR119" i="24"/>
  <c r="AC139" i="24" s="1"/>
  <c r="AJ119" i="24"/>
  <c r="U139" i="24" s="1"/>
  <c r="AB119" i="24"/>
  <c r="M139" i="24" s="1"/>
  <c r="T119" i="24"/>
  <c r="E139" i="24" s="1"/>
  <c r="AO119" i="24"/>
  <c r="Z139" i="24" s="1"/>
  <c r="AE119" i="24"/>
  <c r="P139" i="24" s="1"/>
  <c r="S119" i="24"/>
  <c r="D139" i="24" s="1"/>
  <c r="AI119" i="24"/>
  <c r="T139" i="24" s="1"/>
  <c r="Y119" i="24"/>
  <c r="J139" i="24" s="1"/>
  <c r="AD119" i="24"/>
  <c r="O139" i="24" s="1"/>
  <c r="AQ119" i="24"/>
  <c r="AB139" i="24" s="1"/>
  <c r="V120" i="24"/>
  <c r="G140" i="24" s="1"/>
  <c r="AK120" i="24"/>
  <c r="V140" i="24" s="1"/>
  <c r="V122" i="24"/>
  <c r="G142" i="24" s="1"/>
  <c r="AJ122" i="24"/>
  <c r="U142" i="24" s="1"/>
  <c r="AM123" i="24"/>
  <c r="X143" i="24" s="1"/>
  <c r="AC123" i="24"/>
  <c r="N143" i="24" s="1"/>
  <c r="S123" i="24"/>
  <c r="D143" i="24" s="1"/>
  <c r="AB123" i="24"/>
  <c r="M143" i="24" s="1"/>
  <c r="AQ123" i="24"/>
  <c r="AB143" i="24" s="1"/>
  <c r="R124" i="24"/>
  <c r="C144" i="24" s="1"/>
  <c r="X125" i="24"/>
  <c r="I145" i="24" s="1"/>
  <c r="AA126" i="24"/>
  <c r="L146" i="24" s="1"/>
  <c r="R128" i="24"/>
  <c r="C148" i="24" s="1"/>
  <c r="AG128" i="24"/>
  <c r="R148" i="24" s="1"/>
  <c r="Y129" i="24"/>
  <c r="J149" i="24" s="1"/>
  <c r="AO129" i="24"/>
  <c r="Z149" i="24" s="1"/>
  <c r="R130" i="24"/>
  <c r="C150" i="24" s="1"/>
  <c r="AJ130" i="24"/>
  <c r="U150" i="24" s="1"/>
  <c r="AH131" i="24"/>
  <c r="AF132" i="24"/>
  <c r="AL126" i="24"/>
  <c r="W146" i="24" s="1"/>
  <c r="AD126" i="24"/>
  <c r="O146" i="24" s="1"/>
  <c r="V126" i="24"/>
  <c r="G146" i="24" s="1"/>
  <c r="AK126" i="24"/>
  <c r="V146" i="24" s="1"/>
  <c r="AC126" i="24"/>
  <c r="N146" i="24" s="1"/>
  <c r="U126" i="24"/>
  <c r="F146" i="24" s="1"/>
  <c r="AR126" i="24"/>
  <c r="AC146" i="24" s="1"/>
  <c r="AH126" i="24"/>
  <c r="S146" i="24" s="1"/>
  <c r="X126" i="24"/>
  <c r="I146" i="24" s="1"/>
  <c r="AN126" i="24"/>
  <c r="Y146" i="24" s="1"/>
  <c r="AB126" i="24"/>
  <c r="M146" i="24" s="1"/>
  <c r="R126" i="24"/>
  <c r="C146" i="24" s="1"/>
  <c r="AE126" i="24"/>
  <c r="P146" i="24" s="1"/>
  <c r="AQ126" i="24"/>
  <c r="AB146" i="24" s="1"/>
  <c r="V128" i="24"/>
  <c r="G148" i="24" s="1"/>
  <c r="AH128" i="24"/>
  <c r="S148" i="24" s="1"/>
  <c r="Z129" i="24"/>
  <c r="K149" i="24" s="1"/>
  <c r="AQ129" i="24"/>
  <c r="AB149" i="24" s="1"/>
  <c r="S130" i="24"/>
  <c r="D150" i="24" s="1"/>
  <c r="AM130" i="24"/>
  <c r="X150" i="24" s="1"/>
  <c r="Q131" i="24"/>
  <c r="AI131" i="24"/>
  <c r="AG132" i="24"/>
  <c r="A180" i="24"/>
  <c r="A168" i="24"/>
  <c r="AK228" i="24"/>
  <c r="V248" i="24" s="1"/>
  <c r="AC228" i="24"/>
  <c r="N248" i="24" s="1"/>
  <c r="U228" i="24"/>
  <c r="F248" i="24" s="1"/>
  <c r="AO228" i="24"/>
  <c r="Z248" i="24" s="1"/>
  <c r="AG228" i="24"/>
  <c r="R248" i="24" s="1"/>
  <c r="Y228" i="24"/>
  <c r="J248" i="24" s="1"/>
  <c r="Q228" i="24"/>
  <c r="B248" i="24" s="1"/>
  <c r="AM228" i="24"/>
  <c r="X248" i="24" s="1"/>
  <c r="AB228" i="24"/>
  <c r="M248" i="24" s="1"/>
  <c r="R228" i="24"/>
  <c r="C248" i="24" s="1"/>
  <c r="AL228" i="24"/>
  <c r="W248" i="24" s="1"/>
  <c r="AA228" i="24"/>
  <c r="L248" i="24" s="1"/>
  <c r="AI228" i="24"/>
  <c r="T248" i="24" s="1"/>
  <c r="X228" i="24"/>
  <c r="I248" i="24" s="1"/>
  <c r="AR228" i="24"/>
  <c r="AC248" i="24" s="1"/>
  <c r="AH228" i="24"/>
  <c r="S248" i="24" s="1"/>
  <c r="W228" i="24"/>
  <c r="H248" i="24" s="1"/>
  <c r="AF228" i="24"/>
  <c r="Q248" i="24" s="1"/>
  <c r="AQ228" i="24"/>
  <c r="AB248" i="24" s="1"/>
  <c r="V228" i="24"/>
  <c r="G248" i="24" s="1"/>
  <c r="AN228" i="24"/>
  <c r="Y248" i="24" s="1"/>
  <c r="AJ228" i="24"/>
  <c r="U248" i="24" s="1"/>
  <c r="S228" i="24"/>
  <c r="D248" i="24" s="1"/>
  <c r="AP228" i="24"/>
  <c r="AA248" i="24" s="1"/>
  <c r="AE228" i="24"/>
  <c r="P248" i="24" s="1"/>
  <c r="AD228" i="24"/>
  <c r="O248" i="24" s="1"/>
  <c r="Z228" i="24"/>
  <c r="K248" i="24" s="1"/>
  <c r="T228" i="24"/>
  <c r="E248" i="24" s="1"/>
  <c r="Y120" i="24"/>
  <c r="J140" i="24" s="1"/>
  <c r="AN120" i="24"/>
  <c r="Y140" i="24" s="1"/>
  <c r="X122" i="24"/>
  <c r="I142" i="24" s="1"/>
  <c r="AM122" i="24"/>
  <c r="X142" i="24" s="1"/>
  <c r="Q126" i="24"/>
  <c r="B146" i="24" s="1"/>
  <c r="AF126" i="24"/>
  <c r="Q146" i="24" s="1"/>
  <c r="W128" i="24"/>
  <c r="H148" i="24" s="1"/>
  <c r="AL128" i="24"/>
  <c r="W148" i="24" s="1"/>
  <c r="AD129" i="24"/>
  <c r="O149" i="24" s="1"/>
  <c r="T130" i="24"/>
  <c r="E150" i="24" s="1"/>
  <c r="AN130" i="24"/>
  <c r="Y150" i="24" s="1"/>
  <c r="U131" i="24"/>
  <c r="AL131" i="24"/>
  <c r="R132" i="24"/>
  <c r="AH132" i="24"/>
  <c r="AL133" i="24"/>
  <c r="W153" i="24" s="1"/>
  <c r="AD133" i="24"/>
  <c r="O153" i="24" s="1"/>
  <c r="V133" i="24"/>
  <c r="G153" i="24" s="1"/>
  <c r="AP133" i="24"/>
  <c r="AA153" i="24" s="1"/>
  <c r="AH133" i="24"/>
  <c r="S153" i="24" s="1"/>
  <c r="Z133" i="24"/>
  <c r="K153" i="24" s="1"/>
  <c r="R133" i="24"/>
  <c r="C153" i="24" s="1"/>
  <c r="AJ133" i="24"/>
  <c r="U153" i="24" s="1"/>
  <c r="Y133" i="24"/>
  <c r="J153" i="24" s="1"/>
  <c r="AI133" i="24"/>
  <c r="T153" i="24" s="1"/>
  <c r="X133" i="24"/>
  <c r="I153" i="24" s="1"/>
  <c r="AG133" i="24"/>
  <c r="R153" i="24" s="1"/>
  <c r="T133" i="24"/>
  <c r="E153" i="24" s="1"/>
  <c r="AO133" i="24"/>
  <c r="Z153" i="24" s="1"/>
  <c r="AB133" i="24"/>
  <c r="M153" i="24" s="1"/>
  <c r="AF133" i="24"/>
  <c r="Q153" i="24" s="1"/>
  <c r="A186" i="24"/>
  <c r="A174" i="24"/>
  <c r="X128" i="24"/>
  <c r="I148" i="24" s="1"/>
  <c r="AM128" i="24"/>
  <c r="X148" i="24" s="1"/>
  <c r="AP129" i="24"/>
  <c r="AA149" i="24" s="1"/>
  <c r="AL129" i="24"/>
  <c r="W149" i="24" s="1"/>
  <c r="AJ129" i="24"/>
  <c r="U149" i="24" s="1"/>
  <c r="AB129" i="24"/>
  <c r="M149" i="24" s="1"/>
  <c r="T129" i="24"/>
  <c r="E149" i="24" s="1"/>
  <c r="AI129" i="24"/>
  <c r="T149" i="24" s="1"/>
  <c r="AA129" i="24"/>
  <c r="L149" i="24" s="1"/>
  <c r="S129" i="24"/>
  <c r="D149" i="24" s="1"/>
  <c r="AN129" i="24"/>
  <c r="Y149" i="24" s="1"/>
  <c r="AC129" i="24"/>
  <c r="N149" i="24" s="1"/>
  <c r="Q129" i="24"/>
  <c r="B149" i="24" s="1"/>
  <c r="AG129" i="24"/>
  <c r="R149" i="24" s="1"/>
  <c r="W129" i="24"/>
  <c r="H149" i="24" s="1"/>
  <c r="AE129" i="24"/>
  <c r="P149" i="24" s="1"/>
  <c r="Z130" i="24"/>
  <c r="K150" i="24" s="1"/>
  <c r="AP130" i="24"/>
  <c r="AA150" i="24" s="1"/>
  <c r="V131" i="24"/>
  <c r="AP131" i="24"/>
  <c r="T132" i="24"/>
  <c r="AN132" i="24"/>
  <c r="A181" i="24"/>
  <c r="X11" i="24"/>
  <c r="I31" i="24" s="1"/>
  <c r="AF11" i="24"/>
  <c r="Q31" i="24" s="1"/>
  <c r="T15" i="24"/>
  <c r="E35" i="24" s="1"/>
  <c r="AB15" i="24"/>
  <c r="M35" i="24" s="1"/>
  <c r="AJ15" i="24"/>
  <c r="U35" i="24" s="1"/>
  <c r="X19" i="24"/>
  <c r="I39" i="24" s="1"/>
  <c r="AF19" i="24"/>
  <c r="Q39" i="24" s="1"/>
  <c r="T24" i="24"/>
  <c r="E44" i="24" s="1"/>
  <c r="AB24" i="24"/>
  <c r="M44" i="24" s="1"/>
  <c r="AJ24" i="24"/>
  <c r="U44" i="24" s="1"/>
  <c r="W119" i="24"/>
  <c r="H139" i="24" s="1"/>
  <c r="AL119" i="24"/>
  <c r="W139" i="24" s="1"/>
  <c r="AD120" i="24"/>
  <c r="O140" i="24" s="1"/>
  <c r="AC122" i="24"/>
  <c r="N142" i="24" s="1"/>
  <c r="U123" i="24"/>
  <c r="F143" i="24" s="1"/>
  <c r="AJ123" i="24"/>
  <c r="U143" i="24" s="1"/>
  <c r="AP124" i="24"/>
  <c r="AA144" i="24" s="1"/>
  <c r="AD124" i="24"/>
  <c r="O144" i="24" s="1"/>
  <c r="T124" i="24"/>
  <c r="E144" i="24" s="1"/>
  <c r="AJ124" i="24"/>
  <c r="U144" i="24" s="1"/>
  <c r="Z124" i="24"/>
  <c r="K144" i="24" s="1"/>
  <c r="Y124" i="24"/>
  <c r="J144" i="24" s="1"/>
  <c r="AL124" i="24"/>
  <c r="W144" i="24" s="1"/>
  <c r="AM125" i="24"/>
  <c r="X145" i="24" s="1"/>
  <c r="AE125" i="24"/>
  <c r="P145" i="24" s="1"/>
  <c r="W125" i="24"/>
  <c r="H145" i="24" s="1"/>
  <c r="AL125" i="24"/>
  <c r="W145" i="24" s="1"/>
  <c r="AD125" i="24"/>
  <c r="O145" i="24" s="1"/>
  <c r="V125" i="24"/>
  <c r="G145" i="24" s="1"/>
  <c r="AK125" i="24"/>
  <c r="V145" i="24" s="1"/>
  <c r="AA125" i="24"/>
  <c r="L145" i="24" s="1"/>
  <c r="Q125" i="24"/>
  <c r="B145" i="24" s="1"/>
  <c r="AQ125" i="24"/>
  <c r="AB145" i="24" s="1"/>
  <c r="AG125" i="24"/>
  <c r="R145" i="24" s="1"/>
  <c r="U125" i="24"/>
  <c r="F145" i="24" s="1"/>
  <c r="AC125" i="24"/>
  <c r="N145" i="24" s="1"/>
  <c r="AR125" i="24"/>
  <c r="AC145" i="24" s="1"/>
  <c r="T126" i="24"/>
  <c r="E146" i="24" s="1"/>
  <c r="AI126" i="24"/>
  <c r="T146" i="24" s="1"/>
  <c r="Z128" i="24"/>
  <c r="K148" i="24" s="1"/>
  <c r="AN128" i="24"/>
  <c r="Y148" i="24" s="1"/>
  <c r="R129" i="24"/>
  <c r="C149" i="24" s="1"/>
  <c r="AF129" i="24"/>
  <c r="Q149" i="24" s="1"/>
  <c r="Y131" i="24"/>
  <c r="AQ131" i="24"/>
  <c r="U132" i="24"/>
  <c r="AO132" i="24"/>
  <c r="S133" i="24"/>
  <c r="D153" i="24" s="1"/>
  <c r="AM133" i="24"/>
  <c r="X153" i="24" s="1"/>
  <c r="AR120" i="24"/>
  <c r="AC140" i="24" s="1"/>
  <c r="AJ120" i="24"/>
  <c r="U140" i="24" s="1"/>
  <c r="AB120" i="24"/>
  <c r="M140" i="24" s="1"/>
  <c r="T120" i="24"/>
  <c r="E140" i="24" s="1"/>
  <c r="AQ120" i="24"/>
  <c r="AB140" i="24" s="1"/>
  <c r="AI120" i="24"/>
  <c r="T140" i="24" s="1"/>
  <c r="AA120" i="24"/>
  <c r="L140" i="24" s="1"/>
  <c r="S120" i="24"/>
  <c r="D140" i="24" s="1"/>
  <c r="AM120" i="24"/>
  <c r="X140" i="24" s="1"/>
  <c r="AC120" i="24"/>
  <c r="N140" i="24" s="1"/>
  <c r="Q120" i="24"/>
  <c r="B140" i="24" s="1"/>
  <c r="AG120" i="24"/>
  <c r="R140" i="24" s="1"/>
  <c r="W120" i="24"/>
  <c r="H140" i="24" s="1"/>
  <c r="AE120" i="24"/>
  <c r="P140" i="24" s="1"/>
  <c r="AP122" i="24"/>
  <c r="AA142" i="24" s="1"/>
  <c r="AH122" i="24"/>
  <c r="S142" i="24" s="1"/>
  <c r="Z122" i="24"/>
  <c r="K142" i="24" s="1"/>
  <c r="R122" i="24"/>
  <c r="C142" i="24" s="1"/>
  <c r="AO122" i="24"/>
  <c r="Z142" i="24" s="1"/>
  <c r="AG122" i="24"/>
  <c r="R142" i="24" s="1"/>
  <c r="Y122" i="24"/>
  <c r="J142" i="24" s="1"/>
  <c r="Q122" i="24"/>
  <c r="B142" i="24" s="1"/>
  <c r="AK122" i="24"/>
  <c r="V142" i="24" s="1"/>
  <c r="AA122" i="24"/>
  <c r="L142" i="24" s="1"/>
  <c r="AQ122" i="24"/>
  <c r="AB142" i="24" s="1"/>
  <c r="AE122" i="24"/>
  <c r="P142" i="24" s="1"/>
  <c r="U122" i="24"/>
  <c r="F142" i="24" s="1"/>
  <c r="AD122" i="24"/>
  <c r="O142" i="24" s="1"/>
  <c r="T143" i="24"/>
  <c r="W126" i="24"/>
  <c r="H146" i="24" s="1"/>
  <c r="AJ126" i="24"/>
  <c r="U146" i="24" s="1"/>
  <c r="AA128" i="24"/>
  <c r="L148" i="24" s="1"/>
  <c r="U129" i="24"/>
  <c r="F149" i="24" s="1"/>
  <c r="AH129" i="24"/>
  <c r="S149" i="24" s="1"/>
  <c r="AL130" i="24"/>
  <c r="W150" i="24" s="1"/>
  <c r="X130" i="24"/>
  <c r="I150" i="24" s="1"/>
  <c r="AB130" i="24"/>
  <c r="M150" i="24" s="1"/>
  <c r="X132" i="24"/>
  <c r="AK128" i="24"/>
  <c r="V148" i="24" s="1"/>
  <c r="AC128" i="24"/>
  <c r="N148" i="24" s="1"/>
  <c r="U128" i="24"/>
  <c r="F148" i="24" s="1"/>
  <c r="AR128" i="24"/>
  <c r="AC148" i="24" s="1"/>
  <c r="AJ128" i="24"/>
  <c r="U148" i="24" s="1"/>
  <c r="AB128" i="24"/>
  <c r="M148" i="24" s="1"/>
  <c r="T128" i="24"/>
  <c r="E148" i="24" s="1"/>
  <c r="AO128" i="24"/>
  <c r="Z148" i="24" s="1"/>
  <c r="AE128" i="24"/>
  <c r="P148" i="24" s="1"/>
  <c r="S128" i="24"/>
  <c r="D148" i="24" s="1"/>
  <c r="AI128" i="24"/>
  <c r="T148" i="24" s="1"/>
  <c r="Y128" i="24"/>
  <c r="J148" i="24" s="1"/>
  <c r="AD128" i="24"/>
  <c r="O148" i="24" s="1"/>
  <c r="AQ128" i="24"/>
  <c r="AB148" i="24" s="1"/>
  <c r="AO131" i="24"/>
  <c r="AD131" i="24"/>
  <c r="S131" i="24"/>
  <c r="AM131" i="24"/>
  <c r="AC131" i="24"/>
  <c r="R131" i="24"/>
  <c r="AK131" i="24"/>
  <c r="W131" i="24"/>
  <c r="AE131" i="24"/>
  <c r="AA131" i="24"/>
  <c r="A173" i="24"/>
  <c r="A185" i="24"/>
  <c r="Q128" i="24"/>
  <c r="B148" i="24" s="1"/>
  <c r="AF128" i="24"/>
  <c r="Q148" i="24" s="1"/>
  <c r="AG131" i="24"/>
  <c r="AR132" i="24"/>
  <c r="AD132" i="24"/>
  <c r="AJ132" i="24"/>
  <c r="V132" i="24"/>
  <c r="AC132" i="24"/>
  <c r="AN124" i="24"/>
  <c r="Y144" i="24" s="1"/>
  <c r="AN131" i="24"/>
  <c r="T226" i="24"/>
  <c r="E246" i="24" s="1"/>
  <c r="A187" i="24"/>
  <c r="A175" i="24"/>
  <c r="X230" i="24"/>
  <c r="I250" i="24" s="1"/>
  <c r="Z230" i="24"/>
  <c r="K250" i="24" s="1"/>
  <c r="AD230" i="24"/>
  <c r="O250" i="24" s="1"/>
  <c r="AQ121" i="24"/>
  <c r="AB141" i="24" s="1"/>
  <c r="AI121" i="24"/>
  <c r="T141" i="24" s="1"/>
  <c r="AA121" i="24"/>
  <c r="L141" i="24" s="1"/>
  <c r="S121" i="24"/>
  <c r="D141" i="24" s="1"/>
  <c r="AP121" i="24"/>
  <c r="AA141" i="24" s="1"/>
  <c r="AH121" i="24"/>
  <c r="S141" i="24" s="1"/>
  <c r="Z121" i="24"/>
  <c r="K141" i="24" s="1"/>
  <c r="R121" i="24"/>
  <c r="C141" i="24" s="1"/>
  <c r="AB121" i="24"/>
  <c r="M141" i="24" s="1"/>
  <c r="AL121" i="24"/>
  <c r="W141" i="24" s="1"/>
  <c r="W123" i="24"/>
  <c r="H143" i="24" s="1"/>
  <c r="AO130" i="24"/>
  <c r="Z150" i="24" s="1"/>
  <c r="AG130" i="24"/>
  <c r="R150" i="24" s="1"/>
  <c r="Y130" i="24"/>
  <c r="J150" i="24" s="1"/>
  <c r="Q130" i="24"/>
  <c r="B150" i="24" s="1"/>
  <c r="AK130" i="24"/>
  <c r="V150" i="24" s="1"/>
  <c r="AC130" i="24"/>
  <c r="N150" i="24" s="1"/>
  <c r="U130" i="24"/>
  <c r="F150" i="24" s="1"/>
  <c r="AR130" i="24"/>
  <c r="AC150" i="24" s="1"/>
  <c r="AH130" i="24"/>
  <c r="S150" i="24" s="1"/>
  <c r="W130" i="24"/>
  <c r="H150" i="24" s="1"/>
  <c r="AQ130" i="24"/>
  <c r="AB150" i="24" s="1"/>
  <c r="AF130" i="24"/>
  <c r="Q150" i="24" s="1"/>
  <c r="V130" i="24"/>
  <c r="G150" i="24" s="1"/>
  <c r="AD130" i="24"/>
  <c r="O150" i="24" s="1"/>
  <c r="A170" i="24"/>
  <c r="A182" i="24"/>
  <c r="AD226" i="24"/>
  <c r="O246" i="24" s="1"/>
  <c r="AH230" i="24"/>
  <c r="S250" i="24" s="1"/>
  <c r="AE232" i="24"/>
  <c r="P252" i="24" s="1"/>
  <c r="AP232" i="24"/>
  <c r="AA252" i="24" s="1"/>
  <c r="T232" i="24"/>
  <c r="E252" i="24" s="1"/>
  <c r="S232" i="24"/>
  <c r="D252" i="24" s="1"/>
  <c r="AF232" i="24"/>
  <c r="Q252" i="24" s="1"/>
  <c r="Z232" i="24"/>
  <c r="K252" i="24" s="1"/>
  <c r="V232" i="24"/>
  <c r="G252" i="24" s="1"/>
  <c r="X123" i="24"/>
  <c r="I143" i="24" s="1"/>
  <c r="AF123" i="24"/>
  <c r="Q143" i="24" s="1"/>
  <c r="AN123" i="24"/>
  <c r="Y143" i="24" s="1"/>
  <c r="W124" i="24"/>
  <c r="H144" i="24" s="1"/>
  <c r="AE124" i="24"/>
  <c r="P144" i="24" s="1"/>
  <c r="AM124" i="24"/>
  <c r="X144" i="24" s="1"/>
  <c r="AM132" i="24"/>
  <c r="AE132" i="24"/>
  <c r="W132" i="24"/>
  <c r="AQ132" i="24"/>
  <c r="AI132" i="24"/>
  <c r="AA132" i="24"/>
  <c r="S132" i="24"/>
  <c r="Z132" i="24"/>
  <c r="AK132" i="24"/>
  <c r="T230" i="24"/>
  <c r="E250" i="24" s="1"/>
  <c r="Q123" i="24"/>
  <c r="B143" i="24" s="1"/>
  <c r="Y123" i="24"/>
  <c r="J143" i="24" s="1"/>
  <c r="AG123" i="24"/>
  <c r="R143" i="24" s="1"/>
  <c r="X124" i="24"/>
  <c r="I144" i="24" s="1"/>
  <c r="AF124" i="24"/>
  <c r="Q144" i="24" s="1"/>
  <c r="Q132" i="24"/>
  <c r="AB132" i="24"/>
  <c r="AL132" i="24"/>
  <c r="AI225" i="24"/>
  <c r="T245" i="24" s="1"/>
  <c r="Y225" i="24"/>
  <c r="J245" i="24" s="1"/>
  <c r="AP225" i="24"/>
  <c r="AA245" i="24" s="1"/>
  <c r="AE225" i="24"/>
  <c r="P245" i="24" s="1"/>
  <c r="U225" i="24"/>
  <c r="F245" i="24" s="1"/>
  <c r="AO225" i="24"/>
  <c r="Z245" i="24" s="1"/>
  <c r="AD225" i="24"/>
  <c r="O245" i="24" s="1"/>
  <c r="S225" i="24"/>
  <c r="D245" i="24" s="1"/>
  <c r="AQ225" i="24"/>
  <c r="AB245" i="24" s="1"/>
  <c r="Z225" i="24"/>
  <c r="K245" i="24" s="1"/>
  <c r="AH225" i="24"/>
  <c r="S245" i="24" s="1"/>
  <c r="Q225" i="24"/>
  <c r="B245" i="24" s="1"/>
  <c r="AG225" i="24"/>
  <c r="R245" i="24" s="1"/>
  <c r="AM226" i="24"/>
  <c r="X246" i="24" s="1"/>
  <c r="AE226" i="24"/>
  <c r="P246" i="24" s="1"/>
  <c r="W226" i="24"/>
  <c r="H246" i="24" s="1"/>
  <c r="AQ226" i="24"/>
  <c r="AB246" i="24" s="1"/>
  <c r="AI226" i="24"/>
  <c r="T246" i="24" s="1"/>
  <c r="AA226" i="24"/>
  <c r="L246" i="24" s="1"/>
  <c r="S226" i="24"/>
  <c r="D246" i="24" s="1"/>
  <c r="AR226" i="24"/>
  <c r="AC246" i="24" s="1"/>
  <c r="AG226" i="24"/>
  <c r="R246" i="24" s="1"/>
  <c r="V226" i="24"/>
  <c r="G246" i="24" s="1"/>
  <c r="AN226" i="24"/>
  <c r="Y246" i="24" s="1"/>
  <c r="AC226" i="24"/>
  <c r="N246" i="24" s="1"/>
  <c r="R226" i="24"/>
  <c r="C246" i="24" s="1"/>
  <c r="AL226" i="24"/>
  <c r="W246" i="24" s="1"/>
  <c r="AB226" i="24"/>
  <c r="M246" i="24" s="1"/>
  <c r="Q226" i="24"/>
  <c r="B246" i="24" s="1"/>
  <c r="AO226" i="24"/>
  <c r="Z246" i="24" s="1"/>
  <c r="X226" i="24"/>
  <c r="I246" i="24" s="1"/>
  <c r="AF226" i="24"/>
  <c r="Q246" i="24" s="1"/>
  <c r="AK226" i="24"/>
  <c r="V246" i="24" s="1"/>
  <c r="AM234" i="24"/>
  <c r="X254" i="24" s="1"/>
  <c r="AE234" i="24"/>
  <c r="P254" i="24" s="1"/>
  <c r="W234" i="24"/>
  <c r="H254" i="24" s="1"/>
  <c r="AQ234" i="24"/>
  <c r="AB254" i="24" s="1"/>
  <c r="AI234" i="24"/>
  <c r="T254" i="24" s="1"/>
  <c r="AA234" i="24"/>
  <c r="L254" i="24" s="1"/>
  <c r="S234" i="24"/>
  <c r="D254" i="24" s="1"/>
  <c r="AH234" i="24"/>
  <c r="S254" i="24" s="1"/>
  <c r="X234" i="24"/>
  <c r="I254" i="24" s="1"/>
  <c r="AR234" i="24"/>
  <c r="AC254" i="24" s="1"/>
  <c r="AG234" i="24"/>
  <c r="R254" i="24" s="1"/>
  <c r="V234" i="24"/>
  <c r="G254" i="24" s="1"/>
  <c r="AP234" i="24"/>
  <c r="AA254" i="24" s="1"/>
  <c r="AF234" i="24"/>
  <c r="Q254" i="24" s="1"/>
  <c r="U234" i="24"/>
  <c r="F254" i="24" s="1"/>
  <c r="AN234" i="24"/>
  <c r="Y254" i="24" s="1"/>
  <c r="AC234" i="24"/>
  <c r="N254" i="24" s="1"/>
  <c r="R234" i="24"/>
  <c r="C254" i="24" s="1"/>
  <c r="AL234" i="24"/>
  <c r="W254" i="24" s="1"/>
  <c r="AB234" i="24"/>
  <c r="M254" i="24" s="1"/>
  <c r="Q234" i="24"/>
  <c r="B254" i="24" s="1"/>
  <c r="AK234" i="24"/>
  <c r="V254" i="24" s="1"/>
  <c r="Y234" i="24"/>
  <c r="J254" i="24" s="1"/>
  <c r="A294" i="24"/>
  <c r="A282" i="24"/>
  <c r="A290" i="24"/>
  <c r="A278" i="24"/>
  <c r="AQ230" i="24"/>
  <c r="AB250" i="24" s="1"/>
  <c r="AI230" i="24"/>
  <c r="T250" i="24" s="1"/>
  <c r="AA230" i="24"/>
  <c r="L250" i="24" s="1"/>
  <c r="S230" i="24"/>
  <c r="D250" i="24" s="1"/>
  <c r="AM230" i="24"/>
  <c r="X250" i="24" s="1"/>
  <c r="AE230" i="24"/>
  <c r="P250" i="24" s="1"/>
  <c r="W230" i="24"/>
  <c r="H250" i="24" s="1"/>
  <c r="AR230" i="24"/>
  <c r="AC250" i="24" s="1"/>
  <c r="AG230" i="24"/>
  <c r="R250" i="24" s="1"/>
  <c r="V230" i="24"/>
  <c r="G250" i="24" s="1"/>
  <c r="AP230" i="24"/>
  <c r="AA250" i="24" s="1"/>
  <c r="AF230" i="24"/>
  <c r="Q250" i="24" s="1"/>
  <c r="U230" i="24"/>
  <c r="F250" i="24" s="1"/>
  <c r="AN230" i="24"/>
  <c r="Y250" i="24" s="1"/>
  <c r="AC230" i="24"/>
  <c r="N250" i="24" s="1"/>
  <c r="R230" i="24"/>
  <c r="C250" i="24" s="1"/>
  <c r="AL230" i="24"/>
  <c r="W250" i="24" s="1"/>
  <c r="AB230" i="24"/>
  <c r="M250" i="24" s="1"/>
  <c r="Q230" i="24"/>
  <c r="B250" i="24" s="1"/>
  <c r="AJ230" i="24"/>
  <c r="U250" i="24" s="1"/>
  <c r="Y230" i="24"/>
  <c r="J250" i="24" s="1"/>
  <c r="AJ234" i="24"/>
  <c r="U254" i="24" s="1"/>
  <c r="T131" i="24"/>
  <c r="AB131" i="24"/>
  <c r="AJ131" i="24"/>
  <c r="AR131" i="24"/>
  <c r="AQ239" i="24"/>
  <c r="AI239" i="24"/>
  <c r="AA239" i="24"/>
  <c r="S239" i="24"/>
  <c r="AM239" i="24"/>
  <c r="AE239" i="24"/>
  <c r="W239" i="24"/>
  <c r="AJ239" i="24"/>
  <c r="Y239" i="24"/>
  <c r="AH239" i="24"/>
  <c r="X239" i="24"/>
  <c r="AR239" i="24"/>
  <c r="AG239" i="24"/>
  <c r="V239" i="24"/>
  <c r="AP239" i="24"/>
  <c r="AF239" i="24"/>
  <c r="U239" i="24"/>
  <c r="AO239" i="24"/>
  <c r="AD239" i="24"/>
  <c r="T239" i="24"/>
  <c r="AN239" i="24"/>
  <c r="AC239" i="24"/>
  <c r="R239" i="24"/>
  <c r="AL239" i="24"/>
  <c r="AB239" i="24"/>
  <c r="Q239" i="24"/>
  <c r="A289" i="24"/>
  <c r="A277" i="24"/>
  <c r="X131" i="24"/>
  <c r="AF131" i="24"/>
  <c r="Y227" i="24"/>
  <c r="J247" i="24" s="1"/>
  <c r="S229" i="24"/>
  <c r="D249" i="24" s="1"/>
  <c r="AD229" i="24"/>
  <c r="O249" i="24" s="1"/>
  <c r="AO229" i="24"/>
  <c r="Z249" i="24" s="1"/>
  <c r="Y231" i="24"/>
  <c r="J251" i="24" s="1"/>
  <c r="W232" i="24"/>
  <c r="H252" i="24" s="1"/>
  <c r="AH232" i="24"/>
  <c r="S252" i="24" s="1"/>
  <c r="AR232" i="24"/>
  <c r="AC252" i="24" s="1"/>
  <c r="S233" i="24"/>
  <c r="D253" i="24" s="1"/>
  <c r="AD233" i="24"/>
  <c r="O253" i="24" s="1"/>
  <c r="AO233" i="24"/>
  <c r="Z253" i="24" s="1"/>
  <c r="Y236" i="24"/>
  <c r="J256" i="24" s="1"/>
  <c r="W237" i="24"/>
  <c r="H257" i="24" s="1"/>
  <c r="AH237" i="24"/>
  <c r="S257" i="24" s="1"/>
  <c r="AR237" i="24"/>
  <c r="AC257" i="24" s="1"/>
  <c r="S238" i="24"/>
  <c r="D258" i="24" s="1"/>
  <c r="AD238" i="24"/>
  <c r="O258" i="24" s="1"/>
  <c r="AO238" i="24"/>
  <c r="Z258" i="24" s="1"/>
  <c r="Y240" i="24"/>
  <c r="W241" i="24"/>
  <c r="H261" i="24" s="1"/>
  <c r="AH241" i="24"/>
  <c r="S261" i="24" s="1"/>
  <c r="AR241" i="24"/>
  <c r="AC261" i="24" s="1"/>
  <c r="A295" i="24"/>
  <c r="A283" i="24"/>
  <c r="AL227" i="24"/>
  <c r="W247" i="24" s="1"/>
  <c r="AD227" i="24"/>
  <c r="O247" i="24" s="1"/>
  <c r="V227" i="24"/>
  <c r="G247" i="24" s="1"/>
  <c r="AP227" i="24"/>
  <c r="AA247" i="24" s="1"/>
  <c r="AH227" i="24"/>
  <c r="S247" i="24" s="1"/>
  <c r="Z227" i="24"/>
  <c r="K247" i="24" s="1"/>
  <c r="R227" i="24"/>
  <c r="C247" i="24" s="1"/>
  <c r="AA227" i="24"/>
  <c r="L247" i="24" s="1"/>
  <c r="AK227" i="24"/>
  <c r="V247" i="24" s="1"/>
  <c r="U229" i="24"/>
  <c r="F249" i="24" s="1"/>
  <c r="AE229" i="24"/>
  <c r="P249" i="24" s="1"/>
  <c r="AP229" i="24"/>
  <c r="AA249" i="24" s="1"/>
  <c r="AP231" i="24"/>
  <c r="AA251" i="24" s="1"/>
  <c r="AH231" i="24"/>
  <c r="S251" i="24" s="1"/>
  <c r="Z231" i="24"/>
  <c r="K251" i="24" s="1"/>
  <c r="R231" i="24"/>
  <c r="C251" i="24" s="1"/>
  <c r="AL231" i="24"/>
  <c r="W251" i="24" s="1"/>
  <c r="AD231" i="24"/>
  <c r="O251" i="24" s="1"/>
  <c r="V231" i="24"/>
  <c r="G251" i="24" s="1"/>
  <c r="AA231" i="24"/>
  <c r="L251" i="24" s="1"/>
  <c r="AK231" i="24"/>
  <c r="V251" i="24" s="1"/>
  <c r="X232" i="24"/>
  <c r="I252" i="24" s="1"/>
  <c r="U233" i="24"/>
  <c r="F253" i="24" s="1"/>
  <c r="AE233" i="24"/>
  <c r="P253" i="24" s="1"/>
  <c r="AP233" i="24"/>
  <c r="AA253" i="24" s="1"/>
  <c r="AL236" i="24"/>
  <c r="W256" i="24" s="1"/>
  <c r="AD236" i="24"/>
  <c r="O256" i="24" s="1"/>
  <c r="V236" i="24"/>
  <c r="G256" i="24" s="1"/>
  <c r="AP236" i="24"/>
  <c r="AA256" i="24" s="1"/>
  <c r="AH236" i="24"/>
  <c r="S256" i="24" s="1"/>
  <c r="Z236" i="24"/>
  <c r="K256" i="24" s="1"/>
  <c r="R236" i="24"/>
  <c r="C256" i="24" s="1"/>
  <c r="AA236" i="24"/>
  <c r="L256" i="24" s="1"/>
  <c r="AK236" i="24"/>
  <c r="V256" i="24" s="1"/>
  <c r="X237" i="24"/>
  <c r="I257" i="24" s="1"/>
  <c r="U238" i="24"/>
  <c r="F258" i="24" s="1"/>
  <c r="AE238" i="24"/>
  <c r="P258" i="24" s="1"/>
  <c r="AP238" i="24"/>
  <c r="AA258" i="24" s="1"/>
  <c r="AP240" i="24"/>
  <c r="AH240" i="24"/>
  <c r="Z240" i="24"/>
  <c r="R240" i="24"/>
  <c r="AL240" i="24"/>
  <c r="AD240" i="24"/>
  <c r="V240" i="24"/>
  <c r="AA240" i="24"/>
  <c r="AK240" i="24"/>
  <c r="X241" i="24"/>
  <c r="I261" i="24" s="1"/>
  <c r="Z237" i="24"/>
  <c r="K257" i="24" s="1"/>
  <c r="AJ237" i="24"/>
  <c r="U257" i="24" s="1"/>
  <c r="Z241" i="24"/>
  <c r="K261" i="24" s="1"/>
  <c r="AJ241" i="24"/>
  <c r="U261" i="24" s="1"/>
  <c r="W229" i="24"/>
  <c r="H249" i="24" s="1"/>
  <c r="AH229" i="24"/>
  <c r="S249" i="24" s="1"/>
  <c r="AO232" i="24"/>
  <c r="Z252" i="24" s="1"/>
  <c r="AG232" i="24"/>
  <c r="R252" i="24" s="1"/>
  <c r="Y232" i="24"/>
  <c r="J252" i="24" s="1"/>
  <c r="Q232" i="24"/>
  <c r="B252" i="24" s="1"/>
  <c r="AK232" i="24"/>
  <c r="V252" i="24" s="1"/>
  <c r="AC232" i="24"/>
  <c r="N252" i="24" s="1"/>
  <c r="U232" i="24"/>
  <c r="F252" i="24" s="1"/>
  <c r="AA232" i="24"/>
  <c r="L252" i="24" s="1"/>
  <c r="AL232" i="24"/>
  <c r="W252" i="24" s="1"/>
  <c r="W233" i="24"/>
  <c r="H253" i="24" s="1"/>
  <c r="AH233" i="24"/>
  <c r="S253" i="24" s="1"/>
  <c r="AK237" i="24"/>
  <c r="V257" i="24" s="1"/>
  <c r="AC237" i="24"/>
  <c r="N257" i="24" s="1"/>
  <c r="U237" i="24"/>
  <c r="F257" i="24" s="1"/>
  <c r="AO237" i="24"/>
  <c r="Z257" i="24" s="1"/>
  <c r="AG237" i="24"/>
  <c r="R257" i="24" s="1"/>
  <c r="Y237" i="24"/>
  <c r="J257" i="24" s="1"/>
  <c r="Q237" i="24"/>
  <c r="B257" i="24" s="1"/>
  <c r="AA237" i="24"/>
  <c r="L257" i="24" s="1"/>
  <c r="AL237" i="24"/>
  <c r="W257" i="24" s="1"/>
  <c r="W238" i="24"/>
  <c r="H258" i="24" s="1"/>
  <c r="AH238" i="24"/>
  <c r="S258" i="24" s="1"/>
  <c r="AC240" i="24"/>
  <c r="AN240" i="24"/>
  <c r="AO241" i="24"/>
  <c r="Z261" i="24" s="1"/>
  <c r="AG241" i="24"/>
  <c r="R261" i="24" s="1"/>
  <c r="Y241" i="24"/>
  <c r="J261" i="24" s="1"/>
  <c r="Q241" i="24"/>
  <c r="B261" i="24" s="1"/>
  <c r="AK241" i="24"/>
  <c r="V261" i="24" s="1"/>
  <c r="AC241" i="24"/>
  <c r="N261" i="24" s="1"/>
  <c r="U241" i="24"/>
  <c r="F261" i="24" s="1"/>
  <c r="AA241" i="24"/>
  <c r="L261" i="24" s="1"/>
  <c r="AL241" i="24"/>
  <c r="W261" i="24" s="1"/>
  <c r="T227" i="24"/>
  <c r="E247" i="24" s="1"/>
  <c r="AE227" i="24"/>
  <c r="P247" i="24" s="1"/>
  <c r="AO227" i="24"/>
  <c r="Z247" i="24" s="1"/>
  <c r="Y229" i="24"/>
  <c r="J249" i="24" s="1"/>
  <c r="AI229" i="24"/>
  <c r="T249" i="24" s="1"/>
  <c r="T231" i="24"/>
  <c r="E251" i="24" s="1"/>
  <c r="AE231" i="24"/>
  <c r="P251" i="24" s="1"/>
  <c r="AO231" i="24"/>
  <c r="Z251" i="24" s="1"/>
  <c r="R232" i="24"/>
  <c r="C252" i="24" s="1"/>
  <c r="AB232" i="24"/>
  <c r="M252" i="24" s="1"/>
  <c r="AM232" i="24"/>
  <c r="X252" i="24" s="1"/>
  <c r="Y233" i="24"/>
  <c r="J253" i="24" s="1"/>
  <c r="T236" i="24"/>
  <c r="E256" i="24" s="1"/>
  <c r="AE236" i="24"/>
  <c r="P256" i="24" s="1"/>
  <c r="AO236" i="24"/>
  <c r="Z256" i="24" s="1"/>
  <c r="R237" i="24"/>
  <c r="C257" i="24" s="1"/>
  <c r="AB237" i="24"/>
  <c r="M257" i="24" s="1"/>
  <c r="AM237" i="24"/>
  <c r="X257" i="24" s="1"/>
  <c r="Y238" i="24"/>
  <c r="J258" i="24" s="1"/>
  <c r="T240" i="24"/>
  <c r="AE240" i="24"/>
  <c r="AO240" i="24"/>
  <c r="R241" i="24"/>
  <c r="C261" i="24" s="1"/>
  <c r="AB241" i="24"/>
  <c r="M261" i="24" s="1"/>
  <c r="AM241" i="24"/>
  <c r="X261" i="24" s="1"/>
  <c r="A281" i="24"/>
  <c r="A293" i="24"/>
  <c r="A291" i="24"/>
  <c r="S237" i="24"/>
  <c r="D257" i="24" s="1"/>
  <c r="AD237" i="24"/>
  <c r="O257" i="24" s="1"/>
  <c r="S241" i="24"/>
  <c r="D261" i="24" s="1"/>
  <c r="AD241" i="24"/>
  <c r="O261" i="24" s="1"/>
  <c r="AN241" i="24"/>
  <c r="Y261" i="24" s="1"/>
  <c r="A280" i="24"/>
  <c r="A292" i="24"/>
  <c r="AE241" i="24"/>
  <c r="P261" i="24" s="1"/>
  <c r="A276" i="24"/>
  <c r="A288" i="24"/>
  <c r="AR334" i="24"/>
  <c r="AC354" i="24" s="1"/>
  <c r="AJ334" i="24"/>
  <c r="U354" i="24" s="1"/>
  <c r="AB334" i="24"/>
  <c r="M354" i="24" s="1"/>
  <c r="T334" i="24"/>
  <c r="E354" i="24" s="1"/>
  <c r="AM334" i="24"/>
  <c r="X354" i="24" s="1"/>
  <c r="AE334" i="24"/>
  <c r="P354" i="24" s="1"/>
  <c r="W334" i="24"/>
  <c r="H354" i="24" s="1"/>
  <c r="AO334" i="24"/>
  <c r="Z354" i="24" s="1"/>
  <c r="Y334" i="24"/>
  <c r="J354" i="24" s="1"/>
  <c r="AK334" i="24"/>
  <c r="V354" i="24" s="1"/>
  <c r="U334" i="24"/>
  <c r="F354" i="24" s="1"/>
  <c r="AI334" i="24"/>
  <c r="T354" i="24" s="1"/>
  <c r="S334" i="24"/>
  <c r="D354" i="24" s="1"/>
  <c r="AC334" i="24"/>
  <c r="N354" i="24" s="1"/>
  <c r="AA334" i="24"/>
  <c r="L354" i="24" s="1"/>
  <c r="AQ334" i="24"/>
  <c r="AB354" i="24" s="1"/>
  <c r="V334" i="24"/>
  <c r="G354" i="24" s="1"/>
  <c r="Q334" i="24"/>
  <c r="B354" i="24" s="1"/>
  <c r="AG334" i="24"/>
  <c r="R354" i="24" s="1"/>
  <c r="AD334" i="24"/>
  <c r="O354" i="24" s="1"/>
  <c r="T225" i="24"/>
  <c r="E245" i="24" s="1"/>
  <c r="AB225" i="24"/>
  <c r="M245" i="24" s="1"/>
  <c r="AJ225" i="24"/>
  <c r="U245" i="24" s="1"/>
  <c r="AR225" i="24"/>
  <c r="AC245" i="24" s="1"/>
  <c r="X229" i="24"/>
  <c r="I249" i="24" s="1"/>
  <c r="AF229" i="24"/>
  <c r="Q249" i="24" s="1"/>
  <c r="AN229" i="24"/>
  <c r="Y249" i="24" s="1"/>
  <c r="T233" i="24"/>
  <c r="E253" i="24" s="1"/>
  <c r="AB233" i="24"/>
  <c r="M253" i="24" s="1"/>
  <c r="AJ233" i="24"/>
  <c r="U253" i="24" s="1"/>
  <c r="AR233" i="24"/>
  <c r="AC253" i="24" s="1"/>
  <c r="X238" i="24"/>
  <c r="I258" i="24" s="1"/>
  <c r="AF238" i="24"/>
  <c r="Q258" i="24" s="1"/>
  <c r="AN238" i="24"/>
  <c r="Y258" i="24" s="1"/>
  <c r="AN346" i="24"/>
  <c r="Y366" i="24" s="1"/>
  <c r="AF346" i="24"/>
  <c r="Q366" i="24" s="1"/>
  <c r="AE346" i="24"/>
  <c r="P366" i="24" s="1"/>
  <c r="S346" i="24"/>
  <c r="D366" i="24" s="1"/>
  <c r="R346" i="24"/>
  <c r="C366" i="24" s="1"/>
  <c r="AQ346" i="24"/>
  <c r="AB366" i="24" s="1"/>
  <c r="AL345" i="24"/>
  <c r="W365" i="24" s="1"/>
  <c r="AD345" i="24"/>
  <c r="O365" i="24" s="1"/>
  <c r="V345" i="24"/>
  <c r="G365" i="24" s="1"/>
  <c r="AK345" i="24"/>
  <c r="V365" i="24" s="1"/>
  <c r="AC345" i="24"/>
  <c r="N365" i="24" s="1"/>
  <c r="U345" i="24"/>
  <c r="F365" i="24" s="1"/>
  <c r="AP345" i="24"/>
  <c r="AA365" i="24" s="1"/>
  <c r="AH345" i="24"/>
  <c r="S365" i="24" s="1"/>
  <c r="Z345" i="24"/>
  <c r="K365" i="24" s="1"/>
  <c r="R345" i="24"/>
  <c r="C365" i="24" s="1"/>
  <c r="AN345" i="24"/>
  <c r="Y365" i="24" s="1"/>
  <c r="AA345" i="24"/>
  <c r="L365" i="24" s="1"/>
  <c r="AJ345" i="24"/>
  <c r="U365" i="24" s="1"/>
  <c r="X345" i="24"/>
  <c r="I365" i="24" s="1"/>
  <c r="AG345" i="24"/>
  <c r="R365" i="24" s="1"/>
  <c r="T345" i="24"/>
  <c r="E365" i="24" s="1"/>
  <c r="AR345" i="24"/>
  <c r="AC365" i="24" s="1"/>
  <c r="AF345" i="24"/>
  <c r="Q365" i="24" s="1"/>
  <c r="S345" i="24"/>
  <c r="D365" i="24" s="1"/>
  <c r="AI345" i="24"/>
  <c r="T365" i="24" s="1"/>
  <c r="AB345" i="24"/>
  <c r="M365" i="24" s="1"/>
  <c r="Y345" i="24"/>
  <c r="J365" i="24" s="1"/>
  <c r="AO345" i="24"/>
  <c r="Z365" i="24" s="1"/>
  <c r="AM345" i="24"/>
  <c r="X365" i="24" s="1"/>
  <c r="Q345" i="24"/>
  <c r="B365" i="24" s="1"/>
  <c r="A390" i="24"/>
  <c r="A402" i="24"/>
  <c r="AJ348" i="24"/>
  <c r="V348" i="24"/>
  <c r="AN348" i="24"/>
  <c r="AB348" i="24"/>
  <c r="Y348" i="24"/>
  <c r="U348" i="24"/>
  <c r="AR348" i="24"/>
  <c r="Q348" i="24"/>
  <c r="AK348" i="24"/>
  <c r="AG348" i="24"/>
  <c r="AE345" i="24"/>
  <c r="P365" i="24" s="1"/>
  <c r="X225" i="24"/>
  <c r="I245" i="24" s="1"/>
  <c r="AF225" i="24"/>
  <c r="Q245" i="24" s="1"/>
  <c r="AB229" i="24"/>
  <c r="M249" i="24" s="1"/>
  <c r="AJ229" i="24"/>
  <c r="U249" i="24" s="1"/>
  <c r="X233" i="24"/>
  <c r="I253" i="24" s="1"/>
  <c r="AF233" i="24"/>
  <c r="Q253" i="24" s="1"/>
  <c r="T238" i="24"/>
  <c r="E258" i="24" s="1"/>
  <c r="AB238" i="24"/>
  <c r="M258" i="24" s="1"/>
  <c r="AJ238" i="24"/>
  <c r="U258" i="24" s="1"/>
  <c r="AI337" i="24"/>
  <c r="T357" i="24" s="1"/>
  <c r="AG339" i="24"/>
  <c r="R359" i="24" s="1"/>
  <c r="AQ345" i="24"/>
  <c r="AB365" i="24" s="1"/>
  <c r="AL346" i="24"/>
  <c r="W366" i="24" s="1"/>
  <c r="AP349" i="24"/>
  <c r="AH349" i="24"/>
  <c r="Z349" i="24"/>
  <c r="R349" i="24"/>
  <c r="AO349" i="24"/>
  <c r="AG349" i="24"/>
  <c r="Y349" i="24"/>
  <c r="Q349" i="24"/>
  <c r="AL349" i="24"/>
  <c r="AD349" i="24"/>
  <c r="V349" i="24"/>
  <c r="AM349" i="24"/>
  <c r="AA349" i="24"/>
  <c r="AJ349" i="24"/>
  <c r="W349" i="24"/>
  <c r="AF349" i="24"/>
  <c r="T349" i="24"/>
  <c r="AR349" i="24"/>
  <c r="AE349" i="24"/>
  <c r="S349" i="24"/>
  <c r="AK349" i="24"/>
  <c r="AC349" i="24"/>
  <c r="AB349" i="24"/>
  <c r="X349" i="24"/>
  <c r="U349" i="24"/>
  <c r="AD348" i="24"/>
  <c r="AD337" i="24"/>
  <c r="O357" i="24" s="1"/>
  <c r="AA337" i="24"/>
  <c r="L357" i="24" s="1"/>
  <c r="AQ337" i="24"/>
  <c r="AB357" i="24" s="1"/>
  <c r="S337" i="24"/>
  <c r="D357" i="24" s="1"/>
  <c r="AL348" i="24"/>
  <c r="A386" i="24"/>
  <c r="A398" i="24"/>
  <c r="A401" i="24"/>
  <c r="A389" i="24"/>
  <c r="AP334" i="24"/>
  <c r="AA354" i="24" s="1"/>
  <c r="AM339" i="24"/>
  <c r="X359" i="24" s="1"/>
  <c r="AE339" i="24"/>
  <c r="P359" i="24" s="1"/>
  <c r="W339" i="24"/>
  <c r="H359" i="24" s="1"/>
  <c r="AK339" i="24"/>
  <c r="V359" i="24" s="1"/>
  <c r="AC339" i="24"/>
  <c r="N359" i="24" s="1"/>
  <c r="U339" i="24"/>
  <c r="F359" i="24" s="1"/>
  <c r="AQ339" i="24"/>
  <c r="AB359" i="24" s="1"/>
  <c r="AI339" i="24"/>
  <c r="T359" i="24" s="1"/>
  <c r="AA339" i="24"/>
  <c r="L359" i="24" s="1"/>
  <c r="S339" i="24"/>
  <c r="D359" i="24" s="1"/>
  <c r="AP339" i="24"/>
  <c r="AA359" i="24" s="1"/>
  <c r="AH339" i="24"/>
  <c r="S359" i="24" s="1"/>
  <c r="Z339" i="24"/>
  <c r="K359" i="24" s="1"/>
  <c r="R339" i="24"/>
  <c r="C359" i="24" s="1"/>
  <c r="AO339" i="24"/>
  <c r="Z359" i="24" s="1"/>
  <c r="Y339" i="24"/>
  <c r="J359" i="24" s="1"/>
  <c r="AL339" i="24"/>
  <c r="W359" i="24" s="1"/>
  <c r="V339" i="24"/>
  <c r="G359" i="24" s="1"/>
  <c r="AJ339" i="24"/>
  <c r="U359" i="24" s="1"/>
  <c r="T339" i="24"/>
  <c r="E359" i="24" s="1"/>
  <c r="AR339" i="24"/>
  <c r="AC359" i="24" s="1"/>
  <c r="AE338" i="24"/>
  <c r="P358" i="24" s="1"/>
  <c r="AP338" i="24"/>
  <c r="AA358" i="24" s="1"/>
  <c r="Z338" i="24"/>
  <c r="K358" i="24" s="1"/>
  <c r="AO338" i="24"/>
  <c r="Z358" i="24" s="1"/>
  <c r="Y338" i="24"/>
  <c r="J358" i="24" s="1"/>
  <c r="AH338" i="24"/>
  <c r="S358" i="24" s="1"/>
  <c r="Q339" i="24"/>
  <c r="B359" i="24" s="1"/>
  <c r="AO337" i="24"/>
  <c r="Z357" i="24" s="1"/>
  <c r="AG337" i="24"/>
  <c r="R357" i="24" s="1"/>
  <c r="Y337" i="24"/>
  <c r="J357" i="24" s="1"/>
  <c r="Q337" i="24"/>
  <c r="B357" i="24" s="1"/>
  <c r="AM337" i="24"/>
  <c r="X357" i="24" s="1"/>
  <c r="AE337" i="24"/>
  <c r="P357" i="24" s="1"/>
  <c r="W337" i="24"/>
  <c r="H357" i="24" s="1"/>
  <c r="AK337" i="24"/>
  <c r="V357" i="24" s="1"/>
  <c r="AC337" i="24"/>
  <c r="N357" i="24" s="1"/>
  <c r="U337" i="24"/>
  <c r="F357" i="24" s="1"/>
  <c r="AR337" i="24"/>
  <c r="AC357" i="24" s="1"/>
  <c r="AJ337" i="24"/>
  <c r="U357" i="24" s="1"/>
  <c r="AB337" i="24"/>
  <c r="M357" i="24" s="1"/>
  <c r="T337" i="24"/>
  <c r="E357" i="24" s="1"/>
  <c r="AF337" i="24"/>
  <c r="Q357" i="24" s="1"/>
  <c r="AM343" i="24"/>
  <c r="X363" i="24" s="1"/>
  <c r="AE343" i="24"/>
  <c r="P363" i="24" s="1"/>
  <c r="W343" i="24"/>
  <c r="H363" i="24" s="1"/>
  <c r="AL343" i="24"/>
  <c r="W363" i="24" s="1"/>
  <c r="AD343" i="24"/>
  <c r="O363" i="24" s="1"/>
  <c r="V343" i="24"/>
  <c r="G363" i="24" s="1"/>
  <c r="AQ343" i="24"/>
  <c r="AB363" i="24" s="1"/>
  <c r="AI343" i="24"/>
  <c r="T363" i="24" s="1"/>
  <c r="AA343" i="24"/>
  <c r="L363" i="24" s="1"/>
  <c r="S343" i="24"/>
  <c r="D363" i="24" s="1"/>
  <c r="AK343" i="24"/>
  <c r="V363" i="24" s="1"/>
  <c r="Y343" i="24"/>
  <c r="J363" i="24" s="1"/>
  <c r="AH343" i="24"/>
  <c r="S363" i="24" s="1"/>
  <c r="U343" i="24"/>
  <c r="F363" i="24" s="1"/>
  <c r="AR343" i="24"/>
  <c r="AC363" i="24" s="1"/>
  <c r="AF343" i="24"/>
  <c r="Q363" i="24" s="1"/>
  <c r="R343" i="24"/>
  <c r="C363" i="24" s="1"/>
  <c r="AP343" i="24"/>
  <c r="AA363" i="24" s="1"/>
  <c r="AC343" i="24"/>
  <c r="N363" i="24" s="1"/>
  <c r="Q343" i="24"/>
  <c r="B363" i="24" s="1"/>
  <c r="AO343" i="24"/>
  <c r="Z363" i="24" s="1"/>
  <c r="AE347" i="24"/>
  <c r="P367" i="24" s="1"/>
  <c r="R347" i="24"/>
  <c r="C367" i="24" s="1"/>
  <c r="AK347" i="24"/>
  <c r="V367" i="24" s="1"/>
  <c r="W347" i="24"/>
  <c r="H367" i="24" s="1"/>
  <c r="AH347" i="24"/>
  <c r="S367" i="24" s="1"/>
  <c r="AL350" i="24"/>
  <c r="W370" i="24" s="1"/>
  <c r="AQ335" i="24"/>
  <c r="AB355" i="24" s="1"/>
  <c r="AI335" i="24"/>
  <c r="T355" i="24" s="1"/>
  <c r="AA335" i="24"/>
  <c r="L355" i="24" s="1"/>
  <c r="S335" i="24"/>
  <c r="D355" i="24" s="1"/>
  <c r="AO335" i="24"/>
  <c r="Z355" i="24" s="1"/>
  <c r="AG335" i="24"/>
  <c r="R355" i="24" s="1"/>
  <c r="Y335" i="24"/>
  <c r="J355" i="24" s="1"/>
  <c r="Q335" i="24"/>
  <c r="B355" i="24" s="1"/>
  <c r="AM335" i="24"/>
  <c r="X355" i="24" s="1"/>
  <c r="AE335" i="24"/>
  <c r="P355" i="24" s="1"/>
  <c r="W335" i="24"/>
  <c r="H355" i="24" s="1"/>
  <c r="AL335" i="24"/>
  <c r="W355" i="24" s="1"/>
  <c r="AD335" i="24"/>
  <c r="O355" i="24" s="1"/>
  <c r="V335" i="24"/>
  <c r="G355" i="24" s="1"/>
  <c r="AF335" i="24"/>
  <c r="Q355" i="24" s="1"/>
  <c r="R337" i="24"/>
  <c r="C357" i="24" s="1"/>
  <c r="AH337" i="24"/>
  <c r="S357" i="24" s="1"/>
  <c r="AP340" i="24"/>
  <c r="AA360" i="24" s="1"/>
  <c r="AH340" i="24"/>
  <c r="S360" i="24" s="1"/>
  <c r="Z340" i="24"/>
  <c r="K360" i="24" s="1"/>
  <c r="AN340" i="24"/>
  <c r="Y360" i="24" s="1"/>
  <c r="AE340" i="24"/>
  <c r="P360" i="24" s="1"/>
  <c r="V340" i="24"/>
  <c r="G360" i="24" s="1"/>
  <c r="AL340" i="24"/>
  <c r="W360" i="24" s="1"/>
  <c r="AC340" i="24"/>
  <c r="N360" i="24" s="1"/>
  <c r="T340" i="24"/>
  <c r="E360" i="24" s="1"/>
  <c r="AJ340" i="24"/>
  <c r="U360" i="24" s="1"/>
  <c r="AA340" i="24"/>
  <c r="L360" i="24" s="1"/>
  <c r="R340" i="24"/>
  <c r="C360" i="24" s="1"/>
  <c r="AR340" i="24"/>
  <c r="AC360" i="24" s="1"/>
  <c r="AI340" i="24"/>
  <c r="T360" i="24" s="1"/>
  <c r="Y340" i="24"/>
  <c r="J360" i="24" s="1"/>
  <c r="Q340" i="24"/>
  <c r="B360" i="24" s="1"/>
  <c r="AG340" i="24"/>
  <c r="R360" i="24" s="1"/>
  <c r="AH341" i="24"/>
  <c r="S361" i="24" s="1"/>
  <c r="AK342" i="24"/>
  <c r="V362" i="24" s="1"/>
  <c r="T343" i="24"/>
  <c r="E363" i="24" s="1"/>
  <c r="AM347" i="24"/>
  <c r="X367" i="24" s="1"/>
  <c r="AP350" i="24"/>
  <c r="AA370" i="24" s="1"/>
  <c r="AB350" i="24"/>
  <c r="M370" i="24" s="1"/>
  <c r="AI350" i="24"/>
  <c r="T370" i="24" s="1"/>
  <c r="V350" i="24"/>
  <c r="G370" i="24" s="1"/>
  <c r="AH350" i="24"/>
  <c r="S370" i="24" s="1"/>
  <c r="T350" i="24"/>
  <c r="E370" i="24" s="1"/>
  <c r="AJ350" i="24"/>
  <c r="U370" i="24" s="1"/>
  <c r="T335" i="24"/>
  <c r="E355" i="24" s="1"/>
  <c r="AJ335" i="24"/>
  <c r="U355" i="24" s="1"/>
  <c r="AP336" i="24"/>
  <c r="AA356" i="24" s="1"/>
  <c r="AH336" i="24"/>
  <c r="S356" i="24" s="1"/>
  <c r="Z336" i="24"/>
  <c r="K356" i="24" s="1"/>
  <c r="R336" i="24"/>
  <c r="C356" i="24" s="1"/>
  <c r="AK336" i="24"/>
  <c r="V356" i="24" s="1"/>
  <c r="AC336" i="24"/>
  <c r="N356" i="24" s="1"/>
  <c r="U336" i="24"/>
  <c r="F356" i="24" s="1"/>
  <c r="AB336" i="24"/>
  <c r="M356" i="24" s="1"/>
  <c r="AR336" i="24"/>
  <c r="AC356" i="24" s="1"/>
  <c r="V337" i="24"/>
  <c r="G357" i="24" s="1"/>
  <c r="AL337" i="24"/>
  <c r="W357" i="24" s="1"/>
  <c r="AN338" i="24"/>
  <c r="Y358" i="24" s="1"/>
  <c r="U340" i="24"/>
  <c r="F360" i="24" s="1"/>
  <c r="AM340" i="24"/>
  <c r="X360" i="24" s="1"/>
  <c r="R341" i="24"/>
  <c r="C361" i="24" s="1"/>
  <c r="S342" i="24"/>
  <c r="D362" i="24" s="1"/>
  <c r="Z343" i="24"/>
  <c r="K363" i="24" s="1"/>
  <c r="AM346" i="24"/>
  <c r="X366" i="24" s="1"/>
  <c r="U347" i="24"/>
  <c r="F367" i="24" s="1"/>
  <c r="R350" i="24"/>
  <c r="C370" i="24" s="1"/>
  <c r="AQ350" i="24"/>
  <c r="AB370" i="24" s="1"/>
  <c r="S338" i="24"/>
  <c r="D358" i="24" s="1"/>
  <c r="AA338" i="24"/>
  <c r="L358" i="24" s="1"/>
  <c r="AI338" i="24"/>
  <c r="T358" i="24" s="1"/>
  <c r="AQ338" i="24"/>
  <c r="AB358" i="24" s="1"/>
  <c r="T341" i="24"/>
  <c r="E361" i="24" s="1"/>
  <c r="AE341" i="24"/>
  <c r="P361" i="24" s="1"/>
  <c r="AP341" i="24"/>
  <c r="AA361" i="24" s="1"/>
  <c r="Q342" i="24"/>
  <c r="B362" i="24" s="1"/>
  <c r="AA342" i="24"/>
  <c r="L362" i="24" s="1"/>
  <c r="AO342" i="24"/>
  <c r="Z362" i="24" s="1"/>
  <c r="V346" i="24"/>
  <c r="G366" i="24" s="1"/>
  <c r="AH346" i="24"/>
  <c r="S366" i="24" s="1"/>
  <c r="X334" i="24"/>
  <c r="I354" i="24" s="1"/>
  <c r="AF334" i="24"/>
  <c r="Q354" i="24" s="1"/>
  <c r="AN334" i="24"/>
  <c r="Y354" i="24" s="1"/>
  <c r="V336" i="24"/>
  <c r="G356" i="24" s="1"/>
  <c r="AD336" i="24"/>
  <c r="O356" i="24" s="1"/>
  <c r="T338" i="24"/>
  <c r="E358" i="24" s="1"/>
  <c r="AB338" i="24"/>
  <c r="M358" i="24" s="1"/>
  <c r="AJ338" i="24"/>
  <c r="U358" i="24" s="1"/>
  <c r="AR338" i="24"/>
  <c r="AC358" i="24" s="1"/>
  <c r="V341" i="24"/>
  <c r="G361" i="24" s="1"/>
  <c r="AF341" i="24"/>
  <c r="Q361" i="24" s="1"/>
  <c r="AQ341" i="24"/>
  <c r="AB361" i="24" s="1"/>
  <c r="R342" i="24"/>
  <c r="C362" i="24" s="1"/>
  <c r="AC342" i="24"/>
  <c r="N362" i="24" s="1"/>
  <c r="AP342" i="24"/>
  <c r="AA362" i="24" s="1"/>
  <c r="W346" i="24"/>
  <c r="H366" i="24" s="1"/>
  <c r="AI346" i="24"/>
  <c r="T366" i="24" s="1"/>
  <c r="S347" i="24"/>
  <c r="D367" i="24" s="1"/>
  <c r="Y347" i="24"/>
  <c r="J367" i="24" s="1"/>
  <c r="AL347" i="24"/>
  <c r="W367" i="24" s="1"/>
  <c r="AQ348" i="24"/>
  <c r="AI348" i="24"/>
  <c r="AA348" i="24"/>
  <c r="S348" i="24"/>
  <c r="AP348" i="24"/>
  <c r="AH348" i="24"/>
  <c r="Z348" i="24"/>
  <c r="R348" i="24"/>
  <c r="AM348" i="24"/>
  <c r="AE348" i="24"/>
  <c r="W348" i="24"/>
  <c r="AC348" i="24"/>
  <c r="AO348" i="24"/>
  <c r="R334" i="24"/>
  <c r="C354" i="24" s="1"/>
  <c r="Z334" i="24"/>
  <c r="K354" i="24" s="1"/>
  <c r="AH334" i="24"/>
  <c r="S354" i="24" s="1"/>
  <c r="X336" i="24"/>
  <c r="I356" i="24" s="1"/>
  <c r="AF336" i="24"/>
  <c r="Q356" i="24" s="1"/>
  <c r="V338" i="24"/>
  <c r="G358" i="24" s="1"/>
  <c r="AD338" i="24"/>
  <c r="O358" i="24" s="1"/>
  <c r="AL338" i="24"/>
  <c r="W358" i="24" s="1"/>
  <c r="X341" i="24"/>
  <c r="I361" i="24" s="1"/>
  <c r="U342" i="24"/>
  <c r="F362" i="24" s="1"/>
  <c r="Z346" i="24"/>
  <c r="K366" i="24" s="1"/>
  <c r="AR347" i="24"/>
  <c r="AC367" i="24" s="1"/>
  <c r="AC347" i="24"/>
  <c r="N367" i="24" s="1"/>
  <c r="AO347" i="24"/>
  <c r="Z367" i="24" s="1"/>
  <c r="T348" i="24"/>
  <c r="AF348" i="24"/>
  <c r="Z350" i="24"/>
  <c r="K370" i="24" s="1"/>
  <c r="X338" i="24"/>
  <c r="I358" i="24" s="1"/>
  <c r="AF338" i="24"/>
  <c r="Q358" i="24" s="1"/>
  <c r="AO341" i="24"/>
  <c r="Z361" i="24" s="1"/>
  <c r="AG341" i="24"/>
  <c r="R361" i="24" s="1"/>
  <c r="Y341" i="24"/>
  <c r="J361" i="24" s="1"/>
  <c r="Q341" i="24"/>
  <c r="B361" i="24" s="1"/>
  <c r="AK341" i="24"/>
  <c r="V361" i="24" s="1"/>
  <c r="AC341" i="24"/>
  <c r="N361" i="24" s="1"/>
  <c r="U341" i="24"/>
  <c r="F361" i="24" s="1"/>
  <c r="AA341" i="24"/>
  <c r="L361" i="24" s="1"/>
  <c r="AL341" i="24"/>
  <c r="W361" i="24" s="1"/>
  <c r="AM342" i="24"/>
  <c r="X362" i="24" s="1"/>
  <c r="AE342" i="24"/>
  <c r="P362" i="24" s="1"/>
  <c r="AB342" i="24"/>
  <c r="M362" i="24" s="1"/>
  <c r="T342" i="24"/>
  <c r="E362" i="24" s="1"/>
  <c r="W342" i="24"/>
  <c r="H362" i="24" s="1"/>
  <c r="AI342" i="24"/>
  <c r="T362" i="24" s="1"/>
  <c r="AK346" i="24"/>
  <c r="V366" i="24" s="1"/>
  <c r="AC346" i="24"/>
  <c r="N366" i="24" s="1"/>
  <c r="U346" i="24"/>
  <c r="F366" i="24" s="1"/>
  <c r="AR346" i="24"/>
  <c r="AC366" i="24" s="1"/>
  <c r="AJ346" i="24"/>
  <c r="U366" i="24" s="1"/>
  <c r="AB346" i="24"/>
  <c r="M366" i="24" s="1"/>
  <c r="T346" i="24"/>
  <c r="E366" i="24" s="1"/>
  <c r="AO346" i="24"/>
  <c r="Z366" i="24" s="1"/>
  <c r="AG346" i="24"/>
  <c r="R366" i="24" s="1"/>
  <c r="Y346" i="24"/>
  <c r="J366" i="24" s="1"/>
  <c r="Q346" i="24"/>
  <c r="B366" i="24" s="1"/>
  <c r="AD346" i="24"/>
  <c r="O366" i="24" s="1"/>
  <c r="AP346" i="24"/>
  <c r="AA366" i="24" s="1"/>
  <c r="AO350" i="24"/>
  <c r="Z370" i="24" s="1"/>
  <c r="A399" i="24"/>
  <c r="A387" i="24"/>
  <c r="AJ342" i="24"/>
  <c r="U362" i="24" s="1"/>
  <c r="AR342" i="24"/>
  <c r="AC362" i="24" s="1"/>
  <c r="X347" i="24"/>
  <c r="I367" i="24" s="1"/>
  <c r="AF347" i="24"/>
  <c r="Q367" i="24" s="1"/>
  <c r="AN347" i="24"/>
  <c r="Y367" i="24" s="1"/>
  <c r="U350" i="24"/>
  <c r="F370" i="24" s="1"/>
  <c r="AC350" i="24"/>
  <c r="N370" i="24" s="1"/>
  <c r="AK350" i="24"/>
  <c r="V370" i="24" s="1"/>
  <c r="AA347" i="24"/>
  <c r="L367" i="24" s="1"/>
  <c r="AI347" i="24"/>
  <c r="T367" i="24" s="1"/>
  <c r="AQ347" i="24"/>
  <c r="AB367" i="24" s="1"/>
  <c r="X350" i="24"/>
  <c r="I370" i="24" s="1"/>
  <c r="AF350" i="24"/>
  <c r="Q370" i="24" s="1"/>
  <c r="AN350" i="24"/>
  <c r="Y370" i="24" s="1"/>
  <c r="X342" i="24"/>
  <c r="I362" i="24" s="1"/>
  <c r="AF342" i="24"/>
  <c r="Q362" i="24" s="1"/>
  <c r="T347" i="24"/>
  <c r="E367" i="24" s="1"/>
  <c r="AB347" i="24"/>
  <c r="M367" i="24" s="1"/>
  <c r="AJ347" i="24"/>
  <c r="U367" i="24" s="1"/>
  <c r="Q350" i="24"/>
  <c r="B370" i="24" s="1"/>
  <c r="Y350" i="24"/>
  <c r="J370" i="24" s="1"/>
  <c r="AG350" i="24"/>
  <c r="R370" i="24" s="1"/>
  <c r="A388" i="24"/>
  <c r="A400" i="24"/>
  <c r="A392" i="24"/>
  <c r="A391" i="24"/>
  <c r="A403" i="24"/>
  <c r="P454" i="23"/>
  <c r="O454" i="23"/>
  <c r="L454" i="23"/>
  <c r="P349" i="23"/>
  <c r="O349" i="23"/>
  <c r="L349" i="23"/>
  <c r="P240" i="23"/>
  <c r="O240" i="23"/>
  <c r="L240" i="23"/>
  <c r="P132" i="23"/>
  <c r="O132" i="23"/>
  <c r="L132" i="23"/>
  <c r="C454" i="23"/>
  <c r="B454" i="23"/>
  <c r="C349" i="23"/>
  <c r="B349" i="23"/>
  <c r="C240" i="23"/>
  <c r="B240" i="23"/>
  <c r="C132" i="23"/>
  <c r="B132" i="23"/>
  <c r="P26" i="23"/>
  <c r="AZ26" i="23" s="1"/>
  <c r="O26" i="23"/>
  <c r="AY26" i="23" s="1"/>
  <c r="L26" i="23"/>
  <c r="C26" i="23"/>
  <c r="AV26" i="23" s="1"/>
  <c r="B26" i="23"/>
  <c r="P454" i="22"/>
  <c r="O454" i="22"/>
  <c r="L454" i="22"/>
  <c r="L453" i="22"/>
  <c r="O453" i="22"/>
  <c r="P453" i="22"/>
  <c r="P349" i="22"/>
  <c r="O349" i="22"/>
  <c r="L349" i="22"/>
  <c r="P240" i="22"/>
  <c r="O240" i="22"/>
  <c r="L240" i="22"/>
  <c r="P132" i="22"/>
  <c r="O132" i="22"/>
  <c r="L132" i="22"/>
  <c r="C454" i="22"/>
  <c r="B454" i="22"/>
  <c r="C349" i="22"/>
  <c r="B349" i="22"/>
  <c r="C240" i="22"/>
  <c r="B240" i="22"/>
  <c r="C132" i="22"/>
  <c r="B132" i="22"/>
  <c r="P26" i="22"/>
  <c r="AZ26" i="22" s="1"/>
  <c r="O26" i="22"/>
  <c r="L26" i="22"/>
  <c r="C26" i="22"/>
  <c r="AV26" i="22" s="1"/>
  <c r="B26" i="22"/>
  <c r="P454" i="21"/>
  <c r="O454" i="21"/>
  <c r="L454" i="21"/>
  <c r="P349" i="21"/>
  <c r="O349" i="21"/>
  <c r="L349" i="21"/>
  <c r="P240" i="21"/>
  <c r="O240" i="21"/>
  <c r="L240" i="21"/>
  <c r="P132" i="21"/>
  <c r="O132" i="21"/>
  <c r="L132" i="21"/>
  <c r="C454" i="21"/>
  <c r="B454" i="21"/>
  <c r="C349" i="21"/>
  <c r="B349" i="21"/>
  <c r="C240" i="21"/>
  <c r="B240" i="21"/>
  <c r="C132" i="21"/>
  <c r="B132" i="21"/>
  <c r="P26" i="21"/>
  <c r="AZ26" i="21" s="1"/>
  <c r="O26" i="21"/>
  <c r="AY26" i="21" s="1"/>
  <c r="L26" i="21"/>
  <c r="AX26" i="21" s="1"/>
  <c r="C26" i="21"/>
  <c r="AV26" i="21" s="1"/>
  <c r="B26" i="21"/>
  <c r="AU26" i="21" s="1"/>
  <c r="P454" i="9"/>
  <c r="O454" i="9"/>
  <c r="L454" i="9"/>
  <c r="P349" i="9"/>
  <c r="O349" i="9"/>
  <c r="L349" i="9"/>
  <c r="P240" i="9"/>
  <c r="O240" i="9"/>
  <c r="L240" i="9"/>
  <c r="P132" i="9"/>
  <c r="O132" i="9"/>
  <c r="L132" i="9"/>
  <c r="C454" i="9"/>
  <c r="B454" i="9"/>
  <c r="C349" i="9"/>
  <c r="B349" i="9"/>
  <c r="C240" i="9"/>
  <c r="B240" i="9"/>
  <c r="C132" i="9"/>
  <c r="B132" i="9"/>
  <c r="P26" i="9"/>
  <c r="O26" i="9"/>
  <c r="L26" i="9"/>
  <c r="C26" i="9"/>
  <c r="B26" i="9"/>
  <c r="C22" i="13"/>
  <c r="B22" i="13"/>
  <c r="C20" i="13"/>
  <c r="B20" i="13"/>
  <c r="C19" i="13"/>
  <c r="B19" i="13"/>
  <c r="C17" i="13"/>
  <c r="B17" i="13"/>
  <c r="B15" i="13"/>
  <c r="C12" i="13"/>
  <c r="B16" i="13"/>
  <c r="C16" i="13"/>
  <c r="B18" i="13"/>
  <c r="C18" i="13"/>
  <c r="B12" i="13"/>
  <c r="C11" i="13"/>
  <c r="B11" i="13"/>
  <c r="P27" i="13"/>
  <c r="O27" i="13"/>
  <c r="L27" i="13"/>
  <c r="P25" i="13"/>
  <c r="O25" i="13"/>
  <c r="L25" i="13"/>
  <c r="P24" i="13"/>
  <c r="O24" i="13"/>
  <c r="L24" i="13"/>
  <c r="P23" i="13"/>
  <c r="O23" i="13"/>
  <c r="L23" i="13"/>
  <c r="P18" i="13"/>
  <c r="O18" i="13"/>
  <c r="L18" i="13"/>
  <c r="P16" i="13"/>
  <c r="O16" i="13"/>
  <c r="L16" i="13"/>
  <c r="P14" i="13"/>
  <c r="O14" i="13"/>
  <c r="L14" i="13"/>
  <c r="P13" i="13"/>
  <c r="O13" i="13"/>
  <c r="L13" i="13"/>
  <c r="B27" i="13"/>
  <c r="C25" i="13"/>
  <c r="B25" i="13"/>
  <c r="C24" i="13"/>
  <c r="B24" i="13"/>
  <c r="C23" i="13"/>
  <c r="B23" i="13"/>
  <c r="C14" i="13"/>
  <c r="B14" i="13"/>
  <c r="C13" i="13"/>
  <c r="B13" i="13"/>
  <c r="P450" i="23"/>
  <c r="O450" i="23"/>
  <c r="L450" i="23"/>
  <c r="P448" i="23"/>
  <c r="O448" i="23"/>
  <c r="L448" i="23"/>
  <c r="P447" i="23"/>
  <c r="O447" i="23"/>
  <c r="L447" i="23"/>
  <c r="P345" i="23"/>
  <c r="O345" i="23"/>
  <c r="L345" i="23"/>
  <c r="P343" i="23"/>
  <c r="O343" i="23"/>
  <c r="L343" i="23"/>
  <c r="P342" i="23"/>
  <c r="O342" i="23"/>
  <c r="L342" i="23"/>
  <c r="P236" i="23"/>
  <c r="O236" i="23"/>
  <c r="L236" i="23"/>
  <c r="P234" i="23"/>
  <c r="O234" i="23"/>
  <c r="L234" i="23"/>
  <c r="P233" i="23"/>
  <c r="O233" i="23"/>
  <c r="L233" i="23"/>
  <c r="P128" i="23"/>
  <c r="O128" i="23"/>
  <c r="L128" i="23"/>
  <c r="P126" i="23"/>
  <c r="O126" i="23"/>
  <c r="L126" i="23"/>
  <c r="P125" i="23"/>
  <c r="O125" i="23"/>
  <c r="L125" i="23"/>
  <c r="C450" i="23"/>
  <c r="B450" i="23"/>
  <c r="C448" i="23"/>
  <c r="B448" i="23"/>
  <c r="C447" i="23"/>
  <c r="B447" i="23"/>
  <c r="C345" i="23"/>
  <c r="B345" i="23"/>
  <c r="C343" i="23"/>
  <c r="B343" i="23"/>
  <c r="C342" i="23"/>
  <c r="B342" i="23"/>
  <c r="C236" i="23"/>
  <c r="B236" i="23"/>
  <c r="C234" i="23"/>
  <c r="B234" i="23"/>
  <c r="C233" i="23"/>
  <c r="B233" i="23"/>
  <c r="C128" i="23"/>
  <c r="B128" i="23"/>
  <c r="C126" i="23"/>
  <c r="B126" i="23"/>
  <c r="C125" i="23"/>
  <c r="B125" i="23"/>
  <c r="P445" i="23"/>
  <c r="O445" i="23"/>
  <c r="L445" i="23"/>
  <c r="P340" i="23"/>
  <c r="O340" i="23"/>
  <c r="L340" i="23"/>
  <c r="P231" i="23"/>
  <c r="O231" i="23"/>
  <c r="L231" i="23"/>
  <c r="P123" i="23"/>
  <c r="O123" i="23"/>
  <c r="L123" i="23"/>
  <c r="C445" i="23"/>
  <c r="B445" i="23"/>
  <c r="C340" i="23"/>
  <c r="B340" i="23"/>
  <c r="C231" i="23"/>
  <c r="B231" i="23"/>
  <c r="C123" i="23"/>
  <c r="B123" i="23"/>
  <c r="P443" i="23"/>
  <c r="O443" i="23"/>
  <c r="L443" i="23"/>
  <c r="P338" i="23"/>
  <c r="O338" i="23"/>
  <c r="L338" i="23"/>
  <c r="P229" i="23"/>
  <c r="O229" i="23"/>
  <c r="L229" i="23"/>
  <c r="L121" i="23"/>
  <c r="P121" i="23"/>
  <c r="O121" i="23"/>
  <c r="C443" i="23"/>
  <c r="B443" i="23"/>
  <c r="C338" i="23"/>
  <c r="B338" i="23"/>
  <c r="C229" i="23"/>
  <c r="B229" i="23"/>
  <c r="C121" i="23"/>
  <c r="B121" i="23"/>
  <c r="P440" i="23"/>
  <c r="O440" i="23"/>
  <c r="L440" i="23"/>
  <c r="P439" i="23"/>
  <c r="O439" i="23"/>
  <c r="L439" i="23"/>
  <c r="P335" i="23"/>
  <c r="O335" i="23"/>
  <c r="L335" i="23"/>
  <c r="P334" i="23"/>
  <c r="O334" i="23"/>
  <c r="L334" i="23"/>
  <c r="P226" i="23"/>
  <c r="O226" i="23"/>
  <c r="L226" i="23"/>
  <c r="P225" i="23"/>
  <c r="O225" i="23"/>
  <c r="L225" i="23"/>
  <c r="P118" i="23"/>
  <c r="O118" i="23"/>
  <c r="L118" i="23"/>
  <c r="P117" i="23"/>
  <c r="O117" i="23"/>
  <c r="L117" i="23"/>
  <c r="C440" i="23"/>
  <c r="B440" i="23"/>
  <c r="C439" i="23"/>
  <c r="B439" i="23"/>
  <c r="C335" i="23"/>
  <c r="B335" i="23"/>
  <c r="C334" i="23"/>
  <c r="B334" i="23"/>
  <c r="C226" i="23"/>
  <c r="B226" i="23"/>
  <c r="C225" i="23"/>
  <c r="B225" i="23"/>
  <c r="C118" i="23"/>
  <c r="B118" i="23"/>
  <c r="C117" i="23"/>
  <c r="B117" i="23"/>
  <c r="P22" i="23"/>
  <c r="AZ16" i="23" s="1"/>
  <c r="P20" i="23"/>
  <c r="P19" i="23"/>
  <c r="P17" i="23"/>
  <c r="P15" i="23"/>
  <c r="P12" i="23"/>
  <c r="AZ12" i="23" s="1"/>
  <c r="P11" i="23"/>
  <c r="AZ11" i="23" s="1"/>
  <c r="O22" i="23"/>
  <c r="AY16" i="23" s="1"/>
  <c r="O20" i="23"/>
  <c r="O19" i="23"/>
  <c r="AY32" i="23" s="1"/>
  <c r="O17" i="23"/>
  <c r="AY31" i="23" s="1"/>
  <c r="O15" i="23"/>
  <c r="AY13" i="23" s="1"/>
  <c r="O12" i="23"/>
  <c r="AY12" i="23" s="1"/>
  <c r="O11" i="23"/>
  <c r="AY11" i="23" s="1"/>
  <c r="L22" i="23"/>
  <c r="AX16" i="23" s="1"/>
  <c r="L20" i="23"/>
  <c r="L19" i="23"/>
  <c r="AX32" i="23" s="1"/>
  <c r="L18" i="23"/>
  <c r="AX15" i="23" s="1"/>
  <c r="L17" i="23"/>
  <c r="AX31" i="23" s="1"/>
  <c r="L16" i="23"/>
  <c r="AX14" i="23" s="1"/>
  <c r="L15" i="23"/>
  <c r="AX13" i="23" s="1"/>
  <c r="L12" i="23"/>
  <c r="AX12" i="23" s="1"/>
  <c r="L11" i="23"/>
  <c r="AX11" i="23" s="1"/>
  <c r="C22" i="23"/>
  <c r="AV16" i="23" s="1"/>
  <c r="C20" i="23"/>
  <c r="AV33" i="23" s="1"/>
  <c r="C19" i="23"/>
  <c r="AV32" i="23" s="1"/>
  <c r="C17" i="23"/>
  <c r="AV31" i="23" s="1"/>
  <c r="C15" i="23"/>
  <c r="AV13" i="23" s="1"/>
  <c r="C12" i="23"/>
  <c r="AV12" i="23" s="1"/>
  <c r="C11" i="23"/>
  <c r="AV11" i="23" s="1"/>
  <c r="B22" i="23"/>
  <c r="B20" i="23"/>
  <c r="B19" i="23"/>
  <c r="B17" i="23"/>
  <c r="AU31" i="23" s="1"/>
  <c r="B15" i="23"/>
  <c r="AU13" i="23" s="1"/>
  <c r="B12" i="23"/>
  <c r="AU12" i="23" s="1"/>
  <c r="B11" i="23"/>
  <c r="AU11" i="23" s="1"/>
  <c r="A511" i="23"/>
  <c r="A475" i="23"/>
  <c r="A473" i="23"/>
  <c r="A510" i="23" s="1"/>
  <c r="A472" i="23"/>
  <c r="A471" i="23"/>
  <c r="A470" i="23"/>
  <c r="A468" i="23"/>
  <c r="A485" i="23" s="1"/>
  <c r="A467" i="23"/>
  <c r="A466" i="23"/>
  <c r="A484" i="23" s="1"/>
  <c r="A465" i="23"/>
  <c r="A483" i="23" s="1"/>
  <c r="A464" i="23"/>
  <c r="A482" i="23" s="1"/>
  <c r="A463" i="23"/>
  <c r="A462" i="23"/>
  <c r="A481" i="23" s="1"/>
  <c r="A493" i="23" s="1"/>
  <c r="A461" i="23"/>
  <c r="A480" i="23" s="1"/>
  <c r="A460" i="23"/>
  <c r="A479" i="23" s="1"/>
  <c r="A459" i="23"/>
  <c r="A478" i="23" s="1"/>
  <c r="A490" i="23" s="1"/>
  <c r="P455" i="23"/>
  <c r="O455" i="23"/>
  <c r="L455" i="23"/>
  <c r="C455" i="23"/>
  <c r="B455" i="23"/>
  <c r="P453" i="23"/>
  <c r="O453" i="23"/>
  <c r="L453" i="23"/>
  <c r="C453" i="23"/>
  <c r="B453" i="23"/>
  <c r="P452" i="23"/>
  <c r="O452" i="23"/>
  <c r="L452" i="23"/>
  <c r="C452" i="23"/>
  <c r="B452" i="23"/>
  <c r="P451" i="23"/>
  <c r="O451" i="23"/>
  <c r="L451" i="23"/>
  <c r="C451" i="23"/>
  <c r="B451" i="23"/>
  <c r="P446" i="23"/>
  <c r="O446" i="23"/>
  <c r="L446" i="23"/>
  <c r="C446" i="23"/>
  <c r="B446" i="23"/>
  <c r="P444" i="23"/>
  <c r="O444" i="23"/>
  <c r="L444" i="23"/>
  <c r="C444" i="23"/>
  <c r="B444" i="23"/>
  <c r="P442" i="23"/>
  <c r="O442" i="23"/>
  <c r="L442" i="23"/>
  <c r="C442" i="23"/>
  <c r="B442" i="23"/>
  <c r="P441" i="23"/>
  <c r="O441" i="23"/>
  <c r="L441" i="23"/>
  <c r="C441" i="23"/>
  <c r="B441" i="23"/>
  <c r="A406" i="23"/>
  <c r="A370" i="23"/>
  <c r="A368" i="23"/>
  <c r="A405" i="23" s="1"/>
  <c r="A367" i="23"/>
  <c r="A366" i="23"/>
  <c r="A365" i="23"/>
  <c r="A363" i="23"/>
  <c r="A380" i="23" s="1"/>
  <c r="A392" i="23" s="1"/>
  <c r="A362" i="23"/>
  <c r="A361" i="23"/>
  <c r="A379" i="23" s="1"/>
  <c r="A360" i="23"/>
  <c r="A378" i="23" s="1"/>
  <c r="A402" i="23" s="1"/>
  <c r="A359" i="23"/>
  <c r="A377" i="23" s="1"/>
  <c r="A401" i="23" s="1"/>
  <c r="A358" i="23"/>
  <c r="A357" i="23"/>
  <c r="A376" i="23" s="1"/>
  <c r="A356" i="23"/>
  <c r="A375" i="23" s="1"/>
  <c r="A399" i="23" s="1"/>
  <c r="A355" i="23"/>
  <c r="A374" i="23" s="1"/>
  <c r="A354" i="23"/>
  <c r="A373" i="23" s="1"/>
  <c r="P350" i="23"/>
  <c r="O350" i="23"/>
  <c r="L350" i="23"/>
  <c r="C350" i="23"/>
  <c r="B350" i="23"/>
  <c r="P348" i="23"/>
  <c r="O348" i="23"/>
  <c r="L348" i="23"/>
  <c r="C348" i="23"/>
  <c r="B348" i="23"/>
  <c r="P347" i="23"/>
  <c r="O347" i="23"/>
  <c r="L347" i="23"/>
  <c r="C347" i="23"/>
  <c r="B347" i="23"/>
  <c r="P346" i="23"/>
  <c r="O346" i="23"/>
  <c r="L346" i="23"/>
  <c r="C346" i="23"/>
  <c r="B346" i="23"/>
  <c r="P341" i="23"/>
  <c r="O341" i="23"/>
  <c r="L341" i="23"/>
  <c r="C341" i="23"/>
  <c r="B341" i="23"/>
  <c r="P339" i="23"/>
  <c r="O339" i="23"/>
  <c r="L339" i="23"/>
  <c r="C339" i="23"/>
  <c r="B339" i="23"/>
  <c r="P337" i="23"/>
  <c r="O337" i="23"/>
  <c r="L337" i="23"/>
  <c r="C337" i="23"/>
  <c r="B337" i="23"/>
  <c r="P336" i="23"/>
  <c r="O336" i="23"/>
  <c r="L336" i="23"/>
  <c r="C336" i="23"/>
  <c r="B336" i="23"/>
  <c r="A297" i="23"/>
  <c r="A261" i="23"/>
  <c r="A259" i="23"/>
  <c r="A296" i="23" s="1"/>
  <c r="A258" i="23"/>
  <c r="A257" i="23"/>
  <c r="A256" i="23"/>
  <c r="A254" i="23"/>
  <c r="A271" i="23" s="1"/>
  <c r="A253" i="23"/>
  <c r="A252" i="23"/>
  <c r="A270" i="23" s="1"/>
  <c r="A251" i="23"/>
  <c r="A269" i="23" s="1"/>
  <c r="A250" i="23"/>
  <c r="A268" i="23" s="1"/>
  <c r="A249" i="23"/>
  <c r="A248" i="23"/>
  <c r="A267" i="23" s="1"/>
  <c r="A247" i="23"/>
  <c r="A266" i="23" s="1"/>
  <c r="A278" i="23" s="1"/>
  <c r="A246" i="23"/>
  <c r="A265" i="23" s="1"/>
  <c r="A245" i="23"/>
  <c r="A264" i="23" s="1"/>
  <c r="P241" i="23"/>
  <c r="O241" i="23"/>
  <c r="L241" i="23"/>
  <c r="C241" i="23"/>
  <c r="B241" i="23"/>
  <c r="P239" i="23"/>
  <c r="O239" i="23"/>
  <c r="L239" i="23"/>
  <c r="C239" i="23"/>
  <c r="B239" i="23"/>
  <c r="P238" i="23"/>
  <c r="O238" i="23"/>
  <c r="L238" i="23"/>
  <c r="C238" i="23"/>
  <c r="B238" i="23"/>
  <c r="P237" i="23"/>
  <c r="O237" i="23"/>
  <c r="L237" i="23"/>
  <c r="C237" i="23"/>
  <c r="B237" i="23"/>
  <c r="P232" i="23"/>
  <c r="O232" i="23"/>
  <c r="L232" i="23"/>
  <c r="C232" i="23"/>
  <c r="B232" i="23"/>
  <c r="P230" i="23"/>
  <c r="O230" i="23"/>
  <c r="L230" i="23"/>
  <c r="C230" i="23"/>
  <c r="B230" i="23"/>
  <c r="P228" i="23"/>
  <c r="O228" i="23"/>
  <c r="L228" i="23"/>
  <c r="C228" i="23"/>
  <c r="B228" i="23"/>
  <c r="P227" i="23"/>
  <c r="O227" i="23"/>
  <c r="L227" i="23"/>
  <c r="C227" i="23"/>
  <c r="B227" i="23"/>
  <c r="A189" i="23"/>
  <c r="A153" i="23"/>
  <c r="A151" i="23"/>
  <c r="A188" i="23" s="1"/>
  <c r="A150" i="23"/>
  <c r="A149" i="23"/>
  <c r="A148" i="23"/>
  <c r="A163" i="23"/>
  <c r="A145" i="23"/>
  <c r="A144" i="23"/>
  <c r="A162" i="23" s="1"/>
  <c r="A143" i="23"/>
  <c r="A161" i="23" s="1"/>
  <c r="A185" i="23" s="1"/>
  <c r="A142" i="23"/>
  <c r="A160" i="23" s="1"/>
  <c r="A184" i="23" s="1"/>
  <c r="A141" i="23"/>
  <c r="A140" i="23"/>
  <c r="A159" i="23" s="1"/>
  <c r="A171" i="23" s="1"/>
  <c r="A139" i="23"/>
  <c r="A158" i="23" s="1"/>
  <c r="A138" i="23"/>
  <c r="A157" i="23" s="1"/>
  <c r="A181" i="23" s="1"/>
  <c r="A137" i="23"/>
  <c r="A156" i="23" s="1"/>
  <c r="P133" i="23"/>
  <c r="O133" i="23"/>
  <c r="L133" i="23"/>
  <c r="C133" i="23"/>
  <c r="B133" i="23"/>
  <c r="P131" i="23"/>
  <c r="O131" i="23"/>
  <c r="L131" i="23"/>
  <c r="C131" i="23"/>
  <c r="B131" i="23"/>
  <c r="P130" i="23"/>
  <c r="O130" i="23"/>
  <c r="L130" i="23"/>
  <c r="C130" i="23"/>
  <c r="B130" i="23"/>
  <c r="P129" i="23"/>
  <c r="O129" i="23"/>
  <c r="L129" i="23"/>
  <c r="C129" i="23"/>
  <c r="B129" i="23"/>
  <c r="P124" i="23"/>
  <c r="O124" i="23"/>
  <c r="L124" i="23"/>
  <c r="C124" i="23"/>
  <c r="B124" i="23"/>
  <c r="P122" i="23"/>
  <c r="O122" i="23"/>
  <c r="L122" i="23"/>
  <c r="C122" i="23"/>
  <c r="B122" i="23"/>
  <c r="P120" i="23"/>
  <c r="O120" i="23"/>
  <c r="L120" i="23"/>
  <c r="C120" i="23"/>
  <c r="B120" i="23"/>
  <c r="P119" i="23"/>
  <c r="O119" i="23"/>
  <c r="L119" i="23"/>
  <c r="C119" i="23"/>
  <c r="B119" i="23"/>
  <c r="A83" i="23"/>
  <c r="A47" i="23"/>
  <c r="A45" i="23"/>
  <c r="A82" i="23" s="1"/>
  <c r="A44" i="23"/>
  <c r="A43" i="23"/>
  <c r="A42" i="23"/>
  <c r="A40" i="23"/>
  <c r="A57" i="23" s="1"/>
  <c r="A39" i="23"/>
  <c r="A38" i="23"/>
  <c r="A56" i="23" s="1"/>
  <c r="A37" i="23"/>
  <c r="A55" i="23" s="1"/>
  <c r="A36" i="23"/>
  <c r="A54" i="23" s="1"/>
  <c r="A35" i="23"/>
  <c r="A34" i="23"/>
  <c r="A53" i="23" s="1"/>
  <c r="AW33" i="23"/>
  <c r="AT33" i="23"/>
  <c r="A33" i="23"/>
  <c r="A52" i="23" s="1"/>
  <c r="AW32" i="23"/>
  <c r="AT32" i="23"/>
  <c r="A32" i="23"/>
  <c r="A51" i="23" s="1"/>
  <c r="AW31" i="23"/>
  <c r="AT31" i="23"/>
  <c r="A31" i="23"/>
  <c r="A50" i="23" s="1"/>
  <c r="AZ30" i="23"/>
  <c r="AY30" i="23"/>
  <c r="AX30" i="23"/>
  <c r="AW30" i="23"/>
  <c r="AV30" i="23"/>
  <c r="AU30" i="23"/>
  <c r="AT30" i="23"/>
  <c r="AX29" i="23"/>
  <c r="AW27" i="23"/>
  <c r="AT27" i="23"/>
  <c r="P27" i="23"/>
  <c r="O27" i="23"/>
  <c r="L27" i="23"/>
  <c r="AX27" i="23" s="1"/>
  <c r="C27" i="23"/>
  <c r="AV27" i="23" s="1"/>
  <c r="B27" i="23"/>
  <c r="AW26" i="23"/>
  <c r="AT26" i="23"/>
  <c r="AW25" i="23"/>
  <c r="AT25" i="23"/>
  <c r="P25" i="23"/>
  <c r="O25" i="23"/>
  <c r="L25" i="23"/>
  <c r="C25" i="23"/>
  <c r="AV25" i="23" s="1"/>
  <c r="B25" i="23"/>
  <c r="AW24" i="23"/>
  <c r="AT24" i="23"/>
  <c r="P24" i="23"/>
  <c r="O24" i="23"/>
  <c r="AY24" i="23" s="1"/>
  <c r="L24" i="23"/>
  <c r="C24" i="23"/>
  <c r="AV24" i="23" s="1"/>
  <c r="B24" i="23"/>
  <c r="AW23" i="23"/>
  <c r="AT23" i="23"/>
  <c r="P23" i="23"/>
  <c r="O23" i="23"/>
  <c r="AY17" i="23" s="1"/>
  <c r="L23" i="23"/>
  <c r="AX17" i="23" s="1"/>
  <c r="C23" i="23"/>
  <c r="AV17" i="23" s="1"/>
  <c r="B23" i="23"/>
  <c r="AW22" i="23"/>
  <c r="AT22" i="23"/>
  <c r="AT20" i="23"/>
  <c r="P18" i="23"/>
  <c r="O18" i="23"/>
  <c r="AY15" i="23" s="1"/>
  <c r="C18" i="23"/>
  <c r="AV15" i="23" s="1"/>
  <c r="B18" i="23"/>
  <c r="AU15" i="23" s="1"/>
  <c r="AW17" i="23"/>
  <c r="AT17" i="23"/>
  <c r="AW16" i="23"/>
  <c r="AT16" i="23"/>
  <c r="P16" i="23"/>
  <c r="O16" i="23"/>
  <c r="AY14" i="23" s="1"/>
  <c r="C16" i="23"/>
  <c r="AV14" i="23" s="1"/>
  <c r="B16" i="23"/>
  <c r="AU14" i="23" s="1"/>
  <c r="AW15" i="23"/>
  <c r="AT15" i="23"/>
  <c r="AW14" i="23"/>
  <c r="AT14" i="23"/>
  <c r="P14" i="23"/>
  <c r="O14" i="23"/>
  <c r="AY23" i="23" s="1"/>
  <c r="L14" i="23"/>
  <c r="AX23" i="23" s="1"/>
  <c r="C14" i="23"/>
  <c r="AV23" i="23" s="1"/>
  <c r="B14" i="23"/>
  <c r="AU23" i="23" s="1"/>
  <c r="AW13" i="23"/>
  <c r="AT13" i="23"/>
  <c r="P13" i="23"/>
  <c r="O13" i="23"/>
  <c r="AY22" i="23" s="1"/>
  <c r="L13" i="23"/>
  <c r="AX22" i="23" s="1"/>
  <c r="C13" i="23"/>
  <c r="AV22" i="23" s="1"/>
  <c r="B13" i="23"/>
  <c r="AU22" i="23" s="1"/>
  <c r="AW12" i="23"/>
  <c r="AT12" i="23"/>
  <c r="AW11" i="23"/>
  <c r="AT11" i="23"/>
  <c r="AZ10" i="23"/>
  <c r="AY10" i="23"/>
  <c r="AX10" i="23"/>
  <c r="AW10" i="23"/>
  <c r="AV10" i="23"/>
  <c r="AU10" i="23"/>
  <c r="AX9" i="23"/>
  <c r="P450" i="22"/>
  <c r="O450" i="22"/>
  <c r="L450" i="22"/>
  <c r="P448" i="22"/>
  <c r="O448" i="22"/>
  <c r="L448" i="22"/>
  <c r="P447" i="22"/>
  <c r="O447" i="22"/>
  <c r="L447" i="22"/>
  <c r="P345" i="22"/>
  <c r="O345" i="22"/>
  <c r="L345" i="22"/>
  <c r="P343" i="22"/>
  <c r="O343" i="22"/>
  <c r="L343" i="22"/>
  <c r="P342" i="22"/>
  <c r="O342" i="22"/>
  <c r="L342" i="22"/>
  <c r="P236" i="22"/>
  <c r="O236" i="22"/>
  <c r="L236" i="22"/>
  <c r="P234" i="22"/>
  <c r="O234" i="22"/>
  <c r="L234" i="22"/>
  <c r="P233" i="22"/>
  <c r="O233" i="22"/>
  <c r="L233" i="22"/>
  <c r="P128" i="22"/>
  <c r="O128" i="22"/>
  <c r="L128" i="22"/>
  <c r="P126" i="22"/>
  <c r="O126" i="22"/>
  <c r="L126" i="22"/>
  <c r="P125" i="22"/>
  <c r="O125" i="22"/>
  <c r="L125" i="22"/>
  <c r="C450" i="22"/>
  <c r="B450" i="22"/>
  <c r="C448" i="22"/>
  <c r="B448" i="22"/>
  <c r="C447" i="22"/>
  <c r="B447" i="22"/>
  <c r="C345" i="22"/>
  <c r="B345" i="22"/>
  <c r="C343" i="22"/>
  <c r="B343" i="22"/>
  <c r="C342" i="22"/>
  <c r="B342" i="22"/>
  <c r="C236" i="22"/>
  <c r="B236" i="22"/>
  <c r="C234" i="22"/>
  <c r="B234" i="22"/>
  <c r="C233" i="22"/>
  <c r="B233" i="22"/>
  <c r="C128" i="22"/>
  <c r="B128" i="22"/>
  <c r="C126" i="22"/>
  <c r="B126" i="22"/>
  <c r="C125" i="22"/>
  <c r="B125" i="22"/>
  <c r="P445" i="22"/>
  <c r="O445" i="22"/>
  <c r="L445" i="22"/>
  <c r="P340" i="22"/>
  <c r="O340" i="22"/>
  <c r="L340" i="22"/>
  <c r="P231" i="22"/>
  <c r="O231" i="22"/>
  <c r="L231" i="22"/>
  <c r="P123" i="22"/>
  <c r="O123" i="22"/>
  <c r="L123" i="22"/>
  <c r="C445" i="22"/>
  <c r="B445" i="22"/>
  <c r="C340" i="22"/>
  <c r="B340" i="22"/>
  <c r="C231" i="22"/>
  <c r="B231" i="22"/>
  <c r="C123" i="22"/>
  <c r="B123" i="22"/>
  <c r="P443" i="22"/>
  <c r="O443" i="22"/>
  <c r="L443" i="22"/>
  <c r="P338" i="22"/>
  <c r="O338" i="22"/>
  <c r="L338" i="22"/>
  <c r="P229" i="22"/>
  <c r="O229" i="22"/>
  <c r="L229" i="22"/>
  <c r="P121" i="22"/>
  <c r="O121" i="22"/>
  <c r="L121" i="22"/>
  <c r="C443" i="22"/>
  <c r="B443" i="22"/>
  <c r="C338" i="22"/>
  <c r="B338" i="22"/>
  <c r="C229" i="22"/>
  <c r="B229" i="22"/>
  <c r="C121" i="22"/>
  <c r="B121" i="22"/>
  <c r="P440" i="22"/>
  <c r="O440" i="22"/>
  <c r="L440" i="22"/>
  <c r="P439" i="22"/>
  <c r="O439" i="22"/>
  <c r="L439" i="22"/>
  <c r="P335" i="22"/>
  <c r="O335" i="22"/>
  <c r="L335" i="22"/>
  <c r="P334" i="22"/>
  <c r="O334" i="22"/>
  <c r="L334" i="22"/>
  <c r="P226" i="22"/>
  <c r="O226" i="22"/>
  <c r="L226" i="22"/>
  <c r="P225" i="22"/>
  <c r="O225" i="22"/>
  <c r="L225" i="22"/>
  <c r="P118" i="22"/>
  <c r="O118" i="22"/>
  <c r="L118" i="22"/>
  <c r="P117" i="22"/>
  <c r="O117" i="22"/>
  <c r="L117" i="22"/>
  <c r="C440" i="22"/>
  <c r="B440" i="22"/>
  <c r="C439" i="22"/>
  <c r="B439" i="22"/>
  <c r="C335" i="22"/>
  <c r="B335" i="22"/>
  <c r="C334" i="22"/>
  <c r="B334" i="22"/>
  <c r="C226" i="22"/>
  <c r="B226" i="22"/>
  <c r="C225" i="22"/>
  <c r="B225" i="22"/>
  <c r="C118" i="22"/>
  <c r="B118" i="22"/>
  <c r="C117" i="22"/>
  <c r="B117" i="22"/>
  <c r="P22" i="22"/>
  <c r="P20" i="22"/>
  <c r="P19" i="22"/>
  <c r="P17" i="22"/>
  <c r="P15" i="22"/>
  <c r="AZ13" i="22" s="1"/>
  <c r="P12" i="22"/>
  <c r="AZ12" i="22" s="1"/>
  <c r="P11" i="22"/>
  <c r="O22" i="22"/>
  <c r="O20" i="22"/>
  <c r="O19" i="22"/>
  <c r="AY32" i="22" s="1"/>
  <c r="O17" i="22"/>
  <c r="AY31" i="22" s="1"/>
  <c r="O15" i="22"/>
  <c r="O12" i="22"/>
  <c r="AY12" i="22" s="1"/>
  <c r="O11" i="22"/>
  <c r="AY11" i="22" s="1"/>
  <c r="L22" i="22"/>
  <c r="AX16" i="22" s="1"/>
  <c r="L20" i="22"/>
  <c r="L19" i="22"/>
  <c r="L17" i="22"/>
  <c r="L15" i="22"/>
  <c r="L12" i="22"/>
  <c r="L11" i="22"/>
  <c r="C22" i="22"/>
  <c r="AV16" i="22" s="1"/>
  <c r="C20" i="22"/>
  <c r="C19" i="22"/>
  <c r="C17" i="22"/>
  <c r="AV31" i="22" s="1"/>
  <c r="C15" i="22"/>
  <c r="AV13" i="22" s="1"/>
  <c r="C12" i="22"/>
  <c r="AV12" i="22" s="1"/>
  <c r="C11" i="22"/>
  <c r="AV11" i="22" s="1"/>
  <c r="B22" i="22"/>
  <c r="AU16" i="22" s="1"/>
  <c r="B20" i="22"/>
  <c r="AU33" i="22" s="1"/>
  <c r="B19" i="22"/>
  <c r="AU32" i="22" s="1"/>
  <c r="B17" i="22"/>
  <c r="B15" i="22"/>
  <c r="AU13" i="22" s="1"/>
  <c r="B12" i="22"/>
  <c r="AU12" i="22" s="1"/>
  <c r="B11" i="22"/>
  <c r="A511" i="22"/>
  <c r="A475" i="22"/>
  <c r="A473" i="22"/>
  <c r="A510" i="22" s="1"/>
  <c r="A472" i="22"/>
  <c r="A471" i="22"/>
  <c r="A470" i="22"/>
  <c r="A468" i="22"/>
  <c r="A485" i="22" s="1"/>
  <c r="A467" i="22"/>
  <c r="A466" i="22"/>
  <c r="A484" i="22" s="1"/>
  <c r="A465" i="22"/>
  <c r="A483" i="22" s="1"/>
  <c r="A464" i="22"/>
  <c r="A482" i="22" s="1"/>
  <c r="A463" i="22"/>
  <c r="A462" i="22"/>
  <c r="A481" i="22" s="1"/>
  <c r="A461" i="22"/>
  <c r="A480" i="22" s="1"/>
  <c r="A460" i="22"/>
  <c r="A479" i="22" s="1"/>
  <c r="A459" i="22"/>
  <c r="A478" i="22" s="1"/>
  <c r="P455" i="22"/>
  <c r="O455" i="22"/>
  <c r="L455" i="22"/>
  <c r="C455" i="22"/>
  <c r="B455" i="22"/>
  <c r="C453" i="22"/>
  <c r="B453" i="22"/>
  <c r="P452" i="22"/>
  <c r="O452" i="22"/>
  <c r="L452" i="22"/>
  <c r="C452" i="22"/>
  <c r="B452" i="22"/>
  <c r="P451" i="22"/>
  <c r="O451" i="22"/>
  <c r="L451" i="22"/>
  <c r="C451" i="22"/>
  <c r="B451" i="22"/>
  <c r="P446" i="22"/>
  <c r="O446" i="22"/>
  <c r="L446" i="22"/>
  <c r="C446" i="22"/>
  <c r="B446" i="22"/>
  <c r="P444" i="22"/>
  <c r="O444" i="22"/>
  <c r="L444" i="22"/>
  <c r="C444" i="22"/>
  <c r="B444" i="22"/>
  <c r="P442" i="22"/>
  <c r="O442" i="22"/>
  <c r="L442" i="22"/>
  <c r="C442" i="22"/>
  <c r="B442" i="22"/>
  <c r="P441" i="22"/>
  <c r="O441" i="22"/>
  <c r="L441" i="22"/>
  <c r="C441" i="22"/>
  <c r="B441" i="22"/>
  <c r="A406" i="22"/>
  <c r="A370" i="22"/>
  <c r="A368" i="22"/>
  <c r="A405" i="22" s="1"/>
  <c r="A367" i="22"/>
  <c r="A366" i="22"/>
  <c r="A365" i="22"/>
  <c r="A363" i="22"/>
  <c r="A380" i="22" s="1"/>
  <c r="A362" i="22"/>
  <c r="A361" i="22"/>
  <c r="A379" i="22" s="1"/>
  <c r="A360" i="22"/>
  <c r="A378" i="22" s="1"/>
  <c r="A402" i="22" s="1"/>
  <c r="A359" i="22"/>
  <c r="A377" i="22" s="1"/>
  <c r="A401" i="22" s="1"/>
  <c r="A358" i="22"/>
  <c r="A357" i="22"/>
  <c r="A376" i="22" s="1"/>
  <c r="A356" i="22"/>
  <c r="A375" i="22" s="1"/>
  <c r="A355" i="22"/>
  <c r="A374" i="22" s="1"/>
  <c r="A354" i="22"/>
  <c r="A373" i="22" s="1"/>
  <c r="P350" i="22"/>
  <c r="O350" i="22"/>
  <c r="L350" i="22"/>
  <c r="C350" i="22"/>
  <c r="B350" i="22"/>
  <c r="P348" i="22"/>
  <c r="O348" i="22"/>
  <c r="L348" i="22"/>
  <c r="C348" i="22"/>
  <c r="B348" i="22"/>
  <c r="P347" i="22"/>
  <c r="O347" i="22"/>
  <c r="L347" i="22"/>
  <c r="C347" i="22"/>
  <c r="B347" i="22"/>
  <c r="P346" i="22"/>
  <c r="O346" i="22"/>
  <c r="L346" i="22"/>
  <c r="C346" i="22"/>
  <c r="B346" i="22"/>
  <c r="P341" i="22"/>
  <c r="O341" i="22"/>
  <c r="L341" i="22"/>
  <c r="C341" i="22"/>
  <c r="B341" i="22"/>
  <c r="P339" i="22"/>
  <c r="O339" i="22"/>
  <c r="L339" i="22"/>
  <c r="C339" i="22"/>
  <c r="B339" i="22"/>
  <c r="P337" i="22"/>
  <c r="O337" i="22"/>
  <c r="L337" i="22"/>
  <c r="C337" i="22"/>
  <c r="B337" i="22"/>
  <c r="P336" i="22"/>
  <c r="O336" i="22"/>
  <c r="L336" i="22"/>
  <c r="C336" i="22"/>
  <c r="B336" i="22"/>
  <c r="A297" i="22"/>
  <c r="A261" i="22"/>
  <c r="A259" i="22"/>
  <c r="A296" i="22" s="1"/>
  <c r="A258" i="22"/>
  <c r="A257" i="22"/>
  <c r="A256" i="22"/>
  <c r="A254" i="22"/>
  <c r="A271" i="22" s="1"/>
  <c r="A295" i="22" s="1"/>
  <c r="A253" i="22"/>
  <c r="A252" i="22"/>
  <c r="A270" i="22" s="1"/>
  <c r="A251" i="22"/>
  <c r="A269" i="22" s="1"/>
  <c r="A250" i="22"/>
  <c r="A268" i="22" s="1"/>
  <c r="A249" i="22"/>
  <c r="A248" i="22"/>
  <c r="A267" i="22" s="1"/>
  <c r="A247" i="22"/>
  <c r="A266" i="22" s="1"/>
  <c r="A246" i="22"/>
  <c r="A265" i="22" s="1"/>
  <c r="A245" i="22"/>
  <c r="A264" i="22" s="1"/>
  <c r="A276" i="22" s="1"/>
  <c r="P241" i="22"/>
  <c r="O241" i="22"/>
  <c r="L241" i="22"/>
  <c r="C241" i="22"/>
  <c r="B241" i="22"/>
  <c r="P239" i="22"/>
  <c r="O239" i="22"/>
  <c r="L239" i="22"/>
  <c r="C239" i="22"/>
  <c r="B239" i="22"/>
  <c r="P238" i="22"/>
  <c r="O238" i="22"/>
  <c r="L238" i="22"/>
  <c r="C238" i="22"/>
  <c r="B238" i="22"/>
  <c r="P237" i="22"/>
  <c r="O237" i="22"/>
  <c r="L237" i="22"/>
  <c r="C237" i="22"/>
  <c r="B237" i="22"/>
  <c r="P232" i="22"/>
  <c r="O232" i="22"/>
  <c r="L232" i="22"/>
  <c r="C232" i="22"/>
  <c r="B232" i="22"/>
  <c r="P230" i="22"/>
  <c r="O230" i="22"/>
  <c r="L230" i="22"/>
  <c r="C230" i="22"/>
  <c r="B230" i="22"/>
  <c r="P228" i="22"/>
  <c r="O228" i="22"/>
  <c r="L228" i="22"/>
  <c r="C228" i="22"/>
  <c r="B228" i="22"/>
  <c r="P227" i="22"/>
  <c r="O227" i="22"/>
  <c r="L227" i="22"/>
  <c r="C227" i="22"/>
  <c r="B227" i="22"/>
  <c r="A189" i="22"/>
  <c r="A153" i="22"/>
  <c r="A151" i="22"/>
  <c r="A188" i="22" s="1"/>
  <c r="A150" i="22"/>
  <c r="A149" i="22"/>
  <c r="A148" i="22"/>
  <c r="A146" i="22"/>
  <c r="A163" i="22" s="1"/>
  <c r="A145" i="22"/>
  <c r="A144" i="22"/>
  <c r="A162" i="22" s="1"/>
  <c r="A143" i="22"/>
  <c r="A161" i="22" s="1"/>
  <c r="A185" i="22" s="1"/>
  <c r="A142" i="22"/>
  <c r="A160" i="22" s="1"/>
  <c r="A141" i="22"/>
  <c r="A140" i="22"/>
  <c r="A159" i="22" s="1"/>
  <c r="A139" i="22"/>
  <c r="A158" i="22" s="1"/>
  <c r="A170" i="22" s="1"/>
  <c r="A138" i="22"/>
  <c r="A157" i="22" s="1"/>
  <c r="A137" i="22"/>
  <c r="A156" i="22" s="1"/>
  <c r="P133" i="22"/>
  <c r="O133" i="22"/>
  <c r="L133" i="22"/>
  <c r="C133" i="22"/>
  <c r="B133" i="22"/>
  <c r="P131" i="22"/>
  <c r="O131" i="22"/>
  <c r="L131" i="22"/>
  <c r="C131" i="22"/>
  <c r="B131" i="22"/>
  <c r="P130" i="22"/>
  <c r="O130" i="22"/>
  <c r="L130" i="22"/>
  <c r="C130" i="22"/>
  <c r="B130" i="22"/>
  <c r="P129" i="22"/>
  <c r="O129" i="22"/>
  <c r="L129" i="22"/>
  <c r="C129" i="22"/>
  <c r="B129" i="22"/>
  <c r="P124" i="22"/>
  <c r="O124" i="22"/>
  <c r="L124" i="22"/>
  <c r="C124" i="22"/>
  <c r="B124" i="22"/>
  <c r="P122" i="22"/>
  <c r="O122" i="22"/>
  <c r="L122" i="22"/>
  <c r="C122" i="22"/>
  <c r="B122" i="22"/>
  <c r="P120" i="22"/>
  <c r="O120" i="22"/>
  <c r="L120" i="22"/>
  <c r="C120" i="22"/>
  <c r="B120" i="22"/>
  <c r="P119" i="22"/>
  <c r="O119" i="22"/>
  <c r="L119" i="22"/>
  <c r="C119" i="22"/>
  <c r="B119" i="22"/>
  <c r="A83" i="22"/>
  <c r="A47" i="22"/>
  <c r="A45" i="22"/>
  <c r="A82" i="22" s="1"/>
  <c r="A44" i="22"/>
  <c r="A43" i="22"/>
  <c r="A42" i="22"/>
  <c r="A40" i="22"/>
  <c r="A57" i="22" s="1"/>
  <c r="A81" i="22" s="1"/>
  <c r="A39" i="22"/>
  <c r="A38" i="22"/>
  <c r="A56" i="22" s="1"/>
  <c r="A37" i="22"/>
  <c r="A55" i="22" s="1"/>
  <c r="A36" i="22"/>
  <c r="A54" i="22" s="1"/>
  <c r="A35" i="22"/>
  <c r="A34" i="22"/>
  <c r="A53" i="22" s="1"/>
  <c r="AW33" i="22"/>
  <c r="AT33" i="22"/>
  <c r="A33" i="22"/>
  <c r="A52" i="22" s="1"/>
  <c r="AW32" i="22"/>
  <c r="AT32" i="22"/>
  <c r="A32" i="22"/>
  <c r="A51" i="22" s="1"/>
  <c r="AW31" i="22"/>
  <c r="AT31" i="22"/>
  <c r="A31" i="22"/>
  <c r="A50" i="22" s="1"/>
  <c r="A62" i="22" s="1"/>
  <c r="AZ30" i="22"/>
  <c r="AY30" i="22"/>
  <c r="AX30" i="22"/>
  <c r="AW30" i="22"/>
  <c r="AV30" i="22"/>
  <c r="AU30" i="22"/>
  <c r="AT30" i="22"/>
  <c r="AX29" i="22"/>
  <c r="AW27" i="22"/>
  <c r="AT27" i="22"/>
  <c r="P27" i="22"/>
  <c r="O27" i="22"/>
  <c r="L27" i="22"/>
  <c r="C27" i="22"/>
  <c r="AV27" i="22" s="1"/>
  <c r="B27" i="22"/>
  <c r="AW26" i="22"/>
  <c r="AT26" i="22"/>
  <c r="AW25" i="22"/>
  <c r="AT25" i="22"/>
  <c r="P25" i="22"/>
  <c r="O25" i="22"/>
  <c r="L25" i="22"/>
  <c r="C25" i="22"/>
  <c r="AV25" i="22" s="1"/>
  <c r="B25" i="22"/>
  <c r="AW24" i="22"/>
  <c r="AT24" i="22"/>
  <c r="P24" i="22"/>
  <c r="AZ24" i="22" s="1"/>
  <c r="O24" i="22"/>
  <c r="L24" i="22"/>
  <c r="C24" i="22"/>
  <c r="AV24" i="22" s="1"/>
  <c r="B24" i="22"/>
  <c r="AW23" i="22"/>
  <c r="AT23" i="22"/>
  <c r="P23" i="22"/>
  <c r="AZ17" i="22" s="1"/>
  <c r="O23" i="22"/>
  <c r="AY17" i="22" s="1"/>
  <c r="L23" i="22"/>
  <c r="AX17" i="22" s="1"/>
  <c r="C23" i="22"/>
  <c r="AV17" i="22" s="1"/>
  <c r="B23" i="22"/>
  <c r="AU17" i="22" s="1"/>
  <c r="AW22" i="22"/>
  <c r="AT22" i="22"/>
  <c r="AT20" i="22"/>
  <c r="P18" i="22"/>
  <c r="AZ15" i="22" s="1"/>
  <c r="O18" i="22"/>
  <c r="L18" i="22"/>
  <c r="AX15" i="22" s="1"/>
  <c r="C18" i="22"/>
  <c r="AV15" i="22" s="1"/>
  <c r="B18" i="22"/>
  <c r="AU15" i="22" s="1"/>
  <c r="AW17" i="22"/>
  <c r="AT17" i="22"/>
  <c r="AW16" i="22"/>
  <c r="AT16" i="22"/>
  <c r="P16" i="22"/>
  <c r="O16" i="22"/>
  <c r="AY14" i="22" s="1"/>
  <c r="L16" i="22"/>
  <c r="AX14" i="22" s="1"/>
  <c r="C16" i="22"/>
  <c r="AV14" i="22" s="1"/>
  <c r="B16" i="22"/>
  <c r="AU14" i="22" s="1"/>
  <c r="AW15" i="22"/>
  <c r="AT15" i="22"/>
  <c r="AW14" i="22"/>
  <c r="AT14" i="22"/>
  <c r="P14" i="22"/>
  <c r="O14" i="22"/>
  <c r="AY23" i="22" s="1"/>
  <c r="L14" i="22"/>
  <c r="C14" i="22"/>
  <c r="AV23" i="22" s="1"/>
  <c r="B14" i="22"/>
  <c r="AW13" i="22"/>
  <c r="AT13" i="22"/>
  <c r="P13" i="22"/>
  <c r="O13" i="22"/>
  <c r="AY22" i="22" s="1"/>
  <c r="L13" i="22"/>
  <c r="AX22" i="22" s="1"/>
  <c r="C13" i="22"/>
  <c r="AV22" i="22" s="1"/>
  <c r="B13" i="22"/>
  <c r="AW12" i="22"/>
  <c r="AT12" i="22"/>
  <c r="AW11" i="22"/>
  <c r="AT11" i="22"/>
  <c r="AZ10" i="22"/>
  <c r="AY10" i="22"/>
  <c r="AX10" i="22"/>
  <c r="AW10" i="22"/>
  <c r="AV10" i="22"/>
  <c r="AU10" i="22"/>
  <c r="AX9" i="22"/>
  <c r="AT29" i="22"/>
  <c r="P450" i="21"/>
  <c r="O450" i="21"/>
  <c r="L450" i="21"/>
  <c r="P345" i="21"/>
  <c r="O345" i="21"/>
  <c r="L345" i="21"/>
  <c r="P236" i="21"/>
  <c r="O236" i="21"/>
  <c r="L236" i="21"/>
  <c r="P128" i="21"/>
  <c r="O128" i="21"/>
  <c r="L128" i="21"/>
  <c r="C450" i="21"/>
  <c r="B450" i="21"/>
  <c r="C345" i="21"/>
  <c r="B345" i="21"/>
  <c r="C236" i="21"/>
  <c r="B236" i="21"/>
  <c r="C128" i="21"/>
  <c r="B128" i="21"/>
  <c r="P448" i="21"/>
  <c r="O448" i="21"/>
  <c r="L448" i="21"/>
  <c r="P447" i="21"/>
  <c r="O447" i="21"/>
  <c r="L447" i="21"/>
  <c r="P343" i="21"/>
  <c r="O343" i="21"/>
  <c r="L343" i="21"/>
  <c r="P342" i="21"/>
  <c r="O342" i="21"/>
  <c r="L342" i="21"/>
  <c r="P234" i="21"/>
  <c r="O234" i="21"/>
  <c r="L234" i="21"/>
  <c r="P233" i="21"/>
  <c r="O233" i="21"/>
  <c r="L233" i="21"/>
  <c r="P126" i="21"/>
  <c r="O126" i="21"/>
  <c r="L126" i="21"/>
  <c r="P125" i="21"/>
  <c r="O125" i="21"/>
  <c r="L125" i="21"/>
  <c r="C448" i="21"/>
  <c r="B448" i="21"/>
  <c r="C447" i="21"/>
  <c r="B447" i="21"/>
  <c r="C343" i="21"/>
  <c r="B343" i="21"/>
  <c r="C342" i="21"/>
  <c r="B342" i="21"/>
  <c r="C234" i="21"/>
  <c r="B234" i="21"/>
  <c r="C233" i="21"/>
  <c r="B233" i="21"/>
  <c r="C126" i="21"/>
  <c r="B126" i="21"/>
  <c r="C125" i="21"/>
  <c r="B125" i="21"/>
  <c r="P445" i="21"/>
  <c r="O445" i="21"/>
  <c r="L445" i="21"/>
  <c r="P340" i="21"/>
  <c r="O340" i="21"/>
  <c r="L340" i="21"/>
  <c r="P231" i="21"/>
  <c r="O231" i="21"/>
  <c r="L231" i="21"/>
  <c r="P123" i="21"/>
  <c r="O123" i="21"/>
  <c r="L123" i="21"/>
  <c r="C445" i="21"/>
  <c r="B445" i="21"/>
  <c r="C340" i="21"/>
  <c r="B340" i="21"/>
  <c r="C231" i="21"/>
  <c r="B231" i="21"/>
  <c r="C123" i="21"/>
  <c r="B123" i="21"/>
  <c r="P443" i="21"/>
  <c r="O443" i="21"/>
  <c r="L443" i="21"/>
  <c r="P338" i="21"/>
  <c r="O338" i="21"/>
  <c r="L338" i="21"/>
  <c r="P229" i="21"/>
  <c r="O229" i="21"/>
  <c r="L229" i="21"/>
  <c r="P121" i="21"/>
  <c r="O121" i="21"/>
  <c r="L121" i="21"/>
  <c r="C443" i="21"/>
  <c r="B443" i="21"/>
  <c r="C338" i="21"/>
  <c r="B338" i="21"/>
  <c r="C229" i="21"/>
  <c r="B229" i="21"/>
  <c r="C121" i="21"/>
  <c r="B121" i="21"/>
  <c r="P440" i="21"/>
  <c r="O440" i="21"/>
  <c r="L440" i="21"/>
  <c r="P439" i="21"/>
  <c r="O439" i="21"/>
  <c r="L439" i="21"/>
  <c r="P335" i="21"/>
  <c r="O335" i="21"/>
  <c r="L335" i="21"/>
  <c r="P334" i="21"/>
  <c r="O334" i="21"/>
  <c r="L334" i="21"/>
  <c r="P226" i="21"/>
  <c r="O226" i="21"/>
  <c r="L226" i="21"/>
  <c r="P225" i="21"/>
  <c r="O225" i="21"/>
  <c r="L225" i="21"/>
  <c r="P118" i="21"/>
  <c r="O118" i="21"/>
  <c r="L118" i="21"/>
  <c r="P117" i="21"/>
  <c r="O117" i="21"/>
  <c r="L117" i="21"/>
  <c r="C440" i="21"/>
  <c r="B440" i="21"/>
  <c r="C439" i="21"/>
  <c r="B439" i="21"/>
  <c r="C335" i="21"/>
  <c r="B335" i="21"/>
  <c r="C334" i="21"/>
  <c r="B334" i="21"/>
  <c r="C226" i="21"/>
  <c r="B226" i="21"/>
  <c r="C225" i="21"/>
  <c r="B225" i="21"/>
  <c r="C118" i="21"/>
  <c r="B118" i="21"/>
  <c r="C117" i="21"/>
  <c r="B117" i="21"/>
  <c r="P22" i="21"/>
  <c r="P20" i="21"/>
  <c r="P19" i="21"/>
  <c r="P17" i="21"/>
  <c r="AZ31" i="21" s="1"/>
  <c r="P15" i="21"/>
  <c r="P12" i="21"/>
  <c r="AZ12" i="21" s="1"/>
  <c r="P11" i="21"/>
  <c r="AZ11" i="21" s="1"/>
  <c r="O22" i="21"/>
  <c r="AY16" i="21" s="1"/>
  <c r="O20" i="21"/>
  <c r="AY33" i="21" s="1"/>
  <c r="O19" i="21"/>
  <c r="AY32" i="21" s="1"/>
  <c r="O17" i="21"/>
  <c r="AY31" i="21" s="1"/>
  <c r="O15" i="21"/>
  <c r="AY13" i="21" s="1"/>
  <c r="O13" i="21"/>
  <c r="AY22" i="21" s="1"/>
  <c r="O12" i="21"/>
  <c r="AY12" i="21" s="1"/>
  <c r="O11" i="21"/>
  <c r="AY11" i="21" s="1"/>
  <c r="L22" i="21"/>
  <c r="L20" i="21"/>
  <c r="L19" i="21"/>
  <c r="L17" i="21"/>
  <c r="L15" i="21"/>
  <c r="AX13" i="21" s="1"/>
  <c r="L12" i="21"/>
  <c r="L11" i="21"/>
  <c r="C15" i="21"/>
  <c r="AV13" i="21" s="1"/>
  <c r="B15" i="21"/>
  <c r="AU13" i="21" s="1"/>
  <c r="C20" i="21"/>
  <c r="AV33" i="21" s="1"/>
  <c r="B20" i="21"/>
  <c r="AU33" i="21" s="1"/>
  <c r="C19" i="21"/>
  <c r="AV32" i="21" s="1"/>
  <c r="B19" i="21"/>
  <c r="C17" i="21"/>
  <c r="AV31" i="21" s="1"/>
  <c r="B17" i="21"/>
  <c r="AU31" i="21" s="1"/>
  <c r="C22" i="21"/>
  <c r="B22" i="21"/>
  <c r="AU16" i="21" s="1"/>
  <c r="C12" i="21"/>
  <c r="AV12" i="21" s="1"/>
  <c r="B12" i="21"/>
  <c r="AU12" i="21" s="1"/>
  <c r="C11" i="21"/>
  <c r="AV11" i="21" s="1"/>
  <c r="B11" i="21"/>
  <c r="AU11" i="21" s="1"/>
  <c r="A511" i="21"/>
  <c r="A475" i="21"/>
  <c r="A473" i="21"/>
  <c r="A510" i="21" s="1"/>
  <c r="A472" i="21"/>
  <c r="A471" i="21"/>
  <c r="A470" i="21"/>
  <c r="A468" i="21"/>
  <c r="A485" i="21" s="1"/>
  <c r="A467" i="21"/>
  <c r="A466" i="21"/>
  <c r="A484" i="21" s="1"/>
  <c r="A465" i="21"/>
  <c r="A483" i="21" s="1"/>
  <c r="A464" i="21"/>
  <c r="A482" i="21" s="1"/>
  <c r="A463" i="21"/>
  <c r="A462" i="21"/>
  <c r="A481" i="21" s="1"/>
  <c r="A461" i="21"/>
  <c r="A480" i="21" s="1"/>
  <c r="A460" i="21"/>
  <c r="A479" i="21" s="1"/>
  <c r="A459" i="21"/>
  <c r="A478" i="21" s="1"/>
  <c r="P455" i="21"/>
  <c r="O455" i="21"/>
  <c r="L455" i="21"/>
  <c r="C455" i="21"/>
  <c r="B455" i="21"/>
  <c r="P453" i="21"/>
  <c r="O453" i="21"/>
  <c r="L453" i="21"/>
  <c r="C453" i="21"/>
  <c r="B453" i="21"/>
  <c r="P452" i="21"/>
  <c r="O452" i="21"/>
  <c r="L452" i="21"/>
  <c r="C452" i="21"/>
  <c r="B452" i="21"/>
  <c r="P451" i="21"/>
  <c r="O451" i="21"/>
  <c r="L451" i="21"/>
  <c r="C451" i="21"/>
  <c r="B451" i="21"/>
  <c r="P446" i="21"/>
  <c r="O446" i="21"/>
  <c r="L446" i="21"/>
  <c r="C446" i="21"/>
  <c r="B446" i="21"/>
  <c r="P444" i="21"/>
  <c r="O444" i="21"/>
  <c r="L444" i="21"/>
  <c r="C444" i="21"/>
  <c r="B444" i="21"/>
  <c r="P442" i="21"/>
  <c r="O442" i="21"/>
  <c r="L442" i="21"/>
  <c r="C442" i="21"/>
  <c r="B442" i="21"/>
  <c r="P441" i="21"/>
  <c r="O441" i="21"/>
  <c r="L441" i="21"/>
  <c r="C441" i="21"/>
  <c r="B441" i="21"/>
  <c r="A406" i="21"/>
  <c r="A370" i="21"/>
  <c r="A368" i="21"/>
  <c r="A405" i="21" s="1"/>
  <c r="A367" i="21"/>
  <c r="A366" i="21"/>
  <c r="A365" i="21"/>
  <c r="A363" i="21"/>
  <c r="A380" i="21" s="1"/>
  <c r="A362" i="21"/>
  <c r="A361" i="21"/>
  <c r="A379" i="21" s="1"/>
  <c r="A360" i="21"/>
  <c r="A378" i="21" s="1"/>
  <c r="A359" i="21"/>
  <c r="A377" i="21" s="1"/>
  <c r="A358" i="21"/>
  <c r="A357" i="21"/>
  <c r="A376" i="21" s="1"/>
  <c r="A356" i="21"/>
  <c r="A375" i="21" s="1"/>
  <c r="A399" i="21" s="1"/>
  <c r="A355" i="21"/>
  <c r="A374" i="21" s="1"/>
  <c r="A354" i="21"/>
  <c r="A373" i="21" s="1"/>
  <c r="P350" i="21"/>
  <c r="O350" i="21"/>
  <c r="L350" i="21"/>
  <c r="C350" i="21"/>
  <c r="B350" i="21"/>
  <c r="P348" i="21"/>
  <c r="O348" i="21"/>
  <c r="L348" i="21"/>
  <c r="C348" i="21"/>
  <c r="B348" i="21"/>
  <c r="P347" i="21"/>
  <c r="O347" i="21"/>
  <c r="L347" i="21"/>
  <c r="C347" i="21"/>
  <c r="B347" i="21"/>
  <c r="P346" i="21"/>
  <c r="O346" i="21"/>
  <c r="L346" i="21"/>
  <c r="C346" i="21"/>
  <c r="B346" i="21"/>
  <c r="P341" i="21"/>
  <c r="O341" i="21"/>
  <c r="L341" i="21"/>
  <c r="C341" i="21"/>
  <c r="B341" i="21"/>
  <c r="P339" i="21"/>
  <c r="O339" i="21"/>
  <c r="L339" i="21"/>
  <c r="C339" i="21"/>
  <c r="B339" i="21"/>
  <c r="P337" i="21"/>
  <c r="O337" i="21"/>
  <c r="L337" i="21"/>
  <c r="C337" i="21"/>
  <c r="B337" i="21"/>
  <c r="P336" i="21"/>
  <c r="O336" i="21"/>
  <c r="L336" i="21"/>
  <c r="C336" i="21"/>
  <c r="B336" i="21"/>
  <c r="A297" i="21"/>
  <c r="A261" i="21"/>
  <c r="A259" i="21"/>
  <c r="A296" i="21" s="1"/>
  <c r="A258" i="21"/>
  <c r="A257" i="21"/>
  <c r="A256" i="21"/>
  <c r="A254" i="21"/>
  <c r="A271" i="21" s="1"/>
  <c r="A295" i="21" s="1"/>
  <c r="A253" i="21"/>
  <c r="A252" i="21"/>
  <c r="A270" i="21" s="1"/>
  <c r="A294" i="21" s="1"/>
  <c r="A251" i="21"/>
  <c r="A269" i="21" s="1"/>
  <c r="A293" i="21" s="1"/>
  <c r="A250" i="21"/>
  <c r="A268" i="21" s="1"/>
  <c r="A249" i="21"/>
  <c r="A248" i="21"/>
  <c r="A267" i="21" s="1"/>
  <c r="A247" i="21"/>
  <c r="A266" i="21" s="1"/>
  <c r="A246" i="21"/>
  <c r="A265" i="21" s="1"/>
  <c r="A289" i="21" s="1"/>
  <c r="A245" i="21"/>
  <c r="A264" i="21" s="1"/>
  <c r="P241" i="21"/>
  <c r="O241" i="21"/>
  <c r="L241" i="21"/>
  <c r="C241" i="21"/>
  <c r="B241" i="21"/>
  <c r="P239" i="21"/>
  <c r="O239" i="21"/>
  <c r="L239" i="21"/>
  <c r="C239" i="21"/>
  <c r="B239" i="21"/>
  <c r="P238" i="21"/>
  <c r="O238" i="21"/>
  <c r="L238" i="21"/>
  <c r="C238" i="21"/>
  <c r="B238" i="21"/>
  <c r="P237" i="21"/>
  <c r="O237" i="21"/>
  <c r="L237" i="21"/>
  <c r="C237" i="21"/>
  <c r="B237" i="21"/>
  <c r="P232" i="21"/>
  <c r="O232" i="21"/>
  <c r="L232" i="21"/>
  <c r="C232" i="21"/>
  <c r="B232" i="21"/>
  <c r="P230" i="21"/>
  <c r="O230" i="21"/>
  <c r="L230" i="21"/>
  <c r="C230" i="21"/>
  <c r="B230" i="21"/>
  <c r="P228" i="21"/>
  <c r="O228" i="21"/>
  <c r="L228" i="21"/>
  <c r="C228" i="21"/>
  <c r="B228" i="21"/>
  <c r="P227" i="21"/>
  <c r="O227" i="21"/>
  <c r="L227" i="21"/>
  <c r="C227" i="21"/>
  <c r="B227" i="21"/>
  <c r="A189" i="21"/>
  <c r="A153" i="21"/>
  <c r="A151" i="21"/>
  <c r="A188" i="21" s="1"/>
  <c r="A150" i="21"/>
  <c r="A149" i="21"/>
  <c r="A148" i="21"/>
  <c r="A146" i="21"/>
  <c r="A163" i="21" s="1"/>
  <c r="A145" i="21"/>
  <c r="A144" i="21"/>
  <c r="A162" i="21" s="1"/>
  <c r="A186" i="21" s="1"/>
  <c r="A143" i="21"/>
  <c r="A161" i="21" s="1"/>
  <c r="A185" i="21" s="1"/>
  <c r="A142" i="21"/>
  <c r="A160" i="21" s="1"/>
  <c r="A141" i="21"/>
  <c r="A140" i="21"/>
  <c r="A159" i="21" s="1"/>
  <c r="A183" i="21" s="1"/>
  <c r="A139" i="21"/>
  <c r="A158" i="21" s="1"/>
  <c r="A138" i="21"/>
  <c r="A157" i="21" s="1"/>
  <c r="A181" i="21" s="1"/>
  <c r="A137" i="21"/>
  <c r="A156" i="21" s="1"/>
  <c r="P133" i="21"/>
  <c r="O133" i="21"/>
  <c r="L133" i="21"/>
  <c r="C133" i="21"/>
  <c r="B133" i="21"/>
  <c r="P131" i="21"/>
  <c r="O131" i="21"/>
  <c r="L131" i="21"/>
  <c r="C131" i="21"/>
  <c r="B131" i="21"/>
  <c r="P130" i="21"/>
  <c r="O130" i="21"/>
  <c r="L130" i="21"/>
  <c r="C130" i="21"/>
  <c r="B130" i="21"/>
  <c r="P129" i="21"/>
  <c r="O129" i="21"/>
  <c r="L129" i="21"/>
  <c r="C129" i="21"/>
  <c r="B129" i="21"/>
  <c r="P124" i="21"/>
  <c r="O124" i="21"/>
  <c r="L124" i="21"/>
  <c r="C124" i="21"/>
  <c r="B124" i="21"/>
  <c r="P122" i="21"/>
  <c r="O122" i="21"/>
  <c r="L122" i="21"/>
  <c r="C122" i="21"/>
  <c r="B122" i="21"/>
  <c r="P120" i="21"/>
  <c r="O120" i="21"/>
  <c r="L120" i="21"/>
  <c r="C120" i="21"/>
  <c r="B120" i="21"/>
  <c r="P119" i="21"/>
  <c r="O119" i="21"/>
  <c r="L119" i="21"/>
  <c r="C119" i="21"/>
  <c r="B119" i="21"/>
  <c r="A83" i="21"/>
  <c r="A47" i="21"/>
  <c r="A45" i="21"/>
  <c r="A82" i="21" s="1"/>
  <c r="A44" i="21"/>
  <c r="A43" i="21"/>
  <c r="A42" i="21"/>
  <c r="A40" i="21"/>
  <c r="A57" i="21" s="1"/>
  <c r="A39" i="21"/>
  <c r="A38" i="21"/>
  <c r="A56" i="21" s="1"/>
  <c r="A80" i="21" s="1"/>
  <c r="A37" i="21"/>
  <c r="A55" i="21" s="1"/>
  <c r="A79" i="21" s="1"/>
  <c r="A36" i="21"/>
  <c r="A54" i="21" s="1"/>
  <c r="A78" i="21" s="1"/>
  <c r="A35" i="21"/>
  <c r="A34" i="21"/>
  <c r="A53" i="21" s="1"/>
  <c r="AW33" i="21"/>
  <c r="AT33" i="21"/>
  <c r="A33" i="21"/>
  <c r="A52" i="21" s="1"/>
  <c r="AW32" i="21"/>
  <c r="AT32" i="21"/>
  <c r="A32" i="21"/>
  <c r="A51" i="21" s="1"/>
  <c r="AW31" i="21"/>
  <c r="AT31" i="21"/>
  <c r="A31" i="21"/>
  <c r="A50" i="21" s="1"/>
  <c r="AZ30" i="21"/>
  <c r="AY30" i="21"/>
  <c r="AX30" i="21"/>
  <c r="AW30" i="21"/>
  <c r="AV30" i="21"/>
  <c r="AU30" i="21"/>
  <c r="AT30" i="21"/>
  <c r="AX29" i="21"/>
  <c r="AW27" i="21"/>
  <c r="AT27" i="21"/>
  <c r="P27" i="21"/>
  <c r="O27" i="21"/>
  <c r="AY27" i="21" s="1"/>
  <c r="L27" i="21"/>
  <c r="AX27" i="21" s="1"/>
  <c r="C27" i="21"/>
  <c r="AV27" i="21" s="1"/>
  <c r="B27" i="21"/>
  <c r="AU27" i="21" s="1"/>
  <c r="AW26" i="21"/>
  <c r="AT26" i="21"/>
  <c r="AW25" i="21"/>
  <c r="AT25" i="21"/>
  <c r="P25" i="21"/>
  <c r="O25" i="21"/>
  <c r="L25" i="21"/>
  <c r="AX25" i="21" s="1"/>
  <c r="C25" i="21"/>
  <c r="AV25" i="21" s="1"/>
  <c r="B25" i="21"/>
  <c r="AU25" i="21" s="1"/>
  <c r="AW24" i="21"/>
  <c r="AT24" i="21"/>
  <c r="P24" i="21"/>
  <c r="O24" i="21"/>
  <c r="AY24" i="21" s="1"/>
  <c r="L24" i="21"/>
  <c r="AX24" i="21" s="1"/>
  <c r="C24" i="21"/>
  <c r="AV24" i="21" s="1"/>
  <c r="B24" i="21"/>
  <c r="AU24" i="21" s="1"/>
  <c r="AW23" i="21"/>
  <c r="AT23" i="21"/>
  <c r="P23" i="21"/>
  <c r="O23" i="21"/>
  <c r="AY17" i="21" s="1"/>
  <c r="L23" i="21"/>
  <c r="AX17" i="21" s="1"/>
  <c r="C23" i="21"/>
  <c r="AV17" i="21" s="1"/>
  <c r="B23" i="21"/>
  <c r="AU17" i="21" s="1"/>
  <c r="AW22" i="21"/>
  <c r="AT22" i="21"/>
  <c r="AT20" i="21"/>
  <c r="P18" i="21"/>
  <c r="AZ15" i="21" s="1"/>
  <c r="O18" i="21"/>
  <c r="L18" i="21"/>
  <c r="AX15" i="21" s="1"/>
  <c r="C18" i="21"/>
  <c r="B18" i="21"/>
  <c r="AU15" i="21" s="1"/>
  <c r="AW17" i="21"/>
  <c r="AT17" i="21"/>
  <c r="AW16" i="21"/>
  <c r="AT16" i="21"/>
  <c r="P16" i="21"/>
  <c r="AZ14" i="21" s="1"/>
  <c r="O16" i="21"/>
  <c r="L16" i="21"/>
  <c r="AX14" i="21" s="1"/>
  <c r="C16" i="21"/>
  <c r="B16" i="21"/>
  <c r="AU14" i="21" s="1"/>
  <c r="AW15" i="21"/>
  <c r="AT15" i="21"/>
  <c r="AW14" i="21"/>
  <c r="AT14" i="21"/>
  <c r="P14" i="21"/>
  <c r="O14" i="21"/>
  <c r="AY23" i="21" s="1"/>
  <c r="L14" i="21"/>
  <c r="AX23" i="21" s="1"/>
  <c r="C14" i="21"/>
  <c r="AV23" i="21" s="1"/>
  <c r="B14" i="21"/>
  <c r="AW13" i="21"/>
  <c r="AT13" i="21"/>
  <c r="P13" i="21"/>
  <c r="L13" i="21"/>
  <c r="AX22" i="21" s="1"/>
  <c r="C13" i="21"/>
  <c r="AV22" i="21" s="1"/>
  <c r="B13" i="21"/>
  <c r="AW12" i="21"/>
  <c r="AT12" i="21"/>
  <c r="AW11" i="21"/>
  <c r="AT11" i="21"/>
  <c r="AZ10" i="21"/>
  <c r="AY10" i="21"/>
  <c r="AX10" i="21"/>
  <c r="AW10" i="21"/>
  <c r="AV10" i="21"/>
  <c r="AU10" i="21"/>
  <c r="AX9" i="21"/>
  <c r="P455" i="9"/>
  <c r="O455" i="9"/>
  <c r="L455" i="9"/>
  <c r="P453" i="9"/>
  <c r="O453" i="9"/>
  <c r="L453" i="9"/>
  <c r="P452" i="9"/>
  <c r="O452" i="9"/>
  <c r="L452" i="9"/>
  <c r="P451" i="9"/>
  <c r="O451" i="9"/>
  <c r="L451" i="9"/>
  <c r="P446" i="9"/>
  <c r="O446" i="9"/>
  <c r="L446" i="9"/>
  <c r="P444" i="9"/>
  <c r="O444" i="9"/>
  <c r="L444" i="9"/>
  <c r="P442" i="9"/>
  <c r="O442" i="9"/>
  <c r="L442" i="9"/>
  <c r="P441" i="9"/>
  <c r="O441" i="9"/>
  <c r="L441" i="9"/>
  <c r="C455" i="9"/>
  <c r="B455" i="9"/>
  <c r="C453" i="9"/>
  <c r="B453" i="9"/>
  <c r="C452" i="9"/>
  <c r="B452" i="9"/>
  <c r="C451" i="9"/>
  <c r="B451" i="9"/>
  <c r="C446" i="9"/>
  <c r="B446" i="9"/>
  <c r="C444" i="9"/>
  <c r="B444" i="9"/>
  <c r="C442" i="9"/>
  <c r="B442" i="9"/>
  <c r="C441" i="9"/>
  <c r="B441" i="9"/>
  <c r="P350" i="9"/>
  <c r="O350" i="9"/>
  <c r="L350" i="9"/>
  <c r="P348" i="9"/>
  <c r="O348" i="9"/>
  <c r="L348" i="9"/>
  <c r="P347" i="9"/>
  <c r="O347" i="9"/>
  <c r="L347" i="9"/>
  <c r="P346" i="9"/>
  <c r="O346" i="9"/>
  <c r="L346" i="9"/>
  <c r="P341" i="9"/>
  <c r="O341" i="9"/>
  <c r="L341" i="9"/>
  <c r="P339" i="9"/>
  <c r="O339" i="9"/>
  <c r="L339" i="9"/>
  <c r="P337" i="9"/>
  <c r="O337" i="9"/>
  <c r="L337" i="9"/>
  <c r="P336" i="9"/>
  <c r="O336" i="9"/>
  <c r="L336" i="9"/>
  <c r="C350" i="9"/>
  <c r="B350" i="9"/>
  <c r="C348" i="9"/>
  <c r="B348" i="9"/>
  <c r="C347" i="9"/>
  <c r="B347" i="9"/>
  <c r="C346" i="9"/>
  <c r="B346" i="9"/>
  <c r="C341" i="9"/>
  <c r="B341" i="9"/>
  <c r="C339" i="9"/>
  <c r="B339" i="9"/>
  <c r="C337" i="9"/>
  <c r="B337" i="9"/>
  <c r="C336" i="9"/>
  <c r="B336" i="9"/>
  <c r="P450" i="9"/>
  <c r="O450" i="9"/>
  <c r="L450" i="9"/>
  <c r="P448" i="9"/>
  <c r="O448" i="9"/>
  <c r="L448" i="9"/>
  <c r="P447" i="9"/>
  <c r="O447" i="9"/>
  <c r="L447" i="9"/>
  <c r="P445" i="9"/>
  <c r="O445" i="9"/>
  <c r="L445" i="9"/>
  <c r="P443" i="9"/>
  <c r="O443" i="9"/>
  <c r="L443" i="9"/>
  <c r="P440" i="9"/>
  <c r="O440" i="9"/>
  <c r="L440" i="9"/>
  <c r="P439" i="9"/>
  <c r="O439" i="9"/>
  <c r="L439" i="9"/>
  <c r="P345" i="9"/>
  <c r="O345" i="9"/>
  <c r="L345" i="9"/>
  <c r="P343" i="9"/>
  <c r="O343" i="9"/>
  <c r="L343" i="9"/>
  <c r="P342" i="9"/>
  <c r="O342" i="9"/>
  <c r="L342" i="9"/>
  <c r="P340" i="9"/>
  <c r="O340" i="9"/>
  <c r="L340" i="9"/>
  <c r="P338" i="9"/>
  <c r="O338" i="9"/>
  <c r="L338" i="9"/>
  <c r="P335" i="9"/>
  <c r="O335" i="9"/>
  <c r="L335" i="9"/>
  <c r="P334" i="9"/>
  <c r="O334" i="9"/>
  <c r="L334" i="9"/>
  <c r="P241" i="9"/>
  <c r="O241" i="9"/>
  <c r="L241" i="9"/>
  <c r="P239" i="9"/>
  <c r="O239" i="9"/>
  <c r="L239" i="9"/>
  <c r="P238" i="9"/>
  <c r="O238" i="9"/>
  <c r="L238" i="9"/>
  <c r="P237" i="9"/>
  <c r="O237" i="9"/>
  <c r="L237" i="9"/>
  <c r="P232" i="9"/>
  <c r="O232" i="9"/>
  <c r="L232" i="9"/>
  <c r="P230" i="9"/>
  <c r="O230" i="9"/>
  <c r="L230" i="9"/>
  <c r="P228" i="9"/>
  <c r="O228" i="9"/>
  <c r="L228" i="9"/>
  <c r="P227" i="9"/>
  <c r="O227" i="9"/>
  <c r="L227" i="9"/>
  <c r="C241" i="9"/>
  <c r="B241" i="9"/>
  <c r="C239" i="9"/>
  <c r="B239" i="9"/>
  <c r="C238" i="9"/>
  <c r="B238" i="9"/>
  <c r="C237" i="9"/>
  <c r="B237" i="9"/>
  <c r="C232" i="9"/>
  <c r="B232" i="9"/>
  <c r="C230" i="9"/>
  <c r="B230" i="9"/>
  <c r="C228" i="9"/>
  <c r="B228" i="9"/>
  <c r="C227" i="9"/>
  <c r="B227" i="9"/>
  <c r="P236" i="9"/>
  <c r="O236" i="9"/>
  <c r="L236" i="9"/>
  <c r="P234" i="9"/>
  <c r="O234" i="9"/>
  <c r="L234" i="9"/>
  <c r="P233" i="9"/>
  <c r="O233" i="9"/>
  <c r="L233" i="9"/>
  <c r="P231" i="9"/>
  <c r="O231" i="9"/>
  <c r="L231" i="9"/>
  <c r="P229" i="9"/>
  <c r="O229" i="9"/>
  <c r="L229" i="9"/>
  <c r="P226" i="9"/>
  <c r="O226" i="9"/>
  <c r="L226" i="9"/>
  <c r="P225" i="9"/>
  <c r="O225" i="9"/>
  <c r="L225" i="9"/>
  <c r="P133" i="9"/>
  <c r="O133" i="9"/>
  <c r="L133" i="9"/>
  <c r="P131" i="9"/>
  <c r="O131" i="9"/>
  <c r="L131" i="9"/>
  <c r="P130" i="9"/>
  <c r="O130" i="9"/>
  <c r="L130" i="9"/>
  <c r="P129" i="9"/>
  <c r="O129" i="9"/>
  <c r="L129" i="9"/>
  <c r="P124" i="9"/>
  <c r="O124" i="9"/>
  <c r="L124" i="9"/>
  <c r="P122" i="9"/>
  <c r="O122" i="9"/>
  <c r="L122" i="9"/>
  <c r="P120" i="9"/>
  <c r="O120" i="9"/>
  <c r="L120" i="9"/>
  <c r="P119" i="9"/>
  <c r="O119" i="9"/>
  <c r="L119" i="9"/>
  <c r="P128" i="9"/>
  <c r="O128" i="9"/>
  <c r="L128" i="9"/>
  <c r="P126" i="9"/>
  <c r="O126" i="9"/>
  <c r="L126" i="9"/>
  <c r="P125" i="9"/>
  <c r="O125" i="9"/>
  <c r="L125" i="9"/>
  <c r="P123" i="9"/>
  <c r="O123" i="9"/>
  <c r="L123" i="9"/>
  <c r="P121" i="9"/>
  <c r="O121" i="9"/>
  <c r="L121" i="9"/>
  <c r="P118" i="9"/>
  <c r="O118" i="9"/>
  <c r="L118" i="9"/>
  <c r="P117" i="9"/>
  <c r="O117" i="9"/>
  <c r="L117" i="9"/>
  <c r="C133" i="9"/>
  <c r="B133" i="9"/>
  <c r="C131" i="9"/>
  <c r="B131" i="9"/>
  <c r="C130" i="9"/>
  <c r="B130" i="9"/>
  <c r="C129" i="9"/>
  <c r="B129" i="9"/>
  <c r="C124" i="9"/>
  <c r="B124" i="9"/>
  <c r="C122" i="9"/>
  <c r="B122" i="9"/>
  <c r="C120" i="9"/>
  <c r="B120" i="9"/>
  <c r="C119" i="9"/>
  <c r="B119" i="9"/>
  <c r="C450" i="9"/>
  <c r="B450" i="9"/>
  <c r="C448" i="9"/>
  <c r="B448" i="9"/>
  <c r="C447" i="9"/>
  <c r="B447" i="9"/>
  <c r="C445" i="9"/>
  <c r="B445" i="9"/>
  <c r="C443" i="9"/>
  <c r="B443" i="9"/>
  <c r="C440" i="9"/>
  <c r="B440" i="9"/>
  <c r="C439" i="9"/>
  <c r="B439" i="9"/>
  <c r="C345" i="9"/>
  <c r="B345" i="9"/>
  <c r="C343" i="9"/>
  <c r="B343" i="9"/>
  <c r="C342" i="9"/>
  <c r="B342" i="9"/>
  <c r="C340" i="9"/>
  <c r="B340" i="9"/>
  <c r="C338" i="9"/>
  <c r="B338" i="9"/>
  <c r="C335" i="9"/>
  <c r="B335" i="9"/>
  <c r="C334" i="9"/>
  <c r="B334" i="9"/>
  <c r="C236" i="9"/>
  <c r="B236" i="9"/>
  <c r="C234" i="9"/>
  <c r="B234" i="9"/>
  <c r="C233" i="9"/>
  <c r="B233" i="9"/>
  <c r="C231" i="9"/>
  <c r="B231" i="9"/>
  <c r="C229" i="9"/>
  <c r="B229" i="9"/>
  <c r="C226" i="9"/>
  <c r="B226" i="9"/>
  <c r="C225" i="9"/>
  <c r="B225" i="9"/>
  <c r="C128" i="9"/>
  <c r="B128" i="9"/>
  <c r="C126" i="9"/>
  <c r="B126" i="9"/>
  <c r="C125" i="9"/>
  <c r="B125" i="9"/>
  <c r="C123" i="9"/>
  <c r="B123" i="9"/>
  <c r="C121" i="9"/>
  <c r="B121" i="9"/>
  <c r="C118" i="9"/>
  <c r="B118" i="9"/>
  <c r="C117" i="9"/>
  <c r="B117" i="9"/>
  <c r="P22" i="9"/>
  <c r="O22" i="9"/>
  <c r="L22" i="9"/>
  <c r="P20" i="9"/>
  <c r="O20" i="9"/>
  <c r="L20" i="9"/>
  <c r="P19" i="9"/>
  <c r="O19" i="9"/>
  <c r="L19" i="9"/>
  <c r="P17" i="9"/>
  <c r="O17" i="9"/>
  <c r="L17" i="9"/>
  <c r="P15" i="9"/>
  <c r="O15" i="9"/>
  <c r="L15" i="9"/>
  <c r="P12" i="9"/>
  <c r="P11" i="9"/>
  <c r="O12" i="9"/>
  <c r="O11" i="9"/>
  <c r="L12" i="9"/>
  <c r="L11" i="9"/>
  <c r="C22" i="9"/>
  <c r="B22" i="9"/>
  <c r="B20" i="9"/>
  <c r="C20" i="9"/>
  <c r="C19" i="9"/>
  <c r="B19" i="9"/>
  <c r="C17" i="9"/>
  <c r="B17" i="9"/>
  <c r="C15" i="9"/>
  <c r="B15" i="9"/>
  <c r="C12" i="9"/>
  <c r="B12" i="9"/>
  <c r="C11" i="9"/>
  <c r="B11" i="9"/>
  <c r="P27" i="9"/>
  <c r="O27" i="9"/>
  <c r="L27" i="9"/>
  <c r="P25" i="9"/>
  <c r="O25" i="9"/>
  <c r="L25" i="9"/>
  <c r="P24" i="9"/>
  <c r="O24" i="9"/>
  <c r="L24" i="9"/>
  <c r="P23" i="9"/>
  <c r="O23" i="9"/>
  <c r="L23" i="9"/>
  <c r="P18" i="9"/>
  <c r="O18" i="9"/>
  <c r="L18" i="9"/>
  <c r="P16" i="9"/>
  <c r="O16" i="9"/>
  <c r="L16" i="9"/>
  <c r="P14" i="9"/>
  <c r="O14" i="9"/>
  <c r="L14" i="9"/>
  <c r="P13" i="9"/>
  <c r="O13" i="9"/>
  <c r="L13" i="9"/>
  <c r="C27" i="9"/>
  <c r="B27" i="9"/>
  <c r="C25" i="9"/>
  <c r="B25" i="9"/>
  <c r="C24" i="9"/>
  <c r="B24" i="9"/>
  <c r="C23" i="9"/>
  <c r="B23" i="9"/>
  <c r="C18" i="9"/>
  <c r="B18" i="9"/>
  <c r="C16" i="9"/>
  <c r="B16" i="9"/>
  <c r="C14" i="9"/>
  <c r="B14" i="9"/>
  <c r="C13" i="9"/>
  <c r="B13" i="9"/>
  <c r="P443" i="20"/>
  <c r="O443" i="20"/>
  <c r="L443" i="20"/>
  <c r="P338" i="20"/>
  <c r="O338" i="20"/>
  <c r="L338" i="20"/>
  <c r="P229" i="20"/>
  <c r="O229" i="20"/>
  <c r="L229" i="20"/>
  <c r="P121" i="20"/>
  <c r="O121" i="20"/>
  <c r="L121" i="20"/>
  <c r="C443" i="20"/>
  <c r="B443" i="20"/>
  <c r="C338" i="20"/>
  <c r="B338" i="20"/>
  <c r="C229" i="20"/>
  <c r="B229" i="20"/>
  <c r="C121" i="20"/>
  <c r="B121" i="20"/>
  <c r="P454" i="20"/>
  <c r="O454" i="20"/>
  <c r="L454" i="20"/>
  <c r="P349" i="20"/>
  <c r="O349" i="20"/>
  <c r="L349" i="20"/>
  <c r="P240" i="20"/>
  <c r="O240" i="20"/>
  <c r="L240" i="20"/>
  <c r="P132" i="20"/>
  <c r="O132" i="20"/>
  <c r="L132" i="20"/>
  <c r="C454" i="20"/>
  <c r="B454" i="20"/>
  <c r="C349" i="20"/>
  <c r="B349" i="20"/>
  <c r="C240" i="20"/>
  <c r="B240" i="20"/>
  <c r="C132" i="20"/>
  <c r="B132" i="20"/>
  <c r="P448" i="20"/>
  <c r="O448" i="20"/>
  <c r="L448" i="20"/>
  <c r="P447" i="20"/>
  <c r="O447" i="20"/>
  <c r="L447" i="20"/>
  <c r="P343" i="20"/>
  <c r="O343" i="20"/>
  <c r="L343" i="20"/>
  <c r="P342" i="20"/>
  <c r="O342" i="20"/>
  <c r="L342" i="20"/>
  <c r="P234" i="20"/>
  <c r="O234" i="20"/>
  <c r="L234" i="20"/>
  <c r="P233" i="20"/>
  <c r="O233" i="20"/>
  <c r="L233" i="20"/>
  <c r="P126" i="20"/>
  <c r="O126" i="20"/>
  <c r="L126" i="20"/>
  <c r="P125" i="20"/>
  <c r="O125" i="20"/>
  <c r="L125" i="20"/>
  <c r="C448" i="20"/>
  <c r="B448" i="20"/>
  <c r="C447" i="20"/>
  <c r="B447" i="20"/>
  <c r="C343" i="20"/>
  <c r="B343" i="20"/>
  <c r="C342" i="20"/>
  <c r="B342" i="20"/>
  <c r="C234" i="20"/>
  <c r="B234" i="20"/>
  <c r="C233" i="20"/>
  <c r="B233" i="20"/>
  <c r="C126" i="20"/>
  <c r="B126" i="20"/>
  <c r="C125" i="20"/>
  <c r="B125" i="20"/>
  <c r="P445" i="20"/>
  <c r="O445" i="20"/>
  <c r="L445" i="20"/>
  <c r="P340" i="20"/>
  <c r="O340" i="20"/>
  <c r="L340" i="20"/>
  <c r="P231" i="20"/>
  <c r="O231" i="20"/>
  <c r="L231" i="20"/>
  <c r="P123" i="20"/>
  <c r="O123" i="20"/>
  <c r="L123" i="20"/>
  <c r="C445" i="20"/>
  <c r="B445" i="20"/>
  <c r="C340" i="20"/>
  <c r="B340" i="20"/>
  <c r="C231" i="20"/>
  <c r="B231" i="20"/>
  <c r="C123" i="20"/>
  <c r="B123" i="20"/>
  <c r="P450" i="20"/>
  <c r="O450" i="20"/>
  <c r="L450" i="20"/>
  <c r="P345" i="20"/>
  <c r="O345" i="20"/>
  <c r="L345" i="20"/>
  <c r="P236" i="20"/>
  <c r="O236" i="20"/>
  <c r="L236" i="20"/>
  <c r="P128" i="20"/>
  <c r="O128" i="20"/>
  <c r="L128" i="20"/>
  <c r="C450" i="20"/>
  <c r="B450" i="20"/>
  <c r="C345" i="20"/>
  <c r="B345" i="20"/>
  <c r="C236" i="20"/>
  <c r="B236" i="20"/>
  <c r="C128" i="20"/>
  <c r="B128" i="20"/>
  <c r="P440" i="20"/>
  <c r="O440" i="20"/>
  <c r="L440" i="20"/>
  <c r="P439" i="20"/>
  <c r="O439" i="20"/>
  <c r="L439" i="20"/>
  <c r="P335" i="20"/>
  <c r="O335" i="20"/>
  <c r="L335" i="20"/>
  <c r="P334" i="20"/>
  <c r="O334" i="20"/>
  <c r="L334" i="20"/>
  <c r="P226" i="20"/>
  <c r="O226" i="20"/>
  <c r="L226" i="20"/>
  <c r="P225" i="20"/>
  <c r="O225" i="20"/>
  <c r="L225" i="20"/>
  <c r="P118" i="20"/>
  <c r="O118" i="20"/>
  <c r="L118" i="20"/>
  <c r="P117" i="20"/>
  <c r="O117" i="20"/>
  <c r="L117" i="20"/>
  <c r="C440" i="20"/>
  <c r="B440" i="20"/>
  <c r="C439" i="20"/>
  <c r="B439" i="20"/>
  <c r="C335" i="20"/>
  <c r="B335" i="20"/>
  <c r="C334" i="20"/>
  <c r="B334" i="20"/>
  <c r="C226" i="20"/>
  <c r="B226" i="20"/>
  <c r="C225" i="20"/>
  <c r="B225" i="20"/>
  <c r="C118" i="20"/>
  <c r="B118" i="20"/>
  <c r="C117" i="20"/>
  <c r="B117" i="20"/>
  <c r="P15" i="20"/>
  <c r="O15" i="20"/>
  <c r="L15" i="20"/>
  <c r="P26" i="20"/>
  <c r="O26" i="20"/>
  <c r="L26" i="20"/>
  <c r="P20" i="20"/>
  <c r="O20" i="20"/>
  <c r="L20" i="20"/>
  <c r="P19" i="20"/>
  <c r="O19" i="20"/>
  <c r="L19" i="20"/>
  <c r="P17" i="20"/>
  <c r="O17" i="20"/>
  <c r="L17" i="20"/>
  <c r="P22" i="20"/>
  <c r="O22" i="20"/>
  <c r="L22" i="20"/>
  <c r="P12" i="20"/>
  <c r="P11" i="20"/>
  <c r="O12" i="20"/>
  <c r="O11" i="20"/>
  <c r="L12" i="20"/>
  <c r="L11" i="20"/>
  <c r="C15" i="20"/>
  <c r="B15" i="20"/>
  <c r="C26" i="20"/>
  <c r="B26" i="20"/>
  <c r="C20" i="20"/>
  <c r="C19" i="20"/>
  <c r="B20" i="20"/>
  <c r="B19" i="20"/>
  <c r="C17" i="20"/>
  <c r="B17" i="20"/>
  <c r="C22" i="20"/>
  <c r="B22" i="20"/>
  <c r="C12" i="20"/>
  <c r="C11" i="20"/>
  <c r="B12" i="20"/>
  <c r="B11" i="20"/>
  <c r="P443" i="19"/>
  <c r="O443" i="19"/>
  <c r="L443" i="19"/>
  <c r="P338" i="19"/>
  <c r="O338" i="19"/>
  <c r="L338" i="19"/>
  <c r="P229" i="19"/>
  <c r="O229" i="19"/>
  <c r="L229" i="19"/>
  <c r="P121" i="19"/>
  <c r="O121" i="19"/>
  <c r="L121" i="19"/>
  <c r="C443" i="19"/>
  <c r="B443" i="19"/>
  <c r="C338" i="19"/>
  <c r="B338" i="19"/>
  <c r="C229" i="19"/>
  <c r="B229" i="19"/>
  <c r="C121" i="19"/>
  <c r="B121" i="19"/>
  <c r="P454" i="19"/>
  <c r="O454" i="19"/>
  <c r="L454" i="19"/>
  <c r="P349" i="19"/>
  <c r="O349" i="19"/>
  <c r="L349" i="19"/>
  <c r="P240" i="19"/>
  <c r="O240" i="19"/>
  <c r="L240" i="19"/>
  <c r="P132" i="19"/>
  <c r="O132" i="19"/>
  <c r="L132" i="19"/>
  <c r="C454" i="19"/>
  <c r="B454" i="19"/>
  <c r="C349" i="19"/>
  <c r="B349" i="19"/>
  <c r="C240" i="19"/>
  <c r="B240" i="19"/>
  <c r="C132" i="19"/>
  <c r="B132" i="19"/>
  <c r="P448" i="19"/>
  <c r="O448" i="19"/>
  <c r="L448" i="19"/>
  <c r="P447" i="19"/>
  <c r="O447" i="19"/>
  <c r="L447" i="19"/>
  <c r="P343" i="19"/>
  <c r="O343" i="19"/>
  <c r="L343" i="19"/>
  <c r="P342" i="19"/>
  <c r="O342" i="19"/>
  <c r="L342" i="19"/>
  <c r="P234" i="19"/>
  <c r="O234" i="19"/>
  <c r="L234" i="19"/>
  <c r="P233" i="19"/>
  <c r="O233" i="19"/>
  <c r="L233" i="19"/>
  <c r="P126" i="19"/>
  <c r="O126" i="19"/>
  <c r="L126" i="19"/>
  <c r="P125" i="19"/>
  <c r="O125" i="19"/>
  <c r="L125" i="19"/>
  <c r="C448" i="19"/>
  <c r="B448" i="19"/>
  <c r="C447" i="19"/>
  <c r="B447" i="19"/>
  <c r="C343" i="19"/>
  <c r="B343" i="19"/>
  <c r="C342" i="19"/>
  <c r="B342" i="19"/>
  <c r="C234" i="19"/>
  <c r="B234" i="19"/>
  <c r="C233" i="19"/>
  <c r="B233" i="19"/>
  <c r="C126" i="19"/>
  <c r="B126" i="19"/>
  <c r="C125" i="19"/>
  <c r="B125" i="19"/>
  <c r="P445" i="19"/>
  <c r="O445" i="19"/>
  <c r="L445" i="19"/>
  <c r="P340" i="19"/>
  <c r="O340" i="19"/>
  <c r="L340" i="19"/>
  <c r="P231" i="19"/>
  <c r="O231" i="19"/>
  <c r="L231" i="19"/>
  <c r="P123" i="19"/>
  <c r="O123" i="19"/>
  <c r="L123" i="19"/>
  <c r="C445" i="19"/>
  <c r="B445" i="19"/>
  <c r="C340" i="19"/>
  <c r="B340" i="19"/>
  <c r="C231" i="19"/>
  <c r="B231" i="19"/>
  <c r="C123" i="19"/>
  <c r="B123" i="19"/>
  <c r="P450" i="19"/>
  <c r="O450" i="19"/>
  <c r="L450" i="19"/>
  <c r="P345" i="19"/>
  <c r="O345" i="19"/>
  <c r="L345" i="19"/>
  <c r="P236" i="19"/>
  <c r="O236" i="19"/>
  <c r="L236" i="19"/>
  <c r="P128" i="19"/>
  <c r="O128" i="19"/>
  <c r="L128" i="19"/>
  <c r="C450" i="19"/>
  <c r="B450" i="19"/>
  <c r="C345" i="19"/>
  <c r="B345" i="19"/>
  <c r="C236" i="19"/>
  <c r="B236" i="19"/>
  <c r="C128" i="19"/>
  <c r="B128" i="19"/>
  <c r="P440" i="19"/>
  <c r="O440" i="19"/>
  <c r="L440" i="19"/>
  <c r="P439" i="19"/>
  <c r="O439" i="19"/>
  <c r="L439" i="19"/>
  <c r="P335" i="19"/>
  <c r="O335" i="19"/>
  <c r="L335" i="19"/>
  <c r="P334" i="19"/>
  <c r="O334" i="19"/>
  <c r="L334" i="19"/>
  <c r="P226" i="19"/>
  <c r="O226" i="19"/>
  <c r="L226" i="19"/>
  <c r="P225" i="19"/>
  <c r="O225" i="19"/>
  <c r="L225" i="19"/>
  <c r="P118" i="19"/>
  <c r="O118" i="19"/>
  <c r="L118" i="19"/>
  <c r="P117" i="19"/>
  <c r="O117" i="19"/>
  <c r="L117" i="19"/>
  <c r="C440" i="19"/>
  <c r="B440" i="19"/>
  <c r="C439" i="19"/>
  <c r="B439" i="19"/>
  <c r="C335" i="19"/>
  <c r="B335" i="19"/>
  <c r="C334" i="19"/>
  <c r="B334" i="19"/>
  <c r="C226" i="19"/>
  <c r="B226" i="19"/>
  <c r="C225" i="19"/>
  <c r="B225" i="19"/>
  <c r="C118" i="19"/>
  <c r="B118" i="19"/>
  <c r="C117" i="19"/>
  <c r="B117" i="19"/>
  <c r="P15" i="19"/>
  <c r="O15" i="19"/>
  <c r="P20" i="19"/>
  <c r="O20" i="19"/>
  <c r="P19" i="19"/>
  <c r="O19" i="19"/>
  <c r="P17" i="19"/>
  <c r="O17" i="19"/>
  <c r="P22" i="19"/>
  <c r="O22" i="19"/>
  <c r="P12" i="19"/>
  <c r="O12" i="19"/>
  <c r="P11" i="19"/>
  <c r="O11" i="19"/>
  <c r="C20" i="19"/>
  <c r="C19" i="19"/>
  <c r="B20" i="19"/>
  <c r="B19" i="19"/>
  <c r="C22" i="19"/>
  <c r="B22" i="19"/>
  <c r="C17" i="19"/>
  <c r="B17" i="19"/>
  <c r="C15" i="19"/>
  <c r="B15" i="19"/>
  <c r="C12" i="19"/>
  <c r="B12" i="19"/>
  <c r="C11" i="19"/>
  <c r="B11" i="19"/>
  <c r="L15" i="19"/>
  <c r="L20" i="19"/>
  <c r="L19" i="19"/>
  <c r="L17" i="19"/>
  <c r="L22" i="19"/>
  <c r="L12" i="19"/>
  <c r="L11" i="19"/>
  <c r="B439" i="3"/>
  <c r="A511" i="20"/>
  <c r="A475" i="20"/>
  <c r="A473" i="20"/>
  <c r="A510" i="20" s="1"/>
  <c r="A472" i="20"/>
  <c r="A471" i="20"/>
  <c r="A470" i="20"/>
  <c r="A468" i="20"/>
  <c r="A485" i="20" s="1"/>
  <c r="A467" i="20"/>
  <c r="A466" i="20"/>
  <c r="A484" i="20" s="1"/>
  <c r="A465" i="20"/>
  <c r="A483" i="20" s="1"/>
  <c r="A507" i="20" s="1"/>
  <c r="A464" i="20"/>
  <c r="A482" i="20" s="1"/>
  <c r="A463" i="20"/>
  <c r="A462" i="20"/>
  <c r="A481" i="20" s="1"/>
  <c r="A461" i="20"/>
  <c r="A480" i="20" s="1"/>
  <c r="A460" i="20"/>
  <c r="A479" i="20" s="1"/>
  <c r="A459" i="20"/>
  <c r="A478" i="20" s="1"/>
  <c r="A502" i="20" s="1"/>
  <c r="P455" i="20"/>
  <c r="O455" i="20"/>
  <c r="L455" i="20"/>
  <c r="C455" i="20"/>
  <c r="B455" i="20"/>
  <c r="P453" i="20"/>
  <c r="O453" i="20"/>
  <c r="L453" i="20"/>
  <c r="C453" i="20"/>
  <c r="B453" i="20"/>
  <c r="P452" i="20"/>
  <c r="O452" i="20"/>
  <c r="L452" i="20"/>
  <c r="C452" i="20"/>
  <c r="B452" i="20"/>
  <c r="P451" i="20"/>
  <c r="O451" i="20"/>
  <c r="L451" i="20"/>
  <c r="C451" i="20"/>
  <c r="B451" i="20"/>
  <c r="P446" i="20"/>
  <c r="O446" i="20"/>
  <c r="L446" i="20"/>
  <c r="C446" i="20"/>
  <c r="B446" i="20"/>
  <c r="P444" i="20"/>
  <c r="O444" i="20"/>
  <c r="L444" i="20"/>
  <c r="C444" i="20"/>
  <c r="B444" i="20"/>
  <c r="P442" i="20"/>
  <c r="O442" i="20"/>
  <c r="L442" i="20"/>
  <c r="C442" i="20"/>
  <c r="B442" i="20"/>
  <c r="P441" i="20"/>
  <c r="O441" i="20"/>
  <c r="L441" i="20"/>
  <c r="C441" i="20"/>
  <c r="B441" i="20"/>
  <c r="A406" i="20"/>
  <c r="A370" i="20"/>
  <c r="A368" i="20"/>
  <c r="A405" i="20" s="1"/>
  <c r="A367" i="20"/>
  <c r="A366" i="20"/>
  <c r="A365" i="20"/>
  <c r="A363" i="20"/>
  <c r="A380" i="20" s="1"/>
  <c r="A362" i="20"/>
  <c r="A361" i="20"/>
  <c r="A379" i="20" s="1"/>
  <c r="A403" i="20" s="1"/>
  <c r="A360" i="20"/>
  <c r="A378" i="20" s="1"/>
  <c r="A402" i="20" s="1"/>
  <c r="A359" i="20"/>
  <c r="A377" i="20" s="1"/>
  <c r="A358" i="20"/>
  <c r="A357" i="20"/>
  <c r="A376" i="20" s="1"/>
  <c r="A356" i="20"/>
  <c r="A375" i="20" s="1"/>
  <c r="A355" i="20"/>
  <c r="A374" i="20" s="1"/>
  <c r="A354" i="20"/>
  <c r="A373" i="20" s="1"/>
  <c r="A385" i="20" s="1"/>
  <c r="P350" i="20"/>
  <c r="O350" i="20"/>
  <c r="L350" i="20"/>
  <c r="C350" i="20"/>
  <c r="B350" i="20"/>
  <c r="P348" i="20"/>
  <c r="O348" i="20"/>
  <c r="L348" i="20"/>
  <c r="C348" i="20"/>
  <c r="B348" i="20"/>
  <c r="P347" i="20"/>
  <c r="O347" i="20"/>
  <c r="L347" i="20"/>
  <c r="C347" i="20"/>
  <c r="B347" i="20"/>
  <c r="P346" i="20"/>
  <c r="O346" i="20"/>
  <c r="L346" i="20"/>
  <c r="C346" i="20"/>
  <c r="B346" i="20"/>
  <c r="P341" i="20"/>
  <c r="O341" i="20"/>
  <c r="L341" i="20"/>
  <c r="C341" i="20"/>
  <c r="B341" i="20"/>
  <c r="P339" i="20"/>
  <c r="O339" i="20"/>
  <c r="L339" i="20"/>
  <c r="C339" i="20"/>
  <c r="B339" i="20"/>
  <c r="P337" i="20"/>
  <c r="O337" i="20"/>
  <c r="L337" i="20"/>
  <c r="C337" i="20"/>
  <c r="B337" i="20"/>
  <c r="P336" i="20"/>
  <c r="O336" i="20"/>
  <c r="L336" i="20"/>
  <c r="C336" i="20"/>
  <c r="B336" i="20"/>
  <c r="A297" i="20"/>
  <c r="A261" i="20"/>
  <c r="A259" i="20"/>
  <c r="A296" i="20" s="1"/>
  <c r="A258" i="20"/>
  <c r="A257" i="20"/>
  <c r="A256" i="20"/>
  <c r="A254" i="20"/>
  <c r="A271" i="20" s="1"/>
  <c r="A253" i="20"/>
  <c r="A252" i="20"/>
  <c r="A270" i="20" s="1"/>
  <c r="A251" i="20"/>
  <c r="A269" i="20" s="1"/>
  <c r="A250" i="20"/>
  <c r="A268" i="20" s="1"/>
  <c r="A292" i="20" s="1"/>
  <c r="A249" i="20"/>
  <c r="A248" i="20"/>
  <c r="A267" i="20" s="1"/>
  <c r="A247" i="20"/>
  <c r="A266" i="20" s="1"/>
  <c r="A246" i="20"/>
  <c r="A265" i="20" s="1"/>
  <c r="A245" i="20"/>
  <c r="A264" i="20" s="1"/>
  <c r="P241" i="20"/>
  <c r="O241" i="20"/>
  <c r="L241" i="20"/>
  <c r="C241" i="20"/>
  <c r="B241" i="20"/>
  <c r="P239" i="20"/>
  <c r="O239" i="20"/>
  <c r="L239" i="20"/>
  <c r="C239" i="20"/>
  <c r="B239" i="20"/>
  <c r="P238" i="20"/>
  <c r="O238" i="20"/>
  <c r="L238" i="20"/>
  <c r="C238" i="20"/>
  <c r="B238" i="20"/>
  <c r="P237" i="20"/>
  <c r="O237" i="20"/>
  <c r="L237" i="20"/>
  <c r="C237" i="20"/>
  <c r="B237" i="20"/>
  <c r="P232" i="20"/>
  <c r="O232" i="20"/>
  <c r="L232" i="20"/>
  <c r="C232" i="20"/>
  <c r="B232" i="20"/>
  <c r="P230" i="20"/>
  <c r="O230" i="20"/>
  <c r="L230" i="20"/>
  <c r="C230" i="20"/>
  <c r="B230" i="20"/>
  <c r="P228" i="20"/>
  <c r="O228" i="20"/>
  <c r="L228" i="20"/>
  <c r="C228" i="20"/>
  <c r="B228" i="20"/>
  <c r="P227" i="20"/>
  <c r="O227" i="20"/>
  <c r="L227" i="20"/>
  <c r="C227" i="20"/>
  <c r="B227" i="20"/>
  <c r="A189" i="20"/>
  <c r="A153" i="20"/>
  <c r="A151" i="20"/>
  <c r="A188" i="20" s="1"/>
  <c r="A150" i="20"/>
  <c r="A149" i="20"/>
  <c r="A148" i="20"/>
  <c r="A146" i="20"/>
  <c r="A163" i="20" s="1"/>
  <c r="A145" i="20"/>
  <c r="A144" i="20"/>
  <c r="A162" i="20" s="1"/>
  <c r="A143" i="20"/>
  <c r="A161" i="20" s="1"/>
  <c r="A142" i="20"/>
  <c r="A160" i="20" s="1"/>
  <c r="A141" i="20"/>
  <c r="A140" i="20"/>
  <c r="A159" i="20" s="1"/>
  <c r="A183" i="20" s="1"/>
  <c r="A139" i="20"/>
  <c r="A158" i="20" s="1"/>
  <c r="A138" i="20"/>
  <c r="A157" i="20" s="1"/>
  <c r="A137" i="20"/>
  <c r="A156" i="20" s="1"/>
  <c r="P133" i="20"/>
  <c r="O133" i="20"/>
  <c r="L133" i="20"/>
  <c r="C133" i="20"/>
  <c r="B133" i="20"/>
  <c r="P131" i="20"/>
  <c r="O131" i="20"/>
  <c r="L131" i="20"/>
  <c r="C131" i="20"/>
  <c r="B131" i="20"/>
  <c r="P130" i="20"/>
  <c r="O130" i="20"/>
  <c r="L130" i="20"/>
  <c r="C130" i="20"/>
  <c r="B130" i="20"/>
  <c r="P129" i="20"/>
  <c r="O129" i="20"/>
  <c r="L129" i="20"/>
  <c r="C129" i="20"/>
  <c r="B129" i="20"/>
  <c r="P124" i="20"/>
  <c r="O124" i="20"/>
  <c r="L124" i="20"/>
  <c r="C124" i="20"/>
  <c r="B124" i="20"/>
  <c r="P122" i="20"/>
  <c r="O122" i="20"/>
  <c r="L122" i="20"/>
  <c r="C122" i="20"/>
  <c r="B122" i="20"/>
  <c r="P120" i="20"/>
  <c r="O120" i="20"/>
  <c r="L120" i="20"/>
  <c r="C120" i="20"/>
  <c r="B120" i="20"/>
  <c r="P119" i="20"/>
  <c r="O119" i="20"/>
  <c r="L119" i="20"/>
  <c r="C119" i="20"/>
  <c r="B119" i="20"/>
  <c r="A83" i="20"/>
  <c r="A47" i="20"/>
  <c r="A45" i="20"/>
  <c r="A82" i="20" s="1"/>
  <c r="A44" i="20"/>
  <c r="A43" i="20"/>
  <c r="A42" i="20"/>
  <c r="A40" i="20"/>
  <c r="A57" i="20" s="1"/>
  <c r="A39" i="20"/>
  <c r="A38" i="20"/>
  <c r="A56" i="20" s="1"/>
  <c r="A68" i="20" s="1"/>
  <c r="A37" i="20"/>
  <c r="A55" i="20" s="1"/>
  <c r="A36" i="20"/>
  <c r="A54" i="20" s="1"/>
  <c r="A35" i="20"/>
  <c r="A34" i="20"/>
  <c r="A53" i="20" s="1"/>
  <c r="A33" i="20"/>
  <c r="A52" i="20" s="1"/>
  <c r="A76" i="20" s="1"/>
  <c r="A32" i="20"/>
  <c r="A51" i="20" s="1"/>
  <c r="A31" i="20"/>
  <c r="A50" i="20" s="1"/>
  <c r="A74" i="20" s="1"/>
  <c r="P27" i="20"/>
  <c r="O27" i="20"/>
  <c r="L27" i="20"/>
  <c r="C27" i="20"/>
  <c r="B27" i="20"/>
  <c r="P25" i="20"/>
  <c r="O25" i="20"/>
  <c r="L25" i="20"/>
  <c r="C25" i="20"/>
  <c r="B25" i="20"/>
  <c r="P24" i="20"/>
  <c r="O24" i="20"/>
  <c r="L24" i="20"/>
  <c r="C24" i="20"/>
  <c r="B24" i="20"/>
  <c r="P23" i="20"/>
  <c r="O23" i="20"/>
  <c r="L23" i="20"/>
  <c r="C23" i="20"/>
  <c r="B23" i="20"/>
  <c r="P18" i="20"/>
  <c r="O18" i="20"/>
  <c r="L18" i="20"/>
  <c r="C18" i="20"/>
  <c r="B18" i="20"/>
  <c r="P16" i="20"/>
  <c r="O16" i="20"/>
  <c r="L16" i="20"/>
  <c r="C16" i="20"/>
  <c r="B16" i="20"/>
  <c r="P14" i="20"/>
  <c r="O14" i="20"/>
  <c r="L14" i="20"/>
  <c r="C14" i="20"/>
  <c r="B14" i="20"/>
  <c r="P13" i="20"/>
  <c r="O13" i="20"/>
  <c r="L13" i="20"/>
  <c r="C13" i="20"/>
  <c r="B13" i="20"/>
  <c r="A511" i="19"/>
  <c r="A475" i="19"/>
  <c r="A473" i="19"/>
  <c r="A510" i="19" s="1"/>
  <c r="A472" i="19"/>
  <c r="A471" i="19"/>
  <c r="A470" i="19"/>
  <c r="A468" i="19"/>
  <c r="A485" i="19" s="1"/>
  <c r="A467" i="19"/>
  <c r="A466" i="19"/>
  <c r="A484" i="19" s="1"/>
  <c r="A465" i="19"/>
  <c r="A483" i="19" s="1"/>
  <c r="A464" i="19"/>
  <c r="A482" i="19" s="1"/>
  <c r="A463" i="19"/>
  <c r="A462" i="19"/>
  <c r="A481" i="19" s="1"/>
  <c r="A461" i="19"/>
  <c r="A480" i="19" s="1"/>
  <c r="A460" i="19"/>
  <c r="A479" i="19" s="1"/>
  <c r="A459" i="19"/>
  <c r="A478" i="19" s="1"/>
  <c r="P455" i="19"/>
  <c r="O455" i="19"/>
  <c r="L455" i="19"/>
  <c r="C455" i="19"/>
  <c r="B455" i="19"/>
  <c r="P453" i="19"/>
  <c r="O453" i="19"/>
  <c r="L453" i="19"/>
  <c r="C453" i="19"/>
  <c r="B453" i="19"/>
  <c r="P452" i="19"/>
  <c r="O452" i="19"/>
  <c r="L452" i="19"/>
  <c r="C452" i="19"/>
  <c r="B452" i="19"/>
  <c r="P451" i="19"/>
  <c r="O451" i="19"/>
  <c r="L451" i="19"/>
  <c r="C451" i="19"/>
  <c r="B451" i="19"/>
  <c r="P446" i="19"/>
  <c r="O446" i="19"/>
  <c r="L446" i="19"/>
  <c r="C446" i="19"/>
  <c r="B446" i="19"/>
  <c r="P444" i="19"/>
  <c r="O444" i="19"/>
  <c r="L444" i="19"/>
  <c r="C444" i="19"/>
  <c r="B444" i="19"/>
  <c r="P442" i="19"/>
  <c r="O442" i="19"/>
  <c r="L442" i="19"/>
  <c r="C442" i="19"/>
  <c r="B442" i="19"/>
  <c r="P441" i="19"/>
  <c r="O441" i="19"/>
  <c r="L441" i="19"/>
  <c r="C441" i="19"/>
  <c r="B441" i="19"/>
  <c r="A406" i="19"/>
  <c r="A370" i="19"/>
  <c r="A368" i="19"/>
  <c r="A405" i="19" s="1"/>
  <c r="A367" i="19"/>
  <c r="A366" i="19"/>
  <c r="A365" i="19"/>
  <c r="A363" i="19"/>
  <c r="A380" i="19" s="1"/>
  <c r="A404" i="19" s="1"/>
  <c r="A362" i="19"/>
  <c r="A361" i="19"/>
  <c r="A379" i="19" s="1"/>
  <c r="A360" i="19"/>
  <c r="A378" i="19" s="1"/>
  <c r="A359" i="19"/>
  <c r="A377" i="19" s="1"/>
  <c r="A358" i="19"/>
  <c r="A357" i="19"/>
  <c r="A376" i="19" s="1"/>
  <c r="A356" i="19"/>
  <c r="A375" i="19" s="1"/>
  <c r="A355" i="19"/>
  <c r="A374" i="19" s="1"/>
  <c r="A354" i="19"/>
  <c r="A373" i="19" s="1"/>
  <c r="A397" i="19" s="1"/>
  <c r="P350" i="19"/>
  <c r="O350" i="19"/>
  <c r="L350" i="19"/>
  <c r="C350" i="19"/>
  <c r="B350" i="19"/>
  <c r="P348" i="19"/>
  <c r="O348" i="19"/>
  <c r="L348" i="19"/>
  <c r="C348" i="19"/>
  <c r="B348" i="19"/>
  <c r="P347" i="19"/>
  <c r="O347" i="19"/>
  <c r="L347" i="19"/>
  <c r="C347" i="19"/>
  <c r="B347" i="19"/>
  <c r="P346" i="19"/>
  <c r="O346" i="19"/>
  <c r="L346" i="19"/>
  <c r="C346" i="19"/>
  <c r="B346" i="19"/>
  <c r="P341" i="19"/>
  <c r="O341" i="19"/>
  <c r="L341" i="19"/>
  <c r="C341" i="19"/>
  <c r="B341" i="19"/>
  <c r="P339" i="19"/>
  <c r="O339" i="19"/>
  <c r="L339" i="19"/>
  <c r="C339" i="19"/>
  <c r="B339" i="19"/>
  <c r="P337" i="19"/>
  <c r="O337" i="19"/>
  <c r="L337" i="19"/>
  <c r="C337" i="19"/>
  <c r="B337" i="19"/>
  <c r="P336" i="19"/>
  <c r="O336" i="19"/>
  <c r="L336" i="19"/>
  <c r="C336" i="19"/>
  <c r="B336" i="19"/>
  <c r="A297" i="19"/>
  <c r="A261" i="19"/>
  <c r="A259" i="19"/>
  <c r="A296" i="19" s="1"/>
  <c r="A258" i="19"/>
  <c r="A257" i="19"/>
  <c r="A256" i="19"/>
  <c r="A254" i="19"/>
  <c r="A271" i="19" s="1"/>
  <c r="A295" i="19" s="1"/>
  <c r="A253" i="19"/>
  <c r="A252" i="19"/>
  <c r="A270" i="19" s="1"/>
  <c r="A294" i="19" s="1"/>
  <c r="A251" i="19"/>
  <c r="A269" i="19" s="1"/>
  <c r="A293" i="19" s="1"/>
  <c r="A250" i="19"/>
  <c r="A268" i="19" s="1"/>
  <c r="A249" i="19"/>
  <c r="A248" i="19"/>
  <c r="A267" i="19" s="1"/>
  <c r="A247" i="19"/>
  <c r="A266" i="19" s="1"/>
  <c r="A246" i="19"/>
  <c r="A265" i="19" s="1"/>
  <c r="A245" i="19"/>
  <c r="A264" i="19" s="1"/>
  <c r="A288" i="19" s="1"/>
  <c r="P241" i="19"/>
  <c r="O241" i="19"/>
  <c r="L241" i="19"/>
  <c r="C241" i="19"/>
  <c r="B241" i="19"/>
  <c r="P239" i="19"/>
  <c r="O239" i="19"/>
  <c r="L239" i="19"/>
  <c r="C239" i="19"/>
  <c r="B239" i="19"/>
  <c r="P238" i="19"/>
  <c r="O238" i="19"/>
  <c r="L238" i="19"/>
  <c r="C238" i="19"/>
  <c r="B238" i="19"/>
  <c r="P237" i="19"/>
  <c r="O237" i="19"/>
  <c r="L237" i="19"/>
  <c r="C237" i="19"/>
  <c r="B237" i="19"/>
  <c r="P232" i="19"/>
  <c r="O232" i="19"/>
  <c r="L232" i="19"/>
  <c r="C232" i="19"/>
  <c r="B232" i="19"/>
  <c r="P230" i="19"/>
  <c r="O230" i="19"/>
  <c r="L230" i="19"/>
  <c r="C230" i="19"/>
  <c r="B230" i="19"/>
  <c r="P228" i="19"/>
  <c r="O228" i="19"/>
  <c r="L228" i="19"/>
  <c r="C228" i="19"/>
  <c r="B228" i="19"/>
  <c r="P227" i="19"/>
  <c r="O227" i="19"/>
  <c r="L227" i="19"/>
  <c r="C227" i="19"/>
  <c r="B227" i="19"/>
  <c r="A189" i="19"/>
  <c r="A153" i="19"/>
  <c r="A151" i="19"/>
  <c r="A188" i="19" s="1"/>
  <c r="A150" i="19"/>
  <c r="A149" i="19"/>
  <c r="A148" i="19"/>
  <c r="A146" i="19"/>
  <c r="A163" i="19" s="1"/>
  <c r="A187" i="19" s="1"/>
  <c r="A145" i="19"/>
  <c r="A144" i="19"/>
  <c r="A162" i="19" s="1"/>
  <c r="A143" i="19"/>
  <c r="A161" i="19" s="1"/>
  <c r="A142" i="19"/>
  <c r="A160" i="19" s="1"/>
  <c r="A141" i="19"/>
  <c r="A140" i="19"/>
  <c r="A159" i="19" s="1"/>
  <c r="A139" i="19"/>
  <c r="A158" i="19" s="1"/>
  <c r="A138" i="19"/>
  <c r="A157" i="19" s="1"/>
  <c r="A137" i="19"/>
  <c r="A156" i="19" s="1"/>
  <c r="A180" i="19" s="1"/>
  <c r="P133" i="19"/>
  <c r="O133" i="19"/>
  <c r="L133" i="19"/>
  <c r="C133" i="19"/>
  <c r="B133" i="19"/>
  <c r="P131" i="19"/>
  <c r="O131" i="19"/>
  <c r="L131" i="19"/>
  <c r="C131" i="19"/>
  <c r="B131" i="19"/>
  <c r="P130" i="19"/>
  <c r="O130" i="19"/>
  <c r="L130" i="19"/>
  <c r="C130" i="19"/>
  <c r="B130" i="19"/>
  <c r="P129" i="19"/>
  <c r="O129" i="19"/>
  <c r="L129" i="19"/>
  <c r="C129" i="19"/>
  <c r="B129" i="19"/>
  <c r="P124" i="19"/>
  <c r="O124" i="19"/>
  <c r="L124" i="19"/>
  <c r="C124" i="19"/>
  <c r="B124" i="19"/>
  <c r="P122" i="19"/>
  <c r="O122" i="19"/>
  <c r="L122" i="19"/>
  <c r="C122" i="19"/>
  <c r="B122" i="19"/>
  <c r="P120" i="19"/>
  <c r="O120" i="19"/>
  <c r="L120" i="19"/>
  <c r="C120" i="19"/>
  <c r="B120" i="19"/>
  <c r="P119" i="19"/>
  <c r="O119" i="19"/>
  <c r="L119" i="19"/>
  <c r="C119" i="19"/>
  <c r="B119" i="19"/>
  <c r="A83" i="19"/>
  <c r="A47" i="19"/>
  <c r="A45" i="19"/>
  <c r="A82" i="19" s="1"/>
  <c r="A44" i="19"/>
  <c r="A43" i="19"/>
  <c r="A42" i="19"/>
  <c r="A40" i="19"/>
  <c r="A57" i="19" s="1"/>
  <c r="A39" i="19"/>
  <c r="A38" i="19"/>
  <c r="A56" i="19" s="1"/>
  <c r="A37" i="19"/>
  <c r="A55" i="19" s="1"/>
  <c r="A79" i="19" s="1"/>
  <c r="A36" i="19"/>
  <c r="A54" i="19" s="1"/>
  <c r="A35" i="19"/>
  <c r="A34" i="19"/>
  <c r="A53" i="19" s="1"/>
  <c r="A33" i="19"/>
  <c r="A52" i="19" s="1"/>
  <c r="A64" i="19" s="1"/>
  <c r="A32" i="19"/>
  <c r="A51" i="19" s="1"/>
  <c r="A63" i="19" s="1"/>
  <c r="A31" i="19"/>
  <c r="A50" i="19" s="1"/>
  <c r="P27" i="19"/>
  <c r="O27" i="19"/>
  <c r="L27" i="19"/>
  <c r="C27" i="19"/>
  <c r="B27" i="19"/>
  <c r="P25" i="19"/>
  <c r="O25" i="19"/>
  <c r="L25" i="19"/>
  <c r="C25" i="19"/>
  <c r="B25" i="19"/>
  <c r="P24" i="19"/>
  <c r="O24" i="19"/>
  <c r="L24" i="19"/>
  <c r="C24" i="19"/>
  <c r="B24" i="19"/>
  <c r="P23" i="19"/>
  <c r="O23" i="19"/>
  <c r="L23" i="19"/>
  <c r="C23" i="19"/>
  <c r="B23" i="19"/>
  <c r="P18" i="19"/>
  <c r="O18" i="19"/>
  <c r="L18" i="19"/>
  <c r="C18" i="19"/>
  <c r="B18" i="19"/>
  <c r="P16" i="19"/>
  <c r="O16" i="19"/>
  <c r="L16" i="19"/>
  <c r="C16" i="19"/>
  <c r="B16" i="19"/>
  <c r="P14" i="19"/>
  <c r="O14" i="19"/>
  <c r="L14" i="19"/>
  <c r="C14" i="19"/>
  <c r="B14" i="19"/>
  <c r="P13" i="19"/>
  <c r="O13" i="19"/>
  <c r="L13" i="19"/>
  <c r="C13" i="19"/>
  <c r="B13" i="19"/>
  <c r="P455" i="3"/>
  <c r="O455" i="3"/>
  <c r="L455" i="3"/>
  <c r="P453" i="3"/>
  <c r="O453" i="3"/>
  <c r="L453" i="3"/>
  <c r="P452" i="3"/>
  <c r="O452" i="3"/>
  <c r="L452" i="3"/>
  <c r="P451" i="3"/>
  <c r="O451" i="3"/>
  <c r="L451" i="3"/>
  <c r="P450" i="3"/>
  <c r="O450" i="3"/>
  <c r="L450" i="3"/>
  <c r="P448" i="3"/>
  <c r="O448" i="3"/>
  <c r="L448" i="3"/>
  <c r="P447" i="3"/>
  <c r="O447" i="3"/>
  <c r="L447" i="3"/>
  <c r="P446" i="3"/>
  <c r="O446" i="3"/>
  <c r="L446" i="3"/>
  <c r="P445" i="3"/>
  <c r="O445" i="3"/>
  <c r="L445" i="3"/>
  <c r="P444" i="3"/>
  <c r="O444" i="3"/>
  <c r="L444" i="3"/>
  <c r="P443" i="3"/>
  <c r="O443" i="3"/>
  <c r="L443" i="3"/>
  <c r="P442" i="3"/>
  <c r="O442" i="3"/>
  <c r="L442" i="3"/>
  <c r="P441" i="3"/>
  <c r="O441" i="3"/>
  <c r="L441" i="3"/>
  <c r="P440" i="3"/>
  <c r="O440" i="3"/>
  <c r="L440" i="3"/>
  <c r="P439" i="3"/>
  <c r="O439" i="3"/>
  <c r="L439" i="3"/>
  <c r="C455" i="3"/>
  <c r="B455" i="3"/>
  <c r="C453" i="3"/>
  <c r="B453" i="3"/>
  <c r="C452" i="3"/>
  <c r="B452" i="3"/>
  <c r="C451" i="3"/>
  <c r="B451" i="3"/>
  <c r="C450" i="3"/>
  <c r="B450" i="3"/>
  <c r="C448" i="3"/>
  <c r="B448" i="3"/>
  <c r="C447" i="3"/>
  <c r="B447" i="3"/>
  <c r="C446" i="3"/>
  <c r="B446" i="3"/>
  <c r="C445" i="3"/>
  <c r="B445" i="3"/>
  <c r="C444" i="3"/>
  <c r="B444" i="3"/>
  <c r="C443" i="3"/>
  <c r="B443" i="3"/>
  <c r="C442" i="3"/>
  <c r="B442" i="3"/>
  <c r="C441" i="3"/>
  <c r="B441" i="3"/>
  <c r="C440" i="3"/>
  <c r="B440" i="3"/>
  <c r="C439" i="3"/>
  <c r="P350" i="3"/>
  <c r="O350" i="3"/>
  <c r="L350" i="3"/>
  <c r="P348" i="3"/>
  <c r="O348" i="3"/>
  <c r="L348" i="3"/>
  <c r="P347" i="3"/>
  <c r="O347" i="3"/>
  <c r="L347" i="3"/>
  <c r="P346" i="3"/>
  <c r="O346" i="3"/>
  <c r="L346" i="3"/>
  <c r="P345" i="3"/>
  <c r="O345" i="3"/>
  <c r="L345" i="3"/>
  <c r="P343" i="3"/>
  <c r="O343" i="3"/>
  <c r="L343" i="3"/>
  <c r="P342" i="3"/>
  <c r="O342" i="3"/>
  <c r="L342" i="3"/>
  <c r="P341" i="3"/>
  <c r="O341" i="3"/>
  <c r="L341" i="3"/>
  <c r="P340" i="3"/>
  <c r="O340" i="3"/>
  <c r="L340" i="3"/>
  <c r="P339" i="3"/>
  <c r="O339" i="3"/>
  <c r="L339" i="3"/>
  <c r="P338" i="3"/>
  <c r="O338" i="3"/>
  <c r="L338" i="3"/>
  <c r="P337" i="3"/>
  <c r="O337" i="3"/>
  <c r="L337" i="3"/>
  <c r="P336" i="3"/>
  <c r="O336" i="3"/>
  <c r="L336" i="3"/>
  <c r="P335" i="3"/>
  <c r="O335" i="3"/>
  <c r="L335" i="3"/>
  <c r="P334" i="3"/>
  <c r="O334" i="3"/>
  <c r="L334" i="3"/>
  <c r="C350" i="3"/>
  <c r="B350" i="3"/>
  <c r="C348" i="3"/>
  <c r="B348" i="3"/>
  <c r="C347" i="3"/>
  <c r="B347" i="3"/>
  <c r="C346" i="3"/>
  <c r="B346" i="3"/>
  <c r="C345" i="3"/>
  <c r="B345" i="3"/>
  <c r="C343" i="3"/>
  <c r="B343" i="3"/>
  <c r="C342" i="3"/>
  <c r="B342" i="3"/>
  <c r="C341" i="3"/>
  <c r="B341" i="3"/>
  <c r="C340" i="3"/>
  <c r="B340" i="3"/>
  <c r="C339" i="3"/>
  <c r="B339" i="3"/>
  <c r="C338" i="3"/>
  <c r="B338" i="3"/>
  <c r="C337" i="3"/>
  <c r="B337" i="3"/>
  <c r="C336" i="3"/>
  <c r="B336" i="3"/>
  <c r="C335" i="3"/>
  <c r="B335" i="3"/>
  <c r="C334" i="3"/>
  <c r="B334" i="3"/>
  <c r="P241" i="3"/>
  <c r="O241" i="3"/>
  <c r="L241" i="3"/>
  <c r="P239" i="3"/>
  <c r="O239" i="3"/>
  <c r="L239" i="3"/>
  <c r="P238" i="3"/>
  <c r="O238" i="3"/>
  <c r="L238" i="3"/>
  <c r="P237" i="3"/>
  <c r="O237" i="3"/>
  <c r="L237" i="3"/>
  <c r="P236" i="3"/>
  <c r="O236" i="3"/>
  <c r="L236" i="3"/>
  <c r="P234" i="3"/>
  <c r="O234" i="3"/>
  <c r="L234" i="3"/>
  <c r="P233" i="3"/>
  <c r="O233" i="3"/>
  <c r="L233" i="3"/>
  <c r="P232" i="3"/>
  <c r="O232" i="3"/>
  <c r="L232" i="3"/>
  <c r="P231" i="3"/>
  <c r="O231" i="3"/>
  <c r="L231" i="3"/>
  <c r="P230" i="3"/>
  <c r="O230" i="3"/>
  <c r="L230" i="3"/>
  <c r="P229" i="3"/>
  <c r="O229" i="3"/>
  <c r="L229" i="3"/>
  <c r="P228" i="3"/>
  <c r="O228" i="3"/>
  <c r="L228" i="3"/>
  <c r="P227" i="3"/>
  <c r="O227" i="3"/>
  <c r="L227" i="3"/>
  <c r="P226" i="3"/>
  <c r="O226" i="3"/>
  <c r="L226" i="3"/>
  <c r="P225" i="3"/>
  <c r="O225" i="3"/>
  <c r="L225" i="3"/>
  <c r="C241" i="3"/>
  <c r="B241" i="3"/>
  <c r="C239" i="3"/>
  <c r="B239" i="3"/>
  <c r="C238" i="3"/>
  <c r="B238" i="3"/>
  <c r="C237" i="3"/>
  <c r="B237" i="3"/>
  <c r="C236" i="3"/>
  <c r="B236" i="3"/>
  <c r="C234" i="3"/>
  <c r="B234" i="3"/>
  <c r="C233" i="3"/>
  <c r="B233" i="3"/>
  <c r="C232" i="3"/>
  <c r="B232" i="3"/>
  <c r="C231" i="3"/>
  <c r="B231" i="3"/>
  <c r="C230" i="3"/>
  <c r="B230" i="3"/>
  <c r="C229" i="3"/>
  <c r="B229" i="3"/>
  <c r="C228" i="3"/>
  <c r="B228" i="3"/>
  <c r="C227" i="3"/>
  <c r="B227" i="3"/>
  <c r="C226" i="3"/>
  <c r="B226" i="3"/>
  <c r="C225" i="3"/>
  <c r="B225" i="3"/>
  <c r="P133" i="3"/>
  <c r="O133" i="3"/>
  <c r="L133" i="3"/>
  <c r="P131" i="3"/>
  <c r="O131" i="3"/>
  <c r="L131" i="3"/>
  <c r="P130" i="3"/>
  <c r="O130" i="3"/>
  <c r="L130" i="3"/>
  <c r="P129" i="3"/>
  <c r="O129" i="3"/>
  <c r="L129" i="3"/>
  <c r="P128" i="3"/>
  <c r="O128" i="3"/>
  <c r="L128" i="3"/>
  <c r="P126" i="3"/>
  <c r="O126" i="3"/>
  <c r="L126" i="3"/>
  <c r="P125" i="3"/>
  <c r="O125" i="3"/>
  <c r="L125" i="3"/>
  <c r="P124" i="3"/>
  <c r="O124" i="3"/>
  <c r="L124" i="3"/>
  <c r="P123" i="3"/>
  <c r="O123" i="3"/>
  <c r="L123" i="3"/>
  <c r="P122" i="3"/>
  <c r="O122" i="3"/>
  <c r="L122" i="3"/>
  <c r="P121" i="3"/>
  <c r="O121" i="3"/>
  <c r="L121" i="3"/>
  <c r="P120" i="3"/>
  <c r="O120" i="3"/>
  <c r="L120" i="3"/>
  <c r="P119" i="3"/>
  <c r="O119" i="3"/>
  <c r="L119" i="3"/>
  <c r="P118" i="3"/>
  <c r="O118" i="3"/>
  <c r="L118" i="3"/>
  <c r="P117" i="3"/>
  <c r="O117" i="3"/>
  <c r="L117" i="3"/>
  <c r="C133" i="3"/>
  <c r="B133" i="3"/>
  <c r="C131" i="3"/>
  <c r="B131" i="3"/>
  <c r="C130" i="3"/>
  <c r="B130" i="3"/>
  <c r="C129" i="3"/>
  <c r="B129" i="3"/>
  <c r="C128" i="3"/>
  <c r="B128" i="3"/>
  <c r="C126" i="3"/>
  <c r="B126" i="3"/>
  <c r="C125" i="3"/>
  <c r="B125" i="3"/>
  <c r="C124" i="3"/>
  <c r="B124" i="3"/>
  <c r="C123" i="3"/>
  <c r="B123" i="3"/>
  <c r="C122" i="3"/>
  <c r="B122" i="3"/>
  <c r="C121" i="3"/>
  <c r="B121" i="3"/>
  <c r="C120" i="3"/>
  <c r="B120" i="3"/>
  <c r="C119" i="3"/>
  <c r="B119" i="3"/>
  <c r="C118" i="3"/>
  <c r="B118" i="3"/>
  <c r="C117" i="3"/>
  <c r="B117" i="3"/>
  <c r="P27" i="3"/>
  <c r="O27" i="3"/>
  <c r="L27" i="3"/>
  <c r="P26" i="3"/>
  <c r="O26" i="3"/>
  <c r="L26" i="3"/>
  <c r="P25" i="3"/>
  <c r="O25" i="3"/>
  <c r="L25" i="3"/>
  <c r="P24" i="3"/>
  <c r="O24" i="3"/>
  <c r="L24" i="3"/>
  <c r="P23" i="3"/>
  <c r="O23" i="3"/>
  <c r="L23" i="3"/>
  <c r="P22" i="3"/>
  <c r="O22" i="3"/>
  <c r="L22" i="3"/>
  <c r="P20" i="3"/>
  <c r="O20" i="3"/>
  <c r="L20" i="3"/>
  <c r="P19" i="3"/>
  <c r="O19" i="3"/>
  <c r="L19" i="3"/>
  <c r="P18" i="3"/>
  <c r="O18" i="3"/>
  <c r="L18" i="3"/>
  <c r="P17" i="3"/>
  <c r="O17" i="3"/>
  <c r="L17" i="3"/>
  <c r="P16" i="3"/>
  <c r="O16" i="3"/>
  <c r="L16" i="3"/>
  <c r="P15" i="3"/>
  <c r="O15" i="3"/>
  <c r="L15" i="3"/>
  <c r="P14" i="3"/>
  <c r="O14" i="3"/>
  <c r="L14" i="3"/>
  <c r="P13" i="3"/>
  <c r="O13" i="3"/>
  <c r="L13" i="3"/>
  <c r="P12" i="3"/>
  <c r="O12" i="3"/>
  <c r="L12" i="3"/>
  <c r="P11" i="3"/>
  <c r="O11" i="3"/>
  <c r="L11" i="3"/>
  <c r="C27" i="3"/>
  <c r="B27" i="3"/>
  <c r="C26" i="3"/>
  <c r="B26" i="3"/>
  <c r="C25" i="3"/>
  <c r="B25" i="3"/>
  <c r="C24" i="3"/>
  <c r="B24" i="3"/>
  <c r="C23" i="3"/>
  <c r="B23" i="3"/>
  <c r="C22" i="3"/>
  <c r="B22" i="3"/>
  <c r="C20" i="3"/>
  <c r="B20" i="3"/>
  <c r="C19" i="3"/>
  <c r="B19" i="3"/>
  <c r="C18" i="3"/>
  <c r="B18" i="3"/>
  <c r="C17" i="3"/>
  <c r="B17" i="3"/>
  <c r="C16" i="3"/>
  <c r="B16" i="3"/>
  <c r="C15" i="3"/>
  <c r="B15" i="3"/>
  <c r="C12" i="3"/>
  <c r="B12" i="3"/>
  <c r="C11" i="3"/>
  <c r="B11" i="3"/>
  <c r="C14" i="3"/>
  <c r="B14" i="3"/>
  <c r="C13" i="3"/>
  <c r="B13" i="3"/>
  <c r="B260" i="24" l="1"/>
  <c r="D368" i="26"/>
  <c r="T11" i="3"/>
  <c r="G407" i="24"/>
  <c r="G381" i="24"/>
  <c r="G381" i="25"/>
  <c r="G407" i="25"/>
  <c r="I407" i="25"/>
  <c r="I381" i="25"/>
  <c r="Q381" i="25"/>
  <c r="Q407" i="25"/>
  <c r="Z407" i="25"/>
  <c r="Z381" i="25"/>
  <c r="U381" i="25"/>
  <c r="U407" i="25"/>
  <c r="D407" i="26"/>
  <c r="D381" i="26"/>
  <c r="Y407" i="26"/>
  <c r="Y381" i="26"/>
  <c r="L407" i="26"/>
  <c r="L381" i="26"/>
  <c r="F381" i="25"/>
  <c r="F407" i="25"/>
  <c r="M407" i="26"/>
  <c r="BX16" i="33" s="1"/>
  <c r="M381" i="26"/>
  <c r="O407" i="24"/>
  <c r="O381" i="24"/>
  <c r="T407" i="24"/>
  <c r="T381" i="24"/>
  <c r="V381" i="25"/>
  <c r="V407" i="25"/>
  <c r="C381" i="25"/>
  <c r="C407" i="25"/>
  <c r="AA381" i="25"/>
  <c r="AA407" i="25"/>
  <c r="N381" i="25"/>
  <c r="N407" i="25"/>
  <c r="AC381" i="25"/>
  <c r="AC407" i="25"/>
  <c r="DZ16" i="33" s="1"/>
  <c r="B407" i="26"/>
  <c r="U16" i="33" s="1"/>
  <c r="B381" i="26"/>
  <c r="T407" i="26"/>
  <c r="T381" i="26"/>
  <c r="V407" i="26"/>
  <c r="V381" i="26"/>
  <c r="W407" i="26"/>
  <c r="W381" i="26"/>
  <c r="M407" i="24"/>
  <c r="BV16" i="33" s="1"/>
  <c r="M381" i="24"/>
  <c r="W407" i="24"/>
  <c r="W381" i="24"/>
  <c r="O407" i="25"/>
  <c r="O381" i="25"/>
  <c r="D407" i="25"/>
  <c r="D381" i="25"/>
  <c r="H407" i="25"/>
  <c r="H381" i="25"/>
  <c r="R407" i="26"/>
  <c r="R381" i="26"/>
  <c r="J381" i="26"/>
  <c r="J407" i="26"/>
  <c r="AB381" i="26"/>
  <c r="AB407" i="26"/>
  <c r="Z407" i="26"/>
  <c r="Z381" i="26"/>
  <c r="Y381" i="25"/>
  <c r="Y407" i="25"/>
  <c r="V381" i="24"/>
  <c r="V407" i="24"/>
  <c r="AA407" i="24"/>
  <c r="AA381" i="24"/>
  <c r="B407" i="25"/>
  <c r="T16" i="33" s="1"/>
  <c r="B381" i="25"/>
  <c r="L407" i="25"/>
  <c r="L381" i="25"/>
  <c r="P407" i="25"/>
  <c r="P381" i="25"/>
  <c r="F407" i="26"/>
  <c r="F381" i="26"/>
  <c r="S381" i="26"/>
  <c r="S407" i="26"/>
  <c r="N381" i="26"/>
  <c r="N407" i="26"/>
  <c r="AC407" i="26"/>
  <c r="EA16" i="33" s="1"/>
  <c r="AC381" i="26"/>
  <c r="K381" i="25"/>
  <c r="K407" i="25"/>
  <c r="L407" i="24"/>
  <c r="L381" i="24"/>
  <c r="N407" i="24"/>
  <c r="N381" i="24"/>
  <c r="K381" i="24"/>
  <c r="K407" i="24"/>
  <c r="T381" i="25"/>
  <c r="T407" i="25"/>
  <c r="X407" i="25"/>
  <c r="X381" i="25"/>
  <c r="O407" i="26"/>
  <c r="O381" i="26"/>
  <c r="C381" i="26"/>
  <c r="C407" i="26"/>
  <c r="I381" i="26"/>
  <c r="I407" i="26"/>
  <c r="S407" i="25"/>
  <c r="S381" i="25"/>
  <c r="P381" i="24"/>
  <c r="P407" i="24"/>
  <c r="R381" i="24"/>
  <c r="R407" i="24"/>
  <c r="Y407" i="24"/>
  <c r="Y381" i="24"/>
  <c r="F407" i="24"/>
  <c r="F381" i="24"/>
  <c r="Z381" i="24"/>
  <c r="Z407" i="24"/>
  <c r="U407" i="24"/>
  <c r="U381" i="24"/>
  <c r="R407" i="25"/>
  <c r="R381" i="25"/>
  <c r="AB407" i="25"/>
  <c r="AB381" i="25"/>
  <c r="X381" i="26"/>
  <c r="X407" i="26"/>
  <c r="K381" i="26"/>
  <c r="K407" i="26"/>
  <c r="Q407" i="26"/>
  <c r="Q381" i="26"/>
  <c r="J381" i="24"/>
  <c r="J407" i="24"/>
  <c r="Q407" i="24"/>
  <c r="Q381" i="24"/>
  <c r="AB407" i="24"/>
  <c r="AB381" i="24"/>
  <c r="E407" i="24"/>
  <c r="E381" i="24"/>
  <c r="E407" i="25"/>
  <c r="E381" i="25"/>
  <c r="G407" i="26"/>
  <c r="G381" i="26"/>
  <c r="U407" i="26"/>
  <c r="U381" i="26"/>
  <c r="E407" i="26"/>
  <c r="E381" i="26"/>
  <c r="B381" i="24"/>
  <c r="B407" i="24"/>
  <c r="S16" i="33" s="1"/>
  <c r="I407" i="24"/>
  <c r="I381" i="24"/>
  <c r="AC381" i="24"/>
  <c r="AC407" i="24"/>
  <c r="DY16" i="33" s="1"/>
  <c r="C381" i="24"/>
  <c r="C407" i="24"/>
  <c r="S407" i="24"/>
  <c r="S381" i="24"/>
  <c r="M381" i="25"/>
  <c r="M407" i="25"/>
  <c r="BW16" i="33" s="1"/>
  <c r="J407" i="25"/>
  <c r="J381" i="25"/>
  <c r="P407" i="26"/>
  <c r="P381" i="26"/>
  <c r="AA381" i="26"/>
  <c r="AA407" i="26"/>
  <c r="W381" i="25"/>
  <c r="W407" i="25"/>
  <c r="H381" i="24"/>
  <c r="H407" i="24"/>
  <c r="H407" i="26"/>
  <c r="H381" i="26"/>
  <c r="D407" i="24"/>
  <c r="D381" i="24"/>
  <c r="X407" i="24"/>
  <c r="X381" i="24"/>
  <c r="Y272" i="24"/>
  <c r="Y298" i="24"/>
  <c r="J272" i="24"/>
  <c r="J298" i="24"/>
  <c r="K298" i="24"/>
  <c r="K272" i="24"/>
  <c r="B272" i="25"/>
  <c r="B298" i="25"/>
  <c r="O16" i="33" s="1"/>
  <c r="D298" i="25"/>
  <c r="D272" i="25"/>
  <c r="B298" i="26"/>
  <c r="P16" i="33" s="1"/>
  <c r="B272" i="26"/>
  <c r="M298" i="26"/>
  <c r="BS16" i="33" s="1"/>
  <c r="M272" i="26"/>
  <c r="AC272" i="26"/>
  <c r="AC298" i="26"/>
  <c r="DV16" i="33" s="1"/>
  <c r="I298" i="25"/>
  <c r="I272" i="25"/>
  <c r="O272" i="24"/>
  <c r="O298" i="24"/>
  <c r="X272" i="24"/>
  <c r="X298" i="24"/>
  <c r="R272" i="24"/>
  <c r="R298" i="24"/>
  <c r="Q298" i="25"/>
  <c r="Q272" i="25"/>
  <c r="M272" i="25"/>
  <c r="M298" i="25"/>
  <c r="BR16" i="33" s="1"/>
  <c r="J272" i="25"/>
  <c r="J298" i="25"/>
  <c r="L272" i="25"/>
  <c r="L298" i="25"/>
  <c r="J272" i="26"/>
  <c r="J298" i="26"/>
  <c r="I298" i="26"/>
  <c r="I272" i="26"/>
  <c r="U272" i="25"/>
  <c r="U298" i="25"/>
  <c r="X272" i="26"/>
  <c r="X298" i="26"/>
  <c r="Q272" i="24"/>
  <c r="Q298" i="24"/>
  <c r="T298" i="24"/>
  <c r="T272" i="24"/>
  <c r="D272" i="24"/>
  <c r="D298" i="24"/>
  <c r="M298" i="24"/>
  <c r="BQ16" i="33" s="1"/>
  <c r="M272" i="24"/>
  <c r="W272" i="24"/>
  <c r="W298" i="24"/>
  <c r="Z298" i="24"/>
  <c r="Z272" i="24"/>
  <c r="O298" i="25"/>
  <c r="O272" i="25"/>
  <c r="E298" i="25"/>
  <c r="E272" i="25"/>
  <c r="R298" i="25"/>
  <c r="R272" i="25"/>
  <c r="T272" i="25"/>
  <c r="T298" i="25"/>
  <c r="R298" i="26"/>
  <c r="R272" i="26"/>
  <c r="Y298" i="25"/>
  <c r="Y272" i="25"/>
  <c r="V298" i="26"/>
  <c r="V272" i="26"/>
  <c r="C298" i="24"/>
  <c r="C272" i="24"/>
  <c r="L298" i="24"/>
  <c r="L272" i="24"/>
  <c r="I298" i="24"/>
  <c r="I272" i="24"/>
  <c r="Z272" i="25"/>
  <c r="Z298" i="25"/>
  <c r="AB272" i="25"/>
  <c r="AB298" i="25"/>
  <c r="AB298" i="26"/>
  <c r="AB272" i="26"/>
  <c r="Z298" i="26"/>
  <c r="Z272" i="26"/>
  <c r="AC298" i="25"/>
  <c r="DU16" i="33" s="1"/>
  <c r="AC272" i="25"/>
  <c r="P272" i="24"/>
  <c r="P298" i="24"/>
  <c r="F298" i="24"/>
  <c r="F272" i="24"/>
  <c r="W298" i="25"/>
  <c r="W272" i="25"/>
  <c r="C298" i="25"/>
  <c r="C272" i="25"/>
  <c r="F298" i="25"/>
  <c r="F272" i="25"/>
  <c r="N298" i="26"/>
  <c r="N272" i="26"/>
  <c r="C272" i="26"/>
  <c r="C298" i="26"/>
  <c r="L298" i="26"/>
  <c r="L272" i="26"/>
  <c r="Y298" i="26"/>
  <c r="Y272" i="26"/>
  <c r="AA298" i="24"/>
  <c r="AA272" i="24"/>
  <c r="N272" i="24"/>
  <c r="N298" i="24"/>
  <c r="AC298" i="24"/>
  <c r="DT16" i="33" s="1"/>
  <c r="AC272" i="24"/>
  <c r="H272" i="25"/>
  <c r="H298" i="25"/>
  <c r="K272" i="25"/>
  <c r="K298" i="25"/>
  <c r="N272" i="25"/>
  <c r="N298" i="25"/>
  <c r="G298" i="26"/>
  <c r="G272" i="26"/>
  <c r="K272" i="26"/>
  <c r="K298" i="26"/>
  <c r="F298" i="26"/>
  <c r="F272" i="26"/>
  <c r="T298" i="26"/>
  <c r="T272" i="26"/>
  <c r="G272" i="24"/>
  <c r="G298" i="24"/>
  <c r="H298" i="26"/>
  <c r="H272" i="26"/>
  <c r="E298" i="24"/>
  <c r="E272" i="24"/>
  <c r="V298" i="24"/>
  <c r="V272" i="24"/>
  <c r="S272" i="24"/>
  <c r="S298" i="24"/>
  <c r="P272" i="25"/>
  <c r="P298" i="25"/>
  <c r="S298" i="25"/>
  <c r="S272" i="25"/>
  <c r="V272" i="25"/>
  <c r="V298" i="25"/>
  <c r="O298" i="26"/>
  <c r="O272" i="26"/>
  <c r="S298" i="26"/>
  <c r="S272" i="26"/>
  <c r="U272" i="26"/>
  <c r="U298" i="26"/>
  <c r="D298" i="26"/>
  <c r="D272" i="26"/>
  <c r="Q298" i="26"/>
  <c r="Q272" i="26"/>
  <c r="AB272" i="24"/>
  <c r="AB298" i="24"/>
  <c r="B298" i="24"/>
  <c r="N16" i="33" s="1"/>
  <c r="B272" i="24"/>
  <c r="U298" i="24"/>
  <c r="U272" i="24"/>
  <c r="H272" i="24"/>
  <c r="H298" i="24"/>
  <c r="X272" i="25"/>
  <c r="X298" i="25"/>
  <c r="AA272" i="25"/>
  <c r="AA298" i="25"/>
  <c r="W298" i="26"/>
  <c r="W272" i="26"/>
  <c r="AA298" i="26"/>
  <c r="AA272" i="26"/>
  <c r="E298" i="26"/>
  <c r="E272" i="26"/>
  <c r="P272" i="26"/>
  <c r="P298" i="26"/>
  <c r="G298" i="25"/>
  <c r="G272" i="25"/>
  <c r="E190" i="24"/>
  <c r="E164" i="24"/>
  <c r="S190" i="24"/>
  <c r="S164" i="24"/>
  <c r="K164" i="25"/>
  <c r="K190" i="25"/>
  <c r="E190" i="26"/>
  <c r="E164" i="26"/>
  <c r="H190" i="26"/>
  <c r="H164" i="26"/>
  <c r="AA190" i="26"/>
  <c r="AA164" i="26"/>
  <c r="L190" i="26"/>
  <c r="L164" i="26"/>
  <c r="D190" i="25"/>
  <c r="D164" i="25"/>
  <c r="AB164" i="24"/>
  <c r="AB190" i="24"/>
  <c r="W190" i="26"/>
  <c r="W164" i="26"/>
  <c r="R190" i="24"/>
  <c r="R164" i="24"/>
  <c r="AA190" i="24"/>
  <c r="AA164" i="24"/>
  <c r="C190" i="25"/>
  <c r="C164" i="25"/>
  <c r="V190" i="25"/>
  <c r="V164" i="25"/>
  <c r="O164" i="26"/>
  <c r="O190" i="26"/>
  <c r="N190" i="24"/>
  <c r="N164" i="24"/>
  <c r="L164" i="24"/>
  <c r="L190" i="24"/>
  <c r="N190" i="26"/>
  <c r="N164" i="26"/>
  <c r="X164" i="24"/>
  <c r="X190" i="24"/>
  <c r="I190" i="24"/>
  <c r="I164" i="24"/>
  <c r="G164" i="24"/>
  <c r="G190" i="24"/>
  <c r="P190" i="25"/>
  <c r="P164" i="25"/>
  <c r="N190" i="25"/>
  <c r="N164" i="25"/>
  <c r="T164" i="26"/>
  <c r="T190" i="26"/>
  <c r="D190" i="26"/>
  <c r="D164" i="26"/>
  <c r="AC164" i="24"/>
  <c r="AC190" i="24"/>
  <c r="DO16" i="33" s="1"/>
  <c r="Y190" i="24"/>
  <c r="Y164" i="24"/>
  <c r="D190" i="24"/>
  <c r="D164" i="24"/>
  <c r="T164" i="24"/>
  <c r="T190" i="24"/>
  <c r="O164" i="24"/>
  <c r="O190" i="24"/>
  <c r="R190" i="25"/>
  <c r="R164" i="25"/>
  <c r="H164" i="25"/>
  <c r="H190" i="25"/>
  <c r="F164" i="25"/>
  <c r="F190" i="25"/>
  <c r="Z190" i="25"/>
  <c r="Z164" i="25"/>
  <c r="Q164" i="26"/>
  <c r="Q190" i="26"/>
  <c r="J190" i="26"/>
  <c r="J164" i="26"/>
  <c r="AB164" i="26"/>
  <c r="AB190" i="26"/>
  <c r="V164" i="26"/>
  <c r="V190" i="26"/>
  <c r="U190" i="25"/>
  <c r="U164" i="25"/>
  <c r="B164" i="24"/>
  <c r="B190" i="24"/>
  <c r="I16" i="33" s="1"/>
  <c r="X190" i="26"/>
  <c r="X164" i="26"/>
  <c r="AB164" i="25"/>
  <c r="AB190" i="25"/>
  <c r="J164" i="24"/>
  <c r="J190" i="24"/>
  <c r="W190" i="24"/>
  <c r="W164" i="24"/>
  <c r="J190" i="25"/>
  <c r="J164" i="25"/>
  <c r="Y164" i="25"/>
  <c r="Y190" i="25"/>
  <c r="I190" i="26"/>
  <c r="I164" i="26"/>
  <c r="P190" i="26"/>
  <c r="P164" i="26"/>
  <c r="B190" i="26"/>
  <c r="K16" i="33" s="1"/>
  <c r="B164" i="26"/>
  <c r="M164" i="25"/>
  <c r="M190" i="25"/>
  <c r="BM16" i="33" s="1"/>
  <c r="R164" i="26"/>
  <c r="R190" i="26"/>
  <c r="K164" i="26"/>
  <c r="K190" i="26"/>
  <c r="AC164" i="25"/>
  <c r="AC190" i="25"/>
  <c r="DP16" i="33" s="1"/>
  <c r="X190" i="25"/>
  <c r="X164" i="25"/>
  <c r="H164" i="24"/>
  <c r="H190" i="24"/>
  <c r="Q190" i="24"/>
  <c r="Q164" i="24"/>
  <c r="U164" i="24"/>
  <c r="U190" i="24"/>
  <c r="B190" i="25"/>
  <c r="J16" i="33" s="1"/>
  <c r="B164" i="25"/>
  <c r="Q164" i="25"/>
  <c r="Q190" i="25"/>
  <c r="W164" i="25"/>
  <c r="W190" i="25"/>
  <c r="AC164" i="26"/>
  <c r="AC190" i="26"/>
  <c r="DQ16" i="33" s="1"/>
  <c r="Y190" i="26"/>
  <c r="Y164" i="26"/>
  <c r="L164" i="25"/>
  <c r="L190" i="25"/>
  <c r="AA164" i="25"/>
  <c r="AA190" i="25"/>
  <c r="P190" i="24"/>
  <c r="P164" i="24"/>
  <c r="F190" i="26"/>
  <c r="F164" i="26"/>
  <c r="Z190" i="26"/>
  <c r="Z164" i="26"/>
  <c r="M190" i="24"/>
  <c r="BL16" i="33" s="1"/>
  <c r="M164" i="24"/>
  <c r="C164" i="24"/>
  <c r="C190" i="24"/>
  <c r="I164" i="25"/>
  <c r="I190" i="25"/>
  <c r="O190" i="25"/>
  <c r="O164" i="25"/>
  <c r="U190" i="26"/>
  <c r="U164" i="26"/>
  <c r="E164" i="25"/>
  <c r="E190" i="25"/>
  <c r="V164" i="24"/>
  <c r="V190" i="24"/>
  <c r="Z190" i="24"/>
  <c r="Z164" i="24"/>
  <c r="K164" i="24"/>
  <c r="K190" i="24"/>
  <c r="S164" i="25"/>
  <c r="S190" i="25"/>
  <c r="G190" i="25"/>
  <c r="G164" i="25"/>
  <c r="M164" i="26"/>
  <c r="M190" i="26"/>
  <c r="BN16" i="33" s="1"/>
  <c r="S164" i="26"/>
  <c r="S190" i="26"/>
  <c r="G190" i="26"/>
  <c r="G164" i="26"/>
  <c r="T190" i="25"/>
  <c r="T164" i="25"/>
  <c r="F190" i="24"/>
  <c r="F164" i="24"/>
  <c r="C190" i="26"/>
  <c r="C164" i="26"/>
  <c r="G84" i="24"/>
  <c r="G58" i="24"/>
  <c r="V84" i="24"/>
  <c r="V58" i="24"/>
  <c r="H84" i="24"/>
  <c r="H58" i="24"/>
  <c r="B84" i="24"/>
  <c r="D16" i="33" s="1"/>
  <c r="B58" i="24"/>
  <c r="K84" i="24"/>
  <c r="K58" i="24"/>
  <c r="G84" i="25"/>
  <c r="G58" i="25"/>
  <c r="P58" i="25"/>
  <c r="P84" i="25"/>
  <c r="W58" i="26"/>
  <c r="W84" i="26"/>
  <c r="AA58" i="26"/>
  <c r="AA84" i="26"/>
  <c r="Q58" i="26"/>
  <c r="Q84" i="26"/>
  <c r="S84" i="25"/>
  <c r="S58" i="25"/>
  <c r="U58" i="26"/>
  <c r="U84" i="26"/>
  <c r="K84" i="25"/>
  <c r="K58" i="25"/>
  <c r="I58" i="24"/>
  <c r="I84" i="24"/>
  <c r="J58" i="24"/>
  <c r="J84" i="24"/>
  <c r="H58" i="25"/>
  <c r="H84" i="25"/>
  <c r="N58" i="26"/>
  <c r="N84" i="26"/>
  <c r="B58" i="26"/>
  <c r="B84" i="26"/>
  <c r="F16" i="33" s="1"/>
  <c r="Y84" i="24"/>
  <c r="Y58" i="24"/>
  <c r="R58" i="24"/>
  <c r="R84" i="24"/>
  <c r="V84" i="25"/>
  <c r="V58" i="25"/>
  <c r="Z84" i="25"/>
  <c r="Z58" i="25"/>
  <c r="Q58" i="25"/>
  <c r="Q84" i="25"/>
  <c r="J58" i="26"/>
  <c r="J84" i="26"/>
  <c r="W58" i="25"/>
  <c r="W84" i="25"/>
  <c r="T58" i="24"/>
  <c r="T84" i="24"/>
  <c r="X58" i="25"/>
  <c r="X84" i="25"/>
  <c r="X58" i="26"/>
  <c r="X84" i="26"/>
  <c r="O84" i="24"/>
  <c r="O58" i="24"/>
  <c r="M58" i="24"/>
  <c r="M84" i="24"/>
  <c r="BG16" i="33" s="1"/>
  <c r="W58" i="24"/>
  <c r="W84" i="24"/>
  <c r="Z58" i="24"/>
  <c r="Z84" i="24"/>
  <c r="N58" i="25"/>
  <c r="N84" i="25"/>
  <c r="AB84" i="25"/>
  <c r="AB58" i="25"/>
  <c r="R58" i="25"/>
  <c r="R84" i="25"/>
  <c r="I58" i="25"/>
  <c r="I84" i="25"/>
  <c r="T58" i="26"/>
  <c r="T84" i="26"/>
  <c r="R58" i="26"/>
  <c r="R84" i="26"/>
  <c r="I58" i="26"/>
  <c r="I84" i="26"/>
  <c r="AA84" i="25"/>
  <c r="AA58" i="25"/>
  <c r="O84" i="25"/>
  <c r="O58" i="25"/>
  <c r="AB58" i="24"/>
  <c r="AB84" i="24"/>
  <c r="D84" i="24"/>
  <c r="D58" i="24"/>
  <c r="L58" i="24"/>
  <c r="L84" i="24"/>
  <c r="F58" i="25"/>
  <c r="F84" i="25"/>
  <c r="AC58" i="25"/>
  <c r="AC84" i="25"/>
  <c r="DK16" i="33" s="1"/>
  <c r="T84" i="25"/>
  <c r="T58" i="25"/>
  <c r="J58" i="25"/>
  <c r="J84" i="25"/>
  <c r="F58" i="26"/>
  <c r="F84" i="26"/>
  <c r="AC58" i="26"/>
  <c r="AC84" i="26"/>
  <c r="DL16" i="33" s="1"/>
  <c r="Z58" i="26"/>
  <c r="Z84" i="26"/>
  <c r="U84" i="24"/>
  <c r="U58" i="24"/>
  <c r="E84" i="25"/>
  <c r="E58" i="25"/>
  <c r="S58" i="26"/>
  <c r="S84" i="26"/>
  <c r="Q58" i="24"/>
  <c r="Q84" i="24"/>
  <c r="X58" i="24"/>
  <c r="X84" i="24"/>
  <c r="F84" i="24"/>
  <c r="F58" i="24"/>
  <c r="U58" i="25"/>
  <c r="U84" i="25"/>
  <c r="L84" i="25"/>
  <c r="L58" i="25"/>
  <c r="B84" i="25"/>
  <c r="E16" i="33" s="1"/>
  <c r="B58" i="25"/>
  <c r="P58" i="26"/>
  <c r="P84" i="26"/>
  <c r="AB58" i="26"/>
  <c r="AB84" i="26"/>
  <c r="C58" i="26"/>
  <c r="C84" i="26"/>
  <c r="Y58" i="26"/>
  <c r="Y84" i="26"/>
  <c r="V58" i="26"/>
  <c r="V84" i="26"/>
  <c r="P58" i="24"/>
  <c r="P84" i="24"/>
  <c r="AA84" i="24"/>
  <c r="AA58" i="24"/>
  <c r="E58" i="24"/>
  <c r="E84" i="24"/>
  <c r="S84" i="24"/>
  <c r="S58" i="24"/>
  <c r="O58" i="26"/>
  <c r="O84" i="26"/>
  <c r="U46" i="26"/>
  <c r="H58" i="26"/>
  <c r="H84" i="26"/>
  <c r="E58" i="26"/>
  <c r="E84" i="26"/>
  <c r="AC58" i="24"/>
  <c r="AC84" i="24"/>
  <c r="DJ16" i="33" s="1"/>
  <c r="C84" i="24"/>
  <c r="C58" i="24"/>
  <c r="N84" i="24"/>
  <c r="N58" i="24"/>
  <c r="Y84" i="25"/>
  <c r="Y58" i="25"/>
  <c r="M84" i="25"/>
  <c r="BH16" i="33" s="1"/>
  <c r="M58" i="25"/>
  <c r="D58" i="25"/>
  <c r="D84" i="25"/>
  <c r="D58" i="26"/>
  <c r="D84" i="26"/>
  <c r="G58" i="26"/>
  <c r="G84" i="26"/>
  <c r="K58" i="26"/>
  <c r="K84" i="26"/>
  <c r="M58" i="26"/>
  <c r="M84" i="26"/>
  <c r="BI16" i="33" s="1"/>
  <c r="L58" i="26"/>
  <c r="L84" i="26"/>
  <c r="C84" i="25"/>
  <c r="C58" i="25"/>
  <c r="AA45" i="26"/>
  <c r="P259" i="26"/>
  <c r="Q270" i="26"/>
  <c r="E46" i="26"/>
  <c r="P368" i="25"/>
  <c r="AA368" i="25"/>
  <c r="C369" i="25"/>
  <c r="Q152" i="25"/>
  <c r="T46" i="24"/>
  <c r="A390" i="23"/>
  <c r="A281" i="23"/>
  <c r="A293" i="23"/>
  <c r="A290" i="23"/>
  <c r="A180" i="23"/>
  <c r="A168" i="23"/>
  <c r="A172" i="23"/>
  <c r="A183" i="23"/>
  <c r="A81" i="23"/>
  <c r="A69" i="23"/>
  <c r="A404" i="22"/>
  <c r="A392" i="22"/>
  <c r="A389" i="22"/>
  <c r="A390" i="22"/>
  <c r="A385" i="21"/>
  <c r="A397" i="21"/>
  <c r="A404" i="21"/>
  <c r="A392" i="21"/>
  <c r="A387" i="21"/>
  <c r="A290" i="21"/>
  <c r="A278" i="21"/>
  <c r="A281" i="21"/>
  <c r="A282" i="21"/>
  <c r="A169" i="21"/>
  <c r="A171" i="21"/>
  <c r="A174" i="21"/>
  <c r="A399" i="20"/>
  <c r="A387" i="20"/>
  <c r="A171" i="20"/>
  <c r="A62" i="20"/>
  <c r="A392" i="19"/>
  <c r="A282" i="19"/>
  <c r="A283" i="19"/>
  <c r="U369" i="25"/>
  <c r="T368" i="26"/>
  <c r="AB260" i="26"/>
  <c r="AB368" i="26"/>
  <c r="U126" i="3"/>
  <c r="F146" i="3" s="1"/>
  <c r="AC126" i="3"/>
  <c r="N146" i="3" s="1"/>
  <c r="AK126" i="3"/>
  <c r="V146" i="3" s="1"/>
  <c r="V126" i="3"/>
  <c r="G146" i="3" s="1"/>
  <c r="AD126" i="3"/>
  <c r="O146" i="3" s="1"/>
  <c r="AL126" i="3"/>
  <c r="W146" i="3" s="1"/>
  <c r="W126" i="3"/>
  <c r="H146" i="3" s="1"/>
  <c r="AE126" i="3"/>
  <c r="P146" i="3" s="1"/>
  <c r="AM126" i="3"/>
  <c r="X146" i="3" s="1"/>
  <c r="X126" i="3"/>
  <c r="I146" i="3" s="1"/>
  <c r="AF126" i="3"/>
  <c r="Q146" i="3" s="1"/>
  <c r="AN126" i="3"/>
  <c r="Y146" i="3" s="1"/>
  <c r="Y126" i="3"/>
  <c r="J146" i="3" s="1"/>
  <c r="AG126" i="3"/>
  <c r="R146" i="3" s="1"/>
  <c r="AO126" i="3"/>
  <c r="Z146" i="3" s="1"/>
  <c r="R126" i="3"/>
  <c r="C146" i="3" s="1"/>
  <c r="Z126" i="3"/>
  <c r="K146" i="3" s="1"/>
  <c r="AH126" i="3"/>
  <c r="S146" i="3" s="1"/>
  <c r="AP126" i="3"/>
  <c r="AA146" i="3" s="1"/>
  <c r="S126" i="3"/>
  <c r="D146" i="3" s="1"/>
  <c r="AA126" i="3"/>
  <c r="L146" i="3" s="1"/>
  <c r="AI126" i="3"/>
  <c r="T146" i="3" s="1"/>
  <c r="AQ126" i="3"/>
  <c r="AB146" i="3" s="1"/>
  <c r="AJ126" i="3"/>
  <c r="U146" i="3" s="1"/>
  <c r="AB126" i="3"/>
  <c r="M146" i="3" s="1"/>
  <c r="AR126" i="3"/>
  <c r="AC146" i="3" s="1"/>
  <c r="T126" i="3"/>
  <c r="E146" i="3" s="1"/>
  <c r="T343" i="9"/>
  <c r="AB343" i="9"/>
  <c r="AJ343" i="9"/>
  <c r="AR343" i="9"/>
  <c r="V343" i="9"/>
  <c r="AD343" i="9"/>
  <c r="AL343" i="9"/>
  <c r="X343" i="9"/>
  <c r="AF343" i="9"/>
  <c r="AN343" i="9"/>
  <c r="Y343" i="9"/>
  <c r="AG343" i="9"/>
  <c r="AO343" i="9"/>
  <c r="S343" i="9"/>
  <c r="AA343" i="9"/>
  <c r="AI343" i="9"/>
  <c r="AQ343" i="9"/>
  <c r="Z343" i="9"/>
  <c r="AC343" i="9"/>
  <c r="AE343" i="9"/>
  <c r="AH343" i="9"/>
  <c r="AK343" i="9"/>
  <c r="R343" i="9"/>
  <c r="AM343" i="9"/>
  <c r="U343" i="9"/>
  <c r="AP343" i="9"/>
  <c r="W343" i="9"/>
  <c r="U20" i="3"/>
  <c r="F40" i="3" s="1"/>
  <c r="AC20" i="3"/>
  <c r="N40" i="3" s="1"/>
  <c r="AK20" i="3"/>
  <c r="V40" i="3" s="1"/>
  <c r="V20" i="3"/>
  <c r="G40" i="3" s="1"/>
  <c r="W20" i="3"/>
  <c r="H40" i="3" s="1"/>
  <c r="AE20" i="3"/>
  <c r="P40" i="3" s="1"/>
  <c r="AM20" i="3"/>
  <c r="X40" i="3" s="1"/>
  <c r="AG20" i="3"/>
  <c r="R40" i="3" s="1"/>
  <c r="R20" i="3"/>
  <c r="C40" i="3" s="1"/>
  <c r="Z20" i="3"/>
  <c r="K40" i="3" s="1"/>
  <c r="AH20" i="3"/>
  <c r="S40" i="3" s="1"/>
  <c r="X20" i="3"/>
  <c r="I40" i="3" s="1"/>
  <c r="AF20" i="3"/>
  <c r="Q40" i="3" s="1"/>
  <c r="AN20" i="3"/>
  <c r="Y40" i="3" s="1"/>
  <c r="Y20" i="3"/>
  <c r="J40" i="3" s="1"/>
  <c r="AO20" i="3"/>
  <c r="Z40" i="3" s="1"/>
  <c r="AP20" i="3"/>
  <c r="AA40" i="3" s="1"/>
  <c r="AL20" i="3"/>
  <c r="W40" i="3" s="1"/>
  <c r="S20" i="3"/>
  <c r="D40" i="3" s="1"/>
  <c r="AA20" i="3"/>
  <c r="L40" i="3" s="1"/>
  <c r="AI20" i="3"/>
  <c r="T40" i="3" s="1"/>
  <c r="AQ20" i="3"/>
  <c r="AB40" i="3" s="1"/>
  <c r="T20" i="3"/>
  <c r="E40" i="3" s="1"/>
  <c r="AB20" i="3"/>
  <c r="M40" i="3" s="1"/>
  <c r="AJ20" i="3"/>
  <c r="U40" i="3" s="1"/>
  <c r="AR20" i="3"/>
  <c r="AC40" i="3" s="1"/>
  <c r="AD20" i="3"/>
  <c r="O40" i="3" s="1"/>
  <c r="K368" i="26"/>
  <c r="R368" i="25"/>
  <c r="G369" i="26"/>
  <c r="G259" i="26"/>
  <c r="G368" i="26"/>
  <c r="H151" i="26"/>
  <c r="AC369" i="26"/>
  <c r="O369" i="26"/>
  <c r="AB369" i="26"/>
  <c r="U368" i="25"/>
  <c r="AC152" i="26"/>
  <c r="E151" i="25"/>
  <c r="Y369" i="25"/>
  <c r="C259" i="25"/>
  <c r="C151" i="25"/>
  <c r="Q151" i="24"/>
  <c r="P369" i="25"/>
  <c r="E368" i="25"/>
  <c r="E369" i="25"/>
  <c r="F259" i="24"/>
  <c r="AC151" i="26"/>
  <c r="M368" i="26"/>
  <c r="R369" i="25"/>
  <c r="Y368" i="25"/>
  <c r="U368" i="26"/>
  <c r="D260" i="26"/>
  <c r="D259" i="26"/>
  <c r="G260" i="26"/>
  <c r="M368" i="25"/>
  <c r="J368" i="25"/>
  <c r="AB369" i="25"/>
  <c r="W259" i="24"/>
  <c r="V162" i="24"/>
  <c r="N259" i="25"/>
  <c r="M152" i="26"/>
  <c r="G369" i="24"/>
  <c r="L46" i="25"/>
  <c r="D369" i="26"/>
  <c r="L368" i="26"/>
  <c r="L260" i="26"/>
  <c r="L369" i="26"/>
  <c r="V368" i="25"/>
  <c r="AB368" i="25"/>
  <c r="L174" i="25"/>
  <c r="X260" i="26"/>
  <c r="H368" i="25"/>
  <c r="P151" i="25"/>
  <c r="K369" i="26"/>
  <c r="V259" i="24"/>
  <c r="C368" i="25"/>
  <c r="Y259" i="26"/>
  <c r="X259" i="26"/>
  <c r="X369" i="26"/>
  <c r="X152" i="26"/>
  <c r="Q368" i="24"/>
  <c r="E260" i="25"/>
  <c r="C260" i="25"/>
  <c r="X368" i="26"/>
  <c r="AB259" i="26"/>
  <c r="O368" i="26"/>
  <c r="L259" i="26"/>
  <c r="Y260" i="26"/>
  <c r="Y369" i="26"/>
  <c r="V259" i="25"/>
  <c r="V369" i="25"/>
  <c r="Y260" i="25"/>
  <c r="T259" i="26"/>
  <c r="Y259" i="25"/>
  <c r="T260" i="26"/>
  <c r="T369" i="26"/>
  <c r="Y151" i="26"/>
  <c r="P260" i="24"/>
  <c r="M151" i="24"/>
  <c r="X259" i="24"/>
  <c r="AA369" i="26"/>
  <c r="Y368" i="26"/>
  <c r="S260" i="24"/>
  <c r="C368" i="24"/>
  <c r="C260" i="24"/>
  <c r="C151" i="24"/>
  <c r="C152" i="24"/>
  <c r="G151" i="25"/>
  <c r="C259" i="24"/>
  <c r="C259" i="26"/>
  <c r="J151" i="24"/>
  <c r="C369" i="24"/>
  <c r="E259" i="24"/>
  <c r="J368" i="24"/>
  <c r="T151" i="26"/>
  <c r="X151" i="26"/>
  <c r="R151" i="25"/>
  <c r="B368" i="26"/>
  <c r="B281" i="25"/>
  <c r="T368" i="24"/>
  <c r="S369" i="24"/>
  <c r="W152" i="24"/>
  <c r="W46" i="24"/>
  <c r="W369" i="24"/>
  <c r="W45" i="24"/>
  <c r="B369" i="26"/>
  <c r="Y46" i="26"/>
  <c r="W368" i="24"/>
  <c r="W260" i="24"/>
  <c r="S259" i="24"/>
  <c r="T259" i="24"/>
  <c r="S152" i="24"/>
  <c r="S368" i="24"/>
  <c r="B259" i="26"/>
  <c r="AC151" i="24"/>
  <c r="W151" i="24"/>
  <c r="P260" i="25"/>
  <c r="R368" i="24"/>
  <c r="U369" i="24"/>
  <c r="V369" i="24"/>
  <c r="X368" i="24"/>
  <c r="X151" i="24"/>
  <c r="P151" i="26"/>
  <c r="X152" i="24"/>
  <c r="O259" i="26"/>
  <c r="O260" i="26"/>
  <c r="X369" i="24"/>
  <c r="AB151" i="26"/>
  <c r="F152" i="25"/>
  <c r="F259" i="25"/>
  <c r="P368" i="26"/>
  <c r="H368" i="24"/>
  <c r="S45" i="24"/>
  <c r="F369" i="25"/>
  <c r="L259" i="25"/>
  <c r="P369" i="26"/>
  <c r="AA152" i="24"/>
  <c r="P260" i="26"/>
  <c r="R46" i="24"/>
  <c r="F368" i="25"/>
  <c r="R368" i="26"/>
  <c r="E260" i="24"/>
  <c r="O151" i="26"/>
  <c r="X46" i="26"/>
  <c r="S151" i="24"/>
  <c r="C368" i="26"/>
  <c r="C151" i="26"/>
  <c r="D45" i="26"/>
  <c r="C260" i="26"/>
  <c r="C369" i="26"/>
  <c r="W368" i="26"/>
  <c r="C152" i="26"/>
  <c r="E152" i="26"/>
  <c r="I45" i="25"/>
  <c r="G152" i="26"/>
  <c r="U260" i="26"/>
  <c r="F46" i="25"/>
  <c r="F260" i="25"/>
  <c r="W151" i="25"/>
  <c r="W260" i="25"/>
  <c r="Z45" i="24"/>
  <c r="I368" i="25"/>
  <c r="E152" i="25"/>
  <c r="Q368" i="25"/>
  <c r="T368" i="25"/>
  <c r="W259" i="25"/>
  <c r="AA368" i="26"/>
  <c r="U369" i="26"/>
  <c r="W368" i="25"/>
  <c r="U259" i="26"/>
  <c r="D152" i="26"/>
  <c r="M151" i="26"/>
  <c r="AA369" i="24"/>
  <c r="H152" i="24"/>
  <c r="R260" i="25"/>
  <c r="R259" i="25"/>
  <c r="R369" i="26"/>
  <c r="U151" i="26"/>
  <c r="AA368" i="24"/>
  <c r="AA259" i="24"/>
  <c r="U151" i="24"/>
  <c r="U45" i="26"/>
  <c r="U368" i="24"/>
  <c r="I369" i="25"/>
  <c r="W369" i="25"/>
  <c r="Y151" i="25"/>
  <c r="H368" i="26"/>
  <c r="D151" i="26"/>
  <c r="J151" i="25"/>
  <c r="J369" i="25"/>
  <c r="C46" i="26"/>
  <c r="T67" i="24"/>
  <c r="M260" i="26"/>
  <c r="N368" i="24"/>
  <c r="J260" i="25"/>
  <c r="H259" i="26"/>
  <c r="O368" i="24"/>
  <c r="J259" i="25"/>
  <c r="M46" i="25"/>
  <c r="AA151" i="26"/>
  <c r="AB45" i="26"/>
  <c r="AB152" i="26"/>
  <c r="J152" i="25"/>
  <c r="L151" i="26"/>
  <c r="T45" i="26"/>
  <c r="M369" i="26"/>
  <c r="L152" i="26"/>
  <c r="L45" i="26"/>
  <c r="X45" i="26"/>
  <c r="P46" i="26"/>
  <c r="Z151" i="25"/>
  <c r="Z260" i="25"/>
  <c r="AB260" i="24"/>
  <c r="AB369" i="24"/>
  <c r="AB368" i="24"/>
  <c r="B369" i="24"/>
  <c r="D259" i="24"/>
  <c r="Z368" i="25"/>
  <c r="K259" i="25"/>
  <c r="W369" i="26"/>
  <c r="W259" i="26"/>
  <c r="S260" i="26"/>
  <c r="W151" i="26"/>
  <c r="N369" i="24"/>
  <c r="B259" i="24"/>
  <c r="Z259" i="24"/>
  <c r="O152" i="24"/>
  <c r="O45" i="24"/>
  <c r="K368" i="25"/>
  <c r="W260" i="26"/>
  <c r="M45" i="26"/>
  <c r="L369" i="24"/>
  <c r="Z369" i="24"/>
  <c r="AB259" i="24"/>
  <c r="D151" i="24"/>
  <c r="B151" i="25"/>
  <c r="S368" i="26"/>
  <c r="S259" i="26"/>
  <c r="H260" i="26"/>
  <c r="O45" i="26"/>
  <c r="O259" i="24"/>
  <c r="Z368" i="24"/>
  <c r="D369" i="24"/>
  <c r="B368" i="24"/>
  <c r="Z260" i="24"/>
  <c r="O260" i="24"/>
  <c r="O151" i="24"/>
  <c r="Z259" i="25"/>
  <c r="S152" i="26"/>
  <c r="D368" i="24"/>
  <c r="D152" i="24"/>
  <c r="Z151" i="24"/>
  <c r="Z369" i="25"/>
  <c r="U260" i="25"/>
  <c r="S369" i="26"/>
  <c r="W152" i="26"/>
  <c r="O369" i="24"/>
  <c r="N260" i="24"/>
  <c r="N259" i="24"/>
  <c r="B152" i="24"/>
  <c r="Z152" i="24"/>
  <c r="B151" i="24"/>
  <c r="O46" i="24"/>
  <c r="T369" i="25"/>
  <c r="H369" i="26"/>
  <c r="M46" i="26"/>
  <c r="N151" i="24"/>
  <c r="N152" i="24"/>
  <c r="AA45" i="24"/>
  <c r="K369" i="25"/>
  <c r="M259" i="26"/>
  <c r="R46" i="26"/>
  <c r="N45" i="24"/>
  <c r="D52" i="26"/>
  <c r="P368" i="24"/>
  <c r="B152" i="26"/>
  <c r="D260" i="24"/>
  <c r="D46" i="26"/>
  <c r="H78" i="26"/>
  <c r="Y172" i="26"/>
  <c r="K259" i="26"/>
  <c r="H369" i="25"/>
  <c r="F151" i="25"/>
  <c r="V368" i="24"/>
  <c r="V260" i="24"/>
  <c r="L259" i="24"/>
  <c r="E260" i="26"/>
  <c r="AA152" i="26"/>
  <c r="L368" i="24"/>
  <c r="P369" i="24"/>
  <c r="AC152" i="25"/>
  <c r="E369" i="26"/>
  <c r="E368" i="26"/>
  <c r="E151" i="26"/>
  <c r="E45" i="26"/>
  <c r="AC45" i="26"/>
  <c r="AC369" i="25"/>
  <c r="B152" i="25"/>
  <c r="I281" i="26"/>
  <c r="G368" i="24"/>
  <c r="B368" i="25"/>
  <c r="P151" i="24"/>
  <c r="B260" i="25"/>
  <c r="B259" i="25"/>
  <c r="J369" i="26"/>
  <c r="P259" i="24"/>
  <c r="P152" i="24"/>
  <c r="B46" i="24"/>
  <c r="B369" i="25"/>
  <c r="V151" i="24"/>
  <c r="AA369" i="25"/>
  <c r="E259" i="26"/>
  <c r="F46" i="26"/>
  <c r="I45" i="24"/>
  <c r="I259" i="24"/>
  <c r="I369" i="24"/>
  <c r="I368" i="24"/>
  <c r="I260" i="24"/>
  <c r="F45" i="24"/>
  <c r="F260" i="24"/>
  <c r="F152" i="24"/>
  <c r="N260" i="25"/>
  <c r="N151" i="25"/>
  <c r="N45" i="26"/>
  <c r="N369" i="26"/>
  <c r="N368" i="26"/>
  <c r="I152" i="24"/>
  <c r="V152" i="24"/>
  <c r="R151" i="24"/>
  <c r="I259" i="25"/>
  <c r="H259" i="25"/>
  <c r="Q151" i="25"/>
  <c r="L294" i="26"/>
  <c r="N259" i="26"/>
  <c r="K260" i="26"/>
  <c r="P45" i="26"/>
  <c r="F369" i="24"/>
  <c r="F368" i="24"/>
  <c r="K46" i="24"/>
  <c r="O368" i="25"/>
  <c r="N368" i="25"/>
  <c r="L260" i="25"/>
  <c r="Q259" i="25"/>
  <c r="V45" i="25"/>
  <c r="F369" i="26"/>
  <c r="AC46" i="26"/>
  <c r="N369" i="25"/>
  <c r="T369" i="24"/>
  <c r="G259" i="24"/>
  <c r="L45" i="24"/>
  <c r="O260" i="25"/>
  <c r="O152" i="25"/>
  <c r="B45" i="25"/>
  <c r="F259" i="26"/>
  <c r="J260" i="26"/>
  <c r="AA260" i="26"/>
  <c r="AA259" i="26"/>
  <c r="N152" i="26"/>
  <c r="J151" i="26"/>
  <c r="S45" i="26"/>
  <c r="T260" i="24"/>
  <c r="AA260" i="24"/>
  <c r="I151" i="24"/>
  <c r="R259" i="24"/>
  <c r="L152" i="24"/>
  <c r="V46" i="24"/>
  <c r="AA46" i="24"/>
  <c r="L368" i="25"/>
  <c r="Z152" i="25"/>
  <c r="R259" i="26"/>
  <c r="R260" i="26"/>
  <c r="R369" i="24"/>
  <c r="L260" i="24"/>
  <c r="T152" i="24"/>
  <c r="L151" i="24"/>
  <c r="AA151" i="24"/>
  <c r="L46" i="24"/>
  <c r="V45" i="24"/>
  <c r="L369" i="25"/>
  <c r="K260" i="25"/>
  <c r="Q260" i="25"/>
  <c r="V260" i="25"/>
  <c r="AB151" i="25"/>
  <c r="T46" i="25"/>
  <c r="V151" i="25"/>
  <c r="J368" i="26"/>
  <c r="F260" i="26"/>
  <c r="G260" i="24"/>
  <c r="AB152" i="24"/>
  <c r="AB151" i="24"/>
  <c r="G151" i="24"/>
  <c r="Q369" i="25"/>
  <c r="I260" i="25"/>
  <c r="K151" i="25"/>
  <c r="AC368" i="26"/>
  <c r="AC259" i="26"/>
  <c r="J259" i="26"/>
  <c r="J152" i="26"/>
  <c r="K151" i="26"/>
  <c r="T151" i="24"/>
  <c r="F368" i="26"/>
  <c r="AC260" i="26"/>
  <c r="G152" i="24"/>
  <c r="G46" i="24"/>
  <c r="T259" i="25"/>
  <c r="R260" i="24"/>
  <c r="R152" i="24"/>
  <c r="T260" i="25"/>
  <c r="U151" i="25"/>
  <c r="T151" i="25"/>
  <c r="G45" i="24"/>
  <c r="AB46" i="25"/>
  <c r="I151" i="26"/>
  <c r="I369" i="26"/>
  <c r="S260" i="25"/>
  <c r="S368" i="25"/>
  <c r="S369" i="25"/>
  <c r="S259" i="25"/>
  <c r="I259" i="26"/>
  <c r="C46" i="24"/>
  <c r="S46" i="26"/>
  <c r="K152" i="25"/>
  <c r="W46" i="26"/>
  <c r="S152" i="25"/>
  <c r="B45" i="24"/>
  <c r="S151" i="25"/>
  <c r="I368" i="26"/>
  <c r="I260" i="26"/>
  <c r="C45" i="24"/>
  <c r="X45" i="24"/>
  <c r="D45" i="25"/>
  <c r="D369" i="25"/>
  <c r="G260" i="25"/>
  <c r="G46" i="25"/>
  <c r="F45" i="25"/>
  <c r="G259" i="25"/>
  <c r="N46" i="25"/>
  <c r="Y46" i="25"/>
  <c r="O152" i="26"/>
  <c r="O46" i="26"/>
  <c r="K163" i="24"/>
  <c r="G368" i="25"/>
  <c r="B293" i="25"/>
  <c r="O11" i="33" s="1"/>
  <c r="D259" i="25"/>
  <c r="AA45" i="25"/>
  <c r="D151" i="25"/>
  <c r="N162" i="26"/>
  <c r="T387" i="26"/>
  <c r="T152" i="26"/>
  <c r="G369" i="25"/>
  <c r="D368" i="25"/>
  <c r="D260" i="25"/>
  <c r="D152" i="25"/>
  <c r="K45" i="26"/>
  <c r="AA46" i="26"/>
  <c r="U152" i="26"/>
  <c r="G152" i="25"/>
  <c r="AB259" i="25"/>
  <c r="C45" i="26"/>
  <c r="S69" i="26"/>
  <c r="M45" i="24"/>
  <c r="M368" i="24"/>
  <c r="M260" i="24"/>
  <c r="M259" i="24"/>
  <c r="D45" i="24"/>
  <c r="V46" i="26"/>
  <c r="V368" i="26"/>
  <c r="V259" i="26"/>
  <c r="V369" i="26"/>
  <c r="M369" i="24"/>
  <c r="M152" i="24"/>
  <c r="S46" i="24"/>
  <c r="N46" i="24"/>
  <c r="X46" i="24"/>
  <c r="Z45" i="26"/>
  <c r="Z369" i="26"/>
  <c r="Z151" i="26"/>
  <c r="Z368" i="26"/>
  <c r="Q187" i="24"/>
  <c r="T45" i="24"/>
  <c r="I46" i="24"/>
  <c r="D46" i="24"/>
  <c r="X260" i="24"/>
  <c r="AB45" i="24"/>
  <c r="P46" i="24"/>
  <c r="H46" i="25"/>
  <c r="V186" i="24"/>
  <c r="F151" i="24"/>
  <c r="K45" i="24"/>
  <c r="Z46" i="24"/>
  <c r="AC45" i="24"/>
  <c r="Q45" i="26"/>
  <c r="Q151" i="26"/>
  <c r="Q152" i="26"/>
  <c r="Q369" i="26"/>
  <c r="AB46" i="24"/>
  <c r="P45" i="24"/>
  <c r="Q46" i="24"/>
  <c r="R45" i="24"/>
  <c r="F46" i="24"/>
  <c r="H45" i="25"/>
  <c r="H151" i="25"/>
  <c r="H260" i="25"/>
  <c r="V152" i="25"/>
  <c r="G45" i="26"/>
  <c r="I46" i="26"/>
  <c r="L152" i="25"/>
  <c r="C46" i="25"/>
  <c r="V260" i="26"/>
  <c r="K152" i="26"/>
  <c r="R45" i="26"/>
  <c r="L151" i="25"/>
  <c r="R152" i="25"/>
  <c r="T152" i="25"/>
  <c r="W46" i="25"/>
  <c r="G45" i="25"/>
  <c r="Q46" i="25"/>
  <c r="Y45" i="25"/>
  <c r="D46" i="25"/>
  <c r="Q45" i="25"/>
  <c r="B260" i="26"/>
  <c r="R152" i="26"/>
  <c r="I152" i="26"/>
  <c r="S151" i="26"/>
  <c r="S53" i="26"/>
  <c r="G53" i="26"/>
  <c r="N46" i="26"/>
  <c r="AB260" i="25"/>
  <c r="P259" i="25"/>
  <c r="W152" i="25"/>
  <c r="AB152" i="25"/>
  <c r="R46" i="25"/>
  <c r="I46" i="25"/>
  <c r="J45" i="25"/>
  <c r="L45" i="25"/>
  <c r="W45" i="25"/>
  <c r="Q368" i="26"/>
  <c r="Z152" i="26"/>
  <c r="V151" i="26"/>
  <c r="R151" i="26"/>
  <c r="D65" i="26"/>
  <c r="H46" i="26"/>
  <c r="P152" i="26"/>
  <c r="E259" i="25"/>
  <c r="H152" i="25"/>
  <c r="C152" i="25"/>
  <c r="X183" i="25"/>
  <c r="J46" i="25"/>
  <c r="R45" i="25"/>
  <c r="T45" i="25"/>
  <c r="P45" i="25"/>
  <c r="G46" i="26"/>
  <c r="G77" i="26"/>
  <c r="D76" i="26"/>
  <c r="AA292" i="25"/>
  <c r="I151" i="25"/>
  <c r="P152" i="25"/>
  <c r="K46" i="25"/>
  <c r="I152" i="25"/>
  <c r="B46" i="25"/>
  <c r="Z45" i="25"/>
  <c r="AB45" i="25"/>
  <c r="X45" i="25"/>
  <c r="Z260" i="26"/>
  <c r="F152" i="26"/>
  <c r="N151" i="26"/>
  <c r="G151" i="26"/>
  <c r="E46" i="25"/>
  <c r="C45" i="25"/>
  <c r="W45" i="26"/>
  <c r="H45" i="26"/>
  <c r="Y152" i="25"/>
  <c r="AA152" i="25"/>
  <c r="V46" i="25"/>
  <c r="S45" i="25"/>
  <c r="E45" i="25"/>
  <c r="K45" i="25"/>
  <c r="Q259" i="26"/>
  <c r="Z259" i="26"/>
  <c r="Q260" i="26"/>
  <c r="N260" i="26"/>
  <c r="V152" i="26"/>
  <c r="H152" i="26"/>
  <c r="F151" i="26"/>
  <c r="I45" i="26"/>
  <c r="J46" i="26"/>
  <c r="B46" i="26"/>
  <c r="L46" i="26"/>
  <c r="S57" i="26"/>
  <c r="S62" i="26"/>
  <c r="D51" i="26"/>
  <c r="B389" i="26"/>
  <c r="B401" i="26"/>
  <c r="U10" i="33" s="1"/>
  <c r="B377" i="26"/>
  <c r="C402" i="26"/>
  <c r="C390" i="26"/>
  <c r="X402" i="26"/>
  <c r="X378" i="26"/>
  <c r="X390" i="26"/>
  <c r="B399" i="26"/>
  <c r="U8" i="33" s="1"/>
  <c r="B397" i="26"/>
  <c r="U6" i="33" s="1"/>
  <c r="B400" i="26"/>
  <c r="U9" i="33" s="1"/>
  <c r="B387" i="26"/>
  <c r="B385" i="26"/>
  <c r="B386" i="26"/>
  <c r="B376" i="26"/>
  <c r="B388" i="26"/>
  <c r="B374" i="26"/>
  <c r="B398" i="26"/>
  <c r="U7" i="33" s="1"/>
  <c r="B375" i="26"/>
  <c r="B373" i="26"/>
  <c r="O390" i="26"/>
  <c r="O402" i="26"/>
  <c r="O378" i="26"/>
  <c r="L390" i="26"/>
  <c r="L378" i="26"/>
  <c r="L402" i="26"/>
  <c r="V283" i="26"/>
  <c r="V295" i="26"/>
  <c r="V271" i="26"/>
  <c r="U294" i="26"/>
  <c r="U270" i="26"/>
  <c r="U282" i="26"/>
  <c r="F294" i="26"/>
  <c r="F270" i="26"/>
  <c r="F282" i="26"/>
  <c r="B279" i="26"/>
  <c r="B290" i="26"/>
  <c r="P8" i="33" s="1"/>
  <c r="B267" i="26"/>
  <c r="B289" i="26"/>
  <c r="P7" i="33" s="1"/>
  <c r="B278" i="26"/>
  <c r="B288" i="26"/>
  <c r="P6" i="33" s="1"/>
  <c r="B265" i="26"/>
  <c r="B277" i="26"/>
  <c r="B291" i="26"/>
  <c r="P9" i="33" s="1"/>
  <c r="B266" i="26"/>
  <c r="B276" i="26"/>
  <c r="B264" i="26"/>
  <c r="AC283" i="26"/>
  <c r="AC271" i="26"/>
  <c r="AC295" i="26"/>
  <c r="DV13" i="33" s="1"/>
  <c r="W295" i="26"/>
  <c r="W271" i="26"/>
  <c r="W283" i="26"/>
  <c r="S186" i="26"/>
  <c r="S174" i="26"/>
  <c r="S162" i="26"/>
  <c r="J173" i="26"/>
  <c r="J185" i="26"/>
  <c r="J161" i="26"/>
  <c r="R293" i="26"/>
  <c r="R281" i="26"/>
  <c r="R269" i="26"/>
  <c r="AB293" i="26"/>
  <c r="AB269" i="26"/>
  <c r="AB281" i="26"/>
  <c r="I185" i="26"/>
  <c r="I173" i="26"/>
  <c r="I161" i="26"/>
  <c r="H161" i="26"/>
  <c r="H185" i="26"/>
  <c r="H173" i="26"/>
  <c r="D181" i="26"/>
  <c r="D169" i="26"/>
  <c r="D156" i="26"/>
  <c r="D157" i="26"/>
  <c r="D170" i="26"/>
  <c r="D159" i="26"/>
  <c r="D158" i="26"/>
  <c r="D183" i="26"/>
  <c r="D182" i="26"/>
  <c r="D171" i="26"/>
  <c r="D168" i="26"/>
  <c r="D180" i="26"/>
  <c r="J81" i="26"/>
  <c r="J69" i="26"/>
  <c r="J57" i="26"/>
  <c r="I81" i="26"/>
  <c r="I69" i="26"/>
  <c r="I57" i="26"/>
  <c r="E68" i="26"/>
  <c r="E56" i="26"/>
  <c r="E80" i="26"/>
  <c r="J80" i="26"/>
  <c r="J68" i="26"/>
  <c r="J56" i="26"/>
  <c r="J67" i="26"/>
  <c r="J79" i="26"/>
  <c r="J55" i="26"/>
  <c r="M80" i="26"/>
  <c r="BI12" i="33" s="1"/>
  <c r="M56" i="26"/>
  <c r="M68" i="26"/>
  <c r="L68" i="26"/>
  <c r="L80" i="26"/>
  <c r="L56" i="26"/>
  <c r="Z76" i="26"/>
  <c r="Z74" i="26"/>
  <c r="Z65" i="26"/>
  <c r="Z53" i="26"/>
  <c r="Z63" i="26"/>
  <c r="Z51" i="26"/>
  <c r="Z75" i="26"/>
  <c r="Z62" i="26"/>
  <c r="Z50" i="26"/>
  <c r="Z52" i="26"/>
  <c r="Z77" i="26"/>
  <c r="Z64" i="26"/>
  <c r="F55" i="26"/>
  <c r="F67" i="26"/>
  <c r="F79" i="26"/>
  <c r="T80" i="26"/>
  <c r="T68" i="26"/>
  <c r="T56" i="26"/>
  <c r="AA81" i="26"/>
  <c r="P402" i="26"/>
  <c r="P378" i="26"/>
  <c r="P390" i="26"/>
  <c r="G390" i="26"/>
  <c r="G402" i="26"/>
  <c r="G378" i="26"/>
  <c r="D390" i="26"/>
  <c r="D378" i="26"/>
  <c r="D402" i="26"/>
  <c r="V387" i="26"/>
  <c r="V385" i="26"/>
  <c r="V388" i="26"/>
  <c r="V399" i="26"/>
  <c r="V376" i="26"/>
  <c r="V374" i="26"/>
  <c r="V397" i="26"/>
  <c r="V375" i="26"/>
  <c r="V398" i="26"/>
  <c r="V386" i="26"/>
  <c r="V400" i="26"/>
  <c r="V373" i="26"/>
  <c r="G404" i="26"/>
  <c r="G380" i="26"/>
  <c r="G392" i="26"/>
  <c r="R295" i="26"/>
  <c r="R271" i="26"/>
  <c r="R283" i="26"/>
  <c r="N283" i="26"/>
  <c r="N295" i="26"/>
  <c r="N271" i="26"/>
  <c r="W398" i="26"/>
  <c r="W388" i="26"/>
  <c r="W399" i="26"/>
  <c r="W386" i="26"/>
  <c r="W400" i="26"/>
  <c r="W375" i="26"/>
  <c r="W385" i="26"/>
  <c r="W373" i="26"/>
  <c r="W374" i="26"/>
  <c r="W376" i="26"/>
  <c r="W387" i="26"/>
  <c r="W397" i="26"/>
  <c r="J282" i="26"/>
  <c r="J270" i="26"/>
  <c r="J294" i="26"/>
  <c r="AA280" i="26"/>
  <c r="AA268" i="26"/>
  <c r="AA292" i="26"/>
  <c r="AB283" i="26"/>
  <c r="AB295" i="26"/>
  <c r="AB271" i="26"/>
  <c r="D277" i="26"/>
  <c r="D288" i="26"/>
  <c r="D291" i="26"/>
  <c r="D290" i="26"/>
  <c r="D279" i="26"/>
  <c r="D289" i="26"/>
  <c r="D278" i="26"/>
  <c r="D266" i="26"/>
  <c r="D276" i="26"/>
  <c r="D267" i="26"/>
  <c r="D265" i="26"/>
  <c r="D264" i="26"/>
  <c r="J186" i="26"/>
  <c r="J174" i="26"/>
  <c r="J162" i="26"/>
  <c r="R173" i="26"/>
  <c r="R161" i="26"/>
  <c r="R185" i="26"/>
  <c r="V184" i="26"/>
  <c r="V172" i="26"/>
  <c r="V160" i="26"/>
  <c r="AA184" i="26"/>
  <c r="AA172" i="26"/>
  <c r="AA160" i="26"/>
  <c r="B81" i="26"/>
  <c r="F13" i="33" s="1"/>
  <c r="B57" i="26"/>
  <c r="B69" i="26"/>
  <c r="I78" i="26"/>
  <c r="I54" i="26"/>
  <c r="I66" i="26"/>
  <c r="H55" i="26"/>
  <c r="H79" i="26"/>
  <c r="H67" i="26"/>
  <c r="L79" i="26"/>
  <c r="L55" i="26"/>
  <c r="L67" i="26"/>
  <c r="P56" i="26"/>
  <c r="P68" i="26"/>
  <c r="P80" i="26"/>
  <c r="R80" i="26"/>
  <c r="R68" i="26"/>
  <c r="R56" i="26"/>
  <c r="V67" i="26"/>
  <c r="V55" i="26"/>
  <c r="V79" i="26"/>
  <c r="U55" i="26"/>
  <c r="U79" i="26"/>
  <c r="U67" i="26"/>
  <c r="K386" i="26"/>
  <c r="K400" i="26"/>
  <c r="K387" i="26"/>
  <c r="K398" i="26"/>
  <c r="K388" i="26"/>
  <c r="K375" i="26"/>
  <c r="K397" i="26"/>
  <c r="K373" i="26"/>
  <c r="K399" i="26"/>
  <c r="K374" i="26"/>
  <c r="K385" i="26"/>
  <c r="K376" i="26"/>
  <c r="H402" i="26"/>
  <c r="H378" i="26"/>
  <c r="H390" i="26"/>
  <c r="P401" i="26"/>
  <c r="P389" i="26"/>
  <c r="P377" i="26"/>
  <c r="AC401" i="26"/>
  <c r="EA10" i="33" s="1"/>
  <c r="AC377" i="26"/>
  <c r="AC389" i="26"/>
  <c r="W391" i="26"/>
  <c r="W403" i="26"/>
  <c r="W379" i="26"/>
  <c r="AA386" i="26"/>
  <c r="AA400" i="26"/>
  <c r="AA387" i="26"/>
  <c r="AA398" i="26"/>
  <c r="AA388" i="26"/>
  <c r="AA375" i="26"/>
  <c r="AA397" i="26"/>
  <c r="AA373" i="26"/>
  <c r="AA399" i="26"/>
  <c r="AA374" i="26"/>
  <c r="AA376" i="26"/>
  <c r="AA385" i="26"/>
  <c r="J295" i="26"/>
  <c r="J271" i="26"/>
  <c r="J283" i="26"/>
  <c r="Y295" i="26"/>
  <c r="Y271" i="26"/>
  <c r="Y283" i="26"/>
  <c r="F283" i="26"/>
  <c r="F295" i="26"/>
  <c r="F271" i="26"/>
  <c r="T280" i="26"/>
  <c r="T292" i="26"/>
  <c r="T268" i="26"/>
  <c r="S280" i="26"/>
  <c r="S268" i="26"/>
  <c r="S292" i="26"/>
  <c r="K280" i="26"/>
  <c r="K292" i="26"/>
  <c r="K268" i="26"/>
  <c r="M283" i="26"/>
  <c r="M295" i="26"/>
  <c r="BS13" i="33" s="1"/>
  <c r="M271" i="26"/>
  <c r="X289" i="26"/>
  <c r="X265" i="26"/>
  <c r="X276" i="26"/>
  <c r="X279" i="26"/>
  <c r="X288" i="26"/>
  <c r="X291" i="26"/>
  <c r="X278" i="26"/>
  <c r="X267" i="26"/>
  <c r="X290" i="26"/>
  <c r="X266" i="26"/>
  <c r="X277" i="26"/>
  <c r="X264" i="26"/>
  <c r="X185" i="26"/>
  <c r="X161" i="26"/>
  <c r="X173" i="26"/>
  <c r="W161" i="26"/>
  <c r="W185" i="26"/>
  <c r="W173" i="26"/>
  <c r="Z185" i="26"/>
  <c r="Z173" i="26"/>
  <c r="Z161" i="26"/>
  <c r="L172" i="26"/>
  <c r="L160" i="26"/>
  <c r="L184" i="26"/>
  <c r="T79" i="26"/>
  <c r="T67" i="26"/>
  <c r="T55" i="26"/>
  <c r="M67" i="26"/>
  <c r="M79" i="26"/>
  <c r="BI11" i="33" s="1"/>
  <c r="M55" i="26"/>
  <c r="Z80" i="26"/>
  <c r="Z68" i="26"/>
  <c r="Z56" i="26"/>
  <c r="I67" i="26"/>
  <c r="I55" i="26"/>
  <c r="I79" i="26"/>
  <c r="G79" i="26"/>
  <c r="G67" i="26"/>
  <c r="G55" i="26"/>
  <c r="O66" i="26"/>
  <c r="O78" i="26"/>
  <c r="O54" i="26"/>
  <c r="AA69" i="26"/>
  <c r="AA57" i="26"/>
  <c r="C386" i="26"/>
  <c r="C400" i="26"/>
  <c r="C387" i="26"/>
  <c r="C398" i="26"/>
  <c r="C375" i="26"/>
  <c r="C373" i="26"/>
  <c r="C388" i="26"/>
  <c r="C374" i="26"/>
  <c r="C397" i="26"/>
  <c r="C399" i="26"/>
  <c r="C376" i="26"/>
  <c r="C385" i="26"/>
  <c r="Q389" i="26"/>
  <c r="Q377" i="26"/>
  <c r="Q401" i="26"/>
  <c r="X385" i="26"/>
  <c r="X399" i="26"/>
  <c r="X386" i="26"/>
  <c r="X397" i="26"/>
  <c r="X387" i="26"/>
  <c r="X374" i="26"/>
  <c r="X388" i="26"/>
  <c r="X398" i="26"/>
  <c r="X373" i="26"/>
  <c r="X376" i="26"/>
  <c r="X375" i="26"/>
  <c r="X400" i="26"/>
  <c r="J392" i="26"/>
  <c r="J404" i="26"/>
  <c r="J380" i="26"/>
  <c r="M392" i="26"/>
  <c r="M404" i="26"/>
  <c r="BX13" i="33" s="1"/>
  <c r="M380" i="26"/>
  <c r="H391" i="26"/>
  <c r="H379" i="26"/>
  <c r="H403" i="26"/>
  <c r="B295" i="26"/>
  <c r="P13" i="33" s="1"/>
  <c r="B271" i="26"/>
  <c r="B283" i="26"/>
  <c r="Q295" i="26"/>
  <c r="Q271" i="26"/>
  <c r="Q283" i="26"/>
  <c r="G398" i="26"/>
  <c r="G388" i="26"/>
  <c r="G399" i="26"/>
  <c r="G386" i="26"/>
  <c r="G400" i="26"/>
  <c r="G375" i="26"/>
  <c r="G385" i="26"/>
  <c r="G373" i="26"/>
  <c r="G387" i="26"/>
  <c r="G376" i="26"/>
  <c r="G397" i="26"/>
  <c r="G374" i="26"/>
  <c r="F292" i="26"/>
  <c r="F280" i="26"/>
  <c r="F268" i="26"/>
  <c r="Z295" i="26"/>
  <c r="Z271" i="26"/>
  <c r="Z283" i="26"/>
  <c r="T283" i="26"/>
  <c r="T295" i="26"/>
  <c r="T271" i="26"/>
  <c r="S295" i="26"/>
  <c r="S271" i="26"/>
  <c r="S283" i="26"/>
  <c r="L283" i="26"/>
  <c r="L295" i="26"/>
  <c r="L271" i="26"/>
  <c r="G271" i="26"/>
  <c r="G283" i="26"/>
  <c r="G295" i="26"/>
  <c r="AC186" i="26"/>
  <c r="DQ12" i="33" s="1"/>
  <c r="AC174" i="26"/>
  <c r="AC162" i="26"/>
  <c r="M173" i="26"/>
  <c r="M185" i="26"/>
  <c r="BN11" i="33" s="1"/>
  <c r="M161" i="26"/>
  <c r="X182" i="26"/>
  <c r="X180" i="26"/>
  <c r="X157" i="26"/>
  <c r="X168" i="26"/>
  <c r="X183" i="26"/>
  <c r="X169" i="26"/>
  <c r="X171" i="26"/>
  <c r="X170" i="26"/>
  <c r="X159" i="26"/>
  <c r="X158" i="26"/>
  <c r="X156" i="26"/>
  <c r="X181" i="26"/>
  <c r="L161" i="26"/>
  <c r="L185" i="26"/>
  <c r="L173" i="26"/>
  <c r="G184" i="26"/>
  <c r="G172" i="26"/>
  <c r="G160" i="26"/>
  <c r="Z186" i="26"/>
  <c r="Z174" i="26"/>
  <c r="Z162" i="26"/>
  <c r="E181" i="26"/>
  <c r="E156" i="26"/>
  <c r="E180" i="26"/>
  <c r="E159" i="26"/>
  <c r="E168" i="26"/>
  <c r="E170" i="26"/>
  <c r="E171" i="26"/>
  <c r="E157" i="26"/>
  <c r="E182" i="26"/>
  <c r="E183" i="26"/>
  <c r="E169" i="26"/>
  <c r="E158" i="26"/>
  <c r="X55" i="26"/>
  <c r="X79" i="26"/>
  <c r="X67" i="26"/>
  <c r="N80" i="26"/>
  <c r="N68" i="26"/>
  <c r="N56" i="26"/>
  <c r="C68" i="26"/>
  <c r="C56" i="26"/>
  <c r="C80" i="26"/>
  <c r="G75" i="26"/>
  <c r="G62" i="26"/>
  <c r="G51" i="26"/>
  <c r="G74" i="26"/>
  <c r="G50" i="26"/>
  <c r="G63" i="26"/>
  <c r="Q402" i="26"/>
  <c r="Q390" i="26"/>
  <c r="Q378" i="26"/>
  <c r="T400" i="26"/>
  <c r="T376" i="26"/>
  <c r="T388" i="26"/>
  <c r="I389" i="26"/>
  <c r="I377" i="26"/>
  <c r="I401" i="26"/>
  <c r="Y388" i="26"/>
  <c r="Y386" i="26"/>
  <c r="Y397" i="26"/>
  <c r="Y400" i="26"/>
  <c r="Y375" i="26"/>
  <c r="Y398" i="26"/>
  <c r="Y373" i="26"/>
  <c r="Y385" i="26"/>
  <c r="Y376" i="26"/>
  <c r="Y399" i="26"/>
  <c r="Y387" i="26"/>
  <c r="Y374" i="26"/>
  <c r="P385" i="26"/>
  <c r="P399" i="26"/>
  <c r="P386" i="26"/>
  <c r="P397" i="26"/>
  <c r="P374" i="26"/>
  <c r="P387" i="26"/>
  <c r="P373" i="26"/>
  <c r="P388" i="26"/>
  <c r="P376" i="26"/>
  <c r="P400" i="26"/>
  <c r="P375" i="26"/>
  <c r="P398" i="26"/>
  <c r="M401" i="26"/>
  <c r="BX10" i="33" s="1"/>
  <c r="M377" i="26"/>
  <c r="M389" i="26"/>
  <c r="R392" i="26"/>
  <c r="R380" i="26"/>
  <c r="R404" i="26"/>
  <c r="T403" i="26"/>
  <c r="T379" i="26"/>
  <c r="T391" i="26"/>
  <c r="B268" i="26"/>
  <c r="B280" i="26"/>
  <c r="B292" i="26"/>
  <c r="P10" i="33" s="1"/>
  <c r="Q292" i="26"/>
  <c r="Q268" i="26"/>
  <c r="Q280" i="26"/>
  <c r="N294" i="26"/>
  <c r="N270" i="26"/>
  <c r="N282" i="26"/>
  <c r="H292" i="26"/>
  <c r="H268" i="26"/>
  <c r="H280" i="26"/>
  <c r="C290" i="26"/>
  <c r="C266" i="26"/>
  <c r="C277" i="26"/>
  <c r="C288" i="26"/>
  <c r="C267" i="26"/>
  <c r="C279" i="26"/>
  <c r="C264" i="26"/>
  <c r="C291" i="26"/>
  <c r="C278" i="26"/>
  <c r="C276" i="26"/>
  <c r="C289" i="26"/>
  <c r="C265" i="26"/>
  <c r="C271" i="26"/>
  <c r="C295" i="26"/>
  <c r="C283" i="26"/>
  <c r="N280" i="26"/>
  <c r="N268" i="26"/>
  <c r="N292" i="26"/>
  <c r="C161" i="26"/>
  <c r="C185" i="26"/>
  <c r="C173" i="26"/>
  <c r="L182" i="26"/>
  <c r="L169" i="26"/>
  <c r="L181" i="26"/>
  <c r="L156" i="26"/>
  <c r="L157" i="26"/>
  <c r="L168" i="26"/>
  <c r="L180" i="26"/>
  <c r="L183" i="26"/>
  <c r="L171" i="26"/>
  <c r="L170" i="26"/>
  <c r="L159" i="26"/>
  <c r="L158" i="26"/>
  <c r="F185" i="26"/>
  <c r="F161" i="26"/>
  <c r="F173" i="26"/>
  <c r="AA186" i="26"/>
  <c r="AA174" i="26"/>
  <c r="AA162" i="26"/>
  <c r="O184" i="26"/>
  <c r="O160" i="26"/>
  <c r="O172" i="26"/>
  <c r="O162" i="26"/>
  <c r="O186" i="26"/>
  <c r="O174" i="26"/>
  <c r="AB161" i="26"/>
  <c r="AB173" i="26"/>
  <c r="AB185" i="26"/>
  <c r="V57" i="26"/>
  <c r="V69" i="26"/>
  <c r="V81" i="26"/>
  <c r="C79" i="26"/>
  <c r="C67" i="26"/>
  <c r="C55" i="26"/>
  <c r="G80" i="26"/>
  <c r="G68" i="26"/>
  <c r="G56" i="26"/>
  <c r="K56" i="26"/>
  <c r="K80" i="26"/>
  <c r="K68" i="26"/>
  <c r="I402" i="26"/>
  <c r="I390" i="26"/>
  <c r="I378" i="26"/>
  <c r="V378" i="26"/>
  <c r="V390" i="26"/>
  <c r="V402" i="26"/>
  <c r="H385" i="26"/>
  <c r="H399" i="26"/>
  <c r="H386" i="26"/>
  <c r="H397" i="26"/>
  <c r="H387" i="26"/>
  <c r="H374" i="26"/>
  <c r="H388" i="26"/>
  <c r="H398" i="26"/>
  <c r="H373" i="26"/>
  <c r="H376" i="26"/>
  <c r="H400" i="26"/>
  <c r="H375" i="26"/>
  <c r="E401" i="26"/>
  <c r="E377" i="26"/>
  <c r="E389" i="26"/>
  <c r="B391" i="26"/>
  <c r="B403" i="26"/>
  <c r="U12" i="33" s="1"/>
  <c r="B379" i="26"/>
  <c r="Z268" i="26"/>
  <c r="Z292" i="26"/>
  <c r="Z280" i="26"/>
  <c r="G278" i="26"/>
  <c r="G289" i="26"/>
  <c r="G276" i="26"/>
  <c r="G264" i="26"/>
  <c r="G291" i="26"/>
  <c r="G277" i="26"/>
  <c r="G279" i="26"/>
  <c r="G267" i="26"/>
  <c r="G266" i="26"/>
  <c r="G265" i="26"/>
  <c r="G288" i="26"/>
  <c r="G290" i="26"/>
  <c r="K290" i="26"/>
  <c r="K266" i="26"/>
  <c r="K277" i="26"/>
  <c r="K288" i="26"/>
  <c r="K291" i="26"/>
  <c r="K267" i="26"/>
  <c r="K279" i="26"/>
  <c r="K265" i="26"/>
  <c r="K278" i="26"/>
  <c r="K276" i="26"/>
  <c r="K264" i="26"/>
  <c r="K289" i="26"/>
  <c r="X295" i="26"/>
  <c r="X283" i="26"/>
  <c r="X271" i="26"/>
  <c r="D280" i="26"/>
  <c r="D268" i="26"/>
  <c r="D292" i="26"/>
  <c r="Z172" i="26"/>
  <c r="Z184" i="26"/>
  <c r="Z160" i="26"/>
  <c r="T183" i="26"/>
  <c r="T169" i="26"/>
  <c r="T182" i="26"/>
  <c r="T156" i="26"/>
  <c r="T180" i="26"/>
  <c r="T157" i="26"/>
  <c r="T158" i="26"/>
  <c r="T181" i="26"/>
  <c r="T171" i="26"/>
  <c r="T170" i="26"/>
  <c r="T168" i="26"/>
  <c r="T159" i="26"/>
  <c r="N185" i="26"/>
  <c r="N173" i="26"/>
  <c r="N161" i="26"/>
  <c r="W184" i="26"/>
  <c r="W172" i="26"/>
  <c r="W160" i="26"/>
  <c r="D186" i="26"/>
  <c r="D174" i="26"/>
  <c r="D162" i="26"/>
  <c r="K79" i="26"/>
  <c r="K67" i="26"/>
  <c r="K55" i="26"/>
  <c r="O80" i="26"/>
  <c r="O56" i="26"/>
  <c r="O68" i="26"/>
  <c r="S56" i="26"/>
  <c r="S68" i="26"/>
  <c r="S80" i="26"/>
  <c r="F76" i="26"/>
  <c r="F77" i="26"/>
  <c r="F64" i="26"/>
  <c r="F75" i="26"/>
  <c r="F74" i="26"/>
  <c r="F50" i="26"/>
  <c r="F63" i="26"/>
  <c r="F53" i="26"/>
  <c r="F51" i="26"/>
  <c r="F62" i="26"/>
  <c r="F65" i="26"/>
  <c r="F52" i="26"/>
  <c r="E79" i="26"/>
  <c r="E55" i="26"/>
  <c r="E67" i="26"/>
  <c r="W78" i="26"/>
  <c r="W54" i="26"/>
  <c r="W66" i="26"/>
  <c r="R389" i="26"/>
  <c r="R401" i="26"/>
  <c r="R377" i="26"/>
  <c r="R399" i="26"/>
  <c r="R397" i="26"/>
  <c r="R400" i="26"/>
  <c r="R387" i="26"/>
  <c r="R385" i="26"/>
  <c r="R386" i="26"/>
  <c r="R376" i="26"/>
  <c r="R388" i="26"/>
  <c r="R374" i="26"/>
  <c r="R398" i="26"/>
  <c r="R373" i="26"/>
  <c r="R375" i="26"/>
  <c r="I388" i="26"/>
  <c r="I386" i="26"/>
  <c r="I397" i="26"/>
  <c r="I400" i="26"/>
  <c r="I375" i="26"/>
  <c r="I398" i="26"/>
  <c r="I373" i="26"/>
  <c r="I385" i="26"/>
  <c r="I376" i="26"/>
  <c r="I399" i="26"/>
  <c r="I374" i="26"/>
  <c r="I387" i="26"/>
  <c r="N390" i="26"/>
  <c r="N378" i="26"/>
  <c r="N402" i="26"/>
  <c r="F404" i="26"/>
  <c r="F380" i="26"/>
  <c r="F392" i="26"/>
  <c r="K403" i="26"/>
  <c r="K379" i="26"/>
  <c r="K391" i="26"/>
  <c r="N403" i="26"/>
  <c r="N379" i="26"/>
  <c r="N391" i="26"/>
  <c r="T374" i="26"/>
  <c r="T397" i="26"/>
  <c r="T373" i="26"/>
  <c r="T398" i="26"/>
  <c r="T385" i="26"/>
  <c r="T386" i="26"/>
  <c r="M280" i="26"/>
  <c r="M268" i="26"/>
  <c r="M292" i="26"/>
  <c r="BS10" i="33" s="1"/>
  <c r="F291" i="26"/>
  <c r="F267" i="26"/>
  <c r="F278" i="26"/>
  <c r="F289" i="26"/>
  <c r="F265" i="26"/>
  <c r="F288" i="26"/>
  <c r="F290" i="26"/>
  <c r="F264" i="26"/>
  <c r="F266" i="26"/>
  <c r="F279" i="26"/>
  <c r="F276" i="26"/>
  <c r="F277" i="26"/>
  <c r="M288" i="26"/>
  <c r="BS6" i="33" s="1"/>
  <c r="M264" i="26"/>
  <c r="M291" i="26"/>
  <c r="BS9" i="33" s="1"/>
  <c r="M278" i="26"/>
  <c r="M277" i="26"/>
  <c r="M266" i="26"/>
  <c r="M289" i="26"/>
  <c r="BS7" i="33" s="1"/>
  <c r="M290" i="26"/>
  <c r="BS8" i="33" s="1"/>
  <c r="M279" i="26"/>
  <c r="M265" i="26"/>
  <c r="M267" i="26"/>
  <c r="M276" i="26"/>
  <c r="AB169" i="26"/>
  <c r="AB183" i="26"/>
  <c r="AB156" i="26"/>
  <c r="AB157" i="26"/>
  <c r="AB182" i="26"/>
  <c r="AB181" i="26"/>
  <c r="AB180" i="26"/>
  <c r="AB171" i="26"/>
  <c r="AB170" i="26"/>
  <c r="AB159" i="26"/>
  <c r="AB158" i="26"/>
  <c r="AB168" i="26"/>
  <c r="V185" i="26"/>
  <c r="V161" i="26"/>
  <c r="V173" i="26"/>
  <c r="AC173" i="26"/>
  <c r="AC185" i="26"/>
  <c r="DQ11" i="33" s="1"/>
  <c r="AC161" i="26"/>
  <c r="Y81" i="26"/>
  <c r="Y69" i="26"/>
  <c r="Y57" i="26"/>
  <c r="M181" i="26"/>
  <c r="BN7" i="33" s="1"/>
  <c r="M156" i="26"/>
  <c r="M159" i="26"/>
  <c r="M168" i="26"/>
  <c r="M180" i="26"/>
  <c r="BN6" i="33" s="1"/>
  <c r="M157" i="26"/>
  <c r="M183" i="26"/>
  <c r="BN9" i="33" s="1"/>
  <c r="M182" i="26"/>
  <c r="BN8" i="33" s="1"/>
  <c r="M171" i="26"/>
  <c r="M169" i="26"/>
  <c r="M158" i="26"/>
  <c r="M170" i="26"/>
  <c r="F57" i="26"/>
  <c r="F81" i="26"/>
  <c r="F69" i="26"/>
  <c r="AA80" i="26"/>
  <c r="AA56" i="26"/>
  <c r="AA68" i="26"/>
  <c r="O69" i="26"/>
  <c r="O57" i="26"/>
  <c r="O81" i="26"/>
  <c r="V80" i="26"/>
  <c r="V68" i="26"/>
  <c r="V56" i="26"/>
  <c r="J389" i="26"/>
  <c r="J401" i="26"/>
  <c r="J377" i="26"/>
  <c r="F390" i="26"/>
  <c r="F378" i="26"/>
  <c r="F402" i="26"/>
  <c r="U400" i="26"/>
  <c r="U398" i="26"/>
  <c r="U385" i="26"/>
  <c r="U388" i="26"/>
  <c r="U386" i="26"/>
  <c r="U373" i="26"/>
  <c r="U387" i="26"/>
  <c r="U397" i="26"/>
  <c r="U375" i="26"/>
  <c r="U374" i="26"/>
  <c r="U399" i="26"/>
  <c r="U376" i="26"/>
  <c r="K295" i="26"/>
  <c r="K283" i="26"/>
  <c r="K271" i="26"/>
  <c r="T282" i="26"/>
  <c r="T270" i="26"/>
  <c r="T294" i="26"/>
  <c r="U280" i="26"/>
  <c r="U292" i="26"/>
  <c r="U268" i="26"/>
  <c r="W294" i="26"/>
  <c r="W270" i="26"/>
  <c r="W282" i="26"/>
  <c r="AA282" i="26"/>
  <c r="AA294" i="26"/>
  <c r="AA270" i="26"/>
  <c r="W278" i="26"/>
  <c r="W289" i="26"/>
  <c r="W288" i="26"/>
  <c r="W277" i="26"/>
  <c r="W267" i="26"/>
  <c r="W266" i="26"/>
  <c r="W265" i="26"/>
  <c r="W290" i="26"/>
  <c r="W279" i="26"/>
  <c r="W276" i="26"/>
  <c r="W291" i="26"/>
  <c r="W264" i="26"/>
  <c r="D270" i="26"/>
  <c r="D282" i="26"/>
  <c r="D294" i="26"/>
  <c r="W292" i="26"/>
  <c r="W268" i="26"/>
  <c r="W280" i="26"/>
  <c r="E172" i="26"/>
  <c r="E184" i="26"/>
  <c r="E160" i="26"/>
  <c r="B173" i="26"/>
  <c r="B161" i="26"/>
  <c r="B185" i="26"/>
  <c r="K11" i="33" s="1"/>
  <c r="K172" i="26"/>
  <c r="K184" i="26"/>
  <c r="K160" i="26"/>
  <c r="S173" i="26"/>
  <c r="S161" i="26"/>
  <c r="S185" i="26"/>
  <c r="R81" i="26"/>
  <c r="R57" i="26"/>
  <c r="R69" i="26"/>
  <c r="P185" i="26"/>
  <c r="P173" i="26"/>
  <c r="P161" i="26"/>
  <c r="Y78" i="26"/>
  <c r="Y54" i="26"/>
  <c r="Y66" i="26"/>
  <c r="AA79" i="26"/>
  <c r="AA67" i="26"/>
  <c r="AA55" i="26"/>
  <c r="B80" i="26"/>
  <c r="F12" i="33" s="1"/>
  <c r="B68" i="26"/>
  <c r="B56" i="26"/>
  <c r="W79" i="26"/>
  <c r="W67" i="26"/>
  <c r="W55" i="26"/>
  <c r="C57" i="26"/>
  <c r="C69" i="26"/>
  <c r="C81" i="26"/>
  <c r="I68" i="26"/>
  <c r="I56" i="26"/>
  <c r="I80" i="26"/>
  <c r="J391" i="26"/>
  <c r="J403" i="26"/>
  <c r="J379" i="26"/>
  <c r="AA389" i="26"/>
  <c r="AA377" i="26"/>
  <c r="AA401" i="26"/>
  <c r="N404" i="26"/>
  <c r="N380" i="26"/>
  <c r="N392" i="26"/>
  <c r="D403" i="26"/>
  <c r="D379" i="26"/>
  <c r="D391" i="26"/>
  <c r="V401" i="26"/>
  <c r="V389" i="26"/>
  <c r="V377" i="26"/>
  <c r="Z392" i="26"/>
  <c r="Z404" i="26"/>
  <c r="Z380" i="26"/>
  <c r="O398" i="26"/>
  <c r="O388" i="26"/>
  <c r="O399" i="26"/>
  <c r="O386" i="26"/>
  <c r="O385" i="26"/>
  <c r="O400" i="26"/>
  <c r="O375" i="26"/>
  <c r="O387" i="26"/>
  <c r="O373" i="26"/>
  <c r="O397" i="26"/>
  <c r="O376" i="26"/>
  <c r="O374" i="26"/>
  <c r="Q391" i="26"/>
  <c r="Q379" i="26"/>
  <c r="Q403" i="26"/>
  <c r="Z402" i="26"/>
  <c r="Z378" i="26"/>
  <c r="Z390" i="26"/>
  <c r="U390" i="26"/>
  <c r="U402" i="26"/>
  <c r="U378" i="26"/>
  <c r="R378" i="26"/>
  <c r="R402" i="26"/>
  <c r="R390" i="26"/>
  <c r="E288" i="26"/>
  <c r="E264" i="26"/>
  <c r="E291" i="26"/>
  <c r="E278" i="26"/>
  <c r="E290" i="26"/>
  <c r="E289" i="26"/>
  <c r="E266" i="26"/>
  <c r="E265" i="26"/>
  <c r="E277" i="26"/>
  <c r="E267" i="26"/>
  <c r="E276" i="26"/>
  <c r="E279" i="26"/>
  <c r="Q276" i="26"/>
  <c r="Q279" i="26"/>
  <c r="Q290" i="26"/>
  <c r="Q264" i="26"/>
  <c r="Q288" i="26"/>
  <c r="Q277" i="26"/>
  <c r="Q267" i="26"/>
  <c r="Q291" i="26"/>
  <c r="Q278" i="26"/>
  <c r="Q289" i="26"/>
  <c r="Q265" i="26"/>
  <c r="Q266" i="26"/>
  <c r="P289" i="26"/>
  <c r="P265" i="26"/>
  <c r="P276" i="26"/>
  <c r="P279" i="26"/>
  <c r="P290" i="26"/>
  <c r="P264" i="26"/>
  <c r="P278" i="26"/>
  <c r="P288" i="26"/>
  <c r="P277" i="26"/>
  <c r="P291" i="26"/>
  <c r="P267" i="26"/>
  <c r="P266" i="26"/>
  <c r="X292" i="26"/>
  <c r="X268" i="26"/>
  <c r="X280" i="26"/>
  <c r="T399" i="26"/>
  <c r="V294" i="26"/>
  <c r="V270" i="26"/>
  <c r="V282" i="26"/>
  <c r="AA295" i="26"/>
  <c r="AA283" i="26"/>
  <c r="AA271" i="26"/>
  <c r="Q294" i="26"/>
  <c r="G187" i="26"/>
  <c r="G175" i="26"/>
  <c r="G163" i="26"/>
  <c r="K175" i="26"/>
  <c r="K187" i="26"/>
  <c r="K163" i="26"/>
  <c r="F180" i="26"/>
  <c r="F159" i="26"/>
  <c r="F170" i="26"/>
  <c r="F183" i="26"/>
  <c r="F171" i="26"/>
  <c r="F169" i="26"/>
  <c r="F158" i="26"/>
  <c r="F182" i="26"/>
  <c r="F168" i="26"/>
  <c r="F157" i="26"/>
  <c r="F181" i="26"/>
  <c r="F156" i="26"/>
  <c r="K183" i="26"/>
  <c r="K158" i="26"/>
  <c r="K182" i="26"/>
  <c r="K169" i="26"/>
  <c r="K180" i="26"/>
  <c r="K170" i="26"/>
  <c r="K181" i="26"/>
  <c r="K168" i="26"/>
  <c r="K157" i="26"/>
  <c r="K159" i="26"/>
  <c r="K156" i="26"/>
  <c r="K171" i="26"/>
  <c r="W181" i="26"/>
  <c r="W170" i="26"/>
  <c r="W180" i="26"/>
  <c r="W157" i="26"/>
  <c r="W158" i="26"/>
  <c r="W168" i="26"/>
  <c r="W156" i="26"/>
  <c r="W159" i="26"/>
  <c r="W169" i="26"/>
  <c r="W183" i="26"/>
  <c r="W182" i="26"/>
  <c r="W171" i="26"/>
  <c r="Y152" i="26"/>
  <c r="M172" i="26"/>
  <c r="M184" i="26"/>
  <c r="BN10" i="33" s="1"/>
  <c r="M160" i="26"/>
  <c r="B184" i="26"/>
  <c r="K10" i="33" s="1"/>
  <c r="B160" i="26"/>
  <c r="B172" i="26"/>
  <c r="M54" i="26"/>
  <c r="M66" i="26"/>
  <c r="M78" i="26"/>
  <c r="BI10" i="33" s="1"/>
  <c r="C186" i="26"/>
  <c r="C162" i="26"/>
  <c r="C174" i="26"/>
  <c r="W162" i="26"/>
  <c r="W174" i="26"/>
  <c r="W186" i="26"/>
  <c r="G185" i="26"/>
  <c r="G173" i="26"/>
  <c r="G161" i="26"/>
  <c r="N184" i="26"/>
  <c r="U81" i="26"/>
  <c r="U69" i="26"/>
  <c r="U57" i="26"/>
  <c r="D53" i="26"/>
  <c r="D74" i="26"/>
  <c r="AB74" i="26"/>
  <c r="AB76" i="26"/>
  <c r="AB51" i="26"/>
  <c r="AB75" i="26"/>
  <c r="AB62" i="26"/>
  <c r="AB52" i="26"/>
  <c r="AB65" i="26"/>
  <c r="AB53" i="26"/>
  <c r="AB63" i="26"/>
  <c r="AB50" i="26"/>
  <c r="AB77" i="26"/>
  <c r="AB64" i="26"/>
  <c r="Z46" i="26"/>
  <c r="O75" i="26"/>
  <c r="O76" i="26"/>
  <c r="O52" i="26"/>
  <c r="O74" i="26"/>
  <c r="O50" i="26"/>
  <c r="O64" i="26"/>
  <c r="O53" i="26"/>
  <c r="O63" i="26"/>
  <c r="O77" i="26"/>
  <c r="O62" i="26"/>
  <c r="O65" i="26"/>
  <c r="O51" i="26"/>
  <c r="AC77" i="26"/>
  <c r="DL9" i="33" s="1"/>
  <c r="AC63" i="26"/>
  <c r="AC52" i="26"/>
  <c r="AC50" i="26"/>
  <c r="AC74" i="26"/>
  <c r="DL6" i="33" s="1"/>
  <c r="AC64" i="26"/>
  <c r="AC51" i="26"/>
  <c r="AC62" i="26"/>
  <c r="AC53" i="26"/>
  <c r="AC75" i="26"/>
  <c r="DL7" i="33" s="1"/>
  <c r="AC65" i="26"/>
  <c r="AC76" i="26"/>
  <c r="DL8" i="33" s="1"/>
  <c r="J163" i="26"/>
  <c r="J187" i="26"/>
  <c r="J175" i="26"/>
  <c r="N78" i="26"/>
  <c r="N66" i="26"/>
  <c r="N54" i="26"/>
  <c r="AC80" i="26"/>
  <c r="DL12" i="33" s="1"/>
  <c r="AC56" i="26"/>
  <c r="AC68" i="26"/>
  <c r="F45" i="26"/>
  <c r="W75" i="26"/>
  <c r="W52" i="26"/>
  <c r="W65" i="26"/>
  <c r="W50" i="26"/>
  <c r="W76" i="26"/>
  <c r="W74" i="26"/>
  <c r="W53" i="26"/>
  <c r="W64" i="26"/>
  <c r="W62" i="26"/>
  <c r="W77" i="26"/>
  <c r="W63" i="26"/>
  <c r="W51" i="26"/>
  <c r="S51" i="26"/>
  <c r="S63" i="26"/>
  <c r="AB389" i="26"/>
  <c r="AB401" i="26"/>
  <c r="AB377" i="26"/>
  <c r="G401" i="26"/>
  <c r="G377" i="26"/>
  <c r="G389" i="26"/>
  <c r="P404" i="26"/>
  <c r="P380" i="26"/>
  <c r="P392" i="26"/>
  <c r="AB392" i="26"/>
  <c r="AB404" i="26"/>
  <c r="AB380" i="26"/>
  <c r="V404" i="26"/>
  <c r="V380" i="26"/>
  <c r="V392" i="26"/>
  <c r="R391" i="26"/>
  <c r="R403" i="26"/>
  <c r="R379" i="26"/>
  <c r="L403" i="26"/>
  <c r="L379" i="26"/>
  <c r="L391" i="26"/>
  <c r="T390" i="26"/>
  <c r="T378" i="26"/>
  <c r="T402" i="26"/>
  <c r="S389" i="26"/>
  <c r="S377" i="26"/>
  <c r="S401" i="26"/>
  <c r="Z389" i="26"/>
  <c r="Z401" i="26"/>
  <c r="Z377" i="26"/>
  <c r="D392" i="26"/>
  <c r="D404" i="26"/>
  <c r="D380" i="26"/>
  <c r="D397" i="26"/>
  <c r="D387" i="26"/>
  <c r="D398" i="26"/>
  <c r="D385" i="26"/>
  <c r="D399" i="26"/>
  <c r="D400" i="26"/>
  <c r="D376" i="26"/>
  <c r="D374" i="26"/>
  <c r="D373" i="26"/>
  <c r="D375" i="26"/>
  <c r="D388" i="26"/>
  <c r="D386" i="26"/>
  <c r="F387" i="26"/>
  <c r="F385" i="26"/>
  <c r="F388" i="26"/>
  <c r="F399" i="26"/>
  <c r="F376" i="26"/>
  <c r="F374" i="26"/>
  <c r="F397" i="26"/>
  <c r="F375" i="26"/>
  <c r="F398" i="26"/>
  <c r="F373" i="26"/>
  <c r="F400" i="26"/>
  <c r="F386" i="26"/>
  <c r="M400" i="26"/>
  <c r="BX9" i="33" s="1"/>
  <c r="M398" i="26"/>
  <c r="BX7" i="33" s="1"/>
  <c r="M385" i="26"/>
  <c r="M388" i="26"/>
  <c r="M373" i="26"/>
  <c r="M386" i="26"/>
  <c r="M387" i="26"/>
  <c r="M375" i="26"/>
  <c r="M397" i="26"/>
  <c r="BX6" i="33" s="1"/>
  <c r="M374" i="26"/>
  <c r="M399" i="26"/>
  <c r="BX8" i="33" s="1"/>
  <c r="M376" i="26"/>
  <c r="S386" i="26"/>
  <c r="S400" i="26"/>
  <c r="S387" i="26"/>
  <c r="S398" i="26"/>
  <c r="S375" i="26"/>
  <c r="S373" i="26"/>
  <c r="S388" i="26"/>
  <c r="S374" i="26"/>
  <c r="S397" i="26"/>
  <c r="S385" i="26"/>
  <c r="S376" i="26"/>
  <c r="S399" i="26"/>
  <c r="K389" i="26"/>
  <c r="K377" i="26"/>
  <c r="K401" i="26"/>
  <c r="B378" i="26"/>
  <c r="B402" i="26"/>
  <c r="U11" i="33" s="1"/>
  <c r="B390" i="26"/>
  <c r="AB390" i="26"/>
  <c r="AB378" i="26"/>
  <c r="AB402" i="26"/>
  <c r="B282" i="26"/>
  <c r="B294" i="26"/>
  <c r="P12" i="33" s="1"/>
  <c r="B270" i="26"/>
  <c r="G281" i="26"/>
  <c r="G293" i="26"/>
  <c r="G269" i="26"/>
  <c r="S290" i="26"/>
  <c r="S266" i="26"/>
  <c r="S277" i="26"/>
  <c r="S288" i="26"/>
  <c r="S289" i="26"/>
  <c r="S278" i="26"/>
  <c r="S276" i="26"/>
  <c r="S291" i="26"/>
  <c r="S264" i="26"/>
  <c r="S267" i="26"/>
  <c r="S279" i="26"/>
  <c r="S265" i="26"/>
  <c r="Y276" i="26"/>
  <c r="Y279" i="26"/>
  <c r="Y290" i="26"/>
  <c r="Y291" i="26"/>
  <c r="Y265" i="26"/>
  <c r="Y264" i="26"/>
  <c r="Y277" i="26"/>
  <c r="Y288" i="26"/>
  <c r="Y267" i="26"/>
  <c r="Y266" i="26"/>
  <c r="Y289" i="26"/>
  <c r="Y278" i="26"/>
  <c r="AB294" i="26"/>
  <c r="AB282" i="26"/>
  <c r="AB270" i="26"/>
  <c r="AC288" i="26"/>
  <c r="DV6" i="33" s="1"/>
  <c r="AC264" i="26"/>
  <c r="AC291" i="26"/>
  <c r="DV9" i="33" s="1"/>
  <c r="AC267" i="26"/>
  <c r="AC278" i="26"/>
  <c r="AC290" i="26"/>
  <c r="DV8" i="33" s="1"/>
  <c r="AC279" i="26"/>
  <c r="AC289" i="26"/>
  <c r="DV7" i="33" s="1"/>
  <c r="AC276" i="26"/>
  <c r="AC265" i="26"/>
  <c r="AC266" i="26"/>
  <c r="AC277" i="26"/>
  <c r="J292" i="26"/>
  <c r="J280" i="26"/>
  <c r="J268" i="26"/>
  <c r="V292" i="26"/>
  <c r="V280" i="26"/>
  <c r="V268" i="26"/>
  <c r="Y292" i="26"/>
  <c r="Y268" i="26"/>
  <c r="Y280" i="26"/>
  <c r="AC280" i="26"/>
  <c r="AC292" i="26"/>
  <c r="DV10" i="33" s="1"/>
  <c r="AC268" i="26"/>
  <c r="I295" i="26"/>
  <c r="I271" i="26"/>
  <c r="I283" i="26"/>
  <c r="D283" i="26"/>
  <c r="D295" i="26"/>
  <c r="D271" i="26"/>
  <c r="U283" i="26"/>
  <c r="U271" i="26"/>
  <c r="U295" i="26"/>
  <c r="AC181" i="26"/>
  <c r="DQ7" i="33" s="1"/>
  <c r="AC183" i="26"/>
  <c r="DQ9" i="33" s="1"/>
  <c r="AC156" i="26"/>
  <c r="AC182" i="26"/>
  <c r="DQ8" i="33" s="1"/>
  <c r="AC159" i="26"/>
  <c r="AC180" i="26"/>
  <c r="DQ6" i="33" s="1"/>
  <c r="AC168" i="26"/>
  <c r="AC170" i="26"/>
  <c r="AC169" i="26"/>
  <c r="AC158" i="26"/>
  <c r="AC171" i="26"/>
  <c r="AC157" i="26"/>
  <c r="Q282" i="26"/>
  <c r="U187" i="26"/>
  <c r="U163" i="26"/>
  <c r="U175" i="26"/>
  <c r="S175" i="26"/>
  <c r="S187" i="26"/>
  <c r="S163" i="26"/>
  <c r="Y174" i="26"/>
  <c r="Y162" i="26"/>
  <c r="Y186" i="26"/>
  <c r="Y168" i="26"/>
  <c r="Y171" i="26"/>
  <c r="Y183" i="26"/>
  <c r="Y156" i="26"/>
  <c r="Y157" i="26"/>
  <c r="Y182" i="26"/>
  <c r="Y181" i="26"/>
  <c r="Y180" i="26"/>
  <c r="Y170" i="26"/>
  <c r="Y159" i="26"/>
  <c r="Y169" i="26"/>
  <c r="Y158" i="26"/>
  <c r="H182" i="26"/>
  <c r="H157" i="26"/>
  <c r="H168" i="26"/>
  <c r="H169" i="26"/>
  <c r="H158" i="26"/>
  <c r="H171" i="26"/>
  <c r="H170" i="26"/>
  <c r="H159" i="26"/>
  <c r="H156" i="26"/>
  <c r="H183" i="26"/>
  <c r="H181" i="26"/>
  <c r="H180" i="26"/>
  <c r="AB160" i="26"/>
  <c r="AB172" i="26"/>
  <c r="AB184" i="26"/>
  <c r="J172" i="26"/>
  <c r="J160" i="26"/>
  <c r="J184" i="26"/>
  <c r="E54" i="26"/>
  <c r="E78" i="26"/>
  <c r="E66" i="26"/>
  <c r="C183" i="26"/>
  <c r="C182" i="26"/>
  <c r="C158" i="26"/>
  <c r="C181" i="26"/>
  <c r="C169" i="26"/>
  <c r="C170" i="26"/>
  <c r="C171" i="26"/>
  <c r="C156" i="26"/>
  <c r="C159" i="26"/>
  <c r="C180" i="26"/>
  <c r="C168" i="26"/>
  <c r="C157" i="26"/>
  <c r="AB78" i="26"/>
  <c r="AB66" i="26"/>
  <c r="AB54" i="26"/>
  <c r="D172" i="26"/>
  <c r="D184" i="26"/>
  <c r="D160" i="26"/>
  <c r="V186" i="26"/>
  <c r="V162" i="26"/>
  <c r="V174" i="26"/>
  <c r="L186" i="26"/>
  <c r="L174" i="26"/>
  <c r="L162" i="26"/>
  <c r="Q78" i="26"/>
  <c r="Q54" i="26"/>
  <c r="Q66" i="26"/>
  <c r="Z81" i="26"/>
  <c r="Z69" i="26"/>
  <c r="Z57" i="26"/>
  <c r="AC81" i="26"/>
  <c r="DL13" i="33" s="1"/>
  <c r="AC69" i="26"/>
  <c r="AC57" i="26"/>
  <c r="D63" i="26"/>
  <c r="P75" i="26"/>
  <c r="P65" i="26"/>
  <c r="P64" i="26"/>
  <c r="P53" i="26"/>
  <c r="P63" i="26"/>
  <c r="P51" i="26"/>
  <c r="P76" i="26"/>
  <c r="P74" i="26"/>
  <c r="P50" i="26"/>
  <c r="P77" i="26"/>
  <c r="P52" i="26"/>
  <c r="P62" i="26"/>
  <c r="D50" i="26"/>
  <c r="AB79" i="26"/>
  <c r="AB67" i="26"/>
  <c r="AB55" i="26"/>
  <c r="P55" i="26"/>
  <c r="P67" i="26"/>
  <c r="P79" i="26"/>
  <c r="K173" i="26"/>
  <c r="K161" i="26"/>
  <c r="K185" i="26"/>
  <c r="B45" i="26"/>
  <c r="W80" i="26"/>
  <c r="W56" i="26"/>
  <c r="W68" i="26"/>
  <c r="K46" i="26"/>
  <c r="G81" i="26"/>
  <c r="G69" i="26"/>
  <c r="G57" i="26"/>
  <c r="T74" i="26"/>
  <c r="T63" i="26"/>
  <c r="T51" i="26"/>
  <c r="T77" i="26"/>
  <c r="T52" i="26"/>
  <c r="T64" i="26"/>
  <c r="T53" i="26"/>
  <c r="T62" i="26"/>
  <c r="T75" i="26"/>
  <c r="T50" i="26"/>
  <c r="T76" i="26"/>
  <c r="T65" i="26"/>
  <c r="S64" i="26"/>
  <c r="S76" i="26"/>
  <c r="H401" i="26"/>
  <c r="H389" i="26"/>
  <c r="H377" i="26"/>
  <c r="Z391" i="26"/>
  <c r="Z403" i="26"/>
  <c r="Z379" i="26"/>
  <c r="K392" i="26"/>
  <c r="K380" i="26"/>
  <c r="K404" i="26"/>
  <c r="I391" i="26"/>
  <c r="I403" i="26"/>
  <c r="I379" i="26"/>
  <c r="Y404" i="26"/>
  <c r="Y380" i="26"/>
  <c r="Y392" i="26"/>
  <c r="L389" i="26"/>
  <c r="L401" i="26"/>
  <c r="L377" i="26"/>
  <c r="AC390" i="26"/>
  <c r="AC402" i="26"/>
  <c r="EA11" i="33" s="1"/>
  <c r="AC378" i="26"/>
  <c r="O281" i="26"/>
  <c r="O293" i="26"/>
  <c r="O269" i="26"/>
  <c r="P294" i="26"/>
  <c r="P282" i="26"/>
  <c r="P270" i="26"/>
  <c r="L277" i="26"/>
  <c r="L288" i="26"/>
  <c r="L291" i="26"/>
  <c r="L267" i="26"/>
  <c r="L290" i="26"/>
  <c r="L279" i="26"/>
  <c r="L289" i="26"/>
  <c r="L278" i="26"/>
  <c r="L264" i="26"/>
  <c r="L276" i="26"/>
  <c r="L266" i="26"/>
  <c r="L265" i="26"/>
  <c r="X174" i="26"/>
  <c r="X186" i="26"/>
  <c r="X162" i="26"/>
  <c r="T375" i="26"/>
  <c r="R180" i="26"/>
  <c r="R171" i="26"/>
  <c r="R183" i="26"/>
  <c r="R158" i="26"/>
  <c r="R181" i="26"/>
  <c r="R159" i="26"/>
  <c r="R170" i="26"/>
  <c r="R169" i="26"/>
  <c r="R156" i="26"/>
  <c r="R182" i="26"/>
  <c r="R168" i="26"/>
  <c r="R157" i="26"/>
  <c r="I163" i="26"/>
  <c r="I175" i="26"/>
  <c r="I187" i="26"/>
  <c r="AA175" i="26"/>
  <c r="AA187" i="26"/>
  <c r="AA163" i="26"/>
  <c r="S293" i="26"/>
  <c r="S269" i="26"/>
  <c r="S281" i="26"/>
  <c r="B293" i="26"/>
  <c r="P11" i="33" s="1"/>
  <c r="B281" i="26"/>
  <c r="B269" i="26"/>
  <c r="P182" i="26"/>
  <c r="P157" i="26"/>
  <c r="P168" i="26"/>
  <c r="P169" i="26"/>
  <c r="P156" i="26"/>
  <c r="P170" i="26"/>
  <c r="P159" i="26"/>
  <c r="P158" i="26"/>
  <c r="P183" i="26"/>
  <c r="P181" i="26"/>
  <c r="P180" i="26"/>
  <c r="P171" i="26"/>
  <c r="B151" i="26"/>
  <c r="T184" i="26"/>
  <c r="T160" i="26"/>
  <c r="T172" i="26"/>
  <c r="R172" i="26"/>
  <c r="R184" i="26"/>
  <c r="R160" i="26"/>
  <c r="V159" i="26"/>
  <c r="V181" i="26"/>
  <c r="V170" i="26"/>
  <c r="V171" i="26"/>
  <c r="V169" i="26"/>
  <c r="V158" i="26"/>
  <c r="V168" i="26"/>
  <c r="V157" i="26"/>
  <c r="V183" i="26"/>
  <c r="V182" i="26"/>
  <c r="V156" i="26"/>
  <c r="V180" i="26"/>
  <c r="R76" i="26"/>
  <c r="R75" i="26"/>
  <c r="R64" i="26"/>
  <c r="R53" i="26"/>
  <c r="R51" i="26"/>
  <c r="R62" i="26"/>
  <c r="R77" i="26"/>
  <c r="R65" i="26"/>
  <c r="R52" i="26"/>
  <c r="R63" i="26"/>
  <c r="R74" i="26"/>
  <c r="R50" i="26"/>
  <c r="R186" i="26"/>
  <c r="R174" i="26"/>
  <c r="R162" i="26"/>
  <c r="T78" i="26"/>
  <c r="T66" i="26"/>
  <c r="T54" i="26"/>
  <c r="G162" i="26"/>
  <c r="G186" i="26"/>
  <c r="G174" i="26"/>
  <c r="W81" i="26"/>
  <c r="W69" i="26"/>
  <c r="W57" i="26"/>
  <c r="D57" i="26"/>
  <c r="D81" i="26"/>
  <c r="D69" i="26"/>
  <c r="AB68" i="26"/>
  <c r="AB56" i="26"/>
  <c r="AB80" i="26"/>
  <c r="X80" i="26"/>
  <c r="X56" i="26"/>
  <c r="X68" i="26"/>
  <c r="D64" i="26"/>
  <c r="C76" i="26"/>
  <c r="C63" i="26"/>
  <c r="C62" i="26"/>
  <c r="C75" i="26"/>
  <c r="C74" i="26"/>
  <c r="C65" i="26"/>
  <c r="C52" i="26"/>
  <c r="C50" i="26"/>
  <c r="C51" i="26"/>
  <c r="C77" i="26"/>
  <c r="C53" i="26"/>
  <c r="C64" i="26"/>
  <c r="V45" i="26"/>
  <c r="C66" i="26"/>
  <c r="C54" i="26"/>
  <c r="C78" i="26"/>
  <c r="X75" i="26"/>
  <c r="X62" i="26"/>
  <c r="X77" i="26"/>
  <c r="X76" i="26"/>
  <c r="X74" i="26"/>
  <c r="X53" i="26"/>
  <c r="X64" i="26"/>
  <c r="X63" i="26"/>
  <c r="X51" i="26"/>
  <c r="X50" i="26"/>
  <c r="X65" i="26"/>
  <c r="X52" i="26"/>
  <c r="H75" i="26"/>
  <c r="H74" i="26"/>
  <c r="H77" i="26"/>
  <c r="H63" i="26"/>
  <c r="H53" i="26"/>
  <c r="H76" i="26"/>
  <c r="H51" i="26"/>
  <c r="H62" i="26"/>
  <c r="H65" i="26"/>
  <c r="H50" i="26"/>
  <c r="H64" i="26"/>
  <c r="H52" i="26"/>
  <c r="S50" i="26"/>
  <c r="S75" i="26"/>
  <c r="S81" i="26"/>
  <c r="Y173" i="26"/>
  <c r="F403" i="26"/>
  <c r="F379" i="26"/>
  <c r="F391" i="26"/>
  <c r="U392" i="26"/>
  <c r="U404" i="26"/>
  <c r="U380" i="26"/>
  <c r="O404" i="26"/>
  <c r="O380" i="26"/>
  <c r="O392" i="26"/>
  <c r="U379" i="26"/>
  <c r="U403" i="26"/>
  <c r="U391" i="26"/>
  <c r="AB403" i="26"/>
  <c r="AB379" i="26"/>
  <c r="AB391" i="26"/>
  <c r="T389" i="26"/>
  <c r="T401" i="26"/>
  <c r="T377" i="26"/>
  <c r="C392" i="26"/>
  <c r="C404" i="26"/>
  <c r="C380" i="26"/>
  <c r="E400" i="26"/>
  <c r="E398" i="26"/>
  <c r="E385" i="26"/>
  <c r="E388" i="26"/>
  <c r="E386" i="26"/>
  <c r="E373" i="26"/>
  <c r="E387" i="26"/>
  <c r="E397" i="26"/>
  <c r="E375" i="26"/>
  <c r="E376" i="26"/>
  <c r="E399" i="26"/>
  <c r="E374" i="26"/>
  <c r="AB397" i="26"/>
  <c r="AB387" i="26"/>
  <c r="AB398" i="26"/>
  <c r="AB385" i="26"/>
  <c r="AB376" i="26"/>
  <c r="AB399" i="26"/>
  <c r="AB374" i="26"/>
  <c r="AB386" i="26"/>
  <c r="AB400" i="26"/>
  <c r="AB373" i="26"/>
  <c r="AB388" i="26"/>
  <c r="AB375" i="26"/>
  <c r="J402" i="26"/>
  <c r="J378" i="26"/>
  <c r="J390" i="26"/>
  <c r="R282" i="26"/>
  <c r="R270" i="26"/>
  <c r="R294" i="26"/>
  <c r="W281" i="26"/>
  <c r="W269" i="26"/>
  <c r="W293" i="26"/>
  <c r="AB277" i="26"/>
  <c r="AB288" i="26"/>
  <c r="AB291" i="26"/>
  <c r="AB290" i="26"/>
  <c r="AB279" i="26"/>
  <c r="AB266" i="26"/>
  <c r="AB276" i="26"/>
  <c r="AB265" i="26"/>
  <c r="AB264" i="26"/>
  <c r="AB289" i="26"/>
  <c r="AB267" i="26"/>
  <c r="AB278" i="26"/>
  <c r="T277" i="26"/>
  <c r="T288" i="26"/>
  <c r="T291" i="26"/>
  <c r="T289" i="26"/>
  <c r="T276" i="26"/>
  <c r="T267" i="26"/>
  <c r="T265" i="26"/>
  <c r="T279" i="26"/>
  <c r="T264" i="26"/>
  <c r="T278" i="26"/>
  <c r="T290" i="26"/>
  <c r="T266" i="26"/>
  <c r="J279" i="26"/>
  <c r="J290" i="26"/>
  <c r="J288" i="26"/>
  <c r="J276" i="26"/>
  <c r="J291" i="26"/>
  <c r="J277" i="26"/>
  <c r="J289" i="26"/>
  <c r="J278" i="26"/>
  <c r="J265" i="26"/>
  <c r="J264" i="26"/>
  <c r="J267" i="26"/>
  <c r="J266" i="26"/>
  <c r="P292" i="26"/>
  <c r="P268" i="26"/>
  <c r="P280" i="26"/>
  <c r="L280" i="26"/>
  <c r="L292" i="26"/>
  <c r="L268" i="26"/>
  <c r="P174" i="26"/>
  <c r="P186" i="26"/>
  <c r="P162" i="26"/>
  <c r="U186" i="26"/>
  <c r="U162" i="26"/>
  <c r="U174" i="26"/>
  <c r="O283" i="26"/>
  <c r="O271" i="26"/>
  <c r="O295" i="26"/>
  <c r="I168" i="26"/>
  <c r="I183" i="26"/>
  <c r="I171" i="26"/>
  <c r="I181" i="26"/>
  <c r="I156" i="26"/>
  <c r="I169" i="26"/>
  <c r="I158" i="26"/>
  <c r="I180" i="26"/>
  <c r="I170" i="26"/>
  <c r="I159" i="26"/>
  <c r="I157" i="26"/>
  <c r="I182" i="26"/>
  <c r="V187" i="26"/>
  <c r="V175" i="26"/>
  <c r="V163" i="26"/>
  <c r="D187" i="26"/>
  <c r="D175" i="26"/>
  <c r="D163" i="26"/>
  <c r="M293" i="26"/>
  <c r="BS11" i="33" s="1"/>
  <c r="M269" i="26"/>
  <c r="M281" i="26"/>
  <c r="H184" i="26"/>
  <c r="H160" i="26"/>
  <c r="H172" i="26"/>
  <c r="J76" i="26"/>
  <c r="J63" i="26"/>
  <c r="J53" i="26"/>
  <c r="J51" i="26"/>
  <c r="J62" i="26"/>
  <c r="J75" i="26"/>
  <c r="J74" i="26"/>
  <c r="J65" i="26"/>
  <c r="J50" i="26"/>
  <c r="J77" i="26"/>
  <c r="J64" i="26"/>
  <c r="J52" i="26"/>
  <c r="I184" i="26"/>
  <c r="I160" i="26"/>
  <c r="I172" i="26"/>
  <c r="L78" i="26"/>
  <c r="L66" i="26"/>
  <c r="L54" i="26"/>
  <c r="AB186" i="26"/>
  <c r="AB174" i="26"/>
  <c r="AB162" i="26"/>
  <c r="V76" i="26"/>
  <c r="V77" i="26"/>
  <c r="V64" i="26"/>
  <c r="V65" i="26"/>
  <c r="V50" i="26"/>
  <c r="V74" i="26"/>
  <c r="V53" i="26"/>
  <c r="V63" i="26"/>
  <c r="V51" i="26"/>
  <c r="V52" i="26"/>
  <c r="V62" i="26"/>
  <c r="V75" i="26"/>
  <c r="Q168" i="26"/>
  <c r="Q171" i="26"/>
  <c r="Q182" i="26"/>
  <c r="Q156" i="26"/>
  <c r="Q170" i="26"/>
  <c r="Q159" i="26"/>
  <c r="Q157" i="26"/>
  <c r="Q183" i="26"/>
  <c r="Q181" i="26"/>
  <c r="Q180" i="26"/>
  <c r="Q158" i="26"/>
  <c r="Q169" i="26"/>
  <c r="H68" i="26"/>
  <c r="H56" i="26"/>
  <c r="H80" i="26"/>
  <c r="L57" i="26"/>
  <c r="L69" i="26"/>
  <c r="L81" i="26"/>
  <c r="N57" i="26"/>
  <c r="N81" i="26"/>
  <c r="N69" i="26"/>
  <c r="F80" i="26"/>
  <c r="F56" i="26"/>
  <c r="F68" i="26"/>
  <c r="D80" i="26"/>
  <c r="D68" i="26"/>
  <c r="D56" i="26"/>
  <c r="D77" i="26"/>
  <c r="T46" i="26"/>
  <c r="N79" i="26"/>
  <c r="N55" i="26"/>
  <c r="N67" i="26"/>
  <c r="B67" i="26"/>
  <c r="B55" i="26"/>
  <c r="B79" i="26"/>
  <c r="F11" i="33" s="1"/>
  <c r="Y187" i="26"/>
  <c r="Y175" i="26"/>
  <c r="Y163" i="26"/>
  <c r="L74" i="26"/>
  <c r="L51" i="26"/>
  <c r="L76" i="26"/>
  <c r="L52" i="26"/>
  <c r="L75" i="26"/>
  <c r="L65" i="26"/>
  <c r="L53" i="26"/>
  <c r="L50" i="26"/>
  <c r="L77" i="26"/>
  <c r="L64" i="26"/>
  <c r="L63" i="26"/>
  <c r="L62" i="26"/>
  <c r="K54" i="26"/>
  <c r="K66" i="26"/>
  <c r="K78" i="26"/>
  <c r="Q56" i="26"/>
  <c r="Q68" i="26"/>
  <c r="Q80" i="26"/>
  <c r="K76" i="26"/>
  <c r="K63" i="26"/>
  <c r="K77" i="26"/>
  <c r="K62" i="26"/>
  <c r="K52" i="26"/>
  <c r="K64" i="26"/>
  <c r="K50" i="26"/>
  <c r="K75" i="26"/>
  <c r="K74" i="26"/>
  <c r="K53" i="26"/>
  <c r="K65" i="26"/>
  <c r="K51" i="26"/>
  <c r="S65" i="26"/>
  <c r="G64" i="26"/>
  <c r="Y185" i="26"/>
  <c r="X401" i="26"/>
  <c r="X389" i="26"/>
  <c r="X377" i="26"/>
  <c r="E392" i="26"/>
  <c r="E404" i="26"/>
  <c r="E380" i="26"/>
  <c r="B392" i="26"/>
  <c r="B380" i="26"/>
  <c r="B404" i="26"/>
  <c r="U13" i="33" s="1"/>
  <c r="W404" i="26"/>
  <c r="W380" i="26"/>
  <c r="W392" i="26"/>
  <c r="X391" i="26"/>
  <c r="X379" i="26"/>
  <c r="X403" i="26"/>
  <c r="C403" i="26"/>
  <c r="C379" i="26"/>
  <c r="C391" i="26"/>
  <c r="C389" i="26"/>
  <c r="C377" i="26"/>
  <c r="C401" i="26"/>
  <c r="U401" i="26"/>
  <c r="U377" i="26"/>
  <c r="U389" i="26"/>
  <c r="J399" i="26"/>
  <c r="J397" i="26"/>
  <c r="J400" i="26"/>
  <c r="J387" i="26"/>
  <c r="J385" i="26"/>
  <c r="J376" i="26"/>
  <c r="J386" i="26"/>
  <c r="J374" i="26"/>
  <c r="J373" i="26"/>
  <c r="J388" i="26"/>
  <c r="J375" i="26"/>
  <c r="J398" i="26"/>
  <c r="M390" i="26"/>
  <c r="M402" i="26"/>
  <c r="BX11" i="33" s="1"/>
  <c r="M378" i="26"/>
  <c r="E390" i="26"/>
  <c r="E402" i="26"/>
  <c r="E378" i="26"/>
  <c r="H282" i="26"/>
  <c r="H294" i="26"/>
  <c r="H270" i="26"/>
  <c r="Z282" i="26"/>
  <c r="Z294" i="26"/>
  <c r="Z270" i="26"/>
  <c r="V281" i="26"/>
  <c r="V293" i="26"/>
  <c r="V269" i="26"/>
  <c r="H281" i="26"/>
  <c r="H269" i="26"/>
  <c r="H293" i="26"/>
  <c r="E293" i="26"/>
  <c r="E281" i="26"/>
  <c r="E269" i="26"/>
  <c r="H289" i="26"/>
  <c r="H265" i="26"/>
  <c r="H276" i="26"/>
  <c r="H279" i="26"/>
  <c r="H278" i="26"/>
  <c r="H264" i="26"/>
  <c r="H288" i="26"/>
  <c r="H291" i="26"/>
  <c r="H277" i="26"/>
  <c r="H290" i="26"/>
  <c r="H267" i="26"/>
  <c r="H266" i="26"/>
  <c r="U288" i="26"/>
  <c r="U264" i="26"/>
  <c r="U291" i="26"/>
  <c r="U267" i="26"/>
  <c r="U278" i="26"/>
  <c r="U277" i="26"/>
  <c r="U290" i="26"/>
  <c r="U276" i="26"/>
  <c r="U266" i="26"/>
  <c r="U265" i="26"/>
  <c r="U279" i="26"/>
  <c r="U289" i="26"/>
  <c r="R279" i="26"/>
  <c r="R290" i="26"/>
  <c r="R289" i="26"/>
  <c r="R278" i="26"/>
  <c r="R277" i="26"/>
  <c r="R291" i="26"/>
  <c r="R266" i="26"/>
  <c r="R288" i="26"/>
  <c r="R264" i="26"/>
  <c r="R276" i="26"/>
  <c r="R267" i="26"/>
  <c r="R265" i="26"/>
  <c r="L282" i="26"/>
  <c r="G292" i="26"/>
  <c r="G280" i="26"/>
  <c r="G268" i="26"/>
  <c r="R292" i="26"/>
  <c r="R280" i="26"/>
  <c r="R268" i="26"/>
  <c r="Q186" i="26"/>
  <c r="Q174" i="26"/>
  <c r="Q162" i="26"/>
  <c r="H174" i="26"/>
  <c r="H186" i="26"/>
  <c r="H162" i="26"/>
  <c r="M186" i="26"/>
  <c r="BN12" i="33" s="1"/>
  <c r="M162" i="26"/>
  <c r="M174" i="26"/>
  <c r="R163" i="26"/>
  <c r="R187" i="26"/>
  <c r="R175" i="26"/>
  <c r="H175" i="26"/>
  <c r="H187" i="26"/>
  <c r="H163" i="26"/>
  <c r="L175" i="26"/>
  <c r="L187" i="26"/>
  <c r="L163" i="26"/>
  <c r="Z293" i="26"/>
  <c r="Z269" i="26"/>
  <c r="Z281" i="26"/>
  <c r="M187" i="26"/>
  <c r="BN13" i="33" s="1"/>
  <c r="M175" i="26"/>
  <c r="M163" i="26"/>
  <c r="F184" i="26"/>
  <c r="F172" i="26"/>
  <c r="F160" i="26"/>
  <c r="U172" i="26"/>
  <c r="U160" i="26"/>
  <c r="U184" i="26"/>
  <c r="C160" i="26"/>
  <c r="C184" i="26"/>
  <c r="C172" i="26"/>
  <c r="B76" i="26"/>
  <c r="F8" i="33" s="1"/>
  <c r="B53" i="26"/>
  <c r="B51" i="26"/>
  <c r="B62" i="26"/>
  <c r="B75" i="26"/>
  <c r="F7" i="33" s="1"/>
  <c r="B77" i="26"/>
  <c r="F9" i="33" s="1"/>
  <c r="B64" i="26"/>
  <c r="B74" i="26"/>
  <c r="F6" i="33" s="1"/>
  <c r="B65" i="26"/>
  <c r="B50" i="26"/>
  <c r="B52" i="26"/>
  <c r="B63" i="26"/>
  <c r="D78" i="26"/>
  <c r="D66" i="26"/>
  <c r="D54" i="26"/>
  <c r="B180" i="26"/>
  <c r="K6" i="33" s="1"/>
  <c r="B171" i="26"/>
  <c r="B182" i="26"/>
  <c r="K8" i="33" s="1"/>
  <c r="B158" i="26"/>
  <c r="B159" i="26"/>
  <c r="B156" i="26"/>
  <c r="B170" i="26"/>
  <c r="B169" i="26"/>
  <c r="B181" i="26"/>
  <c r="K7" i="33" s="1"/>
  <c r="B183" i="26"/>
  <c r="K9" i="33" s="1"/>
  <c r="B157" i="26"/>
  <c r="B168" i="26"/>
  <c r="N76" i="26"/>
  <c r="N77" i="26"/>
  <c r="N64" i="26"/>
  <c r="N75" i="26"/>
  <c r="N65" i="26"/>
  <c r="N74" i="26"/>
  <c r="N50" i="26"/>
  <c r="N53" i="26"/>
  <c r="N51" i="26"/>
  <c r="N52" i="26"/>
  <c r="N63" i="26"/>
  <c r="N62" i="26"/>
  <c r="S79" i="26"/>
  <c r="S67" i="26"/>
  <c r="S55" i="26"/>
  <c r="T81" i="26"/>
  <c r="T57" i="26"/>
  <c r="T69" i="26"/>
  <c r="Q79" i="26"/>
  <c r="Q55" i="26"/>
  <c r="Q67" i="26"/>
  <c r="R78" i="26"/>
  <c r="R54" i="26"/>
  <c r="R66" i="26"/>
  <c r="AB46" i="26"/>
  <c r="E163" i="26"/>
  <c r="E175" i="26"/>
  <c r="E187" i="26"/>
  <c r="F187" i="26"/>
  <c r="F163" i="26"/>
  <c r="F175" i="26"/>
  <c r="AA185" i="26"/>
  <c r="AA161" i="26"/>
  <c r="AA173" i="26"/>
  <c r="E173" i="26"/>
  <c r="E185" i="26"/>
  <c r="E161" i="26"/>
  <c r="S54" i="26"/>
  <c r="S66" i="26"/>
  <c r="S78" i="26"/>
  <c r="Y56" i="26"/>
  <c r="Y68" i="26"/>
  <c r="Y80" i="26"/>
  <c r="S74" i="26"/>
  <c r="G76" i="26"/>
  <c r="G52" i="26"/>
  <c r="S392" i="26"/>
  <c r="S404" i="26"/>
  <c r="S380" i="26"/>
  <c r="Q404" i="26"/>
  <c r="Q380" i="26"/>
  <c r="Q392" i="26"/>
  <c r="L392" i="26"/>
  <c r="L380" i="26"/>
  <c r="L404" i="26"/>
  <c r="W401" i="26"/>
  <c r="W377" i="26"/>
  <c r="W389" i="26"/>
  <c r="E379" i="26"/>
  <c r="E403" i="26"/>
  <c r="E391" i="26"/>
  <c r="O377" i="26"/>
  <c r="O401" i="26"/>
  <c r="O389" i="26"/>
  <c r="M403" i="26"/>
  <c r="BX12" i="33" s="1"/>
  <c r="M379" i="26"/>
  <c r="M391" i="26"/>
  <c r="Q388" i="26"/>
  <c r="Q386" i="26"/>
  <c r="Q397" i="26"/>
  <c r="Q400" i="26"/>
  <c r="Q398" i="26"/>
  <c r="Q399" i="26"/>
  <c r="Q375" i="26"/>
  <c r="Q373" i="26"/>
  <c r="Q376" i="26"/>
  <c r="Q385" i="26"/>
  <c r="Q374" i="26"/>
  <c r="Q387" i="26"/>
  <c r="V403" i="26"/>
  <c r="V379" i="26"/>
  <c r="V391" i="26"/>
  <c r="Y293" i="26"/>
  <c r="Y269" i="26"/>
  <c r="Y281" i="26"/>
  <c r="C282" i="26"/>
  <c r="C294" i="26"/>
  <c r="C270" i="26"/>
  <c r="J293" i="26"/>
  <c r="J281" i="26"/>
  <c r="J269" i="26"/>
  <c r="D293" i="26"/>
  <c r="D269" i="26"/>
  <c r="D281" i="26"/>
  <c r="P281" i="26"/>
  <c r="P293" i="26"/>
  <c r="P269" i="26"/>
  <c r="X294" i="26"/>
  <c r="X282" i="26"/>
  <c r="X270" i="26"/>
  <c r="N291" i="26"/>
  <c r="N267" i="26"/>
  <c r="N278" i="26"/>
  <c r="N289" i="26"/>
  <c r="N266" i="26"/>
  <c r="N290" i="26"/>
  <c r="N279" i="26"/>
  <c r="N265" i="26"/>
  <c r="N276" i="26"/>
  <c r="N264" i="26"/>
  <c r="N288" i="26"/>
  <c r="N277" i="26"/>
  <c r="Z279" i="26"/>
  <c r="Z290" i="26"/>
  <c r="Z277" i="26"/>
  <c r="Z291" i="26"/>
  <c r="Z264" i="26"/>
  <c r="Z289" i="26"/>
  <c r="Z278" i="26"/>
  <c r="Z276" i="26"/>
  <c r="Z288" i="26"/>
  <c r="Z266" i="26"/>
  <c r="Z267" i="26"/>
  <c r="Z265" i="26"/>
  <c r="L270" i="26"/>
  <c r="O292" i="26"/>
  <c r="O280" i="26"/>
  <c r="O268" i="26"/>
  <c r="AB280" i="26"/>
  <c r="AB292" i="26"/>
  <c r="AB268" i="26"/>
  <c r="I174" i="26"/>
  <c r="I162" i="26"/>
  <c r="I186" i="26"/>
  <c r="E186" i="26"/>
  <c r="E174" i="26"/>
  <c r="E162" i="26"/>
  <c r="Z180" i="26"/>
  <c r="Z171" i="26"/>
  <c r="Z158" i="26"/>
  <c r="Z182" i="26"/>
  <c r="Z159" i="26"/>
  <c r="Z168" i="26"/>
  <c r="Z157" i="26"/>
  <c r="Z181" i="26"/>
  <c r="Z183" i="26"/>
  <c r="Z156" i="26"/>
  <c r="Z169" i="26"/>
  <c r="Z170" i="26"/>
  <c r="B163" i="26"/>
  <c r="B187" i="26"/>
  <c r="K13" i="33" s="1"/>
  <c r="B175" i="26"/>
  <c r="P187" i="26"/>
  <c r="P175" i="26"/>
  <c r="P163" i="26"/>
  <c r="T175" i="26"/>
  <c r="T163" i="26"/>
  <c r="T187" i="26"/>
  <c r="N281" i="26"/>
  <c r="N293" i="26"/>
  <c r="N269" i="26"/>
  <c r="F281" i="26"/>
  <c r="F293" i="26"/>
  <c r="F269" i="26"/>
  <c r="AA293" i="26"/>
  <c r="AA269" i="26"/>
  <c r="AA281" i="26"/>
  <c r="S183" i="26"/>
  <c r="S158" i="26"/>
  <c r="S169" i="26"/>
  <c r="S170" i="26"/>
  <c r="S159" i="26"/>
  <c r="S168" i="26"/>
  <c r="S157" i="26"/>
  <c r="S156" i="26"/>
  <c r="S182" i="26"/>
  <c r="S181" i="26"/>
  <c r="S180" i="26"/>
  <c r="S171" i="26"/>
  <c r="X160" i="26"/>
  <c r="X184" i="26"/>
  <c r="X172" i="26"/>
  <c r="Y77" i="26"/>
  <c r="Y65" i="26"/>
  <c r="Y50" i="26"/>
  <c r="Y64" i="26"/>
  <c r="Y63" i="26"/>
  <c r="Y51" i="26"/>
  <c r="Y75" i="26"/>
  <c r="Y52" i="26"/>
  <c r="Y62" i="26"/>
  <c r="Y53" i="26"/>
  <c r="Y74" i="26"/>
  <c r="Y76" i="26"/>
  <c r="F162" i="26"/>
  <c r="F186" i="26"/>
  <c r="F174" i="26"/>
  <c r="Z54" i="26"/>
  <c r="Z66" i="26"/>
  <c r="Z78" i="26"/>
  <c r="AB69" i="26"/>
  <c r="AB57" i="26"/>
  <c r="AB81" i="26"/>
  <c r="H69" i="26"/>
  <c r="H57" i="26"/>
  <c r="H81" i="26"/>
  <c r="X78" i="26"/>
  <c r="X66" i="26"/>
  <c r="X54" i="26"/>
  <c r="V66" i="26"/>
  <c r="V78" i="26"/>
  <c r="V54" i="26"/>
  <c r="AC67" i="26"/>
  <c r="AC55" i="26"/>
  <c r="AC79" i="26"/>
  <c r="DL11" i="33" s="1"/>
  <c r="R67" i="26"/>
  <c r="R55" i="26"/>
  <c r="R79" i="26"/>
  <c r="E77" i="26"/>
  <c r="E62" i="26"/>
  <c r="E65" i="26"/>
  <c r="E52" i="26"/>
  <c r="E74" i="26"/>
  <c r="E64" i="26"/>
  <c r="E50" i="26"/>
  <c r="E76" i="26"/>
  <c r="E51" i="26"/>
  <c r="E75" i="26"/>
  <c r="E53" i="26"/>
  <c r="E63" i="26"/>
  <c r="N174" i="26"/>
  <c r="Z175" i="26"/>
  <c r="Z163" i="26"/>
  <c r="Z187" i="26"/>
  <c r="Q187" i="26"/>
  <c r="Q175" i="26"/>
  <c r="Q163" i="26"/>
  <c r="AA54" i="26"/>
  <c r="AA78" i="26"/>
  <c r="AA66" i="26"/>
  <c r="K81" i="26"/>
  <c r="K57" i="26"/>
  <c r="K69" i="26"/>
  <c r="S52" i="26"/>
  <c r="G65" i="26"/>
  <c r="N186" i="26"/>
  <c r="AC403" i="26"/>
  <c r="EA12" i="33" s="1"/>
  <c r="AC379" i="26"/>
  <c r="AC391" i="26"/>
  <c r="AA392" i="26"/>
  <c r="AA380" i="26"/>
  <c r="AA404" i="26"/>
  <c r="X380" i="26"/>
  <c r="X404" i="26"/>
  <c r="X392" i="26"/>
  <c r="O391" i="26"/>
  <c r="O379" i="26"/>
  <c r="O403" i="26"/>
  <c r="S403" i="26"/>
  <c r="S379" i="26"/>
  <c r="S391" i="26"/>
  <c r="AC392" i="26"/>
  <c r="AC404" i="26"/>
  <c r="EA13" i="33" s="1"/>
  <c r="AC380" i="26"/>
  <c r="Y389" i="26"/>
  <c r="Y377" i="26"/>
  <c r="Y401" i="26"/>
  <c r="F401" i="26"/>
  <c r="F389" i="26"/>
  <c r="F377" i="26"/>
  <c r="AC400" i="26"/>
  <c r="EA9" i="33" s="1"/>
  <c r="AC398" i="26"/>
  <c r="EA7" i="33" s="1"/>
  <c r="AC385" i="26"/>
  <c r="AC388" i="26"/>
  <c r="AC373" i="26"/>
  <c r="AC386" i="26"/>
  <c r="AC387" i="26"/>
  <c r="AC375" i="26"/>
  <c r="AC376" i="26"/>
  <c r="AC374" i="26"/>
  <c r="AC399" i="26"/>
  <c r="EA8" i="33" s="1"/>
  <c r="AC397" i="26"/>
  <c r="EA6" i="33" s="1"/>
  <c r="Z399" i="26"/>
  <c r="Z397" i="26"/>
  <c r="Z400" i="26"/>
  <c r="Z387" i="26"/>
  <c r="Z385" i="26"/>
  <c r="Z376" i="26"/>
  <c r="Z386" i="26"/>
  <c r="Z374" i="26"/>
  <c r="Z398" i="26"/>
  <c r="Z373" i="26"/>
  <c r="Z375" i="26"/>
  <c r="Z388" i="26"/>
  <c r="W390" i="26"/>
  <c r="W402" i="26"/>
  <c r="W378" i="26"/>
  <c r="S402" i="26"/>
  <c r="S390" i="26"/>
  <c r="S378" i="26"/>
  <c r="AA402" i="26"/>
  <c r="AA378" i="26"/>
  <c r="AA390" i="26"/>
  <c r="K293" i="26"/>
  <c r="K269" i="26"/>
  <c r="K281" i="26"/>
  <c r="G294" i="26"/>
  <c r="G270" i="26"/>
  <c r="G282" i="26"/>
  <c r="K282" i="26"/>
  <c r="K270" i="26"/>
  <c r="K294" i="26"/>
  <c r="L293" i="26"/>
  <c r="L269" i="26"/>
  <c r="L281" i="26"/>
  <c r="X281" i="26"/>
  <c r="X293" i="26"/>
  <c r="X269" i="26"/>
  <c r="V291" i="26"/>
  <c r="V267" i="26"/>
  <c r="V278" i="26"/>
  <c r="V289" i="26"/>
  <c r="V288" i="26"/>
  <c r="V277" i="26"/>
  <c r="V266" i="26"/>
  <c r="V290" i="26"/>
  <c r="V279" i="26"/>
  <c r="V264" i="26"/>
  <c r="V276" i="26"/>
  <c r="V265" i="26"/>
  <c r="Y282" i="26"/>
  <c r="Y294" i="26"/>
  <c r="Y270" i="26"/>
  <c r="I282" i="26"/>
  <c r="I270" i="26"/>
  <c r="I294" i="26"/>
  <c r="C280" i="26"/>
  <c r="C268" i="26"/>
  <c r="C292" i="26"/>
  <c r="E280" i="26"/>
  <c r="E292" i="26"/>
  <c r="E268" i="26"/>
  <c r="AC294" i="26"/>
  <c r="DV12" i="33" s="1"/>
  <c r="AC270" i="26"/>
  <c r="AC282" i="26"/>
  <c r="W187" i="26"/>
  <c r="W175" i="26"/>
  <c r="W163" i="26"/>
  <c r="J180" i="26"/>
  <c r="J183" i="26"/>
  <c r="J171" i="26"/>
  <c r="J158" i="26"/>
  <c r="J159" i="26"/>
  <c r="J182" i="26"/>
  <c r="J181" i="26"/>
  <c r="J168" i="26"/>
  <c r="J157" i="26"/>
  <c r="J156" i="26"/>
  <c r="J169" i="26"/>
  <c r="J170" i="26"/>
  <c r="O187" i="26"/>
  <c r="O163" i="26"/>
  <c r="O175" i="26"/>
  <c r="X187" i="26"/>
  <c r="X175" i="26"/>
  <c r="X163" i="26"/>
  <c r="AB187" i="26"/>
  <c r="AB175" i="26"/>
  <c r="AB163" i="26"/>
  <c r="I293" i="26"/>
  <c r="C293" i="26"/>
  <c r="C269" i="26"/>
  <c r="C281" i="26"/>
  <c r="Q293" i="26"/>
  <c r="Q269" i="26"/>
  <c r="Q281" i="26"/>
  <c r="N181" i="26"/>
  <c r="N159" i="26"/>
  <c r="N180" i="26"/>
  <c r="N170" i="26"/>
  <c r="N171" i="26"/>
  <c r="N183" i="26"/>
  <c r="N182" i="26"/>
  <c r="N156" i="26"/>
  <c r="N168" i="26"/>
  <c r="N157" i="26"/>
  <c r="N169" i="26"/>
  <c r="N158" i="26"/>
  <c r="G170" i="26"/>
  <c r="G157" i="26"/>
  <c r="G182" i="26"/>
  <c r="G158" i="26"/>
  <c r="G159" i="26"/>
  <c r="G169" i="26"/>
  <c r="G183" i="26"/>
  <c r="G181" i="26"/>
  <c r="G180" i="26"/>
  <c r="G156" i="26"/>
  <c r="G171" i="26"/>
  <c r="G168" i="26"/>
  <c r="S184" i="26"/>
  <c r="S172" i="26"/>
  <c r="S160" i="26"/>
  <c r="Q77" i="26"/>
  <c r="Q65" i="26"/>
  <c r="Q74" i="26"/>
  <c r="Q50" i="26"/>
  <c r="Q63" i="26"/>
  <c r="Q51" i="26"/>
  <c r="Q62" i="26"/>
  <c r="Q76" i="26"/>
  <c r="Q52" i="26"/>
  <c r="Q64" i="26"/>
  <c r="Q75" i="26"/>
  <c r="Q53" i="26"/>
  <c r="B186" i="26"/>
  <c r="K12" i="33" s="1"/>
  <c r="B162" i="26"/>
  <c r="B174" i="26"/>
  <c r="Y45" i="26"/>
  <c r="N172" i="26"/>
  <c r="F66" i="26"/>
  <c r="F78" i="26"/>
  <c r="F54" i="26"/>
  <c r="E81" i="26"/>
  <c r="E69" i="26"/>
  <c r="E57" i="26"/>
  <c r="P69" i="26"/>
  <c r="P81" i="26"/>
  <c r="P57" i="26"/>
  <c r="N187" i="26"/>
  <c r="N163" i="26"/>
  <c r="N175" i="26"/>
  <c r="B66" i="26"/>
  <c r="B54" i="26"/>
  <c r="B78" i="26"/>
  <c r="F10" i="33" s="1"/>
  <c r="D75" i="26"/>
  <c r="J45" i="26"/>
  <c r="D79" i="26"/>
  <c r="D67" i="26"/>
  <c r="D55" i="26"/>
  <c r="O79" i="26"/>
  <c r="O67" i="26"/>
  <c r="O55" i="26"/>
  <c r="Z79" i="26"/>
  <c r="Z55" i="26"/>
  <c r="Z67" i="26"/>
  <c r="M77" i="26"/>
  <c r="BI9" i="33" s="1"/>
  <c r="M62" i="26"/>
  <c r="M52" i="26"/>
  <c r="M75" i="26"/>
  <c r="BI7" i="33" s="1"/>
  <c r="M65" i="26"/>
  <c r="M74" i="26"/>
  <c r="BI6" i="33" s="1"/>
  <c r="M64" i="26"/>
  <c r="M50" i="26"/>
  <c r="M63" i="26"/>
  <c r="M53" i="26"/>
  <c r="M76" i="26"/>
  <c r="BI8" i="33" s="1"/>
  <c r="M51" i="26"/>
  <c r="O185" i="26"/>
  <c r="O173" i="26"/>
  <c r="O161" i="26"/>
  <c r="D161" i="26"/>
  <c r="D185" i="26"/>
  <c r="D173" i="26"/>
  <c r="U173" i="26"/>
  <c r="U185" i="26"/>
  <c r="U161" i="26"/>
  <c r="Y79" i="26"/>
  <c r="Y67" i="26"/>
  <c r="Y55" i="26"/>
  <c r="G78" i="26"/>
  <c r="G54" i="26"/>
  <c r="G66" i="26"/>
  <c r="Y184" i="26"/>
  <c r="Q46" i="26"/>
  <c r="S77" i="26"/>
  <c r="H66" i="26"/>
  <c r="T392" i="26"/>
  <c r="T404" i="26"/>
  <c r="T380" i="26"/>
  <c r="G391" i="26"/>
  <c r="G403" i="26"/>
  <c r="G379" i="26"/>
  <c r="H380" i="26"/>
  <c r="H404" i="26"/>
  <c r="H392" i="26"/>
  <c r="Y391" i="26"/>
  <c r="Y403" i="26"/>
  <c r="Y379" i="26"/>
  <c r="AA403" i="26"/>
  <c r="AA379" i="26"/>
  <c r="AA391" i="26"/>
  <c r="I404" i="26"/>
  <c r="I380" i="26"/>
  <c r="I392" i="26"/>
  <c r="D389" i="26"/>
  <c r="D401" i="26"/>
  <c r="D377" i="26"/>
  <c r="N401" i="26"/>
  <c r="N389" i="26"/>
  <c r="N377" i="26"/>
  <c r="P391" i="26"/>
  <c r="P403" i="26"/>
  <c r="P379" i="26"/>
  <c r="N387" i="26"/>
  <c r="N385" i="26"/>
  <c r="N388" i="26"/>
  <c r="N399" i="26"/>
  <c r="N397" i="26"/>
  <c r="N376" i="26"/>
  <c r="N398" i="26"/>
  <c r="N374" i="26"/>
  <c r="N400" i="26"/>
  <c r="N375" i="26"/>
  <c r="N386" i="26"/>
  <c r="N373" i="26"/>
  <c r="L397" i="26"/>
  <c r="L387" i="26"/>
  <c r="L398" i="26"/>
  <c r="L385" i="26"/>
  <c r="L376" i="26"/>
  <c r="L399" i="26"/>
  <c r="L374" i="26"/>
  <c r="L386" i="26"/>
  <c r="L400" i="26"/>
  <c r="L388" i="26"/>
  <c r="L375" i="26"/>
  <c r="L373" i="26"/>
  <c r="K402" i="26"/>
  <c r="K390" i="26"/>
  <c r="K378" i="26"/>
  <c r="Y402" i="26"/>
  <c r="Y390" i="26"/>
  <c r="Y378" i="26"/>
  <c r="O294" i="26"/>
  <c r="O270" i="26"/>
  <c r="O282" i="26"/>
  <c r="S282" i="26"/>
  <c r="S270" i="26"/>
  <c r="S294" i="26"/>
  <c r="T293" i="26"/>
  <c r="T269" i="26"/>
  <c r="T281" i="26"/>
  <c r="O278" i="26"/>
  <c r="O289" i="26"/>
  <c r="O291" i="26"/>
  <c r="O290" i="26"/>
  <c r="O279" i="26"/>
  <c r="O265" i="26"/>
  <c r="O276" i="26"/>
  <c r="O267" i="26"/>
  <c r="O266" i="26"/>
  <c r="O288" i="26"/>
  <c r="O264" i="26"/>
  <c r="O277" i="26"/>
  <c r="AA290" i="26"/>
  <c r="AA266" i="26"/>
  <c r="AA277" i="26"/>
  <c r="AA288" i="26"/>
  <c r="AA289" i="26"/>
  <c r="AA278" i="26"/>
  <c r="AA267" i="26"/>
  <c r="AA276" i="26"/>
  <c r="AA265" i="26"/>
  <c r="AA264" i="26"/>
  <c r="AA291" i="26"/>
  <c r="AA279" i="26"/>
  <c r="I276" i="26"/>
  <c r="I279" i="26"/>
  <c r="I290" i="26"/>
  <c r="I289" i="26"/>
  <c r="I288" i="26"/>
  <c r="I266" i="26"/>
  <c r="I291" i="26"/>
  <c r="I277" i="26"/>
  <c r="I278" i="26"/>
  <c r="I265" i="26"/>
  <c r="I264" i="26"/>
  <c r="I267" i="26"/>
  <c r="M294" i="26"/>
  <c r="BS12" i="33" s="1"/>
  <c r="M282" i="26"/>
  <c r="M270" i="26"/>
  <c r="E294" i="26"/>
  <c r="E282" i="26"/>
  <c r="E270" i="26"/>
  <c r="I292" i="26"/>
  <c r="I268" i="26"/>
  <c r="I280" i="26"/>
  <c r="H295" i="26"/>
  <c r="H271" i="26"/>
  <c r="H283" i="26"/>
  <c r="P295" i="26"/>
  <c r="P283" i="26"/>
  <c r="P271" i="26"/>
  <c r="E283" i="26"/>
  <c r="E295" i="26"/>
  <c r="E271" i="26"/>
  <c r="AA183" i="26"/>
  <c r="AA158" i="26"/>
  <c r="AA169" i="26"/>
  <c r="AA181" i="26"/>
  <c r="AA170" i="26"/>
  <c r="AA182" i="26"/>
  <c r="AA180" i="26"/>
  <c r="AA171" i="26"/>
  <c r="AA156" i="26"/>
  <c r="AA168" i="26"/>
  <c r="AA157" i="26"/>
  <c r="AA159" i="26"/>
  <c r="P160" i="26"/>
  <c r="P184" i="26"/>
  <c r="P172" i="26"/>
  <c r="AC163" i="26"/>
  <c r="AC175" i="26"/>
  <c r="AC187" i="26"/>
  <c r="DQ13" i="33" s="1"/>
  <c r="C175" i="26"/>
  <c r="C187" i="26"/>
  <c r="C163" i="26"/>
  <c r="U293" i="26"/>
  <c r="U281" i="26"/>
  <c r="U269" i="26"/>
  <c r="AC269" i="26"/>
  <c r="AC281" i="26"/>
  <c r="AC293" i="26"/>
  <c r="DV11" i="33" s="1"/>
  <c r="U181" i="26"/>
  <c r="U182" i="26"/>
  <c r="U156" i="26"/>
  <c r="U159" i="26"/>
  <c r="U168" i="26"/>
  <c r="U169" i="26"/>
  <c r="U158" i="26"/>
  <c r="U180" i="26"/>
  <c r="U171" i="26"/>
  <c r="U183" i="26"/>
  <c r="U170" i="26"/>
  <c r="U157" i="26"/>
  <c r="O180" i="26"/>
  <c r="O170" i="26"/>
  <c r="O157" i="26"/>
  <c r="O183" i="26"/>
  <c r="O158" i="26"/>
  <c r="O181" i="26"/>
  <c r="O171" i="26"/>
  <c r="O156" i="26"/>
  <c r="O169" i="26"/>
  <c r="O168" i="26"/>
  <c r="O182" i="26"/>
  <c r="O159" i="26"/>
  <c r="Q160" i="26"/>
  <c r="Q184" i="26"/>
  <c r="Q172" i="26"/>
  <c r="AC160" i="26"/>
  <c r="AC184" i="26"/>
  <c r="DQ10" i="33" s="1"/>
  <c r="AC172" i="26"/>
  <c r="U78" i="26"/>
  <c r="U54" i="26"/>
  <c r="U66" i="26"/>
  <c r="I77" i="26"/>
  <c r="I65" i="26"/>
  <c r="I64" i="26"/>
  <c r="I50" i="26"/>
  <c r="I76" i="26"/>
  <c r="I51" i="26"/>
  <c r="I62" i="26"/>
  <c r="I52" i="26"/>
  <c r="I75" i="26"/>
  <c r="I74" i="26"/>
  <c r="I53" i="26"/>
  <c r="I63" i="26"/>
  <c r="Q81" i="26"/>
  <c r="Q69" i="26"/>
  <c r="Q57" i="26"/>
  <c r="T186" i="26"/>
  <c r="T162" i="26"/>
  <c r="T174" i="26"/>
  <c r="K186" i="26"/>
  <c r="K162" i="26"/>
  <c r="K174" i="26"/>
  <c r="M81" i="26"/>
  <c r="BI13" i="33" s="1"/>
  <c r="M69" i="26"/>
  <c r="M57" i="26"/>
  <c r="X69" i="26"/>
  <c r="X57" i="26"/>
  <c r="X81" i="26"/>
  <c r="D62" i="26"/>
  <c r="AC54" i="26"/>
  <c r="AC78" i="26"/>
  <c r="DL10" i="33" s="1"/>
  <c r="AC66" i="26"/>
  <c r="P78" i="26"/>
  <c r="P54" i="26"/>
  <c r="P66" i="26"/>
  <c r="AA75" i="26"/>
  <c r="AA76" i="26"/>
  <c r="AA63" i="26"/>
  <c r="AA64" i="26"/>
  <c r="AA62" i="26"/>
  <c r="AA52" i="26"/>
  <c r="AA77" i="26"/>
  <c r="AA50" i="26"/>
  <c r="AA51" i="26"/>
  <c r="AA53" i="26"/>
  <c r="AA74" i="26"/>
  <c r="AA65" i="26"/>
  <c r="U77" i="26"/>
  <c r="U62" i="26"/>
  <c r="U52" i="26"/>
  <c r="U76" i="26"/>
  <c r="U65" i="26"/>
  <c r="U50" i="26"/>
  <c r="U75" i="26"/>
  <c r="U64" i="26"/>
  <c r="U63" i="26"/>
  <c r="U51" i="26"/>
  <c r="U53" i="26"/>
  <c r="U74" i="26"/>
  <c r="T173" i="26"/>
  <c r="T161" i="26"/>
  <c r="T185" i="26"/>
  <c r="Q185" i="26"/>
  <c r="Q173" i="26"/>
  <c r="Q161" i="26"/>
  <c r="J54" i="26"/>
  <c r="J66" i="26"/>
  <c r="J78" i="26"/>
  <c r="U68" i="26"/>
  <c r="U80" i="26"/>
  <c r="U56" i="26"/>
  <c r="R400" i="25"/>
  <c r="R387" i="25"/>
  <c r="R375" i="25"/>
  <c r="R397" i="25"/>
  <c r="R399" i="25"/>
  <c r="R388" i="25"/>
  <c r="R385" i="25"/>
  <c r="R374" i="25"/>
  <c r="R373" i="25"/>
  <c r="R386" i="25"/>
  <c r="R376" i="25"/>
  <c r="R398" i="25"/>
  <c r="Q397" i="25"/>
  <c r="Q400" i="25"/>
  <c r="Q386" i="25"/>
  <c r="Q398" i="25"/>
  <c r="Q375" i="25"/>
  <c r="Q399" i="25"/>
  <c r="Q388" i="25"/>
  <c r="Q385" i="25"/>
  <c r="Q374" i="25"/>
  <c r="Q387" i="25"/>
  <c r="Q373" i="25"/>
  <c r="Q376" i="25"/>
  <c r="AA387" i="25"/>
  <c r="AA398" i="25"/>
  <c r="AA386" i="25"/>
  <c r="AA400" i="25"/>
  <c r="AA375" i="25"/>
  <c r="AA374" i="25"/>
  <c r="AA373" i="25"/>
  <c r="AA399" i="25"/>
  <c r="AA397" i="25"/>
  <c r="AA385" i="25"/>
  <c r="AA388" i="25"/>
  <c r="AA376" i="25"/>
  <c r="H391" i="25"/>
  <c r="H379" i="25"/>
  <c r="H403" i="25"/>
  <c r="M293" i="25"/>
  <c r="BR11" i="33" s="1"/>
  <c r="M281" i="25"/>
  <c r="M269" i="25"/>
  <c r="Y293" i="25"/>
  <c r="Y281" i="25"/>
  <c r="Y269" i="25"/>
  <c r="N295" i="25"/>
  <c r="N283" i="25"/>
  <c r="N271" i="25"/>
  <c r="C283" i="25"/>
  <c r="C271" i="25"/>
  <c r="C295" i="25"/>
  <c r="G278" i="25"/>
  <c r="G289" i="25"/>
  <c r="G265" i="25"/>
  <c r="G290" i="25"/>
  <c r="G266" i="25"/>
  <c r="G288" i="25"/>
  <c r="G277" i="25"/>
  <c r="G291" i="25"/>
  <c r="G276" i="25"/>
  <c r="G279" i="25"/>
  <c r="G264" i="25"/>
  <c r="G267" i="25"/>
  <c r="L293" i="25"/>
  <c r="L269" i="25"/>
  <c r="L281" i="25"/>
  <c r="I163" i="25"/>
  <c r="I175" i="25"/>
  <c r="I187" i="25"/>
  <c r="AB171" i="25"/>
  <c r="AB182" i="25"/>
  <c r="AB158" i="25"/>
  <c r="AB180" i="25"/>
  <c r="AB156" i="25"/>
  <c r="AB169" i="25"/>
  <c r="AB183" i="25"/>
  <c r="AB168" i="25"/>
  <c r="AB157" i="25"/>
  <c r="AB170" i="25"/>
  <c r="AB181" i="25"/>
  <c r="AB159" i="25"/>
  <c r="N270" i="25"/>
  <c r="N282" i="25"/>
  <c r="N294" i="25"/>
  <c r="K294" i="25"/>
  <c r="K282" i="25"/>
  <c r="K270" i="25"/>
  <c r="Y183" i="25"/>
  <c r="Y170" i="25"/>
  <c r="Y181" i="25"/>
  <c r="Y157" i="25"/>
  <c r="Y171" i="25"/>
  <c r="Y159" i="25"/>
  <c r="Y180" i="25"/>
  <c r="Y169" i="25"/>
  <c r="Y158" i="25"/>
  <c r="Y168" i="25"/>
  <c r="Y182" i="25"/>
  <c r="Y156" i="25"/>
  <c r="M174" i="25"/>
  <c r="M186" i="25"/>
  <c r="BM12" i="33" s="1"/>
  <c r="M162" i="25"/>
  <c r="Q173" i="25"/>
  <c r="Q185" i="25"/>
  <c r="Q161" i="25"/>
  <c r="C185" i="25"/>
  <c r="C161" i="25"/>
  <c r="C173" i="25"/>
  <c r="U185" i="25"/>
  <c r="U161" i="25"/>
  <c r="U173" i="25"/>
  <c r="U46" i="25"/>
  <c r="U45" i="25"/>
  <c r="U152" i="25"/>
  <c r="S79" i="25"/>
  <c r="S55" i="25"/>
  <c r="S67" i="25"/>
  <c r="AC45" i="25"/>
  <c r="U80" i="25"/>
  <c r="U56" i="25"/>
  <c r="U68" i="25"/>
  <c r="J400" i="25"/>
  <c r="J387" i="25"/>
  <c r="J397" i="25"/>
  <c r="J375" i="25"/>
  <c r="J374" i="25"/>
  <c r="J373" i="25"/>
  <c r="J399" i="25"/>
  <c r="J398" i="25"/>
  <c r="J386" i="25"/>
  <c r="J376" i="25"/>
  <c r="J388" i="25"/>
  <c r="J385" i="25"/>
  <c r="AB404" i="25"/>
  <c r="AB380" i="25"/>
  <c r="AB392" i="25"/>
  <c r="D398" i="25"/>
  <c r="D385" i="25"/>
  <c r="D399" i="25"/>
  <c r="D373" i="25"/>
  <c r="D397" i="25"/>
  <c r="D388" i="25"/>
  <c r="D376" i="25"/>
  <c r="D375" i="25"/>
  <c r="D387" i="25"/>
  <c r="D374" i="25"/>
  <c r="D400" i="25"/>
  <c r="D386" i="25"/>
  <c r="E293" i="25"/>
  <c r="E281" i="25"/>
  <c r="E269" i="25"/>
  <c r="N389" i="25"/>
  <c r="N377" i="25"/>
  <c r="N401" i="25"/>
  <c r="G271" i="25"/>
  <c r="G295" i="25"/>
  <c r="G283" i="25"/>
  <c r="K295" i="25"/>
  <c r="K283" i="25"/>
  <c r="K271" i="25"/>
  <c r="F295" i="25"/>
  <c r="F283" i="25"/>
  <c r="F271" i="25"/>
  <c r="O278" i="25"/>
  <c r="O289" i="25"/>
  <c r="O265" i="25"/>
  <c r="O290" i="25"/>
  <c r="O266" i="25"/>
  <c r="O264" i="25"/>
  <c r="O267" i="25"/>
  <c r="O288" i="25"/>
  <c r="O277" i="25"/>
  <c r="O276" i="25"/>
  <c r="O279" i="25"/>
  <c r="O291" i="25"/>
  <c r="W174" i="25"/>
  <c r="W162" i="25"/>
  <c r="W186" i="25"/>
  <c r="Q170" i="25"/>
  <c r="Q181" i="25"/>
  <c r="Q157" i="25"/>
  <c r="Q171" i="25"/>
  <c r="Q183" i="25"/>
  <c r="Q168" i="25"/>
  <c r="Q182" i="25"/>
  <c r="Q156" i="25"/>
  <c r="Q169" i="25"/>
  <c r="Q158" i="25"/>
  <c r="Q180" i="25"/>
  <c r="Q159" i="25"/>
  <c r="F162" i="25"/>
  <c r="F186" i="25"/>
  <c r="F174" i="25"/>
  <c r="G173" i="25"/>
  <c r="G161" i="25"/>
  <c r="G185" i="25"/>
  <c r="K185" i="25"/>
  <c r="K161" i="25"/>
  <c r="K173" i="25"/>
  <c r="AA46" i="25"/>
  <c r="AA151" i="25"/>
  <c r="AA259" i="25"/>
  <c r="AA260" i="25"/>
  <c r="AC151" i="25"/>
  <c r="AC260" i="25"/>
  <c r="AC46" i="25"/>
  <c r="AC368" i="25"/>
  <c r="AC259" i="25"/>
  <c r="G79" i="25"/>
  <c r="G67" i="25"/>
  <c r="G55" i="25"/>
  <c r="R74" i="25"/>
  <c r="R50" i="25"/>
  <c r="R53" i="25"/>
  <c r="R64" i="25"/>
  <c r="R51" i="25"/>
  <c r="R75" i="25"/>
  <c r="R65" i="25"/>
  <c r="R62" i="25"/>
  <c r="R52" i="25"/>
  <c r="R77" i="25"/>
  <c r="R76" i="25"/>
  <c r="R63" i="25"/>
  <c r="K69" i="25"/>
  <c r="K57" i="25"/>
  <c r="K81" i="25"/>
  <c r="K56" i="25"/>
  <c r="K80" i="25"/>
  <c r="K68" i="25"/>
  <c r="J80" i="25"/>
  <c r="J68" i="25"/>
  <c r="J56" i="25"/>
  <c r="AC68" i="25"/>
  <c r="AC80" i="25"/>
  <c r="DK12" i="33" s="1"/>
  <c r="AC56" i="25"/>
  <c r="K78" i="25"/>
  <c r="K66" i="25"/>
  <c r="K54" i="25"/>
  <c r="T64" i="25"/>
  <c r="T75" i="25"/>
  <c r="T51" i="25"/>
  <c r="T74" i="25"/>
  <c r="T65" i="25"/>
  <c r="T62" i="25"/>
  <c r="T52" i="25"/>
  <c r="T77" i="25"/>
  <c r="T76" i="25"/>
  <c r="T63" i="25"/>
  <c r="T53" i="25"/>
  <c r="T50" i="25"/>
  <c r="B400" i="25"/>
  <c r="T9" i="33" s="1"/>
  <c r="B387" i="25"/>
  <c r="B385" i="25"/>
  <c r="B375" i="25"/>
  <c r="B399" i="25"/>
  <c r="T8" i="33" s="1"/>
  <c r="B373" i="25"/>
  <c r="B398" i="25"/>
  <c r="T7" i="33" s="1"/>
  <c r="B386" i="25"/>
  <c r="B397" i="25"/>
  <c r="T6" i="33" s="1"/>
  <c r="B388" i="25"/>
  <c r="B376" i="25"/>
  <c r="B374" i="25"/>
  <c r="V388" i="25"/>
  <c r="V399" i="25"/>
  <c r="V387" i="25"/>
  <c r="V386" i="25"/>
  <c r="V376" i="25"/>
  <c r="V375" i="25"/>
  <c r="V400" i="25"/>
  <c r="V374" i="25"/>
  <c r="V385" i="25"/>
  <c r="V397" i="25"/>
  <c r="V373" i="25"/>
  <c r="V398" i="25"/>
  <c r="D392" i="25"/>
  <c r="D404" i="25"/>
  <c r="D380" i="25"/>
  <c r="K403" i="25"/>
  <c r="K379" i="25"/>
  <c r="K391" i="25"/>
  <c r="O295" i="25"/>
  <c r="O283" i="25"/>
  <c r="O271" i="25"/>
  <c r="S295" i="25"/>
  <c r="S283" i="25"/>
  <c r="S271" i="25"/>
  <c r="Z281" i="25"/>
  <c r="Z293" i="25"/>
  <c r="V291" i="25"/>
  <c r="V267" i="25"/>
  <c r="V278" i="25"/>
  <c r="V279" i="25"/>
  <c r="V288" i="25"/>
  <c r="V276" i="25"/>
  <c r="V265" i="25"/>
  <c r="V290" i="25"/>
  <c r="V289" i="25"/>
  <c r="V264" i="25"/>
  <c r="V266" i="25"/>
  <c r="V277" i="25"/>
  <c r="W278" i="25"/>
  <c r="W289" i="25"/>
  <c r="W265" i="25"/>
  <c r="W290" i="25"/>
  <c r="W266" i="25"/>
  <c r="W288" i="25"/>
  <c r="W277" i="25"/>
  <c r="W291" i="25"/>
  <c r="W276" i="25"/>
  <c r="W279" i="25"/>
  <c r="W267" i="25"/>
  <c r="W264" i="25"/>
  <c r="R175" i="25"/>
  <c r="R163" i="25"/>
  <c r="R187" i="25"/>
  <c r="F294" i="25"/>
  <c r="F270" i="25"/>
  <c r="F282" i="25"/>
  <c r="X175" i="25"/>
  <c r="X187" i="25"/>
  <c r="X163" i="25"/>
  <c r="L171" i="25"/>
  <c r="L182" i="25"/>
  <c r="L158" i="25"/>
  <c r="L180" i="25"/>
  <c r="L156" i="25"/>
  <c r="L181" i="25"/>
  <c r="L170" i="25"/>
  <c r="L159" i="25"/>
  <c r="L169" i="25"/>
  <c r="L183" i="25"/>
  <c r="L168" i="25"/>
  <c r="L157" i="25"/>
  <c r="AA294" i="25"/>
  <c r="AA282" i="25"/>
  <c r="AA270" i="25"/>
  <c r="N186" i="25"/>
  <c r="N162" i="25"/>
  <c r="N174" i="25"/>
  <c r="O173" i="25"/>
  <c r="O185" i="25"/>
  <c r="O161" i="25"/>
  <c r="S161" i="25"/>
  <c r="S173" i="25"/>
  <c r="S185" i="25"/>
  <c r="L172" i="25"/>
  <c r="L184" i="25"/>
  <c r="L160" i="25"/>
  <c r="F187" i="25"/>
  <c r="F175" i="25"/>
  <c r="F163" i="25"/>
  <c r="B67" i="25"/>
  <c r="B79" i="25"/>
  <c r="E11" i="33" s="1"/>
  <c r="B55" i="25"/>
  <c r="X80" i="25"/>
  <c r="X68" i="25"/>
  <c r="X56" i="25"/>
  <c r="U54" i="25"/>
  <c r="U78" i="25"/>
  <c r="U66" i="25"/>
  <c r="H77" i="25"/>
  <c r="H76" i="25"/>
  <c r="H52" i="25"/>
  <c r="H63" i="25"/>
  <c r="H74" i="25"/>
  <c r="H64" i="25"/>
  <c r="H51" i="25"/>
  <c r="H75" i="25"/>
  <c r="H65" i="25"/>
  <c r="H62" i="25"/>
  <c r="H53" i="25"/>
  <c r="H50" i="25"/>
  <c r="G81" i="25"/>
  <c r="G57" i="25"/>
  <c r="G69" i="25"/>
  <c r="S69" i="25"/>
  <c r="S81" i="25"/>
  <c r="S57" i="25"/>
  <c r="Y80" i="25"/>
  <c r="Y68" i="25"/>
  <c r="Y56" i="25"/>
  <c r="W79" i="25"/>
  <c r="W67" i="25"/>
  <c r="W55" i="25"/>
  <c r="N388" i="25"/>
  <c r="N399" i="25"/>
  <c r="N385" i="25"/>
  <c r="N386" i="25"/>
  <c r="N400" i="25"/>
  <c r="N397" i="25"/>
  <c r="N376" i="25"/>
  <c r="N398" i="25"/>
  <c r="N375" i="25"/>
  <c r="N374" i="25"/>
  <c r="N387" i="25"/>
  <c r="N373" i="25"/>
  <c r="Z392" i="25"/>
  <c r="Z404" i="25"/>
  <c r="Z380" i="25"/>
  <c r="J401" i="25"/>
  <c r="J377" i="25"/>
  <c r="J389" i="25"/>
  <c r="AC385" i="25"/>
  <c r="AC388" i="25"/>
  <c r="AC400" i="25"/>
  <c r="DZ9" i="33" s="1"/>
  <c r="AC376" i="25"/>
  <c r="AC399" i="25"/>
  <c r="DZ8" i="33" s="1"/>
  <c r="AC373" i="25"/>
  <c r="AC398" i="25"/>
  <c r="DZ7" i="33" s="1"/>
  <c r="AC397" i="25"/>
  <c r="DZ6" i="33" s="1"/>
  <c r="AC387" i="25"/>
  <c r="AC375" i="25"/>
  <c r="AC374" i="25"/>
  <c r="AC386" i="25"/>
  <c r="O399" i="25"/>
  <c r="O386" i="25"/>
  <c r="O374" i="25"/>
  <c r="O400" i="25"/>
  <c r="O397" i="25"/>
  <c r="O376" i="25"/>
  <c r="O398" i="25"/>
  <c r="O375" i="25"/>
  <c r="O388" i="25"/>
  <c r="O385" i="25"/>
  <c r="O387" i="25"/>
  <c r="O373" i="25"/>
  <c r="I403" i="25"/>
  <c r="I391" i="25"/>
  <c r="I379" i="25"/>
  <c r="S403" i="25"/>
  <c r="S379" i="25"/>
  <c r="S391" i="25"/>
  <c r="AB401" i="25"/>
  <c r="AB389" i="25"/>
  <c r="AB377" i="25"/>
  <c r="W283" i="25"/>
  <c r="W295" i="25"/>
  <c r="W271" i="25"/>
  <c r="AA283" i="25"/>
  <c r="AA295" i="25"/>
  <c r="AA271" i="25"/>
  <c r="L277" i="25"/>
  <c r="L288" i="25"/>
  <c r="L264" i="25"/>
  <c r="L289" i="25"/>
  <c r="L265" i="25"/>
  <c r="L291" i="25"/>
  <c r="L266" i="25"/>
  <c r="L290" i="25"/>
  <c r="L279" i="25"/>
  <c r="L278" i="25"/>
  <c r="L276" i="25"/>
  <c r="L267" i="25"/>
  <c r="G281" i="25"/>
  <c r="G269" i="25"/>
  <c r="G293" i="25"/>
  <c r="D277" i="25"/>
  <c r="D288" i="25"/>
  <c r="D264" i="25"/>
  <c r="D289" i="25"/>
  <c r="D265" i="25"/>
  <c r="D290" i="25"/>
  <c r="D279" i="25"/>
  <c r="D278" i="25"/>
  <c r="D267" i="25"/>
  <c r="D291" i="25"/>
  <c r="D276" i="25"/>
  <c r="D266" i="25"/>
  <c r="J187" i="25"/>
  <c r="J163" i="25"/>
  <c r="J175" i="25"/>
  <c r="AA161" i="25"/>
  <c r="AA173" i="25"/>
  <c r="AA185" i="25"/>
  <c r="P160" i="25"/>
  <c r="P184" i="25"/>
  <c r="P172" i="25"/>
  <c r="Y173" i="25"/>
  <c r="Y161" i="25"/>
  <c r="Y185" i="25"/>
  <c r="V163" i="25"/>
  <c r="V187" i="25"/>
  <c r="V175" i="25"/>
  <c r="P68" i="25"/>
  <c r="P80" i="25"/>
  <c r="P56" i="25"/>
  <c r="O369" i="25"/>
  <c r="O45" i="25"/>
  <c r="O151" i="25"/>
  <c r="O259" i="25"/>
  <c r="O46" i="25"/>
  <c r="I66" i="25"/>
  <c r="I78" i="25"/>
  <c r="I54" i="25"/>
  <c r="O57" i="25"/>
  <c r="O81" i="25"/>
  <c r="O69" i="25"/>
  <c r="AA81" i="25"/>
  <c r="AA69" i="25"/>
  <c r="AA57" i="25"/>
  <c r="N79" i="25"/>
  <c r="N67" i="25"/>
  <c r="N55" i="25"/>
  <c r="M67" i="25"/>
  <c r="M79" i="25"/>
  <c r="BH11" i="33" s="1"/>
  <c r="M55" i="25"/>
  <c r="L67" i="25"/>
  <c r="L79" i="25"/>
  <c r="L55" i="25"/>
  <c r="F388" i="25"/>
  <c r="F399" i="25"/>
  <c r="F397" i="25"/>
  <c r="F376" i="25"/>
  <c r="F385" i="25"/>
  <c r="F375" i="25"/>
  <c r="F387" i="25"/>
  <c r="F374" i="25"/>
  <c r="F373" i="25"/>
  <c r="F400" i="25"/>
  <c r="F398" i="25"/>
  <c r="F386" i="25"/>
  <c r="U379" i="25"/>
  <c r="U403" i="25"/>
  <c r="U391" i="25"/>
  <c r="K387" i="25"/>
  <c r="K398" i="25"/>
  <c r="K388" i="25"/>
  <c r="K373" i="25"/>
  <c r="K399" i="25"/>
  <c r="K386" i="25"/>
  <c r="K400" i="25"/>
  <c r="K376" i="25"/>
  <c r="K397" i="25"/>
  <c r="K385" i="25"/>
  <c r="K375" i="25"/>
  <c r="K374" i="25"/>
  <c r="P295" i="25"/>
  <c r="P283" i="25"/>
  <c r="P271" i="25"/>
  <c r="T277" i="25"/>
  <c r="T288" i="25"/>
  <c r="T264" i="25"/>
  <c r="T289" i="25"/>
  <c r="T265" i="25"/>
  <c r="T278" i="25"/>
  <c r="T267" i="25"/>
  <c r="T291" i="25"/>
  <c r="T266" i="25"/>
  <c r="T276" i="25"/>
  <c r="T290" i="25"/>
  <c r="T279" i="25"/>
  <c r="B295" i="25"/>
  <c r="O13" i="33" s="1"/>
  <c r="B271" i="25"/>
  <c r="B283" i="25"/>
  <c r="AC288" i="25"/>
  <c r="DU6" i="33" s="1"/>
  <c r="AC264" i="25"/>
  <c r="AC291" i="25"/>
  <c r="DU9" i="33" s="1"/>
  <c r="AC267" i="25"/>
  <c r="AC276" i="25"/>
  <c r="AC290" i="25"/>
  <c r="DU8" i="33" s="1"/>
  <c r="AC279" i="25"/>
  <c r="AC289" i="25"/>
  <c r="DU7" i="33" s="1"/>
  <c r="AC278" i="25"/>
  <c r="AC277" i="25"/>
  <c r="AC265" i="25"/>
  <c r="AC266" i="25"/>
  <c r="Y271" i="25"/>
  <c r="Y295" i="25"/>
  <c r="Y283" i="25"/>
  <c r="C290" i="25"/>
  <c r="C266" i="25"/>
  <c r="C277" i="25"/>
  <c r="C278" i="25"/>
  <c r="C289" i="25"/>
  <c r="C267" i="25"/>
  <c r="C288" i="25"/>
  <c r="C291" i="25"/>
  <c r="C276" i="25"/>
  <c r="C264" i="25"/>
  <c r="C279" i="25"/>
  <c r="C265" i="25"/>
  <c r="H175" i="25"/>
  <c r="H187" i="25"/>
  <c r="H163" i="25"/>
  <c r="B186" i="25"/>
  <c r="J12" i="33" s="1"/>
  <c r="B174" i="25"/>
  <c r="B162" i="25"/>
  <c r="B173" i="25"/>
  <c r="B185" i="25"/>
  <c r="J11" i="33" s="1"/>
  <c r="B161" i="25"/>
  <c r="D185" i="25"/>
  <c r="D161" i="25"/>
  <c r="D173" i="25"/>
  <c r="X180" i="25"/>
  <c r="X169" i="25"/>
  <c r="X157" i="25"/>
  <c r="X168" i="25"/>
  <c r="X181" i="25"/>
  <c r="X156" i="25"/>
  <c r="AB172" i="25"/>
  <c r="AB184" i="25"/>
  <c r="AB160" i="25"/>
  <c r="H173" i="25"/>
  <c r="H185" i="25"/>
  <c r="H161" i="25"/>
  <c r="P185" i="25"/>
  <c r="P161" i="25"/>
  <c r="P173" i="25"/>
  <c r="G187" i="25"/>
  <c r="G175" i="25"/>
  <c r="G163" i="25"/>
  <c r="H68" i="25"/>
  <c r="H80" i="25"/>
  <c r="H56" i="25"/>
  <c r="W57" i="25"/>
  <c r="W81" i="25"/>
  <c r="W69" i="25"/>
  <c r="D81" i="25"/>
  <c r="D57" i="25"/>
  <c r="D69" i="25"/>
  <c r="D67" i="25"/>
  <c r="D79" i="25"/>
  <c r="D55" i="25"/>
  <c r="C67" i="25"/>
  <c r="C79" i="25"/>
  <c r="C55" i="25"/>
  <c r="Y380" i="25"/>
  <c r="Y392" i="25"/>
  <c r="Y404" i="25"/>
  <c r="D295" i="25"/>
  <c r="D271" i="25"/>
  <c r="D283" i="25"/>
  <c r="I276" i="25"/>
  <c r="I279" i="25"/>
  <c r="I288" i="25"/>
  <c r="I264" i="25"/>
  <c r="I291" i="25"/>
  <c r="I290" i="25"/>
  <c r="I265" i="25"/>
  <c r="I278" i="25"/>
  <c r="I289" i="25"/>
  <c r="I266" i="25"/>
  <c r="I267" i="25"/>
  <c r="I277" i="25"/>
  <c r="J295" i="25"/>
  <c r="J271" i="25"/>
  <c r="J283" i="25"/>
  <c r="R279" i="25"/>
  <c r="R290" i="25"/>
  <c r="R266" i="25"/>
  <c r="R291" i="25"/>
  <c r="R267" i="25"/>
  <c r="R264" i="25"/>
  <c r="R289" i="25"/>
  <c r="R288" i="25"/>
  <c r="R277" i="25"/>
  <c r="R276" i="25"/>
  <c r="R265" i="25"/>
  <c r="R278" i="25"/>
  <c r="M283" i="25"/>
  <c r="M295" i="25"/>
  <c r="BR13" i="33" s="1"/>
  <c r="M271" i="25"/>
  <c r="S186" i="25"/>
  <c r="S174" i="25"/>
  <c r="S162" i="25"/>
  <c r="F169" i="25"/>
  <c r="F180" i="25"/>
  <c r="F156" i="25"/>
  <c r="F170" i="25"/>
  <c r="F168" i="25"/>
  <c r="F157" i="25"/>
  <c r="F182" i="25"/>
  <c r="F171" i="25"/>
  <c r="F181" i="25"/>
  <c r="F159" i="25"/>
  <c r="F183" i="25"/>
  <c r="F158" i="25"/>
  <c r="AC187" i="25"/>
  <c r="DP13" i="33" s="1"/>
  <c r="AC175" i="25"/>
  <c r="AC163" i="25"/>
  <c r="C184" i="25"/>
  <c r="C160" i="25"/>
  <c r="C172" i="25"/>
  <c r="AC161" i="25"/>
  <c r="AC185" i="25"/>
  <c r="DP11" i="33" s="1"/>
  <c r="AC173" i="25"/>
  <c r="AA56" i="25"/>
  <c r="AA68" i="25"/>
  <c r="AA80" i="25"/>
  <c r="AA67" i="25"/>
  <c r="AA55" i="25"/>
  <c r="AA79" i="25"/>
  <c r="H81" i="25"/>
  <c r="H69" i="25"/>
  <c r="H57" i="25"/>
  <c r="L81" i="25"/>
  <c r="L69" i="25"/>
  <c r="L57" i="25"/>
  <c r="AB78" i="25"/>
  <c r="AB54" i="25"/>
  <c r="AB66" i="25"/>
  <c r="Y66" i="25"/>
  <c r="Y54" i="25"/>
  <c r="Y78" i="25"/>
  <c r="J66" i="25"/>
  <c r="J78" i="25"/>
  <c r="J54" i="25"/>
  <c r="S53" i="25"/>
  <c r="S64" i="25"/>
  <c r="S51" i="25"/>
  <c r="S74" i="25"/>
  <c r="S75" i="25"/>
  <c r="S65" i="25"/>
  <c r="S62" i="25"/>
  <c r="S52" i="25"/>
  <c r="S77" i="25"/>
  <c r="S76" i="25"/>
  <c r="S63" i="25"/>
  <c r="S50" i="25"/>
  <c r="Q392" i="25"/>
  <c r="Q380" i="25"/>
  <c r="Q404" i="25"/>
  <c r="D379" i="25"/>
  <c r="D403" i="25"/>
  <c r="D391" i="25"/>
  <c r="N391" i="25"/>
  <c r="N379" i="25"/>
  <c r="N403" i="25"/>
  <c r="X389" i="25"/>
  <c r="X377" i="25"/>
  <c r="X401" i="25"/>
  <c r="R295" i="25"/>
  <c r="R271" i="25"/>
  <c r="R283" i="25"/>
  <c r="H289" i="25"/>
  <c r="H265" i="25"/>
  <c r="H276" i="25"/>
  <c r="H277" i="25"/>
  <c r="H278" i="25"/>
  <c r="H267" i="25"/>
  <c r="H288" i="25"/>
  <c r="H266" i="25"/>
  <c r="H291" i="25"/>
  <c r="H290" i="25"/>
  <c r="H279" i="25"/>
  <c r="H264" i="25"/>
  <c r="E390" i="25"/>
  <c r="E402" i="25"/>
  <c r="E378" i="25"/>
  <c r="AA390" i="25"/>
  <c r="AA402" i="25"/>
  <c r="AA378" i="25"/>
  <c r="S290" i="25"/>
  <c r="S266" i="25"/>
  <c r="S277" i="25"/>
  <c r="S278" i="25"/>
  <c r="S289" i="25"/>
  <c r="S288" i="25"/>
  <c r="S291" i="25"/>
  <c r="S276" i="25"/>
  <c r="S265" i="25"/>
  <c r="S279" i="25"/>
  <c r="S267" i="25"/>
  <c r="S264" i="25"/>
  <c r="K186" i="25"/>
  <c r="K174" i="25"/>
  <c r="K162" i="25"/>
  <c r="Y163" i="25"/>
  <c r="Y187" i="25"/>
  <c r="Y175" i="25"/>
  <c r="Q186" i="25"/>
  <c r="Q162" i="25"/>
  <c r="Q174" i="25"/>
  <c r="I294" i="25"/>
  <c r="I282" i="25"/>
  <c r="I270" i="25"/>
  <c r="AB294" i="25"/>
  <c r="AB282" i="25"/>
  <c r="AB270" i="25"/>
  <c r="U187" i="25"/>
  <c r="U175" i="25"/>
  <c r="U163" i="25"/>
  <c r="R173" i="25"/>
  <c r="R185" i="25"/>
  <c r="R161" i="25"/>
  <c r="T185" i="25"/>
  <c r="T173" i="25"/>
  <c r="T161" i="25"/>
  <c r="M184" i="25"/>
  <c r="BM10" i="33" s="1"/>
  <c r="M172" i="25"/>
  <c r="M160" i="25"/>
  <c r="I173" i="25"/>
  <c r="I185" i="25"/>
  <c r="I161" i="25"/>
  <c r="Q80" i="25"/>
  <c r="Q68" i="25"/>
  <c r="Q56" i="25"/>
  <c r="N80" i="25"/>
  <c r="N56" i="25"/>
  <c r="N68" i="25"/>
  <c r="U75" i="25"/>
  <c r="U51" i="25"/>
  <c r="U62" i="25"/>
  <c r="U65" i="25"/>
  <c r="U52" i="25"/>
  <c r="U77" i="25"/>
  <c r="U76" i="25"/>
  <c r="U63" i="25"/>
  <c r="U53" i="25"/>
  <c r="U50" i="25"/>
  <c r="U74" i="25"/>
  <c r="U64" i="25"/>
  <c r="P81" i="25"/>
  <c r="P57" i="25"/>
  <c r="P69" i="25"/>
  <c r="G68" i="25"/>
  <c r="G80" i="25"/>
  <c r="G56" i="25"/>
  <c r="R78" i="25"/>
  <c r="R66" i="25"/>
  <c r="R54" i="25"/>
  <c r="I389" i="25"/>
  <c r="I401" i="25"/>
  <c r="I377" i="25"/>
  <c r="I404" i="25"/>
  <c r="I380" i="25"/>
  <c r="I392" i="25"/>
  <c r="U293" i="25"/>
  <c r="U269" i="25"/>
  <c r="U281" i="25"/>
  <c r="AB283" i="25"/>
  <c r="AB295" i="25"/>
  <c r="AB271" i="25"/>
  <c r="Z295" i="25"/>
  <c r="Z271" i="25"/>
  <c r="Z283" i="25"/>
  <c r="C186" i="25"/>
  <c r="C162" i="25"/>
  <c r="C174" i="25"/>
  <c r="V270" i="25"/>
  <c r="V294" i="25"/>
  <c r="V282" i="25"/>
  <c r="C294" i="25"/>
  <c r="C282" i="25"/>
  <c r="C270" i="25"/>
  <c r="AC174" i="25"/>
  <c r="AC186" i="25"/>
  <c r="DP12" i="33" s="1"/>
  <c r="AC162" i="25"/>
  <c r="Z173" i="25"/>
  <c r="Z161" i="25"/>
  <c r="Z185" i="25"/>
  <c r="V184" i="25"/>
  <c r="V172" i="25"/>
  <c r="V160" i="25"/>
  <c r="E161" i="25"/>
  <c r="E185" i="25"/>
  <c r="E173" i="25"/>
  <c r="I80" i="25"/>
  <c r="I68" i="25"/>
  <c r="I56" i="25"/>
  <c r="I55" i="25"/>
  <c r="I79" i="25"/>
  <c r="I67" i="25"/>
  <c r="M152" i="25"/>
  <c r="M151" i="25"/>
  <c r="M369" i="25"/>
  <c r="M260" i="25"/>
  <c r="M45" i="25"/>
  <c r="X152" i="25"/>
  <c r="X46" i="25"/>
  <c r="X151" i="25"/>
  <c r="X369" i="25"/>
  <c r="X260" i="25"/>
  <c r="X368" i="25"/>
  <c r="D80" i="25"/>
  <c r="D56" i="25"/>
  <c r="D68" i="25"/>
  <c r="X57" i="25"/>
  <c r="X81" i="25"/>
  <c r="X69" i="25"/>
  <c r="AB81" i="25"/>
  <c r="AB69" i="25"/>
  <c r="AB57" i="25"/>
  <c r="F54" i="25"/>
  <c r="F78" i="25"/>
  <c r="F66" i="25"/>
  <c r="AB56" i="25"/>
  <c r="AB68" i="25"/>
  <c r="AB80" i="25"/>
  <c r="D78" i="25"/>
  <c r="D66" i="25"/>
  <c r="D54" i="25"/>
  <c r="H55" i="25"/>
  <c r="H79" i="25"/>
  <c r="H67" i="25"/>
  <c r="P380" i="25"/>
  <c r="P392" i="25"/>
  <c r="P404" i="25"/>
  <c r="Z389" i="25"/>
  <c r="Z401" i="25"/>
  <c r="Z377" i="25"/>
  <c r="U404" i="25"/>
  <c r="U380" i="25"/>
  <c r="U392" i="25"/>
  <c r="P389" i="25"/>
  <c r="P377" i="25"/>
  <c r="P401" i="25"/>
  <c r="G402" i="25"/>
  <c r="G390" i="25"/>
  <c r="G378" i="25"/>
  <c r="N402" i="25"/>
  <c r="N390" i="25"/>
  <c r="N378" i="25"/>
  <c r="Q390" i="25"/>
  <c r="Q402" i="25"/>
  <c r="Q378" i="25"/>
  <c r="U378" i="25"/>
  <c r="U402" i="25"/>
  <c r="U390" i="25"/>
  <c r="G391" i="25"/>
  <c r="G379" i="25"/>
  <c r="G403" i="25"/>
  <c r="O281" i="25"/>
  <c r="O293" i="25"/>
  <c r="O269" i="25"/>
  <c r="AA269" i="25"/>
  <c r="AA281" i="25"/>
  <c r="AA293" i="25"/>
  <c r="AB280" i="25"/>
  <c r="AB292" i="25"/>
  <c r="AB268" i="25"/>
  <c r="H292" i="25"/>
  <c r="H268" i="25"/>
  <c r="H280" i="25"/>
  <c r="F390" i="25"/>
  <c r="F402" i="25"/>
  <c r="F378" i="25"/>
  <c r="D293" i="25"/>
  <c r="D269" i="25"/>
  <c r="D281" i="25"/>
  <c r="O294" i="25"/>
  <c r="O270" i="25"/>
  <c r="O282" i="25"/>
  <c r="Y294" i="25"/>
  <c r="Y282" i="25"/>
  <c r="Y270" i="25"/>
  <c r="U182" i="25"/>
  <c r="U158" i="25"/>
  <c r="U169" i="25"/>
  <c r="U183" i="25"/>
  <c r="U159" i="25"/>
  <c r="U171" i="25"/>
  <c r="U156" i="25"/>
  <c r="U181" i="25"/>
  <c r="U170" i="25"/>
  <c r="U180" i="25"/>
  <c r="U157" i="25"/>
  <c r="U168" i="25"/>
  <c r="AC182" i="25"/>
  <c r="DP8" i="33" s="1"/>
  <c r="AC158" i="25"/>
  <c r="AC169" i="25"/>
  <c r="AC159" i="25"/>
  <c r="AC183" i="25"/>
  <c r="DP9" i="33" s="1"/>
  <c r="AC168" i="25"/>
  <c r="AC157" i="25"/>
  <c r="AC171" i="25"/>
  <c r="AC156" i="25"/>
  <c r="AC181" i="25"/>
  <c r="DP7" i="33" s="1"/>
  <c r="AC170" i="25"/>
  <c r="AC180" i="25"/>
  <c r="DP6" i="33" s="1"/>
  <c r="U288" i="25"/>
  <c r="U264" i="25"/>
  <c r="U291" i="25"/>
  <c r="U267" i="25"/>
  <c r="U276" i="25"/>
  <c r="U277" i="25"/>
  <c r="U266" i="25"/>
  <c r="U265" i="25"/>
  <c r="U290" i="25"/>
  <c r="U279" i="25"/>
  <c r="U289" i="25"/>
  <c r="U278" i="25"/>
  <c r="Q184" i="25"/>
  <c r="Q172" i="25"/>
  <c r="Q160" i="25"/>
  <c r="D171" i="25"/>
  <c r="D182" i="25"/>
  <c r="D158" i="25"/>
  <c r="D180" i="25"/>
  <c r="D156" i="25"/>
  <c r="D183" i="25"/>
  <c r="D168" i="25"/>
  <c r="D157" i="25"/>
  <c r="D181" i="25"/>
  <c r="D170" i="25"/>
  <c r="D159" i="25"/>
  <c r="D169" i="25"/>
  <c r="Y184" i="25"/>
  <c r="Y172" i="25"/>
  <c r="Y160" i="25"/>
  <c r="H183" i="25"/>
  <c r="H159" i="25"/>
  <c r="H170" i="25"/>
  <c r="H168" i="25"/>
  <c r="H182" i="25"/>
  <c r="H171" i="25"/>
  <c r="H181" i="25"/>
  <c r="H156" i="25"/>
  <c r="H180" i="25"/>
  <c r="H169" i="25"/>
  <c r="H158" i="25"/>
  <c r="H157" i="25"/>
  <c r="E283" i="25"/>
  <c r="E295" i="25"/>
  <c r="E271" i="25"/>
  <c r="H295" i="25"/>
  <c r="H283" i="25"/>
  <c r="H271" i="25"/>
  <c r="C163" i="25"/>
  <c r="C187" i="25"/>
  <c r="C175" i="25"/>
  <c r="O292" i="25"/>
  <c r="O280" i="25"/>
  <c r="O268" i="25"/>
  <c r="M182" i="25"/>
  <c r="BM8" i="33" s="1"/>
  <c r="M158" i="25"/>
  <c r="M169" i="25"/>
  <c r="M183" i="25"/>
  <c r="BM9" i="33" s="1"/>
  <c r="M159" i="25"/>
  <c r="M180" i="25"/>
  <c r="BM6" i="33" s="1"/>
  <c r="M168" i="25"/>
  <c r="M157" i="25"/>
  <c r="M181" i="25"/>
  <c r="BM7" i="33" s="1"/>
  <c r="M171" i="25"/>
  <c r="M170" i="25"/>
  <c r="M156" i="25"/>
  <c r="AA280" i="25"/>
  <c r="P162" i="25"/>
  <c r="P186" i="25"/>
  <c r="P174" i="25"/>
  <c r="U160" i="25"/>
  <c r="U184" i="25"/>
  <c r="U172" i="25"/>
  <c r="M161" i="25"/>
  <c r="M173" i="25"/>
  <c r="M185" i="25"/>
  <c r="BM11" i="33" s="1"/>
  <c r="X173" i="25"/>
  <c r="X161" i="25"/>
  <c r="X185" i="25"/>
  <c r="N152" i="25"/>
  <c r="X77" i="25"/>
  <c r="X76" i="25"/>
  <c r="X52" i="25"/>
  <c r="X63" i="25"/>
  <c r="X62" i="25"/>
  <c r="X53" i="25"/>
  <c r="X50" i="25"/>
  <c r="X74" i="25"/>
  <c r="X64" i="25"/>
  <c r="X51" i="25"/>
  <c r="X75" i="25"/>
  <c r="X65" i="25"/>
  <c r="C53" i="25"/>
  <c r="C64" i="25"/>
  <c r="C76" i="25"/>
  <c r="C63" i="25"/>
  <c r="C50" i="25"/>
  <c r="C77" i="25"/>
  <c r="C51" i="25"/>
  <c r="C74" i="25"/>
  <c r="C75" i="25"/>
  <c r="C65" i="25"/>
  <c r="C62" i="25"/>
  <c r="C52" i="25"/>
  <c r="E77" i="25"/>
  <c r="E75" i="25"/>
  <c r="E51" i="25"/>
  <c r="E62" i="25"/>
  <c r="E63" i="25"/>
  <c r="E53" i="25"/>
  <c r="E50" i="25"/>
  <c r="E74" i="25"/>
  <c r="E64" i="25"/>
  <c r="E65" i="25"/>
  <c r="E52" i="25"/>
  <c r="E76" i="25"/>
  <c r="F79" i="25"/>
  <c r="F67" i="25"/>
  <c r="F55" i="25"/>
  <c r="B69" i="25"/>
  <c r="B81" i="25"/>
  <c r="E13" i="33" s="1"/>
  <c r="B57" i="25"/>
  <c r="Z81" i="25"/>
  <c r="Z69" i="25"/>
  <c r="Z57" i="25"/>
  <c r="C80" i="25"/>
  <c r="C56" i="25"/>
  <c r="C68" i="25"/>
  <c r="T404" i="25"/>
  <c r="T380" i="25"/>
  <c r="T392" i="25"/>
  <c r="X404" i="25"/>
  <c r="X380" i="25"/>
  <c r="X392" i="25"/>
  <c r="V401" i="25"/>
  <c r="V389" i="25"/>
  <c r="V377" i="25"/>
  <c r="AC404" i="25"/>
  <c r="DZ13" i="33" s="1"/>
  <c r="AC380" i="25"/>
  <c r="AC392" i="25"/>
  <c r="E385" i="25"/>
  <c r="E388" i="25"/>
  <c r="E386" i="25"/>
  <c r="E376" i="25"/>
  <c r="E400" i="25"/>
  <c r="E398" i="25"/>
  <c r="E375" i="25"/>
  <c r="E387" i="25"/>
  <c r="E374" i="25"/>
  <c r="E399" i="25"/>
  <c r="E397" i="25"/>
  <c r="E373" i="25"/>
  <c r="T390" i="25"/>
  <c r="T378" i="25"/>
  <c r="T402" i="25"/>
  <c r="Y402" i="25"/>
  <c r="Y390" i="25"/>
  <c r="Y378" i="25"/>
  <c r="AC390" i="25"/>
  <c r="AC402" i="25"/>
  <c r="DZ11" i="33" s="1"/>
  <c r="AC378" i="25"/>
  <c r="Z403" i="25"/>
  <c r="Z379" i="25"/>
  <c r="Z391" i="25"/>
  <c r="AC403" i="25"/>
  <c r="DZ12" i="33" s="1"/>
  <c r="AC391" i="25"/>
  <c r="AC379" i="25"/>
  <c r="X293" i="25"/>
  <c r="X281" i="25"/>
  <c r="X269" i="25"/>
  <c r="N293" i="25"/>
  <c r="N269" i="25"/>
  <c r="N281" i="25"/>
  <c r="B268" i="25"/>
  <c r="B292" i="25"/>
  <c r="O10" i="33" s="1"/>
  <c r="B280" i="25"/>
  <c r="E280" i="25"/>
  <c r="E292" i="25"/>
  <c r="E268" i="25"/>
  <c r="P292" i="25"/>
  <c r="P268" i="25"/>
  <c r="P280" i="25"/>
  <c r="J281" i="25"/>
  <c r="J269" i="25"/>
  <c r="J293" i="25"/>
  <c r="Z294" i="25"/>
  <c r="Z282" i="25"/>
  <c r="Z270" i="25"/>
  <c r="P294" i="25"/>
  <c r="P282" i="25"/>
  <c r="P270" i="25"/>
  <c r="W280" i="25"/>
  <c r="W268" i="25"/>
  <c r="W292" i="25"/>
  <c r="T171" i="25"/>
  <c r="T182" i="25"/>
  <c r="T158" i="25"/>
  <c r="T180" i="25"/>
  <c r="T156" i="25"/>
  <c r="T168" i="25"/>
  <c r="T157" i="25"/>
  <c r="T181" i="25"/>
  <c r="T170" i="25"/>
  <c r="T159" i="25"/>
  <c r="T169" i="25"/>
  <c r="T183" i="25"/>
  <c r="P289" i="25"/>
  <c r="P265" i="25"/>
  <c r="P276" i="25"/>
  <c r="P277" i="25"/>
  <c r="P290" i="25"/>
  <c r="P279" i="25"/>
  <c r="P278" i="25"/>
  <c r="P267" i="25"/>
  <c r="P288" i="25"/>
  <c r="P291" i="25"/>
  <c r="P264" i="25"/>
  <c r="P266" i="25"/>
  <c r="Z279" i="25"/>
  <c r="Z290" i="25"/>
  <c r="Z266" i="25"/>
  <c r="Z291" i="25"/>
  <c r="Z267" i="25"/>
  <c r="Z264" i="25"/>
  <c r="Z289" i="25"/>
  <c r="Z278" i="25"/>
  <c r="Z288" i="25"/>
  <c r="Z277" i="25"/>
  <c r="Z265" i="25"/>
  <c r="Z276" i="25"/>
  <c r="H160" i="25"/>
  <c r="H184" i="25"/>
  <c r="H172" i="25"/>
  <c r="AC295" i="25"/>
  <c r="DU13" i="33" s="1"/>
  <c r="AC283" i="25"/>
  <c r="AC271" i="25"/>
  <c r="P183" i="25"/>
  <c r="P159" i="25"/>
  <c r="P170" i="25"/>
  <c r="P168" i="25"/>
  <c r="P180" i="25"/>
  <c r="P169" i="25"/>
  <c r="P158" i="25"/>
  <c r="P157" i="25"/>
  <c r="P182" i="25"/>
  <c r="P171" i="25"/>
  <c r="P181" i="25"/>
  <c r="P156" i="25"/>
  <c r="K163" i="25"/>
  <c r="K187" i="25"/>
  <c r="K175" i="25"/>
  <c r="N187" i="25"/>
  <c r="N175" i="25"/>
  <c r="N163" i="25"/>
  <c r="E174" i="25"/>
  <c r="E186" i="25"/>
  <c r="E162" i="25"/>
  <c r="X186" i="25"/>
  <c r="X162" i="25"/>
  <c r="X174" i="25"/>
  <c r="AA162" i="25"/>
  <c r="AA186" i="25"/>
  <c r="AA174" i="25"/>
  <c r="T187" i="25"/>
  <c r="T163" i="25"/>
  <c r="T175" i="25"/>
  <c r="B66" i="25"/>
  <c r="B78" i="25"/>
  <c r="E10" i="33" s="1"/>
  <c r="B54" i="25"/>
  <c r="L78" i="25"/>
  <c r="L66" i="25"/>
  <c r="L54" i="25"/>
  <c r="G78" i="25"/>
  <c r="G54" i="25"/>
  <c r="G66" i="25"/>
  <c r="L186" i="25"/>
  <c r="I77" i="25"/>
  <c r="I63" i="25"/>
  <c r="I74" i="25"/>
  <c r="I50" i="25"/>
  <c r="I51" i="25"/>
  <c r="I75" i="25"/>
  <c r="I65" i="25"/>
  <c r="I62" i="25"/>
  <c r="I52" i="25"/>
  <c r="I53" i="25"/>
  <c r="I76" i="25"/>
  <c r="I64" i="25"/>
  <c r="K53" i="25"/>
  <c r="K64" i="25"/>
  <c r="K77" i="25"/>
  <c r="K75" i="25"/>
  <c r="K65" i="25"/>
  <c r="K62" i="25"/>
  <c r="K52" i="25"/>
  <c r="K76" i="25"/>
  <c r="K63" i="25"/>
  <c r="K50" i="25"/>
  <c r="K51" i="25"/>
  <c r="K74" i="25"/>
  <c r="M75" i="25"/>
  <c r="BH7" i="33" s="1"/>
  <c r="M51" i="25"/>
  <c r="M62" i="25"/>
  <c r="M76" i="25"/>
  <c r="BH8" i="33" s="1"/>
  <c r="M63" i="25"/>
  <c r="M53" i="25"/>
  <c r="M50" i="25"/>
  <c r="M74" i="25"/>
  <c r="BH6" i="33" s="1"/>
  <c r="M64" i="25"/>
  <c r="M77" i="25"/>
  <c r="BH9" i="33" s="1"/>
  <c r="M65" i="25"/>
  <c r="M52" i="25"/>
  <c r="P55" i="25"/>
  <c r="P67" i="25"/>
  <c r="P79" i="25"/>
  <c r="U79" i="25"/>
  <c r="U67" i="25"/>
  <c r="U55" i="25"/>
  <c r="O68" i="25"/>
  <c r="O80" i="25"/>
  <c r="O56" i="25"/>
  <c r="W80" i="25"/>
  <c r="W68" i="25"/>
  <c r="W56" i="25"/>
  <c r="F80" i="25"/>
  <c r="F68" i="25"/>
  <c r="F56" i="25"/>
  <c r="F404" i="25"/>
  <c r="F380" i="25"/>
  <c r="F392" i="25"/>
  <c r="R392" i="25"/>
  <c r="R404" i="25"/>
  <c r="R380" i="25"/>
  <c r="C392" i="25"/>
  <c r="C380" i="25"/>
  <c r="C404" i="25"/>
  <c r="G401" i="25"/>
  <c r="G389" i="25"/>
  <c r="G377" i="25"/>
  <c r="B392" i="25"/>
  <c r="B380" i="25"/>
  <c r="B404" i="25"/>
  <c r="T13" i="33" s="1"/>
  <c r="H389" i="25"/>
  <c r="H377" i="25"/>
  <c r="H401" i="25"/>
  <c r="X386" i="25"/>
  <c r="X397" i="25"/>
  <c r="X385" i="25"/>
  <c r="X399" i="25"/>
  <c r="X376" i="25"/>
  <c r="X375" i="25"/>
  <c r="X400" i="25"/>
  <c r="X374" i="25"/>
  <c r="X398" i="25"/>
  <c r="X373" i="25"/>
  <c r="X388" i="25"/>
  <c r="X387" i="25"/>
  <c r="L398" i="25"/>
  <c r="L385" i="25"/>
  <c r="L373" i="25"/>
  <c r="L399" i="25"/>
  <c r="L387" i="25"/>
  <c r="L386" i="25"/>
  <c r="L400" i="25"/>
  <c r="L376" i="25"/>
  <c r="L397" i="25"/>
  <c r="L388" i="25"/>
  <c r="L375" i="25"/>
  <c r="L374" i="25"/>
  <c r="H402" i="25"/>
  <c r="H378" i="25"/>
  <c r="H390" i="25"/>
  <c r="C390" i="25"/>
  <c r="C402" i="25"/>
  <c r="C378" i="25"/>
  <c r="B402" i="25"/>
  <c r="T11" i="33" s="1"/>
  <c r="B390" i="25"/>
  <c r="B378" i="25"/>
  <c r="B403" i="25"/>
  <c r="T12" i="33" s="1"/>
  <c r="B379" i="25"/>
  <c r="B391" i="25"/>
  <c r="P293" i="25"/>
  <c r="P281" i="25"/>
  <c r="P269" i="25"/>
  <c r="Y292" i="25"/>
  <c r="Y268" i="25"/>
  <c r="Y280" i="25"/>
  <c r="J292" i="25"/>
  <c r="J280" i="25"/>
  <c r="J268" i="25"/>
  <c r="M280" i="25"/>
  <c r="M292" i="25"/>
  <c r="BR10" i="33" s="1"/>
  <c r="M268" i="25"/>
  <c r="X292" i="25"/>
  <c r="X268" i="25"/>
  <c r="X280" i="25"/>
  <c r="S292" i="25"/>
  <c r="S280" i="25"/>
  <c r="S268" i="25"/>
  <c r="T293" i="25"/>
  <c r="T269" i="25"/>
  <c r="T281" i="25"/>
  <c r="C168" i="25"/>
  <c r="C171" i="25"/>
  <c r="C169" i="25"/>
  <c r="C158" i="25"/>
  <c r="C183" i="25"/>
  <c r="C182" i="25"/>
  <c r="C157" i="25"/>
  <c r="C156" i="25"/>
  <c r="C181" i="25"/>
  <c r="C159" i="25"/>
  <c r="C180" i="25"/>
  <c r="C170" i="25"/>
  <c r="B160" i="25"/>
  <c r="B184" i="25"/>
  <c r="J10" i="33" s="1"/>
  <c r="B172" i="25"/>
  <c r="X259" i="25"/>
  <c r="K168" i="25"/>
  <c r="K171" i="25"/>
  <c r="K169" i="25"/>
  <c r="K181" i="25"/>
  <c r="K170" i="25"/>
  <c r="K159" i="25"/>
  <c r="K180" i="25"/>
  <c r="K158" i="25"/>
  <c r="K183" i="25"/>
  <c r="K157" i="25"/>
  <c r="K156" i="25"/>
  <c r="K182" i="25"/>
  <c r="G180" i="25"/>
  <c r="G156" i="25"/>
  <c r="G183" i="25"/>
  <c r="G159" i="25"/>
  <c r="G181" i="25"/>
  <c r="G157" i="25"/>
  <c r="G182" i="25"/>
  <c r="G171" i="25"/>
  <c r="G170" i="25"/>
  <c r="G169" i="25"/>
  <c r="G158" i="25"/>
  <c r="G168" i="25"/>
  <c r="S168" i="25"/>
  <c r="S171" i="25"/>
  <c r="S169" i="25"/>
  <c r="S182" i="25"/>
  <c r="S157" i="25"/>
  <c r="S156" i="25"/>
  <c r="S181" i="25"/>
  <c r="S170" i="25"/>
  <c r="S159" i="25"/>
  <c r="S180" i="25"/>
  <c r="S183" i="25"/>
  <c r="S158" i="25"/>
  <c r="G172" i="25"/>
  <c r="G160" i="25"/>
  <c r="G184" i="25"/>
  <c r="X283" i="25"/>
  <c r="X295" i="25"/>
  <c r="X271" i="25"/>
  <c r="S163" i="25"/>
  <c r="S175" i="25"/>
  <c r="S187" i="25"/>
  <c r="O54" i="25"/>
  <c r="O78" i="25"/>
  <c r="O66" i="25"/>
  <c r="W78" i="25"/>
  <c r="W66" i="25"/>
  <c r="W54" i="25"/>
  <c r="L162" i="25"/>
  <c r="Q77" i="25"/>
  <c r="Q63" i="25"/>
  <c r="Q74" i="25"/>
  <c r="Q50" i="25"/>
  <c r="Q64" i="25"/>
  <c r="Q51" i="25"/>
  <c r="Q75" i="25"/>
  <c r="Q65" i="25"/>
  <c r="Q62" i="25"/>
  <c r="Q52" i="25"/>
  <c r="Q53" i="25"/>
  <c r="Q76" i="25"/>
  <c r="AB67" i="25"/>
  <c r="AB55" i="25"/>
  <c r="AB79" i="25"/>
  <c r="V57" i="25"/>
  <c r="V81" i="25"/>
  <c r="V69" i="25"/>
  <c r="R80" i="25"/>
  <c r="R68" i="25"/>
  <c r="R56" i="25"/>
  <c r="B80" i="25"/>
  <c r="E12" i="33" s="1"/>
  <c r="B56" i="25"/>
  <c r="B68" i="25"/>
  <c r="S389" i="25"/>
  <c r="S377" i="25"/>
  <c r="S401" i="25"/>
  <c r="E404" i="25"/>
  <c r="E380" i="25"/>
  <c r="E392" i="25"/>
  <c r="K392" i="25"/>
  <c r="K404" i="25"/>
  <c r="K380" i="25"/>
  <c r="M404" i="25"/>
  <c r="BW13" i="33" s="1"/>
  <c r="M380" i="25"/>
  <c r="M392" i="25"/>
  <c r="O401" i="25"/>
  <c r="O389" i="25"/>
  <c r="O377" i="25"/>
  <c r="J392" i="25"/>
  <c r="J404" i="25"/>
  <c r="J380" i="25"/>
  <c r="N404" i="25"/>
  <c r="N380" i="25"/>
  <c r="N392" i="25"/>
  <c r="T401" i="25"/>
  <c r="T389" i="25"/>
  <c r="T377" i="25"/>
  <c r="M385" i="25"/>
  <c r="M388" i="25"/>
  <c r="M398" i="25"/>
  <c r="BW7" i="33" s="1"/>
  <c r="M376" i="25"/>
  <c r="M386" i="25"/>
  <c r="M400" i="25"/>
  <c r="BW9" i="33" s="1"/>
  <c r="M399" i="25"/>
  <c r="BW8" i="33" s="1"/>
  <c r="M397" i="25"/>
  <c r="BW6" i="33" s="1"/>
  <c r="M375" i="25"/>
  <c r="M374" i="25"/>
  <c r="M373" i="25"/>
  <c r="M387" i="25"/>
  <c r="T398" i="25"/>
  <c r="T385" i="25"/>
  <c r="T397" i="25"/>
  <c r="T387" i="25"/>
  <c r="T373" i="25"/>
  <c r="T388" i="25"/>
  <c r="T376" i="25"/>
  <c r="T386" i="25"/>
  <c r="T374" i="25"/>
  <c r="T375" i="25"/>
  <c r="T400" i="25"/>
  <c r="T399" i="25"/>
  <c r="V378" i="25"/>
  <c r="V402" i="25"/>
  <c r="V390" i="25"/>
  <c r="O402" i="25"/>
  <c r="O378" i="25"/>
  <c r="O390" i="25"/>
  <c r="J378" i="25"/>
  <c r="J402" i="25"/>
  <c r="J390" i="25"/>
  <c r="O391" i="25"/>
  <c r="O403" i="25"/>
  <c r="O379" i="25"/>
  <c r="V391" i="25"/>
  <c r="V403" i="25"/>
  <c r="V379" i="25"/>
  <c r="L403" i="25"/>
  <c r="L391" i="25"/>
  <c r="L379" i="25"/>
  <c r="P403" i="25"/>
  <c r="P391" i="25"/>
  <c r="P379" i="25"/>
  <c r="H293" i="25"/>
  <c r="H281" i="25"/>
  <c r="H269" i="25"/>
  <c r="C292" i="25"/>
  <c r="C280" i="25"/>
  <c r="C268" i="25"/>
  <c r="R268" i="25"/>
  <c r="R292" i="25"/>
  <c r="R280" i="25"/>
  <c r="U280" i="25"/>
  <c r="U292" i="25"/>
  <c r="U268" i="25"/>
  <c r="AB293" i="25"/>
  <c r="AB269" i="25"/>
  <c r="AB281" i="25"/>
  <c r="I292" i="25"/>
  <c r="I268" i="25"/>
  <c r="I280" i="25"/>
  <c r="R293" i="25"/>
  <c r="R281" i="25"/>
  <c r="R269" i="25"/>
  <c r="E294" i="25"/>
  <c r="E270" i="25"/>
  <c r="E282" i="25"/>
  <c r="L294" i="25"/>
  <c r="L282" i="25"/>
  <c r="L270" i="25"/>
  <c r="M282" i="25"/>
  <c r="M270" i="25"/>
  <c r="M294" i="25"/>
  <c r="BR12" i="33" s="1"/>
  <c r="Q187" i="25"/>
  <c r="Q163" i="25"/>
  <c r="Q175" i="25"/>
  <c r="J160" i="25"/>
  <c r="J184" i="25"/>
  <c r="J172" i="25"/>
  <c r="M259" i="25"/>
  <c r="AB187" i="25"/>
  <c r="AB163" i="25"/>
  <c r="AB175" i="25"/>
  <c r="B181" i="25"/>
  <c r="J7" i="33" s="1"/>
  <c r="B157" i="25"/>
  <c r="B168" i="25"/>
  <c r="B182" i="25"/>
  <c r="J8" i="33" s="1"/>
  <c r="B158" i="25"/>
  <c r="B180" i="25"/>
  <c r="J6" i="33" s="1"/>
  <c r="B169" i="25"/>
  <c r="B183" i="25"/>
  <c r="J9" i="33" s="1"/>
  <c r="B171" i="25"/>
  <c r="B156" i="25"/>
  <c r="B159" i="25"/>
  <c r="B170" i="25"/>
  <c r="O180" i="25"/>
  <c r="O156" i="25"/>
  <c r="O183" i="25"/>
  <c r="O159" i="25"/>
  <c r="O181" i="25"/>
  <c r="O157" i="25"/>
  <c r="O169" i="25"/>
  <c r="O158" i="25"/>
  <c r="O168" i="25"/>
  <c r="O182" i="25"/>
  <c r="O171" i="25"/>
  <c r="O170" i="25"/>
  <c r="X289" i="25"/>
  <c r="X265" i="25"/>
  <c r="X276" i="25"/>
  <c r="X277" i="25"/>
  <c r="X266" i="25"/>
  <c r="X291" i="25"/>
  <c r="X290" i="25"/>
  <c r="X279" i="25"/>
  <c r="X264" i="25"/>
  <c r="X278" i="25"/>
  <c r="X267" i="25"/>
  <c r="X288" i="25"/>
  <c r="K290" i="25"/>
  <c r="K266" i="25"/>
  <c r="K277" i="25"/>
  <c r="K278" i="25"/>
  <c r="K291" i="25"/>
  <c r="K276" i="25"/>
  <c r="K265" i="25"/>
  <c r="K279" i="25"/>
  <c r="K264" i="25"/>
  <c r="K289" i="25"/>
  <c r="K267" i="25"/>
  <c r="K288" i="25"/>
  <c r="J181" i="25"/>
  <c r="J157" i="25"/>
  <c r="J168" i="25"/>
  <c r="J182" i="25"/>
  <c r="J158" i="25"/>
  <c r="J156" i="25"/>
  <c r="J170" i="25"/>
  <c r="J159" i="25"/>
  <c r="J180" i="25"/>
  <c r="J169" i="25"/>
  <c r="J183" i="25"/>
  <c r="J171" i="25"/>
  <c r="AA168" i="25"/>
  <c r="AA171" i="25"/>
  <c r="AA169" i="25"/>
  <c r="AA180" i="25"/>
  <c r="AA158" i="25"/>
  <c r="AA183" i="25"/>
  <c r="AA182" i="25"/>
  <c r="AA157" i="25"/>
  <c r="AA156" i="25"/>
  <c r="AA170" i="25"/>
  <c r="AA181" i="25"/>
  <c r="AA159" i="25"/>
  <c r="N291" i="25"/>
  <c r="N267" i="25"/>
  <c r="N278" i="25"/>
  <c r="N279" i="25"/>
  <c r="N276" i="25"/>
  <c r="N265" i="25"/>
  <c r="N290" i="25"/>
  <c r="N289" i="25"/>
  <c r="N264" i="25"/>
  <c r="N288" i="25"/>
  <c r="N277" i="25"/>
  <c r="N266" i="25"/>
  <c r="X160" i="25"/>
  <c r="X184" i="25"/>
  <c r="X172" i="25"/>
  <c r="W175" i="25"/>
  <c r="W163" i="25"/>
  <c r="W187" i="25"/>
  <c r="AA187" i="25"/>
  <c r="AA163" i="25"/>
  <c r="AA175" i="25"/>
  <c r="Y186" i="25"/>
  <c r="Y162" i="25"/>
  <c r="Y174" i="25"/>
  <c r="J186" i="25"/>
  <c r="J174" i="25"/>
  <c r="J162" i="25"/>
  <c r="J173" i="25"/>
  <c r="J185" i="25"/>
  <c r="J161" i="25"/>
  <c r="X182" i="25"/>
  <c r="X170" i="25"/>
  <c r="S78" i="25"/>
  <c r="S66" i="25"/>
  <c r="S54" i="25"/>
  <c r="E54" i="25"/>
  <c r="E78" i="25"/>
  <c r="E66" i="25"/>
  <c r="Z66" i="25"/>
  <c r="Z54" i="25"/>
  <c r="Z78" i="25"/>
  <c r="P54" i="25"/>
  <c r="P78" i="25"/>
  <c r="P66" i="25"/>
  <c r="G65" i="25"/>
  <c r="G76" i="25"/>
  <c r="G52" i="25"/>
  <c r="G74" i="25"/>
  <c r="G64" i="25"/>
  <c r="G77" i="25"/>
  <c r="G51" i="25"/>
  <c r="G75" i="25"/>
  <c r="G62" i="25"/>
  <c r="G63" i="25"/>
  <c r="G53" i="25"/>
  <c r="G50" i="25"/>
  <c r="Y77" i="25"/>
  <c r="Y63" i="25"/>
  <c r="Y74" i="25"/>
  <c r="Y50" i="25"/>
  <c r="Y53" i="25"/>
  <c r="Y76" i="25"/>
  <c r="Y64" i="25"/>
  <c r="Y51" i="25"/>
  <c r="Y75" i="25"/>
  <c r="Y65" i="25"/>
  <c r="Y62" i="25"/>
  <c r="Y52" i="25"/>
  <c r="AA77" i="25"/>
  <c r="AA53" i="25"/>
  <c r="AA64" i="25"/>
  <c r="AA63" i="25"/>
  <c r="AA50" i="25"/>
  <c r="AA51" i="25"/>
  <c r="AA74" i="25"/>
  <c r="AA75" i="25"/>
  <c r="AA65" i="25"/>
  <c r="AA62" i="25"/>
  <c r="AA52" i="25"/>
  <c r="AA76" i="25"/>
  <c r="AC76" i="25"/>
  <c r="DK8" i="33" s="1"/>
  <c r="AC75" i="25"/>
  <c r="DK7" i="33" s="1"/>
  <c r="AC51" i="25"/>
  <c r="AC62" i="25"/>
  <c r="AC74" i="25"/>
  <c r="DK6" i="33" s="1"/>
  <c r="AC64" i="25"/>
  <c r="AC65" i="25"/>
  <c r="AC52" i="25"/>
  <c r="AC77" i="25"/>
  <c r="DK9" i="33" s="1"/>
  <c r="AC63" i="25"/>
  <c r="AC53" i="25"/>
  <c r="AC50" i="25"/>
  <c r="J79" i="25"/>
  <c r="J55" i="25"/>
  <c r="J67" i="25"/>
  <c r="E81" i="25"/>
  <c r="E57" i="25"/>
  <c r="E69" i="25"/>
  <c r="AC81" i="25"/>
  <c r="DK13" i="33" s="1"/>
  <c r="AC69" i="25"/>
  <c r="AC57" i="25"/>
  <c r="C69" i="25"/>
  <c r="C81" i="25"/>
  <c r="C57" i="25"/>
  <c r="L56" i="25"/>
  <c r="L80" i="25"/>
  <c r="L68" i="25"/>
  <c r="V80" i="25"/>
  <c r="V56" i="25"/>
  <c r="V68" i="25"/>
  <c r="E401" i="25"/>
  <c r="E377" i="25"/>
  <c r="E389" i="25"/>
  <c r="AC401" i="25"/>
  <c r="DZ10" i="33" s="1"/>
  <c r="AC389" i="25"/>
  <c r="AC377" i="25"/>
  <c r="G380" i="25"/>
  <c r="G404" i="25"/>
  <c r="G392" i="25"/>
  <c r="S404" i="25"/>
  <c r="S392" i="25"/>
  <c r="S380" i="25"/>
  <c r="Y389" i="25"/>
  <c r="Y401" i="25"/>
  <c r="Y377" i="25"/>
  <c r="W377" i="25"/>
  <c r="W401" i="25"/>
  <c r="W389" i="25"/>
  <c r="Z400" i="25"/>
  <c r="Z387" i="25"/>
  <c r="Z399" i="25"/>
  <c r="Z375" i="25"/>
  <c r="Z386" i="25"/>
  <c r="Z374" i="25"/>
  <c r="Z398" i="25"/>
  <c r="Z373" i="25"/>
  <c r="Z397" i="25"/>
  <c r="Z385" i="25"/>
  <c r="Z388" i="25"/>
  <c r="Z376" i="25"/>
  <c r="V404" i="25"/>
  <c r="V380" i="25"/>
  <c r="V392" i="25"/>
  <c r="Y397" i="25"/>
  <c r="Y400" i="25"/>
  <c r="Y376" i="25"/>
  <c r="Y375" i="25"/>
  <c r="Y386" i="25"/>
  <c r="Y374" i="25"/>
  <c r="Y399" i="25"/>
  <c r="Y398" i="25"/>
  <c r="Y373" i="25"/>
  <c r="Y385" i="25"/>
  <c r="Y388" i="25"/>
  <c r="Y387" i="25"/>
  <c r="AB398" i="25"/>
  <c r="AB385" i="25"/>
  <c r="AB373" i="25"/>
  <c r="AB397" i="25"/>
  <c r="AB386" i="25"/>
  <c r="AB374" i="25"/>
  <c r="AB400" i="25"/>
  <c r="AB399" i="25"/>
  <c r="AB388" i="25"/>
  <c r="AB387" i="25"/>
  <c r="AB376" i="25"/>
  <c r="AB375" i="25"/>
  <c r="K390" i="25"/>
  <c r="K378" i="25"/>
  <c r="K402" i="25"/>
  <c r="AB390" i="25"/>
  <c r="AB402" i="25"/>
  <c r="AB378" i="25"/>
  <c r="R390" i="25"/>
  <c r="R378" i="25"/>
  <c r="R402" i="25"/>
  <c r="C403" i="25"/>
  <c r="C379" i="25"/>
  <c r="C391" i="25"/>
  <c r="J403" i="25"/>
  <c r="J379" i="25"/>
  <c r="J391" i="25"/>
  <c r="T391" i="25"/>
  <c r="T379" i="25"/>
  <c r="T403" i="25"/>
  <c r="X379" i="25"/>
  <c r="X403" i="25"/>
  <c r="X391" i="25"/>
  <c r="Q293" i="25"/>
  <c r="Q281" i="25"/>
  <c r="Q269" i="25"/>
  <c r="Z280" i="25"/>
  <c r="Z268" i="25"/>
  <c r="Z292" i="25"/>
  <c r="AC280" i="25"/>
  <c r="AC292" i="25"/>
  <c r="DU10" i="33" s="1"/>
  <c r="AC268" i="25"/>
  <c r="F293" i="25"/>
  <c r="F281" i="25"/>
  <c r="F269" i="25"/>
  <c r="G294" i="25"/>
  <c r="G270" i="25"/>
  <c r="G282" i="25"/>
  <c r="W294" i="25"/>
  <c r="W270" i="25"/>
  <c r="W282" i="25"/>
  <c r="U294" i="25"/>
  <c r="U270" i="25"/>
  <c r="U282" i="25"/>
  <c r="D187" i="25"/>
  <c r="D163" i="25"/>
  <c r="D175" i="25"/>
  <c r="R160" i="25"/>
  <c r="R172" i="25"/>
  <c r="R184" i="25"/>
  <c r="U259" i="25"/>
  <c r="P175" i="25"/>
  <c r="P187" i="25"/>
  <c r="P163" i="25"/>
  <c r="W180" i="25"/>
  <c r="W156" i="25"/>
  <c r="W183" i="25"/>
  <c r="W159" i="25"/>
  <c r="W181" i="25"/>
  <c r="W157" i="25"/>
  <c r="W170" i="25"/>
  <c r="W169" i="25"/>
  <c r="W158" i="25"/>
  <c r="W168" i="25"/>
  <c r="W171" i="25"/>
  <c r="W182" i="25"/>
  <c r="F291" i="25"/>
  <c r="F267" i="25"/>
  <c r="F278" i="25"/>
  <c r="F279" i="25"/>
  <c r="F289" i="25"/>
  <c r="F264" i="25"/>
  <c r="F288" i="25"/>
  <c r="F277" i="25"/>
  <c r="F266" i="25"/>
  <c r="F276" i="25"/>
  <c r="F290" i="25"/>
  <c r="F265" i="25"/>
  <c r="Q276" i="25"/>
  <c r="Q279" i="25"/>
  <c r="Q288" i="25"/>
  <c r="Q264" i="25"/>
  <c r="Q289" i="25"/>
  <c r="Q278" i="25"/>
  <c r="Q267" i="25"/>
  <c r="Q277" i="25"/>
  <c r="Q266" i="25"/>
  <c r="Q291" i="25"/>
  <c r="Q290" i="25"/>
  <c r="Q265" i="25"/>
  <c r="I186" i="25"/>
  <c r="I162" i="25"/>
  <c r="I174" i="25"/>
  <c r="R181" i="25"/>
  <c r="R157" i="25"/>
  <c r="R168" i="25"/>
  <c r="R182" i="25"/>
  <c r="R158" i="25"/>
  <c r="R183" i="25"/>
  <c r="R171" i="25"/>
  <c r="R156" i="25"/>
  <c r="R170" i="25"/>
  <c r="R159" i="25"/>
  <c r="R180" i="25"/>
  <c r="R169" i="25"/>
  <c r="O172" i="25"/>
  <c r="O184" i="25"/>
  <c r="O160" i="25"/>
  <c r="V295" i="25"/>
  <c r="V283" i="25"/>
  <c r="V271" i="25"/>
  <c r="Q271" i="25"/>
  <c r="Q283" i="25"/>
  <c r="Q295" i="25"/>
  <c r="L295" i="25"/>
  <c r="L283" i="25"/>
  <c r="L271" i="25"/>
  <c r="E187" i="25"/>
  <c r="E175" i="25"/>
  <c r="E163" i="25"/>
  <c r="T174" i="25"/>
  <c r="T186" i="25"/>
  <c r="T162" i="25"/>
  <c r="R186" i="25"/>
  <c r="R174" i="25"/>
  <c r="R162" i="25"/>
  <c r="V169" i="25"/>
  <c r="V180" i="25"/>
  <c r="V156" i="25"/>
  <c r="V170" i="25"/>
  <c r="V182" i="25"/>
  <c r="V171" i="25"/>
  <c r="V181" i="25"/>
  <c r="V159" i="25"/>
  <c r="V183" i="25"/>
  <c r="V158" i="25"/>
  <c r="V157" i="25"/>
  <c r="V168" i="25"/>
  <c r="AB185" i="25"/>
  <c r="AB173" i="25"/>
  <c r="AB161" i="25"/>
  <c r="V185" i="25"/>
  <c r="V161" i="25"/>
  <c r="V173" i="25"/>
  <c r="X171" i="25"/>
  <c r="X159" i="25"/>
  <c r="AC78" i="25"/>
  <c r="DK10" i="33" s="1"/>
  <c r="AC54" i="25"/>
  <c r="AC66" i="25"/>
  <c r="M54" i="25"/>
  <c r="M66" i="25"/>
  <c r="M78" i="25"/>
  <c r="BH10" i="33" s="1"/>
  <c r="H78" i="25"/>
  <c r="H54" i="25"/>
  <c r="H66" i="25"/>
  <c r="X78" i="25"/>
  <c r="X66" i="25"/>
  <c r="X54" i="25"/>
  <c r="O77" i="25"/>
  <c r="O65" i="25"/>
  <c r="O76" i="25"/>
  <c r="O52" i="25"/>
  <c r="O63" i="25"/>
  <c r="O53" i="25"/>
  <c r="O50" i="25"/>
  <c r="O74" i="25"/>
  <c r="O64" i="25"/>
  <c r="O51" i="25"/>
  <c r="O75" i="25"/>
  <c r="O62" i="25"/>
  <c r="B74" i="25"/>
  <c r="E6" i="33" s="1"/>
  <c r="B50" i="25"/>
  <c r="B53" i="25"/>
  <c r="B62" i="25"/>
  <c r="B52" i="25"/>
  <c r="B76" i="25"/>
  <c r="E8" i="33" s="1"/>
  <c r="B63" i="25"/>
  <c r="B64" i="25"/>
  <c r="B77" i="25"/>
  <c r="E9" i="33" s="1"/>
  <c r="B51" i="25"/>
  <c r="B75" i="25"/>
  <c r="E7" i="33" s="1"/>
  <c r="B65" i="25"/>
  <c r="D64" i="25"/>
  <c r="D77" i="25"/>
  <c r="D75" i="25"/>
  <c r="D51" i="25"/>
  <c r="D76" i="25"/>
  <c r="D63" i="25"/>
  <c r="D53" i="25"/>
  <c r="D50" i="25"/>
  <c r="D74" i="25"/>
  <c r="D65" i="25"/>
  <c r="D62" i="25"/>
  <c r="D52" i="25"/>
  <c r="F62" i="25"/>
  <c r="F65" i="25"/>
  <c r="F50" i="25"/>
  <c r="F74" i="25"/>
  <c r="F64" i="25"/>
  <c r="F77" i="25"/>
  <c r="F51" i="25"/>
  <c r="F52" i="25"/>
  <c r="F75" i="25"/>
  <c r="F76" i="25"/>
  <c r="F63" i="25"/>
  <c r="F53" i="25"/>
  <c r="X55" i="25"/>
  <c r="X79" i="25"/>
  <c r="X67" i="25"/>
  <c r="Q55" i="25"/>
  <c r="Q67" i="25"/>
  <c r="Q79" i="25"/>
  <c r="R79" i="25"/>
  <c r="R55" i="25"/>
  <c r="R67" i="25"/>
  <c r="N45" i="25"/>
  <c r="J69" i="25"/>
  <c r="J57" i="25"/>
  <c r="J81" i="25"/>
  <c r="M81" i="25"/>
  <c r="BH13" i="33" s="1"/>
  <c r="M69" i="25"/>
  <c r="M57" i="25"/>
  <c r="I81" i="25"/>
  <c r="I69" i="25"/>
  <c r="I57" i="25"/>
  <c r="Q389" i="25"/>
  <c r="Q401" i="25"/>
  <c r="Q377" i="25"/>
  <c r="O404" i="25"/>
  <c r="O380" i="25"/>
  <c r="O392" i="25"/>
  <c r="AA380" i="25"/>
  <c r="AA404" i="25"/>
  <c r="AA392" i="25"/>
  <c r="L401" i="25"/>
  <c r="L389" i="25"/>
  <c r="L377" i="25"/>
  <c r="B389" i="25"/>
  <c r="B401" i="25"/>
  <c r="T10" i="33" s="1"/>
  <c r="B377" i="25"/>
  <c r="M401" i="25"/>
  <c r="BW10" i="33" s="1"/>
  <c r="M377" i="25"/>
  <c r="M389" i="25"/>
  <c r="U401" i="25"/>
  <c r="U377" i="25"/>
  <c r="U389" i="25"/>
  <c r="H386" i="25"/>
  <c r="H397" i="25"/>
  <c r="H387" i="25"/>
  <c r="H385" i="25"/>
  <c r="H375" i="25"/>
  <c r="H374" i="25"/>
  <c r="H373" i="25"/>
  <c r="H400" i="25"/>
  <c r="H398" i="25"/>
  <c r="H388" i="25"/>
  <c r="H399" i="25"/>
  <c r="H376" i="25"/>
  <c r="C387" i="25"/>
  <c r="C398" i="25"/>
  <c r="C400" i="25"/>
  <c r="C399" i="25"/>
  <c r="C386" i="25"/>
  <c r="C397" i="25"/>
  <c r="C388" i="25"/>
  <c r="C385" i="25"/>
  <c r="C376" i="25"/>
  <c r="C375" i="25"/>
  <c r="C374" i="25"/>
  <c r="C373" i="25"/>
  <c r="G399" i="25"/>
  <c r="G386" i="25"/>
  <c r="G400" i="25"/>
  <c r="G374" i="25"/>
  <c r="G388" i="25"/>
  <c r="G376" i="25"/>
  <c r="G385" i="25"/>
  <c r="G375" i="25"/>
  <c r="G387" i="25"/>
  <c r="G373" i="25"/>
  <c r="G398" i="25"/>
  <c r="G397" i="25"/>
  <c r="L404" i="25"/>
  <c r="L380" i="25"/>
  <c r="L392" i="25"/>
  <c r="S390" i="25"/>
  <c r="S378" i="25"/>
  <c r="S402" i="25"/>
  <c r="W402" i="25"/>
  <c r="W378" i="25"/>
  <c r="W390" i="25"/>
  <c r="D390" i="25"/>
  <c r="D378" i="25"/>
  <c r="D402" i="25"/>
  <c r="Z378" i="25"/>
  <c r="Z402" i="25"/>
  <c r="Z390" i="25"/>
  <c r="Q391" i="25"/>
  <c r="Q379" i="25"/>
  <c r="Q403" i="25"/>
  <c r="W391" i="25"/>
  <c r="W403" i="25"/>
  <c r="W379" i="25"/>
  <c r="AB403" i="25"/>
  <c r="AB391" i="25"/>
  <c r="AB379" i="25"/>
  <c r="K401" i="25"/>
  <c r="K377" i="25"/>
  <c r="K389" i="25"/>
  <c r="I293" i="25"/>
  <c r="I269" i="25"/>
  <c r="I281" i="25"/>
  <c r="AA403" i="25"/>
  <c r="AA379" i="25"/>
  <c r="AA391" i="25"/>
  <c r="C293" i="25"/>
  <c r="C269" i="25"/>
  <c r="C281" i="25"/>
  <c r="D280" i="25"/>
  <c r="D268" i="25"/>
  <c r="D292" i="25"/>
  <c r="F292" i="25"/>
  <c r="F280" i="25"/>
  <c r="F268" i="25"/>
  <c r="Q292" i="25"/>
  <c r="Q268" i="25"/>
  <c r="Q280" i="25"/>
  <c r="H294" i="25"/>
  <c r="H270" i="25"/>
  <c r="H282" i="25"/>
  <c r="D282" i="25"/>
  <c r="D294" i="25"/>
  <c r="D270" i="25"/>
  <c r="AC294" i="25"/>
  <c r="DU12" i="33" s="1"/>
  <c r="AC282" i="25"/>
  <c r="AC270" i="25"/>
  <c r="AC184" i="25"/>
  <c r="DP10" i="33" s="1"/>
  <c r="AC172" i="25"/>
  <c r="AC160" i="25"/>
  <c r="Z160" i="25"/>
  <c r="Z184" i="25"/>
  <c r="Z172" i="25"/>
  <c r="B187" i="25"/>
  <c r="J13" i="33" s="1"/>
  <c r="B175" i="25"/>
  <c r="B163" i="25"/>
  <c r="AB277" i="25"/>
  <c r="AB288" i="25"/>
  <c r="AB264" i="25"/>
  <c r="AB289" i="25"/>
  <c r="AB265" i="25"/>
  <c r="AB290" i="25"/>
  <c r="AB278" i="25"/>
  <c r="AB267" i="25"/>
  <c r="AB291" i="25"/>
  <c r="AB266" i="25"/>
  <c r="AB279" i="25"/>
  <c r="AB276" i="25"/>
  <c r="Y276" i="25"/>
  <c r="Y279" i="25"/>
  <c r="Y288" i="25"/>
  <c r="Y264" i="25"/>
  <c r="Y291" i="25"/>
  <c r="Y290" i="25"/>
  <c r="Y265" i="25"/>
  <c r="Y289" i="25"/>
  <c r="Y278" i="25"/>
  <c r="Y266" i="25"/>
  <c r="Y267" i="25"/>
  <c r="Y277" i="25"/>
  <c r="AA290" i="25"/>
  <c r="AA266" i="25"/>
  <c r="AA277" i="25"/>
  <c r="AA278" i="25"/>
  <c r="AA276" i="25"/>
  <c r="AA265" i="25"/>
  <c r="AA279" i="25"/>
  <c r="AA264" i="25"/>
  <c r="AA289" i="25"/>
  <c r="AA267" i="25"/>
  <c r="AA288" i="25"/>
  <c r="AA291" i="25"/>
  <c r="Z187" i="25"/>
  <c r="Z175" i="25"/>
  <c r="Z163" i="25"/>
  <c r="J282" i="25"/>
  <c r="J294" i="25"/>
  <c r="J270" i="25"/>
  <c r="I170" i="25"/>
  <c r="I181" i="25"/>
  <c r="I157" i="25"/>
  <c r="I171" i="25"/>
  <c r="I156" i="25"/>
  <c r="I159" i="25"/>
  <c r="I180" i="25"/>
  <c r="I169" i="25"/>
  <c r="I158" i="25"/>
  <c r="I183" i="25"/>
  <c r="I168" i="25"/>
  <c r="I182" i="25"/>
  <c r="F172" i="25"/>
  <c r="F160" i="25"/>
  <c r="F184" i="25"/>
  <c r="T295" i="25"/>
  <c r="T271" i="25"/>
  <c r="T283" i="25"/>
  <c r="W184" i="25"/>
  <c r="W172" i="25"/>
  <c r="W160" i="25"/>
  <c r="M187" i="25"/>
  <c r="BM13" i="33" s="1"/>
  <c r="M175" i="25"/>
  <c r="M163" i="25"/>
  <c r="AB174" i="25"/>
  <c r="AB162" i="25"/>
  <c r="AB186" i="25"/>
  <c r="G174" i="25"/>
  <c r="G162" i="25"/>
  <c r="G186" i="25"/>
  <c r="Z186" i="25"/>
  <c r="Z174" i="25"/>
  <c r="Z162" i="25"/>
  <c r="N185" i="25"/>
  <c r="N161" i="25"/>
  <c r="N173" i="25"/>
  <c r="W185" i="25"/>
  <c r="W173" i="25"/>
  <c r="W161" i="25"/>
  <c r="D184" i="25"/>
  <c r="D172" i="25"/>
  <c r="D160" i="25"/>
  <c r="X158" i="25"/>
  <c r="C78" i="25"/>
  <c r="C66" i="25"/>
  <c r="C54" i="25"/>
  <c r="V54" i="25"/>
  <c r="V78" i="25"/>
  <c r="V66" i="25"/>
  <c r="Q78" i="25"/>
  <c r="Q66" i="25"/>
  <c r="Q54" i="25"/>
  <c r="W65" i="25"/>
  <c r="W76" i="25"/>
  <c r="W52" i="25"/>
  <c r="W77" i="25"/>
  <c r="W75" i="25"/>
  <c r="W62" i="25"/>
  <c r="W63" i="25"/>
  <c r="W53" i="25"/>
  <c r="W50" i="25"/>
  <c r="W74" i="25"/>
  <c r="W64" i="25"/>
  <c r="W51" i="25"/>
  <c r="J74" i="25"/>
  <c r="J50" i="25"/>
  <c r="J53" i="25"/>
  <c r="J77" i="25"/>
  <c r="J75" i="25"/>
  <c r="J65" i="25"/>
  <c r="J62" i="25"/>
  <c r="J52" i="25"/>
  <c r="J76" i="25"/>
  <c r="J63" i="25"/>
  <c r="J64" i="25"/>
  <c r="J51" i="25"/>
  <c r="L64" i="25"/>
  <c r="L75" i="25"/>
  <c r="L51" i="25"/>
  <c r="L62" i="25"/>
  <c r="L52" i="25"/>
  <c r="L76" i="25"/>
  <c r="L63" i="25"/>
  <c r="L53" i="25"/>
  <c r="L50" i="25"/>
  <c r="L74" i="25"/>
  <c r="L77" i="25"/>
  <c r="L65" i="25"/>
  <c r="N62" i="25"/>
  <c r="N77" i="25"/>
  <c r="N65" i="25"/>
  <c r="N76" i="25"/>
  <c r="N63" i="25"/>
  <c r="N53" i="25"/>
  <c r="N50" i="25"/>
  <c r="N74" i="25"/>
  <c r="N64" i="25"/>
  <c r="N51" i="25"/>
  <c r="N52" i="25"/>
  <c r="N75" i="25"/>
  <c r="E67" i="25"/>
  <c r="E79" i="25"/>
  <c r="E55" i="25"/>
  <c r="AC67" i="25"/>
  <c r="AC55" i="25"/>
  <c r="AC79" i="25"/>
  <c r="DK11" i="33" s="1"/>
  <c r="Z67" i="25"/>
  <c r="Z55" i="25"/>
  <c r="Z79" i="25"/>
  <c r="P46" i="25"/>
  <c r="T81" i="25"/>
  <c r="T69" i="25"/>
  <c r="T57" i="25"/>
  <c r="Q81" i="25"/>
  <c r="Q57" i="25"/>
  <c r="Q69" i="25"/>
  <c r="Z80" i="25"/>
  <c r="Z68" i="25"/>
  <c r="Z56" i="25"/>
  <c r="S56" i="25"/>
  <c r="S68" i="25"/>
  <c r="S80" i="25"/>
  <c r="E80" i="25"/>
  <c r="E68" i="25"/>
  <c r="E56" i="25"/>
  <c r="D401" i="25"/>
  <c r="D389" i="25"/>
  <c r="D377" i="25"/>
  <c r="W392" i="25"/>
  <c r="W404" i="25"/>
  <c r="W380" i="25"/>
  <c r="AA401" i="25"/>
  <c r="AA389" i="25"/>
  <c r="AA377" i="25"/>
  <c r="U385" i="25"/>
  <c r="U388" i="25"/>
  <c r="U376" i="25"/>
  <c r="U398" i="25"/>
  <c r="U373" i="25"/>
  <c r="U387" i="25"/>
  <c r="U386" i="25"/>
  <c r="U399" i="25"/>
  <c r="U375" i="25"/>
  <c r="U400" i="25"/>
  <c r="U397" i="25"/>
  <c r="U374" i="25"/>
  <c r="L390" i="25"/>
  <c r="L378" i="25"/>
  <c r="L402" i="25"/>
  <c r="P402" i="25"/>
  <c r="P378" i="25"/>
  <c r="P390" i="25"/>
  <c r="F391" i="25"/>
  <c r="F403" i="25"/>
  <c r="F379" i="25"/>
  <c r="E379" i="25"/>
  <c r="E391" i="25"/>
  <c r="E403" i="25"/>
  <c r="K269" i="25"/>
  <c r="K293" i="25"/>
  <c r="K281" i="25"/>
  <c r="L280" i="25"/>
  <c r="L268" i="25"/>
  <c r="L292" i="25"/>
  <c r="N280" i="25"/>
  <c r="N268" i="25"/>
  <c r="N292" i="25"/>
  <c r="T282" i="25"/>
  <c r="T270" i="25"/>
  <c r="T294" i="25"/>
  <c r="S294" i="25"/>
  <c r="S282" i="25"/>
  <c r="S270" i="25"/>
  <c r="T184" i="25"/>
  <c r="T172" i="25"/>
  <c r="T160" i="25"/>
  <c r="N169" i="25"/>
  <c r="N180" i="25"/>
  <c r="N156" i="25"/>
  <c r="N170" i="25"/>
  <c r="N183" i="25"/>
  <c r="N158" i="25"/>
  <c r="N168" i="25"/>
  <c r="N157" i="25"/>
  <c r="N182" i="25"/>
  <c r="N171" i="25"/>
  <c r="N159" i="25"/>
  <c r="N181" i="25"/>
  <c r="S184" i="25"/>
  <c r="S160" i="25"/>
  <c r="S172" i="25"/>
  <c r="B279" i="25"/>
  <c r="B290" i="25"/>
  <c r="O8" i="33" s="1"/>
  <c r="B266" i="25"/>
  <c r="B291" i="25"/>
  <c r="O9" i="33" s="1"/>
  <c r="B267" i="25"/>
  <c r="B276" i="25"/>
  <c r="B265" i="25"/>
  <c r="B264" i="25"/>
  <c r="B289" i="25"/>
  <c r="O7" i="33" s="1"/>
  <c r="B278" i="25"/>
  <c r="B288" i="25"/>
  <c r="O6" i="33" s="1"/>
  <c r="B277" i="25"/>
  <c r="E288" i="25"/>
  <c r="E264" i="25"/>
  <c r="E291" i="25"/>
  <c r="E267" i="25"/>
  <c r="E276" i="25"/>
  <c r="E289" i="25"/>
  <c r="E277" i="25"/>
  <c r="E266" i="25"/>
  <c r="E265" i="25"/>
  <c r="E290" i="25"/>
  <c r="E278" i="25"/>
  <c r="E279" i="25"/>
  <c r="O175" i="25"/>
  <c r="O187" i="25"/>
  <c r="O163" i="25"/>
  <c r="R282" i="25"/>
  <c r="R270" i="25"/>
  <c r="R294" i="25"/>
  <c r="Z181" i="25"/>
  <c r="Z157" i="25"/>
  <c r="Z168" i="25"/>
  <c r="Z182" i="25"/>
  <c r="Z158" i="25"/>
  <c r="Z170" i="25"/>
  <c r="Z159" i="25"/>
  <c r="Z180" i="25"/>
  <c r="Z169" i="25"/>
  <c r="Z183" i="25"/>
  <c r="Z171" i="25"/>
  <c r="Z156" i="25"/>
  <c r="I295" i="25"/>
  <c r="I271" i="25"/>
  <c r="I283" i="25"/>
  <c r="N184" i="25"/>
  <c r="N172" i="25"/>
  <c r="N160" i="25"/>
  <c r="K268" i="25"/>
  <c r="K280" i="25"/>
  <c r="K292" i="25"/>
  <c r="G292" i="25"/>
  <c r="G280" i="25"/>
  <c r="G268" i="25"/>
  <c r="V162" i="25"/>
  <c r="V186" i="25"/>
  <c r="V174" i="25"/>
  <c r="D186" i="25"/>
  <c r="D174" i="25"/>
  <c r="D162" i="25"/>
  <c r="U174" i="25"/>
  <c r="U186" i="25"/>
  <c r="U162" i="25"/>
  <c r="S46" i="25"/>
  <c r="AA78" i="25"/>
  <c r="AA54" i="25"/>
  <c r="AA66" i="25"/>
  <c r="V62" i="25"/>
  <c r="V65" i="25"/>
  <c r="V52" i="25"/>
  <c r="V77" i="25"/>
  <c r="V75" i="25"/>
  <c r="V76" i="25"/>
  <c r="V63" i="25"/>
  <c r="V53" i="25"/>
  <c r="V50" i="25"/>
  <c r="V74" i="25"/>
  <c r="V64" i="25"/>
  <c r="V51" i="25"/>
  <c r="Z46" i="25"/>
  <c r="O79" i="25"/>
  <c r="O67" i="25"/>
  <c r="O55" i="25"/>
  <c r="F81" i="25"/>
  <c r="F57" i="25"/>
  <c r="F69" i="25"/>
  <c r="Y57" i="25"/>
  <c r="Y81" i="25"/>
  <c r="Y69" i="25"/>
  <c r="M80" i="25"/>
  <c r="BH12" i="33" s="1"/>
  <c r="M56" i="25"/>
  <c r="M68" i="25"/>
  <c r="H404" i="25"/>
  <c r="H392" i="25"/>
  <c r="H380" i="25"/>
  <c r="F389" i="25"/>
  <c r="F377" i="25"/>
  <c r="F401" i="25"/>
  <c r="R401" i="25"/>
  <c r="R389" i="25"/>
  <c r="R377" i="25"/>
  <c r="C389" i="25"/>
  <c r="C377" i="25"/>
  <c r="C401" i="25"/>
  <c r="P386" i="25"/>
  <c r="P397" i="25"/>
  <c r="P399" i="25"/>
  <c r="P400" i="25"/>
  <c r="P376" i="25"/>
  <c r="P398" i="25"/>
  <c r="P375" i="25"/>
  <c r="P388" i="25"/>
  <c r="P385" i="25"/>
  <c r="P374" i="25"/>
  <c r="P387" i="25"/>
  <c r="P373" i="25"/>
  <c r="I397" i="25"/>
  <c r="I400" i="25"/>
  <c r="I398" i="25"/>
  <c r="I388" i="25"/>
  <c r="I387" i="25"/>
  <c r="I374" i="25"/>
  <c r="I373" i="25"/>
  <c r="I399" i="25"/>
  <c r="I386" i="25"/>
  <c r="I375" i="25"/>
  <c r="I385" i="25"/>
  <c r="I376" i="25"/>
  <c r="S387" i="25"/>
  <c r="S398" i="25"/>
  <c r="S400" i="25"/>
  <c r="S388" i="25"/>
  <c r="S397" i="25"/>
  <c r="S385" i="25"/>
  <c r="S374" i="25"/>
  <c r="S373" i="25"/>
  <c r="S376" i="25"/>
  <c r="S375" i="25"/>
  <c r="S399" i="25"/>
  <c r="S386" i="25"/>
  <c r="W399" i="25"/>
  <c r="W386" i="25"/>
  <c r="W398" i="25"/>
  <c r="W388" i="25"/>
  <c r="W374" i="25"/>
  <c r="W387" i="25"/>
  <c r="W376" i="25"/>
  <c r="W375" i="25"/>
  <c r="W400" i="25"/>
  <c r="W397" i="25"/>
  <c r="W385" i="25"/>
  <c r="W373" i="25"/>
  <c r="X402" i="25"/>
  <c r="X378" i="25"/>
  <c r="X390" i="25"/>
  <c r="I378" i="25"/>
  <c r="I402" i="25"/>
  <c r="I390" i="25"/>
  <c r="M402" i="25"/>
  <c r="BW11" i="33" s="1"/>
  <c r="M378" i="25"/>
  <c r="M390" i="25"/>
  <c r="R403" i="25"/>
  <c r="R379" i="25"/>
  <c r="R391" i="25"/>
  <c r="Y403" i="25"/>
  <c r="Y391" i="25"/>
  <c r="Y379" i="25"/>
  <c r="M403" i="25"/>
  <c r="BW12" i="33" s="1"/>
  <c r="M391" i="25"/>
  <c r="M379" i="25"/>
  <c r="W293" i="25"/>
  <c r="W281" i="25"/>
  <c r="W269" i="25"/>
  <c r="AC281" i="25"/>
  <c r="AC293" i="25"/>
  <c r="DU11" i="33" s="1"/>
  <c r="AC269" i="25"/>
  <c r="S269" i="25"/>
  <c r="S293" i="25"/>
  <c r="S281" i="25"/>
  <c r="T280" i="25"/>
  <c r="T292" i="25"/>
  <c r="T268" i="25"/>
  <c r="V292" i="25"/>
  <c r="V280" i="25"/>
  <c r="V268" i="25"/>
  <c r="V293" i="25"/>
  <c r="V281" i="25"/>
  <c r="V269" i="25"/>
  <c r="B282" i="25"/>
  <c r="B294" i="25"/>
  <c r="O12" i="33" s="1"/>
  <c r="B270" i="25"/>
  <c r="X270" i="25"/>
  <c r="X294" i="25"/>
  <c r="X282" i="25"/>
  <c r="Q294" i="25"/>
  <c r="Q270" i="25"/>
  <c r="Q282" i="25"/>
  <c r="K184" i="25"/>
  <c r="K160" i="25"/>
  <c r="K172" i="25"/>
  <c r="I160" i="25"/>
  <c r="I184" i="25"/>
  <c r="I172" i="25"/>
  <c r="J279" i="25"/>
  <c r="J290" i="25"/>
  <c r="J266" i="25"/>
  <c r="J291" i="25"/>
  <c r="J267" i="25"/>
  <c r="J288" i="25"/>
  <c r="J277" i="25"/>
  <c r="J276" i="25"/>
  <c r="J265" i="25"/>
  <c r="J289" i="25"/>
  <c r="J278" i="25"/>
  <c r="J264" i="25"/>
  <c r="M288" i="25"/>
  <c r="BR6" i="33" s="1"/>
  <c r="M264" i="25"/>
  <c r="M291" i="25"/>
  <c r="BR9" i="33" s="1"/>
  <c r="M267" i="25"/>
  <c r="M276" i="25"/>
  <c r="M290" i="25"/>
  <c r="BR8" i="33" s="1"/>
  <c r="M279" i="25"/>
  <c r="M289" i="25"/>
  <c r="BR7" i="33" s="1"/>
  <c r="M278" i="25"/>
  <c r="M265" i="25"/>
  <c r="M266" i="25"/>
  <c r="M277" i="25"/>
  <c r="AA184" i="25"/>
  <c r="AA160" i="25"/>
  <c r="AA172" i="25"/>
  <c r="L187" i="25"/>
  <c r="L163" i="25"/>
  <c r="L175" i="25"/>
  <c r="U283" i="25"/>
  <c r="U295" i="25"/>
  <c r="U271" i="25"/>
  <c r="E184" i="25"/>
  <c r="E172" i="25"/>
  <c r="E160" i="25"/>
  <c r="E182" i="25"/>
  <c r="E158" i="25"/>
  <c r="E169" i="25"/>
  <c r="E183" i="25"/>
  <c r="E159" i="25"/>
  <c r="E168" i="25"/>
  <c r="E157" i="25"/>
  <c r="E171" i="25"/>
  <c r="E156" i="25"/>
  <c r="E181" i="25"/>
  <c r="E170" i="25"/>
  <c r="E180" i="25"/>
  <c r="O162" i="25"/>
  <c r="O186" i="25"/>
  <c r="O174" i="25"/>
  <c r="H162" i="25"/>
  <c r="H174" i="25"/>
  <c r="H186" i="25"/>
  <c r="L185" i="25"/>
  <c r="L173" i="25"/>
  <c r="L161" i="25"/>
  <c r="F185" i="25"/>
  <c r="F161" i="25"/>
  <c r="F173" i="25"/>
  <c r="T78" i="25"/>
  <c r="T66" i="25"/>
  <c r="T54" i="25"/>
  <c r="N54" i="25"/>
  <c r="N66" i="25"/>
  <c r="N78" i="25"/>
  <c r="P77" i="25"/>
  <c r="P76" i="25"/>
  <c r="P52" i="25"/>
  <c r="P63" i="25"/>
  <c r="P50" i="25"/>
  <c r="P74" i="25"/>
  <c r="P64" i="25"/>
  <c r="P51" i="25"/>
  <c r="P75" i="25"/>
  <c r="P65" i="25"/>
  <c r="P62" i="25"/>
  <c r="P53" i="25"/>
  <c r="Z74" i="25"/>
  <c r="Z50" i="25"/>
  <c r="Z77" i="25"/>
  <c r="Z53" i="25"/>
  <c r="Z76" i="25"/>
  <c r="Z63" i="25"/>
  <c r="Z64" i="25"/>
  <c r="Z51" i="25"/>
  <c r="Z75" i="25"/>
  <c r="Z65" i="25"/>
  <c r="Z62" i="25"/>
  <c r="Z52" i="25"/>
  <c r="AB64" i="25"/>
  <c r="AB75" i="25"/>
  <c r="AB51" i="25"/>
  <c r="AB50" i="25"/>
  <c r="AB74" i="25"/>
  <c r="AB65" i="25"/>
  <c r="AB62" i="25"/>
  <c r="AB52" i="25"/>
  <c r="AB76" i="25"/>
  <c r="AB77" i="25"/>
  <c r="AB63" i="25"/>
  <c r="AB53" i="25"/>
  <c r="V79" i="25"/>
  <c r="V67" i="25"/>
  <c r="V55" i="25"/>
  <c r="Y55" i="25"/>
  <c r="Y79" i="25"/>
  <c r="Y67" i="25"/>
  <c r="T79" i="25"/>
  <c r="T67" i="25"/>
  <c r="T55" i="25"/>
  <c r="K79" i="25"/>
  <c r="K55" i="25"/>
  <c r="K67" i="25"/>
  <c r="R69" i="25"/>
  <c r="R81" i="25"/>
  <c r="R57" i="25"/>
  <c r="U81" i="25"/>
  <c r="U69" i="25"/>
  <c r="U57" i="25"/>
  <c r="N57" i="25"/>
  <c r="N81" i="25"/>
  <c r="N69" i="25"/>
  <c r="T56" i="25"/>
  <c r="T68" i="25"/>
  <c r="T80" i="25"/>
  <c r="C295" i="24"/>
  <c r="AA187" i="24"/>
  <c r="AA175" i="24"/>
  <c r="G390" i="24"/>
  <c r="G402" i="24"/>
  <c r="G378" i="24"/>
  <c r="P404" i="24"/>
  <c r="P380" i="24"/>
  <c r="P392" i="24"/>
  <c r="Z404" i="24"/>
  <c r="Z380" i="24"/>
  <c r="Z392" i="24"/>
  <c r="L397" i="24"/>
  <c r="L400" i="24"/>
  <c r="L388" i="24"/>
  <c r="L376" i="24"/>
  <c r="L374" i="24"/>
  <c r="L386" i="24"/>
  <c r="L387" i="24"/>
  <c r="L399" i="24"/>
  <c r="L375" i="24"/>
  <c r="L373" i="24"/>
  <c r="L398" i="24"/>
  <c r="L385" i="24"/>
  <c r="B401" i="24"/>
  <c r="S10" i="33" s="1"/>
  <c r="B377" i="24"/>
  <c r="B389" i="24"/>
  <c r="K389" i="24"/>
  <c r="K401" i="24"/>
  <c r="K377" i="24"/>
  <c r="N401" i="24"/>
  <c r="N389" i="24"/>
  <c r="N377" i="24"/>
  <c r="AC295" i="24"/>
  <c r="DT13" i="33" s="1"/>
  <c r="AC283" i="24"/>
  <c r="AC271" i="24"/>
  <c r="X294" i="24"/>
  <c r="X282" i="24"/>
  <c r="X270" i="24"/>
  <c r="J294" i="24"/>
  <c r="J282" i="24"/>
  <c r="J270" i="24"/>
  <c r="I282" i="24"/>
  <c r="I294" i="24"/>
  <c r="I270" i="24"/>
  <c r="S293" i="24"/>
  <c r="S269" i="24"/>
  <c r="S281" i="24"/>
  <c r="O283" i="24"/>
  <c r="O271" i="24"/>
  <c r="O295" i="24"/>
  <c r="D290" i="24"/>
  <c r="D291" i="24"/>
  <c r="D265" i="24"/>
  <c r="D289" i="24"/>
  <c r="D266" i="24"/>
  <c r="D279" i="24"/>
  <c r="D277" i="24"/>
  <c r="D264" i="24"/>
  <c r="D278" i="24"/>
  <c r="D267" i="24"/>
  <c r="D288" i="24"/>
  <c r="D276" i="24"/>
  <c r="Y173" i="24"/>
  <c r="Y185" i="24"/>
  <c r="Y161" i="24"/>
  <c r="K168" i="24"/>
  <c r="K180" i="24"/>
  <c r="K171" i="24"/>
  <c r="K156" i="24"/>
  <c r="K170" i="24"/>
  <c r="K183" i="24"/>
  <c r="K182" i="24"/>
  <c r="K159" i="24"/>
  <c r="K158" i="24"/>
  <c r="K157" i="24"/>
  <c r="K181" i="24"/>
  <c r="K169" i="24"/>
  <c r="D187" i="24"/>
  <c r="C184" i="24"/>
  <c r="C172" i="24"/>
  <c r="C160" i="24"/>
  <c r="Q57" i="24"/>
  <c r="Q81" i="24"/>
  <c r="Q69" i="24"/>
  <c r="M173" i="24"/>
  <c r="M161" i="24"/>
  <c r="M185" i="24"/>
  <c r="BL11" i="33" s="1"/>
  <c r="K68" i="24"/>
  <c r="K56" i="24"/>
  <c r="K80" i="24"/>
  <c r="J46" i="24"/>
  <c r="W81" i="24"/>
  <c r="W69" i="24"/>
  <c r="W57" i="24"/>
  <c r="W78" i="24"/>
  <c r="W66" i="24"/>
  <c r="W54" i="24"/>
  <c r="E160" i="24"/>
  <c r="E172" i="24"/>
  <c r="E184" i="24"/>
  <c r="H183" i="24"/>
  <c r="H170" i="24"/>
  <c r="H159" i="24"/>
  <c r="H168" i="24"/>
  <c r="H158" i="24"/>
  <c r="H180" i="24"/>
  <c r="H181" i="24"/>
  <c r="H171" i="24"/>
  <c r="H157" i="24"/>
  <c r="H156" i="24"/>
  <c r="H182" i="24"/>
  <c r="H169" i="24"/>
  <c r="D68" i="24"/>
  <c r="D56" i="24"/>
  <c r="D80" i="24"/>
  <c r="I391" i="24"/>
  <c r="I403" i="24"/>
  <c r="I379" i="24"/>
  <c r="M397" i="24"/>
  <c r="BV6" i="33" s="1"/>
  <c r="M400" i="24"/>
  <c r="BV9" i="33" s="1"/>
  <c r="M387" i="24"/>
  <c r="M399" i="24"/>
  <c r="BV8" i="33" s="1"/>
  <c r="M398" i="24"/>
  <c r="BV7" i="33" s="1"/>
  <c r="M375" i="24"/>
  <c r="M385" i="24"/>
  <c r="M376" i="24"/>
  <c r="M373" i="24"/>
  <c r="M374" i="24"/>
  <c r="M388" i="24"/>
  <c r="M386" i="24"/>
  <c r="K399" i="24"/>
  <c r="K386" i="24"/>
  <c r="K397" i="24"/>
  <c r="K385" i="24"/>
  <c r="K388" i="24"/>
  <c r="K373" i="24"/>
  <c r="K398" i="24"/>
  <c r="K387" i="24"/>
  <c r="K400" i="24"/>
  <c r="K376" i="24"/>
  <c r="K374" i="24"/>
  <c r="K375" i="24"/>
  <c r="R391" i="24"/>
  <c r="R379" i="24"/>
  <c r="R403" i="24"/>
  <c r="Y402" i="24"/>
  <c r="Y378" i="24"/>
  <c r="Y390" i="24"/>
  <c r="E389" i="24"/>
  <c r="E377" i="24"/>
  <c r="E401" i="24"/>
  <c r="M294" i="24"/>
  <c r="BQ12" i="33" s="1"/>
  <c r="M282" i="24"/>
  <c r="M270" i="24"/>
  <c r="R294" i="24"/>
  <c r="R270" i="24"/>
  <c r="R282" i="24"/>
  <c r="S278" i="24"/>
  <c r="S279" i="24"/>
  <c r="S289" i="24"/>
  <c r="S288" i="24"/>
  <c r="S277" i="24"/>
  <c r="S265" i="24"/>
  <c r="S276" i="24"/>
  <c r="S291" i="24"/>
  <c r="S267" i="24"/>
  <c r="S264" i="24"/>
  <c r="S290" i="24"/>
  <c r="S266" i="24"/>
  <c r="AA293" i="24"/>
  <c r="AA269" i="24"/>
  <c r="AA281" i="24"/>
  <c r="D295" i="24"/>
  <c r="D271" i="24"/>
  <c r="D283" i="24"/>
  <c r="W292" i="24"/>
  <c r="W268" i="24"/>
  <c r="W280" i="24"/>
  <c r="R292" i="24"/>
  <c r="R280" i="24"/>
  <c r="R268" i="24"/>
  <c r="AB292" i="24"/>
  <c r="AB268" i="24"/>
  <c r="AB280" i="24"/>
  <c r="AA270" i="24"/>
  <c r="AA282" i="24"/>
  <c r="AA294" i="24"/>
  <c r="Y151" i="24"/>
  <c r="K184" i="24"/>
  <c r="K172" i="24"/>
  <c r="K160" i="24"/>
  <c r="B187" i="24"/>
  <c r="I13" i="33" s="1"/>
  <c r="B163" i="24"/>
  <c r="B175" i="24"/>
  <c r="X175" i="24"/>
  <c r="X187" i="24"/>
  <c r="X163" i="24"/>
  <c r="U185" i="24"/>
  <c r="U161" i="24"/>
  <c r="U173" i="24"/>
  <c r="I81" i="24"/>
  <c r="I57" i="24"/>
  <c r="I69" i="24"/>
  <c r="X79" i="24"/>
  <c r="X55" i="24"/>
  <c r="X67" i="24"/>
  <c r="L79" i="24"/>
  <c r="L55" i="24"/>
  <c r="L67" i="24"/>
  <c r="T80" i="24"/>
  <c r="T68" i="24"/>
  <c r="T56" i="24"/>
  <c r="T69" i="24"/>
  <c r="T81" i="24"/>
  <c r="T57" i="24"/>
  <c r="Z391" i="24"/>
  <c r="Z403" i="24"/>
  <c r="Z379" i="24"/>
  <c r="AC397" i="24"/>
  <c r="DY6" i="33" s="1"/>
  <c r="AC400" i="24"/>
  <c r="DY9" i="33" s="1"/>
  <c r="AC387" i="24"/>
  <c r="AC399" i="24"/>
  <c r="DY8" i="33" s="1"/>
  <c r="AC398" i="24"/>
  <c r="DY7" i="33" s="1"/>
  <c r="AC375" i="24"/>
  <c r="AC388" i="24"/>
  <c r="AC376" i="24"/>
  <c r="AC385" i="24"/>
  <c r="AC374" i="24"/>
  <c r="AC386" i="24"/>
  <c r="AC373" i="24"/>
  <c r="B404" i="24"/>
  <c r="S13" i="33" s="1"/>
  <c r="B380" i="24"/>
  <c r="B392" i="24"/>
  <c r="T403" i="24"/>
  <c r="T391" i="24"/>
  <c r="T379" i="24"/>
  <c r="V404" i="24"/>
  <c r="V380" i="24"/>
  <c r="V392" i="24"/>
  <c r="U389" i="24"/>
  <c r="U377" i="24"/>
  <c r="U401" i="24"/>
  <c r="H401" i="24"/>
  <c r="H389" i="24"/>
  <c r="H377" i="24"/>
  <c r="C270" i="24"/>
  <c r="C282" i="24"/>
  <c r="C294" i="24"/>
  <c r="W294" i="24"/>
  <c r="W282" i="24"/>
  <c r="W270" i="24"/>
  <c r="Z294" i="24"/>
  <c r="Z270" i="24"/>
  <c r="Z282" i="24"/>
  <c r="H277" i="24"/>
  <c r="H290" i="24"/>
  <c r="H278" i="24"/>
  <c r="H264" i="24"/>
  <c r="H288" i="24"/>
  <c r="H291" i="24"/>
  <c r="H267" i="24"/>
  <c r="H266" i="24"/>
  <c r="H265" i="24"/>
  <c r="H289" i="24"/>
  <c r="H279" i="24"/>
  <c r="H276" i="24"/>
  <c r="C271" i="24"/>
  <c r="L281" i="24"/>
  <c r="L293" i="24"/>
  <c r="L269" i="24"/>
  <c r="AA290" i="24"/>
  <c r="AA278" i="24"/>
  <c r="AA279" i="24"/>
  <c r="AA291" i="24"/>
  <c r="AA276" i="24"/>
  <c r="AA288" i="24"/>
  <c r="AA266" i="24"/>
  <c r="AA289" i="24"/>
  <c r="AA267" i="24"/>
  <c r="AA264" i="24"/>
  <c r="AA277" i="24"/>
  <c r="AA265" i="24"/>
  <c r="AC294" i="24"/>
  <c r="DT12" i="33" s="1"/>
  <c r="AC282" i="24"/>
  <c r="AC270" i="24"/>
  <c r="I173" i="24"/>
  <c r="I185" i="24"/>
  <c r="I161" i="24"/>
  <c r="AA168" i="24"/>
  <c r="AA180" i="24"/>
  <c r="AA156" i="24"/>
  <c r="AA170" i="24"/>
  <c r="AA183" i="24"/>
  <c r="AA182" i="24"/>
  <c r="AA169" i="24"/>
  <c r="AA181" i="24"/>
  <c r="AA157" i="24"/>
  <c r="AA171" i="24"/>
  <c r="AA159" i="24"/>
  <c r="AA158" i="24"/>
  <c r="Y186" i="24"/>
  <c r="Y174" i="24"/>
  <c r="Y162" i="24"/>
  <c r="L172" i="24"/>
  <c r="L184" i="24"/>
  <c r="L160" i="24"/>
  <c r="S184" i="24"/>
  <c r="S172" i="24"/>
  <c r="S160" i="24"/>
  <c r="L187" i="24"/>
  <c r="L163" i="24"/>
  <c r="L175" i="24"/>
  <c r="U76" i="24"/>
  <c r="U77" i="24"/>
  <c r="U63" i="24"/>
  <c r="U53" i="24"/>
  <c r="U51" i="24"/>
  <c r="U74" i="24"/>
  <c r="U75" i="24"/>
  <c r="U52" i="24"/>
  <c r="U62" i="24"/>
  <c r="U65" i="24"/>
  <c r="U50" i="24"/>
  <c r="U64" i="24"/>
  <c r="X184" i="24"/>
  <c r="X172" i="24"/>
  <c r="X160" i="24"/>
  <c r="N185" i="24"/>
  <c r="N173" i="24"/>
  <c r="N161" i="24"/>
  <c r="Z54" i="24"/>
  <c r="Z66" i="24"/>
  <c r="Z78" i="24"/>
  <c r="G180" i="24"/>
  <c r="G168" i="24"/>
  <c r="G182" i="24"/>
  <c r="G171" i="24"/>
  <c r="G156" i="24"/>
  <c r="G157" i="24"/>
  <c r="G170" i="24"/>
  <c r="G169" i="24"/>
  <c r="G159" i="24"/>
  <c r="G158" i="24"/>
  <c r="G183" i="24"/>
  <c r="G181" i="24"/>
  <c r="Q79" i="24"/>
  <c r="Q67" i="24"/>
  <c r="Q55" i="24"/>
  <c r="E46" i="24"/>
  <c r="H54" i="24"/>
  <c r="H78" i="24"/>
  <c r="H66" i="24"/>
  <c r="Q45" i="24"/>
  <c r="N56" i="24"/>
  <c r="N80" i="24"/>
  <c r="N68" i="24"/>
  <c r="P391" i="24"/>
  <c r="P403" i="24"/>
  <c r="P379" i="24"/>
  <c r="Q388" i="24"/>
  <c r="Q399" i="24"/>
  <c r="Q387" i="24"/>
  <c r="Q386" i="24"/>
  <c r="Q375" i="24"/>
  <c r="Q400" i="24"/>
  <c r="Q373" i="24"/>
  <c r="Q374" i="24"/>
  <c r="Q398" i="24"/>
  <c r="Q397" i="24"/>
  <c r="Q385" i="24"/>
  <c r="Q376" i="24"/>
  <c r="E368" i="24"/>
  <c r="O398" i="24"/>
  <c r="O385" i="24"/>
  <c r="O397" i="24"/>
  <c r="O387" i="24"/>
  <c r="O386" i="24"/>
  <c r="O375" i="24"/>
  <c r="O373" i="24"/>
  <c r="O376" i="24"/>
  <c r="O400" i="24"/>
  <c r="O399" i="24"/>
  <c r="O388" i="24"/>
  <c r="O374" i="24"/>
  <c r="U397" i="24"/>
  <c r="U400" i="24"/>
  <c r="U387" i="24"/>
  <c r="U399" i="24"/>
  <c r="U385" i="24"/>
  <c r="U388" i="24"/>
  <c r="U398" i="24"/>
  <c r="U375" i="24"/>
  <c r="U386" i="24"/>
  <c r="U376" i="24"/>
  <c r="U373" i="24"/>
  <c r="U374" i="24"/>
  <c r="S379" i="24"/>
  <c r="S391" i="24"/>
  <c r="S403" i="24"/>
  <c r="U378" i="24"/>
  <c r="U390" i="24"/>
  <c r="U402" i="24"/>
  <c r="S402" i="24"/>
  <c r="S378" i="24"/>
  <c r="S390" i="24"/>
  <c r="G401" i="24"/>
  <c r="G389" i="24"/>
  <c r="G377" i="24"/>
  <c r="D389" i="24"/>
  <c r="D401" i="24"/>
  <c r="D377" i="24"/>
  <c r="Z293" i="24"/>
  <c r="Z269" i="24"/>
  <c r="Z281" i="24"/>
  <c r="Y260" i="24"/>
  <c r="L282" i="24"/>
  <c r="L270" i="24"/>
  <c r="L294" i="24"/>
  <c r="P288" i="24"/>
  <c r="P277" i="24"/>
  <c r="P278" i="24"/>
  <c r="P279" i="24"/>
  <c r="P264" i="24"/>
  <c r="P276" i="24"/>
  <c r="P290" i="24"/>
  <c r="P267" i="24"/>
  <c r="P291" i="24"/>
  <c r="P289" i="24"/>
  <c r="P266" i="24"/>
  <c r="P265" i="24"/>
  <c r="S270" i="24"/>
  <c r="S294" i="24"/>
  <c r="S282" i="24"/>
  <c r="N292" i="24"/>
  <c r="N280" i="24"/>
  <c r="N268" i="24"/>
  <c r="H292" i="24"/>
  <c r="H280" i="24"/>
  <c r="H268" i="24"/>
  <c r="Q186" i="24"/>
  <c r="Q174" i="24"/>
  <c r="Q162" i="24"/>
  <c r="K152" i="24"/>
  <c r="D171" i="24"/>
  <c r="D183" i="24"/>
  <c r="D170" i="24"/>
  <c r="D159" i="24"/>
  <c r="D181" i="24"/>
  <c r="D156" i="24"/>
  <c r="D182" i="24"/>
  <c r="D169" i="24"/>
  <c r="D180" i="24"/>
  <c r="D158" i="24"/>
  <c r="D157" i="24"/>
  <c r="D168" i="24"/>
  <c r="V172" i="24"/>
  <c r="V184" i="24"/>
  <c r="V160" i="24"/>
  <c r="AA184" i="24"/>
  <c r="AA172" i="24"/>
  <c r="AA160" i="24"/>
  <c r="E163" i="24"/>
  <c r="E187" i="24"/>
  <c r="E175" i="24"/>
  <c r="V187" i="24"/>
  <c r="V175" i="24"/>
  <c r="V163" i="24"/>
  <c r="I184" i="24"/>
  <c r="I160" i="24"/>
  <c r="I172" i="24"/>
  <c r="Y76" i="24"/>
  <c r="Y75" i="24"/>
  <c r="Y51" i="24"/>
  <c r="Y65" i="24"/>
  <c r="Y63" i="24"/>
  <c r="Y52" i="24"/>
  <c r="Y62" i="24"/>
  <c r="Y50" i="24"/>
  <c r="Y53" i="24"/>
  <c r="Y77" i="24"/>
  <c r="Y64" i="24"/>
  <c r="Y74" i="24"/>
  <c r="E78" i="24"/>
  <c r="E66" i="24"/>
  <c r="E54" i="24"/>
  <c r="M184" i="24"/>
  <c r="BL10" i="33" s="1"/>
  <c r="M160" i="24"/>
  <c r="M172" i="24"/>
  <c r="H45" i="24"/>
  <c r="P79" i="24"/>
  <c r="P67" i="24"/>
  <c r="P55" i="24"/>
  <c r="P54" i="24"/>
  <c r="P78" i="24"/>
  <c r="P66" i="24"/>
  <c r="W401" i="24"/>
  <c r="W389" i="24"/>
  <c r="W377" i="24"/>
  <c r="L389" i="24"/>
  <c r="L377" i="24"/>
  <c r="L401" i="24"/>
  <c r="Y289" i="24"/>
  <c r="Y290" i="24"/>
  <c r="Y288" i="24"/>
  <c r="Y264" i="24"/>
  <c r="Y279" i="24"/>
  <c r="Y267" i="24"/>
  <c r="Y278" i="24"/>
  <c r="Y291" i="24"/>
  <c r="Y276" i="24"/>
  <c r="Y277" i="24"/>
  <c r="Y266" i="24"/>
  <c r="Y265" i="24"/>
  <c r="F294" i="24"/>
  <c r="F270" i="24"/>
  <c r="F282" i="24"/>
  <c r="F288" i="24"/>
  <c r="F279" i="24"/>
  <c r="F291" i="24"/>
  <c r="F265" i="24"/>
  <c r="F290" i="24"/>
  <c r="F276" i="24"/>
  <c r="F278" i="24"/>
  <c r="F267" i="24"/>
  <c r="F266" i="24"/>
  <c r="F264" i="24"/>
  <c r="F277" i="24"/>
  <c r="F289" i="24"/>
  <c r="H294" i="24"/>
  <c r="H270" i="24"/>
  <c r="H282" i="24"/>
  <c r="I186" i="24"/>
  <c r="I174" i="24"/>
  <c r="I162" i="24"/>
  <c r="H161" i="24"/>
  <c r="H173" i="24"/>
  <c r="H185" i="24"/>
  <c r="B184" i="24"/>
  <c r="I10" i="33" s="1"/>
  <c r="B172" i="24"/>
  <c r="B160" i="24"/>
  <c r="G187" i="24"/>
  <c r="G175" i="24"/>
  <c r="G163" i="24"/>
  <c r="K186" i="24"/>
  <c r="K162" i="24"/>
  <c r="K174" i="24"/>
  <c r="U184" i="24"/>
  <c r="U160" i="24"/>
  <c r="U172" i="24"/>
  <c r="Y46" i="24"/>
  <c r="Y152" i="24"/>
  <c r="Y259" i="24"/>
  <c r="Y368" i="24"/>
  <c r="Y369" i="24"/>
  <c r="W63" i="24"/>
  <c r="W74" i="24"/>
  <c r="W62" i="24"/>
  <c r="W50" i="24"/>
  <c r="W75" i="24"/>
  <c r="W51" i="24"/>
  <c r="Q172" i="24"/>
  <c r="Q184" i="24"/>
  <c r="Q160" i="24"/>
  <c r="AC182" i="24"/>
  <c r="DO8" i="33" s="1"/>
  <c r="AC158" i="24"/>
  <c r="AC180" i="24"/>
  <c r="DO6" i="33" s="1"/>
  <c r="AC171" i="24"/>
  <c r="AC170" i="24"/>
  <c r="AC159" i="24"/>
  <c r="AC168" i="24"/>
  <c r="AC183" i="24"/>
  <c r="DO9" i="33" s="1"/>
  <c r="AC181" i="24"/>
  <c r="DO7" i="33" s="1"/>
  <c r="AC169" i="24"/>
  <c r="AC156" i="24"/>
  <c r="AC157" i="24"/>
  <c r="X56" i="24"/>
  <c r="X80" i="24"/>
  <c r="X68" i="24"/>
  <c r="E79" i="24"/>
  <c r="E55" i="24"/>
  <c r="E67" i="24"/>
  <c r="X78" i="24"/>
  <c r="X54" i="24"/>
  <c r="X66" i="24"/>
  <c r="Q402" i="24"/>
  <c r="Q390" i="24"/>
  <c r="Q391" i="24"/>
  <c r="Q403" i="24"/>
  <c r="Q379" i="24"/>
  <c r="E403" i="24"/>
  <c r="E379" i="24"/>
  <c r="E391" i="24"/>
  <c r="AA399" i="24"/>
  <c r="AA386" i="24"/>
  <c r="AA397" i="24"/>
  <c r="AA385" i="24"/>
  <c r="AA387" i="24"/>
  <c r="AA373" i="24"/>
  <c r="AA398" i="24"/>
  <c r="AA400" i="24"/>
  <c r="AA375" i="24"/>
  <c r="AA376" i="24"/>
  <c r="AA388" i="24"/>
  <c r="AA374" i="24"/>
  <c r="J401" i="24"/>
  <c r="J389" i="24"/>
  <c r="J377" i="24"/>
  <c r="T389" i="24"/>
  <c r="T401" i="24"/>
  <c r="T377" i="24"/>
  <c r="R401" i="24"/>
  <c r="R377" i="24"/>
  <c r="R389" i="24"/>
  <c r="I295" i="24"/>
  <c r="I271" i="24"/>
  <c r="I283" i="24"/>
  <c r="N294" i="24"/>
  <c r="N282" i="24"/>
  <c r="N270" i="24"/>
  <c r="AA295" i="24"/>
  <c r="AA283" i="24"/>
  <c r="AA271" i="24"/>
  <c r="W293" i="24"/>
  <c r="W269" i="24"/>
  <c r="W281" i="24"/>
  <c r="R173" i="24"/>
  <c r="R185" i="24"/>
  <c r="R161" i="24"/>
  <c r="K270" i="24"/>
  <c r="K294" i="24"/>
  <c r="K282" i="24"/>
  <c r="T171" i="24"/>
  <c r="T183" i="24"/>
  <c r="T181" i="24"/>
  <c r="T159" i="24"/>
  <c r="T168" i="24"/>
  <c r="T158" i="24"/>
  <c r="T169" i="24"/>
  <c r="T182" i="24"/>
  <c r="T170" i="24"/>
  <c r="T180" i="24"/>
  <c r="T157" i="24"/>
  <c r="T156" i="24"/>
  <c r="AC152" i="24"/>
  <c r="J184" i="24"/>
  <c r="J160" i="24"/>
  <c r="J172" i="24"/>
  <c r="N187" i="24"/>
  <c r="N163" i="24"/>
  <c r="N175" i="24"/>
  <c r="O175" i="24"/>
  <c r="O163" i="24"/>
  <c r="O187" i="24"/>
  <c r="U174" i="24"/>
  <c r="U186" i="24"/>
  <c r="U162" i="24"/>
  <c r="U259" i="24"/>
  <c r="U260" i="24"/>
  <c r="U45" i="24"/>
  <c r="U46" i="24"/>
  <c r="U152" i="24"/>
  <c r="Y187" i="24"/>
  <c r="Y175" i="24"/>
  <c r="Y163" i="24"/>
  <c r="G172" i="24"/>
  <c r="G184" i="24"/>
  <c r="G160" i="24"/>
  <c r="Q260" i="24"/>
  <c r="Q369" i="24"/>
  <c r="Q152" i="24"/>
  <c r="Q259" i="24"/>
  <c r="I76" i="24"/>
  <c r="I51" i="24"/>
  <c r="I74" i="24"/>
  <c r="I65" i="24"/>
  <c r="I75" i="24"/>
  <c r="I63" i="24"/>
  <c r="I64" i="24"/>
  <c r="I52" i="24"/>
  <c r="I62" i="24"/>
  <c r="I77" i="24"/>
  <c r="I50" i="24"/>
  <c r="I53" i="24"/>
  <c r="AC67" i="24"/>
  <c r="AC79" i="24"/>
  <c r="DJ11" i="33" s="1"/>
  <c r="P183" i="24"/>
  <c r="P168" i="24"/>
  <c r="P171" i="24"/>
  <c r="P159" i="24"/>
  <c r="P169" i="24"/>
  <c r="P157" i="24"/>
  <c r="P181" i="24"/>
  <c r="P182" i="24"/>
  <c r="P170" i="24"/>
  <c r="P180" i="24"/>
  <c r="P158" i="24"/>
  <c r="P156" i="24"/>
  <c r="J152" i="24"/>
  <c r="J45" i="24"/>
  <c r="J259" i="24"/>
  <c r="J260" i="24"/>
  <c r="J369" i="24"/>
  <c r="D66" i="24"/>
  <c r="D54" i="24"/>
  <c r="D78" i="24"/>
  <c r="H369" i="24"/>
  <c r="H151" i="24"/>
  <c r="H259" i="24"/>
  <c r="H260" i="24"/>
  <c r="H46" i="24"/>
  <c r="X401" i="24"/>
  <c r="X377" i="24"/>
  <c r="X389" i="24"/>
  <c r="P269" i="24"/>
  <c r="P281" i="24"/>
  <c r="P293" i="24"/>
  <c r="O293" i="24"/>
  <c r="O281" i="24"/>
  <c r="O269" i="24"/>
  <c r="Q404" i="24"/>
  <c r="Q380" i="24"/>
  <c r="Q392" i="24"/>
  <c r="V403" i="24"/>
  <c r="V379" i="24"/>
  <c r="V391" i="24"/>
  <c r="J402" i="24"/>
  <c r="J390" i="24"/>
  <c r="J378" i="24"/>
  <c r="W390" i="24"/>
  <c r="W402" i="24"/>
  <c r="W378" i="24"/>
  <c r="Z389" i="24"/>
  <c r="Z401" i="24"/>
  <c r="Z377" i="24"/>
  <c r="T290" i="24"/>
  <c r="T291" i="24"/>
  <c r="T265" i="24"/>
  <c r="T289" i="24"/>
  <c r="T288" i="24"/>
  <c r="T277" i="24"/>
  <c r="T267" i="24"/>
  <c r="T266" i="24"/>
  <c r="T264" i="24"/>
  <c r="T278" i="24"/>
  <c r="T276" i="24"/>
  <c r="T279" i="24"/>
  <c r="P295" i="24"/>
  <c r="P283" i="24"/>
  <c r="P271" i="24"/>
  <c r="C293" i="24"/>
  <c r="C269" i="24"/>
  <c r="C281" i="24"/>
  <c r="Z290" i="24"/>
  <c r="Z267" i="24"/>
  <c r="Z289" i="24"/>
  <c r="Z276" i="24"/>
  <c r="Z279" i="24"/>
  <c r="Z264" i="24"/>
  <c r="Z277" i="24"/>
  <c r="Z278" i="24"/>
  <c r="Z266" i="24"/>
  <c r="Z265" i="24"/>
  <c r="Z288" i="24"/>
  <c r="Z291" i="24"/>
  <c r="J173" i="24"/>
  <c r="J185" i="24"/>
  <c r="J161" i="24"/>
  <c r="P174" i="24"/>
  <c r="P162" i="24"/>
  <c r="P186" i="24"/>
  <c r="M182" i="24"/>
  <c r="BL8" i="33" s="1"/>
  <c r="M170" i="24"/>
  <c r="M158" i="24"/>
  <c r="M183" i="24"/>
  <c r="BL9" i="33" s="1"/>
  <c r="M181" i="24"/>
  <c r="BL7" i="33" s="1"/>
  <c r="M159" i="24"/>
  <c r="M180" i="24"/>
  <c r="BL6" i="33" s="1"/>
  <c r="M169" i="24"/>
  <c r="M156" i="24"/>
  <c r="M171" i="24"/>
  <c r="M168" i="24"/>
  <c r="M157" i="24"/>
  <c r="AB171" i="24"/>
  <c r="AB183" i="24"/>
  <c r="AB180" i="24"/>
  <c r="AB159" i="24"/>
  <c r="AB182" i="24"/>
  <c r="AB169" i="24"/>
  <c r="AB181" i="24"/>
  <c r="AB157" i="24"/>
  <c r="AB158" i="24"/>
  <c r="AB156" i="24"/>
  <c r="AB168" i="24"/>
  <c r="AB170" i="24"/>
  <c r="O172" i="24"/>
  <c r="O184" i="24"/>
  <c r="O160" i="24"/>
  <c r="R184" i="24"/>
  <c r="R172" i="24"/>
  <c r="R160" i="24"/>
  <c r="W163" i="24"/>
  <c r="W187" i="24"/>
  <c r="W175" i="24"/>
  <c r="W52" i="24"/>
  <c r="U55" i="24"/>
  <c r="U79" i="24"/>
  <c r="U67" i="24"/>
  <c r="H184" i="24"/>
  <c r="H160" i="24"/>
  <c r="H172" i="24"/>
  <c r="F169" i="24"/>
  <c r="F181" i="24"/>
  <c r="F180" i="24"/>
  <c r="F157" i="24"/>
  <c r="F171" i="24"/>
  <c r="F168" i="24"/>
  <c r="F182" i="24"/>
  <c r="F170" i="24"/>
  <c r="F159" i="24"/>
  <c r="F158" i="24"/>
  <c r="F183" i="24"/>
  <c r="F156" i="24"/>
  <c r="K151" i="24"/>
  <c r="K259" i="24"/>
  <c r="K369" i="24"/>
  <c r="K260" i="24"/>
  <c r="K368" i="24"/>
  <c r="L66" i="24"/>
  <c r="L54" i="24"/>
  <c r="L78" i="24"/>
  <c r="AB403" i="24"/>
  <c r="AB379" i="24"/>
  <c r="AB391" i="24"/>
  <c r="F390" i="24"/>
  <c r="F402" i="24"/>
  <c r="F378" i="24"/>
  <c r="I404" i="24"/>
  <c r="I380" i="24"/>
  <c r="I392" i="24"/>
  <c r="AC392" i="24"/>
  <c r="AC404" i="24"/>
  <c r="DY13" i="33" s="1"/>
  <c r="AC380" i="24"/>
  <c r="M392" i="24"/>
  <c r="M404" i="24"/>
  <c r="BV13" i="33" s="1"/>
  <c r="M380" i="24"/>
  <c r="B391" i="24"/>
  <c r="B379" i="24"/>
  <c r="B403" i="24"/>
  <c r="S12" i="33" s="1"/>
  <c r="T397" i="24"/>
  <c r="T400" i="24"/>
  <c r="T388" i="24"/>
  <c r="T376" i="24"/>
  <c r="T374" i="24"/>
  <c r="T387" i="24"/>
  <c r="T399" i="24"/>
  <c r="T398" i="24"/>
  <c r="T386" i="24"/>
  <c r="T385" i="24"/>
  <c r="T373" i="24"/>
  <c r="T375" i="24"/>
  <c r="T402" i="24"/>
  <c r="T378" i="24"/>
  <c r="T390" i="24"/>
  <c r="C389" i="24"/>
  <c r="C401" i="24"/>
  <c r="C377" i="24"/>
  <c r="F401" i="24"/>
  <c r="F377" i="24"/>
  <c r="F389" i="24"/>
  <c r="J295" i="24"/>
  <c r="J283" i="24"/>
  <c r="J271" i="24"/>
  <c r="J290" i="24"/>
  <c r="J291" i="24"/>
  <c r="J267" i="24"/>
  <c r="J276" i="24"/>
  <c r="J277" i="24"/>
  <c r="J279" i="24"/>
  <c r="J265" i="24"/>
  <c r="J289" i="24"/>
  <c r="J278" i="24"/>
  <c r="J266" i="24"/>
  <c r="J264" i="24"/>
  <c r="J288" i="24"/>
  <c r="B294" i="24"/>
  <c r="N12" i="33" s="1"/>
  <c r="B282" i="24"/>
  <c r="B270" i="24"/>
  <c r="F271" i="24"/>
  <c r="F283" i="24"/>
  <c r="F295" i="24"/>
  <c r="K293" i="24"/>
  <c r="K281" i="24"/>
  <c r="K269" i="24"/>
  <c r="Z295" i="24"/>
  <c r="Z271" i="24"/>
  <c r="Z283" i="24"/>
  <c r="O291" i="24"/>
  <c r="O289" i="24"/>
  <c r="O266" i="24"/>
  <c r="O265" i="24"/>
  <c r="O279" i="24"/>
  <c r="O264" i="24"/>
  <c r="O288" i="24"/>
  <c r="O277" i="24"/>
  <c r="O276" i="24"/>
  <c r="O290" i="24"/>
  <c r="O267" i="24"/>
  <c r="O278" i="24"/>
  <c r="B292" i="24"/>
  <c r="N10" i="33" s="1"/>
  <c r="B280" i="24"/>
  <c r="B268" i="24"/>
  <c r="AA268" i="24"/>
  <c r="AA292" i="24"/>
  <c r="AA280" i="24"/>
  <c r="L280" i="24"/>
  <c r="L292" i="24"/>
  <c r="L268" i="24"/>
  <c r="H162" i="24"/>
  <c r="H174" i="24"/>
  <c r="H186" i="24"/>
  <c r="D282" i="24"/>
  <c r="D294" i="24"/>
  <c r="D270" i="24"/>
  <c r="C168" i="24"/>
  <c r="C180" i="24"/>
  <c r="C156" i="24"/>
  <c r="C169" i="24"/>
  <c r="C181" i="24"/>
  <c r="C182" i="24"/>
  <c r="C170" i="24"/>
  <c r="C171" i="24"/>
  <c r="C183" i="24"/>
  <c r="C159" i="24"/>
  <c r="C158" i="24"/>
  <c r="C157" i="24"/>
  <c r="O292" i="24"/>
  <c r="O268" i="24"/>
  <c r="O280" i="24"/>
  <c r="F172" i="24"/>
  <c r="F160" i="24"/>
  <c r="F184" i="24"/>
  <c r="Z184" i="24"/>
  <c r="Z160" i="24"/>
  <c r="Z172" i="24"/>
  <c r="R163" i="24"/>
  <c r="R187" i="24"/>
  <c r="R175" i="24"/>
  <c r="E152" i="24"/>
  <c r="E45" i="24"/>
  <c r="E151" i="24"/>
  <c r="E369" i="24"/>
  <c r="AC69" i="24"/>
  <c r="AC57" i="24"/>
  <c r="AC81" i="24"/>
  <c r="DJ13" i="33" s="1"/>
  <c r="Y45" i="24"/>
  <c r="U182" i="24"/>
  <c r="U171" i="24"/>
  <c r="U183" i="24"/>
  <c r="U168" i="24"/>
  <c r="U158" i="24"/>
  <c r="U170" i="24"/>
  <c r="U181" i="24"/>
  <c r="U169" i="24"/>
  <c r="U180" i="24"/>
  <c r="U159" i="24"/>
  <c r="U157" i="24"/>
  <c r="U156" i="24"/>
  <c r="AC259" i="24"/>
  <c r="AC368" i="24"/>
  <c r="AC260" i="24"/>
  <c r="AC369" i="24"/>
  <c r="AC46" i="24"/>
  <c r="AC78" i="24"/>
  <c r="DJ10" i="33" s="1"/>
  <c r="AC54" i="24"/>
  <c r="AC66" i="24"/>
  <c r="D392" i="24"/>
  <c r="D404" i="24"/>
  <c r="D380" i="24"/>
  <c r="H404" i="24"/>
  <c r="H380" i="24"/>
  <c r="H392" i="24"/>
  <c r="F400" i="24"/>
  <c r="F387" i="24"/>
  <c r="F398" i="24"/>
  <c r="F386" i="24"/>
  <c r="F374" i="24"/>
  <c r="F397" i="24"/>
  <c r="F375" i="24"/>
  <c r="F373" i="24"/>
  <c r="F385" i="24"/>
  <c r="F399" i="24"/>
  <c r="F376" i="24"/>
  <c r="F388" i="24"/>
  <c r="I402" i="24"/>
  <c r="I378" i="24"/>
  <c r="I390" i="24"/>
  <c r="O390" i="24"/>
  <c r="O378" i="24"/>
  <c r="O402" i="24"/>
  <c r="G398" i="24"/>
  <c r="G385" i="24"/>
  <c r="G397" i="24"/>
  <c r="G388" i="24"/>
  <c r="G375" i="24"/>
  <c r="G373" i="24"/>
  <c r="G386" i="24"/>
  <c r="G374" i="24"/>
  <c r="G387" i="24"/>
  <c r="G400" i="24"/>
  <c r="G376" i="24"/>
  <c r="G399" i="24"/>
  <c r="G403" i="24"/>
  <c r="G391" i="24"/>
  <c r="G379" i="24"/>
  <c r="H379" i="24"/>
  <c r="H391" i="24"/>
  <c r="H403" i="24"/>
  <c r="W392" i="24"/>
  <c r="W380" i="24"/>
  <c r="W404" i="24"/>
  <c r="T292" i="24"/>
  <c r="T280" i="24"/>
  <c r="T268" i="24"/>
  <c r="C283" i="24"/>
  <c r="B293" i="24"/>
  <c r="N11" i="33" s="1"/>
  <c r="B281" i="24"/>
  <c r="B269" i="24"/>
  <c r="F293" i="24"/>
  <c r="F281" i="24"/>
  <c r="F269" i="24"/>
  <c r="V271" i="24"/>
  <c r="V283" i="24"/>
  <c r="V295" i="24"/>
  <c r="G283" i="24"/>
  <c r="G295" i="24"/>
  <c r="G271" i="24"/>
  <c r="C186" i="24"/>
  <c r="C162" i="24"/>
  <c r="C174" i="24"/>
  <c r="U294" i="24"/>
  <c r="U270" i="24"/>
  <c r="U282" i="24"/>
  <c r="X183" i="24"/>
  <c r="X169" i="24"/>
  <c r="X159" i="24"/>
  <c r="X156" i="24"/>
  <c r="X182" i="24"/>
  <c r="X180" i="24"/>
  <c r="X170" i="24"/>
  <c r="X158" i="24"/>
  <c r="X157" i="24"/>
  <c r="X171" i="24"/>
  <c r="X181" i="24"/>
  <c r="X168" i="24"/>
  <c r="S161" i="24"/>
  <c r="S185" i="24"/>
  <c r="S173" i="24"/>
  <c r="W161" i="24"/>
  <c r="W173" i="24"/>
  <c r="W185" i="24"/>
  <c r="P185" i="24"/>
  <c r="P173" i="24"/>
  <c r="P161" i="24"/>
  <c r="K278" i="24"/>
  <c r="K279" i="24"/>
  <c r="K291" i="24"/>
  <c r="K267" i="24"/>
  <c r="K289" i="24"/>
  <c r="K290" i="24"/>
  <c r="K288" i="24"/>
  <c r="K266" i="24"/>
  <c r="K265" i="24"/>
  <c r="K264" i="24"/>
  <c r="K276" i="24"/>
  <c r="K277" i="24"/>
  <c r="J175" i="24"/>
  <c r="J163" i="24"/>
  <c r="J187" i="24"/>
  <c r="V75" i="24"/>
  <c r="V74" i="24"/>
  <c r="V50" i="24"/>
  <c r="V64" i="24"/>
  <c r="V62" i="24"/>
  <c r="V77" i="24"/>
  <c r="V53" i="24"/>
  <c r="V63" i="24"/>
  <c r="V52" i="24"/>
  <c r="V51" i="24"/>
  <c r="V76" i="24"/>
  <c r="V65" i="24"/>
  <c r="W172" i="24"/>
  <c r="W184" i="24"/>
  <c r="W160" i="24"/>
  <c r="V66" i="24"/>
  <c r="V54" i="24"/>
  <c r="V78" i="24"/>
  <c r="AA80" i="24"/>
  <c r="AA56" i="24"/>
  <c r="AA68" i="24"/>
  <c r="AB77" i="24"/>
  <c r="AB76" i="24"/>
  <c r="AB52" i="24"/>
  <c r="AB50" i="24"/>
  <c r="AB74" i="24"/>
  <c r="AB64" i="24"/>
  <c r="AB62" i="24"/>
  <c r="AB51" i="24"/>
  <c r="AB65" i="24"/>
  <c r="AB53" i="24"/>
  <c r="AB63" i="24"/>
  <c r="AB75" i="24"/>
  <c r="O68" i="24"/>
  <c r="O80" i="24"/>
  <c r="O56" i="24"/>
  <c r="F75" i="24"/>
  <c r="F50" i="24"/>
  <c r="F64" i="24"/>
  <c r="F74" i="24"/>
  <c r="F62" i="24"/>
  <c r="F53" i="24"/>
  <c r="F63" i="24"/>
  <c r="F52" i="24"/>
  <c r="F76" i="24"/>
  <c r="F51" i="24"/>
  <c r="F77" i="24"/>
  <c r="F65" i="24"/>
  <c r="S55" i="24"/>
  <c r="S67" i="24"/>
  <c r="S79" i="24"/>
  <c r="R54" i="24"/>
  <c r="R78" i="24"/>
  <c r="R66" i="24"/>
  <c r="F80" i="24"/>
  <c r="F56" i="24"/>
  <c r="F68" i="24"/>
  <c r="I170" i="24"/>
  <c r="I182" i="24"/>
  <c r="I181" i="24"/>
  <c r="I158" i="24"/>
  <c r="I169" i="24"/>
  <c r="I159" i="24"/>
  <c r="I183" i="24"/>
  <c r="I171" i="24"/>
  <c r="I168" i="24"/>
  <c r="I180" i="24"/>
  <c r="I156" i="24"/>
  <c r="I157" i="24"/>
  <c r="C57" i="24"/>
  <c r="C69" i="24"/>
  <c r="C81" i="24"/>
  <c r="N75" i="24"/>
  <c r="N50" i="24"/>
  <c r="N64" i="24"/>
  <c r="N62" i="24"/>
  <c r="N76" i="24"/>
  <c r="N51" i="24"/>
  <c r="N65" i="24"/>
  <c r="N77" i="24"/>
  <c r="N74" i="24"/>
  <c r="N53" i="24"/>
  <c r="N63" i="24"/>
  <c r="N52" i="24"/>
  <c r="W65" i="24"/>
  <c r="L392" i="24"/>
  <c r="L404" i="24"/>
  <c r="L380" i="24"/>
  <c r="K391" i="24"/>
  <c r="K379" i="24"/>
  <c r="K403" i="24"/>
  <c r="J399" i="24"/>
  <c r="J386" i="24"/>
  <c r="J398" i="24"/>
  <c r="J397" i="24"/>
  <c r="J376" i="24"/>
  <c r="J374" i="24"/>
  <c r="J388" i="24"/>
  <c r="J385" i="24"/>
  <c r="J400" i="24"/>
  <c r="J387" i="24"/>
  <c r="J375" i="24"/>
  <c r="J373" i="24"/>
  <c r="H398" i="24"/>
  <c r="H385" i="24"/>
  <c r="H388" i="24"/>
  <c r="H400" i="24"/>
  <c r="H397" i="24"/>
  <c r="H399" i="24"/>
  <c r="H387" i="24"/>
  <c r="H376" i="24"/>
  <c r="H375" i="24"/>
  <c r="H374" i="24"/>
  <c r="H373" i="24"/>
  <c r="H386" i="24"/>
  <c r="AA391" i="24"/>
  <c r="AA379" i="24"/>
  <c r="AA403" i="24"/>
  <c r="M377" i="24"/>
  <c r="M389" i="24"/>
  <c r="M401" i="24"/>
  <c r="BV10" i="33" s="1"/>
  <c r="Y295" i="24"/>
  <c r="Y271" i="24"/>
  <c r="Y283" i="24"/>
  <c r="J292" i="24"/>
  <c r="J268" i="24"/>
  <c r="J280" i="24"/>
  <c r="E268" i="24"/>
  <c r="E292" i="24"/>
  <c r="E280" i="24"/>
  <c r="N293" i="24"/>
  <c r="N281" i="24"/>
  <c r="N269" i="24"/>
  <c r="T293" i="24"/>
  <c r="T281" i="24"/>
  <c r="T269" i="24"/>
  <c r="Q280" i="24"/>
  <c r="Q292" i="24"/>
  <c r="Q268" i="24"/>
  <c r="AB283" i="24"/>
  <c r="AB271" i="24"/>
  <c r="AB295" i="24"/>
  <c r="K295" i="24"/>
  <c r="K283" i="24"/>
  <c r="K271" i="24"/>
  <c r="T282" i="24"/>
  <c r="T294" i="24"/>
  <c r="T270" i="24"/>
  <c r="B174" i="24"/>
  <c r="B186" i="24"/>
  <c r="I12" i="33" s="1"/>
  <c r="B162" i="24"/>
  <c r="B181" i="24"/>
  <c r="I7" i="33" s="1"/>
  <c r="B182" i="24"/>
  <c r="I8" i="33" s="1"/>
  <c r="B171" i="24"/>
  <c r="B168" i="24"/>
  <c r="B157" i="24"/>
  <c r="B159" i="24"/>
  <c r="B169" i="24"/>
  <c r="B156" i="24"/>
  <c r="B183" i="24"/>
  <c r="I9" i="33" s="1"/>
  <c r="B158" i="24"/>
  <c r="B180" i="24"/>
  <c r="I6" i="33" s="1"/>
  <c r="B170" i="24"/>
  <c r="F185" i="24"/>
  <c r="F173" i="24"/>
  <c r="F161" i="24"/>
  <c r="X185" i="24"/>
  <c r="X161" i="24"/>
  <c r="X173" i="24"/>
  <c r="W291" i="24"/>
  <c r="W289" i="24"/>
  <c r="W266" i="24"/>
  <c r="W278" i="24"/>
  <c r="W290" i="24"/>
  <c r="W265" i="24"/>
  <c r="W276" i="24"/>
  <c r="W267" i="24"/>
  <c r="W288" i="24"/>
  <c r="W277" i="24"/>
  <c r="W264" i="24"/>
  <c r="W279" i="24"/>
  <c r="C187" i="24"/>
  <c r="C163" i="24"/>
  <c r="C175" i="24"/>
  <c r="I68" i="24"/>
  <c r="I80" i="24"/>
  <c r="I56" i="24"/>
  <c r="K74" i="24"/>
  <c r="K65" i="24"/>
  <c r="K63" i="24"/>
  <c r="K53" i="24"/>
  <c r="K75" i="24"/>
  <c r="K52" i="24"/>
  <c r="K76" i="24"/>
  <c r="K62" i="24"/>
  <c r="K51" i="24"/>
  <c r="K77" i="24"/>
  <c r="K50" i="24"/>
  <c r="K64" i="24"/>
  <c r="V81" i="24"/>
  <c r="V69" i="24"/>
  <c r="V57" i="24"/>
  <c r="H81" i="24"/>
  <c r="H69" i="24"/>
  <c r="H57" i="24"/>
  <c r="K78" i="24"/>
  <c r="K66" i="24"/>
  <c r="K54" i="24"/>
  <c r="P56" i="24"/>
  <c r="P80" i="24"/>
  <c r="P68" i="24"/>
  <c r="R75" i="24"/>
  <c r="R76" i="24"/>
  <c r="R62" i="24"/>
  <c r="R77" i="24"/>
  <c r="R52" i="24"/>
  <c r="R50" i="24"/>
  <c r="R74" i="24"/>
  <c r="R64" i="24"/>
  <c r="R53" i="24"/>
  <c r="R63" i="24"/>
  <c r="R51" i="24"/>
  <c r="R65" i="24"/>
  <c r="V174" i="24"/>
  <c r="AA79" i="24"/>
  <c r="AA55" i="24"/>
  <c r="AA67" i="24"/>
  <c r="Z75" i="24"/>
  <c r="Z62" i="24"/>
  <c r="Z76" i="24"/>
  <c r="Z52" i="24"/>
  <c r="Z77" i="24"/>
  <c r="Z50" i="24"/>
  <c r="Z51" i="24"/>
  <c r="Z65" i="24"/>
  <c r="Z64" i="24"/>
  <c r="Z53" i="24"/>
  <c r="Z74" i="24"/>
  <c r="Z63" i="24"/>
  <c r="Y170" i="24"/>
  <c r="Y182" i="24"/>
  <c r="Y168" i="24"/>
  <c r="Y158" i="24"/>
  <c r="Y181" i="24"/>
  <c r="Y171" i="24"/>
  <c r="Y156" i="24"/>
  <c r="Y183" i="24"/>
  <c r="Y169" i="24"/>
  <c r="Y180" i="24"/>
  <c r="Y157" i="24"/>
  <c r="Y159" i="24"/>
  <c r="W68" i="24"/>
  <c r="W56" i="24"/>
  <c r="W80" i="24"/>
  <c r="C74" i="24"/>
  <c r="C65" i="24"/>
  <c r="C63" i="24"/>
  <c r="C53" i="24"/>
  <c r="C51" i="24"/>
  <c r="C50" i="24"/>
  <c r="C64" i="24"/>
  <c r="C75" i="24"/>
  <c r="C76" i="24"/>
  <c r="C52" i="24"/>
  <c r="C77" i="24"/>
  <c r="C62" i="24"/>
  <c r="L77" i="24"/>
  <c r="L74" i="24"/>
  <c r="L52" i="24"/>
  <c r="L75" i="24"/>
  <c r="L50" i="24"/>
  <c r="L76" i="24"/>
  <c r="L64" i="24"/>
  <c r="L62" i="24"/>
  <c r="L51" i="24"/>
  <c r="L65" i="24"/>
  <c r="L53" i="24"/>
  <c r="L63" i="24"/>
  <c r="T79" i="24"/>
  <c r="W76" i="24"/>
  <c r="R404" i="24"/>
  <c r="R380" i="24"/>
  <c r="R392" i="24"/>
  <c r="N380" i="24"/>
  <c r="N404" i="24"/>
  <c r="N392" i="24"/>
  <c r="T392" i="24"/>
  <c r="T404" i="24"/>
  <c r="T380" i="24"/>
  <c r="X404" i="24"/>
  <c r="X380" i="24"/>
  <c r="X392" i="24"/>
  <c r="M390" i="24"/>
  <c r="M378" i="24"/>
  <c r="M402" i="24"/>
  <c r="BV11" i="33" s="1"/>
  <c r="B402" i="24"/>
  <c r="S11" i="33" s="1"/>
  <c r="B390" i="24"/>
  <c r="B378" i="24"/>
  <c r="W403" i="24"/>
  <c r="W391" i="24"/>
  <c r="W379" i="24"/>
  <c r="M403" i="24"/>
  <c r="BV12" i="33" s="1"/>
  <c r="M379" i="24"/>
  <c r="M391" i="24"/>
  <c r="V400" i="24"/>
  <c r="V387" i="24"/>
  <c r="V398" i="24"/>
  <c r="V386" i="24"/>
  <c r="V374" i="24"/>
  <c r="V397" i="24"/>
  <c r="V388" i="24"/>
  <c r="V376" i="24"/>
  <c r="V373" i="24"/>
  <c r="V385" i="24"/>
  <c r="V375" i="24"/>
  <c r="V399" i="24"/>
  <c r="P398" i="24"/>
  <c r="P385" i="24"/>
  <c r="P388" i="24"/>
  <c r="P400" i="24"/>
  <c r="P399" i="24"/>
  <c r="P376" i="24"/>
  <c r="P375" i="24"/>
  <c r="P386" i="24"/>
  <c r="P374" i="24"/>
  <c r="P387" i="24"/>
  <c r="P373" i="24"/>
  <c r="P397" i="24"/>
  <c r="AB397" i="24"/>
  <c r="AB400" i="24"/>
  <c r="AB388" i="24"/>
  <c r="AB376" i="24"/>
  <c r="AB386" i="24"/>
  <c r="AB374" i="24"/>
  <c r="AB385" i="24"/>
  <c r="AB398" i="24"/>
  <c r="AB373" i="24"/>
  <c r="AB375" i="24"/>
  <c r="AB387" i="24"/>
  <c r="AB399" i="24"/>
  <c r="E397" i="24"/>
  <c r="E400" i="24"/>
  <c r="E387" i="24"/>
  <c r="E399" i="24"/>
  <c r="E386" i="24"/>
  <c r="E385" i="24"/>
  <c r="E398" i="24"/>
  <c r="E388" i="24"/>
  <c r="E375" i="24"/>
  <c r="E374" i="24"/>
  <c r="E376" i="24"/>
  <c r="E373" i="24"/>
  <c r="AC377" i="24"/>
  <c r="AC401" i="24"/>
  <c r="DY10" i="33" s="1"/>
  <c r="AC389" i="24"/>
  <c r="Y401" i="24"/>
  <c r="Y377" i="24"/>
  <c r="Y389" i="24"/>
  <c r="AB389" i="24"/>
  <c r="AB377" i="24"/>
  <c r="AB401" i="24"/>
  <c r="U295" i="24"/>
  <c r="U271" i="24"/>
  <c r="U283" i="24"/>
  <c r="C392" i="24"/>
  <c r="C404" i="24"/>
  <c r="C380" i="24"/>
  <c r="Q295" i="24"/>
  <c r="Q283" i="24"/>
  <c r="Q271" i="24"/>
  <c r="Z292" i="24"/>
  <c r="Z268" i="24"/>
  <c r="Z280" i="24"/>
  <c r="F292" i="24"/>
  <c r="F280" i="24"/>
  <c r="F268" i="24"/>
  <c r="S292" i="24"/>
  <c r="S280" i="24"/>
  <c r="S268" i="24"/>
  <c r="AB281" i="24"/>
  <c r="AB293" i="24"/>
  <c r="AB269" i="24"/>
  <c r="H269" i="24"/>
  <c r="H293" i="24"/>
  <c r="H281" i="24"/>
  <c r="G293" i="24"/>
  <c r="G269" i="24"/>
  <c r="G281" i="24"/>
  <c r="R283" i="24"/>
  <c r="R271" i="24"/>
  <c r="R295" i="24"/>
  <c r="X295" i="24"/>
  <c r="X283" i="24"/>
  <c r="X271" i="24"/>
  <c r="W283" i="24"/>
  <c r="W271" i="24"/>
  <c r="W295" i="24"/>
  <c r="S174" i="24"/>
  <c r="S162" i="24"/>
  <c r="S186" i="24"/>
  <c r="P294" i="24"/>
  <c r="P270" i="24"/>
  <c r="P282" i="24"/>
  <c r="V294" i="24"/>
  <c r="V270" i="24"/>
  <c r="V282" i="24"/>
  <c r="AB282" i="24"/>
  <c r="AB294" i="24"/>
  <c r="AB270" i="24"/>
  <c r="S168" i="24"/>
  <c r="S180" i="24"/>
  <c r="S156" i="24"/>
  <c r="S169" i="24"/>
  <c r="S158" i="24"/>
  <c r="S183" i="24"/>
  <c r="S182" i="24"/>
  <c r="S170" i="24"/>
  <c r="S159" i="24"/>
  <c r="S171" i="24"/>
  <c r="S157" i="24"/>
  <c r="S181" i="24"/>
  <c r="J181" i="24"/>
  <c r="J183" i="24"/>
  <c r="J169" i="24"/>
  <c r="J157" i="24"/>
  <c r="J158" i="24"/>
  <c r="J170" i="24"/>
  <c r="J182" i="24"/>
  <c r="J180" i="24"/>
  <c r="J159" i="24"/>
  <c r="J171" i="24"/>
  <c r="J156" i="24"/>
  <c r="J168" i="24"/>
  <c r="Q161" i="24"/>
  <c r="Q173" i="24"/>
  <c r="Q185" i="24"/>
  <c r="D173" i="24"/>
  <c r="D161" i="24"/>
  <c r="D185" i="24"/>
  <c r="U69" i="24"/>
  <c r="U81" i="24"/>
  <c r="U57" i="24"/>
  <c r="B290" i="24"/>
  <c r="N8" i="33" s="1"/>
  <c r="B267" i="24"/>
  <c r="B289" i="24"/>
  <c r="N7" i="33" s="1"/>
  <c r="B276" i="24"/>
  <c r="B278" i="24"/>
  <c r="B288" i="24"/>
  <c r="N6" i="33" s="1"/>
  <c r="B291" i="24"/>
  <c r="N9" i="33" s="1"/>
  <c r="B277" i="24"/>
  <c r="B266" i="24"/>
  <c r="B265" i="24"/>
  <c r="B279" i="24"/>
  <c r="B264" i="24"/>
  <c r="AB290" i="24"/>
  <c r="AB291" i="24"/>
  <c r="AB265" i="24"/>
  <c r="AB276" i="24"/>
  <c r="AB289" i="24"/>
  <c r="AB278" i="24"/>
  <c r="AB277" i="24"/>
  <c r="AB267" i="24"/>
  <c r="AB288" i="24"/>
  <c r="AB264" i="24"/>
  <c r="AB279" i="24"/>
  <c r="AB266" i="24"/>
  <c r="P175" i="24"/>
  <c r="P187" i="24"/>
  <c r="P163" i="24"/>
  <c r="K187" i="24"/>
  <c r="I187" i="24"/>
  <c r="I163" i="24"/>
  <c r="I175" i="24"/>
  <c r="AB187" i="24"/>
  <c r="AB163" i="24"/>
  <c r="AB175" i="24"/>
  <c r="M175" i="24"/>
  <c r="M163" i="24"/>
  <c r="M187" i="24"/>
  <c r="BL13" i="33" s="1"/>
  <c r="Z175" i="24"/>
  <c r="Z163" i="24"/>
  <c r="Z187" i="24"/>
  <c r="AC76" i="24"/>
  <c r="DJ8" i="33" s="1"/>
  <c r="AC63" i="24"/>
  <c r="AC77" i="24"/>
  <c r="DJ9" i="33" s="1"/>
  <c r="AC53" i="24"/>
  <c r="AC51" i="24"/>
  <c r="AC65" i="24"/>
  <c r="AC50" i="24"/>
  <c r="AC64" i="24"/>
  <c r="AC74" i="24"/>
  <c r="DJ6" i="33" s="1"/>
  <c r="AC52" i="24"/>
  <c r="AC75" i="24"/>
  <c r="DJ7" i="33" s="1"/>
  <c r="AC62" i="24"/>
  <c r="AB79" i="24"/>
  <c r="AB67" i="24"/>
  <c r="AB55" i="24"/>
  <c r="J69" i="24"/>
  <c r="J81" i="24"/>
  <c r="J57" i="24"/>
  <c r="M78" i="24"/>
  <c r="BG10" i="33" s="1"/>
  <c r="M66" i="24"/>
  <c r="M54" i="24"/>
  <c r="P172" i="24"/>
  <c r="P160" i="24"/>
  <c r="P184" i="24"/>
  <c r="AB172" i="24"/>
  <c r="AB184" i="24"/>
  <c r="AB160" i="24"/>
  <c r="N172" i="24"/>
  <c r="N160" i="24"/>
  <c r="N184" i="24"/>
  <c r="AC184" i="24"/>
  <c r="DO10" i="33" s="1"/>
  <c r="AC172" i="24"/>
  <c r="AC160" i="24"/>
  <c r="AB68" i="24"/>
  <c r="AB56" i="24"/>
  <c r="AB80" i="24"/>
  <c r="S74" i="24"/>
  <c r="S65" i="24"/>
  <c r="S63" i="24"/>
  <c r="S53" i="24"/>
  <c r="S77" i="24"/>
  <c r="S64" i="24"/>
  <c r="S75" i="24"/>
  <c r="S52" i="24"/>
  <c r="S62" i="24"/>
  <c r="S51" i="24"/>
  <c r="S76" i="24"/>
  <c r="S50" i="24"/>
  <c r="E80" i="24"/>
  <c r="E68" i="24"/>
  <c r="E56" i="24"/>
  <c r="G74" i="24"/>
  <c r="G76" i="24"/>
  <c r="G53" i="24"/>
  <c r="G77" i="24"/>
  <c r="G51" i="24"/>
  <c r="G65" i="24"/>
  <c r="G64" i="24"/>
  <c r="G75" i="24"/>
  <c r="G63" i="24"/>
  <c r="G52" i="24"/>
  <c r="G62" i="24"/>
  <c r="G50" i="24"/>
  <c r="V79" i="24"/>
  <c r="V67" i="24"/>
  <c r="V55" i="24"/>
  <c r="G67" i="24"/>
  <c r="G79" i="24"/>
  <c r="G55" i="24"/>
  <c r="O69" i="24"/>
  <c r="O57" i="24"/>
  <c r="O81" i="24"/>
  <c r="O74" i="24"/>
  <c r="O75" i="24"/>
  <c r="O53" i="24"/>
  <c r="O76" i="24"/>
  <c r="O51" i="24"/>
  <c r="O77" i="24"/>
  <c r="O65" i="24"/>
  <c r="O50" i="24"/>
  <c r="O64" i="24"/>
  <c r="O52" i="24"/>
  <c r="O63" i="24"/>
  <c r="O62" i="24"/>
  <c r="V56" i="24"/>
  <c r="V68" i="24"/>
  <c r="V80" i="24"/>
  <c r="O180" i="24"/>
  <c r="O183" i="24"/>
  <c r="O169" i="24"/>
  <c r="O181" i="24"/>
  <c r="O156" i="24"/>
  <c r="O171" i="24"/>
  <c r="O159" i="24"/>
  <c r="O158" i="24"/>
  <c r="O168" i="24"/>
  <c r="O182" i="24"/>
  <c r="O170" i="24"/>
  <c r="O157" i="24"/>
  <c r="L56" i="24"/>
  <c r="L80" i="24"/>
  <c r="L68" i="24"/>
  <c r="L69" i="24"/>
  <c r="L81" i="24"/>
  <c r="L57" i="24"/>
  <c r="W64" i="24"/>
  <c r="F404" i="24"/>
  <c r="F392" i="24"/>
  <c r="F380" i="24"/>
  <c r="AB392" i="24"/>
  <c r="AB404" i="24"/>
  <c r="AB380" i="24"/>
  <c r="C402" i="24"/>
  <c r="C390" i="24"/>
  <c r="C378" i="24"/>
  <c r="AA402" i="24"/>
  <c r="AA378" i="24"/>
  <c r="AA390" i="24"/>
  <c r="C403" i="24"/>
  <c r="C379" i="24"/>
  <c r="C391" i="24"/>
  <c r="U403" i="24"/>
  <c r="U379" i="24"/>
  <c r="U391" i="24"/>
  <c r="B399" i="24"/>
  <c r="S8" i="33" s="1"/>
  <c r="B386" i="24"/>
  <c r="B398" i="24"/>
  <c r="S7" i="33" s="1"/>
  <c r="B387" i="24"/>
  <c r="B376" i="24"/>
  <c r="B397" i="24"/>
  <c r="S6" i="33" s="1"/>
  <c r="B385" i="24"/>
  <c r="B374" i="24"/>
  <c r="B388" i="24"/>
  <c r="B375" i="24"/>
  <c r="B373" i="24"/>
  <c r="B400" i="24"/>
  <c r="S9" i="33" s="1"/>
  <c r="X398" i="24"/>
  <c r="X385" i="24"/>
  <c r="X388" i="24"/>
  <c r="X400" i="24"/>
  <c r="X397" i="24"/>
  <c r="X387" i="24"/>
  <c r="X399" i="24"/>
  <c r="X386" i="24"/>
  <c r="X376" i="24"/>
  <c r="X373" i="24"/>
  <c r="X375" i="24"/>
  <c r="X374" i="24"/>
  <c r="M295" i="24"/>
  <c r="BQ13" i="33" s="1"/>
  <c r="M271" i="24"/>
  <c r="M283" i="24"/>
  <c r="O404" i="24"/>
  <c r="O392" i="24"/>
  <c r="O380" i="24"/>
  <c r="M268" i="24"/>
  <c r="M280" i="24"/>
  <c r="M292" i="24"/>
  <c r="BQ10" i="33" s="1"/>
  <c r="G292" i="24"/>
  <c r="G280" i="24"/>
  <c r="G268" i="24"/>
  <c r="D293" i="24"/>
  <c r="D281" i="24"/>
  <c r="D269" i="24"/>
  <c r="U293" i="24"/>
  <c r="U281" i="24"/>
  <c r="U269" i="24"/>
  <c r="L295" i="24"/>
  <c r="L283" i="24"/>
  <c r="L271" i="24"/>
  <c r="AA174" i="24"/>
  <c r="AA162" i="24"/>
  <c r="AA186" i="24"/>
  <c r="E182" i="24"/>
  <c r="E183" i="24"/>
  <c r="E169" i="24"/>
  <c r="E158" i="24"/>
  <c r="E171" i="24"/>
  <c r="E157" i="24"/>
  <c r="E168" i="24"/>
  <c r="E180" i="24"/>
  <c r="E170" i="24"/>
  <c r="E159" i="24"/>
  <c r="E181" i="24"/>
  <c r="E156" i="24"/>
  <c r="R181" i="24"/>
  <c r="R182" i="24"/>
  <c r="R170" i="24"/>
  <c r="R157" i="24"/>
  <c r="R171" i="24"/>
  <c r="R168" i="24"/>
  <c r="R169" i="24"/>
  <c r="R180" i="24"/>
  <c r="R159" i="24"/>
  <c r="R158" i="24"/>
  <c r="R156" i="24"/>
  <c r="R183" i="24"/>
  <c r="N186" i="24"/>
  <c r="N174" i="24"/>
  <c r="N162" i="24"/>
  <c r="AA185" i="24"/>
  <c r="AA161" i="24"/>
  <c r="AA173" i="24"/>
  <c r="L185" i="24"/>
  <c r="L173" i="24"/>
  <c r="L161" i="24"/>
  <c r="M81" i="24"/>
  <c r="BG13" i="33" s="1"/>
  <c r="M69" i="24"/>
  <c r="M57" i="24"/>
  <c r="L290" i="24"/>
  <c r="L291" i="24"/>
  <c r="L265" i="24"/>
  <c r="L289" i="24"/>
  <c r="L288" i="24"/>
  <c r="L267" i="24"/>
  <c r="L278" i="24"/>
  <c r="L266" i="24"/>
  <c r="L276" i="24"/>
  <c r="L264" i="24"/>
  <c r="L279" i="24"/>
  <c r="L277" i="24"/>
  <c r="AC174" i="24"/>
  <c r="AC186" i="24"/>
  <c r="DO12" i="33" s="1"/>
  <c r="AC162" i="24"/>
  <c r="K175" i="24"/>
  <c r="X81" i="24"/>
  <c r="X69" i="24"/>
  <c r="X57" i="24"/>
  <c r="S57" i="24"/>
  <c r="S81" i="24"/>
  <c r="S69" i="24"/>
  <c r="AC80" i="24"/>
  <c r="DJ12" i="33" s="1"/>
  <c r="AC68" i="24"/>
  <c r="AC56" i="24"/>
  <c r="B78" i="24"/>
  <c r="D10" i="33" s="1"/>
  <c r="B54" i="24"/>
  <c r="B66" i="24"/>
  <c r="Q68" i="24"/>
  <c r="Q80" i="24"/>
  <c r="Q56" i="24"/>
  <c r="H77" i="24"/>
  <c r="H64" i="24"/>
  <c r="H62" i="24"/>
  <c r="H52" i="24"/>
  <c r="H75" i="24"/>
  <c r="H53" i="24"/>
  <c r="H63" i="24"/>
  <c r="H76" i="24"/>
  <c r="H51" i="24"/>
  <c r="H65" i="24"/>
  <c r="H74" i="24"/>
  <c r="H50" i="24"/>
  <c r="AA163" i="24"/>
  <c r="O67" i="24"/>
  <c r="O79" i="24"/>
  <c r="O55" i="24"/>
  <c r="D69" i="24"/>
  <c r="D81" i="24"/>
  <c r="D57" i="24"/>
  <c r="B68" i="24"/>
  <c r="B80" i="24"/>
  <c r="D12" i="33" s="1"/>
  <c r="B56" i="24"/>
  <c r="D175" i="24"/>
  <c r="AB69" i="24"/>
  <c r="AB81" i="24"/>
  <c r="AB57" i="24"/>
  <c r="I67" i="24"/>
  <c r="I55" i="24"/>
  <c r="I79" i="24"/>
  <c r="B81" i="24"/>
  <c r="D13" i="33" s="1"/>
  <c r="B69" i="24"/>
  <c r="B57" i="24"/>
  <c r="W77" i="24"/>
  <c r="E392" i="24"/>
  <c r="E380" i="24"/>
  <c r="E404" i="24"/>
  <c r="X379" i="24"/>
  <c r="X391" i="24"/>
  <c r="X403" i="24"/>
  <c r="P378" i="24"/>
  <c r="P402" i="24"/>
  <c r="P390" i="24"/>
  <c r="R402" i="24"/>
  <c r="R378" i="24"/>
  <c r="R390" i="24"/>
  <c r="O403" i="24"/>
  <c r="O379" i="24"/>
  <c r="O391" i="24"/>
  <c r="Y391" i="24"/>
  <c r="Y403" i="24"/>
  <c r="Y379" i="24"/>
  <c r="AC403" i="24"/>
  <c r="DY12" i="33" s="1"/>
  <c r="AC379" i="24"/>
  <c r="AC391" i="24"/>
  <c r="N400" i="24"/>
  <c r="N387" i="24"/>
  <c r="N398" i="24"/>
  <c r="N386" i="24"/>
  <c r="N374" i="24"/>
  <c r="N399" i="24"/>
  <c r="N385" i="24"/>
  <c r="N373" i="24"/>
  <c r="N375" i="24"/>
  <c r="N397" i="24"/>
  <c r="N388" i="24"/>
  <c r="N376" i="24"/>
  <c r="I388" i="24"/>
  <c r="I399" i="24"/>
  <c r="I387" i="24"/>
  <c r="I385" i="24"/>
  <c r="I375" i="24"/>
  <c r="I374" i="24"/>
  <c r="I400" i="24"/>
  <c r="I376" i="24"/>
  <c r="I398" i="24"/>
  <c r="I386" i="24"/>
  <c r="I373" i="24"/>
  <c r="I397" i="24"/>
  <c r="X390" i="24"/>
  <c r="X402" i="24"/>
  <c r="X378" i="24"/>
  <c r="I401" i="24"/>
  <c r="I377" i="24"/>
  <c r="I389" i="24"/>
  <c r="Q401" i="24"/>
  <c r="Q389" i="24"/>
  <c r="Q377" i="24"/>
  <c r="O401" i="24"/>
  <c r="O389" i="24"/>
  <c r="O377" i="24"/>
  <c r="E295" i="24"/>
  <c r="E271" i="24"/>
  <c r="E283" i="24"/>
  <c r="AA380" i="24"/>
  <c r="AA404" i="24"/>
  <c r="AA392" i="24"/>
  <c r="AC291" i="24"/>
  <c r="DT9" i="33" s="1"/>
  <c r="AC289" i="24"/>
  <c r="DT7" i="33" s="1"/>
  <c r="AC276" i="24"/>
  <c r="AC277" i="24"/>
  <c r="AC267" i="24"/>
  <c r="AC278" i="24"/>
  <c r="AC265" i="24"/>
  <c r="AC279" i="24"/>
  <c r="AC290" i="24"/>
  <c r="DT8" i="33" s="1"/>
  <c r="AC288" i="24"/>
  <c r="DT6" i="33" s="1"/>
  <c r="AC264" i="24"/>
  <c r="AC266" i="24"/>
  <c r="P292" i="24"/>
  <c r="P280" i="24"/>
  <c r="P268" i="24"/>
  <c r="V280" i="24"/>
  <c r="V268" i="24"/>
  <c r="V292" i="24"/>
  <c r="J293" i="24"/>
  <c r="J281" i="24"/>
  <c r="J269" i="24"/>
  <c r="S295" i="24"/>
  <c r="S271" i="24"/>
  <c r="S283" i="24"/>
  <c r="G174" i="24"/>
  <c r="G186" i="24"/>
  <c r="G162" i="24"/>
  <c r="E294" i="24"/>
  <c r="E270" i="24"/>
  <c r="E282" i="24"/>
  <c r="L171" i="24"/>
  <c r="L183" i="24"/>
  <c r="L182" i="24"/>
  <c r="L159" i="24"/>
  <c r="L180" i="24"/>
  <c r="L168" i="24"/>
  <c r="L181" i="24"/>
  <c r="L158" i="24"/>
  <c r="L157" i="24"/>
  <c r="L156" i="24"/>
  <c r="L169" i="24"/>
  <c r="L170" i="24"/>
  <c r="Z181" i="24"/>
  <c r="Z183" i="24"/>
  <c r="Z157" i="24"/>
  <c r="Z182" i="24"/>
  <c r="Z180" i="24"/>
  <c r="Z169" i="24"/>
  <c r="Z170" i="24"/>
  <c r="Z159" i="24"/>
  <c r="Z158" i="24"/>
  <c r="Z171" i="24"/>
  <c r="Z156" i="24"/>
  <c r="Z168" i="24"/>
  <c r="V185" i="24"/>
  <c r="V173" i="24"/>
  <c r="V161" i="24"/>
  <c r="G161" i="24"/>
  <c r="G173" i="24"/>
  <c r="G185" i="24"/>
  <c r="T173" i="24"/>
  <c r="T161" i="24"/>
  <c r="T185" i="24"/>
  <c r="S187" i="24"/>
  <c r="S175" i="24"/>
  <c r="S163" i="24"/>
  <c r="E69" i="24"/>
  <c r="E57" i="24"/>
  <c r="E81" i="24"/>
  <c r="X291" i="24"/>
  <c r="X277" i="24"/>
  <c r="X278" i="24"/>
  <c r="X290" i="24"/>
  <c r="X265" i="24"/>
  <c r="X264" i="24"/>
  <c r="X266" i="24"/>
  <c r="X279" i="24"/>
  <c r="X288" i="24"/>
  <c r="X267" i="24"/>
  <c r="X289" i="24"/>
  <c r="X276" i="24"/>
  <c r="R186" i="24"/>
  <c r="R174" i="24"/>
  <c r="R162" i="24"/>
  <c r="T187" i="24"/>
  <c r="T163" i="24"/>
  <c r="T175" i="24"/>
  <c r="F187" i="24"/>
  <c r="F175" i="24"/>
  <c r="F163" i="24"/>
  <c r="M76" i="24"/>
  <c r="BG8" i="33" s="1"/>
  <c r="M63" i="24"/>
  <c r="M53" i="24"/>
  <c r="M51" i="24"/>
  <c r="M62" i="24"/>
  <c r="M65" i="24"/>
  <c r="M77" i="24"/>
  <c r="BG9" i="33" s="1"/>
  <c r="M50" i="24"/>
  <c r="M74" i="24"/>
  <c r="BG6" i="33" s="1"/>
  <c r="M64" i="24"/>
  <c r="M75" i="24"/>
  <c r="BG7" i="33" s="1"/>
  <c r="M52" i="24"/>
  <c r="U80" i="24"/>
  <c r="U68" i="24"/>
  <c r="U56" i="24"/>
  <c r="AA57" i="24"/>
  <c r="AA81" i="24"/>
  <c r="AA69" i="24"/>
  <c r="Q163" i="24"/>
  <c r="M46" i="24"/>
  <c r="F79" i="24"/>
  <c r="F67" i="24"/>
  <c r="F55" i="24"/>
  <c r="S80" i="24"/>
  <c r="S68" i="24"/>
  <c r="S56" i="24"/>
  <c r="T77" i="24"/>
  <c r="T52" i="24"/>
  <c r="T74" i="24"/>
  <c r="T50" i="24"/>
  <c r="T75" i="24"/>
  <c r="T64" i="24"/>
  <c r="T53" i="24"/>
  <c r="T63" i="24"/>
  <c r="T62" i="24"/>
  <c r="T51" i="24"/>
  <c r="T76" i="24"/>
  <c r="T65" i="24"/>
  <c r="T172" i="24"/>
  <c r="T184" i="24"/>
  <c r="T160" i="24"/>
  <c r="D160" i="24"/>
  <c r="D184" i="24"/>
  <c r="D172" i="24"/>
  <c r="G80" i="24"/>
  <c r="G68" i="24"/>
  <c r="G56" i="24"/>
  <c r="M55" i="24"/>
  <c r="M79" i="24"/>
  <c r="BG11" i="33" s="1"/>
  <c r="M67" i="24"/>
  <c r="S78" i="24"/>
  <c r="S54" i="24"/>
  <c r="S66" i="24"/>
  <c r="W67" i="24"/>
  <c r="W55" i="24"/>
  <c r="W79" i="24"/>
  <c r="M80" i="24"/>
  <c r="BG12" i="33" s="1"/>
  <c r="M68" i="24"/>
  <c r="M56" i="24"/>
  <c r="J80" i="24"/>
  <c r="J56" i="24"/>
  <c r="J68" i="24"/>
  <c r="D163" i="24"/>
  <c r="Q170" i="24"/>
  <c r="Q182" i="24"/>
  <c r="Q180" i="24"/>
  <c r="Q158" i="24"/>
  <c r="Q157" i="24"/>
  <c r="Q171" i="24"/>
  <c r="Q183" i="24"/>
  <c r="Q181" i="24"/>
  <c r="Q168" i="24"/>
  <c r="Q169" i="24"/>
  <c r="Q159" i="24"/>
  <c r="Q156" i="24"/>
  <c r="J79" i="24"/>
  <c r="J67" i="24"/>
  <c r="J55" i="24"/>
  <c r="AA78" i="24"/>
  <c r="AA54" i="24"/>
  <c r="AA66" i="24"/>
  <c r="T66" i="24"/>
  <c r="T78" i="24"/>
  <c r="T54" i="24"/>
  <c r="W53" i="24"/>
  <c r="Y404" i="24"/>
  <c r="Y380" i="24"/>
  <c r="Y392" i="24"/>
  <c r="F403" i="24"/>
  <c r="F379" i="24"/>
  <c r="F391" i="24"/>
  <c r="AC390" i="24"/>
  <c r="AC402" i="24"/>
  <c r="DY11" i="33" s="1"/>
  <c r="AC378" i="24"/>
  <c r="AB402" i="24"/>
  <c r="AB378" i="24"/>
  <c r="AB390" i="24"/>
  <c r="N390" i="24"/>
  <c r="N402" i="24"/>
  <c r="N378" i="24"/>
  <c r="Z402" i="24"/>
  <c r="Z378" i="24"/>
  <c r="Z390" i="24"/>
  <c r="E378" i="24"/>
  <c r="E402" i="24"/>
  <c r="E390" i="24"/>
  <c r="P401" i="24"/>
  <c r="P389" i="24"/>
  <c r="P377" i="24"/>
  <c r="S389" i="24"/>
  <c r="S401" i="24"/>
  <c r="S377" i="24"/>
  <c r="Q289" i="24"/>
  <c r="Q290" i="24"/>
  <c r="Q264" i="24"/>
  <c r="Q276" i="24"/>
  <c r="Q288" i="24"/>
  <c r="Q267" i="24"/>
  <c r="Q266" i="24"/>
  <c r="Q265" i="24"/>
  <c r="Q279" i="24"/>
  <c r="Q291" i="24"/>
  <c r="Q277" i="24"/>
  <c r="Q278" i="24"/>
  <c r="N403" i="24"/>
  <c r="N379" i="24"/>
  <c r="N391" i="24"/>
  <c r="U291" i="24"/>
  <c r="U276" i="24"/>
  <c r="U288" i="24"/>
  <c r="U277" i="24"/>
  <c r="U267" i="24"/>
  <c r="U266" i="24"/>
  <c r="U279" i="24"/>
  <c r="U264" i="24"/>
  <c r="U265" i="24"/>
  <c r="U290" i="24"/>
  <c r="U278" i="24"/>
  <c r="U289" i="24"/>
  <c r="X292" i="24"/>
  <c r="X280" i="24"/>
  <c r="X268" i="24"/>
  <c r="X269" i="24"/>
  <c r="X281" i="24"/>
  <c r="X293" i="24"/>
  <c r="AC293" i="24"/>
  <c r="DT11" i="33" s="1"/>
  <c r="AC281" i="24"/>
  <c r="AC269" i="24"/>
  <c r="V281" i="24"/>
  <c r="V269" i="24"/>
  <c r="V293" i="24"/>
  <c r="I281" i="24"/>
  <c r="I269" i="24"/>
  <c r="I293" i="24"/>
  <c r="C292" i="24"/>
  <c r="C280" i="24"/>
  <c r="C268" i="24"/>
  <c r="AC268" i="24"/>
  <c r="AC280" i="24"/>
  <c r="AC292" i="24"/>
  <c r="DT10" i="33" s="1"/>
  <c r="H295" i="24"/>
  <c r="H271" i="24"/>
  <c r="H283" i="24"/>
  <c r="B283" i="24"/>
  <c r="B295" i="24"/>
  <c r="N13" i="33" s="1"/>
  <c r="B271" i="24"/>
  <c r="T162" i="24"/>
  <c r="T186" i="24"/>
  <c r="T174" i="24"/>
  <c r="O186" i="24"/>
  <c r="O174" i="24"/>
  <c r="O162" i="24"/>
  <c r="Q294" i="24"/>
  <c r="Q282" i="24"/>
  <c r="Q270" i="24"/>
  <c r="W180" i="24"/>
  <c r="W182" i="24"/>
  <c r="W156" i="24"/>
  <c r="W170" i="24"/>
  <c r="W159" i="24"/>
  <c r="W168" i="24"/>
  <c r="W158" i="24"/>
  <c r="W157" i="24"/>
  <c r="W171" i="24"/>
  <c r="W183" i="24"/>
  <c r="W181" i="24"/>
  <c r="W169" i="24"/>
  <c r="C173" i="24"/>
  <c r="C161" i="24"/>
  <c r="C185" i="24"/>
  <c r="B173" i="24"/>
  <c r="B185" i="24"/>
  <c r="I11" i="33" s="1"/>
  <c r="B161" i="24"/>
  <c r="AB185" i="24"/>
  <c r="AB173" i="24"/>
  <c r="AB161" i="24"/>
  <c r="AB174" i="24"/>
  <c r="AB186" i="24"/>
  <c r="AB162" i="24"/>
  <c r="AC175" i="24"/>
  <c r="AC163" i="24"/>
  <c r="AC187" i="24"/>
  <c r="DO13" i="33" s="1"/>
  <c r="Q76" i="24"/>
  <c r="Q51" i="24"/>
  <c r="Q65" i="24"/>
  <c r="Q74" i="24"/>
  <c r="Q63" i="24"/>
  <c r="Q50" i="24"/>
  <c r="Q77" i="24"/>
  <c r="Q64" i="24"/>
  <c r="Q53" i="24"/>
  <c r="Q75" i="24"/>
  <c r="Q52" i="24"/>
  <c r="Q62" i="24"/>
  <c r="C278" i="24"/>
  <c r="C288" i="24"/>
  <c r="C279" i="24"/>
  <c r="C267" i="24"/>
  <c r="C289" i="24"/>
  <c r="C266" i="24"/>
  <c r="C291" i="24"/>
  <c r="C277" i="24"/>
  <c r="C264" i="24"/>
  <c r="C276" i="24"/>
  <c r="C265" i="24"/>
  <c r="C290" i="24"/>
  <c r="G291" i="24"/>
  <c r="G289" i="24"/>
  <c r="G288" i="24"/>
  <c r="G266" i="24"/>
  <c r="G290" i="24"/>
  <c r="G276" i="24"/>
  <c r="G264" i="24"/>
  <c r="G278" i="24"/>
  <c r="G267" i="24"/>
  <c r="G265" i="24"/>
  <c r="G277" i="24"/>
  <c r="G279" i="24"/>
  <c r="Z186" i="24"/>
  <c r="Z174" i="24"/>
  <c r="Z162" i="24"/>
  <c r="K185" i="24"/>
  <c r="K161" i="24"/>
  <c r="K173" i="24"/>
  <c r="Z173" i="24"/>
  <c r="Z185" i="24"/>
  <c r="Z161" i="24"/>
  <c r="E185" i="24"/>
  <c r="E173" i="24"/>
  <c r="E161" i="24"/>
  <c r="H175" i="24"/>
  <c r="H187" i="24"/>
  <c r="H163" i="24"/>
  <c r="E76" i="24"/>
  <c r="E63" i="24"/>
  <c r="E53" i="24"/>
  <c r="E77" i="24"/>
  <c r="E51" i="24"/>
  <c r="E74" i="24"/>
  <c r="E50" i="24"/>
  <c r="E64" i="24"/>
  <c r="E75" i="24"/>
  <c r="E52" i="24"/>
  <c r="E62" i="24"/>
  <c r="E65" i="24"/>
  <c r="B75" i="24"/>
  <c r="D7" i="33" s="1"/>
  <c r="B62" i="24"/>
  <c r="B52" i="24"/>
  <c r="B76" i="24"/>
  <c r="D8" i="33" s="1"/>
  <c r="B50" i="24"/>
  <c r="B77" i="24"/>
  <c r="D9" i="33" s="1"/>
  <c r="B51" i="24"/>
  <c r="B74" i="24"/>
  <c r="D6" i="33" s="1"/>
  <c r="B65" i="24"/>
  <c r="B64" i="24"/>
  <c r="B53" i="24"/>
  <c r="B63" i="24"/>
  <c r="Q175" i="24"/>
  <c r="Y78" i="24"/>
  <c r="Y66" i="24"/>
  <c r="Y54" i="24"/>
  <c r="H80" i="24"/>
  <c r="H56" i="24"/>
  <c r="H68" i="24"/>
  <c r="J75" i="24"/>
  <c r="J77" i="24"/>
  <c r="J62" i="24"/>
  <c r="J52" i="24"/>
  <c r="J50" i="24"/>
  <c r="J63" i="24"/>
  <c r="J76" i="24"/>
  <c r="J51" i="24"/>
  <c r="J65" i="24"/>
  <c r="J74" i="24"/>
  <c r="J64" i="24"/>
  <c r="J53" i="24"/>
  <c r="Y184" i="24"/>
  <c r="Y160" i="24"/>
  <c r="Y172" i="24"/>
  <c r="Y67" i="24"/>
  <c r="Y55" i="24"/>
  <c r="Y79" i="24"/>
  <c r="B79" i="24"/>
  <c r="D11" i="33" s="1"/>
  <c r="B67" i="24"/>
  <c r="B55" i="24"/>
  <c r="P81" i="24"/>
  <c r="P69" i="24"/>
  <c r="P57" i="24"/>
  <c r="I78" i="24"/>
  <c r="I66" i="24"/>
  <c r="I54" i="24"/>
  <c r="C80" i="24"/>
  <c r="C68" i="24"/>
  <c r="C56" i="24"/>
  <c r="R68" i="24"/>
  <c r="R80" i="24"/>
  <c r="R56" i="24"/>
  <c r="G78" i="24"/>
  <c r="G66" i="24"/>
  <c r="G54" i="24"/>
  <c r="Q54" i="24"/>
  <c r="Q78" i="24"/>
  <c r="Q66" i="24"/>
  <c r="AB66" i="24"/>
  <c r="AB54" i="24"/>
  <c r="AB78" i="24"/>
  <c r="R79" i="24"/>
  <c r="R67" i="24"/>
  <c r="R55" i="24"/>
  <c r="K380" i="24"/>
  <c r="K392" i="24"/>
  <c r="K404" i="24"/>
  <c r="S392" i="24"/>
  <c r="S380" i="24"/>
  <c r="S404" i="24"/>
  <c r="U392" i="24"/>
  <c r="U380" i="24"/>
  <c r="U404" i="24"/>
  <c r="K402" i="24"/>
  <c r="K390" i="24"/>
  <c r="K378" i="24"/>
  <c r="L403" i="24"/>
  <c r="L379" i="24"/>
  <c r="L391" i="24"/>
  <c r="D402" i="24"/>
  <c r="D390" i="24"/>
  <c r="D378" i="24"/>
  <c r="H378" i="24"/>
  <c r="H402" i="24"/>
  <c r="H390" i="24"/>
  <c r="V390" i="24"/>
  <c r="V402" i="24"/>
  <c r="V378" i="24"/>
  <c r="W398" i="24"/>
  <c r="W385" i="24"/>
  <c r="W397" i="24"/>
  <c r="W388" i="24"/>
  <c r="W375" i="24"/>
  <c r="W373" i="24"/>
  <c r="W400" i="24"/>
  <c r="W399" i="24"/>
  <c r="W374" i="24"/>
  <c r="W376" i="24"/>
  <c r="W387" i="24"/>
  <c r="W386" i="24"/>
  <c r="D379" i="24"/>
  <c r="D403" i="24"/>
  <c r="D391" i="24"/>
  <c r="J391" i="24"/>
  <c r="J403" i="24"/>
  <c r="J379" i="24"/>
  <c r="C399" i="24"/>
  <c r="C386" i="24"/>
  <c r="C397" i="24"/>
  <c r="C385" i="24"/>
  <c r="C400" i="24"/>
  <c r="C373" i="24"/>
  <c r="C398" i="24"/>
  <c r="C376" i="24"/>
  <c r="C388" i="24"/>
  <c r="C375" i="24"/>
  <c r="C387" i="24"/>
  <c r="C374" i="24"/>
  <c r="Y388" i="24"/>
  <c r="Y399" i="24"/>
  <c r="Y387" i="24"/>
  <c r="Y375" i="24"/>
  <c r="Y386" i="24"/>
  <c r="Y397" i="24"/>
  <c r="Y376" i="24"/>
  <c r="Y373" i="24"/>
  <c r="Y385" i="24"/>
  <c r="Y398" i="24"/>
  <c r="Y400" i="24"/>
  <c r="Y374" i="24"/>
  <c r="S399" i="24"/>
  <c r="S386" i="24"/>
  <c r="S397" i="24"/>
  <c r="S385" i="24"/>
  <c r="S400" i="24"/>
  <c r="S373" i="24"/>
  <c r="S375" i="24"/>
  <c r="S374" i="24"/>
  <c r="S398" i="24"/>
  <c r="S388" i="24"/>
  <c r="S387" i="24"/>
  <c r="S376" i="24"/>
  <c r="L402" i="24"/>
  <c r="L390" i="24"/>
  <c r="L378" i="24"/>
  <c r="V401" i="24"/>
  <c r="V389" i="24"/>
  <c r="V377" i="24"/>
  <c r="AA389" i="24"/>
  <c r="AA401" i="24"/>
  <c r="AA377" i="24"/>
  <c r="I289" i="24"/>
  <c r="I290" i="24"/>
  <c r="I288" i="24"/>
  <c r="I277" i="24"/>
  <c r="I266" i="24"/>
  <c r="I278" i="24"/>
  <c r="I264" i="24"/>
  <c r="I276" i="24"/>
  <c r="I291" i="24"/>
  <c r="I267" i="24"/>
  <c r="I265" i="24"/>
  <c r="I279" i="24"/>
  <c r="J404" i="24"/>
  <c r="J392" i="24"/>
  <c r="J380" i="24"/>
  <c r="M291" i="24"/>
  <c r="BQ9" i="33" s="1"/>
  <c r="M276" i="24"/>
  <c r="M277" i="24"/>
  <c r="M278" i="24"/>
  <c r="M266" i="24"/>
  <c r="M279" i="24"/>
  <c r="M267" i="24"/>
  <c r="M290" i="24"/>
  <c r="BQ8" i="33" s="1"/>
  <c r="M289" i="24"/>
  <c r="BQ7" i="33" s="1"/>
  <c r="M288" i="24"/>
  <c r="BQ6" i="33" s="1"/>
  <c r="M264" i="24"/>
  <c r="M265" i="24"/>
  <c r="Y280" i="24"/>
  <c r="Y268" i="24"/>
  <c r="Y292" i="24"/>
  <c r="D292" i="24"/>
  <c r="D280" i="24"/>
  <c r="D268" i="24"/>
  <c r="M293" i="24"/>
  <c r="BQ11" i="33" s="1"/>
  <c r="M269" i="24"/>
  <c r="M281" i="24"/>
  <c r="E293" i="24"/>
  <c r="E281" i="24"/>
  <c r="E269" i="24"/>
  <c r="Q281" i="24"/>
  <c r="Q269" i="24"/>
  <c r="Q293" i="24"/>
  <c r="T295" i="24"/>
  <c r="T283" i="24"/>
  <c r="T271" i="24"/>
  <c r="N271" i="24"/>
  <c r="N295" i="24"/>
  <c r="N283" i="24"/>
  <c r="U268" i="24"/>
  <c r="U280" i="24"/>
  <c r="U292" i="24"/>
  <c r="X186" i="24"/>
  <c r="X162" i="24"/>
  <c r="X174" i="24"/>
  <c r="J162" i="24"/>
  <c r="J186" i="24"/>
  <c r="J174" i="24"/>
  <c r="W174" i="24"/>
  <c r="W162" i="24"/>
  <c r="W186" i="24"/>
  <c r="Y282" i="24"/>
  <c r="Y270" i="24"/>
  <c r="Y294" i="24"/>
  <c r="G294" i="24"/>
  <c r="G282" i="24"/>
  <c r="G270" i="24"/>
  <c r="N169" i="24"/>
  <c r="N181" i="24"/>
  <c r="N157" i="24"/>
  <c r="N182" i="24"/>
  <c r="N180" i="24"/>
  <c r="N156" i="24"/>
  <c r="N170" i="24"/>
  <c r="N183" i="24"/>
  <c r="N168" i="24"/>
  <c r="N159" i="24"/>
  <c r="N158" i="24"/>
  <c r="N171" i="24"/>
  <c r="M174" i="24"/>
  <c r="M186" i="24"/>
  <c r="BL12" i="33" s="1"/>
  <c r="M162" i="24"/>
  <c r="O173" i="24"/>
  <c r="O185" i="24"/>
  <c r="O161" i="24"/>
  <c r="AC173" i="24"/>
  <c r="AC161" i="24"/>
  <c r="AC185" i="24"/>
  <c r="DO11" i="33" s="1"/>
  <c r="E174" i="24"/>
  <c r="E186" i="24"/>
  <c r="E162" i="24"/>
  <c r="N288" i="24"/>
  <c r="N289" i="24"/>
  <c r="N290" i="24"/>
  <c r="N279" i="24"/>
  <c r="N291" i="24"/>
  <c r="N265" i="24"/>
  <c r="N276" i="24"/>
  <c r="N277" i="24"/>
  <c r="N278" i="24"/>
  <c r="N266" i="24"/>
  <c r="N267" i="24"/>
  <c r="N264" i="24"/>
  <c r="R290" i="24"/>
  <c r="R289" i="24"/>
  <c r="R267" i="24"/>
  <c r="R291" i="24"/>
  <c r="R276" i="24"/>
  <c r="R278" i="24"/>
  <c r="R266" i="24"/>
  <c r="R288" i="24"/>
  <c r="R277" i="24"/>
  <c r="R264" i="24"/>
  <c r="R279" i="24"/>
  <c r="R265" i="24"/>
  <c r="D186" i="24"/>
  <c r="D174" i="24"/>
  <c r="D162" i="24"/>
  <c r="L174" i="24"/>
  <c r="L186" i="24"/>
  <c r="L162" i="24"/>
  <c r="U175" i="24"/>
  <c r="U187" i="24"/>
  <c r="U163" i="24"/>
  <c r="N66" i="24"/>
  <c r="N54" i="24"/>
  <c r="N78" i="24"/>
  <c r="Z79" i="24"/>
  <c r="Z55" i="24"/>
  <c r="Z67" i="24"/>
  <c r="N79" i="24"/>
  <c r="N55" i="24"/>
  <c r="N67" i="24"/>
  <c r="R81" i="24"/>
  <c r="R57" i="24"/>
  <c r="R69" i="24"/>
  <c r="U78" i="24"/>
  <c r="U66" i="24"/>
  <c r="U54" i="24"/>
  <c r="F81" i="24"/>
  <c r="F57" i="24"/>
  <c r="F69" i="24"/>
  <c r="AA74" i="24"/>
  <c r="AA65" i="24"/>
  <c r="AA63" i="24"/>
  <c r="AA53" i="24"/>
  <c r="AA75" i="24"/>
  <c r="AA62" i="24"/>
  <c r="AA51" i="24"/>
  <c r="AA76" i="24"/>
  <c r="AA50" i="24"/>
  <c r="AA64" i="24"/>
  <c r="AA77" i="24"/>
  <c r="AA52" i="24"/>
  <c r="C79" i="24"/>
  <c r="C55" i="24"/>
  <c r="C67" i="24"/>
  <c r="Z80" i="24"/>
  <c r="Z68" i="24"/>
  <c r="Z56" i="24"/>
  <c r="D77" i="24"/>
  <c r="D75" i="24"/>
  <c r="D52" i="24"/>
  <c r="D76" i="24"/>
  <c r="D50" i="24"/>
  <c r="D64" i="24"/>
  <c r="D74" i="24"/>
  <c r="D65" i="24"/>
  <c r="D53" i="24"/>
  <c r="D63" i="24"/>
  <c r="D62" i="24"/>
  <c r="D51" i="24"/>
  <c r="Z69" i="24"/>
  <c r="Z57" i="24"/>
  <c r="Z81" i="24"/>
  <c r="F66" i="24"/>
  <c r="F54" i="24"/>
  <c r="F78" i="24"/>
  <c r="H67" i="24"/>
  <c r="H79" i="24"/>
  <c r="H55" i="24"/>
  <c r="G392" i="24"/>
  <c r="G404" i="24"/>
  <c r="G380" i="24"/>
  <c r="Z399" i="24"/>
  <c r="Z386" i="24"/>
  <c r="Z398" i="24"/>
  <c r="Z397" i="24"/>
  <c r="Z376" i="24"/>
  <c r="Z374" i="24"/>
  <c r="Z388" i="24"/>
  <c r="Z385" i="24"/>
  <c r="Z375" i="24"/>
  <c r="Z400" i="24"/>
  <c r="Z387" i="24"/>
  <c r="Z373" i="24"/>
  <c r="R399" i="24"/>
  <c r="R386" i="24"/>
  <c r="R398" i="24"/>
  <c r="R385" i="24"/>
  <c r="R376" i="24"/>
  <c r="R397" i="24"/>
  <c r="R388" i="24"/>
  <c r="R374" i="24"/>
  <c r="R387" i="24"/>
  <c r="R373" i="24"/>
  <c r="R400" i="24"/>
  <c r="R375" i="24"/>
  <c r="D397" i="24"/>
  <c r="D400" i="24"/>
  <c r="D388" i="24"/>
  <c r="D376" i="24"/>
  <c r="D373" i="24"/>
  <c r="D385" i="24"/>
  <c r="D374" i="24"/>
  <c r="D398" i="24"/>
  <c r="D387" i="24"/>
  <c r="D375" i="24"/>
  <c r="D399" i="24"/>
  <c r="D386" i="24"/>
  <c r="E291" i="24"/>
  <c r="E289" i="24"/>
  <c r="E276" i="24"/>
  <c r="E277" i="24"/>
  <c r="E279" i="24"/>
  <c r="E265" i="24"/>
  <c r="E290" i="24"/>
  <c r="E266" i="24"/>
  <c r="E267" i="24"/>
  <c r="E288" i="24"/>
  <c r="E264" i="24"/>
  <c r="E278" i="24"/>
  <c r="K292" i="24"/>
  <c r="K268" i="24"/>
  <c r="K280" i="24"/>
  <c r="I280" i="24"/>
  <c r="I268" i="24"/>
  <c r="I292" i="24"/>
  <c r="R293" i="24"/>
  <c r="R269" i="24"/>
  <c r="R281" i="24"/>
  <c r="Y281" i="24"/>
  <c r="Y293" i="24"/>
  <c r="Y269" i="24"/>
  <c r="O282" i="24"/>
  <c r="O270" i="24"/>
  <c r="O294" i="24"/>
  <c r="V169" i="24"/>
  <c r="V181" i="24"/>
  <c r="V170" i="24"/>
  <c r="V157" i="24"/>
  <c r="V180" i="24"/>
  <c r="V159" i="24"/>
  <c r="V182" i="24"/>
  <c r="V158" i="24"/>
  <c r="V171" i="24"/>
  <c r="V183" i="24"/>
  <c r="V156" i="24"/>
  <c r="V168" i="24"/>
  <c r="F186" i="24"/>
  <c r="F162" i="24"/>
  <c r="F174" i="24"/>
  <c r="V288" i="24"/>
  <c r="V289" i="24"/>
  <c r="V279" i="24"/>
  <c r="V290" i="24"/>
  <c r="V266" i="24"/>
  <c r="V278" i="24"/>
  <c r="V291" i="24"/>
  <c r="V277" i="24"/>
  <c r="V265" i="24"/>
  <c r="V264" i="24"/>
  <c r="V267" i="24"/>
  <c r="V276" i="24"/>
  <c r="Y57" i="24"/>
  <c r="Y69" i="24"/>
  <c r="Y81" i="24"/>
  <c r="K81" i="24"/>
  <c r="K57" i="24"/>
  <c r="K69" i="24"/>
  <c r="C78" i="24"/>
  <c r="C54" i="24"/>
  <c r="C66" i="24"/>
  <c r="D67" i="24"/>
  <c r="D79" i="24"/>
  <c r="D55" i="24"/>
  <c r="G57" i="24"/>
  <c r="G69" i="24"/>
  <c r="G81" i="24"/>
  <c r="J54" i="24"/>
  <c r="J78" i="24"/>
  <c r="J66" i="24"/>
  <c r="Y68" i="24"/>
  <c r="Y80" i="24"/>
  <c r="Y56" i="24"/>
  <c r="P77" i="24"/>
  <c r="P64" i="24"/>
  <c r="P62" i="24"/>
  <c r="P52" i="24"/>
  <c r="P76" i="24"/>
  <c r="P65" i="24"/>
  <c r="P50" i="24"/>
  <c r="P74" i="24"/>
  <c r="P53" i="24"/>
  <c r="P63" i="24"/>
  <c r="P75" i="24"/>
  <c r="P51" i="24"/>
  <c r="K55" i="24"/>
  <c r="K79" i="24"/>
  <c r="K67" i="24"/>
  <c r="N81" i="24"/>
  <c r="N57" i="24"/>
  <c r="N69" i="24"/>
  <c r="X77" i="24"/>
  <c r="X64" i="24"/>
  <c r="X62" i="24"/>
  <c r="X52" i="24"/>
  <c r="X75" i="24"/>
  <c r="X51" i="24"/>
  <c r="X76" i="24"/>
  <c r="X65" i="24"/>
  <c r="X50" i="24"/>
  <c r="X53" i="24"/>
  <c r="X74" i="24"/>
  <c r="X63" i="24"/>
  <c r="O78" i="24"/>
  <c r="O54" i="24"/>
  <c r="O66" i="24"/>
  <c r="AN231" i="23"/>
  <c r="Y251" i="23" s="1"/>
  <c r="AL11" i="19"/>
  <c r="W31" i="19" s="1"/>
  <c r="AN20" i="23"/>
  <c r="Y40" i="23" s="1"/>
  <c r="AO226" i="23"/>
  <c r="Z246" i="23" s="1"/>
  <c r="AR443" i="23"/>
  <c r="AC463" i="23" s="1"/>
  <c r="AN233" i="23"/>
  <c r="Y253" i="23" s="1"/>
  <c r="AM450" i="23"/>
  <c r="X470" i="23" s="1"/>
  <c r="AG345" i="23"/>
  <c r="R365" i="23" s="1"/>
  <c r="AA117" i="19"/>
  <c r="L137" i="19" s="1"/>
  <c r="AC128" i="23"/>
  <c r="N148" i="23" s="1"/>
  <c r="AJ132" i="19"/>
  <c r="AF15" i="21"/>
  <c r="Q35" i="21" s="1"/>
  <c r="AK229" i="20"/>
  <c r="V249" i="20" s="1"/>
  <c r="AN343" i="19"/>
  <c r="Y363" i="19" s="1"/>
  <c r="AA11" i="19"/>
  <c r="L31" i="19" s="1"/>
  <c r="AN125" i="19"/>
  <c r="Y145" i="19" s="1"/>
  <c r="AH11" i="19"/>
  <c r="S31" i="19" s="1"/>
  <c r="AG117" i="22"/>
  <c r="R137" i="22" s="1"/>
  <c r="AA348" i="21"/>
  <c r="W128" i="23"/>
  <c r="H148" i="23" s="1"/>
  <c r="AC11" i="19"/>
  <c r="N31" i="19" s="1"/>
  <c r="AN11" i="19"/>
  <c r="Y31" i="19" s="1"/>
  <c r="AK11" i="19"/>
  <c r="V31" i="19" s="1"/>
  <c r="R117" i="19"/>
  <c r="C137" i="19" s="1"/>
  <c r="AN128" i="19"/>
  <c r="Y148" i="19" s="1"/>
  <c r="AJ125" i="19"/>
  <c r="U145" i="19" s="1"/>
  <c r="R132" i="19"/>
  <c r="AB117" i="20"/>
  <c r="M137" i="20" s="1"/>
  <c r="AP128" i="20"/>
  <c r="AA148" i="20" s="1"/>
  <c r="R11" i="19"/>
  <c r="C31" i="19" s="1"/>
  <c r="AO11" i="19"/>
  <c r="Z31" i="19" s="1"/>
  <c r="AN441" i="21"/>
  <c r="Y461" i="21" s="1"/>
  <c r="AK231" i="21"/>
  <c r="V251" i="21" s="1"/>
  <c r="U11" i="19"/>
  <c r="F31" i="19" s="1"/>
  <c r="AP11" i="19"/>
  <c r="AA31" i="19" s="1"/>
  <c r="AA19" i="19"/>
  <c r="L39" i="19" s="1"/>
  <c r="Y11" i="19"/>
  <c r="J31" i="19" s="1"/>
  <c r="AQ11" i="19"/>
  <c r="AB31" i="19" s="1"/>
  <c r="Z11" i="19"/>
  <c r="K31" i="19" s="1"/>
  <c r="AL335" i="19"/>
  <c r="W355" i="19" s="1"/>
  <c r="X231" i="19"/>
  <c r="I251" i="19" s="1"/>
  <c r="T343" i="19"/>
  <c r="E363" i="19" s="1"/>
  <c r="U229" i="19"/>
  <c r="F249" i="19" s="1"/>
  <c r="AB20" i="20"/>
  <c r="M40" i="20" s="1"/>
  <c r="V343" i="20"/>
  <c r="G363" i="20" s="1"/>
  <c r="U229" i="20"/>
  <c r="AL20" i="23"/>
  <c r="W40" i="23" s="1"/>
  <c r="AN19" i="19"/>
  <c r="Y39" i="19" s="1"/>
  <c r="AC19" i="19"/>
  <c r="N39" i="19" s="1"/>
  <c r="AA117" i="23"/>
  <c r="L137" i="23" s="1"/>
  <c r="Q19" i="19"/>
  <c r="B39" i="19" s="1"/>
  <c r="AG19" i="19"/>
  <c r="R39" i="19" s="1"/>
  <c r="AD15" i="21"/>
  <c r="O35" i="21" s="1"/>
  <c r="Z117" i="23"/>
  <c r="K137" i="23" s="1"/>
  <c r="R19" i="19"/>
  <c r="C39" i="19" s="1"/>
  <c r="AI19" i="19"/>
  <c r="T39" i="19" s="1"/>
  <c r="S19" i="19"/>
  <c r="D39" i="19" s="1"/>
  <c r="AK19" i="19"/>
  <c r="V39" i="19" s="1"/>
  <c r="AK17" i="21"/>
  <c r="V37" i="21" s="1"/>
  <c r="AM20" i="22"/>
  <c r="X40" i="22" s="1"/>
  <c r="U19" i="19"/>
  <c r="F39" i="19" s="1"/>
  <c r="AO19" i="19"/>
  <c r="Z39" i="19" s="1"/>
  <c r="Y19" i="19"/>
  <c r="J39" i="19" s="1"/>
  <c r="AQ19" i="19"/>
  <c r="AB39" i="19" s="1"/>
  <c r="AK348" i="21"/>
  <c r="Z19" i="19"/>
  <c r="K39" i="19" s="1"/>
  <c r="AH11" i="20"/>
  <c r="S31" i="20" s="1"/>
  <c r="AL19" i="19"/>
  <c r="W39" i="19" s="1"/>
  <c r="AK131" i="19"/>
  <c r="AL240" i="23"/>
  <c r="AC445" i="22"/>
  <c r="N465" i="22" s="1"/>
  <c r="AN236" i="23"/>
  <c r="Y256" i="23" s="1"/>
  <c r="Y236" i="20"/>
  <c r="J256" i="20" s="1"/>
  <c r="U240" i="20"/>
  <c r="AE340" i="21"/>
  <c r="P360" i="21" s="1"/>
  <c r="P378" i="21" s="1"/>
  <c r="V451" i="22"/>
  <c r="G471" i="22" s="1"/>
  <c r="AG334" i="22"/>
  <c r="R354" i="22" s="1"/>
  <c r="S117" i="19"/>
  <c r="D137" i="19" s="1"/>
  <c r="Z132" i="19"/>
  <c r="AF442" i="23"/>
  <c r="Q462" i="23" s="1"/>
  <c r="AB117" i="19"/>
  <c r="M137" i="19" s="1"/>
  <c r="X125" i="19"/>
  <c r="I145" i="19" s="1"/>
  <c r="AL132" i="19"/>
  <c r="Z11" i="20"/>
  <c r="K31" i="20" s="1"/>
  <c r="Y340" i="19"/>
  <c r="J360" i="19" s="1"/>
  <c r="AC338" i="19"/>
  <c r="N358" i="19" s="1"/>
  <c r="AM338" i="20"/>
  <c r="X358" i="20" s="1"/>
  <c r="AJ117" i="19"/>
  <c r="U137" i="19" s="1"/>
  <c r="AK20" i="23"/>
  <c r="V40" i="23" s="1"/>
  <c r="AR231" i="23"/>
  <c r="AC251" i="23" s="1"/>
  <c r="Q128" i="23"/>
  <c r="B148" i="23" s="1"/>
  <c r="S236" i="23"/>
  <c r="D256" i="23" s="1"/>
  <c r="AL117" i="19"/>
  <c r="W137" i="19" s="1"/>
  <c r="AG128" i="19"/>
  <c r="R148" i="19" s="1"/>
  <c r="AI22" i="19"/>
  <c r="T42" i="19" s="1"/>
  <c r="AD121" i="22"/>
  <c r="O141" i="22" s="1"/>
  <c r="AC125" i="22"/>
  <c r="N145" i="22" s="1"/>
  <c r="AC345" i="22"/>
  <c r="N365" i="22" s="1"/>
  <c r="Z128" i="19"/>
  <c r="K148" i="19" s="1"/>
  <c r="AP117" i="19"/>
  <c r="AA137" i="19" s="1"/>
  <c r="AQ132" i="19"/>
  <c r="AQ17" i="21"/>
  <c r="AB37" i="21" s="1"/>
  <c r="AI118" i="21"/>
  <c r="T138" i="21" s="1"/>
  <c r="AG229" i="21"/>
  <c r="R249" i="21" s="1"/>
  <c r="AP126" i="21"/>
  <c r="AA146" i="21" s="1"/>
  <c r="AC131" i="22"/>
  <c r="AA241" i="22"/>
  <c r="L261" i="22" s="1"/>
  <c r="Q226" i="21"/>
  <c r="B246" i="21" s="1"/>
  <c r="AA347" i="21"/>
  <c r="L367" i="21" s="1"/>
  <c r="AL443" i="22"/>
  <c r="W463" i="22" s="1"/>
  <c r="Q450" i="22"/>
  <c r="B470" i="22" s="1"/>
  <c r="X335" i="19"/>
  <c r="I355" i="19" s="1"/>
  <c r="T241" i="22"/>
  <c r="E261" i="22" s="1"/>
  <c r="AA231" i="19"/>
  <c r="L251" i="19" s="1"/>
  <c r="L269" i="19" s="1"/>
  <c r="AM15" i="19"/>
  <c r="X35" i="19" s="1"/>
  <c r="Y229" i="19"/>
  <c r="J249" i="19" s="1"/>
  <c r="AF231" i="19"/>
  <c r="Q251" i="19" s="1"/>
  <c r="Z229" i="19"/>
  <c r="K249" i="19" s="1"/>
  <c r="AI129" i="20"/>
  <c r="T149" i="20" s="1"/>
  <c r="AO225" i="19"/>
  <c r="Z245" i="19" s="1"/>
  <c r="AL345" i="19"/>
  <c r="W365" i="19" s="1"/>
  <c r="AP228" i="21"/>
  <c r="AA248" i="21" s="1"/>
  <c r="Z225" i="19"/>
  <c r="K245" i="19" s="1"/>
  <c r="AC229" i="19"/>
  <c r="N249" i="19" s="1"/>
  <c r="AN231" i="19"/>
  <c r="Y251" i="19" s="1"/>
  <c r="AD335" i="19"/>
  <c r="O355" i="19" s="1"/>
  <c r="V451" i="19"/>
  <c r="G471" i="19" s="1"/>
  <c r="AY33" i="23"/>
  <c r="AM128" i="23"/>
  <c r="X148" i="23" s="1"/>
  <c r="AC337" i="23"/>
  <c r="N357" i="23" s="1"/>
  <c r="AQ122" i="19"/>
  <c r="AB142" i="19" s="1"/>
  <c r="AB160" i="19" s="1"/>
  <c r="AG229" i="19"/>
  <c r="R249" i="19" s="1"/>
  <c r="AQ231" i="19"/>
  <c r="AB251" i="19" s="1"/>
  <c r="AB269" i="19" s="1"/>
  <c r="Y131" i="21"/>
  <c r="AO225" i="20"/>
  <c r="Z245" i="20" s="1"/>
  <c r="AO349" i="20"/>
  <c r="R444" i="21"/>
  <c r="C464" i="21" s="1"/>
  <c r="Q340" i="21"/>
  <c r="B360" i="21" s="1"/>
  <c r="B378" i="21" s="1"/>
  <c r="AQ15" i="19"/>
  <c r="AB35" i="19" s="1"/>
  <c r="AK229" i="19"/>
  <c r="V249" i="19" s="1"/>
  <c r="AI231" i="19"/>
  <c r="T251" i="19" s="1"/>
  <c r="T269" i="19" s="1"/>
  <c r="V117" i="20"/>
  <c r="AK125" i="20"/>
  <c r="V145" i="20" s="1"/>
  <c r="AM132" i="20"/>
  <c r="U126" i="21"/>
  <c r="F146" i="21" s="1"/>
  <c r="AR24" i="23"/>
  <c r="AC44" i="23" s="1"/>
  <c r="AA448" i="23"/>
  <c r="L468" i="23" s="1"/>
  <c r="AQ439" i="21"/>
  <c r="AB459" i="21" s="1"/>
  <c r="W15" i="19"/>
  <c r="H35" i="19" s="1"/>
  <c r="Q229" i="19"/>
  <c r="B249" i="19" s="1"/>
  <c r="AO229" i="19"/>
  <c r="Z249" i="19" s="1"/>
  <c r="S231" i="19"/>
  <c r="D251" i="19" s="1"/>
  <c r="D269" i="19" s="1"/>
  <c r="W17" i="19"/>
  <c r="H37" i="19" s="1"/>
  <c r="AF12" i="19"/>
  <c r="Q32" i="19" s="1"/>
  <c r="U234" i="19"/>
  <c r="F254" i="19" s="1"/>
  <c r="AI454" i="19"/>
  <c r="AN340" i="20"/>
  <c r="Y360" i="20" s="1"/>
  <c r="AD441" i="22"/>
  <c r="AI11" i="22"/>
  <c r="T31" i="22" s="1"/>
  <c r="AQ117" i="22"/>
  <c r="AB137" i="22" s="1"/>
  <c r="AI335" i="22"/>
  <c r="T355" i="22" s="1"/>
  <c r="AL121" i="22"/>
  <c r="W141" i="22" s="1"/>
  <c r="AB236" i="22"/>
  <c r="M256" i="22" s="1"/>
  <c r="S345" i="22"/>
  <c r="D365" i="22" s="1"/>
  <c r="R117" i="23"/>
  <c r="C137" i="23" s="1"/>
  <c r="AH121" i="23"/>
  <c r="S141" i="23" s="1"/>
  <c r="W231" i="23"/>
  <c r="H251" i="23" s="1"/>
  <c r="AP125" i="23"/>
  <c r="AA145" i="23" s="1"/>
  <c r="R229" i="19"/>
  <c r="C249" i="19" s="1"/>
  <c r="AP229" i="19"/>
  <c r="AA249" i="19" s="1"/>
  <c r="W231" i="19"/>
  <c r="H251" i="19" s="1"/>
  <c r="AE232" i="19"/>
  <c r="P252" i="19" s="1"/>
  <c r="AC239" i="21"/>
  <c r="Q227" i="22"/>
  <c r="S22" i="23"/>
  <c r="D42" i="23" s="1"/>
  <c r="AJ128" i="23"/>
  <c r="U148" i="23" s="1"/>
  <c r="AK347" i="21"/>
  <c r="V367" i="21" s="1"/>
  <c r="AK26" i="19"/>
  <c r="X440" i="19"/>
  <c r="I460" i="19" s="1"/>
  <c r="AR123" i="19"/>
  <c r="AC143" i="19" s="1"/>
  <c r="S342" i="19"/>
  <c r="D362" i="19" s="1"/>
  <c r="AP121" i="19"/>
  <c r="AA141" i="19" s="1"/>
  <c r="AG443" i="19"/>
  <c r="R463" i="19" s="1"/>
  <c r="AQ19" i="20"/>
  <c r="AB39" i="20" s="1"/>
  <c r="AA334" i="20"/>
  <c r="L354" i="20" s="1"/>
  <c r="AC123" i="20"/>
  <c r="N143" i="20" s="1"/>
  <c r="N161" i="20" s="1"/>
  <c r="AD445" i="20"/>
  <c r="O465" i="20" s="1"/>
  <c r="AP342" i="20"/>
  <c r="AA362" i="20" s="1"/>
  <c r="Z448" i="20"/>
  <c r="K468" i="20" s="1"/>
  <c r="S121" i="20"/>
  <c r="D141" i="20" s="1"/>
  <c r="AJ118" i="21"/>
  <c r="U138" i="21" s="1"/>
  <c r="AN117" i="21"/>
  <c r="Y137" i="21" s="1"/>
  <c r="V25" i="19"/>
  <c r="AL123" i="19"/>
  <c r="W143" i="19" s="1"/>
  <c r="W161" i="19" s="1"/>
  <c r="AB342" i="19"/>
  <c r="M362" i="19" s="1"/>
  <c r="AN15" i="21"/>
  <c r="Y35" i="21" s="1"/>
  <c r="AR118" i="21"/>
  <c r="AC138" i="21" s="1"/>
  <c r="V126" i="21"/>
  <c r="G146" i="21" s="1"/>
  <c r="AI340" i="21"/>
  <c r="T360" i="21" s="1"/>
  <c r="AQ15" i="21"/>
  <c r="AB35" i="21" s="1"/>
  <c r="R118" i="21"/>
  <c r="C138" i="21" s="1"/>
  <c r="W126" i="21"/>
  <c r="H146" i="21" s="1"/>
  <c r="T339" i="22"/>
  <c r="E359" i="22" s="1"/>
  <c r="AF239" i="23"/>
  <c r="S120" i="19"/>
  <c r="D140" i="19" s="1"/>
  <c r="S22" i="19"/>
  <c r="D42" i="19" s="1"/>
  <c r="W121" i="19"/>
  <c r="H141" i="19" s="1"/>
  <c r="R340" i="20"/>
  <c r="C360" i="20" s="1"/>
  <c r="U118" i="21"/>
  <c r="F138" i="21" s="1"/>
  <c r="AC126" i="21"/>
  <c r="N146" i="21" s="1"/>
  <c r="T229" i="21"/>
  <c r="E249" i="21" s="1"/>
  <c r="AM118" i="19"/>
  <c r="X138" i="19" s="1"/>
  <c r="X240" i="20"/>
  <c r="AR337" i="19"/>
  <c r="AC357" i="19" s="1"/>
  <c r="AM440" i="19"/>
  <c r="X460" i="19" s="1"/>
  <c r="AN130" i="20"/>
  <c r="Y150" i="20" s="1"/>
  <c r="AL238" i="20"/>
  <c r="W258" i="20" s="1"/>
  <c r="AK15" i="21"/>
  <c r="V35" i="21" s="1"/>
  <c r="Z118" i="21"/>
  <c r="K138" i="21" s="1"/>
  <c r="AH126" i="21"/>
  <c r="S146" i="21" s="1"/>
  <c r="AH334" i="22"/>
  <c r="S354" i="22" s="1"/>
  <c r="T12" i="20"/>
  <c r="AC118" i="20"/>
  <c r="N138" i="20" s="1"/>
  <c r="AM126" i="20"/>
  <c r="X146" i="20" s="1"/>
  <c r="S15" i="21"/>
  <c r="D35" i="21" s="1"/>
  <c r="AA118" i="21"/>
  <c r="L138" i="21" s="1"/>
  <c r="AI126" i="21"/>
  <c r="T146" i="21" s="1"/>
  <c r="AM232" i="22"/>
  <c r="X252" i="22" s="1"/>
  <c r="Z23" i="23"/>
  <c r="K43" i="23" s="1"/>
  <c r="AO236" i="23"/>
  <c r="Z256" i="23" s="1"/>
  <c r="AK17" i="19"/>
  <c r="V37" i="19" s="1"/>
  <c r="AP118" i="20"/>
  <c r="AA138" i="20" s="1"/>
  <c r="V15" i="21"/>
  <c r="G35" i="21" s="1"/>
  <c r="AD118" i="21"/>
  <c r="O138" i="21" s="1"/>
  <c r="AE126" i="21"/>
  <c r="P146" i="21" s="1"/>
  <c r="AK126" i="21"/>
  <c r="V146" i="21" s="1"/>
  <c r="V226" i="21"/>
  <c r="G246" i="21" s="1"/>
  <c r="AE443" i="21"/>
  <c r="AM234" i="21"/>
  <c r="X254" i="21" s="1"/>
  <c r="AE450" i="21"/>
  <c r="P470" i="21" s="1"/>
  <c r="AP339" i="23"/>
  <c r="AA359" i="23" s="1"/>
  <c r="AA377" i="23" s="1"/>
  <c r="AQ236" i="20"/>
  <c r="AB256" i="20" s="1"/>
  <c r="AR129" i="19"/>
  <c r="AC149" i="19" s="1"/>
  <c r="AC238" i="19"/>
  <c r="N258" i="19" s="1"/>
  <c r="AP443" i="19"/>
  <c r="AA463" i="19" s="1"/>
  <c r="AO16" i="20"/>
  <c r="AB17" i="20"/>
  <c r="M37" i="20" s="1"/>
  <c r="AB26" i="20"/>
  <c r="AR226" i="20"/>
  <c r="AC246" i="20" s="1"/>
  <c r="AO450" i="20"/>
  <c r="Z470" i="20" s="1"/>
  <c r="AK340" i="20"/>
  <c r="V360" i="20" s="1"/>
  <c r="AC234" i="20"/>
  <c r="N254" i="20" s="1"/>
  <c r="AK338" i="20"/>
  <c r="V358" i="20" s="1"/>
  <c r="AO126" i="21"/>
  <c r="AN11" i="22"/>
  <c r="Y31" i="22" s="1"/>
  <c r="AK226" i="22"/>
  <c r="V246" i="22" s="1"/>
  <c r="AB122" i="23"/>
  <c r="M142" i="23" s="1"/>
  <c r="U226" i="23"/>
  <c r="F246" i="23" s="1"/>
  <c r="Z443" i="23"/>
  <c r="K463" i="23" s="1"/>
  <c r="AL16" i="19"/>
  <c r="W36" i="19" s="1"/>
  <c r="W54" i="19" s="1"/>
  <c r="Q22" i="19"/>
  <c r="B42" i="19" s="1"/>
  <c r="Z342" i="19"/>
  <c r="K362" i="19" s="1"/>
  <c r="Z440" i="19"/>
  <c r="K460" i="19" s="1"/>
  <c r="AO443" i="19"/>
  <c r="Z463" i="19" s="1"/>
  <c r="AI118" i="20"/>
  <c r="T138" i="20" s="1"/>
  <c r="T236" i="20"/>
  <c r="E256" i="20" s="1"/>
  <c r="AL239" i="20"/>
  <c r="X349" i="21"/>
  <c r="Z444" i="21"/>
  <c r="K464" i="21" s="1"/>
  <c r="Z455" i="21"/>
  <c r="AE335" i="21"/>
  <c r="P355" i="21" s="1"/>
  <c r="AG121" i="21"/>
  <c r="R141" i="21" s="1"/>
  <c r="AJ231" i="21"/>
  <c r="U251" i="21" s="1"/>
  <c r="AF125" i="21"/>
  <c r="Q145" i="21" s="1"/>
  <c r="AR343" i="21"/>
  <c r="AC363" i="21" s="1"/>
  <c r="AK26" i="22"/>
  <c r="AO27" i="22"/>
  <c r="Z47" i="22" s="1"/>
  <c r="AC227" i="22"/>
  <c r="N247" i="22" s="1"/>
  <c r="AL348" i="22"/>
  <c r="AA452" i="22"/>
  <c r="L472" i="22" s="1"/>
  <c r="AP455" i="22"/>
  <c r="AA475" i="22" s="1"/>
  <c r="AQ22" i="23"/>
  <c r="AB42" i="23" s="1"/>
  <c r="Z24" i="23"/>
  <c r="K44" i="23" s="1"/>
  <c r="AL117" i="23"/>
  <c r="W137" i="23" s="1"/>
  <c r="AQ231" i="23"/>
  <c r="AB251" i="23" s="1"/>
  <c r="AB236" i="23"/>
  <c r="M256" i="23" s="1"/>
  <c r="S443" i="23"/>
  <c r="D463" i="23" s="1"/>
  <c r="AF118" i="23"/>
  <c r="Q138" i="23" s="1"/>
  <c r="AM439" i="23"/>
  <c r="X459" i="23" s="1"/>
  <c r="AI123" i="23"/>
  <c r="T143" i="23" s="1"/>
  <c r="Y234" i="23"/>
  <c r="J254" i="23" s="1"/>
  <c r="Y22" i="19"/>
  <c r="J42" i="19" s="1"/>
  <c r="AF121" i="19"/>
  <c r="Q141" i="19" s="1"/>
  <c r="R123" i="19"/>
  <c r="C143" i="19" s="1"/>
  <c r="T124" i="19"/>
  <c r="E144" i="19" s="1"/>
  <c r="AK342" i="19"/>
  <c r="V362" i="19" s="1"/>
  <c r="AD346" i="19"/>
  <c r="O366" i="19" s="1"/>
  <c r="AR440" i="19"/>
  <c r="AC460" i="19" s="1"/>
  <c r="AO19" i="20"/>
  <c r="Z39" i="20" s="1"/>
  <c r="Z236" i="20"/>
  <c r="K256" i="20" s="1"/>
  <c r="R238" i="20"/>
  <c r="C258" i="20" s="1"/>
  <c r="AC240" i="20"/>
  <c r="Z234" i="21"/>
  <c r="K254" i="21" s="1"/>
  <c r="AE341" i="21"/>
  <c r="P361" i="21" s="1"/>
  <c r="AC442" i="21"/>
  <c r="N462" i="21" s="1"/>
  <c r="AX11" i="22"/>
  <c r="AP25" i="22"/>
  <c r="R121" i="22"/>
  <c r="C141" i="22" s="1"/>
  <c r="Q236" i="22"/>
  <c r="B256" i="22" s="1"/>
  <c r="U239" i="22"/>
  <c r="AL15" i="22"/>
  <c r="W35" i="22" s="1"/>
  <c r="AJ118" i="22"/>
  <c r="U138" i="22" s="1"/>
  <c r="AB126" i="22"/>
  <c r="M146" i="22" s="1"/>
  <c r="AK342" i="22"/>
  <c r="V362" i="22" s="1"/>
  <c r="Z227" i="23"/>
  <c r="K247" i="23" s="1"/>
  <c r="AH455" i="23"/>
  <c r="S475" i="23" s="1"/>
  <c r="U20" i="23"/>
  <c r="F40" i="23" s="1"/>
  <c r="AI448" i="23"/>
  <c r="T468" i="23" s="1"/>
  <c r="AA22" i="19"/>
  <c r="L42" i="19" s="1"/>
  <c r="T123" i="19"/>
  <c r="E143" i="19" s="1"/>
  <c r="U12" i="20"/>
  <c r="F32" i="20" s="1"/>
  <c r="AA120" i="20"/>
  <c r="L140" i="20" s="1"/>
  <c r="W126" i="20"/>
  <c r="H146" i="20" s="1"/>
  <c r="AA236" i="20"/>
  <c r="L256" i="20" s="1"/>
  <c r="AP238" i="20"/>
  <c r="AA258" i="20" s="1"/>
  <c r="AE240" i="20"/>
  <c r="AE346" i="20"/>
  <c r="P366" i="20" s="1"/>
  <c r="AN445" i="20"/>
  <c r="Y465" i="20" s="1"/>
  <c r="R448" i="20"/>
  <c r="C468" i="20" s="1"/>
  <c r="AQ443" i="20"/>
  <c r="AB463" i="20" s="1"/>
  <c r="W119" i="21"/>
  <c r="H139" i="21" s="1"/>
  <c r="AC129" i="21"/>
  <c r="N149" i="21" s="1"/>
  <c r="AH234" i="21"/>
  <c r="S254" i="21" s="1"/>
  <c r="AB442" i="21"/>
  <c r="AB24" i="22"/>
  <c r="M44" i="22" s="1"/>
  <c r="AQ119" i="22"/>
  <c r="AB139" i="22" s="1"/>
  <c r="Z121" i="22"/>
  <c r="K141" i="22" s="1"/>
  <c r="AB226" i="22"/>
  <c r="M246" i="22" s="1"/>
  <c r="AE347" i="22"/>
  <c r="P367" i="22" s="1"/>
  <c r="AH349" i="22"/>
  <c r="X451" i="22"/>
  <c r="I471" i="22" s="1"/>
  <c r="AK238" i="23"/>
  <c r="V258" i="23" s="1"/>
  <c r="AE440" i="23"/>
  <c r="P460" i="23" s="1"/>
  <c r="AG22" i="19"/>
  <c r="R42" i="19" s="1"/>
  <c r="AD123" i="19"/>
  <c r="O143" i="19" s="1"/>
  <c r="AO12" i="20"/>
  <c r="Z32" i="20" s="1"/>
  <c r="Z118" i="20"/>
  <c r="K138" i="20" s="1"/>
  <c r="R121" i="20"/>
  <c r="C141" i="20" s="1"/>
  <c r="S126" i="20"/>
  <c r="D146" i="20" s="1"/>
  <c r="AD236" i="20"/>
  <c r="AK334" i="20"/>
  <c r="V354" i="20" s="1"/>
  <c r="AR11" i="21"/>
  <c r="AC31" i="21" s="1"/>
  <c r="U347" i="21"/>
  <c r="F367" i="21" s="1"/>
  <c r="AZ11" i="22"/>
  <c r="AJ226" i="22"/>
  <c r="U246" i="22" s="1"/>
  <c r="AC226" i="23"/>
  <c r="N246" i="23" s="1"/>
  <c r="AP26" i="19"/>
  <c r="AG123" i="19"/>
  <c r="R143" i="19" s="1"/>
  <c r="AJ440" i="19"/>
  <c r="U460" i="19" s="1"/>
  <c r="AM443" i="19"/>
  <c r="X463" i="19" s="1"/>
  <c r="AR12" i="20"/>
  <c r="AC32" i="20" s="1"/>
  <c r="T118" i="20"/>
  <c r="E138" i="20" s="1"/>
  <c r="X121" i="20"/>
  <c r="I141" i="20" s="1"/>
  <c r="Q123" i="20"/>
  <c r="B143" i="20" s="1"/>
  <c r="AC126" i="20"/>
  <c r="N146" i="20" s="1"/>
  <c r="AK236" i="20"/>
  <c r="V256" i="20" s="1"/>
  <c r="AQ342" i="20"/>
  <c r="AB362" i="20" s="1"/>
  <c r="R11" i="22"/>
  <c r="C31" i="22" s="1"/>
  <c r="AC26" i="19"/>
  <c r="Q342" i="19"/>
  <c r="B362" i="19" s="1"/>
  <c r="R440" i="19"/>
  <c r="C460" i="19" s="1"/>
  <c r="Z443" i="19"/>
  <c r="K463" i="19" s="1"/>
  <c r="W118" i="20"/>
  <c r="H138" i="20" s="1"/>
  <c r="AA119" i="20"/>
  <c r="AE121" i="20"/>
  <c r="P141" i="20" s="1"/>
  <c r="AI126" i="20"/>
  <c r="T146" i="20" s="1"/>
  <c r="AO236" i="20"/>
  <c r="Z256" i="20" s="1"/>
  <c r="S131" i="21"/>
  <c r="Z347" i="21"/>
  <c r="K367" i="21" s="1"/>
  <c r="AA453" i="21"/>
  <c r="AK20" i="21"/>
  <c r="V40" i="21" s="1"/>
  <c r="X334" i="21"/>
  <c r="I354" i="21" s="1"/>
  <c r="AD123" i="21"/>
  <c r="O143" i="21" s="1"/>
  <c r="AM342" i="21"/>
  <c r="X362" i="21" s="1"/>
  <c r="AC448" i="21"/>
  <c r="N468" i="21" s="1"/>
  <c r="AP444" i="22"/>
  <c r="AA464" i="22" s="1"/>
  <c r="AR226" i="23"/>
  <c r="AC246" i="23" s="1"/>
  <c r="AQ228" i="23"/>
  <c r="AB248" i="23" s="1"/>
  <c r="AD232" i="23"/>
  <c r="O252" i="23" s="1"/>
  <c r="AD117" i="23"/>
  <c r="O137" i="23" s="1"/>
  <c r="T121" i="23"/>
  <c r="E141" i="23" s="1"/>
  <c r="AQ18" i="20"/>
  <c r="AB38" i="20" s="1"/>
  <c r="AR121" i="20"/>
  <c r="AC141" i="20" s="1"/>
  <c r="S236" i="20"/>
  <c r="D256" i="20" s="1"/>
  <c r="AR236" i="20"/>
  <c r="AC256" i="20" s="1"/>
  <c r="AE118" i="19"/>
  <c r="P138" i="19" s="1"/>
  <c r="AM226" i="19"/>
  <c r="X246" i="19" s="1"/>
  <c r="AD439" i="19"/>
  <c r="O459" i="19" s="1"/>
  <c r="AI236" i="19"/>
  <c r="T256" i="19" s="1"/>
  <c r="AM340" i="19"/>
  <c r="X360" i="19" s="1"/>
  <c r="AQ126" i="19"/>
  <c r="AB146" i="19" s="1"/>
  <c r="T234" i="19"/>
  <c r="E254" i="19" s="1"/>
  <c r="AR447" i="19"/>
  <c r="AC467" i="19" s="1"/>
  <c r="AM240" i="19"/>
  <c r="S454" i="19"/>
  <c r="U338" i="19"/>
  <c r="F358" i="19" s="1"/>
  <c r="AO131" i="21"/>
  <c r="AN118" i="19"/>
  <c r="Y138" i="19" s="1"/>
  <c r="AC234" i="19"/>
  <c r="N254" i="19" s="1"/>
  <c r="AQ237" i="19"/>
  <c r="AB257" i="19" s="1"/>
  <c r="AI338" i="19"/>
  <c r="T358" i="19" s="1"/>
  <c r="AA340" i="19"/>
  <c r="L360" i="19" s="1"/>
  <c r="Z341" i="19"/>
  <c r="K361" i="19" s="1"/>
  <c r="AQ439" i="19"/>
  <c r="AB459" i="19" s="1"/>
  <c r="AQ454" i="19"/>
  <c r="AN27" i="20"/>
  <c r="Y47" i="20" s="1"/>
  <c r="AE117" i="20"/>
  <c r="P137" i="20" s="1"/>
  <c r="AI128" i="20"/>
  <c r="T148" i="20" s="1"/>
  <c r="AB226" i="20"/>
  <c r="M246" i="20" s="1"/>
  <c r="Z238" i="20"/>
  <c r="K258" i="20" s="1"/>
  <c r="U340" i="20"/>
  <c r="F360" i="20" s="1"/>
  <c r="AO340" i="20"/>
  <c r="AB341" i="20"/>
  <c r="M361" i="20" s="1"/>
  <c r="AL441" i="20"/>
  <c r="W461" i="20" s="1"/>
  <c r="X226" i="20"/>
  <c r="I246" i="20" s="1"/>
  <c r="Y450" i="20"/>
  <c r="J470" i="20" s="1"/>
  <c r="AM234" i="20"/>
  <c r="X254" i="20" s="1"/>
  <c r="AN454" i="20"/>
  <c r="V232" i="21"/>
  <c r="G252" i="21" s="1"/>
  <c r="R441" i="21"/>
  <c r="C461" i="21" s="1"/>
  <c r="AO455" i="21"/>
  <c r="Z475" i="21" s="1"/>
  <c r="AH448" i="21"/>
  <c r="S468" i="21" s="1"/>
  <c r="AK24" i="22"/>
  <c r="V44" i="22" s="1"/>
  <c r="Q25" i="22"/>
  <c r="T27" i="22"/>
  <c r="E47" i="22" s="1"/>
  <c r="AB227" i="22"/>
  <c r="M247" i="22" s="1"/>
  <c r="AJ334" i="22"/>
  <c r="U354" i="22" s="1"/>
  <c r="AM450" i="22"/>
  <c r="AI24" i="23"/>
  <c r="T44" i="23" s="1"/>
  <c r="AR120" i="23"/>
  <c r="AC140" i="23" s="1"/>
  <c r="AL129" i="23"/>
  <c r="W149" i="23" s="1"/>
  <c r="AG131" i="23"/>
  <c r="R232" i="23"/>
  <c r="C252" i="23" s="1"/>
  <c r="AC341" i="23"/>
  <c r="N361" i="23" s="1"/>
  <c r="Q442" i="23"/>
  <c r="B462" i="23" s="1"/>
  <c r="AJ226" i="19"/>
  <c r="U246" i="19" s="1"/>
  <c r="AJ234" i="19"/>
  <c r="U254" i="19" s="1"/>
  <c r="AG340" i="19"/>
  <c r="R360" i="19" s="1"/>
  <c r="AD447" i="19"/>
  <c r="O467" i="19" s="1"/>
  <c r="AR117" i="20"/>
  <c r="AC137" i="20" s="1"/>
  <c r="Z128" i="20"/>
  <c r="K148" i="20" s="1"/>
  <c r="AF226" i="20"/>
  <c r="Q246" i="20" s="1"/>
  <c r="AM227" i="20"/>
  <c r="X247" i="20" s="1"/>
  <c r="X340" i="20"/>
  <c r="AP340" i="20"/>
  <c r="AA360" i="20" s="1"/>
  <c r="AQ236" i="19"/>
  <c r="AB256" i="19" s="1"/>
  <c r="AF240" i="19"/>
  <c r="AN447" i="20"/>
  <c r="Y467" i="20" s="1"/>
  <c r="AR232" i="21"/>
  <c r="AC252" i="21" s="1"/>
  <c r="AO238" i="21"/>
  <c r="Z258" i="21" s="1"/>
  <c r="AG441" i="21"/>
  <c r="R461" i="21" s="1"/>
  <c r="S455" i="21"/>
  <c r="AD225" i="21"/>
  <c r="O245" i="21" s="1"/>
  <c r="AG233" i="21"/>
  <c r="R253" i="21" s="1"/>
  <c r="AQ345" i="21"/>
  <c r="AB365" i="21" s="1"/>
  <c r="AB25" i="22"/>
  <c r="AB27" i="22"/>
  <c r="M47" i="22" s="1"/>
  <c r="R227" i="22"/>
  <c r="C247" i="22" s="1"/>
  <c r="AM239" i="22"/>
  <c r="AI337" i="22"/>
  <c r="T357" i="22" s="1"/>
  <c r="W450" i="22"/>
  <c r="H470" i="22" s="1"/>
  <c r="AN453" i="22"/>
  <c r="T225" i="22"/>
  <c r="E245" i="22" s="1"/>
  <c r="AC334" i="22"/>
  <c r="N354" i="22" s="1"/>
  <c r="AL338" i="22"/>
  <c r="W358" i="22" s="1"/>
  <c r="S232" i="23"/>
  <c r="D252" i="23" s="1"/>
  <c r="AM441" i="23"/>
  <c r="X461" i="23" s="1"/>
  <c r="T442" i="23"/>
  <c r="E462" i="23" s="1"/>
  <c r="AP118" i="19"/>
  <c r="AA138" i="19" s="1"/>
  <c r="Q226" i="19"/>
  <c r="B246" i="19" s="1"/>
  <c r="AB236" i="19"/>
  <c r="M256" i="19" s="1"/>
  <c r="AI340" i="19"/>
  <c r="T360" i="19" s="1"/>
  <c r="S447" i="19"/>
  <c r="D467" i="19" s="1"/>
  <c r="AD128" i="20"/>
  <c r="O148" i="20" s="1"/>
  <c r="AJ226" i="20"/>
  <c r="U246" i="20" s="1"/>
  <c r="AA340" i="20"/>
  <c r="AQ340" i="20"/>
  <c r="AB360" i="20" s="1"/>
  <c r="AD228" i="21"/>
  <c r="O248" i="21" s="1"/>
  <c r="Y232" i="21"/>
  <c r="J252" i="21" s="1"/>
  <c r="AK342" i="21"/>
  <c r="V362" i="21" s="1"/>
  <c r="AY13" i="22"/>
  <c r="AN120" i="22"/>
  <c r="Y140" i="22" s="1"/>
  <c r="U227" i="22"/>
  <c r="F247" i="22" s="1"/>
  <c r="AF442" i="22"/>
  <c r="Q462" i="22" s="1"/>
  <c r="Z338" i="22"/>
  <c r="K358" i="22" s="1"/>
  <c r="AI128" i="22"/>
  <c r="T148" i="22" s="1"/>
  <c r="V232" i="23"/>
  <c r="G252" i="23" s="1"/>
  <c r="AC441" i="23"/>
  <c r="N461" i="23" s="1"/>
  <c r="AO452" i="23"/>
  <c r="Z472" i="23" s="1"/>
  <c r="U118" i="19"/>
  <c r="F138" i="19" s="1"/>
  <c r="X226" i="19"/>
  <c r="I246" i="19" s="1"/>
  <c r="X240" i="19"/>
  <c r="AO340" i="19"/>
  <c r="Z360" i="19" s="1"/>
  <c r="Z378" i="19" s="1"/>
  <c r="Y447" i="19"/>
  <c r="J467" i="19" s="1"/>
  <c r="AK17" i="20"/>
  <c r="V37" i="20" s="1"/>
  <c r="AJ26" i="20"/>
  <c r="W132" i="20"/>
  <c r="AN226" i="20"/>
  <c r="Y246" i="20" s="1"/>
  <c r="AB340" i="20"/>
  <c r="M360" i="20" s="1"/>
  <c r="AR340" i="20"/>
  <c r="AH450" i="20"/>
  <c r="S470" i="20" s="1"/>
  <c r="AA232" i="21"/>
  <c r="L252" i="21" s="1"/>
  <c r="AB337" i="21"/>
  <c r="M357" i="21" s="1"/>
  <c r="AI126" i="22"/>
  <c r="T146" i="22" s="1"/>
  <c r="AL334" i="22"/>
  <c r="W354" i="22" s="1"/>
  <c r="AE232" i="23"/>
  <c r="P252" i="23" s="1"/>
  <c r="AC443" i="23"/>
  <c r="N463" i="23" s="1"/>
  <c r="AR451" i="23"/>
  <c r="AC471" i="23" s="1"/>
  <c r="V452" i="23"/>
  <c r="G472" i="23" s="1"/>
  <c r="T22" i="23"/>
  <c r="E42" i="23" s="1"/>
  <c r="AP335" i="23"/>
  <c r="AA355" i="23" s="1"/>
  <c r="AM338" i="23"/>
  <c r="X358" i="23" s="1"/>
  <c r="AC231" i="23"/>
  <c r="N251" i="23" s="1"/>
  <c r="AK128" i="23"/>
  <c r="V148" i="23" s="1"/>
  <c r="AF236" i="23"/>
  <c r="Q256" i="23" s="1"/>
  <c r="AN12" i="19"/>
  <c r="Y32" i="19" s="1"/>
  <c r="T18" i="19"/>
  <c r="E38" i="19" s="1"/>
  <c r="V118" i="19"/>
  <c r="G138" i="19" s="1"/>
  <c r="AB226" i="19"/>
  <c r="M246" i="19" s="1"/>
  <c r="AE240" i="19"/>
  <c r="AP338" i="19"/>
  <c r="AA358" i="19" s="1"/>
  <c r="AK447" i="19"/>
  <c r="V467" i="19" s="1"/>
  <c r="AJ453" i="19"/>
  <c r="AK117" i="20"/>
  <c r="AC132" i="20"/>
  <c r="AC340" i="20"/>
  <c r="N360" i="20" s="1"/>
  <c r="AK450" i="20"/>
  <c r="V470" i="20" s="1"/>
  <c r="AQ232" i="21"/>
  <c r="AB252" i="21" s="1"/>
  <c r="AA337" i="21"/>
  <c r="L357" i="21" s="1"/>
  <c r="AR348" i="21"/>
  <c r="R126" i="22"/>
  <c r="C146" i="22" s="1"/>
  <c r="R334" i="22"/>
  <c r="C354" i="22" s="1"/>
  <c r="T455" i="22"/>
  <c r="E475" i="22" s="1"/>
  <c r="V117" i="22"/>
  <c r="G137" i="22" s="1"/>
  <c r="AN121" i="22"/>
  <c r="Y141" i="22" s="1"/>
  <c r="AO443" i="22"/>
  <c r="Z463" i="22" s="1"/>
  <c r="U125" i="22"/>
  <c r="F145" i="22" s="1"/>
  <c r="AP345" i="22"/>
  <c r="AA365" i="22" s="1"/>
  <c r="Y133" i="23"/>
  <c r="J153" i="23" s="1"/>
  <c r="T226" i="23"/>
  <c r="E246" i="23" s="1"/>
  <c r="AJ227" i="23"/>
  <c r="U247" i="23" s="1"/>
  <c r="AL233" i="23"/>
  <c r="W253" i="23" s="1"/>
  <c r="AJ443" i="23"/>
  <c r="U463" i="23" s="1"/>
  <c r="AP452" i="23"/>
  <c r="AA472" i="23" s="1"/>
  <c r="AD118" i="19"/>
  <c r="O138" i="19" s="1"/>
  <c r="AI226" i="19"/>
  <c r="T246" i="19" s="1"/>
  <c r="AP234" i="19"/>
  <c r="AA254" i="19" s="1"/>
  <c r="S338" i="19"/>
  <c r="D358" i="19" s="1"/>
  <c r="AP454" i="19"/>
  <c r="U117" i="20"/>
  <c r="F137" i="20" s="1"/>
  <c r="AI340" i="20"/>
  <c r="T360" i="20" s="1"/>
  <c r="AF340" i="20"/>
  <c r="Q360" i="20" s="1"/>
  <c r="AK347" i="20"/>
  <c r="V367" i="20" s="1"/>
  <c r="AQ11" i="20"/>
  <c r="AB31" i="20" s="1"/>
  <c r="U123" i="21"/>
  <c r="F143" i="21" s="1"/>
  <c r="R348" i="21"/>
  <c r="X342" i="21"/>
  <c r="I362" i="21" s="1"/>
  <c r="Q24" i="22"/>
  <c r="B44" i="22" s="1"/>
  <c r="AK241" i="22"/>
  <c r="V261" i="22" s="1"/>
  <c r="V334" i="22"/>
  <c r="G354" i="22" s="1"/>
  <c r="AB349" i="22"/>
  <c r="AO441" i="22"/>
  <c r="Z461" i="22" s="1"/>
  <c r="AJ455" i="22"/>
  <c r="U475" i="22" s="1"/>
  <c r="S27" i="23"/>
  <c r="D47" i="23" s="1"/>
  <c r="AR132" i="23"/>
  <c r="AG442" i="23"/>
  <c r="R462" i="23" s="1"/>
  <c r="Y454" i="23"/>
  <c r="AM23" i="20"/>
  <c r="X43" i="20" s="1"/>
  <c r="Q340" i="20"/>
  <c r="B360" i="20" s="1"/>
  <c r="AR133" i="21"/>
  <c r="AC153" i="21" s="1"/>
  <c r="U348" i="21"/>
  <c r="Q441" i="21"/>
  <c r="AL442" i="21"/>
  <c r="W462" i="21" s="1"/>
  <c r="AH444" i="21"/>
  <c r="S464" i="21" s="1"/>
  <c r="Q27" i="22"/>
  <c r="B47" i="22" s="1"/>
  <c r="AH227" i="22"/>
  <c r="S247" i="22" s="1"/>
  <c r="AO240" i="22"/>
  <c r="AR339" i="22"/>
  <c r="AC359" i="22" s="1"/>
  <c r="AM348" i="22"/>
  <c r="AC118" i="22"/>
  <c r="N138" i="22" s="1"/>
  <c r="AG439" i="22"/>
  <c r="R459" i="22" s="1"/>
  <c r="AN126" i="22"/>
  <c r="Y146" i="22" s="1"/>
  <c r="AO342" i="22"/>
  <c r="Z362" i="22" s="1"/>
  <c r="AA447" i="22"/>
  <c r="L467" i="22" s="1"/>
  <c r="AP232" i="23"/>
  <c r="AA252" i="23" s="1"/>
  <c r="AP446" i="23"/>
  <c r="AA466" i="23" s="1"/>
  <c r="AQ15" i="23"/>
  <c r="AB35" i="23" s="1"/>
  <c r="AK126" i="23"/>
  <c r="V146" i="23" s="1"/>
  <c r="AH12" i="19"/>
  <c r="S32" i="19" s="1"/>
  <c r="AC17" i="19"/>
  <c r="N37" i="19" s="1"/>
  <c r="AB18" i="19"/>
  <c r="M38" i="19" s="1"/>
  <c r="AG124" i="19"/>
  <c r="R144" i="19" s="1"/>
  <c r="Q452" i="19"/>
  <c r="B472" i="19" s="1"/>
  <c r="AQ346" i="20"/>
  <c r="AB366" i="20" s="1"/>
  <c r="W448" i="20"/>
  <c r="H468" i="20" s="1"/>
  <c r="Y19" i="22"/>
  <c r="J39" i="22" s="1"/>
  <c r="Q19" i="22"/>
  <c r="B39" i="22" s="1"/>
  <c r="AX32" i="22"/>
  <c r="S20" i="22"/>
  <c r="D40" i="22" s="1"/>
  <c r="AA20" i="22"/>
  <c r="L40" i="22" s="1"/>
  <c r="AY33" i="22"/>
  <c r="AJ22" i="22"/>
  <c r="U42" i="22" s="1"/>
  <c r="AZ16" i="22"/>
  <c r="AB22" i="22"/>
  <c r="M42" i="22" s="1"/>
  <c r="Y22" i="22"/>
  <c r="J42" i="22" s="1"/>
  <c r="AL22" i="22"/>
  <c r="W42" i="22" s="1"/>
  <c r="W225" i="22"/>
  <c r="H245" i="22" s="1"/>
  <c r="U225" i="22"/>
  <c r="F245" i="22" s="1"/>
  <c r="AL225" i="22"/>
  <c r="W245" i="22" s="1"/>
  <c r="S225" i="22"/>
  <c r="D245" i="22" s="1"/>
  <c r="AI225" i="22"/>
  <c r="T245" i="22" s="1"/>
  <c r="AQ225" i="22"/>
  <c r="AB245" i="22" s="1"/>
  <c r="AF335" i="22"/>
  <c r="Q355" i="22" s="1"/>
  <c r="AA335" i="22"/>
  <c r="L355" i="22" s="1"/>
  <c r="U335" i="22"/>
  <c r="F355" i="22" s="1"/>
  <c r="AK335" i="22"/>
  <c r="V355" i="22" s="1"/>
  <c r="Q335" i="22"/>
  <c r="B355" i="22" s="1"/>
  <c r="X440" i="22"/>
  <c r="I460" i="22" s="1"/>
  <c r="AE440" i="22"/>
  <c r="P460" i="22" s="1"/>
  <c r="AC440" i="22"/>
  <c r="N460" i="22" s="1"/>
  <c r="X445" i="22"/>
  <c r="I465" i="22" s="1"/>
  <c r="U445" i="22"/>
  <c r="F465" i="22" s="1"/>
  <c r="R445" i="22"/>
  <c r="C465" i="22" s="1"/>
  <c r="AR445" i="22"/>
  <c r="AC465" i="22" s="1"/>
  <c r="AQ445" i="22"/>
  <c r="AB465" i="22" s="1"/>
  <c r="AO445" i="22"/>
  <c r="Z465" i="22" s="1"/>
  <c r="AK445" i="22"/>
  <c r="V465" i="22" s="1"/>
  <c r="AN236" i="22"/>
  <c r="Y256" i="22" s="1"/>
  <c r="AA236" i="22"/>
  <c r="L256" i="22" s="1"/>
  <c r="AK236" i="22"/>
  <c r="V256" i="22" s="1"/>
  <c r="Y236" i="22"/>
  <c r="J256" i="22" s="1"/>
  <c r="AH236" i="22"/>
  <c r="S256" i="22" s="1"/>
  <c r="U236" i="22"/>
  <c r="F256" i="22" s="1"/>
  <c r="AQ236" i="22"/>
  <c r="AB256" i="22" s="1"/>
  <c r="AF236" i="22"/>
  <c r="Q256" i="22" s="1"/>
  <c r="S236" i="22"/>
  <c r="D256" i="22" s="1"/>
  <c r="AI343" i="22"/>
  <c r="T363" i="22" s="1"/>
  <c r="AB343" i="22"/>
  <c r="M363" i="22" s="1"/>
  <c r="AP340" i="23"/>
  <c r="AA360" i="23" s="1"/>
  <c r="AD340" i="23"/>
  <c r="O360" i="23" s="1"/>
  <c r="AP27" i="19"/>
  <c r="AA47" i="19" s="1"/>
  <c r="U124" i="19"/>
  <c r="F144" i="19" s="1"/>
  <c r="W131" i="19"/>
  <c r="AI227" i="19"/>
  <c r="T247" i="19" s="1"/>
  <c r="W241" i="19"/>
  <c r="H261" i="19" s="1"/>
  <c r="AD442" i="19"/>
  <c r="O462" i="19" s="1"/>
  <c r="X451" i="19"/>
  <c r="I471" i="19" s="1"/>
  <c r="AG348" i="20"/>
  <c r="AH448" i="20"/>
  <c r="S468" i="20" s="1"/>
  <c r="AQ16" i="22"/>
  <c r="AB36" i="22" s="1"/>
  <c r="AG16" i="22"/>
  <c r="R36" i="22" s="1"/>
  <c r="V16" i="22"/>
  <c r="G36" i="22" s="1"/>
  <c r="Q16" i="22"/>
  <c r="B36" i="22" s="1"/>
  <c r="AM230" i="22"/>
  <c r="X250" i="22" s="1"/>
  <c r="X268" i="22" s="1"/>
  <c r="W230" i="22"/>
  <c r="H250" i="22" s="1"/>
  <c r="AO236" i="22"/>
  <c r="Z256" i="22" s="1"/>
  <c r="X335" i="22"/>
  <c r="I355" i="22" s="1"/>
  <c r="AI236" i="22"/>
  <c r="T256" i="22" s="1"/>
  <c r="AK453" i="23"/>
  <c r="AR453" i="23"/>
  <c r="AQ453" i="23"/>
  <c r="AG453" i="23"/>
  <c r="AC453" i="23"/>
  <c r="S453" i="23"/>
  <c r="R453" i="23"/>
  <c r="X14" i="19"/>
  <c r="I34" i="19" s="1"/>
  <c r="V16" i="19"/>
  <c r="G36" i="19" s="1"/>
  <c r="G54" i="19" s="1"/>
  <c r="AR347" i="19"/>
  <c r="AC367" i="19" s="1"/>
  <c r="AH228" i="20"/>
  <c r="S248" i="20" s="1"/>
  <c r="AN339" i="20"/>
  <c r="Y359" i="20" s="1"/>
  <c r="AD348" i="20"/>
  <c r="AP448" i="20"/>
  <c r="AA468" i="20" s="1"/>
  <c r="Q124" i="21"/>
  <c r="B144" i="21" s="1"/>
  <c r="Y241" i="21"/>
  <c r="J261" i="21" s="1"/>
  <c r="Q241" i="21"/>
  <c r="B261" i="21" s="1"/>
  <c r="AN335" i="21"/>
  <c r="Y355" i="21" s="1"/>
  <c r="AF343" i="21"/>
  <c r="Q363" i="21" s="1"/>
  <c r="AM446" i="22"/>
  <c r="X466" i="22" s="1"/>
  <c r="AQ17" i="19"/>
  <c r="AB37" i="19" s="1"/>
  <c r="AC120" i="19"/>
  <c r="N140" i="19" s="1"/>
  <c r="AI124" i="19"/>
  <c r="T144" i="19" s="1"/>
  <c r="AG230" i="19"/>
  <c r="R250" i="19" s="1"/>
  <c r="AL339" i="19"/>
  <c r="W359" i="19" s="1"/>
  <c r="AF444" i="19"/>
  <c r="Q464" i="19" s="1"/>
  <c r="AO25" i="20"/>
  <c r="Y225" i="20"/>
  <c r="J245" i="20" s="1"/>
  <c r="AM347" i="20"/>
  <c r="X367" i="20" s="1"/>
  <c r="AA349" i="20"/>
  <c r="AR446" i="20"/>
  <c r="AC466" i="20" s="1"/>
  <c r="AQ448" i="20"/>
  <c r="AB468" i="20" s="1"/>
  <c r="AK339" i="21"/>
  <c r="V359" i="21" s="1"/>
  <c r="AH339" i="21"/>
  <c r="S359" i="21" s="1"/>
  <c r="AG339" i="21"/>
  <c r="R359" i="21" s="1"/>
  <c r="AB339" i="21"/>
  <c r="M359" i="21" s="1"/>
  <c r="U339" i="21"/>
  <c r="F359" i="21" s="1"/>
  <c r="T339" i="21"/>
  <c r="E359" i="21" s="1"/>
  <c r="S339" i="21"/>
  <c r="D359" i="21" s="1"/>
  <c r="AQ22" i="21"/>
  <c r="AB42" i="21" s="1"/>
  <c r="AX16" i="21"/>
  <c r="AJ117" i="21"/>
  <c r="U137" i="21" s="1"/>
  <c r="AE117" i="21"/>
  <c r="P137" i="21" s="1"/>
  <c r="AA117" i="21"/>
  <c r="L137" i="21" s="1"/>
  <c r="W117" i="21"/>
  <c r="H137" i="21" s="1"/>
  <c r="V117" i="21"/>
  <c r="G137" i="21" s="1"/>
  <c r="AP225" i="21"/>
  <c r="AA245" i="21" s="1"/>
  <c r="Y225" i="21"/>
  <c r="J245" i="21" s="1"/>
  <c r="AL225" i="21"/>
  <c r="W245" i="21" s="1"/>
  <c r="AQ338" i="21"/>
  <c r="AB358" i="21" s="1"/>
  <c r="Y338" i="21"/>
  <c r="J358" i="21" s="1"/>
  <c r="AL128" i="21"/>
  <c r="W148" i="21" s="1"/>
  <c r="Y128" i="21"/>
  <c r="J148" i="21" s="1"/>
  <c r="AO14" i="22"/>
  <c r="Z34" i="22" s="1"/>
  <c r="AF14" i="22"/>
  <c r="Q34" i="22" s="1"/>
  <c r="AJ336" i="22"/>
  <c r="U356" i="22" s="1"/>
  <c r="AR336" i="22"/>
  <c r="AC356" i="22" s="1"/>
  <c r="AM336" i="22"/>
  <c r="X356" i="22" s="1"/>
  <c r="Z336" i="22"/>
  <c r="K356" i="22" s="1"/>
  <c r="T336" i="22"/>
  <c r="E356" i="22" s="1"/>
  <c r="S336" i="22"/>
  <c r="D356" i="22" s="1"/>
  <c r="Y446" i="22"/>
  <c r="J466" i="22" s="1"/>
  <c r="R446" i="22"/>
  <c r="C466" i="22" s="1"/>
  <c r="AQ234" i="23"/>
  <c r="AB254" i="23" s="1"/>
  <c r="Q439" i="23"/>
  <c r="B459" i="23" s="1"/>
  <c r="Y455" i="23"/>
  <c r="J475" i="23" s="1"/>
  <c r="AP17" i="19"/>
  <c r="AA37" i="19" s="1"/>
  <c r="AI130" i="19"/>
  <c r="T150" i="19" s="1"/>
  <c r="AG238" i="19"/>
  <c r="R258" i="19" s="1"/>
  <c r="AJ441" i="19"/>
  <c r="U461" i="19" s="1"/>
  <c r="V455" i="19"/>
  <c r="G475" i="19" s="1"/>
  <c r="AL124" i="20"/>
  <c r="W144" i="20" s="1"/>
  <c r="AF133" i="20"/>
  <c r="Q153" i="20" s="1"/>
  <c r="AD225" i="22"/>
  <c r="O245" i="22" s="1"/>
  <c r="AF228" i="22"/>
  <c r="Q248" i="22" s="1"/>
  <c r="AD230" i="23"/>
  <c r="O250" i="23" s="1"/>
  <c r="AF230" i="23"/>
  <c r="Q250" i="23" s="1"/>
  <c r="T230" i="23"/>
  <c r="E250" i="23" s="1"/>
  <c r="AE130" i="21"/>
  <c r="P150" i="21" s="1"/>
  <c r="AN130" i="21"/>
  <c r="Y150" i="21" s="1"/>
  <c r="U17" i="19"/>
  <c r="F37" i="19" s="1"/>
  <c r="AN122" i="21"/>
  <c r="Y142" i="21" s="1"/>
  <c r="AR122" i="21"/>
  <c r="AC142" i="21" s="1"/>
  <c r="AC160" i="21" s="1"/>
  <c r="R122" i="21"/>
  <c r="C142" i="21" s="1"/>
  <c r="AY25" i="23"/>
  <c r="AP25" i="23"/>
  <c r="AL336" i="21"/>
  <c r="W356" i="21" s="1"/>
  <c r="AM336" i="21"/>
  <c r="X356" i="21" s="1"/>
  <c r="T336" i="21"/>
  <c r="E356" i="21" s="1"/>
  <c r="R122" i="19"/>
  <c r="C142" i="19" s="1"/>
  <c r="Q129" i="19"/>
  <c r="B149" i="19" s="1"/>
  <c r="AN228" i="19"/>
  <c r="Y248" i="19" s="1"/>
  <c r="AH237" i="19"/>
  <c r="S257" i="19" s="1"/>
  <c r="R341" i="19"/>
  <c r="C361" i="19" s="1"/>
  <c r="Q119" i="20"/>
  <c r="B139" i="20" s="1"/>
  <c r="AI227" i="20"/>
  <c r="T247" i="20" s="1"/>
  <c r="AK336" i="20"/>
  <c r="V356" i="20" s="1"/>
  <c r="Z341" i="20"/>
  <c r="K361" i="20" s="1"/>
  <c r="AH444" i="20"/>
  <c r="S464" i="20" s="1"/>
  <c r="AF452" i="20"/>
  <c r="Q472" i="20" s="1"/>
  <c r="AI11" i="19"/>
  <c r="T31" i="19" s="1"/>
  <c r="AC24" i="21"/>
  <c r="N44" i="21" s="1"/>
  <c r="AL24" i="21"/>
  <c r="W44" i="21" s="1"/>
  <c r="X24" i="21"/>
  <c r="I44" i="21" s="1"/>
  <c r="S24" i="21"/>
  <c r="D44" i="21" s="1"/>
  <c r="AO237" i="22"/>
  <c r="Z257" i="22" s="1"/>
  <c r="AJ237" i="22"/>
  <c r="U257" i="22" s="1"/>
  <c r="T237" i="22"/>
  <c r="E257" i="22" s="1"/>
  <c r="V335" i="19"/>
  <c r="G355" i="19" s="1"/>
  <c r="Y20" i="20"/>
  <c r="J40" i="20" s="1"/>
  <c r="AQ14" i="21"/>
  <c r="AB34" i="21" s="1"/>
  <c r="S23" i="21"/>
  <c r="D43" i="21" s="1"/>
  <c r="AN25" i="21"/>
  <c r="X26" i="21"/>
  <c r="AR124" i="21"/>
  <c r="AC144" i="21" s="1"/>
  <c r="AI232" i="21"/>
  <c r="T252" i="21" s="1"/>
  <c r="AH237" i="21"/>
  <c r="S257" i="21" s="1"/>
  <c r="X348" i="21"/>
  <c r="AO349" i="21"/>
  <c r="W444" i="21"/>
  <c r="H464" i="21" s="1"/>
  <c r="R448" i="21"/>
  <c r="C468" i="21" s="1"/>
  <c r="AL18" i="22"/>
  <c r="W38" i="22" s="1"/>
  <c r="T25" i="22"/>
  <c r="AL26" i="22"/>
  <c r="AK27" i="22"/>
  <c r="V47" i="22" s="1"/>
  <c r="AE121" i="22"/>
  <c r="P141" i="22" s="1"/>
  <c r="AE225" i="22"/>
  <c r="P245" i="22" s="1"/>
  <c r="R236" i="22"/>
  <c r="C256" i="22" s="1"/>
  <c r="AC236" i="22"/>
  <c r="N256" i="22" s="1"/>
  <c r="AP236" i="22"/>
  <c r="AA256" i="22" s="1"/>
  <c r="U241" i="22"/>
  <c r="F261" i="22" s="1"/>
  <c r="Q334" i="22"/>
  <c r="B354" i="22" s="1"/>
  <c r="AP334" i="22"/>
  <c r="AA354" i="22" s="1"/>
  <c r="AJ335" i="22"/>
  <c r="U355" i="22" s="1"/>
  <c r="AM339" i="22"/>
  <c r="X359" i="22" s="1"/>
  <c r="X377" i="22" s="1"/>
  <c r="AK341" i="22"/>
  <c r="V361" i="22" s="1"/>
  <c r="Z446" i="22"/>
  <c r="K466" i="22" s="1"/>
  <c r="V455" i="22"/>
  <c r="G475" i="22" s="1"/>
  <c r="AP27" i="23"/>
  <c r="AA47" i="23" s="1"/>
  <c r="AP117" i="23"/>
  <c r="AA137" i="23" s="1"/>
  <c r="AI124" i="23"/>
  <c r="T144" i="23" s="1"/>
  <c r="AG128" i="23"/>
  <c r="R148" i="23" s="1"/>
  <c r="AC131" i="23"/>
  <c r="X226" i="23"/>
  <c r="I246" i="23" s="1"/>
  <c r="AI236" i="23"/>
  <c r="T256" i="23" s="1"/>
  <c r="AG238" i="23"/>
  <c r="R258" i="23" s="1"/>
  <c r="AQ240" i="23"/>
  <c r="AQ347" i="23"/>
  <c r="AB367" i="23" s="1"/>
  <c r="AJ441" i="23"/>
  <c r="U461" i="23" s="1"/>
  <c r="AA452" i="23"/>
  <c r="L472" i="23" s="1"/>
  <c r="AQ17" i="23"/>
  <c r="AB37" i="23" s="1"/>
  <c r="AP19" i="23"/>
  <c r="AA39" i="23" s="1"/>
  <c r="AN334" i="23"/>
  <c r="Y354" i="23" s="1"/>
  <c r="AA343" i="23"/>
  <c r="L363" i="23" s="1"/>
  <c r="V26" i="21"/>
  <c r="AQ133" i="21"/>
  <c r="AB153" i="21" s="1"/>
  <c r="AL132" i="22"/>
  <c r="AK350" i="22"/>
  <c r="V370" i="22" s="1"/>
  <c r="AQ16" i="23"/>
  <c r="AB36" i="23" s="1"/>
  <c r="Q131" i="23"/>
  <c r="AN132" i="23"/>
  <c r="W228" i="23"/>
  <c r="H248" i="23" s="1"/>
  <c r="W339" i="23"/>
  <c r="H359" i="23" s="1"/>
  <c r="H377" i="23" s="1"/>
  <c r="AC451" i="23"/>
  <c r="N471" i="23" s="1"/>
  <c r="AH334" i="23"/>
  <c r="S354" i="23" s="1"/>
  <c r="AG234" i="23"/>
  <c r="R254" i="23" s="1"/>
  <c r="AK16" i="21"/>
  <c r="V36" i="21" s="1"/>
  <c r="AD27" i="21"/>
  <c r="O47" i="21" s="1"/>
  <c r="U133" i="21"/>
  <c r="F153" i="21" s="1"/>
  <c r="AF348" i="21"/>
  <c r="AE444" i="21"/>
  <c r="P464" i="21" s="1"/>
  <c r="P482" i="21" s="1"/>
  <c r="AH226" i="21"/>
  <c r="S246" i="21" s="1"/>
  <c r="AR340" i="21"/>
  <c r="AC360" i="21" s="1"/>
  <c r="AC378" i="21" s="1"/>
  <c r="Y234" i="21"/>
  <c r="J254" i="21" s="1"/>
  <c r="AJ447" i="21"/>
  <c r="U467" i="21" s="1"/>
  <c r="Z450" i="21"/>
  <c r="K470" i="21" s="1"/>
  <c r="AL24" i="22"/>
  <c r="W44" i="22" s="1"/>
  <c r="AK25" i="22"/>
  <c r="AI124" i="22"/>
  <c r="T144" i="22" s="1"/>
  <c r="AJ131" i="22"/>
  <c r="R225" i="22"/>
  <c r="C245" i="22" s="1"/>
  <c r="AK225" i="22"/>
  <c r="V245" i="22" s="1"/>
  <c r="T236" i="22"/>
  <c r="E256" i="22" s="1"/>
  <c r="AG236" i="22"/>
  <c r="R256" i="22" s="1"/>
  <c r="AR236" i="22"/>
  <c r="AC256" i="22" s="1"/>
  <c r="AM241" i="22"/>
  <c r="X261" i="22" s="1"/>
  <c r="T334" i="22"/>
  <c r="E354" i="22" s="1"/>
  <c r="T335" i="22"/>
  <c r="E355" i="22" s="1"/>
  <c r="AQ335" i="22"/>
  <c r="AB355" i="22" s="1"/>
  <c r="Y339" i="22"/>
  <c r="J359" i="22" s="1"/>
  <c r="AR346" i="22"/>
  <c r="AC366" i="22" s="1"/>
  <c r="X446" i="22"/>
  <c r="I466" i="22" s="1"/>
  <c r="AQ18" i="23"/>
  <c r="AB38" i="23" s="1"/>
  <c r="AG27" i="23"/>
  <c r="R47" i="23" s="1"/>
  <c r="Y131" i="23"/>
  <c r="X132" i="23"/>
  <c r="AF226" i="23"/>
  <c r="Q246" i="23" s="1"/>
  <c r="AG228" i="23"/>
  <c r="R248" i="23" s="1"/>
  <c r="V231" i="23"/>
  <c r="G251" i="23" s="1"/>
  <c r="AH232" i="23"/>
  <c r="S252" i="23" s="1"/>
  <c r="AL232" i="23"/>
  <c r="W252" i="23" s="1"/>
  <c r="T236" i="23"/>
  <c r="E256" i="23" s="1"/>
  <c r="X240" i="23"/>
  <c r="R339" i="23"/>
  <c r="C359" i="23" s="1"/>
  <c r="AC346" i="23"/>
  <c r="N366" i="23" s="1"/>
  <c r="Q349" i="23"/>
  <c r="T443" i="23"/>
  <c r="E463" i="23" s="1"/>
  <c r="Q444" i="23"/>
  <c r="B464" i="23" s="1"/>
  <c r="AR452" i="23"/>
  <c r="AC472" i="23" s="1"/>
  <c r="AJ454" i="23"/>
  <c r="W455" i="23"/>
  <c r="H475" i="23" s="1"/>
  <c r="U16" i="21"/>
  <c r="F36" i="21" s="1"/>
  <c r="AE131" i="21"/>
  <c r="W133" i="21"/>
  <c r="H153" i="21" s="1"/>
  <c r="AO348" i="21"/>
  <c r="AJ453" i="21"/>
  <c r="AO25" i="22"/>
  <c r="Q26" i="22"/>
  <c r="AK130" i="22"/>
  <c r="V150" i="22" s="1"/>
  <c r="Q131" i="22"/>
  <c r="AO227" i="22"/>
  <c r="Z247" i="22" s="1"/>
  <c r="AN241" i="22"/>
  <c r="Y261" i="22" s="1"/>
  <c r="Y226" i="22"/>
  <c r="J246" i="22" s="1"/>
  <c r="AM443" i="22"/>
  <c r="X463" i="22" s="1"/>
  <c r="AD233" i="22"/>
  <c r="O253" i="22" s="1"/>
  <c r="AO450" i="22"/>
  <c r="Z470" i="22" s="1"/>
  <c r="AQ13" i="23"/>
  <c r="AB33" i="23" s="1"/>
  <c r="AP130" i="23"/>
  <c r="AA150" i="23" s="1"/>
  <c r="AR232" i="23"/>
  <c r="AC252" i="23" s="1"/>
  <c r="AH237" i="23"/>
  <c r="S257" i="23" s="1"/>
  <c r="U240" i="23"/>
  <c r="Z339" i="23"/>
  <c r="K359" i="23" s="1"/>
  <c r="AK341" i="23"/>
  <c r="V361" i="23" s="1"/>
  <c r="AJ346" i="23"/>
  <c r="U366" i="23" s="1"/>
  <c r="Y444" i="23"/>
  <c r="J464" i="23" s="1"/>
  <c r="W16" i="21"/>
  <c r="H36" i="21" s="1"/>
  <c r="S119" i="21"/>
  <c r="D139" i="21" s="1"/>
  <c r="AD131" i="21"/>
  <c r="AC132" i="21"/>
  <c r="Y133" i="21"/>
  <c r="J153" i="21" s="1"/>
  <c r="AQ239" i="21"/>
  <c r="AN348" i="21"/>
  <c r="AE350" i="21"/>
  <c r="P370" i="21" s="1"/>
  <c r="S444" i="21"/>
  <c r="D464" i="21" s="1"/>
  <c r="AB26" i="22"/>
  <c r="AP27" i="22"/>
  <c r="AA47" i="22" s="1"/>
  <c r="R130" i="22"/>
  <c r="C150" i="22" s="1"/>
  <c r="AN226" i="22"/>
  <c r="Y246" i="22" s="1"/>
  <c r="AN227" i="22"/>
  <c r="Y247" i="22" s="1"/>
  <c r="AP227" i="22"/>
  <c r="AA247" i="22" s="1"/>
  <c r="X236" i="22"/>
  <c r="I256" i="22" s="1"/>
  <c r="AI348" i="22"/>
  <c r="AL442" i="22"/>
  <c r="W462" i="22" s="1"/>
  <c r="AA446" i="22"/>
  <c r="L466" i="22" s="1"/>
  <c r="AJ452" i="22"/>
  <c r="U472" i="22" s="1"/>
  <c r="AL123" i="22"/>
  <c r="W143" i="22" s="1"/>
  <c r="AO131" i="23"/>
  <c r="AP226" i="23"/>
  <c r="AA246" i="23" s="1"/>
  <c r="Y240" i="23"/>
  <c r="AL339" i="23"/>
  <c r="W359" i="23" s="1"/>
  <c r="W377" i="23" s="1"/>
  <c r="U341" i="23"/>
  <c r="F361" i="23" s="1"/>
  <c r="AJ442" i="23"/>
  <c r="U462" i="23" s="1"/>
  <c r="AI443" i="23"/>
  <c r="T463" i="23" s="1"/>
  <c r="AL444" i="23"/>
  <c r="W464" i="23" s="1"/>
  <c r="AH454" i="23"/>
  <c r="W335" i="23"/>
  <c r="H355" i="23" s="1"/>
  <c r="AR121" i="23"/>
  <c r="AC141" i="23" s="1"/>
  <c r="AM231" i="23"/>
  <c r="X251" i="23" s="1"/>
  <c r="AP236" i="23"/>
  <c r="AA256" i="23" s="1"/>
  <c r="V15" i="20"/>
  <c r="G35" i="20" s="1"/>
  <c r="R445" i="20"/>
  <c r="C465" i="20" s="1"/>
  <c r="AE122" i="21"/>
  <c r="P142" i="21" s="1"/>
  <c r="AE133" i="21"/>
  <c r="P153" i="21" s="1"/>
  <c r="AO341" i="21"/>
  <c r="Z361" i="21" s="1"/>
  <c r="AI446" i="21"/>
  <c r="T466" i="21" s="1"/>
  <c r="V334" i="21"/>
  <c r="G354" i="21" s="1"/>
  <c r="S123" i="21"/>
  <c r="D143" i="21" s="1"/>
  <c r="AG342" i="21"/>
  <c r="R362" i="21" s="1"/>
  <c r="AL13" i="22"/>
  <c r="W33" i="22" s="1"/>
  <c r="AJ23" i="22"/>
  <c r="U43" i="22" s="1"/>
  <c r="AN129" i="22"/>
  <c r="Y149" i="22" s="1"/>
  <c r="AD130" i="22"/>
  <c r="O150" i="22" s="1"/>
  <c r="AH230" i="22"/>
  <c r="S250" i="22" s="1"/>
  <c r="AE232" i="22"/>
  <c r="P252" i="22" s="1"/>
  <c r="V348" i="22"/>
  <c r="AN451" i="22"/>
  <c r="Y471" i="22" s="1"/>
  <c r="R452" i="22"/>
  <c r="C472" i="22" s="1"/>
  <c r="Y119" i="23"/>
  <c r="J139" i="23" s="1"/>
  <c r="AK230" i="23"/>
  <c r="V250" i="23" s="1"/>
  <c r="AO341" i="23"/>
  <c r="Z361" i="23" s="1"/>
  <c r="V441" i="23"/>
  <c r="G461" i="23" s="1"/>
  <c r="AB442" i="23"/>
  <c r="M462" i="23" s="1"/>
  <c r="AP444" i="23"/>
  <c r="AA464" i="23" s="1"/>
  <c r="AJ453" i="23"/>
  <c r="AC340" i="23"/>
  <c r="N360" i="23" s="1"/>
  <c r="AI342" i="23"/>
  <c r="T362" i="23" s="1"/>
  <c r="AI122" i="21"/>
  <c r="T142" i="21" s="1"/>
  <c r="AO124" i="21"/>
  <c r="Z144" i="21" s="1"/>
  <c r="AL454" i="21"/>
  <c r="AJ446" i="22"/>
  <c r="U466" i="22" s="1"/>
  <c r="AR446" i="22"/>
  <c r="AC466" i="22" s="1"/>
  <c r="AI452" i="22"/>
  <c r="T472" i="22" s="1"/>
  <c r="AB25" i="23"/>
  <c r="AJ131" i="23"/>
  <c r="AO133" i="23"/>
  <c r="Z153" i="23" s="1"/>
  <c r="AJ350" i="23"/>
  <c r="U370" i="23" s="1"/>
  <c r="S342" i="23"/>
  <c r="D362" i="23" s="1"/>
  <c r="AI350" i="19"/>
  <c r="T370" i="19" s="1"/>
  <c r="AO453" i="19"/>
  <c r="T119" i="20"/>
  <c r="E139" i="20" s="1"/>
  <c r="AR120" i="20"/>
  <c r="AC140" i="20" s="1"/>
  <c r="R129" i="20"/>
  <c r="C149" i="20" s="1"/>
  <c r="AB130" i="20"/>
  <c r="M150" i="20" s="1"/>
  <c r="V133" i="20"/>
  <c r="G153" i="20" s="1"/>
  <c r="V228" i="20"/>
  <c r="G248" i="20" s="1"/>
  <c r="AR230" i="20"/>
  <c r="AC250" i="20" s="1"/>
  <c r="AQ339" i="20"/>
  <c r="AB359" i="20" s="1"/>
  <c r="AB132" i="19"/>
  <c r="AE16" i="21"/>
  <c r="P36" i="21" s="1"/>
  <c r="AA24" i="21"/>
  <c r="L44" i="21" s="1"/>
  <c r="AD25" i="21"/>
  <c r="AY25" i="21"/>
  <c r="AO117" i="21"/>
  <c r="Z137" i="21" s="1"/>
  <c r="AB119" i="21"/>
  <c r="M139" i="21" s="1"/>
  <c r="AQ121" i="21"/>
  <c r="AB141" i="21" s="1"/>
  <c r="V122" i="21"/>
  <c r="G142" i="21" s="1"/>
  <c r="R124" i="21"/>
  <c r="C144" i="21" s="1"/>
  <c r="AP130" i="21"/>
  <c r="AA150" i="21" s="1"/>
  <c r="V131" i="21"/>
  <c r="AK133" i="21"/>
  <c r="V153" i="21" s="1"/>
  <c r="S233" i="21"/>
  <c r="D253" i="21" s="1"/>
  <c r="AM239" i="21"/>
  <c r="AK239" i="21"/>
  <c r="AF239" i="21"/>
  <c r="AB239" i="21"/>
  <c r="U239" i="21"/>
  <c r="AA336" i="21"/>
  <c r="L356" i="21" s="1"/>
  <c r="AQ349" i="21"/>
  <c r="AE349" i="21"/>
  <c r="AB349" i="21"/>
  <c r="S349" i="21"/>
  <c r="R349" i="21"/>
  <c r="AL444" i="21"/>
  <c r="W464" i="21" s="1"/>
  <c r="AH18" i="22"/>
  <c r="S38" i="22" s="1"/>
  <c r="AY15" i="22"/>
  <c r="Y18" i="22"/>
  <c r="J38" i="22" s="1"/>
  <c r="Y23" i="22"/>
  <c r="J43" i="22" s="1"/>
  <c r="AG120" i="22"/>
  <c r="R140" i="22" s="1"/>
  <c r="AR441" i="19"/>
  <c r="AC461" i="19" s="1"/>
  <c r="AK452" i="19"/>
  <c r="V472" i="19" s="1"/>
  <c r="AK16" i="20"/>
  <c r="V36" i="20" s="1"/>
  <c r="AH130" i="20"/>
  <c r="S150" i="20" s="1"/>
  <c r="AR339" i="20"/>
  <c r="AC359" i="20" s="1"/>
  <c r="AO446" i="20"/>
  <c r="Z466" i="20" s="1"/>
  <c r="AQ455" i="20"/>
  <c r="AB475" i="20" s="1"/>
  <c r="AP12" i="19"/>
  <c r="AA32" i="19" s="1"/>
  <c r="AH16" i="21"/>
  <c r="S36" i="21" s="1"/>
  <c r="AD24" i="21"/>
  <c r="O44" i="21" s="1"/>
  <c r="U25" i="21"/>
  <c r="AZ25" i="21"/>
  <c r="AA26" i="21"/>
  <c r="Q117" i="21"/>
  <c r="B137" i="21" s="1"/>
  <c r="AG119" i="21"/>
  <c r="R139" i="21" s="1"/>
  <c r="Z122" i="21"/>
  <c r="K142" i="21" s="1"/>
  <c r="K160" i="21" s="1"/>
  <c r="W124" i="21"/>
  <c r="H144" i="21" s="1"/>
  <c r="W131" i="21"/>
  <c r="AJ133" i="21"/>
  <c r="U153" i="21" s="1"/>
  <c r="AM133" i="21"/>
  <c r="X153" i="21" s="1"/>
  <c r="X228" i="21"/>
  <c r="I248" i="21" s="1"/>
  <c r="U228" i="21"/>
  <c r="F248" i="21" s="1"/>
  <c r="AN232" i="21"/>
  <c r="Y252" i="21" s="1"/>
  <c r="AK232" i="21"/>
  <c r="V252" i="21" s="1"/>
  <c r="U232" i="21"/>
  <c r="F252" i="21" s="1"/>
  <c r="AJ232" i="21"/>
  <c r="U252" i="21" s="1"/>
  <c r="Q232" i="21"/>
  <c r="B252" i="21" s="1"/>
  <c r="AG232" i="21"/>
  <c r="R252" i="21" s="1"/>
  <c r="AD232" i="21"/>
  <c r="O252" i="21" s="1"/>
  <c r="AP237" i="21"/>
  <c r="AK336" i="21"/>
  <c r="V356" i="21" s="1"/>
  <c r="AI339" i="21"/>
  <c r="T359" i="21" s="1"/>
  <c r="AR339" i="21"/>
  <c r="AC359" i="21" s="1"/>
  <c r="AF339" i="21"/>
  <c r="Q359" i="21" s="1"/>
  <c r="R339" i="21"/>
  <c r="C359" i="21" s="1"/>
  <c r="AQ339" i="21"/>
  <c r="AB359" i="21" s="1"/>
  <c r="AC339" i="21"/>
  <c r="N359" i="21" s="1"/>
  <c r="Q339" i="21"/>
  <c r="B359" i="21" s="1"/>
  <c r="AO339" i="21"/>
  <c r="Z359" i="21" s="1"/>
  <c r="AA339" i="21"/>
  <c r="L359" i="21" s="1"/>
  <c r="AN339" i="21"/>
  <c r="Y359" i="21" s="1"/>
  <c r="X339" i="21"/>
  <c r="I359" i="21" s="1"/>
  <c r="AP339" i="21"/>
  <c r="AA359" i="21" s="1"/>
  <c r="AN347" i="21"/>
  <c r="Y367" i="21" s="1"/>
  <c r="T347" i="21"/>
  <c r="E367" i="21" s="1"/>
  <c r="AP347" i="21"/>
  <c r="AA367" i="21" s="1"/>
  <c r="Q347" i="21"/>
  <c r="B367" i="21" s="1"/>
  <c r="AJ347" i="21"/>
  <c r="U367" i="21" s="1"/>
  <c r="AD347" i="21"/>
  <c r="O367" i="21" s="1"/>
  <c r="AK441" i="21"/>
  <c r="V461" i="21" s="1"/>
  <c r="AM441" i="21"/>
  <c r="X461" i="21" s="1"/>
  <c r="AH441" i="21"/>
  <c r="S461" i="21" s="1"/>
  <c r="X441" i="21"/>
  <c r="I461" i="21" s="1"/>
  <c r="W441" i="21"/>
  <c r="H461" i="21" s="1"/>
  <c r="AK453" i="21"/>
  <c r="X454" i="21"/>
  <c r="AE455" i="21"/>
  <c r="P475" i="21" s="1"/>
  <c r="W120" i="22"/>
  <c r="H140" i="22" s="1"/>
  <c r="AN23" i="19"/>
  <c r="Y43" i="19" s="1"/>
  <c r="S131" i="19"/>
  <c r="AN230" i="19"/>
  <c r="Y250" i="19" s="1"/>
  <c r="AR130" i="20"/>
  <c r="AC150" i="20" s="1"/>
  <c r="Q238" i="20"/>
  <c r="B258" i="20" s="1"/>
  <c r="AF442" i="20"/>
  <c r="Q462" i="20" s="1"/>
  <c r="X446" i="20"/>
  <c r="I466" i="20" s="1"/>
  <c r="AB455" i="20"/>
  <c r="M475" i="20" s="1"/>
  <c r="AP16" i="21"/>
  <c r="AA36" i="21" s="1"/>
  <c r="AH18" i="21"/>
  <c r="S38" i="21" s="1"/>
  <c r="AD23" i="21"/>
  <c r="O43" i="21" s="1"/>
  <c r="AI24" i="21"/>
  <c r="T44" i="21" s="1"/>
  <c r="X25" i="21"/>
  <c r="AD26" i="21"/>
  <c r="AP119" i="21"/>
  <c r="AA139" i="21" s="1"/>
  <c r="AA122" i="21"/>
  <c r="L142" i="21" s="1"/>
  <c r="AC124" i="21"/>
  <c r="N144" i="21" s="1"/>
  <c r="AO133" i="21"/>
  <c r="Z153" i="21" s="1"/>
  <c r="AA230" i="21"/>
  <c r="L250" i="21" s="1"/>
  <c r="S230" i="21"/>
  <c r="D250" i="21" s="1"/>
  <c r="Q237" i="21"/>
  <c r="B257" i="21" s="1"/>
  <c r="AG241" i="21"/>
  <c r="R261" i="21" s="1"/>
  <c r="AP241" i="21"/>
  <c r="AA261" i="21" s="1"/>
  <c r="AH349" i="21"/>
  <c r="S350" i="21"/>
  <c r="D370" i="21" s="1"/>
  <c r="W442" i="21"/>
  <c r="H462" i="21" s="1"/>
  <c r="Q442" i="21"/>
  <c r="B462" i="21" s="1"/>
  <c r="AM442" i="21"/>
  <c r="X462" i="21" s="1"/>
  <c r="S454" i="21"/>
  <c r="AN455" i="21"/>
  <c r="Y475" i="21" s="1"/>
  <c r="AJ455" i="21"/>
  <c r="U475" i="21" s="1"/>
  <c r="AC455" i="21"/>
  <c r="N475" i="21" s="1"/>
  <c r="Y455" i="21"/>
  <c r="J475" i="21" s="1"/>
  <c r="T455" i="21"/>
  <c r="E475" i="21" s="1"/>
  <c r="AE229" i="21"/>
  <c r="P249" i="21" s="1"/>
  <c r="AC229" i="21"/>
  <c r="W443" i="21"/>
  <c r="H463" i="21" s="1"/>
  <c r="AN443" i="21"/>
  <c r="Y463" i="21" s="1"/>
  <c r="AF443" i="21"/>
  <c r="Q463" i="21" s="1"/>
  <c r="X443" i="21"/>
  <c r="I463" i="21" s="1"/>
  <c r="AG18" i="22"/>
  <c r="R38" i="22" s="1"/>
  <c r="AM228" i="22"/>
  <c r="X248" i="22" s="1"/>
  <c r="R228" i="22"/>
  <c r="C248" i="22" s="1"/>
  <c r="AO228" i="22"/>
  <c r="Z248" i="22" s="1"/>
  <c r="AN228" i="22"/>
  <c r="Y248" i="22" s="1"/>
  <c r="AA228" i="22"/>
  <c r="L248" i="22" s="1"/>
  <c r="Z228" i="22"/>
  <c r="K248" i="22" s="1"/>
  <c r="V131" i="19"/>
  <c r="AK348" i="19"/>
  <c r="AB441" i="19"/>
  <c r="M461" i="19" s="1"/>
  <c r="AH442" i="19"/>
  <c r="S462" i="19" s="1"/>
  <c r="AN451" i="19"/>
  <c r="Y471" i="19" s="1"/>
  <c r="AI27" i="20"/>
  <c r="T47" i="20" s="1"/>
  <c r="AP336" i="20"/>
  <c r="AA356" i="20" s="1"/>
  <c r="Q339" i="20"/>
  <c r="B359" i="20" s="1"/>
  <c r="U348" i="20"/>
  <c r="Z441" i="20"/>
  <c r="K461" i="20" s="1"/>
  <c r="AG442" i="20"/>
  <c r="R462" i="20" s="1"/>
  <c r="U26" i="19"/>
  <c r="AE440" i="19"/>
  <c r="P460" i="19" s="1"/>
  <c r="AI342" i="19"/>
  <c r="T362" i="19" s="1"/>
  <c r="AK443" i="19"/>
  <c r="V463" i="19" s="1"/>
  <c r="AH340" i="20"/>
  <c r="S360" i="20" s="1"/>
  <c r="AY14" i="21"/>
  <c r="AI23" i="21"/>
  <c r="T43" i="21" s="1"/>
  <c r="AK24" i="21"/>
  <c r="V44" i="21" s="1"/>
  <c r="AZ24" i="21"/>
  <c r="AK25" i="21"/>
  <c r="AL26" i="21"/>
  <c r="AQ119" i="21"/>
  <c r="AB139" i="21" s="1"/>
  <c r="AE124" i="21"/>
  <c r="P144" i="21" s="1"/>
  <c r="V237" i="21"/>
  <c r="G257" i="21" s="1"/>
  <c r="AN349" i="21"/>
  <c r="AB454" i="21"/>
  <c r="Z18" i="19"/>
  <c r="K38" i="19" s="1"/>
  <c r="AR25" i="19"/>
  <c r="AN129" i="19"/>
  <c r="Y149" i="19" s="1"/>
  <c r="V130" i="19"/>
  <c r="G150" i="19" s="1"/>
  <c r="R237" i="19"/>
  <c r="C257" i="19" s="1"/>
  <c r="U238" i="19"/>
  <c r="F258" i="19" s="1"/>
  <c r="AG441" i="19"/>
  <c r="R461" i="19" s="1"/>
  <c r="AQ442" i="19"/>
  <c r="AB462" i="19" s="1"/>
  <c r="U452" i="19"/>
  <c r="F472" i="19" s="1"/>
  <c r="AK25" i="20"/>
  <c r="AC120" i="20"/>
  <c r="N140" i="20" s="1"/>
  <c r="S130" i="20"/>
  <c r="D150" i="20" s="1"/>
  <c r="W238" i="20"/>
  <c r="H258" i="20" s="1"/>
  <c r="T339" i="20"/>
  <c r="E359" i="20" s="1"/>
  <c r="AR348" i="20"/>
  <c r="AN26" i="21"/>
  <c r="AJ124" i="21"/>
  <c r="U144" i="21" s="1"/>
  <c r="AG131" i="21"/>
  <c r="W237" i="21"/>
  <c r="H257" i="21" s="1"/>
  <c r="AR349" i="21"/>
  <c r="AR452" i="21"/>
  <c r="AC472" i="21" s="1"/>
  <c r="AF452" i="21"/>
  <c r="Q472" i="21" s="1"/>
  <c r="W452" i="21"/>
  <c r="H472" i="21" s="1"/>
  <c r="AI454" i="21"/>
  <c r="AM122" i="22"/>
  <c r="X142" i="22" s="1"/>
  <c r="AK122" i="22"/>
  <c r="V142" i="22" s="1"/>
  <c r="Y122" i="22"/>
  <c r="J142" i="22" s="1"/>
  <c r="Q122" i="22"/>
  <c r="B142" i="22" s="1"/>
  <c r="S237" i="19"/>
  <c r="D257" i="19" s="1"/>
  <c r="AQ337" i="19"/>
  <c r="AB357" i="19" s="1"/>
  <c r="AE452" i="19"/>
  <c r="P472" i="19" s="1"/>
  <c r="R455" i="19"/>
  <c r="C475" i="19" s="1"/>
  <c r="AG119" i="20"/>
  <c r="R139" i="20" s="1"/>
  <c r="V339" i="20"/>
  <c r="G359" i="20" s="1"/>
  <c r="AK441" i="20"/>
  <c r="V461" i="20" s="1"/>
  <c r="AR334" i="20"/>
  <c r="AC354" i="20" s="1"/>
  <c r="AQ13" i="21"/>
  <c r="AB33" i="21" s="1"/>
  <c r="U24" i="21"/>
  <c r="F44" i="21" s="1"/>
  <c r="AN24" i="21"/>
  <c r="Y44" i="21" s="1"/>
  <c r="AQ26" i="21"/>
  <c r="AJ122" i="21"/>
  <c r="U142" i="21" s="1"/>
  <c r="U160" i="21" s="1"/>
  <c r="X130" i="21"/>
  <c r="I150" i="21" s="1"/>
  <c r="AK131" i="21"/>
  <c r="AI131" i="21"/>
  <c r="AE336" i="21"/>
  <c r="P356" i="21" s="1"/>
  <c r="AD336" i="21"/>
  <c r="O356" i="21" s="1"/>
  <c r="V336" i="21"/>
  <c r="G356" i="21" s="1"/>
  <c r="AR336" i="21"/>
  <c r="AC356" i="21" s="1"/>
  <c r="U336" i="21"/>
  <c r="F356" i="21" s="1"/>
  <c r="AN451" i="21"/>
  <c r="Y471" i="21" s="1"/>
  <c r="V452" i="21"/>
  <c r="G472" i="21" s="1"/>
  <c r="AN225" i="21"/>
  <c r="Y245" i="21" s="1"/>
  <c r="AG129" i="22"/>
  <c r="R149" i="22" s="1"/>
  <c r="AE24" i="19"/>
  <c r="P44" i="19" s="1"/>
  <c r="V227" i="19"/>
  <c r="G247" i="19" s="1"/>
  <c r="AM232" i="19"/>
  <c r="X252" i="19" s="1"/>
  <c r="AA237" i="19"/>
  <c r="L257" i="19" s="1"/>
  <c r="Y238" i="19"/>
  <c r="J258" i="19" s="1"/>
  <c r="AB337" i="19"/>
  <c r="M357" i="19" s="1"/>
  <c r="AG336" i="20"/>
  <c r="R356" i="20" s="1"/>
  <c r="AA339" i="20"/>
  <c r="L359" i="20" s="1"/>
  <c r="Q441" i="20"/>
  <c r="B461" i="20" s="1"/>
  <c r="AN452" i="20"/>
  <c r="Y472" i="20" s="1"/>
  <c r="AM349" i="19"/>
  <c r="AH440" i="20"/>
  <c r="S460" i="20" s="1"/>
  <c r="AG343" i="20"/>
  <c r="R363" i="20" s="1"/>
  <c r="AD448" i="20"/>
  <c r="O468" i="20" s="1"/>
  <c r="AZ23" i="21"/>
  <c r="V24" i="21"/>
  <c r="G44" i="21" s="1"/>
  <c r="AQ24" i="21"/>
  <c r="AB44" i="21" s="1"/>
  <c r="Q122" i="21"/>
  <c r="B142" i="21" s="1"/>
  <c r="Z130" i="21"/>
  <c r="K150" i="21" s="1"/>
  <c r="Q131" i="21"/>
  <c r="AL131" i="21"/>
  <c r="AB133" i="21"/>
  <c r="M153" i="21" s="1"/>
  <c r="S336" i="21"/>
  <c r="D356" i="21" s="1"/>
  <c r="AH452" i="21"/>
  <c r="S472" i="21" s="1"/>
  <c r="AP455" i="21"/>
  <c r="AA475" i="21" s="1"/>
  <c r="AD22" i="21"/>
  <c r="O42" i="21" s="1"/>
  <c r="AF335" i="21"/>
  <c r="Q355" i="21" s="1"/>
  <c r="S440" i="21"/>
  <c r="D460" i="21" s="1"/>
  <c r="AL440" i="21"/>
  <c r="W460" i="21" s="1"/>
  <c r="AC231" i="21"/>
  <c r="N251" i="21" s="1"/>
  <c r="AB231" i="21"/>
  <c r="M251" i="21" s="1"/>
  <c r="AA448" i="21"/>
  <c r="L468" i="21" s="1"/>
  <c r="AI448" i="21"/>
  <c r="T468" i="21" s="1"/>
  <c r="AN448" i="21"/>
  <c r="Y468" i="21" s="1"/>
  <c r="AC122" i="22"/>
  <c r="N142" i="22" s="1"/>
  <c r="W129" i="22"/>
  <c r="H149" i="22" s="1"/>
  <c r="AN122" i="19"/>
  <c r="Y142" i="19" s="1"/>
  <c r="AE131" i="19"/>
  <c r="AR133" i="19"/>
  <c r="AC153" i="19" s="1"/>
  <c r="V232" i="19"/>
  <c r="G252" i="19" s="1"/>
  <c r="AJ337" i="19"/>
  <c r="U357" i="19" s="1"/>
  <c r="X13" i="20"/>
  <c r="I33" i="20" s="1"/>
  <c r="AL24" i="20"/>
  <c r="W44" i="20" s="1"/>
  <c r="AO129" i="20"/>
  <c r="Z149" i="20" s="1"/>
  <c r="R130" i="20"/>
  <c r="C150" i="20" s="1"/>
  <c r="AB133" i="20"/>
  <c r="M153" i="20" s="1"/>
  <c r="R228" i="20"/>
  <c r="C248" i="20" s="1"/>
  <c r="AD339" i="20"/>
  <c r="O359" i="20" s="1"/>
  <c r="AM240" i="21"/>
  <c r="AI240" i="21"/>
  <c r="S451" i="21"/>
  <c r="D471" i="21" s="1"/>
  <c r="Q451" i="21"/>
  <c r="B471" i="21" s="1"/>
  <c r="V454" i="21"/>
  <c r="R454" i="21"/>
  <c r="AG338" i="21"/>
  <c r="R358" i="21" s="1"/>
  <c r="AI338" i="21"/>
  <c r="T358" i="21" s="1"/>
  <c r="AH338" i="21"/>
  <c r="S358" i="21" s="1"/>
  <c r="T338" i="21"/>
  <c r="E358" i="21" s="1"/>
  <c r="Q338" i="21"/>
  <c r="B358" i="21" s="1"/>
  <c r="AR233" i="21"/>
  <c r="AC253" i="21" s="1"/>
  <c r="AQ233" i="21"/>
  <c r="AB253" i="21" s="1"/>
  <c r="AF233" i="21"/>
  <c r="Q253" i="21" s="1"/>
  <c r="T233" i="21"/>
  <c r="E253" i="21" s="1"/>
  <c r="AP23" i="22"/>
  <c r="AA43" i="22" s="1"/>
  <c r="AK23" i="22"/>
  <c r="V43" i="22" s="1"/>
  <c r="Q23" i="22"/>
  <c r="B43" i="22" s="1"/>
  <c r="AG23" i="22"/>
  <c r="R43" i="22" s="1"/>
  <c r="AC23" i="22"/>
  <c r="N43" i="22" s="1"/>
  <c r="AB23" i="22"/>
  <c r="M43" i="22" s="1"/>
  <c r="AR23" i="22"/>
  <c r="AC43" i="22" s="1"/>
  <c r="U23" i="22"/>
  <c r="F43" i="22" s="1"/>
  <c r="AO23" i="22"/>
  <c r="Z43" i="22" s="1"/>
  <c r="T23" i="22"/>
  <c r="E43" i="22" s="1"/>
  <c r="AG228" i="21"/>
  <c r="R248" i="21" s="1"/>
  <c r="AD237" i="21"/>
  <c r="O257" i="21" s="1"/>
  <c r="Q342" i="21"/>
  <c r="B362" i="21" s="1"/>
  <c r="AI347" i="21"/>
  <c r="T367" i="21" s="1"/>
  <c r="AI348" i="21"/>
  <c r="AB348" i="21"/>
  <c r="AP348" i="21"/>
  <c r="Z446" i="21"/>
  <c r="K466" i="21" s="1"/>
  <c r="AP453" i="21"/>
  <c r="AN454" i="21"/>
  <c r="AL450" i="21"/>
  <c r="W470" i="21" s="1"/>
  <c r="R14" i="22"/>
  <c r="C34" i="22" s="1"/>
  <c r="AZ14" i="22"/>
  <c r="AB16" i="22"/>
  <c r="M36" i="22" s="1"/>
  <c r="AM24" i="22"/>
  <c r="X44" i="22" s="1"/>
  <c r="AG24" i="22"/>
  <c r="R44" i="22" s="1"/>
  <c r="U25" i="22"/>
  <c r="AR25" i="22"/>
  <c r="AM26" i="22"/>
  <c r="AG26" i="22"/>
  <c r="U27" i="22"/>
  <c r="F47" i="22" s="1"/>
  <c r="AR27" i="22"/>
  <c r="AC47" i="22" s="1"/>
  <c r="R120" i="22"/>
  <c r="C140" i="22" s="1"/>
  <c r="AQ120" i="22"/>
  <c r="AB140" i="22" s="1"/>
  <c r="R129" i="22"/>
  <c r="C149" i="22" s="1"/>
  <c r="AQ129" i="22"/>
  <c r="AB149" i="22" s="1"/>
  <c r="AN130" i="22"/>
  <c r="Y150" i="22" s="1"/>
  <c r="AM131" i="22"/>
  <c r="AI133" i="22"/>
  <c r="T153" i="22" s="1"/>
  <c r="AR226" i="22"/>
  <c r="AC246" i="22" s="1"/>
  <c r="S227" i="22"/>
  <c r="D247" i="22" s="1"/>
  <c r="AF227" i="22"/>
  <c r="Q247" i="22" s="1"/>
  <c r="AQ227" i="22"/>
  <c r="AB247" i="22" s="1"/>
  <c r="AK232" i="22"/>
  <c r="V252" i="22" s="1"/>
  <c r="AR240" i="22"/>
  <c r="V241" i="22"/>
  <c r="G261" i="22" s="1"/>
  <c r="W336" i="22"/>
  <c r="H356" i="22" s="1"/>
  <c r="AE339" i="22"/>
  <c r="P359" i="22" s="1"/>
  <c r="P377" i="22" s="1"/>
  <c r="AA348" i="22"/>
  <c r="AN349" i="22"/>
  <c r="AI349" i="22"/>
  <c r="R349" i="22"/>
  <c r="AG350" i="22"/>
  <c r="R370" i="22" s="1"/>
  <c r="AL441" i="22"/>
  <c r="W461" i="22" s="1"/>
  <c r="T442" i="22"/>
  <c r="E462" i="22" s="1"/>
  <c r="S443" i="22"/>
  <c r="D463" i="22" s="1"/>
  <c r="AN444" i="22"/>
  <c r="Y464" i="22" s="1"/>
  <c r="AI444" i="22"/>
  <c r="T464" i="22" s="1"/>
  <c r="U444" i="22"/>
  <c r="F464" i="22" s="1"/>
  <c r="AR444" i="22"/>
  <c r="AC464" i="22" s="1"/>
  <c r="AD450" i="22"/>
  <c r="O470" i="22" s="1"/>
  <c r="AA451" i="22"/>
  <c r="L471" i="22" s="1"/>
  <c r="W452" i="22"/>
  <c r="H472" i="22" s="1"/>
  <c r="AO453" i="22"/>
  <c r="AQ439" i="22"/>
  <c r="AB459" i="22" s="1"/>
  <c r="AQ340" i="22"/>
  <c r="AB360" i="22" s="1"/>
  <c r="AJ342" i="22"/>
  <c r="U362" i="22" s="1"/>
  <c r="AT19" i="23"/>
  <c r="AT29" i="23"/>
  <c r="S25" i="23"/>
  <c r="U241" i="23"/>
  <c r="F261" i="23" s="1"/>
  <c r="AD349" i="23"/>
  <c r="AH349" i="23"/>
  <c r="AE237" i="21"/>
  <c r="P257" i="21" s="1"/>
  <c r="W342" i="21"/>
  <c r="H362" i="21" s="1"/>
  <c r="Q348" i="21"/>
  <c r="AC348" i="21"/>
  <c r="AQ348" i="21"/>
  <c r="AO444" i="21"/>
  <c r="Z464" i="21" s="1"/>
  <c r="Z482" i="21" s="1"/>
  <c r="AI444" i="21"/>
  <c r="T464" i="21" s="1"/>
  <c r="Y453" i="21"/>
  <c r="AR454" i="21"/>
  <c r="AL447" i="21"/>
  <c r="W467" i="21" s="1"/>
  <c r="Z14" i="22"/>
  <c r="K34" i="22" s="1"/>
  <c r="AD16" i="22"/>
  <c r="O36" i="22" s="1"/>
  <c r="Z18" i="22"/>
  <c r="K38" i="22" s="1"/>
  <c r="AP24" i="22"/>
  <c r="AA44" i="22" s="1"/>
  <c r="AJ24" i="22"/>
  <c r="U44" i="22" s="1"/>
  <c r="Y25" i="22"/>
  <c r="AP26" i="22"/>
  <c r="AJ26" i="22"/>
  <c r="Y27" i="22"/>
  <c r="J47" i="22" s="1"/>
  <c r="V120" i="22"/>
  <c r="G140" i="22" s="1"/>
  <c r="V129" i="22"/>
  <c r="G149" i="22" s="1"/>
  <c r="AJ133" i="22"/>
  <c r="U153" i="22" s="1"/>
  <c r="AI226" i="22"/>
  <c r="T246" i="22" s="1"/>
  <c r="T227" i="22"/>
  <c r="E247" i="22" s="1"/>
  <c r="AG227" i="22"/>
  <c r="R247" i="22" s="1"/>
  <c r="AR227" i="22"/>
  <c r="AC247" i="22" s="1"/>
  <c r="W241" i="22"/>
  <c r="H261" i="22" s="1"/>
  <c r="X336" i="22"/>
  <c r="I356" i="22" s="1"/>
  <c r="U342" i="22"/>
  <c r="F362" i="22" s="1"/>
  <c r="AB348" i="22"/>
  <c r="V349" i="22"/>
  <c r="U442" i="22"/>
  <c r="F462" i="22" s="1"/>
  <c r="AA443" i="22"/>
  <c r="L463" i="22" s="1"/>
  <c r="Q444" i="22"/>
  <c r="B464" i="22" s="1"/>
  <c r="Z452" i="22"/>
  <c r="K472" i="22" s="1"/>
  <c r="AM455" i="22"/>
  <c r="X475" i="22" s="1"/>
  <c r="S455" i="22"/>
  <c r="D475" i="22" s="1"/>
  <c r="AH455" i="22"/>
  <c r="S475" i="22" s="1"/>
  <c r="AE455" i="22"/>
  <c r="P475" i="22" s="1"/>
  <c r="AQ455" i="22"/>
  <c r="AB475" i="22" s="1"/>
  <c r="U455" i="22"/>
  <c r="F475" i="22" s="1"/>
  <c r="AK23" i="23"/>
  <c r="V43" i="23" s="1"/>
  <c r="AB23" i="23"/>
  <c r="M43" i="23" s="1"/>
  <c r="AA23" i="23"/>
  <c r="L43" i="23" s="1"/>
  <c r="AQ23" i="23"/>
  <c r="AB43" i="23" s="1"/>
  <c r="T23" i="23"/>
  <c r="E43" i="23" s="1"/>
  <c r="AP23" i="23"/>
  <c r="AA43" i="23" s="1"/>
  <c r="S23" i="23"/>
  <c r="D43" i="23" s="1"/>
  <c r="AJ23" i="23"/>
  <c r="U43" i="23" s="1"/>
  <c r="R23" i="23"/>
  <c r="C43" i="23" s="1"/>
  <c r="AH23" i="23"/>
  <c r="S43" i="23" s="1"/>
  <c r="AM337" i="23"/>
  <c r="X357" i="23" s="1"/>
  <c r="U229" i="23"/>
  <c r="F249" i="23" s="1"/>
  <c r="AO229" i="23"/>
  <c r="Z249" i="23" s="1"/>
  <c r="AG229" i="23"/>
  <c r="R249" i="23" s="1"/>
  <c r="AE229" i="23"/>
  <c r="P249" i="23" s="1"/>
  <c r="W229" i="23"/>
  <c r="H249" i="23" s="1"/>
  <c r="AN229" i="23"/>
  <c r="Y249" i="23" s="1"/>
  <c r="AN123" i="23"/>
  <c r="Y143" i="23" s="1"/>
  <c r="AH123" i="23"/>
  <c r="S143" i="23" s="1"/>
  <c r="AB123" i="23"/>
  <c r="M143" i="23" s="1"/>
  <c r="M161" i="23" s="1"/>
  <c r="X123" i="23"/>
  <c r="I143" i="23" s="1"/>
  <c r="T123" i="23"/>
  <c r="E143" i="23" s="1"/>
  <c r="R123" i="23"/>
  <c r="C143" i="23" s="1"/>
  <c r="AR123" i="23"/>
  <c r="AC143" i="23" s="1"/>
  <c r="AK445" i="23"/>
  <c r="V465" i="23" s="1"/>
  <c r="AC445" i="23"/>
  <c r="N465" i="23" s="1"/>
  <c r="AH126" i="23"/>
  <c r="S146" i="23" s="1"/>
  <c r="AD126" i="23"/>
  <c r="O146" i="23" s="1"/>
  <c r="AN126" i="23"/>
  <c r="Y146" i="23" s="1"/>
  <c r="AO234" i="23"/>
  <c r="Z254" i="23" s="1"/>
  <c r="U234" i="23"/>
  <c r="F254" i="23" s="1"/>
  <c r="AI234" i="23"/>
  <c r="T254" i="23" s="1"/>
  <c r="T234" i="23"/>
  <c r="E254" i="23" s="1"/>
  <c r="AH234" i="23"/>
  <c r="S254" i="23" s="1"/>
  <c r="S234" i="23"/>
  <c r="D254" i="23" s="1"/>
  <c r="AF234" i="23"/>
  <c r="Q254" i="23" s="1"/>
  <c r="AR234" i="23"/>
  <c r="AC254" i="23" s="1"/>
  <c r="AC234" i="23"/>
  <c r="N254" i="23" s="1"/>
  <c r="AG447" i="23"/>
  <c r="R467" i="23" s="1"/>
  <c r="AF447" i="23"/>
  <c r="Q467" i="23" s="1"/>
  <c r="S447" i="23"/>
  <c r="D467" i="23" s="1"/>
  <c r="Q447" i="23"/>
  <c r="B467" i="23" s="1"/>
  <c r="AR232" i="22"/>
  <c r="AC252" i="22" s="1"/>
  <c r="AI350" i="22"/>
  <c r="T370" i="22" s="1"/>
  <c r="Q350" i="22"/>
  <c r="B370" i="22" s="1"/>
  <c r="Z350" i="22"/>
  <c r="K370" i="22" s="1"/>
  <c r="AN350" i="22"/>
  <c r="Y370" i="22" s="1"/>
  <c r="AC441" i="22"/>
  <c r="N461" i="22" s="1"/>
  <c r="AN441" i="22"/>
  <c r="Y461" i="22" s="1"/>
  <c r="Q441" i="22"/>
  <c r="B461" i="22" s="1"/>
  <c r="AR441" i="22"/>
  <c r="AC461" i="22" s="1"/>
  <c r="V442" i="22"/>
  <c r="G462" i="22" s="1"/>
  <c r="T444" i="22"/>
  <c r="E464" i="22" s="1"/>
  <c r="AK453" i="22"/>
  <c r="AD453" i="22"/>
  <c r="AB453" i="22"/>
  <c r="AQ453" i="22"/>
  <c r="S453" i="22"/>
  <c r="AK26" i="23"/>
  <c r="AB26" i="23"/>
  <c r="AA26" i="23"/>
  <c r="AQ26" i="23"/>
  <c r="T26" i="23"/>
  <c r="AP26" i="23"/>
  <c r="S26" i="23"/>
  <c r="AJ26" i="23"/>
  <c r="R26" i="23"/>
  <c r="AH26" i="23"/>
  <c r="AP336" i="23"/>
  <c r="AA356" i="23" s="1"/>
  <c r="U336" i="23"/>
  <c r="F356" i="23" s="1"/>
  <c r="W348" i="23"/>
  <c r="AP348" i="23"/>
  <c r="V348" i="23"/>
  <c r="AM348" i="23"/>
  <c r="S348" i="23"/>
  <c r="AH348" i="23"/>
  <c r="AM237" i="21"/>
  <c r="X257" i="21" s="1"/>
  <c r="AK337" i="21"/>
  <c r="V357" i="21" s="1"/>
  <c r="AC342" i="21"/>
  <c r="N362" i="21" s="1"/>
  <c r="AM346" i="21"/>
  <c r="X366" i="21" s="1"/>
  <c r="S348" i="21"/>
  <c r="AG348" i="21"/>
  <c r="AD441" i="21"/>
  <c r="O461" i="21" s="1"/>
  <c r="AM444" i="21"/>
  <c r="X464" i="21" s="1"/>
  <c r="AF334" i="21"/>
  <c r="Q354" i="21" s="1"/>
  <c r="AB340" i="21"/>
  <c r="M360" i="21" s="1"/>
  <c r="M378" i="21" s="1"/>
  <c r="AH16" i="22"/>
  <c r="S36" i="22" s="1"/>
  <c r="AL16" i="22"/>
  <c r="W36" i="22" s="1"/>
  <c r="AQ18" i="22"/>
  <c r="AB38" i="22" s="1"/>
  <c r="T24" i="22"/>
  <c r="E44" i="22" s="1"/>
  <c r="AO24" i="22"/>
  <c r="Z44" i="22" s="1"/>
  <c r="AL25" i="22"/>
  <c r="AC25" i="22"/>
  <c r="AX25" i="22"/>
  <c r="T26" i="22"/>
  <c r="AO26" i="22"/>
  <c r="AL27" i="22"/>
  <c r="W47" i="22" s="1"/>
  <c r="AC27" i="22"/>
  <c r="N47" i="22" s="1"/>
  <c r="AX27" i="22"/>
  <c r="AN118" i="22"/>
  <c r="Y138" i="22" s="1"/>
  <c r="AD120" i="22"/>
  <c r="O140" i="22" s="1"/>
  <c r="AJ122" i="22"/>
  <c r="U142" i="22" s="1"/>
  <c r="AJ124" i="22"/>
  <c r="U144" i="22" s="1"/>
  <c r="AD129" i="22"/>
  <c r="O149" i="22" s="1"/>
  <c r="V226" i="22"/>
  <c r="G246" i="22" s="1"/>
  <c r="X227" i="22"/>
  <c r="I247" i="22" s="1"/>
  <c r="AI227" i="22"/>
  <c r="T247" i="22" s="1"/>
  <c r="X230" i="22"/>
  <c r="I250" i="22" s="1"/>
  <c r="AJ232" i="22"/>
  <c r="U252" i="22" s="1"/>
  <c r="AO233" i="22"/>
  <c r="Z253" i="22" s="1"/>
  <c r="AG239" i="22"/>
  <c r="AF241" i="22"/>
  <c r="Q261" i="22" s="1"/>
  <c r="AF336" i="22"/>
  <c r="Q356" i="22" s="1"/>
  <c r="AC349" i="22"/>
  <c r="R350" i="22"/>
  <c r="C370" i="22" s="1"/>
  <c r="AP350" i="22"/>
  <c r="AA370" i="22" s="1"/>
  <c r="T441" i="22"/>
  <c r="E461" i="22" s="1"/>
  <c r="AC442" i="22"/>
  <c r="N462" i="22" s="1"/>
  <c r="V444" i="22"/>
  <c r="G464" i="22" s="1"/>
  <c r="AK452" i="22"/>
  <c r="V472" i="22" s="1"/>
  <c r="T453" i="22"/>
  <c r="V454" i="22"/>
  <c r="AQ454" i="22"/>
  <c r="AH445" i="22"/>
  <c r="S465" i="22" s="1"/>
  <c r="AF445" i="22"/>
  <c r="Q465" i="22" s="1"/>
  <c r="AA445" i="22"/>
  <c r="L465" i="22" s="1"/>
  <c r="AN445" i="22"/>
  <c r="Y465" i="22" s="1"/>
  <c r="Q445" i="22"/>
  <c r="B465" i="22" s="1"/>
  <c r="AF448" i="22"/>
  <c r="Q468" i="22" s="1"/>
  <c r="AL448" i="22"/>
  <c r="W468" i="22" s="1"/>
  <c r="AZ17" i="23"/>
  <c r="AI23" i="23"/>
  <c r="T43" i="23" s="1"/>
  <c r="Z26" i="23"/>
  <c r="AC336" i="23"/>
  <c r="N356" i="23" s="1"/>
  <c r="AJ446" i="23"/>
  <c r="U466" i="23" s="1"/>
  <c r="U440" i="23"/>
  <c r="F460" i="23" s="1"/>
  <c r="T348" i="21"/>
  <c r="AH348" i="21"/>
  <c r="V444" i="21"/>
  <c r="G464" i="21" s="1"/>
  <c r="AP444" i="21"/>
  <c r="AA464" i="21" s="1"/>
  <c r="AO19" i="21"/>
  <c r="Z39" i="21" s="1"/>
  <c r="AO229" i="21"/>
  <c r="Z249" i="21" s="1"/>
  <c r="Y236" i="21"/>
  <c r="J256" i="21" s="1"/>
  <c r="AR16" i="22"/>
  <c r="AC36" i="22" s="1"/>
  <c r="Q18" i="22"/>
  <c r="B38" i="22" s="1"/>
  <c r="AL23" i="22"/>
  <c r="W43" i="22" s="1"/>
  <c r="U24" i="22"/>
  <c r="F44" i="22" s="1"/>
  <c r="AR24" i="22"/>
  <c r="AC44" i="22" s="1"/>
  <c r="AM25" i="22"/>
  <c r="AG25" i="22"/>
  <c r="AZ25" i="22"/>
  <c r="U26" i="22"/>
  <c r="AR26" i="22"/>
  <c r="AM27" i="22"/>
  <c r="X47" i="22" s="1"/>
  <c r="AG27" i="22"/>
  <c r="R47" i="22" s="1"/>
  <c r="AZ27" i="22"/>
  <c r="AF120" i="22"/>
  <c r="Q140" i="22" s="1"/>
  <c r="AF129" i="22"/>
  <c r="Q149" i="22" s="1"/>
  <c r="AK131" i="22"/>
  <c r="Y227" i="22"/>
  <c r="J247" i="22" s="1"/>
  <c r="AK227" i="22"/>
  <c r="V247" i="22" s="1"/>
  <c r="AE230" i="22"/>
  <c r="P250" i="22" s="1"/>
  <c r="V232" i="22"/>
  <c r="G252" i="22" s="1"/>
  <c r="AE233" i="22"/>
  <c r="P253" i="22" s="1"/>
  <c r="AQ241" i="22"/>
  <c r="AB261" i="22" s="1"/>
  <c r="AI241" i="22"/>
  <c r="T261" i="22" s="1"/>
  <c r="AN336" i="22"/>
  <c r="Y356" i="22" s="1"/>
  <c r="AI336" i="22"/>
  <c r="T356" i="22" s="1"/>
  <c r="AO349" i="22"/>
  <c r="T350" i="22"/>
  <c r="E370" i="22" s="1"/>
  <c r="V441" i="22"/>
  <c r="G461" i="22" s="1"/>
  <c r="AK442" i="22"/>
  <c r="V462" i="22" s="1"/>
  <c r="Z444" i="22"/>
  <c r="K464" i="22" s="1"/>
  <c r="X447" i="22"/>
  <c r="I467" i="22" s="1"/>
  <c r="AP452" i="22"/>
  <c r="AA472" i="22" s="1"/>
  <c r="U453" i="22"/>
  <c r="Z454" i="22"/>
  <c r="Z455" i="22"/>
  <c r="K475" i="22" s="1"/>
  <c r="AR23" i="23"/>
  <c r="AC43" i="23" s="1"/>
  <c r="AK24" i="23"/>
  <c r="V44" i="23" s="1"/>
  <c r="AP24" i="23"/>
  <c r="AA44" i="23" s="1"/>
  <c r="S24" i="23"/>
  <c r="D44" i="23" s="1"/>
  <c r="AZ24" i="23"/>
  <c r="AJ24" i="23"/>
  <c r="U44" i="23" s="1"/>
  <c r="R24" i="23"/>
  <c r="C44" i="23" s="1"/>
  <c r="AH24" i="23"/>
  <c r="S44" i="23" s="1"/>
  <c r="AB24" i="23"/>
  <c r="M44" i="23" s="1"/>
  <c r="AA24" i="23"/>
  <c r="L44" i="23" s="1"/>
  <c r="AQ24" i="23"/>
  <c r="AB44" i="23" s="1"/>
  <c r="T24" i="23"/>
  <c r="E44" i="23" s="1"/>
  <c r="AI26" i="23"/>
  <c r="AQ27" i="23"/>
  <c r="AB47" i="23" s="1"/>
  <c r="AD27" i="23"/>
  <c r="O47" i="23" s="1"/>
  <c r="Q27" i="23"/>
  <c r="B47" i="23" s="1"/>
  <c r="AO27" i="23"/>
  <c r="Z47" i="23" s="1"/>
  <c r="AA27" i="23"/>
  <c r="L47" i="23" s="1"/>
  <c r="AY27" i="23"/>
  <c r="AI27" i="23"/>
  <c r="T47" i="23" s="1"/>
  <c r="T27" i="23"/>
  <c r="E47" i="23" s="1"/>
  <c r="AF336" i="23"/>
  <c r="Q356" i="23" s="1"/>
  <c r="Z348" i="23"/>
  <c r="AO233" i="21"/>
  <c r="Z253" i="21" s="1"/>
  <c r="AG448" i="21"/>
  <c r="R468" i="21" s="1"/>
  <c r="AL14" i="22"/>
  <c r="W34" i="22" s="1"/>
  <c r="AM23" i="22"/>
  <c r="X43" i="22" s="1"/>
  <c r="Y24" i="22"/>
  <c r="J44" i="22" s="1"/>
  <c r="AJ25" i="22"/>
  <c r="Y26" i="22"/>
  <c r="AJ27" i="22"/>
  <c r="U47" i="22" s="1"/>
  <c r="AA227" i="22"/>
  <c r="L247" i="22" s="1"/>
  <c r="AK230" i="22"/>
  <c r="V250" i="22" s="1"/>
  <c r="W232" i="22"/>
  <c r="H252" i="22" s="1"/>
  <c r="S337" i="22"/>
  <c r="D357" i="22" s="1"/>
  <c r="AN339" i="22"/>
  <c r="Y359" i="22" s="1"/>
  <c r="AF339" i="22"/>
  <c r="Q359" i="22" s="1"/>
  <c r="Q339" i="22"/>
  <c r="B359" i="22" s="1"/>
  <c r="AP341" i="22"/>
  <c r="AA361" i="22" s="1"/>
  <c r="AP349" i="22"/>
  <c r="Y350" i="22"/>
  <c r="J370" i="22" s="1"/>
  <c r="AB441" i="22"/>
  <c r="M461" i="22" s="1"/>
  <c r="AH444" i="22"/>
  <c r="S464" i="22" s="1"/>
  <c r="AR452" i="22"/>
  <c r="AC472" i="22" s="1"/>
  <c r="AG453" i="22"/>
  <c r="AL25" i="23"/>
  <c r="AR25" i="23"/>
  <c r="Z25" i="23"/>
  <c r="AQ25" i="23"/>
  <c r="T25" i="23"/>
  <c r="AH25" i="23"/>
  <c r="AR26" i="23"/>
  <c r="AE348" i="23"/>
  <c r="AA232" i="22"/>
  <c r="L252" i="22" s="1"/>
  <c r="AG337" i="22"/>
  <c r="R357" i="22" s="1"/>
  <c r="AA350" i="22"/>
  <c r="L370" i="22" s="1"/>
  <c r="AQ442" i="22"/>
  <c r="AB462" i="22" s="1"/>
  <c r="AJ444" i="22"/>
  <c r="U464" i="22" s="1"/>
  <c r="AK122" i="23"/>
  <c r="V142" i="23" s="1"/>
  <c r="S122" i="23"/>
  <c r="D142" i="23" s="1"/>
  <c r="AJ241" i="23"/>
  <c r="U261" i="23" s="1"/>
  <c r="AH241" i="23"/>
  <c r="S261" i="23" s="1"/>
  <c r="AE241" i="23"/>
  <c r="P261" i="23" s="1"/>
  <c r="AR350" i="23"/>
  <c r="AC370" i="23" s="1"/>
  <c r="X350" i="23"/>
  <c r="I370" i="23" s="1"/>
  <c r="AK345" i="21"/>
  <c r="V365" i="21" s="1"/>
  <c r="AH14" i="22"/>
  <c r="S34" i="22" s="1"/>
  <c r="AC24" i="22"/>
  <c r="N44" i="22" s="1"/>
  <c r="AX24" i="22"/>
  <c r="AC26" i="22"/>
  <c r="AX26" i="22"/>
  <c r="AI120" i="22"/>
  <c r="T140" i="22" s="1"/>
  <c r="AP120" i="22"/>
  <c r="AA140" i="22" s="1"/>
  <c r="AI129" i="22"/>
  <c r="T149" i="22" s="1"/>
  <c r="AP129" i="22"/>
  <c r="AA149" i="22" s="1"/>
  <c r="AD232" i="22"/>
  <c r="O252" i="22" s="1"/>
  <c r="U341" i="22"/>
  <c r="F361" i="22" s="1"/>
  <c r="AF350" i="22"/>
  <c r="Q370" i="22" s="1"/>
  <c r="AE441" i="22"/>
  <c r="P461" i="22" s="1"/>
  <c r="AN442" i="22"/>
  <c r="Y462" i="22" s="1"/>
  <c r="AA442" i="22"/>
  <c r="L462" i="22" s="1"/>
  <c r="AM442" i="22"/>
  <c r="X462" i="22" s="1"/>
  <c r="S442" i="22"/>
  <c r="D462" i="22" s="1"/>
  <c r="AK443" i="22"/>
  <c r="V463" i="22" s="1"/>
  <c r="W443" i="22"/>
  <c r="H463" i="22" s="1"/>
  <c r="AP443" i="22"/>
  <c r="AA463" i="22" s="1"/>
  <c r="AC450" i="22"/>
  <c r="N470" i="22" s="1"/>
  <c r="AR450" i="22"/>
  <c r="AC470" i="22" s="1"/>
  <c r="AN450" i="22"/>
  <c r="Y470" i="22" s="1"/>
  <c r="AG450" i="22"/>
  <c r="R470" i="22" s="1"/>
  <c r="AE450" i="22"/>
  <c r="P470" i="22" s="1"/>
  <c r="V450" i="22"/>
  <c r="G470" i="22" s="1"/>
  <c r="AQ14" i="23"/>
  <c r="AB34" i="23" s="1"/>
  <c r="AA25" i="23"/>
  <c r="AO122" i="23"/>
  <c r="Z142" i="23" s="1"/>
  <c r="W337" i="23"/>
  <c r="H357" i="23" s="1"/>
  <c r="AQ337" i="23"/>
  <c r="AB357" i="23" s="1"/>
  <c r="U337" i="23"/>
  <c r="F357" i="23" s="1"/>
  <c r="AN337" i="23"/>
  <c r="Y357" i="23" s="1"/>
  <c r="T337" i="23"/>
  <c r="E357" i="23" s="1"/>
  <c r="AF337" i="23"/>
  <c r="Q357" i="23" s="1"/>
  <c r="AB350" i="23"/>
  <c r="M370" i="23" s="1"/>
  <c r="AO446" i="22"/>
  <c r="Z466" i="22" s="1"/>
  <c r="AB451" i="22"/>
  <c r="M471" i="22" s="1"/>
  <c r="U452" i="22"/>
  <c r="F472" i="22" s="1"/>
  <c r="AM452" i="22"/>
  <c r="X472" i="22" s="1"/>
  <c r="AL12" i="22"/>
  <c r="W32" i="22" s="1"/>
  <c r="AC117" i="22"/>
  <c r="N137" i="22" s="1"/>
  <c r="AI233" i="22"/>
  <c r="T253" i="22" s="1"/>
  <c r="R27" i="23"/>
  <c r="C47" i="23" s="1"/>
  <c r="AF27" i="23"/>
  <c r="Q47" i="23" s="1"/>
  <c r="AJ122" i="23"/>
  <c r="U142" i="23" s="1"/>
  <c r="AA122" i="23"/>
  <c r="L142" i="23" s="1"/>
  <c r="AQ122" i="23"/>
  <c r="AB142" i="23" s="1"/>
  <c r="AB160" i="23" s="1"/>
  <c r="U131" i="23"/>
  <c r="AL131" i="23"/>
  <c r="R132" i="23"/>
  <c r="AI226" i="23"/>
  <c r="T246" i="23" s="1"/>
  <c r="AI231" i="23"/>
  <c r="T251" i="23" s="1"/>
  <c r="AO232" i="23"/>
  <c r="Z252" i="23" s="1"/>
  <c r="AC232" i="23"/>
  <c r="N252" i="23" s="1"/>
  <c r="AQ232" i="23"/>
  <c r="AB252" i="23" s="1"/>
  <c r="X234" i="23"/>
  <c r="I254" i="23" s="1"/>
  <c r="AP234" i="23"/>
  <c r="AA254" i="23" s="1"/>
  <c r="AE236" i="23"/>
  <c r="P256" i="23" s="1"/>
  <c r="AM237" i="23"/>
  <c r="X257" i="23" s="1"/>
  <c r="AO336" i="23"/>
  <c r="Z356" i="23" s="1"/>
  <c r="AD336" i="23"/>
  <c r="O356" i="23" s="1"/>
  <c r="AA337" i="23"/>
  <c r="L357" i="23" s="1"/>
  <c r="T341" i="23"/>
  <c r="E361" i="23" s="1"/>
  <c r="AN341" i="23"/>
  <c r="Y361" i="23" s="1"/>
  <c r="AC350" i="23"/>
  <c r="N370" i="23" s="1"/>
  <c r="Y441" i="23"/>
  <c r="J461" i="23" s="1"/>
  <c r="AQ442" i="23"/>
  <c r="AB462" i="23" s="1"/>
  <c r="AM443" i="23"/>
  <c r="X463" i="23" s="1"/>
  <c r="AL448" i="23"/>
  <c r="W468" i="23" s="1"/>
  <c r="U452" i="23"/>
  <c r="F472" i="23" s="1"/>
  <c r="AL452" i="23"/>
  <c r="W472" i="23" s="1"/>
  <c r="Q453" i="23"/>
  <c r="AB453" i="23"/>
  <c r="AP453" i="23"/>
  <c r="T454" i="23"/>
  <c r="AN455" i="23"/>
  <c r="Y475" i="23" s="1"/>
  <c r="AQ439" i="23"/>
  <c r="AB459" i="23" s="1"/>
  <c r="Y340" i="23"/>
  <c r="J360" i="23" s="1"/>
  <c r="AC122" i="23"/>
  <c r="N142" i="23" s="1"/>
  <c r="AA131" i="23"/>
  <c r="AQ131" i="23"/>
  <c r="AB132" i="23"/>
  <c r="AN230" i="23"/>
  <c r="Y250" i="23" s="1"/>
  <c r="AG240" i="23"/>
  <c r="AG336" i="23"/>
  <c r="R356" i="23" s="1"/>
  <c r="AE339" i="23"/>
  <c r="P359" i="23" s="1"/>
  <c r="P377" i="23" s="1"/>
  <c r="X341" i="23"/>
  <c r="I361" i="23" s="1"/>
  <c r="AR341" i="23"/>
  <c r="AC361" i="23" s="1"/>
  <c r="AR346" i="23"/>
  <c r="AC366" i="23" s="1"/>
  <c r="AK350" i="23"/>
  <c r="V370" i="23" s="1"/>
  <c r="AL440" i="23"/>
  <c r="W460" i="23" s="1"/>
  <c r="AL454" i="22"/>
  <c r="AO17" i="22"/>
  <c r="Z37" i="22" s="1"/>
  <c r="S118" i="22"/>
  <c r="D138" i="22" s="1"/>
  <c r="AD334" i="22"/>
  <c r="O354" i="22" s="1"/>
  <c r="AH234" i="22"/>
  <c r="S254" i="22" s="1"/>
  <c r="AL24" i="23"/>
  <c r="W44" i="23" s="1"/>
  <c r="AK25" i="23"/>
  <c r="AI25" i="23"/>
  <c r="V27" i="23"/>
  <c r="G47" i="23" s="1"/>
  <c r="AL27" i="23"/>
  <c r="W47" i="23" s="1"/>
  <c r="AF120" i="23"/>
  <c r="Q140" i="23" s="1"/>
  <c r="Q122" i="23"/>
  <c r="B142" i="23" s="1"/>
  <c r="AG122" i="23"/>
  <c r="R142" i="23" s="1"/>
  <c r="AM130" i="23"/>
  <c r="X150" i="23" s="1"/>
  <c r="AB131" i="23"/>
  <c r="AH132" i="23"/>
  <c r="AR230" i="23"/>
  <c r="AC250" i="23" s="1"/>
  <c r="T232" i="23"/>
  <c r="E252" i="23" s="1"/>
  <c r="AK239" i="23"/>
  <c r="AI240" i="23"/>
  <c r="R336" i="23"/>
  <c r="C356" i="23" s="1"/>
  <c r="AH336" i="23"/>
  <c r="S356" i="23" s="1"/>
  <c r="AK337" i="23"/>
  <c r="V357" i="23" s="1"/>
  <c r="AH339" i="23"/>
  <c r="S359" i="23" s="1"/>
  <c r="Y341" i="23"/>
  <c r="J361" i="23" s="1"/>
  <c r="W342" i="23"/>
  <c r="H362" i="23" s="1"/>
  <c r="T346" i="23"/>
  <c r="E366" i="23" s="1"/>
  <c r="AN348" i="23"/>
  <c r="AI348" i="23"/>
  <c r="T350" i="23"/>
  <c r="E370" i="23" s="1"/>
  <c r="AN350" i="23"/>
  <c r="Y370" i="23" s="1"/>
  <c r="U442" i="23"/>
  <c r="F462" i="23" s="1"/>
  <c r="W443" i="23"/>
  <c r="H463" i="23" s="1"/>
  <c r="AB452" i="23"/>
  <c r="M472" i="23" s="1"/>
  <c r="T453" i="23"/>
  <c r="AH453" i="23"/>
  <c r="AI22" i="23"/>
  <c r="T42" i="23" s="1"/>
  <c r="V445" i="23"/>
  <c r="G465" i="23" s="1"/>
  <c r="AK347" i="22"/>
  <c r="V367" i="22" s="1"/>
  <c r="T451" i="22"/>
  <c r="E471" i="22" s="1"/>
  <c r="AL452" i="22"/>
  <c r="W472" i="22" s="1"/>
  <c r="AB452" i="22"/>
  <c r="M472" i="22" s="1"/>
  <c r="AD455" i="22"/>
  <c r="O475" i="22" s="1"/>
  <c r="R25" i="23"/>
  <c r="AJ25" i="23"/>
  <c r="AZ25" i="23"/>
  <c r="Y27" i="23"/>
  <c r="J47" i="23" s="1"/>
  <c r="AN27" i="23"/>
  <c r="Y47" i="23" s="1"/>
  <c r="AZ27" i="23"/>
  <c r="R122" i="23"/>
  <c r="C142" i="23" s="1"/>
  <c r="AI122" i="23"/>
  <c r="T142" i="23" s="1"/>
  <c r="AO124" i="23"/>
  <c r="Z144" i="23" s="1"/>
  <c r="AJ130" i="23"/>
  <c r="U150" i="23" s="1"/>
  <c r="T231" i="23"/>
  <c r="E251" i="23" s="1"/>
  <c r="U232" i="23"/>
  <c r="F252" i="23" s="1"/>
  <c r="AK232" i="23"/>
  <c r="V252" i="23" s="1"/>
  <c r="AN234" i="23"/>
  <c r="Y254" i="23" s="1"/>
  <c r="R236" i="23"/>
  <c r="C256" i="23" s="1"/>
  <c r="AH238" i="23"/>
  <c r="S258" i="23" s="1"/>
  <c r="AE240" i="23"/>
  <c r="AK240" i="23"/>
  <c r="T336" i="23"/>
  <c r="E356" i="23" s="1"/>
  <c r="AN336" i="23"/>
  <c r="Y356" i="23" s="1"/>
  <c r="S337" i="23"/>
  <c r="D357" i="23" s="1"/>
  <c r="AN339" i="23"/>
  <c r="Y359" i="23" s="1"/>
  <c r="AI339" i="23"/>
  <c r="T359" i="23" s="1"/>
  <c r="T377" i="23" s="1"/>
  <c r="AB341" i="23"/>
  <c r="M361" i="23" s="1"/>
  <c r="AB346" i="23"/>
  <c r="M366" i="23" s="1"/>
  <c r="R348" i="23"/>
  <c r="AL348" i="23"/>
  <c r="U350" i="23"/>
  <c r="F370" i="23" s="1"/>
  <c r="AO350" i="23"/>
  <c r="Z370" i="23" s="1"/>
  <c r="AG445" i="23"/>
  <c r="R465" i="23" s="1"/>
  <c r="AD452" i="23"/>
  <c r="O472" i="23" s="1"/>
  <c r="U453" i="23"/>
  <c r="AI453" i="23"/>
  <c r="AM455" i="23"/>
  <c r="X475" i="23" s="1"/>
  <c r="AH452" i="23"/>
  <c r="S472" i="23" s="1"/>
  <c r="Y453" i="23"/>
  <c r="Z125" i="23"/>
  <c r="K145" i="23" s="1"/>
  <c r="AC453" i="22"/>
  <c r="AN338" i="22"/>
  <c r="Y358" i="22" s="1"/>
  <c r="AB27" i="23"/>
  <c r="M47" i="23" s="1"/>
  <c r="U122" i="23"/>
  <c r="F142" i="23" s="1"/>
  <c r="AL122" i="23"/>
  <c r="W142" i="23" s="1"/>
  <c r="Z130" i="23"/>
  <c r="K150" i="23" s="1"/>
  <c r="R131" i="23"/>
  <c r="AI131" i="23"/>
  <c r="AI228" i="23"/>
  <c r="T248" i="23" s="1"/>
  <c r="V230" i="23"/>
  <c r="G250" i="23" s="1"/>
  <c r="AJ232" i="23"/>
  <c r="U252" i="23" s="1"/>
  <c r="AA232" i="23"/>
  <c r="L252" i="23" s="1"/>
  <c r="AM232" i="23"/>
  <c r="X252" i="23" s="1"/>
  <c r="AN238" i="23"/>
  <c r="Y258" i="23" s="1"/>
  <c r="V239" i="23"/>
  <c r="V240" i="23"/>
  <c r="AO240" i="23"/>
  <c r="X336" i="23"/>
  <c r="I356" i="23" s="1"/>
  <c r="AR336" i="23"/>
  <c r="AC356" i="23" s="1"/>
  <c r="S339" i="23"/>
  <c r="D359" i="23" s="1"/>
  <c r="D377" i="23" s="1"/>
  <c r="AM339" i="23"/>
  <c r="X359" i="23" s="1"/>
  <c r="X377" i="23" s="1"/>
  <c r="AJ341" i="23"/>
  <c r="U361" i="23" s="1"/>
  <c r="AF346" i="23"/>
  <c r="Q366" i="23" s="1"/>
  <c r="AM347" i="23"/>
  <c r="X367" i="23" s="1"/>
  <c r="Y350" i="23"/>
  <c r="J370" i="23" s="1"/>
  <c r="S452" i="23"/>
  <c r="D472" i="23" s="1"/>
  <c r="AI452" i="23"/>
  <c r="T472" i="23" s="1"/>
  <c r="Z453" i="23"/>
  <c r="AB439" i="23"/>
  <c r="M459" i="23" s="1"/>
  <c r="U121" i="23"/>
  <c r="F141" i="23" s="1"/>
  <c r="AK233" i="23"/>
  <c r="V253" i="23" s="1"/>
  <c r="AG335" i="22"/>
  <c r="R355" i="22" s="1"/>
  <c r="AL23" i="23"/>
  <c r="W43" i="23" s="1"/>
  <c r="AL26" i="23"/>
  <c r="Y122" i="23"/>
  <c r="J142" i="23" s="1"/>
  <c r="AR129" i="23"/>
  <c r="AC149" i="23" s="1"/>
  <c r="S131" i="23"/>
  <c r="AK131" i="23"/>
  <c r="AI132" i="23"/>
  <c r="AH228" i="23"/>
  <c r="S248" i="23" s="1"/>
  <c r="W230" i="23"/>
  <c r="H250" i="23" s="1"/>
  <c r="AB232" i="23"/>
  <c r="M252" i="23" s="1"/>
  <c r="W238" i="23"/>
  <c r="H258" i="23" s="1"/>
  <c r="W240" i="23"/>
  <c r="V339" i="23"/>
  <c r="G359" i="23" s="1"/>
  <c r="G377" i="23" s="1"/>
  <c r="AG346" i="23"/>
  <c r="R366" i="23" s="1"/>
  <c r="T452" i="23"/>
  <c r="E472" i="23" s="1"/>
  <c r="AJ452" i="23"/>
  <c r="U472" i="23" s="1"/>
  <c r="AN453" i="23"/>
  <c r="AA453" i="23"/>
  <c r="AO453" i="23"/>
  <c r="AN454" i="23"/>
  <c r="AH226" i="23"/>
  <c r="S246" i="23" s="1"/>
  <c r="AH443" i="23"/>
  <c r="S463" i="23" s="1"/>
  <c r="AB447" i="23"/>
  <c r="M467" i="23" s="1"/>
  <c r="AG450" i="23"/>
  <c r="R470" i="23" s="1"/>
  <c r="AI447" i="23"/>
  <c r="T467" i="23" s="1"/>
  <c r="R450" i="23"/>
  <c r="C470" i="23" s="1"/>
  <c r="AN447" i="23"/>
  <c r="Y467" i="23" s="1"/>
  <c r="AQ447" i="23"/>
  <c r="AB467" i="23" s="1"/>
  <c r="AQ448" i="23"/>
  <c r="AB468" i="23" s="1"/>
  <c r="V447" i="23"/>
  <c r="G467" i="23" s="1"/>
  <c r="U448" i="23"/>
  <c r="F468" i="23" s="1"/>
  <c r="X448" i="23"/>
  <c r="I468" i="23" s="1"/>
  <c r="X342" i="23"/>
  <c r="I362" i="23" s="1"/>
  <c r="AH343" i="23"/>
  <c r="S363" i="23" s="1"/>
  <c r="AM342" i="23"/>
  <c r="X362" i="23" s="1"/>
  <c r="Q233" i="23"/>
  <c r="B253" i="23" s="1"/>
  <c r="R233" i="23"/>
  <c r="C253" i="23" s="1"/>
  <c r="Z233" i="23"/>
  <c r="K253" i="23" s="1"/>
  <c r="AA233" i="23"/>
  <c r="L253" i="23" s="1"/>
  <c r="AB233" i="23"/>
  <c r="M253" i="23" s="1"/>
  <c r="AJ233" i="23"/>
  <c r="U253" i="23" s="1"/>
  <c r="AO233" i="23"/>
  <c r="Z253" i="23" s="1"/>
  <c r="AL125" i="23"/>
  <c r="W145" i="23" s="1"/>
  <c r="AQ445" i="23"/>
  <c r="AB465" i="23" s="1"/>
  <c r="R445" i="23"/>
  <c r="C465" i="23" s="1"/>
  <c r="AJ231" i="23"/>
  <c r="U251" i="23" s="1"/>
  <c r="AD231" i="23"/>
  <c r="O251" i="23" s="1"/>
  <c r="AK231" i="23"/>
  <c r="V251" i="23" s="1"/>
  <c r="AE231" i="23"/>
  <c r="P251" i="23" s="1"/>
  <c r="S231" i="23"/>
  <c r="D251" i="23" s="1"/>
  <c r="AF231" i="23"/>
  <c r="Q251" i="23" s="1"/>
  <c r="U231" i="23"/>
  <c r="F251" i="23" s="1"/>
  <c r="X443" i="23"/>
  <c r="I463" i="23" s="1"/>
  <c r="AN443" i="23"/>
  <c r="Y463" i="23" s="1"/>
  <c r="AE443" i="23"/>
  <c r="P463" i="23" s="1"/>
  <c r="R443" i="23"/>
  <c r="C463" i="23" s="1"/>
  <c r="AK229" i="23"/>
  <c r="V249" i="23" s="1"/>
  <c r="Z121" i="23"/>
  <c r="K141" i="23" s="1"/>
  <c r="AE121" i="23"/>
  <c r="P141" i="23" s="1"/>
  <c r="AJ121" i="23"/>
  <c r="U141" i="23" s="1"/>
  <c r="AB121" i="23"/>
  <c r="M141" i="23" s="1"/>
  <c r="AL121" i="23"/>
  <c r="W141" i="23" s="1"/>
  <c r="R121" i="23"/>
  <c r="C141" i="23" s="1"/>
  <c r="AN439" i="23"/>
  <c r="Y459" i="23" s="1"/>
  <c r="X440" i="23"/>
  <c r="I460" i="23" s="1"/>
  <c r="X439" i="23"/>
  <c r="I459" i="23" s="1"/>
  <c r="AI440" i="23"/>
  <c r="T460" i="23" s="1"/>
  <c r="AF439" i="23"/>
  <c r="Q459" i="23" s="1"/>
  <c r="Z335" i="23"/>
  <c r="K355" i="23" s="1"/>
  <c r="Y226" i="23"/>
  <c r="J246" i="23" s="1"/>
  <c r="AQ226" i="23"/>
  <c r="AB246" i="23" s="1"/>
  <c r="AN226" i="23"/>
  <c r="Y246" i="23" s="1"/>
  <c r="AG226" i="23"/>
  <c r="R246" i="23" s="1"/>
  <c r="S226" i="23"/>
  <c r="D246" i="23" s="1"/>
  <c r="AH22" i="23"/>
  <c r="S42" i="23" s="1"/>
  <c r="AP22" i="23"/>
  <c r="AA42" i="23" s="1"/>
  <c r="AC20" i="23"/>
  <c r="N40" i="23" s="1"/>
  <c r="AJ22" i="23"/>
  <c r="U42" i="23" s="1"/>
  <c r="AK22" i="23"/>
  <c r="V42" i="23" s="1"/>
  <c r="Z22" i="23"/>
  <c r="K42" i="23" s="1"/>
  <c r="AR22" i="23"/>
  <c r="AC42" i="23" s="1"/>
  <c r="AA22" i="23"/>
  <c r="L42" i="23" s="1"/>
  <c r="AL22" i="23"/>
  <c r="W42" i="23" s="1"/>
  <c r="AB22" i="23"/>
  <c r="M42" i="23" s="1"/>
  <c r="R22" i="23"/>
  <c r="C42" i="23" s="1"/>
  <c r="A79" i="23"/>
  <c r="A67" i="23"/>
  <c r="T11" i="23"/>
  <c r="E31" i="23" s="1"/>
  <c r="AB11" i="23"/>
  <c r="M31" i="23" s="1"/>
  <c r="AJ11" i="23"/>
  <c r="U31" i="23" s="1"/>
  <c r="AR11" i="23"/>
  <c r="AC31" i="23" s="1"/>
  <c r="T12" i="23"/>
  <c r="E32" i="23" s="1"/>
  <c r="AB12" i="23"/>
  <c r="M32" i="23" s="1"/>
  <c r="AJ12" i="23"/>
  <c r="U32" i="23" s="1"/>
  <c r="AR12" i="23"/>
  <c r="AC32" i="23" s="1"/>
  <c r="T13" i="23"/>
  <c r="E33" i="23" s="1"/>
  <c r="AB13" i="23"/>
  <c r="M33" i="23" s="1"/>
  <c r="AJ13" i="23"/>
  <c r="U33" i="23" s="1"/>
  <c r="AR13" i="23"/>
  <c r="AC33" i="23" s="1"/>
  <c r="T14" i="23"/>
  <c r="E34" i="23" s="1"/>
  <c r="AB14" i="23"/>
  <c r="M34" i="23" s="1"/>
  <c r="AJ14" i="23"/>
  <c r="U34" i="23" s="1"/>
  <c r="AR14" i="23"/>
  <c r="AC34" i="23" s="1"/>
  <c r="T15" i="23"/>
  <c r="E35" i="23" s="1"/>
  <c r="AB15" i="23"/>
  <c r="M35" i="23" s="1"/>
  <c r="AJ15" i="23"/>
  <c r="U35" i="23" s="1"/>
  <c r="AR15" i="23"/>
  <c r="AC35" i="23" s="1"/>
  <c r="T16" i="23"/>
  <c r="E36" i="23" s="1"/>
  <c r="AB16" i="23"/>
  <c r="M36" i="23" s="1"/>
  <c r="AJ16" i="23"/>
  <c r="U36" i="23" s="1"/>
  <c r="AR16" i="23"/>
  <c r="AC36" i="23" s="1"/>
  <c r="T17" i="23"/>
  <c r="E37" i="23" s="1"/>
  <c r="AB17" i="23"/>
  <c r="M37" i="23" s="1"/>
  <c r="AJ17" i="23"/>
  <c r="U37" i="23" s="1"/>
  <c r="AR17" i="23"/>
  <c r="AC37" i="23" s="1"/>
  <c r="T18" i="23"/>
  <c r="E38" i="23" s="1"/>
  <c r="AB18" i="23"/>
  <c r="M38" i="23" s="1"/>
  <c r="AJ18" i="23"/>
  <c r="U38" i="23" s="1"/>
  <c r="AR18" i="23"/>
  <c r="AC38" i="23" s="1"/>
  <c r="S19" i="23"/>
  <c r="D39" i="23" s="1"/>
  <c r="AA19" i="23"/>
  <c r="L39" i="23" s="1"/>
  <c r="AI19" i="23"/>
  <c r="T39" i="23" s="1"/>
  <c r="AQ19" i="23"/>
  <c r="AB39" i="23" s="1"/>
  <c r="Q20" i="23"/>
  <c r="B40" i="23" s="1"/>
  <c r="Y20" i="23"/>
  <c r="J40" i="23" s="1"/>
  <c r="AG20" i="23"/>
  <c r="R40" i="23" s="1"/>
  <c r="AO20" i="23"/>
  <c r="Z40" i="23" s="1"/>
  <c r="W22" i="23"/>
  <c r="H42" i="23" s="1"/>
  <c r="AE22" i="23"/>
  <c r="P42" i="23" s="1"/>
  <c r="AM22" i="23"/>
  <c r="X42" i="23" s="1"/>
  <c r="W23" i="23"/>
  <c r="H43" i="23" s="1"/>
  <c r="AE23" i="23"/>
  <c r="P43" i="23" s="1"/>
  <c r="AM23" i="23"/>
  <c r="X43" i="23" s="1"/>
  <c r="W24" i="23"/>
  <c r="H44" i="23" s="1"/>
  <c r="AE24" i="23"/>
  <c r="P44" i="23" s="1"/>
  <c r="AM24" i="23"/>
  <c r="X44" i="23" s="1"/>
  <c r="W25" i="23"/>
  <c r="AE25" i="23"/>
  <c r="AM25" i="23"/>
  <c r="W26" i="23"/>
  <c r="AE26" i="23"/>
  <c r="AM26" i="23"/>
  <c r="AM27" i="23"/>
  <c r="X47" i="23" s="1"/>
  <c r="AE27" i="23"/>
  <c r="P47" i="23" s="1"/>
  <c r="W27" i="23"/>
  <c r="H47" i="23" s="1"/>
  <c r="AK27" i="23"/>
  <c r="V47" i="23" s="1"/>
  <c r="AC27" i="23"/>
  <c r="N47" i="23" s="1"/>
  <c r="U27" i="23"/>
  <c r="F47" i="23" s="1"/>
  <c r="Z27" i="23"/>
  <c r="K47" i="23" s="1"/>
  <c r="AJ27" i="23"/>
  <c r="U47" i="23" s="1"/>
  <c r="AU27" i="23"/>
  <c r="AX33" i="23"/>
  <c r="U11" i="23"/>
  <c r="F31" i="23" s="1"/>
  <c r="AC11" i="23"/>
  <c r="N31" i="23" s="1"/>
  <c r="AK11" i="23"/>
  <c r="V31" i="23" s="1"/>
  <c r="U12" i="23"/>
  <c r="F32" i="23" s="1"/>
  <c r="AC12" i="23"/>
  <c r="N32" i="23" s="1"/>
  <c r="AK12" i="23"/>
  <c r="V32" i="23" s="1"/>
  <c r="U13" i="23"/>
  <c r="F33" i="23" s="1"/>
  <c r="AC13" i="23"/>
  <c r="N33" i="23" s="1"/>
  <c r="AK13" i="23"/>
  <c r="V33" i="23" s="1"/>
  <c r="U14" i="23"/>
  <c r="F34" i="23" s="1"/>
  <c r="AC14" i="23"/>
  <c r="N34" i="23" s="1"/>
  <c r="AK14" i="23"/>
  <c r="V34" i="23" s="1"/>
  <c r="U15" i="23"/>
  <c r="F35" i="23" s="1"/>
  <c r="AC15" i="23"/>
  <c r="N35" i="23" s="1"/>
  <c r="AK15" i="23"/>
  <c r="V35" i="23" s="1"/>
  <c r="U16" i="23"/>
  <c r="F36" i="23" s="1"/>
  <c r="AC16" i="23"/>
  <c r="N36" i="23" s="1"/>
  <c r="AK16" i="23"/>
  <c r="V36" i="23" s="1"/>
  <c r="U17" i="23"/>
  <c r="F37" i="23" s="1"/>
  <c r="AC17" i="23"/>
  <c r="N37" i="23" s="1"/>
  <c r="AK17" i="23"/>
  <c r="V37" i="23" s="1"/>
  <c r="U18" i="23"/>
  <c r="F38" i="23" s="1"/>
  <c r="AC18" i="23"/>
  <c r="N38" i="23" s="1"/>
  <c r="AK18" i="23"/>
  <c r="V38" i="23" s="1"/>
  <c r="AU32" i="23"/>
  <c r="T19" i="23"/>
  <c r="E39" i="23" s="1"/>
  <c r="AB19" i="23"/>
  <c r="M39" i="23" s="1"/>
  <c r="AJ19" i="23"/>
  <c r="U39" i="23" s="1"/>
  <c r="AR19" i="23"/>
  <c r="AC39" i="23" s="1"/>
  <c r="R20" i="23"/>
  <c r="C40" i="23" s="1"/>
  <c r="Z20" i="23"/>
  <c r="K40" i="23" s="1"/>
  <c r="AH20" i="23"/>
  <c r="S40" i="23" s="1"/>
  <c r="AP20" i="23"/>
  <c r="AA40" i="23" s="1"/>
  <c r="X22" i="23"/>
  <c r="I42" i="23" s="1"/>
  <c r="AF22" i="23"/>
  <c r="Q42" i="23" s="1"/>
  <c r="AN22" i="23"/>
  <c r="Y42" i="23" s="1"/>
  <c r="X23" i="23"/>
  <c r="I43" i="23" s="1"/>
  <c r="AF23" i="23"/>
  <c r="Q43" i="23" s="1"/>
  <c r="AN23" i="23"/>
  <c r="Y43" i="23" s="1"/>
  <c r="X24" i="23"/>
  <c r="I44" i="23" s="1"/>
  <c r="AF24" i="23"/>
  <c r="Q44" i="23" s="1"/>
  <c r="AN24" i="23"/>
  <c r="Y44" i="23" s="1"/>
  <c r="X25" i="23"/>
  <c r="AF25" i="23"/>
  <c r="AN25" i="23"/>
  <c r="X26" i="23"/>
  <c r="AF26" i="23"/>
  <c r="AN26" i="23"/>
  <c r="AX26" i="23"/>
  <c r="AZ31" i="23"/>
  <c r="AZ33" i="23"/>
  <c r="A74" i="23"/>
  <c r="A62" i="23"/>
  <c r="V11" i="23"/>
  <c r="G31" i="23" s="1"/>
  <c r="AD11" i="23"/>
  <c r="O31" i="23" s="1"/>
  <c r="AL11" i="23"/>
  <c r="W31" i="23" s="1"/>
  <c r="V12" i="23"/>
  <c r="G32" i="23" s="1"/>
  <c r="AD12" i="23"/>
  <c r="O32" i="23" s="1"/>
  <c r="AL12" i="23"/>
  <c r="W32" i="23" s="1"/>
  <c r="V13" i="23"/>
  <c r="G33" i="23" s="1"/>
  <c r="AD13" i="23"/>
  <c r="O33" i="23" s="1"/>
  <c r="AL13" i="23"/>
  <c r="W33" i="23" s="1"/>
  <c r="V14" i="23"/>
  <c r="G34" i="23" s="1"/>
  <c r="AD14" i="23"/>
  <c r="O34" i="23" s="1"/>
  <c r="AL14" i="23"/>
  <c r="W34" i="23" s="1"/>
  <c r="V15" i="23"/>
  <c r="G35" i="23" s="1"/>
  <c r="AD15" i="23"/>
  <c r="O35" i="23" s="1"/>
  <c r="AL15" i="23"/>
  <c r="W35" i="23" s="1"/>
  <c r="V16" i="23"/>
  <c r="G36" i="23" s="1"/>
  <c r="AD16" i="23"/>
  <c r="O36" i="23" s="1"/>
  <c r="AL16" i="23"/>
  <c r="W36" i="23" s="1"/>
  <c r="AU16" i="23"/>
  <c r="V17" i="23"/>
  <c r="G37" i="23" s="1"/>
  <c r="AD17" i="23"/>
  <c r="O37" i="23" s="1"/>
  <c r="AL17" i="23"/>
  <c r="W37" i="23" s="1"/>
  <c r="AU17" i="23"/>
  <c r="V18" i="23"/>
  <c r="G38" i="23" s="1"/>
  <c r="AD18" i="23"/>
  <c r="O38" i="23" s="1"/>
  <c r="AL18" i="23"/>
  <c r="W38" i="23" s="1"/>
  <c r="U19" i="23"/>
  <c r="F39" i="23" s="1"/>
  <c r="AC19" i="23"/>
  <c r="N39" i="23" s="1"/>
  <c r="AK19" i="23"/>
  <c r="V39" i="23" s="1"/>
  <c r="S20" i="23"/>
  <c r="D40" i="23" s="1"/>
  <c r="AA20" i="23"/>
  <c r="L40" i="23" s="1"/>
  <c r="AI20" i="23"/>
  <c r="T40" i="23" s="1"/>
  <c r="AQ20" i="23"/>
  <c r="AB40" i="23" s="1"/>
  <c r="Q22" i="23"/>
  <c r="B42" i="23" s="1"/>
  <c r="Y22" i="23"/>
  <c r="J42" i="23" s="1"/>
  <c r="AG22" i="23"/>
  <c r="R42" i="23" s="1"/>
  <c r="AO22" i="23"/>
  <c r="Z42" i="23" s="1"/>
  <c r="Q23" i="23"/>
  <c r="B43" i="23" s="1"/>
  <c r="Y23" i="23"/>
  <c r="J43" i="23" s="1"/>
  <c r="AG23" i="23"/>
  <c r="R43" i="23" s="1"/>
  <c r="AO23" i="23"/>
  <c r="Z43" i="23" s="1"/>
  <c r="Q24" i="23"/>
  <c r="B44" i="23" s="1"/>
  <c r="Y24" i="23"/>
  <c r="J44" i="23" s="1"/>
  <c r="AG24" i="23"/>
  <c r="R44" i="23" s="1"/>
  <c r="AO24" i="23"/>
  <c r="Z44" i="23" s="1"/>
  <c r="AX24" i="23"/>
  <c r="Q25" i="23"/>
  <c r="Y25" i="23"/>
  <c r="AG25" i="23"/>
  <c r="AO25" i="23"/>
  <c r="AX25" i="23"/>
  <c r="Q26" i="23"/>
  <c r="Y26" i="23"/>
  <c r="AG26" i="23"/>
  <c r="AO26" i="23"/>
  <c r="A65" i="23"/>
  <c r="A77" i="23"/>
  <c r="A68" i="23"/>
  <c r="A80" i="23"/>
  <c r="W11" i="23"/>
  <c r="H31" i="23" s="1"/>
  <c r="AE11" i="23"/>
  <c r="P31" i="23" s="1"/>
  <c r="AM11" i="23"/>
  <c r="X31" i="23" s="1"/>
  <c r="W12" i="23"/>
  <c r="H32" i="23" s="1"/>
  <c r="AE12" i="23"/>
  <c r="P32" i="23" s="1"/>
  <c r="AM12" i="23"/>
  <c r="X32" i="23" s="1"/>
  <c r="W13" i="23"/>
  <c r="H33" i="23" s="1"/>
  <c r="AE13" i="23"/>
  <c r="P33" i="23" s="1"/>
  <c r="AM13" i="23"/>
  <c r="X33" i="23" s="1"/>
  <c r="W14" i="23"/>
  <c r="H34" i="23" s="1"/>
  <c r="AE14" i="23"/>
  <c r="P34" i="23" s="1"/>
  <c r="AM14" i="23"/>
  <c r="X34" i="23" s="1"/>
  <c r="W15" i="23"/>
  <c r="H35" i="23" s="1"/>
  <c r="AE15" i="23"/>
  <c r="P35" i="23" s="1"/>
  <c r="AM15" i="23"/>
  <c r="X35" i="23" s="1"/>
  <c r="W16" i="23"/>
  <c r="H36" i="23" s="1"/>
  <c r="AE16" i="23"/>
  <c r="P36" i="23" s="1"/>
  <c r="AM16" i="23"/>
  <c r="X36" i="23" s="1"/>
  <c r="W17" i="23"/>
  <c r="H37" i="23" s="1"/>
  <c r="AE17" i="23"/>
  <c r="P37" i="23" s="1"/>
  <c r="AM17" i="23"/>
  <c r="X37" i="23" s="1"/>
  <c r="W18" i="23"/>
  <c r="H38" i="23" s="1"/>
  <c r="AE18" i="23"/>
  <c r="P38" i="23" s="1"/>
  <c r="AM18" i="23"/>
  <c r="X38" i="23" s="1"/>
  <c r="V19" i="23"/>
  <c r="G39" i="23" s="1"/>
  <c r="AD19" i="23"/>
  <c r="O39" i="23" s="1"/>
  <c r="AL19" i="23"/>
  <c r="W39" i="23" s="1"/>
  <c r="T20" i="23"/>
  <c r="E40" i="23" s="1"/>
  <c r="AB20" i="23"/>
  <c r="M40" i="23" s="1"/>
  <c r="AJ20" i="23"/>
  <c r="U40" i="23" s="1"/>
  <c r="AR20" i="23"/>
  <c r="AC40" i="23" s="1"/>
  <c r="X11" i="23"/>
  <c r="I31" i="23" s="1"/>
  <c r="AF11" i="23"/>
  <c r="Q31" i="23" s="1"/>
  <c r="AN11" i="23"/>
  <c r="Y31" i="23" s="1"/>
  <c r="X12" i="23"/>
  <c r="I32" i="23" s="1"/>
  <c r="AF12" i="23"/>
  <c r="Q32" i="23" s="1"/>
  <c r="AN12" i="23"/>
  <c r="Y32" i="23" s="1"/>
  <c r="X13" i="23"/>
  <c r="I33" i="23" s="1"/>
  <c r="AF13" i="23"/>
  <c r="Q33" i="23" s="1"/>
  <c r="AN13" i="23"/>
  <c r="Y33" i="23" s="1"/>
  <c r="X14" i="23"/>
  <c r="I34" i="23" s="1"/>
  <c r="AF14" i="23"/>
  <c r="Q34" i="23" s="1"/>
  <c r="AN14" i="23"/>
  <c r="Y34" i="23" s="1"/>
  <c r="X15" i="23"/>
  <c r="I35" i="23" s="1"/>
  <c r="AF15" i="23"/>
  <c r="Q35" i="23" s="1"/>
  <c r="AN15" i="23"/>
  <c r="Y35" i="23" s="1"/>
  <c r="X16" i="23"/>
  <c r="I36" i="23" s="1"/>
  <c r="AF16" i="23"/>
  <c r="Q36" i="23" s="1"/>
  <c r="AN16" i="23"/>
  <c r="Y36" i="23" s="1"/>
  <c r="X17" i="23"/>
  <c r="I37" i="23" s="1"/>
  <c r="AF17" i="23"/>
  <c r="Q37" i="23" s="1"/>
  <c r="AN17" i="23"/>
  <c r="Y37" i="23" s="1"/>
  <c r="X18" i="23"/>
  <c r="I38" i="23" s="1"/>
  <c r="AF18" i="23"/>
  <c r="Q38" i="23" s="1"/>
  <c r="AN18" i="23"/>
  <c r="Y38" i="23" s="1"/>
  <c r="W19" i="23"/>
  <c r="H39" i="23" s="1"/>
  <c r="AE19" i="23"/>
  <c r="P39" i="23" s="1"/>
  <c r="AM19" i="23"/>
  <c r="X39" i="23" s="1"/>
  <c r="AZ22" i="23"/>
  <c r="AZ23" i="23"/>
  <c r="A63" i="23"/>
  <c r="A75" i="23"/>
  <c r="A76" i="23"/>
  <c r="A64" i="23"/>
  <c r="Q11" i="23"/>
  <c r="B31" i="23" s="1"/>
  <c r="Y11" i="23"/>
  <c r="J31" i="23" s="1"/>
  <c r="AG11" i="23"/>
  <c r="R31" i="23" s="1"/>
  <c r="AO11" i="23"/>
  <c r="Z31" i="23" s="1"/>
  <c r="Q12" i="23"/>
  <c r="B32" i="23" s="1"/>
  <c r="Y12" i="23"/>
  <c r="J32" i="23" s="1"/>
  <c r="AG12" i="23"/>
  <c r="R32" i="23" s="1"/>
  <c r="AO12" i="23"/>
  <c r="Z32" i="23" s="1"/>
  <c r="Q13" i="23"/>
  <c r="B33" i="23" s="1"/>
  <c r="Y13" i="23"/>
  <c r="J33" i="23" s="1"/>
  <c r="AG13" i="23"/>
  <c r="R33" i="23" s="1"/>
  <c r="AO13" i="23"/>
  <c r="Z33" i="23" s="1"/>
  <c r="Q14" i="23"/>
  <c r="B34" i="23" s="1"/>
  <c r="Y14" i="23"/>
  <c r="J34" i="23" s="1"/>
  <c r="AG14" i="23"/>
  <c r="R34" i="23" s="1"/>
  <c r="AO14" i="23"/>
  <c r="Z34" i="23" s="1"/>
  <c r="Q15" i="23"/>
  <c r="B35" i="23" s="1"/>
  <c r="Y15" i="23"/>
  <c r="J35" i="23" s="1"/>
  <c r="AG15" i="23"/>
  <c r="R35" i="23" s="1"/>
  <c r="AO15" i="23"/>
  <c r="Z35" i="23" s="1"/>
  <c r="Q16" i="23"/>
  <c r="B36" i="23" s="1"/>
  <c r="Y16" i="23"/>
  <c r="J36" i="23" s="1"/>
  <c r="AG16" i="23"/>
  <c r="R36" i="23" s="1"/>
  <c r="AO16" i="23"/>
  <c r="Z36" i="23" s="1"/>
  <c r="Q17" i="23"/>
  <c r="B37" i="23" s="1"/>
  <c r="Y17" i="23"/>
  <c r="J37" i="23" s="1"/>
  <c r="AG17" i="23"/>
  <c r="R37" i="23" s="1"/>
  <c r="AO17" i="23"/>
  <c r="Z37" i="23" s="1"/>
  <c r="Q18" i="23"/>
  <c r="B38" i="23" s="1"/>
  <c r="Y18" i="23"/>
  <c r="J38" i="23" s="1"/>
  <c r="AG18" i="23"/>
  <c r="R38" i="23" s="1"/>
  <c r="AO18" i="23"/>
  <c r="Z38" i="23" s="1"/>
  <c r="X19" i="23"/>
  <c r="I39" i="23" s="1"/>
  <c r="AF19" i="23"/>
  <c r="Q39" i="23" s="1"/>
  <c r="AN19" i="23"/>
  <c r="Y39" i="23" s="1"/>
  <c r="V20" i="23"/>
  <c r="G40" i="23" s="1"/>
  <c r="AD20" i="23"/>
  <c r="O40" i="23" s="1"/>
  <c r="AZ32" i="23"/>
  <c r="AU33" i="23"/>
  <c r="R11" i="23"/>
  <c r="C31" i="23" s="1"/>
  <c r="Z11" i="23"/>
  <c r="K31" i="23" s="1"/>
  <c r="AH11" i="23"/>
  <c r="S31" i="23" s="1"/>
  <c r="AP11" i="23"/>
  <c r="AA31" i="23" s="1"/>
  <c r="R12" i="23"/>
  <c r="C32" i="23" s="1"/>
  <c r="Z12" i="23"/>
  <c r="K32" i="23" s="1"/>
  <c r="AH12" i="23"/>
  <c r="S32" i="23" s="1"/>
  <c r="AP12" i="23"/>
  <c r="AA32" i="23" s="1"/>
  <c r="R13" i="23"/>
  <c r="C33" i="23" s="1"/>
  <c r="Z13" i="23"/>
  <c r="K33" i="23" s="1"/>
  <c r="AH13" i="23"/>
  <c r="S33" i="23" s="1"/>
  <c r="AP13" i="23"/>
  <c r="AA33" i="23" s="1"/>
  <c r="R14" i="23"/>
  <c r="C34" i="23" s="1"/>
  <c r="Z14" i="23"/>
  <c r="K34" i="23" s="1"/>
  <c r="AH14" i="23"/>
  <c r="S34" i="23" s="1"/>
  <c r="AP14" i="23"/>
  <c r="AA34" i="23" s="1"/>
  <c r="R15" i="23"/>
  <c r="C35" i="23" s="1"/>
  <c r="Z15" i="23"/>
  <c r="K35" i="23" s="1"/>
  <c r="AH15" i="23"/>
  <c r="S35" i="23" s="1"/>
  <c r="AP15" i="23"/>
  <c r="AA35" i="23" s="1"/>
  <c r="R16" i="23"/>
  <c r="C36" i="23" s="1"/>
  <c r="Z16" i="23"/>
  <c r="K36" i="23" s="1"/>
  <c r="AH16" i="23"/>
  <c r="S36" i="23" s="1"/>
  <c r="AP16" i="23"/>
  <c r="AA36" i="23" s="1"/>
  <c r="R17" i="23"/>
  <c r="C37" i="23" s="1"/>
  <c r="Z17" i="23"/>
  <c r="K37" i="23" s="1"/>
  <c r="AH17" i="23"/>
  <c r="S37" i="23" s="1"/>
  <c r="AP17" i="23"/>
  <c r="AA37" i="23" s="1"/>
  <c r="R18" i="23"/>
  <c r="C38" i="23" s="1"/>
  <c r="Z18" i="23"/>
  <c r="K38" i="23" s="1"/>
  <c r="AH18" i="23"/>
  <c r="S38" i="23" s="1"/>
  <c r="AP18" i="23"/>
  <c r="AA38" i="23" s="1"/>
  <c r="Q19" i="23"/>
  <c r="B39" i="23" s="1"/>
  <c r="Y19" i="23"/>
  <c r="J39" i="23" s="1"/>
  <c r="AG19" i="23"/>
  <c r="R39" i="23" s="1"/>
  <c r="AO19" i="23"/>
  <c r="Z39" i="23" s="1"/>
  <c r="W20" i="23"/>
  <c r="H40" i="23" s="1"/>
  <c r="AE20" i="23"/>
  <c r="P40" i="23" s="1"/>
  <c r="AM20" i="23"/>
  <c r="X40" i="23" s="1"/>
  <c r="U22" i="23"/>
  <c r="F42" i="23" s="1"/>
  <c r="AC22" i="23"/>
  <c r="N42" i="23" s="1"/>
  <c r="U23" i="23"/>
  <c r="F43" i="23" s="1"/>
  <c r="AC23" i="23"/>
  <c r="N43" i="23" s="1"/>
  <c r="U24" i="23"/>
  <c r="F44" i="23" s="1"/>
  <c r="AC24" i="23"/>
  <c r="N44" i="23" s="1"/>
  <c r="U25" i="23"/>
  <c r="AC25" i="23"/>
  <c r="U26" i="23"/>
  <c r="AC26" i="23"/>
  <c r="X27" i="23"/>
  <c r="I47" i="23" s="1"/>
  <c r="AH27" i="23"/>
  <c r="S47" i="23" s="1"/>
  <c r="AR27" i="23"/>
  <c r="AC47" i="23" s="1"/>
  <c r="A66" i="23"/>
  <c r="A78" i="23"/>
  <c r="S11" i="23"/>
  <c r="D31" i="23" s="1"/>
  <c r="AA11" i="23"/>
  <c r="L31" i="23" s="1"/>
  <c r="AI11" i="23"/>
  <c r="T31" i="23" s="1"/>
  <c r="AQ11" i="23"/>
  <c r="AB31" i="23" s="1"/>
  <c r="S12" i="23"/>
  <c r="D32" i="23" s="1"/>
  <c r="AA12" i="23"/>
  <c r="L32" i="23" s="1"/>
  <c r="AI12" i="23"/>
  <c r="T32" i="23" s="1"/>
  <c r="AQ12" i="23"/>
  <c r="AB32" i="23" s="1"/>
  <c r="S13" i="23"/>
  <c r="D33" i="23" s="1"/>
  <c r="AA13" i="23"/>
  <c r="L33" i="23" s="1"/>
  <c r="AI13" i="23"/>
  <c r="T33" i="23" s="1"/>
  <c r="AZ13" i="23"/>
  <c r="S14" i="23"/>
  <c r="D34" i="23" s="1"/>
  <c r="AA14" i="23"/>
  <c r="L34" i="23" s="1"/>
  <c r="AI14" i="23"/>
  <c r="T34" i="23" s="1"/>
  <c r="AZ14" i="23"/>
  <c r="S15" i="23"/>
  <c r="D35" i="23" s="1"/>
  <c r="AA15" i="23"/>
  <c r="L35" i="23" s="1"/>
  <c r="AI15" i="23"/>
  <c r="T35" i="23" s="1"/>
  <c r="AZ15" i="23"/>
  <c r="S16" i="23"/>
  <c r="D36" i="23" s="1"/>
  <c r="AA16" i="23"/>
  <c r="L36" i="23" s="1"/>
  <c r="AI16" i="23"/>
  <c r="T36" i="23" s="1"/>
  <c r="S17" i="23"/>
  <c r="D37" i="23" s="1"/>
  <c r="AA17" i="23"/>
  <c r="L37" i="23" s="1"/>
  <c r="AI17" i="23"/>
  <c r="T37" i="23" s="1"/>
  <c r="S18" i="23"/>
  <c r="D38" i="23" s="1"/>
  <c r="AA18" i="23"/>
  <c r="L38" i="23" s="1"/>
  <c r="AI18" i="23"/>
  <c r="T38" i="23" s="1"/>
  <c r="R19" i="23"/>
  <c r="C39" i="23" s="1"/>
  <c r="Z19" i="23"/>
  <c r="K39" i="23" s="1"/>
  <c r="AH19" i="23"/>
  <c r="S39" i="23" s="1"/>
  <c r="X20" i="23"/>
  <c r="I40" i="23" s="1"/>
  <c r="AF20" i="23"/>
  <c r="Q40" i="23" s="1"/>
  <c r="V22" i="23"/>
  <c r="G42" i="23" s="1"/>
  <c r="AD22" i="23"/>
  <c r="O42" i="23" s="1"/>
  <c r="V23" i="23"/>
  <c r="G43" i="23" s="1"/>
  <c r="AD23" i="23"/>
  <c r="O43" i="23" s="1"/>
  <c r="V24" i="23"/>
  <c r="G44" i="23" s="1"/>
  <c r="AD24" i="23"/>
  <c r="O44" i="23" s="1"/>
  <c r="AU24" i="23"/>
  <c r="V25" i="23"/>
  <c r="AD25" i="23"/>
  <c r="AU25" i="23"/>
  <c r="V26" i="23"/>
  <c r="AD26" i="23"/>
  <c r="AU26" i="23"/>
  <c r="Q117" i="23"/>
  <c r="B137" i="23" s="1"/>
  <c r="AH117" i="23"/>
  <c r="S137" i="23" s="1"/>
  <c r="AF119" i="23"/>
  <c r="Q139" i="23" s="1"/>
  <c r="V119" i="23"/>
  <c r="G139" i="23" s="1"/>
  <c r="AN119" i="23"/>
  <c r="Y139" i="23" s="1"/>
  <c r="AD119" i="23"/>
  <c r="O139" i="23" s="1"/>
  <c r="T119" i="23"/>
  <c r="E139" i="23" s="1"/>
  <c r="AC119" i="23"/>
  <c r="N139" i="23" s="1"/>
  <c r="AB120" i="23"/>
  <c r="M140" i="23" s="1"/>
  <c r="V121" i="23"/>
  <c r="G141" i="23" s="1"/>
  <c r="AP121" i="23"/>
  <c r="AA141" i="23" s="1"/>
  <c r="AE124" i="23"/>
  <c r="P144" i="23" s="1"/>
  <c r="V125" i="23"/>
  <c r="G145" i="23" s="1"/>
  <c r="AF129" i="23"/>
  <c r="Q149" i="23" s="1"/>
  <c r="T130" i="23"/>
  <c r="E150" i="23" s="1"/>
  <c r="S133" i="23"/>
  <c r="D153" i="23" s="1"/>
  <c r="AR118" i="23"/>
  <c r="AC138" i="23" s="1"/>
  <c r="AJ118" i="23"/>
  <c r="U138" i="23" s="1"/>
  <c r="AB118" i="23"/>
  <c r="M138" i="23" s="1"/>
  <c r="T118" i="23"/>
  <c r="E138" i="23" s="1"/>
  <c r="AQ118" i="23"/>
  <c r="AB138" i="23" s="1"/>
  <c r="AI118" i="23"/>
  <c r="T138" i="23" s="1"/>
  <c r="AA118" i="23"/>
  <c r="L138" i="23" s="1"/>
  <c r="S118" i="23"/>
  <c r="D138" i="23" s="1"/>
  <c r="AG118" i="23"/>
  <c r="R138" i="23" s="1"/>
  <c r="W118" i="23"/>
  <c r="H138" i="23" s="1"/>
  <c r="AO118" i="23"/>
  <c r="Z138" i="23" s="1"/>
  <c r="AE118" i="23"/>
  <c r="P138" i="23" s="1"/>
  <c r="U118" i="23"/>
  <c r="F138" i="23" s="1"/>
  <c r="AM118" i="23"/>
  <c r="X138" i="23" s="1"/>
  <c r="AC118" i="23"/>
  <c r="N138" i="23" s="1"/>
  <c r="Q118" i="23"/>
  <c r="B138" i="23" s="1"/>
  <c r="AH118" i="23"/>
  <c r="S138" i="23" s="1"/>
  <c r="AE119" i="23"/>
  <c r="P139" i="23" s="1"/>
  <c r="AD120" i="23"/>
  <c r="O140" i="23" s="1"/>
  <c r="V117" i="23"/>
  <c r="G137" i="23" s="1"/>
  <c r="AM117" i="23"/>
  <c r="X137" i="23" s="1"/>
  <c r="R118" i="23"/>
  <c r="C138" i="23" s="1"/>
  <c r="AK118" i="23"/>
  <c r="V138" i="23" s="1"/>
  <c r="AG119" i="23"/>
  <c r="R139" i="23" s="1"/>
  <c r="AM121" i="23"/>
  <c r="X141" i="23" s="1"/>
  <c r="AF125" i="23"/>
  <c r="Q145" i="23" s="1"/>
  <c r="R126" i="23"/>
  <c r="C146" i="23" s="1"/>
  <c r="AD130" i="23"/>
  <c r="O150" i="23" s="1"/>
  <c r="AE133" i="23"/>
  <c r="P153" i="23" s="1"/>
  <c r="X117" i="23"/>
  <c r="I137" i="23" s="1"/>
  <c r="AN117" i="23"/>
  <c r="Y137" i="23" s="1"/>
  <c r="V118" i="23"/>
  <c r="G138" i="23" s="1"/>
  <c r="AL118" i="23"/>
  <c r="W138" i="23" s="1"/>
  <c r="Q119" i="23"/>
  <c r="B139" i="23" s="1"/>
  <c r="AJ119" i="23"/>
  <c r="U139" i="23" s="1"/>
  <c r="AP120" i="23"/>
  <c r="AA140" i="23" s="1"/>
  <c r="AH120" i="23"/>
  <c r="S140" i="23" s="1"/>
  <c r="Z120" i="23"/>
  <c r="K140" i="23" s="1"/>
  <c r="R120" i="23"/>
  <c r="C140" i="23" s="1"/>
  <c r="AO120" i="23"/>
  <c r="Z140" i="23" s="1"/>
  <c r="AG120" i="23"/>
  <c r="R140" i="23" s="1"/>
  <c r="Y120" i="23"/>
  <c r="J140" i="23" s="1"/>
  <c r="Q120" i="23"/>
  <c r="B140" i="23" s="1"/>
  <c r="AQ120" i="23"/>
  <c r="AB140" i="23" s="1"/>
  <c r="AE120" i="23"/>
  <c r="P140" i="23" s="1"/>
  <c r="U120" i="23"/>
  <c r="F140" i="23" s="1"/>
  <c r="AM120" i="23"/>
  <c r="X140" i="23" s="1"/>
  <c r="AC120" i="23"/>
  <c r="N140" i="23" s="1"/>
  <c r="S120" i="23"/>
  <c r="D140" i="23" s="1"/>
  <c r="AK120" i="23"/>
  <c r="V140" i="23" s="1"/>
  <c r="AA120" i="23"/>
  <c r="L140" i="23" s="1"/>
  <c r="AI120" i="23"/>
  <c r="T140" i="23" s="1"/>
  <c r="AQ121" i="23"/>
  <c r="AB141" i="23" s="1"/>
  <c r="AC121" i="23"/>
  <c r="N141" i="23" s="1"/>
  <c r="S121" i="23"/>
  <c r="D141" i="23" s="1"/>
  <c r="AK121" i="23"/>
  <c r="V141" i="23" s="1"/>
  <c r="AA121" i="23"/>
  <c r="L141" i="23" s="1"/>
  <c r="AD121" i="23"/>
  <c r="O141" i="23" s="1"/>
  <c r="X126" i="23"/>
  <c r="I146" i="23" s="1"/>
  <c r="AI133" i="23"/>
  <c r="T153" i="23" s="1"/>
  <c r="X118" i="23"/>
  <c r="I138" i="23" s="1"/>
  <c r="AN118" i="23"/>
  <c r="Y138" i="23" s="1"/>
  <c r="U119" i="23"/>
  <c r="F139" i="23" s="1"/>
  <c r="AK119" i="23"/>
  <c r="V139" i="23" s="1"/>
  <c r="T120" i="23"/>
  <c r="E140" i="23" s="1"/>
  <c r="AJ120" i="23"/>
  <c r="U140" i="23" s="1"/>
  <c r="AQ124" i="23"/>
  <c r="AB144" i="23" s="1"/>
  <c r="AG124" i="23"/>
  <c r="R144" i="23" s="1"/>
  <c r="W124" i="23"/>
  <c r="H144" i="23" s="1"/>
  <c r="AP124" i="23"/>
  <c r="AA144" i="23" s="1"/>
  <c r="AF124" i="23"/>
  <c r="Q144" i="23" s="1"/>
  <c r="T124" i="23"/>
  <c r="E144" i="23" s="1"/>
  <c r="AM124" i="23"/>
  <c r="X144" i="23" s="1"/>
  <c r="AA124" i="23"/>
  <c r="L144" i="23" s="1"/>
  <c r="Q124" i="23"/>
  <c r="B144" i="23" s="1"/>
  <c r="Y118" i="23"/>
  <c r="J138" i="23" s="1"/>
  <c r="AP118" i="23"/>
  <c r="AA138" i="23" s="1"/>
  <c r="W119" i="23"/>
  <c r="H139" i="23" s="1"/>
  <c r="AM119" i="23"/>
  <c r="X139" i="23" s="1"/>
  <c r="V120" i="23"/>
  <c r="G140" i="23" s="1"/>
  <c r="AL120" i="23"/>
  <c r="W140" i="23" s="1"/>
  <c r="AR124" i="23"/>
  <c r="AC144" i="23" s="1"/>
  <c r="AP129" i="23"/>
  <c r="AA149" i="23" s="1"/>
  <c r="AH129" i="23"/>
  <c r="S149" i="23" s="1"/>
  <c r="Z129" i="23"/>
  <c r="K149" i="23" s="1"/>
  <c r="R129" i="23"/>
  <c r="C149" i="23" s="1"/>
  <c r="AO129" i="23"/>
  <c r="Z149" i="23" s="1"/>
  <c r="AG129" i="23"/>
  <c r="R149" i="23" s="1"/>
  <c r="Y129" i="23"/>
  <c r="J149" i="23" s="1"/>
  <c r="Q129" i="23"/>
  <c r="B149" i="23" s="1"/>
  <c r="AJ129" i="23"/>
  <c r="U149" i="23" s="1"/>
  <c r="X129" i="23"/>
  <c r="I149" i="23" s="1"/>
  <c r="AI129" i="23"/>
  <c r="T149" i="23" s="1"/>
  <c r="W129" i="23"/>
  <c r="H149" i="23" s="1"/>
  <c r="AQ129" i="23"/>
  <c r="AB149" i="23" s="1"/>
  <c r="AE129" i="23"/>
  <c r="P149" i="23" s="1"/>
  <c r="U129" i="23"/>
  <c r="F149" i="23" s="1"/>
  <c r="AN129" i="23"/>
  <c r="Y149" i="23" s="1"/>
  <c r="AD129" i="23"/>
  <c r="O149" i="23" s="1"/>
  <c r="T129" i="23"/>
  <c r="E149" i="23" s="1"/>
  <c r="AM129" i="23"/>
  <c r="X149" i="23" s="1"/>
  <c r="AC129" i="23"/>
  <c r="N149" i="23" s="1"/>
  <c r="S129" i="23"/>
  <c r="D149" i="23" s="1"/>
  <c r="AK129" i="23"/>
  <c r="V149" i="23" s="1"/>
  <c r="AA129" i="23"/>
  <c r="L149" i="23" s="1"/>
  <c r="Z118" i="23"/>
  <c r="K138" i="23" s="1"/>
  <c r="X119" i="23"/>
  <c r="I139" i="23" s="1"/>
  <c r="AO119" i="23"/>
  <c r="Z139" i="23" s="1"/>
  <c r="W120" i="23"/>
  <c r="H140" i="23" s="1"/>
  <c r="AN120" i="23"/>
  <c r="Y140" i="23" s="1"/>
  <c r="S124" i="23"/>
  <c r="D144" i="23" s="1"/>
  <c r="V129" i="23"/>
  <c r="G149" i="23" s="1"/>
  <c r="AR130" i="23"/>
  <c r="AC150" i="23" s="1"/>
  <c r="AH130" i="23"/>
  <c r="S150" i="23" s="1"/>
  <c r="V130" i="23"/>
  <c r="G150" i="23" s="1"/>
  <c r="AQ130" i="23"/>
  <c r="AB150" i="23" s="1"/>
  <c r="AE130" i="23"/>
  <c r="P150" i="23" s="1"/>
  <c r="U130" i="23"/>
  <c r="F150" i="23" s="1"/>
  <c r="AC130" i="23"/>
  <c r="N150" i="23" s="1"/>
  <c r="S130" i="23"/>
  <c r="D150" i="23" s="1"/>
  <c r="AL130" i="23"/>
  <c r="W150" i="23" s="1"/>
  <c r="AB130" i="23"/>
  <c r="M150" i="23" s="1"/>
  <c r="R130" i="23"/>
  <c r="C150" i="23" s="1"/>
  <c r="AK130" i="23"/>
  <c r="V150" i="23" s="1"/>
  <c r="AA130" i="23"/>
  <c r="L150" i="23" s="1"/>
  <c r="AQ133" i="23"/>
  <c r="AB153" i="23" s="1"/>
  <c r="AG133" i="23"/>
  <c r="R153" i="23" s="1"/>
  <c r="W133" i="23"/>
  <c r="H153" i="23" s="1"/>
  <c r="AP133" i="23"/>
  <c r="AA153" i="23" s="1"/>
  <c r="AF133" i="23"/>
  <c r="Q153" i="23" s="1"/>
  <c r="T133" i="23"/>
  <c r="E153" i="23" s="1"/>
  <c r="AM133" i="23"/>
  <c r="X153" i="23" s="1"/>
  <c r="AA133" i="23"/>
  <c r="L153" i="23" s="1"/>
  <c r="Q133" i="23"/>
  <c r="B153" i="23" s="1"/>
  <c r="AO225" i="23"/>
  <c r="Z245" i="23" s="1"/>
  <c r="AC225" i="23"/>
  <c r="N245" i="23" s="1"/>
  <c r="S225" i="23"/>
  <c r="D245" i="23" s="1"/>
  <c r="AL225" i="23"/>
  <c r="W245" i="23" s="1"/>
  <c r="AB225" i="23"/>
  <c r="M245" i="23" s="1"/>
  <c r="R225" i="23"/>
  <c r="C245" i="23" s="1"/>
  <c r="AK225" i="23"/>
  <c r="V245" i="23" s="1"/>
  <c r="AA225" i="23"/>
  <c r="L245" i="23" s="1"/>
  <c r="Q225" i="23"/>
  <c r="B245" i="23" s="1"/>
  <c r="AI225" i="23"/>
  <c r="T245" i="23" s="1"/>
  <c r="Y225" i="23"/>
  <c r="J245" i="23" s="1"/>
  <c r="AQ225" i="23"/>
  <c r="AB245" i="23" s="1"/>
  <c r="AG225" i="23"/>
  <c r="R245" i="23" s="1"/>
  <c r="U225" i="23"/>
  <c r="F245" i="23" s="1"/>
  <c r="AP225" i="23"/>
  <c r="AA245" i="23" s="1"/>
  <c r="AD225" i="23"/>
  <c r="O245" i="23" s="1"/>
  <c r="T225" i="23"/>
  <c r="E245" i="23" s="1"/>
  <c r="AJ225" i="23"/>
  <c r="U245" i="23" s="1"/>
  <c r="AH225" i="23"/>
  <c r="S245" i="23" s="1"/>
  <c r="Z225" i="23"/>
  <c r="K245" i="23" s="1"/>
  <c r="V225" i="23"/>
  <c r="G245" i="23" s="1"/>
  <c r="AR225" i="23"/>
  <c r="AC245" i="23" s="1"/>
  <c r="AK117" i="23"/>
  <c r="V137" i="23" s="1"/>
  <c r="AC117" i="23"/>
  <c r="N137" i="23" s="1"/>
  <c r="U117" i="23"/>
  <c r="F137" i="23" s="1"/>
  <c r="AR117" i="23"/>
  <c r="AC137" i="23" s="1"/>
  <c r="AJ117" i="23"/>
  <c r="U137" i="23" s="1"/>
  <c r="AB117" i="23"/>
  <c r="M137" i="23" s="1"/>
  <c r="T117" i="23"/>
  <c r="E137" i="23" s="1"/>
  <c r="AI117" i="23"/>
  <c r="T137" i="23" s="1"/>
  <c r="Y117" i="23"/>
  <c r="J137" i="23" s="1"/>
  <c r="AQ117" i="23"/>
  <c r="AB137" i="23" s="1"/>
  <c r="AG117" i="23"/>
  <c r="R137" i="23" s="1"/>
  <c r="W117" i="23"/>
  <c r="H137" i="23" s="1"/>
  <c r="AO117" i="23"/>
  <c r="Z137" i="23" s="1"/>
  <c r="AE117" i="23"/>
  <c r="P137" i="23" s="1"/>
  <c r="S117" i="23"/>
  <c r="D137" i="23" s="1"/>
  <c r="AF117" i="23"/>
  <c r="Q137" i="23" s="1"/>
  <c r="AD118" i="23"/>
  <c r="O138" i="23" s="1"/>
  <c r="X120" i="23"/>
  <c r="I140" i="23" s="1"/>
  <c r="Y124" i="23"/>
  <c r="J144" i="23" s="1"/>
  <c r="AK125" i="23"/>
  <c r="V145" i="23" s="1"/>
  <c r="AC125" i="23"/>
  <c r="N145" i="23" s="1"/>
  <c r="U125" i="23"/>
  <c r="F145" i="23" s="1"/>
  <c r="AR125" i="23"/>
  <c r="AC145" i="23" s="1"/>
  <c r="AJ125" i="23"/>
  <c r="U145" i="23" s="1"/>
  <c r="AB125" i="23"/>
  <c r="M145" i="23" s="1"/>
  <c r="T125" i="23"/>
  <c r="E145" i="23" s="1"/>
  <c r="AN125" i="23"/>
  <c r="Y145" i="23" s="1"/>
  <c r="AD125" i="23"/>
  <c r="O145" i="23" s="1"/>
  <c r="R125" i="23"/>
  <c r="C145" i="23" s="1"/>
  <c r="AM125" i="23"/>
  <c r="X145" i="23" s="1"/>
  <c r="AA125" i="23"/>
  <c r="L145" i="23" s="1"/>
  <c r="Q125" i="23"/>
  <c r="B145" i="23" s="1"/>
  <c r="AI125" i="23"/>
  <c r="T145" i="23" s="1"/>
  <c r="Y125" i="23"/>
  <c r="J145" i="23" s="1"/>
  <c r="AH125" i="23"/>
  <c r="S145" i="23" s="1"/>
  <c r="X125" i="23"/>
  <c r="I145" i="23" s="1"/>
  <c r="AQ125" i="23"/>
  <c r="AB145" i="23" s="1"/>
  <c r="AG125" i="23"/>
  <c r="R145" i="23" s="1"/>
  <c r="W125" i="23"/>
  <c r="H145" i="23" s="1"/>
  <c r="AO125" i="23"/>
  <c r="Z145" i="23" s="1"/>
  <c r="AE125" i="23"/>
  <c r="P145" i="23" s="1"/>
  <c r="S125" i="23"/>
  <c r="D145" i="23" s="1"/>
  <c r="AB129" i="23"/>
  <c r="M149" i="23" s="1"/>
  <c r="AR133" i="23"/>
  <c r="AC153" i="23" s="1"/>
  <c r="AQ119" i="23"/>
  <c r="AB139" i="23" s="1"/>
  <c r="AI119" i="23"/>
  <c r="T139" i="23" s="1"/>
  <c r="AA119" i="23"/>
  <c r="L139" i="23" s="1"/>
  <c r="S119" i="23"/>
  <c r="D139" i="23" s="1"/>
  <c r="AP119" i="23"/>
  <c r="AA139" i="23" s="1"/>
  <c r="AH119" i="23"/>
  <c r="S139" i="23" s="1"/>
  <c r="Z119" i="23"/>
  <c r="K139" i="23" s="1"/>
  <c r="R119" i="23"/>
  <c r="C139" i="23" s="1"/>
  <c r="AB119" i="23"/>
  <c r="M139" i="23" s="1"/>
  <c r="AL119" i="23"/>
  <c r="W139" i="23" s="1"/>
  <c r="W121" i="23"/>
  <c r="H141" i="23" s="1"/>
  <c r="AI121" i="23"/>
  <c r="T141" i="23" s="1"/>
  <c r="T122" i="23"/>
  <c r="E142" i="23" s="1"/>
  <c r="AD122" i="23"/>
  <c r="O142" i="23" s="1"/>
  <c r="AP122" i="23"/>
  <c r="AA142" i="23" s="1"/>
  <c r="Q123" i="23"/>
  <c r="B143" i="23" s="1"/>
  <c r="AA123" i="23"/>
  <c r="L143" i="23" s="1"/>
  <c r="AK123" i="23"/>
  <c r="V143" i="23" s="1"/>
  <c r="X124" i="23"/>
  <c r="I144" i="23" s="1"/>
  <c r="AH124" i="23"/>
  <c r="S144" i="23" s="1"/>
  <c r="Q126" i="23"/>
  <c r="B146" i="23" s="1"/>
  <c r="AC126" i="23"/>
  <c r="N146" i="23" s="1"/>
  <c r="AM126" i="23"/>
  <c r="X146" i="23" s="1"/>
  <c r="AQ128" i="23"/>
  <c r="AB148" i="23" s="1"/>
  <c r="AI128" i="23"/>
  <c r="T148" i="23" s="1"/>
  <c r="AA128" i="23"/>
  <c r="L148" i="23" s="1"/>
  <c r="S128" i="23"/>
  <c r="D148" i="23" s="1"/>
  <c r="AP128" i="23"/>
  <c r="AA148" i="23" s="1"/>
  <c r="AH128" i="23"/>
  <c r="S148" i="23" s="1"/>
  <c r="Z128" i="23"/>
  <c r="K148" i="23" s="1"/>
  <c r="R128" i="23"/>
  <c r="C148" i="23" s="1"/>
  <c r="AB128" i="23"/>
  <c r="M148" i="23" s="1"/>
  <c r="AL128" i="23"/>
  <c r="W148" i="23" s="1"/>
  <c r="W130" i="23"/>
  <c r="H150" i="23" s="1"/>
  <c r="AI130" i="23"/>
  <c r="T150" i="23" s="1"/>
  <c r="T131" i="23"/>
  <c r="AD131" i="23"/>
  <c r="AP131" i="23"/>
  <c r="Q132" i="23"/>
  <c r="AA132" i="23"/>
  <c r="AK132" i="23"/>
  <c r="X133" i="23"/>
  <c r="I153" i="23" s="1"/>
  <c r="AH133" i="23"/>
  <c r="S153" i="23" s="1"/>
  <c r="A169" i="23"/>
  <c r="AL227" i="23"/>
  <c r="W247" i="23" s="1"/>
  <c r="AD227" i="23"/>
  <c r="O247" i="23" s="1"/>
  <c r="V227" i="23"/>
  <c r="G247" i="23" s="1"/>
  <c r="AK227" i="23"/>
  <c r="V247" i="23" s="1"/>
  <c r="AC227" i="23"/>
  <c r="N247" i="23" s="1"/>
  <c r="U227" i="23"/>
  <c r="F247" i="23" s="1"/>
  <c r="AQ227" i="23"/>
  <c r="AB247" i="23" s="1"/>
  <c r="AG227" i="23"/>
  <c r="R247" i="23" s="1"/>
  <c r="W227" i="23"/>
  <c r="H247" i="23" s="1"/>
  <c r="AP227" i="23"/>
  <c r="AA247" i="23" s="1"/>
  <c r="AF227" i="23"/>
  <c r="Q247" i="23" s="1"/>
  <c r="T227" i="23"/>
  <c r="E247" i="23" s="1"/>
  <c r="AO227" i="23"/>
  <c r="Z247" i="23" s="1"/>
  <c r="AE227" i="23"/>
  <c r="P247" i="23" s="1"/>
  <c r="S227" i="23"/>
  <c r="D247" i="23" s="1"/>
  <c r="AN227" i="23"/>
  <c r="Y247" i="23" s="1"/>
  <c r="AB227" i="23"/>
  <c r="M247" i="23" s="1"/>
  <c r="R227" i="23"/>
  <c r="C247" i="23" s="1"/>
  <c r="AM227" i="23"/>
  <c r="X247" i="23" s="1"/>
  <c r="AA227" i="23"/>
  <c r="L247" i="23" s="1"/>
  <c r="Q227" i="23"/>
  <c r="B247" i="23" s="1"/>
  <c r="AI227" i="23"/>
  <c r="T247" i="23" s="1"/>
  <c r="Y227" i="23"/>
  <c r="J247" i="23" s="1"/>
  <c r="AR227" i="23"/>
  <c r="AC247" i="23" s="1"/>
  <c r="AH227" i="23"/>
  <c r="S247" i="23" s="1"/>
  <c r="X227" i="23"/>
  <c r="I247" i="23" s="1"/>
  <c r="AO121" i="23"/>
  <c r="Z141" i="23" s="1"/>
  <c r="V122" i="23"/>
  <c r="G142" i="23" s="1"/>
  <c r="AH122" i="23"/>
  <c r="S142" i="23" s="1"/>
  <c r="AR122" i="23"/>
  <c r="AC142" i="23" s="1"/>
  <c r="S123" i="23"/>
  <c r="D143" i="23" s="1"/>
  <c r="AC123" i="23"/>
  <c r="N143" i="23" s="1"/>
  <c r="AO123" i="23"/>
  <c r="Z143" i="23" s="1"/>
  <c r="AL124" i="23"/>
  <c r="W144" i="23" s="1"/>
  <c r="AD124" i="23"/>
  <c r="O144" i="23" s="1"/>
  <c r="V124" i="23"/>
  <c r="G144" i="23" s="1"/>
  <c r="AK124" i="23"/>
  <c r="V144" i="23" s="1"/>
  <c r="AC124" i="23"/>
  <c r="N144" i="23" s="1"/>
  <c r="U124" i="23"/>
  <c r="F144" i="23" s="1"/>
  <c r="Z124" i="23"/>
  <c r="K144" i="23" s="1"/>
  <c r="AJ124" i="23"/>
  <c r="U144" i="23" s="1"/>
  <c r="U126" i="23"/>
  <c r="F146" i="23" s="1"/>
  <c r="AE126" i="23"/>
  <c r="P146" i="23" s="1"/>
  <c r="AO126" i="23"/>
  <c r="Z146" i="23" s="1"/>
  <c r="T128" i="23"/>
  <c r="E148" i="23" s="1"/>
  <c r="AD128" i="23"/>
  <c r="O148" i="23" s="1"/>
  <c r="AN128" i="23"/>
  <c r="Y148" i="23" s="1"/>
  <c r="AO130" i="23"/>
  <c r="Z150" i="23" s="1"/>
  <c r="V131" i="23"/>
  <c r="AH131" i="23"/>
  <c r="AR131" i="23"/>
  <c r="S132" i="23"/>
  <c r="AC132" i="23"/>
  <c r="AO132" i="23"/>
  <c r="AL133" i="23"/>
  <c r="W153" i="23" s="1"/>
  <c r="AD133" i="23"/>
  <c r="O153" i="23" s="1"/>
  <c r="V133" i="23"/>
  <c r="G153" i="23" s="1"/>
  <c r="AK133" i="23"/>
  <c r="V153" i="23" s="1"/>
  <c r="AC133" i="23"/>
  <c r="N153" i="23" s="1"/>
  <c r="U133" i="23"/>
  <c r="F153" i="23" s="1"/>
  <c r="Z133" i="23"/>
  <c r="K153" i="23" s="1"/>
  <c r="AJ133" i="23"/>
  <c r="U153" i="23" s="1"/>
  <c r="A173" i="23"/>
  <c r="AF123" i="23"/>
  <c r="Q143" i="23" s="1"/>
  <c r="AP123" i="23"/>
  <c r="AA143" i="23" s="1"/>
  <c r="V126" i="23"/>
  <c r="G146" i="23" s="1"/>
  <c r="AF126" i="23"/>
  <c r="Q146" i="23" s="1"/>
  <c r="AP126" i="23"/>
  <c r="AA146" i="23" s="1"/>
  <c r="U128" i="23"/>
  <c r="F148" i="23" s="1"/>
  <c r="AE128" i="23"/>
  <c r="P148" i="23" s="1"/>
  <c r="AO128" i="23"/>
  <c r="Z148" i="23" s="1"/>
  <c r="T132" i="23"/>
  <c r="AF132" i="23"/>
  <c r="AP132" i="23"/>
  <c r="AN225" i="23"/>
  <c r="Y245" i="23" s="1"/>
  <c r="AR119" i="23"/>
  <c r="AC139" i="23" s="1"/>
  <c r="AN122" i="23"/>
  <c r="Y142" i="23" s="1"/>
  <c r="Z122" i="23"/>
  <c r="K142" i="23" s="1"/>
  <c r="U123" i="23"/>
  <c r="F143" i="23" s="1"/>
  <c r="AG123" i="23"/>
  <c r="R143" i="23" s="1"/>
  <c r="AQ123" i="23"/>
  <c r="AB143" i="23" s="1"/>
  <c r="R124" i="23"/>
  <c r="C144" i="23" s="1"/>
  <c r="AB124" i="23"/>
  <c r="M144" i="23" s="1"/>
  <c r="AN124" i="23"/>
  <c r="Y144" i="23" s="1"/>
  <c r="W126" i="23"/>
  <c r="H146" i="23" s="1"/>
  <c r="AG126" i="23"/>
  <c r="R146" i="23" s="1"/>
  <c r="V128" i="23"/>
  <c r="G148" i="23" s="1"/>
  <c r="AF128" i="23"/>
  <c r="Q148" i="23" s="1"/>
  <c r="AR128" i="23"/>
  <c r="AC148" i="23" s="1"/>
  <c r="AN131" i="23"/>
  <c r="Z131" i="23"/>
  <c r="U132" i="23"/>
  <c r="AG132" i="23"/>
  <c r="AQ132" i="23"/>
  <c r="R133" i="23"/>
  <c r="C153" i="23" s="1"/>
  <c r="AB133" i="23"/>
  <c r="M153" i="23" s="1"/>
  <c r="AN133" i="23"/>
  <c r="Y153" i="23" s="1"/>
  <c r="A182" i="23"/>
  <c r="A170" i="23"/>
  <c r="A174" i="23"/>
  <c r="A186" i="23"/>
  <c r="Y123" i="23"/>
  <c r="J143" i="23" s="1"/>
  <c r="Y126" i="23"/>
  <c r="J146" i="23" s="1"/>
  <c r="X128" i="23"/>
  <c r="I148" i="23" s="1"/>
  <c r="Y132" i="23"/>
  <c r="AM123" i="23"/>
  <c r="X143" i="23" s="1"/>
  <c r="AE123" i="23"/>
  <c r="P143" i="23" s="1"/>
  <c r="W123" i="23"/>
  <c r="H143" i="23" s="1"/>
  <c r="AL123" i="23"/>
  <c r="W143" i="23" s="1"/>
  <c r="AD123" i="23"/>
  <c r="O143" i="23" s="1"/>
  <c r="V123" i="23"/>
  <c r="G143" i="23" s="1"/>
  <c r="Z123" i="23"/>
  <c r="K143" i="23" s="1"/>
  <c r="AJ123" i="23"/>
  <c r="U143" i="23" s="1"/>
  <c r="AR126" i="23"/>
  <c r="AC146" i="23" s="1"/>
  <c r="AJ126" i="23"/>
  <c r="U146" i="23" s="1"/>
  <c r="AB126" i="23"/>
  <c r="M146" i="23" s="1"/>
  <c r="T126" i="23"/>
  <c r="E146" i="23" s="1"/>
  <c r="AQ126" i="23"/>
  <c r="AB146" i="23" s="1"/>
  <c r="AI126" i="23"/>
  <c r="T146" i="23" s="1"/>
  <c r="AA126" i="23"/>
  <c r="L146" i="23" s="1"/>
  <c r="S126" i="23"/>
  <c r="D146" i="23" s="1"/>
  <c r="Z126" i="23"/>
  <c r="K146" i="23" s="1"/>
  <c r="AL126" i="23"/>
  <c r="W146" i="23" s="1"/>
  <c r="Y128" i="23"/>
  <c r="J148" i="23" s="1"/>
  <c r="AM132" i="23"/>
  <c r="AE132" i="23"/>
  <c r="W132" i="23"/>
  <c r="AL132" i="23"/>
  <c r="AD132" i="23"/>
  <c r="V132" i="23"/>
  <c r="Z132" i="23"/>
  <c r="AJ132" i="23"/>
  <c r="A187" i="23"/>
  <c r="A175" i="23"/>
  <c r="X121" i="23"/>
  <c r="I141" i="23" s="1"/>
  <c r="AF121" i="23"/>
  <c r="Q141" i="23" s="1"/>
  <c r="AN121" i="23"/>
  <c r="Y141" i="23" s="1"/>
  <c r="W122" i="23"/>
  <c r="H142" i="23" s="1"/>
  <c r="AE122" i="23"/>
  <c r="P142" i="23" s="1"/>
  <c r="AM122" i="23"/>
  <c r="X142" i="23" s="1"/>
  <c r="X130" i="23"/>
  <c r="I150" i="23" s="1"/>
  <c r="AF130" i="23"/>
  <c r="Q150" i="23" s="1"/>
  <c r="AN130" i="23"/>
  <c r="Y150" i="23" s="1"/>
  <c r="W131" i="23"/>
  <c r="AE131" i="23"/>
  <c r="AM131" i="23"/>
  <c r="Q226" i="23"/>
  <c r="B246" i="23" s="1"/>
  <c r="AA226" i="23"/>
  <c r="L246" i="23" s="1"/>
  <c r="AK226" i="23"/>
  <c r="V246" i="23" s="1"/>
  <c r="S228" i="23"/>
  <c r="D248" i="23" s="1"/>
  <c r="AE228" i="23"/>
  <c r="P248" i="23" s="1"/>
  <c r="AO228" i="23"/>
  <c r="Z248" i="23" s="1"/>
  <c r="Q229" i="23"/>
  <c r="B249" i="23" s="1"/>
  <c r="AC229" i="23"/>
  <c r="N249" i="23" s="1"/>
  <c r="AM229" i="23"/>
  <c r="X249" i="23" s="1"/>
  <c r="AQ230" i="23"/>
  <c r="AB250" i="23" s="1"/>
  <c r="AI230" i="23"/>
  <c r="T250" i="23" s="1"/>
  <c r="AA230" i="23"/>
  <c r="L250" i="23" s="1"/>
  <c r="S230" i="23"/>
  <c r="D250" i="23" s="1"/>
  <c r="AP230" i="23"/>
  <c r="AA250" i="23" s="1"/>
  <c r="AH230" i="23"/>
  <c r="S250" i="23" s="1"/>
  <c r="Z230" i="23"/>
  <c r="K250" i="23" s="1"/>
  <c r="R230" i="23"/>
  <c r="C250" i="23" s="1"/>
  <c r="AB230" i="23"/>
  <c r="M250" i="23" s="1"/>
  <c r="AL230" i="23"/>
  <c r="W250" i="23" s="1"/>
  <c r="AA231" i="23"/>
  <c r="L251" i="23" s="1"/>
  <c r="W232" i="23"/>
  <c r="H252" i="23" s="1"/>
  <c r="AI232" i="23"/>
  <c r="T252" i="23" s="1"/>
  <c r="T233" i="23"/>
  <c r="E253" i="23" s="1"/>
  <c r="AD233" i="23"/>
  <c r="O253" i="23" s="1"/>
  <c r="AP233" i="23"/>
  <c r="AA253" i="23" s="1"/>
  <c r="Q234" i="23"/>
  <c r="B254" i="23" s="1"/>
  <c r="AA234" i="23"/>
  <c r="L254" i="23" s="1"/>
  <c r="AK234" i="23"/>
  <c r="V254" i="23" s="1"/>
  <c r="X236" i="23"/>
  <c r="I256" i="23" s="1"/>
  <c r="AH236" i="23"/>
  <c r="S256" i="23" s="1"/>
  <c r="AR236" i="23"/>
  <c r="AC256" i="23" s="1"/>
  <c r="S237" i="23"/>
  <c r="D257" i="23" s="1"/>
  <c r="AE237" i="23"/>
  <c r="P257" i="23" s="1"/>
  <c r="AO237" i="23"/>
  <c r="Z257" i="23" s="1"/>
  <c r="Q238" i="23"/>
  <c r="B258" i="23" s="1"/>
  <c r="AC238" i="23"/>
  <c r="N258" i="23" s="1"/>
  <c r="AM238" i="23"/>
  <c r="X258" i="23" s="1"/>
  <c r="AQ239" i="23"/>
  <c r="AI239" i="23"/>
  <c r="AA239" i="23"/>
  <c r="S239" i="23"/>
  <c r="AP239" i="23"/>
  <c r="AH239" i="23"/>
  <c r="Z239" i="23"/>
  <c r="R239" i="23"/>
  <c r="AB239" i="23"/>
  <c r="AL239" i="23"/>
  <c r="W241" i="23"/>
  <c r="H261" i="23" s="1"/>
  <c r="AK241" i="23"/>
  <c r="V261" i="23" s="1"/>
  <c r="Q121" i="23"/>
  <c r="B141" i="23" s="1"/>
  <c r="Y121" i="23"/>
  <c r="J141" i="23" s="1"/>
  <c r="AG121" i="23"/>
  <c r="R141" i="23" s="1"/>
  <c r="X122" i="23"/>
  <c r="I142" i="23" s="1"/>
  <c r="AF122" i="23"/>
  <c r="Q142" i="23" s="1"/>
  <c r="Q130" i="23"/>
  <c r="B150" i="23" s="1"/>
  <c r="Y130" i="23"/>
  <c r="J150" i="23" s="1"/>
  <c r="AG130" i="23"/>
  <c r="R150" i="23" s="1"/>
  <c r="X131" i="23"/>
  <c r="AF131" i="23"/>
  <c r="R226" i="23"/>
  <c r="C246" i="23" s="1"/>
  <c r="AB226" i="23"/>
  <c r="M246" i="23" s="1"/>
  <c r="V228" i="23"/>
  <c r="G248" i="23" s="1"/>
  <c r="AF228" i="23"/>
  <c r="Q248" i="23" s="1"/>
  <c r="AP228" i="23"/>
  <c r="AA248" i="23" s="1"/>
  <c r="R229" i="23"/>
  <c r="C249" i="23" s="1"/>
  <c r="AD229" i="23"/>
  <c r="O249" i="23" s="1"/>
  <c r="Q230" i="23"/>
  <c r="B250" i="23" s="1"/>
  <c r="AC230" i="23"/>
  <c r="N250" i="23" s="1"/>
  <c r="AM230" i="23"/>
  <c r="X250" i="23" s="1"/>
  <c r="AP231" i="23"/>
  <c r="AA251" i="23" s="1"/>
  <c r="AH231" i="23"/>
  <c r="S251" i="23" s="1"/>
  <c r="Z231" i="23"/>
  <c r="K251" i="23" s="1"/>
  <c r="R231" i="23"/>
  <c r="C251" i="23" s="1"/>
  <c r="AO231" i="23"/>
  <c r="Z251" i="23" s="1"/>
  <c r="AG231" i="23"/>
  <c r="R251" i="23" s="1"/>
  <c r="Y231" i="23"/>
  <c r="J251" i="23" s="1"/>
  <c r="Q231" i="23"/>
  <c r="B251" i="23" s="1"/>
  <c r="AB231" i="23"/>
  <c r="M251" i="23" s="1"/>
  <c r="AL231" i="23"/>
  <c r="W251" i="23" s="1"/>
  <c r="Z232" i="23"/>
  <c r="K252" i="23" s="1"/>
  <c r="U233" i="23"/>
  <c r="F253" i="23" s="1"/>
  <c r="AG233" i="23"/>
  <c r="R253" i="23" s="1"/>
  <c r="AQ233" i="23"/>
  <c r="AB253" i="23" s="1"/>
  <c r="R234" i="23"/>
  <c r="C254" i="23" s="1"/>
  <c r="AB234" i="23"/>
  <c r="M254" i="23" s="1"/>
  <c r="Y236" i="23"/>
  <c r="J256" i="23" s="1"/>
  <c r="V237" i="23"/>
  <c r="G257" i="23" s="1"/>
  <c r="AF237" i="23"/>
  <c r="Q257" i="23" s="1"/>
  <c r="AP237" i="23"/>
  <c r="AA257" i="23" s="1"/>
  <c r="R238" i="23"/>
  <c r="C258" i="23" s="1"/>
  <c r="AD238" i="23"/>
  <c r="O258" i="23" s="1"/>
  <c r="Q239" i="23"/>
  <c r="AC239" i="23"/>
  <c r="AM239" i="23"/>
  <c r="AR240" i="23"/>
  <c r="AJ240" i="23"/>
  <c r="AB240" i="23"/>
  <c r="T240" i="23"/>
  <c r="AP240" i="23"/>
  <c r="AH240" i="23"/>
  <c r="Z240" i="23"/>
  <c r="R240" i="23"/>
  <c r="AN240" i="23"/>
  <c r="AD240" i="23"/>
  <c r="S240" i="23"/>
  <c r="AM240" i="23"/>
  <c r="AC240" i="23"/>
  <c r="Q240" i="23"/>
  <c r="AF240" i="23"/>
  <c r="X241" i="23"/>
  <c r="I261" i="23" s="1"/>
  <c r="AN241" i="23"/>
  <c r="Y261" i="23" s="1"/>
  <c r="V233" i="23"/>
  <c r="G253" i="23" s="1"/>
  <c r="AH233" i="23"/>
  <c r="S253" i="23" s="1"/>
  <c r="AR233" i="23"/>
  <c r="AC253" i="23" s="1"/>
  <c r="AL236" i="23"/>
  <c r="W256" i="23" s="1"/>
  <c r="AD236" i="23"/>
  <c r="O256" i="23" s="1"/>
  <c r="V236" i="23"/>
  <c r="G256" i="23" s="1"/>
  <c r="AK236" i="23"/>
  <c r="V256" i="23" s="1"/>
  <c r="AC236" i="23"/>
  <c r="N256" i="23" s="1"/>
  <c r="U236" i="23"/>
  <c r="F256" i="23" s="1"/>
  <c r="Z236" i="23"/>
  <c r="K256" i="23" s="1"/>
  <c r="AJ236" i="23"/>
  <c r="U256" i="23" s="1"/>
  <c r="W237" i="23"/>
  <c r="H257" i="23" s="1"/>
  <c r="AG237" i="23"/>
  <c r="R257" i="23" s="1"/>
  <c r="AQ237" i="23"/>
  <c r="AB257" i="23" s="1"/>
  <c r="U238" i="23"/>
  <c r="F258" i="23" s="1"/>
  <c r="AE238" i="23"/>
  <c r="P258" i="23" s="1"/>
  <c r="AO238" i="23"/>
  <c r="Z258" i="23" s="1"/>
  <c r="T239" i="23"/>
  <c r="AD239" i="23"/>
  <c r="AN239" i="23"/>
  <c r="Z241" i="23"/>
  <c r="K261" i="23" s="1"/>
  <c r="AP241" i="23"/>
  <c r="AA261" i="23" s="1"/>
  <c r="X228" i="23"/>
  <c r="I248" i="23" s="1"/>
  <c r="V229" i="23"/>
  <c r="G249" i="23" s="1"/>
  <c r="AF229" i="23"/>
  <c r="Q249" i="23" s="1"/>
  <c r="AP229" i="23"/>
  <c r="AA249" i="23" s="1"/>
  <c r="U230" i="23"/>
  <c r="F250" i="23" s="1"/>
  <c r="AE230" i="23"/>
  <c r="P250" i="23" s="1"/>
  <c r="AO230" i="23"/>
  <c r="Z250" i="23" s="1"/>
  <c r="Y233" i="23"/>
  <c r="J253" i="23" s="1"/>
  <c r="AI233" i="23"/>
  <c r="T253" i="23" s="1"/>
  <c r="Q236" i="23"/>
  <c r="B256" i="23" s="1"/>
  <c r="AA236" i="23"/>
  <c r="L256" i="23" s="1"/>
  <c r="AM236" i="23"/>
  <c r="X256" i="23" s="1"/>
  <c r="X237" i="23"/>
  <c r="I257" i="23" s="1"/>
  <c r="V238" i="23"/>
  <c r="G258" i="23" s="1"/>
  <c r="AF238" i="23"/>
  <c r="Q258" i="23" s="1"/>
  <c r="AP238" i="23"/>
  <c r="AA258" i="23" s="1"/>
  <c r="U239" i="23"/>
  <c r="AE239" i="23"/>
  <c r="AO239" i="23"/>
  <c r="AD241" i="23"/>
  <c r="O261" i="23" s="1"/>
  <c r="AR241" i="23"/>
  <c r="AC261" i="23" s="1"/>
  <c r="Y228" i="23"/>
  <c r="J248" i="23" s="1"/>
  <c r="Y237" i="23"/>
  <c r="J257" i="23" s="1"/>
  <c r="AI237" i="23"/>
  <c r="T257" i="23" s="1"/>
  <c r="AR239" i="23"/>
  <c r="A288" i="23"/>
  <c r="A276" i="23"/>
  <c r="A289" i="23"/>
  <c r="A277" i="23"/>
  <c r="AK228" i="23"/>
  <c r="V248" i="23" s="1"/>
  <c r="AC228" i="23"/>
  <c r="N248" i="23" s="1"/>
  <c r="U228" i="23"/>
  <c r="F248" i="23" s="1"/>
  <c r="AR228" i="23"/>
  <c r="AC248" i="23" s="1"/>
  <c r="AJ228" i="23"/>
  <c r="U248" i="23" s="1"/>
  <c r="AB228" i="23"/>
  <c r="M248" i="23" s="1"/>
  <c r="T228" i="23"/>
  <c r="E248" i="23" s="1"/>
  <c r="Z228" i="23"/>
  <c r="K248" i="23" s="1"/>
  <c r="AL228" i="23"/>
  <c r="W248" i="23" s="1"/>
  <c r="X229" i="23"/>
  <c r="I249" i="23" s="1"/>
  <c r="AH229" i="23"/>
  <c r="S249" i="23" s="1"/>
  <c r="AG230" i="23"/>
  <c r="R250" i="23" s="1"/>
  <c r="AK237" i="23"/>
  <c r="V257" i="23" s="1"/>
  <c r="AC237" i="23"/>
  <c r="N257" i="23" s="1"/>
  <c r="U237" i="23"/>
  <c r="F257" i="23" s="1"/>
  <c r="AR237" i="23"/>
  <c r="AC257" i="23" s="1"/>
  <c r="AJ237" i="23"/>
  <c r="U257" i="23" s="1"/>
  <c r="AB237" i="23"/>
  <c r="M257" i="23" s="1"/>
  <c r="T237" i="23"/>
  <c r="E257" i="23" s="1"/>
  <c r="Z237" i="23"/>
  <c r="K257" i="23" s="1"/>
  <c r="AL237" i="23"/>
  <c r="W257" i="23" s="1"/>
  <c r="X238" i="23"/>
  <c r="I258" i="23" s="1"/>
  <c r="W239" i="23"/>
  <c r="AG239" i="23"/>
  <c r="T241" i="23"/>
  <c r="E261" i="23" s="1"/>
  <c r="AF241" i="23"/>
  <c r="Q261" i="23" s="1"/>
  <c r="A283" i="23"/>
  <c r="A295" i="23"/>
  <c r="Q228" i="23"/>
  <c r="B248" i="23" s="1"/>
  <c r="AA228" i="23"/>
  <c r="L248" i="23" s="1"/>
  <c r="AM228" i="23"/>
  <c r="X248" i="23" s="1"/>
  <c r="Y229" i="23"/>
  <c r="J249" i="23" s="1"/>
  <c r="X230" i="23"/>
  <c r="I250" i="23" s="1"/>
  <c r="AJ230" i="23"/>
  <c r="U250" i="23" s="1"/>
  <c r="Q237" i="23"/>
  <c r="B257" i="23" s="1"/>
  <c r="AA237" i="23"/>
  <c r="L257" i="23" s="1"/>
  <c r="Y238" i="23"/>
  <c r="J258" i="23" s="1"/>
  <c r="X239" i="23"/>
  <c r="AJ239" i="23"/>
  <c r="A291" i="23"/>
  <c r="A279" i="23"/>
  <c r="AM226" i="23"/>
  <c r="X246" i="23" s="1"/>
  <c r="AE226" i="23"/>
  <c r="P246" i="23" s="1"/>
  <c r="W226" i="23"/>
  <c r="H246" i="23" s="1"/>
  <c r="AL226" i="23"/>
  <c r="W246" i="23" s="1"/>
  <c r="AD226" i="23"/>
  <c r="O246" i="23" s="1"/>
  <c r="V226" i="23"/>
  <c r="G246" i="23" s="1"/>
  <c r="Z226" i="23"/>
  <c r="K246" i="23" s="1"/>
  <c r="AJ226" i="23"/>
  <c r="U246" i="23" s="1"/>
  <c r="R228" i="23"/>
  <c r="C248" i="23" s="1"/>
  <c r="AD228" i="23"/>
  <c r="O248" i="23" s="1"/>
  <c r="AN228" i="23"/>
  <c r="Y248" i="23" s="1"/>
  <c r="AR229" i="23"/>
  <c r="AC249" i="23" s="1"/>
  <c r="AJ229" i="23"/>
  <c r="U249" i="23" s="1"/>
  <c r="AB229" i="23"/>
  <c r="M249" i="23" s="1"/>
  <c r="T229" i="23"/>
  <c r="E249" i="23" s="1"/>
  <c r="AQ229" i="23"/>
  <c r="AB249" i="23" s="1"/>
  <c r="AI229" i="23"/>
  <c r="T249" i="23" s="1"/>
  <c r="AA229" i="23"/>
  <c r="L249" i="23" s="1"/>
  <c r="S229" i="23"/>
  <c r="D249" i="23" s="1"/>
  <c r="Z229" i="23"/>
  <c r="K249" i="23" s="1"/>
  <c r="AL229" i="23"/>
  <c r="W249" i="23" s="1"/>
  <c r="Y230" i="23"/>
  <c r="J250" i="23" s="1"/>
  <c r="X231" i="23"/>
  <c r="I251" i="23" s="1"/>
  <c r="S233" i="23"/>
  <c r="D253" i="23" s="1"/>
  <c r="AC233" i="23"/>
  <c r="N253" i="23" s="1"/>
  <c r="AM234" i="23"/>
  <c r="X254" i="23" s="1"/>
  <c r="AE234" i="23"/>
  <c r="P254" i="23" s="1"/>
  <c r="W234" i="23"/>
  <c r="H254" i="23" s="1"/>
  <c r="AL234" i="23"/>
  <c r="W254" i="23" s="1"/>
  <c r="AD234" i="23"/>
  <c r="O254" i="23" s="1"/>
  <c r="V234" i="23"/>
  <c r="G254" i="23" s="1"/>
  <c r="Z234" i="23"/>
  <c r="K254" i="23" s="1"/>
  <c r="AJ234" i="23"/>
  <c r="U254" i="23" s="1"/>
  <c r="W236" i="23"/>
  <c r="H256" i="23" s="1"/>
  <c r="AG236" i="23"/>
  <c r="R256" i="23" s="1"/>
  <c r="AQ236" i="23"/>
  <c r="AB256" i="23" s="1"/>
  <c r="R237" i="23"/>
  <c r="C257" i="23" s="1"/>
  <c r="AD237" i="23"/>
  <c r="O257" i="23" s="1"/>
  <c r="AN237" i="23"/>
  <c r="Y257" i="23" s="1"/>
  <c r="AR238" i="23"/>
  <c r="AC258" i="23" s="1"/>
  <c r="AJ238" i="23"/>
  <c r="U258" i="23" s="1"/>
  <c r="AB238" i="23"/>
  <c r="M258" i="23" s="1"/>
  <c r="T238" i="23"/>
  <c r="E258" i="23" s="1"/>
  <c r="AQ238" i="23"/>
  <c r="AB258" i="23" s="1"/>
  <c r="AI238" i="23"/>
  <c r="T258" i="23" s="1"/>
  <c r="AA238" i="23"/>
  <c r="L258" i="23" s="1"/>
  <c r="S238" i="23"/>
  <c r="D258" i="23" s="1"/>
  <c r="Z238" i="23"/>
  <c r="K258" i="23" s="1"/>
  <c r="AL238" i="23"/>
  <c r="W258" i="23" s="1"/>
  <c r="Y239" i="23"/>
  <c r="AA240" i="23"/>
  <c r="V241" i="23"/>
  <c r="G261" i="23" s="1"/>
  <c r="A292" i="23"/>
  <c r="A280" i="23"/>
  <c r="W225" i="23"/>
  <c r="H245" i="23" s="1"/>
  <c r="AE225" i="23"/>
  <c r="P245" i="23" s="1"/>
  <c r="AM225" i="23"/>
  <c r="X245" i="23" s="1"/>
  <c r="X232" i="23"/>
  <c r="I252" i="23" s="1"/>
  <c r="AF232" i="23"/>
  <c r="Q252" i="23" s="1"/>
  <c r="AN232" i="23"/>
  <c r="Y252" i="23" s="1"/>
  <c r="W233" i="23"/>
  <c r="H253" i="23" s="1"/>
  <c r="AE233" i="23"/>
  <c r="P253" i="23" s="1"/>
  <c r="AM233" i="23"/>
  <c r="X253" i="23" s="1"/>
  <c r="AQ241" i="23"/>
  <c r="AB261" i="23" s="1"/>
  <c r="AI241" i="23"/>
  <c r="T261" i="23" s="1"/>
  <c r="AA241" i="23"/>
  <c r="L261" i="23" s="1"/>
  <c r="S241" i="23"/>
  <c r="D261" i="23" s="1"/>
  <c r="AO241" i="23"/>
  <c r="Z261" i="23" s="1"/>
  <c r="AG241" i="23"/>
  <c r="R261" i="23" s="1"/>
  <c r="Y241" i="23"/>
  <c r="J261" i="23" s="1"/>
  <c r="Q241" i="23"/>
  <c r="B261" i="23" s="1"/>
  <c r="AB241" i="23"/>
  <c r="M261" i="23" s="1"/>
  <c r="AL241" i="23"/>
  <c r="W261" i="23" s="1"/>
  <c r="A294" i="23"/>
  <c r="A282" i="23"/>
  <c r="X334" i="23"/>
  <c r="I354" i="23" s="1"/>
  <c r="AL334" i="23"/>
  <c r="W354" i="23" s="1"/>
  <c r="Q335" i="23"/>
  <c r="B355" i="23" s="1"/>
  <c r="AK335" i="23"/>
  <c r="V355" i="23" s="1"/>
  <c r="AE338" i="23"/>
  <c r="P358" i="23" s="1"/>
  <c r="AN340" i="23"/>
  <c r="Y360" i="23" s="1"/>
  <c r="AE342" i="23"/>
  <c r="P362" i="23" s="1"/>
  <c r="AR343" i="23"/>
  <c r="AC363" i="23" s="1"/>
  <c r="Z345" i="23"/>
  <c r="K365" i="23" s="1"/>
  <c r="AE347" i="23"/>
  <c r="P367" i="23" s="1"/>
  <c r="AP349" i="23"/>
  <c r="A400" i="23"/>
  <c r="A388" i="23"/>
  <c r="X225" i="23"/>
  <c r="I245" i="23" s="1"/>
  <c r="AF225" i="23"/>
  <c r="Q245" i="23" s="1"/>
  <c r="Q232" i="23"/>
  <c r="B252" i="23" s="1"/>
  <c r="Y232" i="23"/>
  <c r="J252" i="23" s="1"/>
  <c r="AG232" i="23"/>
  <c r="R252" i="23" s="1"/>
  <c r="X233" i="23"/>
  <c r="I253" i="23" s="1"/>
  <c r="AF233" i="23"/>
  <c r="Q253" i="23" s="1"/>
  <c r="R241" i="23"/>
  <c r="C261" i="23" s="1"/>
  <c r="AC241" i="23"/>
  <c r="N261" i="23" s="1"/>
  <c r="AM241" i="23"/>
  <c r="X261" i="23" s="1"/>
  <c r="Y334" i="23"/>
  <c r="J354" i="23" s="1"/>
  <c r="V335" i="23"/>
  <c r="G355" i="23" s="1"/>
  <c r="AL335" i="23"/>
  <c r="W355" i="23" s="1"/>
  <c r="AP337" i="23"/>
  <c r="AA357" i="23" s="1"/>
  <c r="AH337" i="23"/>
  <c r="S357" i="23" s="1"/>
  <c r="Z337" i="23"/>
  <c r="K357" i="23" s="1"/>
  <c r="R337" i="23"/>
  <c r="C357" i="23" s="1"/>
  <c r="AL337" i="23"/>
  <c r="W357" i="23" s="1"/>
  <c r="AD337" i="23"/>
  <c r="O357" i="23" s="1"/>
  <c r="V337" i="23"/>
  <c r="G357" i="23" s="1"/>
  <c r="AJ337" i="23"/>
  <c r="U357" i="23" s="1"/>
  <c r="Y337" i="23"/>
  <c r="J357" i="23" s="1"/>
  <c r="AI337" i="23"/>
  <c r="T357" i="23" s="1"/>
  <c r="X337" i="23"/>
  <c r="I357" i="23" s="1"/>
  <c r="AR337" i="23"/>
  <c r="AC357" i="23" s="1"/>
  <c r="AE337" i="23"/>
  <c r="P357" i="23" s="1"/>
  <c r="Q337" i="23"/>
  <c r="B357" i="23" s="1"/>
  <c r="AO337" i="23"/>
  <c r="Z357" i="23" s="1"/>
  <c r="AB337" i="23"/>
  <c r="M357" i="23" s="1"/>
  <c r="AG337" i="23"/>
  <c r="R357" i="23" s="1"/>
  <c r="R340" i="23"/>
  <c r="C360" i="23" s="1"/>
  <c r="AF342" i="23"/>
  <c r="Q362" i="23" s="1"/>
  <c r="W343" i="23"/>
  <c r="H363" i="23" s="1"/>
  <c r="AQ346" i="23"/>
  <c r="AB366" i="23" s="1"/>
  <c r="AI346" i="23"/>
  <c r="T366" i="23" s="1"/>
  <c r="AA346" i="23"/>
  <c r="L366" i="23" s="1"/>
  <c r="S346" i="23"/>
  <c r="D366" i="23" s="1"/>
  <c r="AP346" i="23"/>
  <c r="AA366" i="23" s="1"/>
  <c r="AH346" i="23"/>
  <c r="S366" i="23" s="1"/>
  <c r="Z346" i="23"/>
  <c r="K366" i="23" s="1"/>
  <c r="R346" i="23"/>
  <c r="C366" i="23" s="1"/>
  <c r="AM346" i="23"/>
  <c r="X366" i="23" s="1"/>
  <c r="AE346" i="23"/>
  <c r="P366" i="23" s="1"/>
  <c r="W346" i="23"/>
  <c r="H366" i="23" s="1"/>
  <c r="AL346" i="23"/>
  <c r="W366" i="23" s="1"/>
  <c r="AD346" i="23"/>
  <c r="O366" i="23" s="1"/>
  <c r="V346" i="23"/>
  <c r="G366" i="23" s="1"/>
  <c r="AO346" i="23"/>
  <c r="Z366" i="23" s="1"/>
  <c r="Y346" i="23"/>
  <c r="J366" i="23" s="1"/>
  <c r="AN346" i="23"/>
  <c r="Y366" i="23" s="1"/>
  <c r="X346" i="23"/>
  <c r="I366" i="23" s="1"/>
  <c r="U346" i="23"/>
  <c r="F366" i="23" s="1"/>
  <c r="AK346" i="23"/>
  <c r="V366" i="23" s="1"/>
  <c r="Q346" i="23"/>
  <c r="B366" i="23" s="1"/>
  <c r="AF347" i="23"/>
  <c r="Q367" i="23" s="1"/>
  <c r="AN349" i="23"/>
  <c r="Z334" i="23"/>
  <c r="K354" i="23" s="1"/>
  <c r="AP334" i="23"/>
  <c r="AA354" i="23" s="1"/>
  <c r="AP338" i="23"/>
  <c r="AA358" i="23" s="1"/>
  <c r="AH338" i="23"/>
  <c r="S358" i="23" s="1"/>
  <c r="AO338" i="23"/>
  <c r="Z358" i="23" s="1"/>
  <c r="AG338" i="23"/>
  <c r="R358" i="23" s="1"/>
  <c r="Y338" i="23"/>
  <c r="J358" i="23" s="1"/>
  <c r="Q338" i="23"/>
  <c r="B358" i="23" s="1"/>
  <c r="AL338" i="23"/>
  <c r="W358" i="23" s="1"/>
  <c r="AD338" i="23"/>
  <c r="O358" i="23" s="1"/>
  <c r="AK338" i="23"/>
  <c r="V358" i="23" s="1"/>
  <c r="AC338" i="23"/>
  <c r="N358" i="23" s="1"/>
  <c r="U338" i="23"/>
  <c r="F358" i="23" s="1"/>
  <c r="AJ338" i="23"/>
  <c r="U358" i="23" s="1"/>
  <c r="W338" i="23"/>
  <c r="H358" i="23" s="1"/>
  <c r="AI338" i="23"/>
  <c r="T358" i="23" s="1"/>
  <c r="V338" i="23"/>
  <c r="G358" i="23" s="1"/>
  <c r="AN338" i="23"/>
  <c r="Y358" i="23" s="1"/>
  <c r="T338" i="23"/>
  <c r="E358" i="23" s="1"/>
  <c r="AF338" i="23"/>
  <c r="Q358" i="23" s="1"/>
  <c r="R338" i="23"/>
  <c r="C358" i="23" s="1"/>
  <c r="AQ338" i="23"/>
  <c r="AB358" i="23" s="1"/>
  <c r="AD345" i="23"/>
  <c r="O365" i="23" s="1"/>
  <c r="AC345" i="23"/>
  <c r="N365" i="23" s="1"/>
  <c r="AP345" i="23"/>
  <c r="AA365" i="23" s="1"/>
  <c r="V345" i="23"/>
  <c r="G365" i="23" s="1"/>
  <c r="AL345" i="23"/>
  <c r="W365" i="23" s="1"/>
  <c r="R345" i="23"/>
  <c r="C365" i="23" s="1"/>
  <c r="AH345" i="23"/>
  <c r="S365" i="23" s="1"/>
  <c r="AD334" i="23"/>
  <c r="O354" i="23" s="1"/>
  <c r="Y335" i="23"/>
  <c r="J355" i="23" s="1"/>
  <c r="AQ335" i="23"/>
  <c r="AB355" i="23" s="1"/>
  <c r="S338" i="23"/>
  <c r="D358" i="23" s="1"/>
  <c r="AR338" i="23"/>
  <c r="AC358" i="23" s="1"/>
  <c r="Z340" i="23"/>
  <c r="K360" i="23" s="1"/>
  <c r="AD343" i="23"/>
  <c r="O363" i="23" s="1"/>
  <c r="AK345" i="23"/>
  <c r="V365" i="23" s="1"/>
  <c r="AN347" i="23"/>
  <c r="Y367" i="23" s="1"/>
  <c r="R349" i="23"/>
  <c r="AR334" i="23"/>
  <c r="AC354" i="23" s="1"/>
  <c r="AJ334" i="23"/>
  <c r="U354" i="23" s="1"/>
  <c r="AB334" i="23"/>
  <c r="M354" i="23" s="1"/>
  <c r="T334" i="23"/>
  <c r="E354" i="23" s="1"/>
  <c r="AQ334" i="23"/>
  <c r="AB354" i="23" s="1"/>
  <c r="AI334" i="23"/>
  <c r="T354" i="23" s="1"/>
  <c r="AA334" i="23"/>
  <c r="L354" i="23" s="1"/>
  <c r="S334" i="23"/>
  <c r="D354" i="23" s="1"/>
  <c r="AO334" i="23"/>
  <c r="Z354" i="23" s="1"/>
  <c r="AE334" i="23"/>
  <c r="P354" i="23" s="1"/>
  <c r="U334" i="23"/>
  <c r="F354" i="23" s="1"/>
  <c r="AM334" i="23"/>
  <c r="X354" i="23" s="1"/>
  <c r="AC334" i="23"/>
  <c r="N354" i="23" s="1"/>
  <c r="Q334" i="23"/>
  <c r="B354" i="23" s="1"/>
  <c r="AF334" i="23"/>
  <c r="Q354" i="23" s="1"/>
  <c r="X338" i="23"/>
  <c r="I358" i="23" s="1"/>
  <c r="AE343" i="23"/>
  <c r="P363" i="23" s="1"/>
  <c r="AO345" i="23"/>
  <c r="Z365" i="23" s="1"/>
  <c r="Z349" i="23"/>
  <c r="R334" i="23"/>
  <c r="C354" i="23" s="1"/>
  <c r="AG334" i="23"/>
  <c r="R354" i="23" s="1"/>
  <c r="AO335" i="23"/>
  <c r="Z355" i="23" s="1"/>
  <c r="AD335" i="23"/>
  <c r="O355" i="23" s="1"/>
  <c r="S335" i="23"/>
  <c r="D355" i="23" s="1"/>
  <c r="AM335" i="23"/>
  <c r="X355" i="23" s="1"/>
  <c r="AC335" i="23"/>
  <c r="N355" i="23" s="1"/>
  <c r="R335" i="23"/>
  <c r="C355" i="23" s="1"/>
  <c r="AH335" i="23"/>
  <c r="S355" i="23" s="1"/>
  <c r="U335" i="23"/>
  <c r="F355" i="23" s="1"/>
  <c r="AE335" i="23"/>
  <c r="P355" i="23" s="1"/>
  <c r="AA335" i="23"/>
  <c r="L355" i="23" s="1"/>
  <c r="Z338" i="23"/>
  <c r="K358" i="23" s="1"/>
  <c r="Q345" i="23"/>
  <c r="B365" i="23" s="1"/>
  <c r="AP347" i="23"/>
  <c r="AA367" i="23" s="1"/>
  <c r="AH347" i="23"/>
  <c r="S367" i="23" s="1"/>
  <c r="Z347" i="23"/>
  <c r="K367" i="23" s="1"/>
  <c r="R347" i="23"/>
  <c r="C367" i="23" s="1"/>
  <c r="AO347" i="23"/>
  <c r="Z367" i="23" s="1"/>
  <c r="AG347" i="23"/>
  <c r="R367" i="23" s="1"/>
  <c r="Y347" i="23"/>
  <c r="J367" i="23" s="1"/>
  <c r="Q347" i="23"/>
  <c r="B367" i="23" s="1"/>
  <c r="AL347" i="23"/>
  <c r="W367" i="23" s="1"/>
  <c r="AD347" i="23"/>
  <c r="O367" i="23" s="1"/>
  <c r="V347" i="23"/>
  <c r="G367" i="23" s="1"/>
  <c r="AK347" i="23"/>
  <c r="V367" i="23" s="1"/>
  <c r="AC347" i="23"/>
  <c r="N367" i="23" s="1"/>
  <c r="U347" i="23"/>
  <c r="F367" i="23" s="1"/>
  <c r="AJ347" i="23"/>
  <c r="U367" i="23" s="1"/>
  <c r="T347" i="23"/>
  <c r="E367" i="23" s="1"/>
  <c r="AI347" i="23"/>
  <c r="T367" i="23" s="1"/>
  <c r="S347" i="23"/>
  <c r="D367" i="23" s="1"/>
  <c r="AB347" i="23"/>
  <c r="M367" i="23" s="1"/>
  <c r="AR347" i="23"/>
  <c r="AC367" i="23" s="1"/>
  <c r="X347" i="23"/>
  <c r="I367" i="23" s="1"/>
  <c r="V334" i="23"/>
  <c r="G354" i="23" s="1"/>
  <c r="AG335" i="23"/>
  <c r="R355" i="23" s="1"/>
  <c r="AA338" i="23"/>
  <c r="L358" i="23" s="1"/>
  <c r="AL340" i="23"/>
  <c r="W360" i="23" s="1"/>
  <c r="V340" i="23"/>
  <c r="G360" i="23" s="1"/>
  <c r="AK340" i="23"/>
  <c r="V360" i="23" s="1"/>
  <c r="U340" i="23"/>
  <c r="F360" i="23" s="1"/>
  <c r="AO340" i="23"/>
  <c r="Z360" i="23" s="1"/>
  <c r="Q340" i="23"/>
  <c r="B360" i="23" s="1"/>
  <c r="AG340" i="23"/>
  <c r="R360" i="23" s="1"/>
  <c r="AH340" i="23"/>
  <c r="S360" i="23" s="1"/>
  <c r="AK343" i="23"/>
  <c r="V363" i="23" s="1"/>
  <c r="AC343" i="23"/>
  <c r="N363" i="23" s="1"/>
  <c r="U343" i="23"/>
  <c r="F363" i="23" s="1"/>
  <c r="AO343" i="23"/>
  <c r="Z363" i="23" s="1"/>
  <c r="AG343" i="23"/>
  <c r="R363" i="23" s="1"/>
  <c r="Y343" i="23"/>
  <c r="J363" i="23" s="1"/>
  <c r="Q343" i="23"/>
  <c r="B363" i="23" s="1"/>
  <c r="AL343" i="23"/>
  <c r="W363" i="23" s="1"/>
  <c r="V343" i="23"/>
  <c r="G363" i="23" s="1"/>
  <c r="AI343" i="23"/>
  <c r="T363" i="23" s="1"/>
  <c r="S343" i="23"/>
  <c r="D363" i="23" s="1"/>
  <c r="Z343" i="23"/>
  <c r="K363" i="23" s="1"/>
  <c r="AP343" i="23"/>
  <c r="AA363" i="23" s="1"/>
  <c r="R343" i="23"/>
  <c r="C363" i="23" s="1"/>
  <c r="AM343" i="23"/>
  <c r="X363" i="23" s="1"/>
  <c r="U345" i="23"/>
  <c r="F365" i="23" s="1"/>
  <c r="W347" i="23"/>
  <c r="H367" i="23" s="1"/>
  <c r="W334" i="23"/>
  <c r="H354" i="23" s="1"/>
  <c r="AK334" i="23"/>
  <c r="V354" i="23" s="1"/>
  <c r="AI335" i="23"/>
  <c r="T355" i="23" s="1"/>
  <c r="AB338" i="23"/>
  <c r="M358" i="23" s="1"/>
  <c r="AQ343" i="23"/>
  <c r="AB363" i="23" s="1"/>
  <c r="Y345" i="23"/>
  <c r="J365" i="23" s="1"/>
  <c r="AA347" i="23"/>
  <c r="L367" i="23" s="1"/>
  <c r="AL349" i="23"/>
  <c r="V349" i="23"/>
  <c r="AK349" i="23"/>
  <c r="U349" i="23"/>
  <c r="AG349" i="23"/>
  <c r="AC349" i="23"/>
  <c r="Y349" i="23"/>
  <c r="AO349" i="23"/>
  <c r="AR335" i="23"/>
  <c r="AC355" i="23" s="1"/>
  <c r="V336" i="23"/>
  <c r="G356" i="23" s="1"/>
  <c r="AJ336" i="23"/>
  <c r="U356" i="23" s="1"/>
  <c r="AL342" i="23"/>
  <c r="W362" i="23" s="1"/>
  <c r="AD342" i="23"/>
  <c r="O362" i="23" s="1"/>
  <c r="V342" i="23"/>
  <c r="G362" i="23" s="1"/>
  <c r="AK342" i="23"/>
  <c r="V362" i="23" s="1"/>
  <c r="AC342" i="23"/>
  <c r="N362" i="23" s="1"/>
  <c r="U342" i="23"/>
  <c r="F362" i="23" s="1"/>
  <c r="AP342" i="23"/>
  <c r="AA362" i="23" s="1"/>
  <c r="AH342" i="23"/>
  <c r="S362" i="23" s="1"/>
  <c r="Z342" i="23"/>
  <c r="K362" i="23" s="1"/>
  <c r="R342" i="23"/>
  <c r="C362" i="23" s="1"/>
  <c r="AO342" i="23"/>
  <c r="Z362" i="23" s="1"/>
  <c r="AG342" i="23"/>
  <c r="R362" i="23" s="1"/>
  <c r="Y342" i="23"/>
  <c r="J362" i="23" s="1"/>
  <c r="Q342" i="23"/>
  <c r="B362" i="23" s="1"/>
  <c r="AR342" i="23"/>
  <c r="AC362" i="23" s="1"/>
  <c r="AB342" i="23"/>
  <c r="M362" i="23" s="1"/>
  <c r="AQ342" i="23"/>
  <c r="AB362" i="23" s="1"/>
  <c r="AA342" i="23"/>
  <c r="L362" i="23" s="1"/>
  <c r="AJ342" i="23"/>
  <c r="U362" i="23" s="1"/>
  <c r="A397" i="23"/>
  <c r="A385" i="23"/>
  <c r="Y336" i="23"/>
  <c r="J356" i="23" s="1"/>
  <c r="T342" i="23"/>
  <c r="E362" i="23" s="1"/>
  <c r="AN342" i="23"/>
  <c r="Y362" i="23" s="1"/>
  <c r="AQ336" i="23"/>
  <c r="AB356" i="23" s="1"/>
  <c r="AI336" i="23"/>
  <c r="T356" i="23" s="1"/>
  <c r="AA336" i="23"/>
  <c r="L356" i="23" s="1"/>
  <c r="S336" i="23"/>
  <c r="D356" i="23" s="1"/>
  <c r="AM336" i="23"/>
  <c r="X356" i="23" s="1"/>
  <c r="AE336" i="23"/>
  <c r="P356" i="23" s="1"/>
  <c r="W336" i="23"/>
  <c r="H356" i="23" s="1"/>
  <c r="Z336" i="23"/>
  <c r="K356" i="23" s="1"/>
  <c r="AK336" i="23"/>
  <c r="V356" i="23" s="1"/>
  <c r="AO339" i="23"/>
  <c r="Z359" i="23" s="1"/>
  <c r="AG339" i="23"/>
  <c r="R359" i="23" s="1"/>
  <c r="Y339" i="23"/>
  <c r="J359" i="23" s="1"/>
  <c r="Q339" i="23"/>
  <c r="B359" i="23" s="1"/>
  <c r="AK339" i="23"/>
  <c r="V359" i="23" s="1"/>
  <c r="AC339" i="23"/>
  <c r="N359" i="23" s="1"/>
  <c r="U339" i="23"/>
  <c r="F359" i="23" s="1"/>
  <c r="AA339" i="23"/>
  <c r="L359" i="23" s="1"/>
  <c r="AQ339" i="23"/>
  <c r="AB359" i="23" s="1"/>
  <c r="AM341" i="23"/>
  <c r="X361" i="23" s="1"/>
  <c r="AE341" i="23"/>
  <c r="P361" i="23" s="1"/>
  <c r="W341" i="23"/>
  <c r="H361" i="23" s="1"/>
  <c r="AL341" i="23"/>
  <c r="W361" i="23" s="1"/>
  <c r="AD341" i="23"/>
  <c r="O361" i="23" s="1"/>
  <c r="V341" i="23"/>
  <c r="G361" i="23" s="1"/>
  <c r="AQ341" i="23"/>
  <c r="AB361" i="23" s="1"/>
  <c r="AI341" i="23"/>
  <c r="T361" i="23" s="1"/>
  <c r="AA341" i="23"/>
  <c r="L361" i="23" s="1"/>
  <c r="S341" i="23"/>
  <c r="D361" i="23" s="1"/>
  <c r="AP341" i="23"/>
  <c r="AA361" i="23" s="1"/>
  <c r="AH341" i="23"/>
  <c r="S361" i="23" s="1"/>
  <c r="Z341" i="23"/>
  <c r="K361" i="23" s="1"/>
  <c r="R341" i="23"/>
  <c r="C361" i="23" s="1"/>
  <c r="AF341" i="23"/>
  <c r="Q361" i="23" s="1"/>
  <c r="AO348" i="23"/>
  <c r="AG348" i="23"/>
  <c r="Y348" i="23"/>
  <c r="Q348" i="23"/>
  <c r="AK348" i="23"/>
  <c r="AC348" i="23"/>
  <c r="U348" i="23"/>
  <c r="AA348" i="23"/>
  <c r="AQ348" i="23"/>
  <c r="AM350" i="23"/>
  <c r="X370" i="23" s="1"/>
  <c r="AE350" i="23"/>
  <c r="P370" i="23" s="1"/>
  <c r="W350" i="23"/>
  <c r="H370" i="23" s="1"/>
  <c r="AL350" i="23"/>
  <c r="W370" i="23" s="1"/>
  <c r="AD350" i="23"/>
  <c r="O370" i="23" s="1"/>
  <c r="V350" i="23"/>
  <c r="G370" i="23" s="1"/>
  <c r="AQ350" i="23"/>
  <c r="AB370" i="23" s="1"/>
  <c r="AI350" i="23"/>
  <c r="T370" i="23" s="1"/>
  <c r="AA350" i="23"/>
  <c r="L370" i="23" s="1"/>
  <c r="S350" i="23"/>
  <c r="D370" i="23" s="1"/>
  <c r="AP350" i="23"/>
  <c r="AA370" i="23" s="1"/>
  <c r="AH350" i="23"/>
  <c r="S370" i="23" s="1"/>
  <c r="Z350" i="23"/>
  <c r="K370" i="23" s="1"/>
  <c r="R350" i="23"/>
  <c r="C370" i="23" s="1"/>
  <c r="AF350" i="23"/>
  <c r="Q370" i="23" s="1"/>
  <c r="Q336" i="23"/>
  <c r="B356" i="23" s="1"/>
  <c r="AB336" i="23"/>
  <c r="M356" i="23" s="1"/>
  <c r="AL336" i="23"/>
  <c r="W356" i="23" s="1"/>
  <c r="AD339" i="23"/>
  <c r="O359" i="23" s="1"/>
  <c r="Q341" i="23"/>
  <c r="B361" i="23" s="1"/>
  <c r="AG341" i="23"/>
  <c r="R361" i="23" s="1"/>
  <c r="AR345" i="23"/>
  <c r="AC365" i="23" s="1"/>
  <c r="AD348" i="23"/>
  <c r="Q350" i="23"/>
  <c r="B370" i="23" s="1"/>
  <c r="AG350" i="23"/>
  <c r="R370" i="23" s="1"/>
  <c r="A403" i="23"/>
  <c r="A391" i="23"/>
  <c r="X335" i="23"/>
  <c r="I355" i="23" s="1"/>
  <c r="AF335" i="23"/>
  <c r="Q355" i="23" s="1"/>
  <c r="AN335" i="23"/>
  <c r="Y355" i="23" s="1"/>
  <c r="T339" i="23"/>
  <c r="E359" i="23" s="1"/>
  <c r="AB339" i="23"/>
  <c r="M359" i="23" s="1"/>
  <c r="AJ339" i="23"/>
  <c r="U359" i="23" s="1"/>
  <c r="AR339" i="23"/>
  <c r="AC359" i="23" s="1"/>
  <c r="S340" i="23"/>
  <c r="D360" i="23" s="1"/>
  <c r="AA340" i="23"/>
  <c r="L360" i="23" s="1"/>
  <c r="AI340" i="23"/>
  <c r="T360" i="23" s="1"/>
  <c r="AQ340" i="23"/>
  <c r="AB360" i="23" s="1"/>
  <c r="X343" i="23"/>
  <c r="I363" i="23" s="1"/>
  <c r="AF343" i="23"/>
  <c r="Q363" i="23" s="1"/>
  <c r="AN343" i="23"/>
  <c r="Y363" i="23" s="1"/>
  <c r="W345" i="23"/>
  <c r="H365" i="23" s="1"/>
  <c r="AE345" i="23"/>
  <c r="P365" i="23" s="1"/>
  <c r="AM345" i="23"/>
  <c r="X365" i="23" s="1"/>
  <c r="T348" i="23"/>
  <c r="AB348" i="23"/>
  <c r="AJ348" i="23"/>
  <c r="AR348" i="23"/>
  <c r="S349" i="23"/>
  <c r="AA349" i="23"/>
  <c r="AI349" i="23"/>
  <c r="AQ349" i="23"/>
  <c r="AM444" i="23"/>
  <c r="X464" i="23" s="1"/>
  <c r="AB444" i="23"/>
  <c r="M464" i="23" s="1"/>
  <c r="R444" i="23"/>
  <c r="C464" i="23" s="1"/>
  <c r="AJ444" i="23"/>
  <c r="U464" i="23" s="1"/>
  <c r="V444" i="23"/>
  <c r="G464" i="23" s="1"/>
  <c r="AI444" i="23"/>
  <c r="T464" i="23" s="1"/>
  <c r="T444" i="23"/>
  <c r="E464" i="23" s="1"/>
  <c r="AG444" i="23"/>
  <c r="R464" i="23" s="1"/>
  <c r="S444" i="23"/>
  <c r="D464" i="23" s="1"/>
  <c r="AQ444" i="23"/>
  <c r="AB464" i="23" s="1"/>
  <c r="AD444" i="23"/>
  <c r="O464" i="23" s="1"/>
  <c r="AO444" i="23"/>
  <c r="Z464" i="23" s="1"/>
  <c r="Z444" i="23"/>
  <c r="K464" i="23" s="1"/>
  <c r="U446" i="23"/>
  <c r="F466" i="23" s="1"/>
  <c r="AQ450" i="23"/>
  <c r="AB470" i="23" s="1"/>
  <c r="AE450" i="23"/>
  <c r="P470" i="23" s="1"/>
  <c r="U450" i="23"/>
  <c r="F470" i="23" s="1"/>
  <c r="AK450" i="23"/>
  <c r="V470" i="23" s="1"/>
  <c r="Z450" i="23"/>
  <c r="K470" i="23" s="1"/>
  <c r="AL450" i="23"/>
  <c r="W470" i="23" s="1"/>
  <c r="W450" i="23"/>
  <c r="H470" i="23" s="1"/>
  <c r="AJ450" i="23"/>
  <c r="U470" i="23" s="1"/>
  <c r="V450" i="23"/>
  <c r="G470" i="23" s="1"/>
  <c r="AH450" i="23"/>
  <c r="S470" i="23" s="1"/>
  <c r="T450" i="23"/>
  <c r="E470" i="23" s="1"/>
  <c r="AD450" i="23"/>
  <c r="O470" i="23" s="1"/>
  <c r="Q450" i="23"/>
  <c r="B470" i="23" s="1"/>
  <c r="AP450" i="23"/>
  <c r="AA470" i="23" s="1"/>
  <c r="AB450" i="23"/>
  <c r="M470" i="23" s="1"/>
  <c r="AL451" i="23"/>
  <c r="W471" i="23" s="1"/>
  <c r="T340" i="23"/>
  <c r="E360" i="23" s="1"/>
  <c r="AB340" i="23"/>
  <c r="M360" i="23" s="1"/>
  <c r="AJ340" i="23"/>
  <c r="U360" i="23" s="1"/>
  <c r="AR340" i="23"/>
  <c r="AC360" i="23" s="1"/>
  <c r="X345" i="23"/>
  <c r="I365" i="23" s="1"/>
  <c r="AF345" i="23"/>
  <c r="Q365" i="23" s="1"/>
  <c r="AN345" i="23"/>
  <c r="Y365" i="23" s="1"/>
  <c r="T349" i="23"/>
  <c r="AB349" i="23"/>
  <c r="AJ349" i="23"/>
  <c r="AR349" i="23"/>
  <c r="Y446" i="23"/>
  <c r="J466" i="23" s="1"/>
  <c r="AC446" i="23"/>
  <c r="N466" i="23" s="1"/>
  <c r="Q451" i="23"/>
  <c r="B471" i="23" s="1"/>
  <c r="AP451" i="23"/>
  <c r="AA471" i="23" s="1"/>
  <c r="AD451" i="23"/>
  <c r="O471" i="23" s="1"/>
  <c r="T451" i="23"/>
  <c r="E471" i="23" s="1"/>
  <c r="AK451" i="23"/>
  <c r="V471" i="23" s="1"/>
  <c r="AA451" i="23"/>
  <c r="L471" i="23" s="1"/>
  <c r="AI451" i="23"/>
  <c r="T471" i="23" s="1"/>
  <c r="U451" i="23"/>
  <c r="F471" i="23" s="1"/>
  <c r="AQ451" i="23"/>
  <c r="AB471" i="23" s="1"/>
  <c r="AB451" i="23"/>
  <c r="M471" i="23" s="1"/>
  <c r="AJ451" i="23"/>
  <c r="U471" i="23" s="1"/>
  <c r="R451" i="23"/>
  <c r="C471" i="23" s="1"/>
  <c r="AH451" i="23"/>
  <c r="S471" i="23" s="1"/>
  <c r="AE451" i="23"/>
  <c r="P471" i="23" s="1"/>
  <c r="Z451" i="23"/>
  <c r="K471" i="23" s="1"/>
  <c r="AM451" i="23"/>
  <c r="X471" i="23" s="1"/>
  <c r="V451" i="23"/>
  <c r="G471" i="23" s="1"/>
  <c r="A387" i="23"/>
  <c r="T335" i="23"/>
  <c r="E355" i="23" s="1"/>
  <c r="AB335" i="23"/>
  <c r="M355" i="23" s="1"/>
  <c r="AJ335" i="23"/>
  <c r="U355" i="23" s="1"/>
  <c r="X339" i="23"/>
  <c r="I359" i="23" s="1"/>
  <c r="AF339" i="23"/>
  <c r="Q359" i="23" s="1"/>
  <c r="W340" i="23"/>
  <c r="H360" i="23" s="1"/>
  <c r="AE340" i="23"/>
  <c r="P360" i="23" s="1"/>
  <c r="AM340" i="23"/>
  <c r="X360" i="23" s="1"/>
  <c r="T343" i="23"/>
  <c r="E363" i="23" s="1"/>
  <c r="AB343" i="23"/>
  <c r="M363" i="23" s="1"/>
  <c r="AJ343" i="23"/>
  <c r="U363" i="23" s="1"/>
  <c r="S345" i="23"/>
  <c r="D365" i="23" s="1"/>
  <c r="AA345" i="23"/>
  <c r="L365" i="23" s="1"/>
  <c r="AI345" i="23"/>
  <c r="T365" i="23" s="1"/>
  <c r="AQ345" i="23"/>
  <c r="AB365" i="23" s="1"/>
  <c r="X348" i="23"/>
  <c r="AF348" i="23"/>
  <c r="W349" i="23"/>
  <c r="AE349" i="23"/>
  <c r="AM349" i="23"/>
  <c r="A389" i="23"/>
  <c r="AR440" i="23"/>
  <c r="AC460" i="23" s="1"/>
  <c r="AJ440" i="23"/>
  <c r="U460" i="23" s="1"/>
  <c r="AB440" i="23"/>
  <c r="M460" i="23" s="1"/>
  <c r="T440" i="23"/>
  <c r="E460" i="23" s="1"/>
  <c r="AO440" i="23"/>
  <c r="Z460" i="23" s="1"/>
  <c r="AG440" i="23"/>
  <c r="R460" i="23" s="1"/>
  <c r="Y440" i="23"/>
  <c r="J460" i="23" s="1"/>
  <c r="Q440" i="23"/>
  <c r="B460" i="23" s="1"/>
  <c r="AH440" i="23"/>
  <c r="S460" i="23" s="1"/>
  <c r="W440" i="23"/>
  <c r="H460" i="23" s="1"/>
  <c r="AM440" i="23"/>
  <c r="X460" i="23" s="1"/>
  <c r="AC440" i="23"/>
  <c r="N460" i="23" s="1"/>
  <c r="R440" i="23"/>
  <c r="C460" i="23" s="1"/>
  <c r="AQ440" i="23"/>
  <c r="AB460" i="23" s="1"/>
  <c r="AD440" i="23"/>
  <c r="O460" i="23" s="1"/>
  <c r="AP440" i="23"/>
  <c r="AA460" i="23" s="1"/>
  <c r="AA440" i="23"/>
  <c r="L460" i="23" s="1"/>
  <c r="AN440" i="23"/>
  <c r="Y460" i="23" s="1"/>
  <c r="Z440" i="23"/>
  <c r="K460" i="23" s="1"/>
  <c r="AK440" i="23"/>
  <c r="V460" i="23" s="1"/>
  <c r="V440" i="23"/>
  <c r="G460" i="23" s="1"/>
  <c r="AF440" i="23"/>
  <c r="Q460" i="23" s="1"/>
  <c r="S440" i="23"/>
  <c r="D460" i="23" s="1"/>
  <c r="AP441" i="23"/>
  <c r="AA461" i="23" s="1"/>
  <c r="AE441" i="23"/>
  <c r="P461" i="23" s="1"/>
  <c r="U441" i="23"/>
  <c r="F461" i="23" s="1"/>
  <c r="AK441" i="23"/>
  <c r="V461" i="23" s="1"/>
  <c r="Z441" i="23"/>
  <c r="K461" i="23" s="1"/>
  <c r="AH441" i="23"/>
  <c r="S461" i="23" s="1"/>
  <c r="T441" i="23"/>
  <c r="E461" i="23" s="1"/>
  <c r="AG441" i="23"/>
  <c r="R461" i="23" s="1"/>
  <c r="R441" i="23"/>
  <c r="C461" i="23" s="1"/>
  <c r="AD441" i="23"/>
  <c r="O461" i="23" s="1"/>
  <c r="Q441" i="23"/>
  <c r="B461" i="23" s="1"/>
  <c r="AO441" i="23"/>
  <c r="Z461" i="23" s="1"/>
  <c r="AB441" i="23"/>
  <c r="M461" i="23" s="1"/>
  <c r="AL441" i="23"/>
  <c r="W461" i="23" s="1"/>
  <c r="W441" i="23"/>
  <c r="H461" i="23" s="1"/>
  <c r="AR441" i="23"/>
  <c r="AC461" i="23" s="1"/>
  <c r="AA444" i="23"/>
  <c r="L464" i="23" s="1"/>
  <c r="AM445" i="23"/>
  <c r="X465" i="23" s="1"/>
  <c r="AE445" i="23"/>
  <c r="P465" i="23" s="1"/>
  <c r="W445" i="23"/>
  <c r="H465" i="23" s="1"/>
  <c r="AR445" i="23"/>
  <c r="AC465" i="23" s="1"/>
  <c r="AJ445" i="23"/>
  <c r="U465" i="23" s="1"/>
  <c r="AB445" i="23"/>
  <c r="M465" i="23" s="1"/>
  <c r="T445" i="23"/>
  <c r="E465" i="23" s="1"/>
  <c r="AO445" i="23"/>
  <c r="Z465" i="23" s="1"/>
  <c r="AD445" i="23"/>
  <c r="O465" i="23" s="1"/>
  <c r="S445" i="23"/>
  <c r="D465" i="23" s="1"/>
  <c r="AI445" i="23"/>
  <c r="T465" i="23" s="1"/>
  <c r="Y445" i="23"/>
  <c r="J465" i="23" s="1"/>
  <c r="AP445" i="23"/>
  <c r="AA465" i="23" s="1"/>
  <c r="AA445" i="23"/>
  <c r="L465" i="23" s="1"/>
  <c r="AN445" i="23"/>
  <c r="Y465" i="23" s="1"/>
  <c r="Z445" i="23"/>
  <c r="K465" i="23" s="1"/>
  <c r="AL445" i="23"/>
  <c r="W465" i="23" s="1"/>
  <c r="X445" i="23"/>
  <c r="I465" i="23" s="1"/>
  <c r="AH445" i="23"/>
  <c r="S465" i="23" s="1"/>
  <c r="U445" i="23"/>
  <c r="F465" i="23" s="1"/>
  <c r="AF445" i="23"/>
  <c r="Q465" i="23" s="1"/>
  <c r="Q445" i="23"/>
  <c r="B465" i="23" s="1"/>
  <c r="AN446" i="23"/>
  <c r="Y466" i="23" s="1"/>
  <c r="Y450" i="23"/>
  <c r="J470" i="23" s="1"/>
  <c r="X340" i="23"/>
  <c r="I360" i="23" s="1"/>
  <c r="AF340" i="23"/>
  <c r="Q360" i="23" s="1"/>
  <c r="T345" i="23"/>
  <c r="E365" i="23" s="1"/>
  <c r="AB345" i="23"/>
  <c r="M365" i="23" s="1"/>
  <c r="AJ345" i="23"/>
  <c r="U365" i="23" s="1"/>
  <c r="X349" i="23"/>
  <c r="AF349" i="23"/>
  <c r="AE444" i="23"/>
  <c r="P464" i="23" s="1"/>
  <c r="AF448" i="23"/>
  <c r="Q468" i="23" s="1"/>
  <c r="S448" i="23"/>
  <c r="D468" i="23" s="1"/>
  <c r="AN448" i="23"/>
  <c r="Y468" i="23" s="1"/>
  <c r="Z448" i="23"/>
  <c r="K468" i="23" s="1"/>
  <c r="AP448" i="23"/>
  <c r="AA468" i="23" s="1"/>
  <c r="AC450" i="23"/>
  <c r="N470" i="23" s="1"/>
  <c r="S451" i="23"/>
  <c r="D471" i="23" s="1"/>
  <c r="AH446" i="23"/>
  <c r="S466" i="23" s="1"/>
  <c r="T446" i="23"/>
  <c r="E466" i="23" s="1"/>
  <c r="AF446" i="23"/>
  <c r="Q466" i="23" s="1"/>
  <c r="R446" i="23"/>
  <c r="C466" i="23" s="1"/>
  <c r="AO446" i="23"/>
  <c r="Z466" i="23" s="1"/>
  <c r="Z446" i="23"/>
  <c r="K466" i="23" s="1"/>
  <c r="AK446" i="23"/>
  <c r="V466" i="23" s="1"/>
  <c r="X446" i="23"/>
  <c r="I466" i="23" s="1"/>
  <c r="W451" i="23"/>
  <c r="H471" i="23" s="1"/>
  <c r="A398" i="23"/>
  <c r="A386" i="23"/>
  <c r="A404" i="23"/>
  <c r="AA439" i="23"/>
  <c r="L459" i="23" s="1"/>
  <c r="AP442" i="23"/>
  <c r="AA462" i="23" s="1"/>
  <c r="AH442" i="23"/>
  <c r="S462" i="23" s="1"/>
  <c r="Z442" i="23"/>
  <c r="K462" i="23" s="1"/>
  <c r="R442" i="23"/>
  <c r="C462" i="23" s="1"/>
  <c r="AM442" i="23"/>
  <c r="X462" i="23" s="1"/>
  <c r="AE442" i="23"/>
  <c r="P462" i="23" s="1"/>
  <c r="W442" i="23"/>
  <c r="H462" i="23" s="1"/>
  <c r="AN442" i="23"/>
  <c r="Y462" i="23" s="1"/>
  <c r="AC442" i="23"/>
  <c r="N462" i="23" s="1"/>
  <c r="S442" i="23"/>
  <c r="D462" i="23" s="1"/>
  <c r="AI442" i="23"/>
  <c r="T462" i="23" s="1"/>
  <c r="X442" i="23"/>
  <c r="I462" i="23" s="1"/>
  <c r="AD442" i="23"/>
  <c r="O462" i="23" s="1"/>
  <c r="AR442" i="23"/>
  <c r="AC462" i="23" s="1"/>
  <c r="AR444" i="23"/>
  <c r="AC464" i="23" s="1"/>
  <c r="AK447" i="23"/>
  <c r="V467" i="23" s="1"/>
  <c r="AC447" i="23"/>
  <c r="N467" i="23" s="1"/>
  <c r="U447" i="23"/>
  <c r="F467" i="23" s="1"/>
  <c r="AP447" i="23"/>
  <c r="AA467" i="23" s="1"/>
  <c r="AH447" i="23"/>
  <c r="S467" i="23" s="1"/>
  <c r="Z447" i="23"/>
  <c r="K467" i="23" s="1"/>
  <c r="R447" i="23"/>
  <c r="C467" i="23" s="1"/>
  <c r="AJ447" i="23"/>
  <c r="U467" i="23" s="1"/>
  <c r="Y447" i="23"/>
  <c r="J467" i="23" s="1"/>
  <c r="AO447" i="23"/>
  <c r="Z467" i="23" s="1"/>
  <c r="AE447" i="23"/>
  <c r="P467" i="23" s="1"/>
  <c r="T447" i="23"/>
  <c r="E467" i="23" s="1"/>
  <c r="AD447" i="23"/>
  <c r="O467" i="23" s="1"/>
  <c r="AR447" i="23"/>
  <c r="AC467" i="23" s="1"/>
  <c r="V448" i="23"/>
  <c r="G468" i="23" s="1"/>
  <c r="AK448" i="23"/>
  <c r="V468" i="23" s="1"/>
  <c r="AK439" i="23"/>
  <c r="V459" i="23" s="1"/>
  <c r="AC439" i="23"/>
  <c r="N459" i="23" s="1"/>
  <c r="U439" i="23"/>
  <c r="F459" i="23" s="1"/>
  <c r="AP439" i="23"/>
  <c r="AA459" i="23" s="1"/>
  <c r="AH439" i="23"/>
  <c r="S459" i="23" s="1"/>
  <c r="Z439" i="23"/>
  <c r="K459" i="23" s="1"/>
  <c r="R439" i="23"/>
  <c r="C459" i="23" s="1"/>
  <c r="AJ439" i="23"/>
  <c r="U459" i="23" s="1"/>
  <c r="Y439" i="23"/>
  <c r="J459" i="23" s="1"/>
  <c r="AO439" i="23"/>
  <c r="Z459" i="23" s="1"/>
  <c r="AE439" i="23"/>
  <c r="P459" i="23" s="1"/>
  <c r="T439" i="23"/>
  <c r="E459" i="23" s="1"/>
  <c r="AD439" i="23"/>
  <c r="O459" i="23" s="1"/>
  <c r="AR439" i="23"/>
  <c r="AC459" i="23" s="1"/>
  <c r="AN444" i="23"/>
  <c r="Y464" i="23" s="1"/>
  <c r="S439" i="23"/>
  <c r="D459" i="23" s="1"/>
  <c r="AG439" i="23"/>
  <c r="R459" i="23" s="1"/>
  <c r="V442" i="23"/>
  <c r="G462" i="23" s="1"/>
  <c r="AK442" i="23"/>
  <c r="V462" i="23" s="1"/>
  <c r="AQ443" i="23"/>
  <c r="AB463" i="23" s="1"/>
  <c r="AF443" i="23"/>
  <c r="Q463" i="23" s="1"/>
  <c r="U443" i="23"/>
  <c r="F463" i="23" s="1"/>
  <c r="AB443" i="23"/>
  <c r="M463" i="23" s="1"/>
  <c r="AP443" i="23"/>
  <c r="AA463" i="23" s="1"/>
  <c r="AL446" i="23"/>
  <c r="W466" i="23" s="1"/>
  <c r="AD446" i="23"/>
  <c r="O466" i="23" s="1"/>
  <c r="V446" i="23"/>
  <c r="G466" i="23" s="1"/>
  <c r="AQ446" i="23"/>
  <c r="AB466" i="23" s="1"/>
  <c r="AI446" i="23"/>
  <c r="T466" i="23" s="1"/>
  <c r="AA446" i="23"/>
  <c r="L466" i="23" s="1"/>
  <c r="S446" i="23"/>
  <c r="D466" i="23" s="1"/>
  <c r="AM446" i="23"/>
  <c r="X466" i="23" s="1"/>
  <c r="AB446" i="23"/>
  <c r="M466" i="23" s="1"/>
  <c r="Q446" i="23"/>
  <c r="B466" i="23" s="1"/>
  <c r="AR446" i="23"/>
  <c r="AC466" i="23" s="1"/>
  <c r="AG446" i="23"/>
  <c r="R466" i="23" s="1"/>
  <c r="W446" i="23"/>
  <c r="H466" i="23" s="1"/>
  <c r="AE446" i="23"/>
  <c r="P466" i="23" s="1"/>
  <c r="W447" i="23"/>
  <c r="H467" i="23" s="1"/>
  <c r="AL447" i="23"/>
  <c r="W467" i="23" s="1"/>
  <c r="AD448" i="23"/>
  <c r="O468" i="23" s="1"/>
  <c r="V439" i="23"/>
  <c r="G459" i="23" s="1"/>
  <c r="AI439" i="23"/>
  <c r="T459" i="23" s="1"/>
  <c r="Y442" i="23"/>
  <c r="J462" i="23" s="1"/>
  <c r="AL442" i="23"/>
  <c r="W462" i="23" s="1"/>
  <c r="X447" i="23"/>
  <c r="I467" i="23" s="1"/>
  <c r="AM447" i="23"/>
  <c r="X467" i="23" s="1"/>
  <c r="AR448" i="23"/>
  <c r="AC468" i="23" s="1"/>
  <c r="AJ448" i="23"/>
  <c r="U468" i="23" s="1"/>
  <c r="AB448" i="23"/>
  <c r="M468" i="23" s="1"/>
  <c r="T448" i="23"/>
  <c r="E468" i="23" s="1"/>
  <c r="AO448" i="23"/>
  <c r="Z468" i="23" s="1"/>
  <c r="AG448" i="23"/>
  <c r="R468" i="23" s="1"/>
  <c r="Y448" i="23"/>
  <c r="J468" i="23" s="1"/>
  <c r="Q448" i="23"/>
  <c r="B468" i="23" s="1"/>
  <c r="AH448" i="23"/>
  <c r="S468" i="23" s="1"/>
  <c r="W448" i="23"/>
  <c r="H468" i="23" s="1"/>
  <c r="AM448" i="23"/>
  <c r="X468" i="23" s="1"/>
  <c r="AC448" i="23"/>
  <c r="N468" i="23" s="1"/>
  <c r="R448" i="23"/>
  <c r="C468" i="23" s="1"/>
  <c r="AE448" i="23"/>
  <c r="P468" i="23" s="1"/>
  <c r="W439" i="23"/>
  <c r="H459" i="23" s="1"/>
  <c r="AL439" i="23"/>
  <c r="W459" i="23" s="1"/>
  <c r="AA442" i="23"/>
  <c r="L462" i="23" s="1"/>
  <c r="AO442" i="23"/>
  <c r="Z462" i="23" s="1"/>
  <c r="AA447" i="23"/>
  <c r="L467" i="23" s="1"/>
  <c r="AQ441" i="23"/>
  <c r="AB461" i="23" s="1"/>
  <c r="AO443" i="23"/>
  <c r="Z463" i="23" s="1"/>
  <c r="AG443" i="23"/>
  <c r="R463" i="23" s="1"/>
  <c r="Y443" i="23"/>
  <c r="J463" i="23" s="1"/>
  <c r="Q443" i="23"/>
  <c r="B463" i="23" s="1"/>
  <c r="AL443" i="23"/>
  <c r="W463" i="23" s="1"/>
  <c r="AD443" i="23"/>
  <c r="O463" i="23" s="1"/>
  <c r="V443" i="23"/>
  <c r="G463" i="23" s="1"/>
  <c r="AA443" i="23"/>
  <c r="L463" i="23" s="1"/>
  <c r="AK443" i="23"/>
  <c r="V463" i="23" s="1"/>
  <c r="W444" i="23"/>
  <c r="H464" i="23" s="1"/>
  <c r="AH444" i="23"/>
  <c r="S464" i="23" s="1"/>
  <c r="X441" i="23"/>
  <c r="I461" i="23" s="1"/>
  <c r="AF441" i="23"/>
  <c r="Q461" i="23" s="1"/>
  <c r="AN441" i="23"/>
  <c r="Y461" i="23" s="1"/>
  <c r="U444" i="23"/>
  <c r="F464" i="23" s="1"/>
  <c r="AC444" i="23"/>
  <c r="N464" i="23" s="1"/>
  <c r="AK444" i="23"/>
  <c r="V464" i="23" s="1"/>
  <c r="AO450" i="23"/>
  <c r="Z470" i="23" s="1"/>
  <c r="X450" i="23"/>
  <c r="I470" i="23" s="1"/>
  <c r="AF450" i="23"/>
  <c r="Q470" i="23" s="1"/>
  <c r="AN450" i="23"/>
  <c r="Y470" i="23" s="1"/>
  <c r="AO451" i="23"/>
  <c r="Z471" i="23" s="1"/>
  <c r="Y452" i="23"/>
  <c r="J472" i="23" s="1"/>
  <c r="Q452" i="23"/>
  <c r="B472" i="23" s="1"/>
  <c r="Z452" i="23"/>
  <c r="K472" i="23" s="1"/>
  <c r="AK452" i="23"/>
  <c r="V472" i="23" s="1"/>
  <c r="Z454" i="23"/>
  <c r="Z455" i="23"/>
  <c r="K475" i="23" s="1"/>
  <c r="A504" i="23"/>
  <c r="A492" i="23"/>
  <c r="AM454" i="23"/>
  <c r="AE454" i="23"/>
  <c r="W454" i="23"/>
  <c r="AL454" i="23"/>
  <c r="AD454" i="23"/>
  <c r="V454" i="23"/>
  <c r="AK454" i="23"/>
  <c r="AC454" i="23"/>
  <c r="U454" i="23"/>
  <c r="AA454" i="23"/>
  <c r="AO454" i="23"/>
  <c r="AL455" i="23"/>
  <c r="W475" i="23" s="1"/>
  <c r="AD455" i="23"/>
  <c r="O475" i="23" s="1"/>
  <c r="V455" i="23"/>
  <c r="G475" i="23" s="1"/>
  <c r="AK455" i="23"/>
  <c r="V475" i="23" s="1"/>
  <c r="AC455" i="23"/>
  <c r="N475" i="23" s="1"/>
  <c r="U455" i="23"/>
  <c r="F475" i="23" s="1"/>
  <c r="AR455" i="23"/>
  <c r="AC475" i="23" s="1"/>
  <c r="AJ455" i="23"/>
  <c r="U475" i="23" s="1"/>
  <c r="AB455" i="23"/>
  <c r="M475" i="23" s="1"/>
  <c r="T455" i="23"/>
  <c r="E475" i="23" s="1"/>
  <c r="AA455" i="23"/>
  <c r="L475" i="23" s="1"/>
  <c r="AO455" i="23"/>
  <c r="Z475" i="23" s="1"/>
  <c r="Q454" i="23"/>
  <c r="AB454" i="23"/>
  <c r="AP454" i="23"/>
  <c r="Q455" i="23"/>
  <c r="B475" i="23" s="1"/>
  <c r="AE455" i="23"/>
  <c r="P475" i="23" s="1"/>
  <c r="AP455" i="23"/>
  <c r="AA475" i="23" s="1"/>
  <c r="S441" i="23"/>
  <c r="D461" i="23" s="1"/>
  <c r="AA441" i="23"/>
  <c r="L461" i="23" s="1"/>
  <c r="AI441" i="23"/>
  <c r="T461" i="23" s="1"/>
  <c r="X444" i="23"/>
  <c r="I464" i="23" s="1"/>
  <c r="AF444" i="23"/>
  <c r="Q464" i="23" s="1"/>
  <c r="S450" i="23"/>
  <c r="D470" i="23" s="1"/>
  <c r="AA450" i="23"/>
  <c r="L470" i="23" s="1"/>
  <c r="AI450" i="23"/>
  <c r="T470" i="23" s="1"/>
  <c r="AR450" i="23"/>
  <c r="AC470" i="23" s="1"/>
  <c r="R452" i="23"/>
  <c r="C472" i="23" s="1"/>
  <c r="AC452" i="23"/>
  <c r="N472" i="23" s="1"/>
  <c r="AQ452" i="23"/>
  <c r="AB472" i="23" s="1"/>
  <c r="R454" i="23"/>
  <c r="AF454" i="23"/>
  <c r="AQ454" i="23"/>
  <c r="R455" i="23"/>
  <c r="C475" i="23" s="1"/>
  <c r="AF455" i="23"/>
  <c r="Q475" i="23" s="1"/>
  <c r="AQ455" i="23"/>
  <c r="AB475" i="23" s="1"/>
  <c r="A496" i="23"/>
  <c r="A508" i="23"/>
  <c r="S454" i="23"/>
  <c r="AG454" i="23"/>
  <c r="AR454" i="23"/>
  <c r="S455" i="23"/>
  <c r="D475" i="23" s="1"/>
  <c r="AG455" i="23"/>
  <c r="R475" i="23" s="1"/>
  <c r="A507" i="23"/>
  <c r="A495" i="23"/>
  <c r="X454" i="23"/>
  <c r="AI454" i="23"/>
  <c r="X455" i="23"/>
  <c r="I475" i="23" s="1"/>
  <c r="AI455" i="23"/>
  <c r="T475" i="23" s="1"/>
  <c r="A506" i="23"/>
  <c r="A494" i="23"/>
  <c r="A503" i="23"/>
  <c r="A491" i="23"/>
  <c r="X451" i="23"/>
  <c r="I471" i="23" s="1"/>
  <c r="AF451" i="23"/>
  <c r="Q471" i="23" s="1"/>
  <c r="AN451" i="23"/>
  <c r="Y471" i="23" s="1"/>
  <c r="W452" i="23"/>
  <c r="H472" i="23" s="1"/>
  <c r="AE452" i="23"/>
  <c r="P472" i="23" s="1"/>
  <c r="AM452" i="23"/>
  <c r="X472" i="23" s="1"/>
  <c r="V453" i="23"/>
  <c r="AD453" i="23"/>
  <c r="AL453" i="23"/>
  <c r="Y451" i="23"/>
  <c r="J471" i="23" s="1"/>
  <c r="AG451" i="23"/>
  <c r="R471" i="23" s="1"/>
  <c r="X452" i="23"/>
  <c r="I472" i="23" s="1"/>
  <c r="AF452" i="23"/>
  <c r="Q472" i="23" s="1"/>
  <c r="AN452" i="23"/>
  <c r="Y472" i="23" s="1"/>
  <c r="W453" i="23"/>
  <c r="AE453" i="23"/>
  <c r="AM453" i="23"/>
  <c r="AG452" i="23"/>
  <c r="R472" i="23" s="1"/>
  <c r="X453" i="23"/>
  <c r="AF453" i="23"/>
  <c r="A502" i="23"/>
  <c r="A509" i="23"/>
  <c r="A497" i="23"/>
  <c r="A505" i="23"/>
  <c r="W447" i="22"/>
  <c r="H467" i="22" s="1"/>
  <c r="T450" i="22"/>
  <c r="E470" i="22" s="1"/>
  <c r="AJ450" i="22"/>
  <c r="U470" i="22" s="1"/>
  <c r="U450" i="22"/>
  <c r="F470" i="22" s="1"/>
  <c r="AK450" i="22"/>
  <c r="V470" i="22" s="1"/>
  <c r="AL450" i="22"/>
  <c r="W470" i="22" s="1"/>
  <c r="Z342" i="22"/>
  <c r="K362" i="22" s="1"/>
  <c r="AR342" i="22"/>
  <c r="AC362" i="22" s="1"/>
  <c r="Y342" i="22"/>
  <c r="J362" i="22" s="1"/>
  <c r="AP342" i="22"/>
  <c r="AA362" i="22" s="1"/>
  <c r="AB342" i="22"/>
  <c r="M362" i="22" s="1"/>
  <c r="AN342" i="22"/>
  <c r="Y362" i="22" s="1"/>
  <c r="AC342" i="22"/>
  <c r="N362" i="22" s="1"/>
  <c r="Q342" i="22"/>
  <c r="B362" i="22" s="1"/>
  <c r="AG342" i="22"/>
  <c r="R362" i="22" s="1"/>
  <c r="R342" i="22"/>
  <c r="C362" i="22" s="1"/>
  <c r="AH342" i="22"/>
  <c r="S362" i="22" s="1"/>
  <c r="T342" i="22"/>
  <c r="E362" i="22" s="1"/>
  <c r="S233" i="22"/>
  <c r="D253" i="22" s="1"/>
  <c r="AK233" i="22"/>
  <c r="V253" i="22" s="1"/>
  <c r="U233" i="22"/>
  <c r="F253" i="22" s="1"/>
  <c r="AQ233" i="22"/>
  <c r="AB253" i="22" s="1"/>
  <c r="AB233" i="22"/>
  <c r="M253" i="22" s="1"/>
  <c r="AK234" i="22"/>
  <c r="V254" i="22" s="1"/>
  <c r="R233" i="22"/>
  <c r="C253" i="22" s="1"/>
  <c r="T233" i="22"/>
  <c r="E253" i="22" s="1"/>
  <c r="AP233" i="22"/>
  <c r="AA253" i="22" s="1"/>
  <c r="AC233" i="22"/>
  <c r="N253" i="22" s="1"/>
  <c r="R234" i="22"/>
  <c r="C254" i="22" s="1"/>
  <c r="AL233" i="22"/>
  <c r="W253" i="22" s="1"/>
  <c r="AG125" i="22"/>
  <c r="R145" i="22" s="1"/>
  <c r="AO125" i="22"/>
  <c r="Z145" i="22" s="1"/>
  <c r="AQ125" i="22"/>
  <c r="AB145" i="22" s="1"/>
  <c r="AP125" i="22"/>
  <c r="AA145" i="22" s="1"/>
  <c r="S125" i="22"/>
  <c r="D145" i="22" s="1"/>
  <c r="AI445" i="22"/>
  <c r="T465" i="22" s="1"/>
  <c r="AB445" i="22"/>
  <c r="M465" i="22" s="1"/>
  <c r="M483" i="22" s="1"/>
  <c r="AP445" i="22"/>
  <c r="AA465" i="22" s="1"/>
  <c r="S445" i="22"/>
  <c r="D465" i="22" s="1"/>
  <c r="AG445" i="22"/>
  <c r="R465" i="22" s="1"/>
  <c r="T445" i="22"/>
  <c r="E465" i="22" s="1"/>
  <c r="Z443" i="22"/>
  <c r="K463" i="22" s="1"/>
  <c r="AB443" i="22"/>
  <c r="M463" i="22" s="1"/>
  <c r="V338" i="22"/>
  <c r="G358" i="22" s="1"/>
  <c r="AH338" i="22"/>
  <c r="S358" i="22" s="1"/>
  <c r="V440" i="22"/>
  <c r="G460" i="22" s="1"/>
  <c r="U334" i="22"/>
  <c r="F354" i="22" s="1"/>
  <c r="AO334" i="22"/>
  <c r="Z354" i="22" s="1"/>
  <c r="Y335" i="22"/>
  <c r="J355" i="22" s="1"/>
  <c r="AN335" i="22"/>
  <c r="Y355" i="22" s="1"/>
  <c r="AB334" i="22"/>
  <c r="M354" i="22" s="1"/>
  <c r="AR334" i="22"/>
  <c r="AC354" i="22" s="1"/>
  <c r="AC335" i="22"/>
  <c r="N355" i="22" s="1"/>
  <c r="AR335" i="22"/>
  <c r="AC355" i="22" s="1"/>
  <c r="AN334" i="22"/>
  <c r="Y354" i="22" s="1"/>
  <c r="S335" i="22"/>
  <c r="D355" i="22" s="1"/>
  <c r="AK22" i="22"/>
  <c r="V42" i="22" s="1"/>
  <c r="AP15" i="22"/>
  <c r="AA35" i="22" s="1"/>
  <c r="AA12" i="22"/>
  <c r="L32" i="22" s="1"/>
  <c r="AR11" i="22"/>
  <c r="AC31" i="22" s="1"/>
  <c r="AY16" i="22"/>
  <c r="AP22" i="22"/>
  <c r="AA42" i="22" s="1"/>
  <c r="AR22" i="22"/>
  <c r="AC42" i="22" s="1"/>
  <c r="Q22" i="22"/>
  <c r="B42" i="22" s="1"/>
  <c r="AC22" i="22"/>
  <c r="N42" i="22" s="1"/>
  <c r="AD20" i="22"/>
  <c r="O40" i="22" s="1"/>
  <c r="AN19" i="22"/>
  <c r="Y39" i="22" s="1"/>
  <c r="AG19" i="22"/>
  <c r="R39" i="22" s="1"/>
  <c r="Z17" i="22"/>
  <c r="K37" i="22" s="1"/>
  <c r="R17" i="22"/>
  <c r="C37" i="22" s="1"/>
  <c r="AG17" i="22"/>
  <c r="R37" i="22" s="1"/>
  <c r="Q12" i="22"/>
  <c r="B32" i="22" s="1"/>
  <c r="AM22" i="22"/>
  <c r="X42" i="22" s="1"/>
  <c r="AG22" i="22"/>
  <c r="R42" i="22" s="1"/>
  <c r="T22" i="22"/>
  <c r="E42" i="22" s="1"/>
  <c r="AO22" i="22"/>
  <c r="Z42" i="22" s="1"/>
  <c r="U22" i="22"/>
  <c r="F42" i="22" s="1"/>
  <c r="AI12" i="22"/>
  <c r="T32" i="22" s="1"/>
  <c r="Y11" i="22"/>
  <c r="J31" i="22" s="1"/>
  <c r="AB11" i="22"/>
  <c r="M31" i="22" s="1"/>
  <c r="Z15" i="22"/>
  <c r="K35" i="22" s="1"/>
  <c r="Q11" i="22"/>
  <c r="B31" i="22" s="1"/>
  <c r="AA11" i="22"/>
  <c r="L31" i="22" s="1"/>
  <c r="AL11" i="22"/>
  <c r="W31" i="22" s="1"/>
  <c r="AM12" i="22"/>
  <c r="X32" i="22" s="1"/>
  <c r="AE12" i="22"/>
  <c r="P32" i="22" s="1"/>
  <c r="W12" i="22"/>
  <c r="H32" i="22" s="1"/>
  <c r="AK12" i="22"/>
  <c r="V32" i="22" s="1"/>
  <c r="AC12" i="22"/>
  <c r="N32" i="22" s="1"/>
  <c r="U12" i="22"/>
  <c r="F32" i="22" s="1"/>
  <c r="Z12" i="22"/>
  <c r="K32" i="22" s="1"/>
  <c r="AJ12" i="22"/>
  <c r="U32" i="22" s="1"/>
  <c r="Y13" i="22"/>
  <c r="J33" i="22" s="1"/>
  <c r="AX13" i="22"/>
  <c r="Q14" i="22"/>
  <c r="B34" i="22" s="1"/>
  <c r="AD14" i="22"/>
  <c r="O34" i="22" s="1"/>
  <c r="AR14" i="22"/>
  <c r="AC34" i="22" s="1"/>
  <c r="Y15" i="22"/>
  <c r="J35" i="22" s="1"/>
  <c r="AO15" i="22"/>
  <c r="Z35" i="22" s="1"/>
  <c r="T16" i="22"/>
  <c r="E36" i="22" s="1"/>
  <c r="AJ16" i="22"/>
  <c r="U36" i="22" s="1"/>
  <c r="Q17" i="22"/>
  <c r="B37" i="22" s="1"/>
  <c r="AL17" i="22"/>
  <c r="W37" i="22" s="1"/>
  <c r="V18" i="22"/>
  <c r="G38" i="22" s="1"/>
  <c r="AP18" i="22"/>
  <c r="AA38" i="22" s="1"/>
  <c r="X19" i="22"/>
  <c r="I39" i="22" s="1"/>
  <c r="AT19" i="22"/>
  <c r="W20" i="22"/>
  <c r="H40" i="22" s="1"/>
  <c r="AX23" i="22"/>
  <c r="A66" i="22"/>
  <c r="A78" i="22"/>
  <c r="AQ13" i="22"/>
  <c r="AB33" i="22" s="1"/>
  <c r="AI13" i="22"/>
  <c r="T33" i="22" s="1"/>
  <c r="AA13" i="22"/>
  <c r="L33" i="22" s="1"/>
  <c r="AZ22" i="22"/>
  <c r="AM13" i="22"/>
  <c r="X33" i="22" s="1"/>
  <c r="AE13" i="22"/>
  <c r="P33" i="22" s="1"/>
  <c r="W13" i="22"/>
  <c r="H33" i="22" s="1"/>
  <c r="AK13" i="22"/>
  <c r="V33" i="22" s="1"/>
  <c r="AC13" i="22"/>
  <c r="N33" i="22" s="1"/>
  <c r="U13" i="22"/>
  <c r="F33" i="22" s="1"/>
  <c r="S11" i="22"/>
  <c r="D31" i="22" s="1"/>
  <c r="AD11" i="22"/>
  <c r="O31" i="22" s="1"/>
  <c r="AO11" i="22"/>
  <c r="Z31" i="22" s="1"/>
  <c r="R12" i="22"/>
  <c r="C32" i="22" s="1"/>
  <c r="AB12" i="22"/>
  <c r="M32" i="22" s="1"/>
  <c r="AN12" i="22"/>
  <c r="Y32" i="22" s="1"/>
  <c r="AX12" i="22"/>
  <c r="Q13" i="22"/>
  <c r="B33" i="22" s="1"/>
  <c r="AB13" i="22"/>
  <c r="M33" i="22" s="1"/>
  <c r="AO13" i="22"/>
  <c r="Z33" i="22" s="1"/>
  <c r="T14" i="22"/>
  <c r="E34" i="22" s="1"/>
  <c r="AG14" i="22"/>
  <c r="R34" i="22" s="1"/>
  <c r="AB15" i="22"/>
  <c r="M35" i="22" s="1"/>
  <c r="AR15" i="22"/>
  <c r="AC35" i="22" s="1"/>
  <c r="Y16" i="22"/>
  <c r="J36" i="22" s="1"/>
  <c r="AO16" i="22"/>
  <c r="Z36" i="22" s="1"/>
  <c r="V17" i="22"/>
  <c r="G37" i="22" s="1"/>
  <c r="AP17" i="22"/>
  <c r="AA37" i="22" s="1"/>
  <c r="AV32" i="22"/>
  <c r="AC19" i="22"/>
  <c r="N39" i="22" s="1"/>
  <c r="A76" i="22"/>
  <c r="A64" i="22"/>
  <c r="A80" i="22"/>
  <c r="A68" i="22"/>
  <c r="AN13" i="22"/>
  <c r="Y33" i="22" s="1"/>
  <c r="T11" i="22"/>
  <c r="E31" i="22" s="1"/>
  <c r="AF11" i="22"/>
  <c r="Q31" i="22" s="1"/>
  <c r="AP11" i="22"/>
  <c r="AA31" i="22" s="1"/>
  <c r="S12" i="22"/>
  <c r="D32" i="22" s="1"/>
  <c r="AD12" i="22"/>
  <c r="O32" i="22" s="1"/>
  <c r="AO12" i="22"/>
  <c r="Z32" i="22" s="1"/>
  <c r="R13" i="22"/>
  <c r="C33" i="22" s="1"/>
  <c r="AD13" i="22"/>
  <c r="O33" i="22" s="1"/>
  <c r="AP13" i="22"/>
  <c r="AA33" i="22" s="1"/>
  <c r="AU23" i="22"/>
  <c r="V14" i="22"/>
  <c r="G34" i="22" s="1"/>
  <c r="AQ15" i="22"/>
  <c r="AB35" i="22" s="1"/>
  <c r="AD15" i="22"/>
  <c r="O35" i="22" s="1"/>
  <c r="Z16" i="22"/>
  <c r="K36" i="22" s="1"/>
  <c r="AP16" i="22"/>
  <c r="AA36" i="22" s="1"/>
  <c r="AU31" i="22"/>
  <c r="Y17" i="22"/>
  <c r="J37" i="22" s="1"/>
  <c r="AR18" i="22"/>
  <c r="AC38" i="22" s="1"/>
  <c r="AJ18" i="22"/>
  <c r="U38" i="22" s="1"/>
  <c r="AB18" i="22"/>
  <c r="M38" i="22" s="1"/>
  <c r="T18" i="22"/>
  <c r="E38" i="22" s="1"/>
  <c r="AD18" i="22"/>
  <c r="O38" i="22" s="1"/>
  <c r="AF19" i="22"/>
  <c r="Q39" i="22" s="1"/>
  <c r="AO20" i="22"/>
  <c r="Z40" i="22" s="1"/>
  <c r="AG20" i="22"/>
  <c r="R40" i="22" s="1"/>
  <c r="Y20" i="22"/>
  <c r="J40" i="22" s="1"/>
  <c r="Q20" i="22"/>
  <c r="B40" i="22" s="1"/>
  <c r="AX33" i="22"/>
  <c r="AE20" i="22"/>
  <c r="P40" i="22" s="1"/>
  <c r="V11" i="22"/>
  <c r="G31" i="22" s="1"/>
  <c r="AG11" i="22"/>
  <c r="R31" i="22" s="1"/>
  <c r="AQ11" i="22"/>
  <c r="AB31" i="22" s="1"/>
  <c r="T12" i="22"/>
  <c r="E32" i="22" s="1"/>
  <c r="AF12" i="22"/>
  <c r="Q32" i="22" s="1"/>
  <c r="AP12" i="22"/>
  <c r="AA32" i="22" s="1"/>
  <c r="S13" i="22"/>
  <c r="D33" i="22" s="1"/>
  <c r="AF13" i="22"/>
  <c r="Q33" i="22" s="1"/>
  <c r="AR13" i="22"/>
  <c r="AC33" i="22" s="1"/>
  <c r="X14" i="22"/>
  <c r="I34" i="22" s="1"/>
  <c r="AJ14" i="22"/>
  <c r="U34" i="22" s="1"/>
  <c r="Q15" i="22"/>
  <c r="B35" i="22" s="1"/>
  <c r="AG15" i="22"/>
  <c r="R35" i="22" s="1"/>
  <c r="AI20" i="22"/>
  <c r="T40" i="22" s="1"/>
  <c r="Z13" i="22"/>
  <c r="K33" i="22" s="1"/>
  <c r="X11" i="22"/>
  <c r="I31" i="22" s="1"/>
  <c r="AH11" i="22"/>
  <c r="S31" i="22" s="1"/>
  <c r="V12" i="22"/>
  <c r="G32" i="22" s="1"/>
  <c r="AG12" i="22"/>
  <c r="R32" i="22" s="1"/>
  <c r="AQ12" i="22"/>
  <c r="AB32" i="22" s="1"/>
  <c r="AU22" i="22"/>
  <c r="T13" i="22"/>
  <c r="E33" i="22" s="1"/>
  <c r="AG13" i="22"/>
  <c r="R33" i="22" s="1"/>
  <c r="Y14" i="22"/>
  <c r="J34" i="22" s="1"/>
  <c r="R15" i="22"/>
  <c r="C35" i="22" s="1"/>
  <c r="AH15" i="22"/>
  <c r="S35" i="22" s="1"/>
  <c r="AR17" i="22"/>
  <c r="AC37" i="22" s="1"/>
  <c r="AJ17" i="22"/>
  <c r="U37" i="22" s="1"/>
  <c r="AB17" i="22"/>
  <c r="M37" i="22" s="1"/>
  <c r="T17" i="22"/>
  <c r="E37" i="22" s="1"/>
  <c r="AX31" i="22"/>
  <c r="AD17" i="22"/>
  <c r="O37" i="22" s="1"/>
  <c r="AQ19" i="22"/>
  <c r="AB39" i="22" s="1"/>
  <c r="AI19" i="22"/>
  <c r="T39" i="22" s="1"/>
  <c r="AA19" i="22"/>
  <c r="L39" i="22" s="1"/>
  <c r="S19" i="22"/>
  <c r="D39" i="22" s="1"/>
  <c r="AP19" i="22"/>
  <c r="AA39" i="22" s="1"/>
  <c r="AH19" i="22"/>
  <c r="S39" i="22" s="1"/>
  <c r="Z19" i="22"/>
  <c r="K39" i="22" s="1"/>
  <c r="R19" i="22"/>
  <c r="C39" i="22" s="1"/>
  <c r="AZ32" i="22"/>
  <c r="AM19" i="22"/>
  <c r="X39" i="22" s="1"/>
  <c r="AE19" i="22"/>
  <c r="P39" i="22" s="1"/>
  <c r="W19" i="22"/>
  <c r="H39" i="22" s="1"/>
  <c r="AL19" i="22"/>
  <c r="W39" i="22" s="1"/>
  <c r="AD19" i="22"/>
  <c r="O39" i="22" s="1"/>
  <c r="V19" i="22"/>
  <c r="G39" i="22" s="1"/>
  <c r="AR19" i="22"/>
  <c r="AC39" i="22" s="1"/>
  <c r="AJ19" i="22"/>
  <c r="U39" i="22" s="1"/>
  <c r="AB19" i="22"/>
  <c r="M39" i="22" s="1"/>
  <c r="T19" i="22"/>
  <c r="E39" i="22" s="1"/>
  <c r="AK19" i="22"/>
  <c r="V39" i="22" s="1"/>
  <c r="AN20" i="22"/>
  <c r="Y40" i="22" s="1"/>
  <c r="AL20" i="22"/>
  <c r="W40" i="22" s="1"/>
  <c r="AU25" i="22"/>
  <c r="X12" i="22"/>
  <c r="I32" i="22" s="1"/>
  <c r="AH12" i="22"/>
  <c r="S32" i="22" s="1"/>
  <c r="AR12" i="22"/>
  <c r="AC32" i="22" s="1"/>
  <c r="V13" i="22"/>
  <c r="G33" i="22" s="1"/>
  <c r="AH13" i="22"/>
  <c r="S33" i="22" s="1"/>
  <c r="T15" i="22"/>
  <c r="E35" i="22" s="1"/>
  <c r="AJ15" i="22"/>
  <c r="U35" i="22" s="1"/>
  <c r="A75" i="22"/>
  <c r="A63" i="22"/>
  <c r="A65" i="22"/>
  <c r="A77" i="22"/>
  <c r="AU24" i="22"/>
  <c r="A67" i="22"/>
  <c r="A79" i="22"/>
  <c r="AM11" i="22"/>
  <c r="X31" i="22" s="1"/>
  <c r="AE11" i="22"/>
  <c r="P31" i="22" s="1"/>
  <c r="W11" i="22"/>
  <c r="H31" i="22" s="1"/>
  <c r="AK11" i="22"/>
  <c r="V31" i="22" s="1"/>
  <c r="AC11" i="22"/>
  <c r="N31" i="22" s="1"/>
  <c r="U11" i="22"/>
  <c r="F31" i="22" s="1"/>
  <c r="Z11" i="22"/>
  <c r="K31" i="22" s="1"/>
  <c r="AJ11" i="22"/>
  <c r="U31" i="22" s="1"/>
  <c r="AU11" i="22"/>
  <c r="Y12" i="22"/>
  <c r="J32" i="22" s="1"/>
  <c r="X13" i="22"/>
  <c r="I33" i="22" s="1"/>
  <c r="AJ13" i="22"/>
  <c r="U33" i="22" s="1"/>
  <c r="AQ14" i="22"/>
  <c r="AB34" i="22" s="1"/>
  <c r="AI14" i="22"/>
  <c r="T34" i="22" s="1"/>
  <c r="AA14" i="22"/>
  <c r="L34" i="22" s="1"/>
  <c r="S14" i="22"/>
  <c r="D34" i="22" s="1"/>
  <c r="AZ23" i="22"/>
  <c r="AN14" i="22"/>
  <c r="Y34" i="22" s="1"/>
  <c r="AM14" i="22"/>
  <c r="X34" i="22" s="1"/>
  <c r="AE14" i="22"/>
  <c r="P34" i="22" s="1"/>
  <c r="W14" i="22"/>
  <c r="H34" i="22" s="1"/>
  <c r="AK14" i="22"/>
  <c r="V34" i="22" s="1"/>
  <c r="AC14" i="22"/>
  <c r="N34" i="22" s="1"/>
  <c r="U14" i="22"/>
  <c r="F34" i="22" s="1"/>
  <c r="AB14" i="22"/>
  <c r="M34" i="22" s="1"/>
  <c r="AP14" i="22"/>
  <c r="AA34" i="22" s="1"/>
  <c r="V15" i="22"/>
  <c r="G35" i="22" s="1"/>
  <c r="R16" i="22"/>
  <c r="C36" i="22" s="1"/>
  <c r="AQ17" i="22"/>
  <c r="AB37" i="22" s="1"/>
  <c r="AH17" i="22"/>
  <c r="S37" i="22" s="1"/>
  <c r="R18" i="22"/>
  <c r="C38" i="22" s="1"/>
  <c r="AO18" i="22"/>
  <c r="Z38" i="22" s="1"/>
  <c r="U19" i="22"/>
  <c r="F39" i="22" s="1"/>
  <c r="AO19" i="22"/>
  <c r="Z39" i="22" s="1"/>
  <c r="V20" i="22"/>
  <c r="G40" i="22" s="1"/>
  <c r="AQ20" i="22"/>
  <c r="AB40" i="22" s="1"/>
  <c r="U15" i="22"/>
  <c r="F35" i="22" s="1"/>
  <c r="AC15" i="22"/>
  <c r="N35" i="22" s="1"/>
  <c r="AK15" i="22"/>
  <c r="V35" i="22" s="1"/>
  <c r="U16" i="22"/>
  <c r="F36" i="22" s="1"/>
  <c r="AC16" i="22"/>
  <c r="N36" i="22" s="1"/>
  <c r="AK16" i="22"/>
  <c r="V36" i="22" s="1"/>
  <c r="U17" i="22"/>
  <c r="F37" i="22" s="1"/>
  <c r="AC17" i="22"/>
  <c r="N37" i="22" s="1"/>
  <c r="AK17" i="22"/>
  <c r="V37" i="22" s="1"/>
  <c r="U18" i="22"/>
  <c r="F38" i="22" s="1"/>
  <c r="AC18" i="22"/>
  <c r="N38" i="22" s="1"/>
  <c r="AK18" i="22"/>
  <c r="V38" i="22" s="1"/>
  <c r="R20" i="22"/>
  <c r="C40" i="22" s="1"/>
  <c r="Z20" i="22"/>
  <c r="K40" i="22" s="1"/>
  <c r="AH20" i="22"/>
  <c r="S40" i="22" s="1"/>
  <c r="AP20" i="22"/>
  <c r="AA40" i="22" s="1"/>
  <c r="X22" i="22"/>
  <c r="I42" i="22" s="1"/>
  <c r="AF22" i="22"/>
  <c r="Q42" i="22" s="1"/>
  <c r="AN22" i="22"/>
  <c r="Y42" i="22" s="1"/>
  <c r="X23" i="22"/>
  <c r="I43" i="22" s="1"/>
  <c r="AF23" i="22"/>
  <c r="Q43" i="22" s="1"/>
  <c r="AN23" i="22"/>
  <c r="Y43" i="22" s="1"/>
  <c r="X24" i="22"/>
  <c r="I44" i="22" s="1"/>
  <c r="AF24" i="22"/>
  <c r="Q44" i="22" s="1"/>
  <c r="AN24" i="22"/>
  <c r="Y44" i="22" s="1"/>
  <c r="X25" i="22"/>
  <c r="AF25" i="22"/>
  <c r="AN25" i="22"/>
  <c r="X26" i="22"/>
  <c r="AF26" i="22"/>
  <c r="AN26" i="22"/>
  <c r="X27" i="22"/>
  <c r="I47" i="22" s="1"/>
  <c r="AF27" i="22"/>
  <c r="Q47" i="22" s="1"/>
  <c r="AN27" i="22"/>
  <c r="Y47" i="22" s="1"/>
  <c r="AZ31" i="22"/>
  <c r="AZ33" i="22"/>
  <c r="AO117" i="22"/>
  <c r="Z137" i="22" s="1"/>
  <c r="R118" i="22"/>
  <c r="C138" i="22" s="1"/>
  <c r="AG119" i="22"/>
  <c r="R139" i="22" s="1"/>
  <c r="U121" i="22"/>
  <c r="F141" i="22" s="1"/>
  <c r="AJ123" i="22"/>
  <c r="U143" i="22" s="1"/>
  <c r="Z124" i="22"/>
  <c r="K144" i="22" s="1"/>
  <c r="AB132" i="22"/>
  <c r="A74" i="22"/>
  <c r="AI119" i="22"/>
  <c r="T139" i="22" s="1"/>
  <c r="AH124" i="22"/>
  <c r="S144" i="22" s="1"/>
  <c r="AQ128" i="22"/>
  <c r="AB148" i="22" s="1"/>
  <c r="AG128" i="22"/>
  <c r="R148" i="22" s="1"/>
  <c r="W128" i="22"/>
  <c r="H148" i="22" s="1"/>
  <c r="W15" i="22"/>
  <c r="H35" i="22" s="1"/>
  <c r="AE15" i="22"/>
  <c r="P35" i="22" s="1"/>
  <c r="AM15" i="22"/>
  <c r="X35" i="22" s="1"/>
  <c r="W16" i="22"/>
  <c r="H36" i="22" s="1"/>
  <c r="AE16" i="22"/>
  <c r="P36" i="22" s="1"/>
  <c r="AM16" i="22"/>
  <c r="X36" i="22" s="1"/>
  <c r="W17" i="22"/>
  <c r="H37" i="22" s="1"/>
  <c r="AE17" i="22"/>
  <c r="P37" i="22" s="1"/>
  <c r="AM17" i="22"/>
  <c r="X37" i="22" s="1"/>
  <c r="W18" i="22"/>
  <c r="H38" i="22" s="1"/>
  <c r="AE18" i="22"/>
  <c r="P38" i="22" s="1"/>
  <c r="AM18" i="22"/>
  <c r="X38" i="22" s="1"/>
  <c r="T20" i="22"/>
  <c r="E40" i="22" s="1"/>
  <c r="AB20" i="22"/>
  <c r="M40" i="22" s="1"/>
  <c r="AJ20" i="22"/>
  <c r="U40" i="22" s="1"/>
  <c r="AR20" i="22"/>
  <c r="AC40" i="22" s="1"/>
  <c r="R22" i="22"/>
  <c r="C42" i="22" s="1"/>
  <c r="Z22" i="22"/>
  <c r="K42" i="22" s="1"/>
  <c r="AH22" i="22"/>
  <c r="S42" i="22" s="1"/>
  <c r="R23" i="22"/>
  <c r="C43" i="22" s="1"/>
  <c r="Z23" i="22"/>
  <c r="K43" i="22" s="1"/>
  <c r="AH23" i="22"/>
  <c r="S43" i="22" s="1"/>
  <c r="R24" i="22"/>
  <c r="C44" i="22" s="1"/>
  <c r="Z24" i="22"/>
  <c r="K44" i="22" s="1"/>
  <c r="AH24" i="22"/>
  <c r="S44" i="22" s="1"/>
  <c r="AY24" i="22"/>
  <c r="R25" i="22"/>
  <c r="Z25" i="22"/>
  <c r="AH25" i="22"/>
  <c r="AY25" i="22"/>
  <c r="R26" i="22"/>
  <c r="Z26" i="22"/>
  <c r="AH26" i="22"/>
  <c r="AY26" i="22"/>
  <c r="R27" i="22"/>
  <c r="C47" i="22" s="1"/>
  <c r="Z27" i="22"/>
  <c r="K47" i="22" s="1"/>
  <c r="AH27" i="22"/>
  <c r="S47" i="22" s="1"/>
  <c r="AY27" i="22"/>
  <c r="S117" i="22"/>
  <c r="D137" i="22" s="1"/>
  <c r="AR117" i="22"/>
  <c r="AC137" i="22" s="1"/>
  <c r="Z118" i="22"/>
  <c r="K138" i="22" s="1"/>
  <c r="AJ119" i="22"/>
  <c r="U139" i="22" s="1"/>
  <c r="AG122" i="22"/>
  <c r="R142" i="22" s="1"/>
  <c r="W122" i="22"/>
  <c r="H142" i="22" s="1"/>
  <c r="AR122" i="22"/>
  <c r="AC142" i="22" s="1"/>
  <c r="AF122" i="22"/>
  <c r="Q142" i="22" s="1"/>
  <c r="V122" i="22"/>
  <c r="G142" i="22" s="1"/>
  <c r="AN122" i="22"/>
  <c r="Y142" i="22" s="1"/>
  <c r="AD122" i="22"/>
  <c r="O142" i="22" s="1"/>
  <c r="T122" i="22"/>
  <c r="E142" i="22" s="1"/>
  <c r="X15" i="22"/>
  <c r="I35" i="22" s="1"/>
  <c r="AF15" i="22"/>
  <c r="Q35" i="22" s="1"/>
  <c r="AN15" i="22"/>
  <c r="Y35" i="22" s="1"/>
  <c r="X16" i="22"/>
  <c r="I36" i="22" s="1"/>
  <c r="AF16" i="22"/>
  <c r="Q36" i="22" s="1"/>
  <c r="AN16" i="22"/>
  <c r="Y36" i="22" s="1"/>
  <c r="X17" i="22"/>
  <c r="I37" i="22" s="1"/>
  <c r="AF17" i="22"/>
  <c r="Q37" i="22" s="1"/>
  <c r="AN17" i="22"/>
  <c r="Y37" i="22" s="1"/>
  <c r="X18" i="22"/>
  <c r="I38" i="22" s="1"/>
  <c r="AF18" i="22"/>
  <c r="Q38" i="22" s="1"/>
  <c r="AN18" i="22"/>
  <c r="Y38" i="22" s="1"/>
  <c r="U20" i="22"/>
  <c r="F40" i="22" s="1"/>
  <c r="AC20" i="22"/>
  <c r="N40" i="22" s="1"/>
  <c r="AK20" i="22"/>
  <c r="V40" i="22" s="1"/>
  <c r="S22" i="22"/>
  <c r="D42" i="22" s="1"/>
  <c r="AA22" i="22"/>
  <c r="L42" i="22" s="1"/>
  <c r="AI22" i="22"/>
  <c r="T42" i="22" s="1"/>
  <c r="AQ22" i="22"/>
  <c r="AB42" i="22" s="1"/>
  <c r="S23" i="22"/>
  <c r="D43" i="22" s="1"/>
  <c r="AA23" i="22"/>
  <c r="L43" i="22" s="1"/>
  <c r="AI23" i="22"/>
  <c r="T43" i="22" s="1"/>
  <c r="AQ23" i="22"/>
  <c r="AB43" i="22" s="1"/>
  <c r="S24" i="22"/>
  <c r="D44" i="22" s="1"/>
  <c r="AA24" i="22"/>
  <c r="L44" i="22" s="1"/>
  <c r="AI24" i="22"/>
  <c r="T44" i="22" s="1"/>
  <c r="AQ24" i="22"/>
  <c r="AB44" i="22" s="1"/>
  <c r="S25" i="22"/>
  <c r="AA25" i="22"/>
  <c r="AI25" i="22"/>
  <c r="AQ25" i="22"/>
  <c r="S26" i="22"/>
  <c r="AA26" i="22"/>
  <c r="AI26" i="22"/>
  <c r="T46" i="22" s="1"/>
  <c r="AQ26" i="22"/>
  <c r="S27" i="22"/>
  <c r="D47" i="22" s="1"/>
  <c r="AA27" i="22"/>
  <c r="L47" i="22" s="1"/>
  <c r="AI27" i="22"/>
  <c r="T47" i="22" s="1"/>
  <c r="AQ27" i="22"/>
  <c r="AB47" i="22" s="1"/>
  <c r="U117" i="22"/>
  <c r="F137" i="22" s="1"/>
  <c r="AB118" i="22"/>
  <c r="M138" i="22" s="1"/>
  <c r="Y128" i="22"/>
  <c r="J148" i="22" s="1"/>
  <c r="AV33" i="22"/>
  <c r="AL119" i="22"/>
  <c r="W139" i="22" s="1"/>
  <c r="AD119" i="22"/>
  <c r="O139" i="22" s="1"/>
  <c r="V119" i="22"/>
  <c r="G139" i="22" s="1"/>
  <c r="AK119" i="22"/>
  <c r="V139" i="22" s="1"/>
  <c r="AC119" i="22"/>
  <c r="N139" i="22" s="1"/>
  <c r="U119" i="22"/>
  <c r="F139" i="22" s="1"/>
  <c r="AR119" i="22"/>
  <c r="AC139" i="22" s="1"/>
  <c r="AH119" i="22"/>
  <c r="S139" i="22" s="1"/>
  <c r="X119" i="22"/>
  <c r="I139" i="22" s="1"/>
  <c r="AP119" i="22"/>
  <c r="AA139" i="22" s="1"/>
  <c r="AF119" i="22"/>
  <c r="Q139" i="22" s="1"/>
  <c r="T119" i="22"/>
  <c r="E139" i="22" s="1"/>
  <c r="AO119" i="22"/>
  <c r="Z139" i="22" s="1"/>
  <c r="AE119" i="22"/>
  <c r="P139" i="22" s="1"/>
  <c r="S119" i="22"/>
  <c r="D139" i="22" s="1"/>
  <c r="AN119" i="22"/>
  <c r="Y139" i="22" s="1"/>
  <c r="AB119" i="22"/>
  <c r="M139" i="22" s="1"/>
  <c r="R119" i="22"/>
  <c r="C139" i="22" s="1"/>
  <c r="AM119" i="22"/>
  <c r="X139" i="22" s="1"/>
  <c r="AA119" i="22"/>
  <c r="L139" i="22" s="1"/>
  <c r="Q119" i="22"/>
  <c r="B139" i="22" s="1"/>
  <c r="A171" i="22"/>
  <c r="A183" i="22"/>
  <c r="W119" i="22"/>
  <c r="H139" i="22" s="1"/>
  <c r="AP123" i="22"/>
  <c r="AA143" i="22" s="1"/>
  <c r="AH123" i="22"/>
  <c r="S143" i="22" s="1"/>
  <c r="Z123" i="22"/>
  <c r="K143" i="22" s="1"/>
  <c r="R123" i="22"/>
  <c r="C143" i="22" s="1"/>
  <c r="AO123" i="22"/>
  <c r="Z143" i="22" s="1"/>
  <c r="AG123" i="22"/>
  <c r="R143" i="22" s="1"/>
  <c r="Y123" i="22"/>
  <c r="J143" i="22" s="1"/>
  <c r="Q123" i="22"/>
  <c r="B143" i="22" s="1"/>
  <c r="AK123" i="22"/>
  <c r="V143" i="22" s="1"/>
  <c r="AA123" i="22"/>
  <c r="L143" i="22" s="1"/>
  <c r="AI123" i="22"/>
  <c r="T143" i="22" s="1"/>
  <c r="W123" i="22"/>
  <c r="H143" i="22" s="1"/>
  <c r="AR123" i="22"/>
  <c r="AC143" i="22" s="1"/>
  <c r="AF123" i="22"/>
  <c r="Q143" i="22" s="1"/>
  <c r="V123" i="22"/>
  <c r="G143" i="22" s="1"/>
  <c r="AQ123" i="22"/>
  <c r="AB143" i="22" s="1"/>
  <c r="AE123" i="22"/>
  <c r="P143" i="22" s="1"/>
  <c r="U123" i="22"/>
  <c r="F143" i="22" s="1"/>
  <c r="AN123" i="22"/>
  <c r="Y143" i="22" s="1"/>
  <c r="AD123" i="22"/>
  <c r="O143" i="22" s="1"/>
  <c r="T123" i="22"/>
  <c r="E143" i="22" s="1"/>
  <c r="AM123" i="22"/>
  <c r="X143" i="22" s="1"/>
  <c r="AC123" i="22"/>
  <c r="N143" i="22" s="1"/>
  <c r="S123" i="22"/>
  <c r="D143" i="22" s="1"/>
  <c r="AR124" i="22"/>
  <c r="AC144" i="22" s="1"/>
  <c r="AP124" i="22"/>
  <c r="AA144" i="22" s="1"/>
  <c r="AD124" i="22"/>
  <c r="O144" i="22" s="1"/>
  <c r="T124" i="22"/>
  <c r="E144" i="22" s="1"/>
  <c r="AM124" i="22"/>
  <c r="X144" i="22" s="1"/>
  <c r="AC124" i="22"/>
  <c r="N144" i="22" s="1"/>
  <c r="S124" i="22"/>
  <c r="D144" i="22" s="1"/>
  <c r="AK124" i="22"/>
  <c r="V144" i="22" s="1"/>
  <c r="AA124" i="22"/>
  <c r="L144" i="22" s="1"/>
  <c r="AR133" i="22"/>
  <c r="AC153" i="22" s="1"/>
  <c r="AH133" i="22"/>
  <c r="S153" i="22" s="1"/>
  <c r="V133" i="22"/>
  <c r="G153" i="22" s="1"/>
  <c r="AP133" i="22"/>
  <c r="AA153" i="22" s="1"/>
  <c r="AD133" i="22"/>
  <c r="O153" i="22" s="1"/>
  <c r="T133" i="22"/>
  <c r="E153" i="22" s="1"/>
  <c r="AM133" i="22"/>
  <c r="X153" i="22" s="1"/>
  <c r="AC133" i="22"/>
  <c r="N153" i="22" s="1"/>
  <c r="S133" i="22"/>
  <c r="D153" i="22" s="1"/>
  <c r="AK133" i="22"/>
  <c r="V153" i="22" s="1"/>
  <c r="AA133" i="22"/>
  <c r="L153" i="22" s="1"/>
  <c r="A169" i="22"/>
  <c r="A181" i="22"/>
  <c r="S15" i="22"/>
  <c r="D35" i="22" s="1"/>
  <c r="AA15" i="22"/>
  <c r="L35" i="22" s="1"/>
  <c r="AI15" i="22"/>
  <c r="T35" i="22" s="1"/>
  <c r="S16" i="22"/>
  <c r="D36" i="22" s="1"/>
  <c r="AA16" i="22"/>
  <c r="L36" i="22" s="1"/>
  <c r="AI16" i="22"/>
  <c r="T36" i="22" s="1"/>
  <c r="S17" i="22"/>
  <c r="D37" i="22" s="1"/>
  <c r="AA17" i="22"/>
  <c r="L37" i="22" s="1"/>
  <c r="AI17" i="22"/>
  <c r="T37" i="22" s="1"/>
  <c r="S18" i="22"/>
  <c r="D38" i="22" s="1"/>
  <c r="AA18" i="22"/>
  <c r="L38" i="22" s="1"/>
  <c r="AI18" i="22"/>
  <c r="T38" i="22" s="1"/>
  <c r="X20" i="22"/>
  <c r="I40" i="22" s="1"/>
  <c r="AF20" i="22"/>
  <c r="Q40" i="22" s="1"/>
  <c r="V22" i="22"/>
  <c r="G42" i="22" s="1"/>
  <c r="AD22" i="22"/>
  <c r="O42" i="22" s="1"/>
  <c r="V23" i="22"/>
  <c r="G43" i="22" s="1"/>
  <c r="AD23" i="22"/>
  <c r="O43" i="22" s="1"/>
  <c r="V24" i="22"/>
  <c r="G44" i="22" s="1"/>
  <c r="AD24" i="22"/>
  <c r="O44" i="22" s="1"/>
  <c r="V25" i="22"/>
  <c r="AD25" i="22"/>
  <c r="V26" i="22"/>
  <c r="AD26" i="22"/>
  <c r="AU26" i="22"/>
  <c r="V27" i="22"/>
  <c r="G47" i="22" s="1"/>
  <c r="AD27" i="22"/>
  <c r="O47" i="22" s="1"/>
  <c r="AU27" i="22"/>
  <c r="A69" i="22"/>
  <c r="Y119" i="22"/>
  <c r="J139" i="22" s="1"/>
  <c r="AR121" i="22"/>
  <c r="AC141" i="22" s="1"/>
  <c r="AJ121" i="22"/>
  <c r="U141" i="22" s="1"/>
  <c r="AB121" i="22"/>
  <c r="M141" i="22" s="1"/>
  <c r="T121" i="22"/>
  <c r="E141" i="22" s="1"/>
  <c r="AQ121" i="22"/>
  <c r="AB141" i="22" s="1"/>
  <c r="AI121" i="22"/>
  <c r="T141" i="22" s="1"/>
  <c r="AA121" i="22"/>
  <c r="L141" i="22" s="1"/>
  <c r="S121" i="22"/>
  <c r="D141" i="22" s="1"/>
  <c r="AM121" i="22"/>
  <c r="X141" i="22" s="1"/>
  <c r="AC121" i="22"/>
  <c r="N141" i="22" s="1"/>
  <c r="Q121" i="22"/>
  <c r="B141" i="22" s="1"/>
  <c r="AK121" i="22"/>
  <c r="V141" i="22" s="1"/>
  <c r="Y121" i="22"/>
  <c r="J141" i="22" s="1"/>
  <c r="AH121" i="22"/>
  <c r="S141" i="22" s="1"/>
  <c r="X121" i="22"/>
  <c r="I141" i="22" s="1"/>
  <c r="AG121" i="22"/>
  <c r="R141" i="22" s="1"/>
  <c r="W121" i="22"/>
  <c r="H141" i="22" s="1"/>
  <c r="AP121" i="22"/>
  <c r="AA141" i="22" s="1"/>
  <c r="AF121" i="22"/>
  <c r="Q141" i="22" s="1"/>
  <c r="V121" i="22"/>
  <c r="G141" i="22" s="1"/>
  <c r="AO121" i="22"/>
  <c r="Z141" i="22" s="1"/>
  <c r="X123" i="22"/>
  <c r="I143" i="22" s="1"/>
  <c r="W22" i="22"/>
  <c r="H42" i="22" s="1"/>
  <c r="AE22" i="22"/>
  <c r="P42" i="22" s="1"/>
  <c r="W23" i="22"/>
  <c r="H43" i="22" s="1"/>
  <c r="AE23" i="22"/>
  <c r="P43" i="22" s="1"/>
  <c r="W24" i="22"/>
  <c r="H44" i="22" s="1"/>
  <c r="AE24" i="22"/>
  <c r="P44" i="22" s="1"/>
  <c r="W25" i="22"/>
  <c r="AE25" i="22"/>
  <c r="W26" i="22"/>
  <c r="AE26" i="22"/>
  <c r="W27" i="22"/>
  <c r="H47" i="22" s="1"/>
  <c r="AE27" i="22"/>
  <c r="P47" i="22" s="1"/>
  <c r="AP117" i="22"/>
  <c r="AA137" i="22" s="1"/>
  <c r="AD117" i="22"/>
  <c r="O137" i="22" s="1"/>
  <c r="T117" i="22"/>
  <c r="E137" i="22" s="1"/>
  <c r="AL117" i="22"/>
  <c r="W137" i="22" s="1"/>
  <c r="AB117" i="22"/>
  <c r="M137" i="22" s="1"/>
  <c r="R117" i="22"/>
  <c r="C137" i="22" s="1"/>
  <c r="AK117" i="22"/>
  <c r="V137" i="22" s="1"/>
  <c r="AA117" i="22"/>
  <c r="L137" i="22" s="1"/>
  <c r="Q117" i="22"/>
  <c r="B137" i="22" s="1"/>
  <c r="AJ117" i="22"/>
  <c r="U137" i="22" s="1"/>
  <c r="Z117" i="22"/>
  <c r="K137" i="22" s="1"/>
  <c r="AI117" i="22"/>
  <c r="T137" i="22" s="1"/>
  <c r="Y117" i="22"/>
  <c r="J137" i="22" s="1"/>
  <c r="AH117" i="22"/>
  <c r="S137" i="22" s="1"/>
  <c r="AM118" i="22"/>
  <c r="X138" i="22" s="1"/>
  <c r="AE118" i="22"/>
  <c r="P138" i="22" s="1"/>
  <c r="W118" i="22"/>
  <c r="H138" i="22" s="1"/>
  <c r="AL118" i="22"/>
  <c r="W138" i="22" s="1"/>
  <c r="AD118" i="22"/>
  <c r="O138" i="22" s="1"/>
  <c r="V118" i="22"/>
  <c r="G138" i="22" s="1"/>
  <c r="AK118" i="22"/>
  <c r="V138" i="22" s="1"/>
  <c r="AA118" i="22"/>
  <c r="L138" i="22" s="1"/>
  <c r="Q118" i="22"/>
  <c r="B138" i="22" s="1"/>
  <c r="AI118" i="22"/>
  <c r="T138" i="22" s="1"/>
  <c r="Y118" i="22"/>
  <c r="J138" i="22" s="1"/>
  <c r="AR118" i="22"/>
  <c r="AC138" i="22" s="1"/>
  <c r="AH118" i="22"/>
  <c r="S138" i="22" s="1"/>
  <c r="X118" i="22"/>
  <c r="I138" i="22" s="1"/>
  <c r="AQ118" i="22"/>
  <c r="AB138" i="22" s="1"/>
  <c r="AG118" i="22"/>
  <c r="R138" i="22" s="1"/>
  <c r="U118" i="22"/>
  <c r="F138" i="22" s="1"/>
  <c r="AP118" i="22"/>
  <c r="AA138" i="22" s="1"/>
  <c r="AF118" i="22"/>
  <c r="Q138" i="22" s="1"/>
  <c r="T118" i="22"/>
  <c r="E138" i="22" s="1"/>
  <c r="AO118" i="22"/>
  <c r="Z138" i="22" s="1"/>
  <c r="Z119" i="22"/>
  <c r="K139" i="22" s="1"/>
  <c r="AB123" i="22"/>
  <c r="M143" i="22" s="1"/>
  <c r="V124" i="22"/>
  <c r="G144" i="22" s="1"/>
  <c r="AP132" i="22"/>
  <c r="AH132" i="22"/>
  <c r="Z132" i="22"/>
  <c r="R132" i="22"/>
  <c r="AO132" i="22"/>
  <c r="AG132" i="22"/>
  <c r="Y132" i="22"/>
  <c r="Q132" i="22"/>
  <c r="AK132" i="22"/>
  <c r="AA132" i="22"/>
  <c r="AJ132" i="22"/>
  <c r="X132" i="22"/>
  <c r="AI132" i="22"/>
  <c r="W132" i="22"/>
  <c r="AR132" i="22"/>
  <c r="AF132" i="22"/>
  <c r="V132" i="22"/>
  <c r="AQ132" i="22"/>
  <c r="AE132" i="22"/>
  <c r="U132" i="22"/>
  <c r="AN132" i="22"/>
  <c r="AD132" i="22"/>
  <c r="T132" i="22"/>
  <c r="AM132" i="22"/>
  <c r="AC132" i="22"/>
  <c r="S132" i="22"/>
  <c r="Z133" i="22"/>
  <c r="K153" i="22" s="1"/>
  <c r="AO124" i="22"/>
  <c r="Z144" i="22" s="1"/>
  <c r="V125" i="22"/>
  <c r="G145" i="22" s="1"/>
  <c r="AH125" i="22"/>
  <c r="S145" i="22" s="1"/>
  <c r="AR125" i="22"/>
  <c r="AC145" i="22" s="1"/>
  <c r="S126" i="22"/>
  <c r="D146" i="22" s="1"/>
  <c r="AC126" i="22"/>
  <c r="N146" i="22" s="1"/>
  <c r="AO126" i="22"/>
  <c r="Z146" i="22" s="1"/>
  <c r="AL128" i="22"/>
  <c r="W148" i="22" s="1"/>
  <c r="AD128" i="22"/>
  <c r="O148" i="22" s="1"/>
  <c r="V128" i="22"/>
  <c r="G148" i="22" s="1"/>
  <c r="AK128" i="22"/>
  <c r="V148" i="22" s="1"/>
  <c r="AC128" i="22"/>
  <c r="N148" i="22" s="1"/>
  <c r="U128" i="22"/>
  <c r="F148" i="22" s="1"/>
  <c r="Z128" i="22"/>
  <c r="K148" i="22" s="1"/>
  <c r="AJ128" i="22"/>
  <c r="U148" i="22" s="1"/>
  <c r="U130" i="22"/>
  <c r="F150" i="22" s="1"/>
  <c r="AE130" i="22"/>
  <c r="P150" i="22" s="1"/>
  <c r="AO130" i="22"/>
  <c r="Z150" i="22" s="1"/>
  <c r="T131" i="22"/>
  <c r="AD131" i="22"/>
  <c r="AN131" i="22"/>
  <c r="AO133" i="22"/>
  <c r="Z153" i="22" s="1"/>
  <c r="AK229" i="22"/>
  <c r="V249" i="22" s="1"/>
  <c r="AC229" i="22"/>
  <c r="N249" i="22" s="1"/>
  <c r="U229" i="22"/>
  <c r="F249" i="22" s="1"/>
  <c r="AR229" i="22"/>
  <c r="AC249" i="22" s="1"/>
  <c r="AJ229" i="22"/>
  <c r="U249" i="22" s="1"/>
  <c r="AB229" i="22"/>
  <c r="M249" i="22" s="1"/>
  <c r="T229" i="22"/>
  <c r="E249" i="22" s="1"/>
  <c r="AP229" i="22"/>
  <c r="AA249" i="22" s="1"/>
  <c r="AF229" i="22"/>
  <c r="Q249" i="22" s="1"/>
  <c r="V229" i="22"/>
  <c r="G249" i="22" s="1"/>
  <c r="AN229" i="22"/>
  <c r="Y249" i="22" s="1"/>
  <c r="AD229" i="22"/>
  <c r="O249" i="22" s="1"/>
  <c r="R229" i="22"/>
  <c r="C249" i="22" s="1"/>
  <c r="AM229" i="22"/>
  <c r="X249" i="22" s="1"/>
  <c r="Y229" i="22"/>
  <c r="J249" i="22" s="1"/>
  <c r="AL229" i="22"/>
  <c r="W249" i="22" s="1"/>
  <c r="X229" i="22"/>
  <c r="I249" i="22" s="1"/>
  <c r="AI229" i="22"/>
  <c r="T249" i="22" s="1"/>
  <c r="W229" i="22"/>
  <c r="H249" i="22" s="1"/>
  <c r="AH229" i="22"/>
  <c r="S249" i="22" s="1"/>
  <c r="S229" i="22"/>
  <c r="D249" i="22" s="1"/>
  <c r="AG229" i="22"/>
  <c r="R249" i="22" s="1"/>
  <c r="Q229" i="22"/>
  <c r="B249" i="22" s="1"/>
  <c r="AQ229" i="22"/>
  <c r="AB249" i="22" s="1"/>
  <c r="AA229" i="22"/>
  <c r="L249" i="22" s="1"/>
  <c r="AO229" i="22"/>
  <c r="Z249" i="22" s="1"/>
  <c r="Z229" i="22"/>
  <c r="K249" i="22" s="1"/>
  <c r="AQ231" i="22"/>
  <c r="AB251" i="22" s="1"/>
  <c r="AI231" i="22"/>
  <c r="T251" i="22" s="1"/>
  <c r="AA231" i="22"/>
  <c r="L251" i="22" s="1"/>
  <c r="S231" i="22"/>
  <c r="D251" i="22" s="1"/>
  <c r="AP231" i="22"/>
  <c r="AA251" i="22" s="1"/>
  <c r="AH231" i="22"/>
  <c r="S251" i="22" s="1"/>
  <c r="Z231" i="22"/>
  <c r="K251" i="22" s="1"/>
  <c r="R231" i="22"/>
  <c r="C251" i="22" s="1"/>
  <c r="AM231" i="22"/>
  <c r="X251" i="22" s="1"/>
  <c r="AC231" i="22"/>
  <c r="N251" i="22" s="1"/>
  <c r="Q231" i="22"/>
  <c r="B251" i="22" s="1"/>
  <c r="AK231" i="22"/>
  <c r="V251" i="22" s="1"/>
  <c r="Y231" i="22"/>
  <c r="J251" i="22" s="1"/>
  <c r="AN231" i="22"/>
  <c r="Y251" i="22" s="1"/>
  <c r="X231" i="22"/>
  <c r="I251" i="22" s="1"/>
  <c r="AL231" i="22"/>
  <c r="W251" i="22" s="1"/>
  <c r="W231" i="22"/>
  <c r="H251" i="22" s="1"/>
  <c r="AJ231" i="22"/>
  <c r="U251" i="22" s="1"/>
  <c r="V231" i="22"/>
  <c r="G251" i="22" s="1"/>
  <c r="AG231" i="22"/>
  <c r="R251" i="22" s="1"/>
  <c r="U231" i="22"/>
  <c r="F251" i="22" s="1"/>
  <c r="AF231" i="22"/>
  <c r="Q251" i="22" s="1"/>
  <c r="T231" i="22"/>
  <c r="E251" i="22" s="1"/>
  <c r="AR231" i="22"/>
  <c r="AC251" i="22" s="1"/>
  <c r="AD231" i="22"/>
  <c r="O251" i="22" s="1"/>
  <c r="AO231" i="22"/>
  <c r="Z251" i="22" s="1"/>
  <c r="AB231" i="22"/>
  <c r="M251" i="22" s="1"/>
  <c r="AH238" i="22"/>
  <c r="S258" i="22" s="1"/>
  <c r="S238" i="22"/>
  <c r="D258" i="22" s="1"/>
  <c r="AG238" i="22"/>
  <c r="R258" i="22" s="1"/>
  <c r="Q238" i="22"/>
  <c r="B258" i="22" s="1"/>
  <c r="A290" i="22"/>
  <c r="A278" i="22"/>
  <c r="A280" i="22"/>
  <c r="A292" i="22"/>
  <c r="X120" i="22"/>
  <c r="I140" i="22" s="1"/>
  <c r="AH120" i="22"/>
  <c r="S140" i="22" s="1"/>
  <c r="U122" i="22"/>
  <c r="F142" i="22" s="1"/>
  <c r="AE122" i="22"/>
  <c r="P142" i="22" s="1"/>
  <c r="AO122" i="22"/>
  <c r="Z142" i="22" s="1"/>
  <c r="R124" i="22"/>
  <c r="C144" i="22" s="1"/>
  <c r="AB124" i="22"/>
  <c r="M144" i="22" s="1"/>
  <c r="AL124" i="22"/>
  <c r="W144" i="22" s="1"/>
  <c r="Y125" i="22"/>
  <c r="J145" i="22" s="1"/>
  <c r="AI125" i="22"/>
  <c r="T145" i="22" s="1"/>
  <c r="T126" i="22"/>
  <c r="E146" i="22" s="1"/>
  <c r="AF126" i="22"/>
  <c r="Q146" i="22" s="1"/>
  <c r="AP126" i="22"/>
  <c r="AA146" i="22" s="1"/>
  <c r="Q128" i="22"/>
  <c r="B148" i="22" s="1"/>
  <c r="AA128" i="22"/>
  <c r="L148" i="22" s="1"/>
  <c r="AM128" i="22"/>
  <c r="X148" i="22" s="1"/>
  <c r="X129" i="22"/>
  <c r="I149" i="22" s="1"/>
  <c r="AH129" i="22"/>
  <c r="S149" i="22" s="1"/>
  <c r="V130" i="22"/>
  <c r="G150" i="22" s="1"/>
  <c r="AF130" i="22"/>
  <c r="Q150" i="22" s="1"/>
  <c r="AP130" i="22"/>
  <c r="AA150" i="22" s="1"/>
  <c r="U131" i="22"/>
  <c r="AE131" i="22"/>
  <c r="AO131" i="22"/>
  <c r="R133" i="22"/>
  <c r="C153" i="22" s="1"/>
  <c r="AB133" i="22"/>
  <c r="M153" i="22" s="1"/>
  <c r="AL133" i="22"/>
  <c r="W153" i="22" s="1"/>
  <c r="AE229" i="22"/>
  <c r="P249" i="22" s="1"/>
  <c r="AE231" i="22"/>
  <c r="P251" i="22" s="1"/>
  <c r="AB240" i="22"/>
  <c r="AN117" i="22"/>
  <c r="Y137" i="22" s="1"/>
  <c r="Y120" i="22"/>
  <c r="J140" i="22" s="1"/>
  <c r="AN125" i="22"/>
  <c r="Y145" i="22" s="1"/>
  <c r="Z125" i="22"/>
  <c r="K145" i="22" s="1"/>
  <c r="AJ125" i="22"/>
  <c r="U145" i="22" s="1"/>
  <c r="U126" i="22"/>
  <c r="F146" i="22" s="1"/>
  <c r="AG126" i="22"/>
  <c r="R146" i="22" s="1"/>
  <c r="AQ126" i="22"/>
  <c r="AB146" i="22" s="1"/>
  <c r="R128" i="22"/>
  <c r="C148" i="22" s="1"/>
  <c r="AB128" i="22"/>
  <c r="M148" i="22" s="1"/>
  <c r="AN128" i="22"/>
  <c r="Y148" i="22" s="1"/>
  <c r="Y129" i="22"/>
  <c r="J149" i="22" s="1"/>
  <c r="W130" i="22"/>
  <c r="H150" i="22" s="1"/>
  <c r="AG130" i="22"/>
  <c r="R150" i="22" s="1"/>
  <c r="V131" i="22"/>
  <c r="AF131" i="22"/>
  <c r="AR131" i="22"/>
  <c r="AQ238" i="22"/>
  <c r="AB258" i="22" s="1"/>
  <c r="A279" i="22"/>
  <c r="A291" i="22"/>
  <c r="AK120" i="22"/>
  <c r="V140" i="22" s="1"/>
  <c r="AC120" i="22"/>
  <c r="N140" i="22" s="1"/>
  <c r="U120" i="22"/>
  <c r="F140" i="22" s="1"/>
  <c r="AR120" i="22"/>
  <c r="AC140" i="22" s="1"/>
  <c r="AJ120" i="22"/>
  <c r="U140" i="22" s="1"/>
  <c r="AB120" i="22"/>
  <c r="M140" i="22" s="1"/>
  <c r="T120" i="22"/>
  <c r="E140" i="22" s="1"/>
  <c r="Z120" i="22"/>
  <c r="K140" i="22" s="1"/>
  <c r="AL120" i="22"/>
  <c r="W140" i="22" s="1"/>
  <c r="Q125" i="22"/>
  <c r="B145" i="22" s="1"/>
  <c r="AA125" i="22"/>
  <c r="L145" i="22" s="1"/>
  <c r="AK125" i="22"/>
  <c r="V145" i="22" s="1"/>
  <c r="X126" i="22"/>
  <c r="I146" i="22" s="1"/>
  <c r="AH126" i="22"/>
  <c r="S146" i="22" s="1"/>
  <c r="AR126" i="22"/>
  <c r="AC146" i="22" s="1"/>
  <c r="S128" i="22"/>
  <c r="D148" i="22" s="1"/>
  <c r="AE128" i="22"/>
  <c r="P148" i="22" s="1"/>
  <c r="AO128" i="22"/>
  <c r="Z148" i="22" s="1"/>
  <c r="AK129" i="22"/>
  <c r="V149" i="22" s="1"/>
  <c r="AC129" i="22"/>
  <c r="N149" i="22" s="1"/>
  <c r="U129" i="22"/>
  <c r="F149" i="22" s="1"/>
  <c r="AR129" i="22"/>
  <c r="AC149" i="22" s="1"/>
  <c r="AJ129" i="22"/>
  <c r="U149" i="22" s="1"/>
  <c r="AB129" i="22"/>
  <c r="M149" i="22" s="1"/>
  <c r="T129" i="22"/>
  <c r="E149" i="22" s="1"/>
  <c r="Z129" i="22"/>
  <c r="K149" i="22" s="1"/>
  <c r="AL129" i="22"/>
  <c r="W149" i="22" s="1"/>
  <c r="X130" i="22"/>
  <c r="I150" i="22" s="1"/>
  <c r="AH130" i="22"/>
  <c r="S150" i="22" s="1"/>
  <c r="W131" i="22"/>
  <c r="AG131" i="22"/>
  <c r="A187" i="22"/>
  <c r="A175" i="22"/>
  <c r="A182" i="22"/>
  <c r="Z238" i="22"/>
  <c r="K258" i="22" s="1"/>
  <c r="A281" i="22"/>
  <c r="A293" i="22"/>
  <c r="Q120" i="22"/>
  <c r="B140" i="22" s="1"/>
  <c r="AA120" i="22"/>
  <c r="L140" i="22" s="1"/>
  <c r="AM120" i="22"/>
  <c r="X140" i="22" s="1"/>
  <c r="X122" i="22"/>
  <c r="I142" i="22" s="1"/>
  <c r="U124" i="22"/>
  <c r="F144" i="22" s="1"/>
  <c r="AE124" i="22"/>
  <c r="P144" i="22" s="1"/>
  <c r="AQ124" i="22"/>
  <c r="AB144" i="22" s="1"/>
  <c r="R125" i="22"/>
  <c r="C145" i="22" s="1"/>
  <c r="AB125" i="22"/>
  <c r="M145" i="22" s="1"/>
  <c r="AL125" i="22"/>
  <c r="W145" i="22" s="1"/>
  <c r="Y126" i="22"/>
  <c r="J146" i="22" s="1"/>
  <c r="T128" i="22"/>
  <c r="E148" i="22" s="1"/>
  <c r="AF128" i="22"/>
  <c r="Q148" i="22" s="1"/>
  <c r="AP128" i="22"/>
  <c r="AA148" i="22" s="1"/>
  <c r="Q129" i="22"/>
  <c r="B149" i="22" s="1"/>
  <c r="AA129" i="22"/>
  <c r="L149" i="22" s="1"/>
  <c r="AM129" i="22"/>
  <c r="X149" i="22" s="1"/>
  <c r="Y130" i="22"/>
  <c r="J150" i="22" s="1"/>
  <c r="X131" i="22"/>
  <c r="U133" i="22"/>
  <c r="F153" i="22" s="1"/>
  <c r="AE133" i="22"/>
  <c r="P153" i="22" s="1"/>
  <c r="AQ133" i="22"/>
  <c r="AB153" i="22" s="1"/>
  <c r="A184" i="22"/>
  <c r="A172" i="22"/>
  <c r="A186" i="22"/>
  <c r="A174" i="22"/>
  <c r="A173" i="22"/>
  <c r="AO238" i="22"/>
  <c r="Z258" i="22" s="1"/>
  <c r="AM126" i="22"/>
  <c r="X146" i="22" s="1"/>
  <c r="AE126" i="22"/>
  <c r="P146" i="22" s="1"/>
  <c r="W126" i="22"/>
  <c r="H146" i="22" s="1"/>
  <c r="AL126" i="22"/>
  <c r="W146" i="22" s="1"/>
  <c r="AD126" i="22"/>
  <c r="O146" i="22" s="1"/>
  <c r="V126" i="22"/>
  <c r="G146" i="22" s="1"/>
  <c r="Z126" i="22"/>
  <c r="K146" i="22" s="1"/>
  <c r="AJ126" i="22"/>
  <c r="U146" i="22" s="1"/>
  <c r="AR130" i="22"/>
  <c r="AC150" i="22" s="1"/>
  <c r="AJ130" i="22"/>
  <c r="U150" i="22" s="1"/>
  <c r="AB130" i="22"/>
  <c r="M150" i="22" s="1"/>
  <c r="T130" i="22"/>
  <c r="E150" i="22" s="1"/>
  <c r="AQ130" i="22"/>
  <c r="AB150" i="22" s="1"/>
  <c r="AI130" i="22"/>
  <c r="T150" i="22" s="1"/>
  <c r="AA130" i="22"/>
  <c r="L150" i="22" s="1"/>
  <c r="S130" i="22"/>
  <c r="D150" i="22" s="1"/>
  <c r="Z130" i="22"/>
  <c r="K150" i="22" s="1"/>
  <c r="AL130" i="22"/>
  <c r="W150" i="22" s="1"/>
  <c r="Y131" i="22"/>
  <c r="S120" i="22"/>
  <c r="D140" i="22" s="1"/>
  <c r="AE120" i="22"/>
  <c r="P140" i="22" s="1"/>
  <c r="AO120" i="22"/>
  <c r="Z140" i="22" s="1"/>
  <c r="AQ122" i="22"/>
  <c r="AB142" i="22" s="1"/>
  <c r="AI122" i="22"/>
  <c r="T142" i="22" s="1"/>
  <c r="AA122" i="22"/>
  <c r="L142" i="22" s="1"/>
  <c r="S122" i="22"/>
  <c r="D142" i="22" s="1"/>
  <c r="AP122" i="22"/>
  <c r="AA142" i="22" s="1"/>
  <c r="AH122" i="22"/>
  <c r="S142" i="22" s="1"/>
  <c r="Z122" i="22"/>
  <c r="K142" i="22" s="1"/>
  <c r="R122" i="22"/>
  <c r="C142" i="22" s="1"/>
  <c r="AB122" i="22"/>
  <c r="M142" i="22" s="1"/>
  <c r="AL122" i="22"/>
  <c r="W142" i="22" s="1"/>
  <c r="W124" i="22"/>
  <c r="H144" i="22" s="1"/>
  <c r="T125" i="22"/>
  <c r="E145" i="22" s="1"/>
  <c r="AD125" i="22"/>
  <c r="O145" i="22" s="1"/>
  <c r="Q126" i="22"/>
  <c r="B146" i="22" s="1"/>
  <c r="AA126" i="22"/>
  <c r="L146" i="22" s="1"/>
  <c r="AK126" i="22"/>
  <c r="V146" i="22" s="1"/>
  <c r="X128" i="22"/>
  <c r="I148" i="22" s="1"/>
  <c r="AH128" i="22"/>
  <c r="S148" i="22" s="1"/>
  <c r="AR128" i="22"/>
  <c r="AC148" i="22" s="1"/>
  <c r="S129" i="22"/>
  <c r="D149" i="22" s="1"/>
  <c r="AE129" i="22"/>
  <c r="P149" i="22" s="1"/>
  <c r="AO129" i="22"/>
  <c r="Z149" i="22" s="1"/>
  <c r="Q130" i="22"/>
  <c r="B150" i="22" s="1"/>
  <c r="AC130" i="22"/>
  <c r="N150" i="22" s="1"/>
  <c r="AM130" i="22"/>
  <c r="X150" i="22" s="1"/>
  <c r="AQ131" i="22"/>
  <c r="AI131" i="22"/>
  <c r="AA131" i="22"/>
  <c r="S131" i="22"/>
  <c r="AP131" i="22"/>
  <c r="AH131" i="22"/>
  <c r="Z131" i="22"/>
  <c r="R131" i="22"/>
  <c r="AB131" i="22"/>
  <c r="AL131" i="22"/>
  <c r="W133" i="22"/>
  <c r="H153" i="22" s="1"/>
  <c r="A168" i="22"/>
  <c r="A180" i="22"/>
  <c r="AG240" i="22"/>
  <c r="U240" i="22"/>
  <c r="AF240" i="22"/>
  <c r="T240" i="22"/>
  <c r="W117" i="22"/>
  <c r="H137" i="22" s="1"/>
  <c r="AE117" i="22"/>
  <c r="P137" i="22" s="1"/>
  <c r="AM117" i="22"/>
  <c r="X137" i="22" s="1"/>
  <c r="X124" i="22"/>
  <c r="I144" i="22" s="1"/>
  <c r="AF124" i="22"/>
  <c r="Q144" i="22" s="1"/>
  <c r="AN124" i="22"/>
  <c r="Y144" i="22" s="1"/>
  <c r="W125" i="22"/>
  <c r="H145" i="22" s="1"/>
  <c r="AE125" i="22"/>
  <c r="P145" i="22" s="1"/>
  <c r="AM125" i="22"/>
  <c r="X145" i="22" s="1"/>
  <c r="X133" i="22"/>
  <c r="I153" i="22" s="1"/>
  <c r="AF133" i="22"/>
  <c r="Q153" i="22" s="1"/>
  <c r="AN133" i="22"/>
  <c r="Y153" i="22" s="1"/>
  <c r="AB225" i="22"/>
  <c r="M245" i="22" s="1"/>
  <c r="AP225" i="22"/>
  <c r="AA245" i="22" s="1"/>
  <c r="R226" i="22"/>
  <c r="C246" i="22" s="1"/>
  <c r="AH226" i="22"/>
  <c r="S246" i="22" s="1"/>
  <c r="T228" i="22"/>
  <c r="E248" i="22" s="1"/>
  <c r="AJ228" i="22"/>
  <c r="U248" i="22" s="1"/>
  <c r="U230" i="22"/>
  <c r="F250" i="22" s="1"/>
  <c r="AG230" i="22"/>
  <c r="R250" i="22" s="1"/>
  <c r="T232" i="22"/>
  <c r="E252" i="22" s="1"/>
  <c r="AF232" i="22"/>
  <c r="Q252" i="22" s="1"/>
  <c r="W233" i="22"/>
  <c r="H253" i="22" s="1"/>
  <c r="AN234" i="22"/>
  <c r="Y254" i="22" s="1"/>
  <c r="AB234" i="22"/>
  <c r="M254" i="22" s="1"/>
  <c r="AR234" i="22"/>
  <c r="AC254" i="22" s="1"/>
  <c r="R237" i="22"/>
  <c r="C257" i="22" s="1"/>
  <c r="AF237" i="22"/>
  <c r="Q257" i="22" s="1"/>
  <c r="X238" i="22"/>
  <c r="I258" i="22" s="1"/>
  <c r="AL238" i="22"/>
  <c r="W258" i="22" s="1"/>
  <c r="AE239" i="22"/>
  <c r="W240" i="22"/>
  <c r="AL240" i="22"/>
  <c r="AJ241" i="22"/>
  <c r="U261" i="22" s="1"/>
  <c r="AD241" i="22"/>
  <c r="O261" i="22" s="1"/>
  <c r="AR241" i="22"/>
  <c r="AC261" i="22" s="1"/>
  <c r="X117" i="22"/>
  <c r="I137" i="22" s="1"/>
  <c r="AF117" i="22"/>
  <c r="Q137" i="22" s="1"/>
  <c r="Q124" i="22"/>
  <c r="B144" i="22" s="1"/>
  <c r="Y124" i="22"/>
  <c r="J144" i="22" s="1"/>
  <c r="AG124" i="22"/>
  <c r="R144" i="22" s="1"/>
  <c r="X125" i="22"/>
  <c r="I145" i="22" s="1"/>
  <c r="AF125" i="22"/>
  <c r="Q145" i="22" s="1"/>
  <c r="Q133" i="22"/>
  <c r="B153" i="22" s="1"/>
  <c r="Y133" i="22"/>
  <c r="J153" i="22" s="1"/>
  <c r="AG133" i="22"/>
  <c r="R153" i="22" s="1"/>
  <c r="AO225" i="22"/>
  <c r="Z245" i="22" s="1"/>
  <c r="AC225" i="22"/>
  <c r="N245" i="22" s="1"/>
  <c r="T226" i="22"/>
  <c r="E246" i="22" s="1"/>
  <c r="X228" i="22"/>
  <c r="I248" i="22" s="1"/>
  <c r="V230" i="22"/>
  <c r="G250" i="22" s="1"/>
  <c r="U232" i="22"/>
  <c r="F252" i="22" s="1"/>
  <c r="AI232" i="22"/>
  <c r="T252" i="22" s="1"/>
  <c r="AJ233" i="22"/>
  <c r="U253" i="22" s="1"/>
  <c r="Z233" i="22"/>
  <c r="K253" i="22" s="1"/>
  <c r="AR233" i="22"/>
  <c r="AC253" i="22" s="1"/>
  <c r="AH233" i="22"/>
  <c r="S253" i="22" s="1"/>
  <c r="V233" i="22"/>
  <c r="G253" i="22" s="1"/>
  <c r="AA233" i="22"/>
  <c r="L253" i="22" s="1"/>
  <c r="AM233" i="22"/>
  <c r="X253" i="22" s="1"/>
  <c r="Q234" i="22"/>
  <c r="B254" i="22" s="1"/>
  <c r="AD234" i="22"/>
  <c r="O254" i="22" s="1"/>
  <c r="S237" i="22"/>
  <c r="D257" i="22" s="1"/>
  <c r="AH237" i="22"/>
  <c r="S257" i="22" s="1"/>
  <c r="Y238" i="22"/>
  <c r="J258" i="22" s="1"/>
  <c r="AM238" i="22"/>
  <c r="X258" i="22" s="1"/>
  <c r="Q239" i="22"/>
  <c r="AF239" i="22"/>
  <c r="X240" i="22"/>
  <c r="AN240" i="22"/>
  <c r="S241" i="22"/>
  <c r="D261" i="22" s="1"/>
  <c r="AE241" i="22"/>
  <c r="P261" i="22" s="1"/>
  <c r="A289" i="22"/>
  <c r="A277" i="22"/>
  <c r="A283" i="22"/>
  <c r="T234" i="22"/>
  <c r="E254" i="22" s="1"/>
  <c r="AI234" i="22"/>
  <c r="T254" i="22" s="1"/>
  <c r="X237" i="22"/>
  <c r="I257" i="22" s="1"/>
  <c r="AM237" i="22"/>
  <c r="X257" i="22" s="1"/>
  <c r="AA238" i="22"/>
  <c r="L258" i="22" s="1"/>
  <c r="V239" i="22"/>
  <c r="AH239" i="22"/>
  <c r="AD240" i="22"/>
  <c r="B247" i="22"/>
  <c r="A288" i="22"/>
  <c r="AQ226" i="22"/>
  <c r="AB246" i="22" s="1"/>
  <c r="AG226" i="22"/>
  <c r="R246" i="22" s="1"/>
  <c r="U226" i="22"/>
  <c r="F246" i="22" s="1"/>
  <c r="AO226" i="22"/>
  <c r="Z246" i="22" s="1"/>
  <c r="AC226" i="22"/>
  <c r="N246" i="22" s="1"/>
  <c r="S226" i="22"/>
  <c r="D246" i="22" s="1"/>
  <c r="Z226" i="22"/>
  <c r="K246" i="22" s="1"/>
  <c r="AL226" i="22"/>
  <c r="W246" i="22" s="1"/>
  <c r="AL228" i="22"/>
  <c r="W248" i="22" s="1"/>
  <c r="AD228" i="22"/>
  <c r="O248" i="22" s="1"/>
  <c r="V228" i="22"/>
  <c r="G248" i="22" s="1"/>
  <c r="AK228" i="22"/>
  <c r="V248" i="22" s="1"/>
  <c r="AC228" i="22"/>
  <c r="N248" i="22" s="1"/>
  <c r="U228" i="22"/>
  <c r="F248" i="22" s="1"/>
  <c r="AI228" i="22"/>
  <c r="T248" i="22" s="1"/>
  <c r="Y228" i="22"/>
  <c r="J248" i="22" s="1"/>
  <c r="AQ228" i="22"/>
  <c r="AB248" i="22" s="1"/>
  <c r="AG228" i="22"/>
  <c r="R248" i="22" s="1"/>
  <c r="W228" i="22"/>
  <c r="H248" i="22" s="1"/>
  <c r="AB228" i="22"/>
  <c r="M248" i="22" s="1"/>
  <c r="AP228" i="22"/>
  <c r="AA248" i="22" s="1"/>
  <c r="AN230" i="22"/>
  <c r="Y250" i="22" s="1"/>
  <c r="AD230" i="22"/>
  <c r="O250" i="22" s="1"/>
  <c r="R230" i="22"/>
  <c r="C250" i="22" s="1"/>
  <c r="Y230" i="22"/>
  <c r="J250" i="22" s="1"/>
  <c r="AO230" i="22"/>
  <c r="Z250" i="22" s="1"/>
  <c r="AN232" i="22"/>
  <c r="Y252" i="22" s="1"/>
  <c r="V234" i="22"/>
  <c r="G254" i="22" s="1"/>
  <c r="AJ234" i="22"/>
  <c r="U254" i="22" s="1"/>
  <c r="Z237" i="22"/>
  <c r="K257" i="22" s="1"/>
  <c r="AN237" i="22"/>
  <c r="Y257" i="22" s="1"/>
  <c r="AK238" i="22"/>
  <c r="V258" i="22" s="1"/>
  <c r="AC238" i="22"/>
  <c r="N258" i="22" s="1"/>
  <c r="U238" i="22"/>
  <c r="F258" i="22" s="1"/>
  <c r="AR238" i="22"/>
  <c r="AC258" i="22" s="1"/>
  <c r="AJ238" i="22"/>
  <c r="U258" i="22" s="1"/>
  <c r="AB238" i="22"/>
  <c r="M258" i="22" s="1"/>
  <c r="T238" i="22"/>
  <c r="E258" i="22" s="1"/>
  <c r="AP238" i="22"/>
  <c r="AA258" i="22" s="1"/>
  <c r="AF238" i="22"/>
  <c r="Q258" i="22" s="1"/>
  <c r="V238" i="22"/>
  <c r="G258" i="22" s="1"/>
  <c r="AN238" i="22"/>
  <c r="Y258" i="22" s="1"/>
  <c r="AD238" i="22"/>
  <c r="O258" i="22" s="1"/>
  <c r="R238" i="22"/>
  <c r="C258" i="22" s="1"/>
  <c r="AE238" i="22"/>
  <c r="P258" i="22" s="1"/>
  <c r="W239" i="22"/>
  <c r="AK239" i="22"/>
  <c r="AQ240" i="22"/>
  <c r="AI240" i="22"/>
  <c r="AA240" i="22"/>
  <c r="S240" i="22"/>
  <c r="AP240" i="22"/>
  <c r="AH240" i="22"/>
  <c r="Z240" i="22"/>
  <c r="R240" i="22"/>
  <c r="AM240" i="22"/>
  <c r="AC240" i="22"/>
  <c r="Q240" i="22"/>
  <c r="AK240" i="22"/>
  <c r="Y240" i="22"/>
  <c r="AE240" i="22"/>
  <c r="AA226" i="22"/>
  <c r="L246" i="22" s="1"/>
  <c r="AP226" i="22"/>
  <c r="AA246" i="22" s="1"/>
  <c r="Q228" i="22"/>
  <c r="B248" i="22" s="1"/>
  <c r="AE228" i="22"/>
  <c r="P248" i="22" s="1"/>
  <c r="AR228" i="22"/>
  <c r="AC248" i="22" s="1"/>
  <c r="AC230" i="22"/>
  <c r="N250" i="22" s="1"/>
  <c r="AP230" i="22"/>
  <c r="AA250" i="22" s="1"/>
  <c r="AC232" i="22"/>
  <c r="N252" i="22" s="1"/>
  <c r="AQ232" i="22"/>
  <c r="AB252" i="22" s="1"/>
  <c r="Y234" i="22"/>
  <c r="J254" i="22" s="1"/>
  <c r="AA237" i="22"/>
  <c r="L257" i="22" s="1"/>
  <c r="X239" i="22"/>
  <c r="AQ234" i="22"/>
  <c r="AB254" i="22" s="1"/>
  <c r="AG234" i="22"/>
  <c r="R254" i="22" s="1"/>
  <c r="U234" i="22"/>
  <c r="F254" i="22" s="1"/>
  <c r="AO234" i="22"/>
  <c r="Z254" i="22" s="1"/>
  <c r="AC234" i="22"/>
  <c r="N254" i="22" s="1"/>
  <c r="S234" i="22"/>
  <c r="D254" i="22" s="1"/>
  <c r="Z234" i="22"/>
  <c r="K254" i="22" s="1"/>
  <c r="AL234" i="22"/>
  <c r="W254" i="22" s="1"/>
  <c r="AL237" i="22"/>
  <c r="W257" i="22" s="1"/>
  <c r="AD237" i="22"/>
  <c r="O257" i="22" s="1"/>
  <c r="V237" i="22"/>
  <c r="G257" i="22" s="1"/>
  <c r="AK237" i="22"/>
  <c r="V257" i="22" s="1"/>
  <c r="AC237" i="22"/>
  <c r="N257" i="22" s="1"/>
  <c r="U237" i="22"/>
  <c r="F257" i="22" s="1"/>
  <c r="AI237" i="22"/>
  <c r="T257" i="22" s="1"/>
  <c r="Y237" i="22"/>
  <c r="J257" i="22" s="1"/>
  <c r="AQ237" i="22"/>
  <c r="AB257" i="22" s="1"/>
  <c r="AG237" i="22"/>
  <c r="R257" i="22" s="1"/>
  <c r="W237" i="22"/>
  <c r="H257" i="22" s="1"/>
  <c r="AB237" i="22"/>
  <c r="M257" i="22" s="1"/>
  <c r="AP237" i="22"/>
  <c r="AA257" i="22" s="1"/>
  <c r="AN239" i="22"/>
  <c r="AD239" i="22"/>
  <c r="R239" i="22"/>
  <c r="Y239" i="22"/>
  <c r="AO239" i="22"/>
  <c r="AJ225" i="22"/>
  <c r="U245" i="22" s="1"/>
  <c r="Z225" i="22"/>
  <c r="K245" i="22" s="1"/>
  <c r="AR225" i="22"/>
  <c r="AC245" i="22" s="1"/>
  <c r="AH225" i="22"/>
  <c r="S245" i="22" s="1"/>
  <c r="V225" i="22"/>
  <c r="G245" i="22" s="1"/>
  <c r="AA225" i="22"/>
  <c r="L245" i="22" s="1"/>
  <c r="AM225" i="22"/>
  <c r="X245" i="22" s="1"/>
  <c r="Q226" i="22"/>
  <c r="B246" i="22" s="1"/>
  <c r="AD226" i="22"/>
  <c r="O246" i="22" s="1"/>
  <c r="S228" i="22"/>
  <c r="D248" i="22" s="1"/>
  <c r="AH228" i="22"/>
  <c r="S248" i="22" s="1"/>
  <c r="Q230" i="22"/>
  <c r="B250" i="22" s="1"/>
  <c r="AF230" i="22"/>
  <c r="Q250" i="22" s="1"/>
  <c r="S232" i="22"/>
  <c r="D252" i="22" s="1"/>
  <c r="AA234" i="22"/>
  <c r="L254" i="22" s="1"/>
  <c r="AP234" i="22"/>
  <c r="AA254" i="22" s="1"/>
  <c r="Q237" i="22"/>
  <c r="B257" i="22" s="1"/>
  <c r="AE237" i="22"/>
  <c r="P257" i="22" s="1"/>
  <c r="AR237" i="22"/>
  <c r="AC257" i="22" s="1"/>
  <c r="W238" i="22"/>
  <c r="H258" i="22" s="1"/>
  <c r="AI238" i="22"/>
  <c r="T258" i="22" s="1"/>
  <c r="AC239" i="22"/>
  <c r="AP239" i="22"/>
  <c r="V240" i="22"/>
  <c r="AJ240" i="22"/>
  <c r="AC241" i="22"/>
  <c r="N261" i="22" s="1"/>
  <c r="AM227" i="22"/>
  <c r="X247" i="22" s="1"/>
  <c r="AE227" i="22"/>
  <c r="P247" i="22" s="1"/>
  <c r="W227" i="22"/>
  <c r="H247" i="22" s="1"/>
  <c r="AL227" i="22"/>
  <c r="W247" i="22" s="1"/>
  <c r="AD227" i="22"/>
  <c r="O247" i="22" s="1"/>
  <c r="V227" i="22"/>
  <c r="G247" i="22" s="1"/>
  <c r="Z227" i="22"/>
  <c r="K247" i="22" s="1"/>
  <c r="AJ227" i="22"/>
  <c r="U247" i="22" s="1"/>
  <c r="AR230" i="22"/>
  <c r="AC250" i="22" s="1"/>
  <c r="AJ230" i="22"/>
  <c r="U250" i="22" s="1"/>
  <c r="AB230" i="22"/>
  <c r="M250" i="22" s="1"/>
  <c r="T230" i="22"/>
  <c r="E250" i="22" s="1"/>
  <c r="AQ230" i="22"/>
  <c r="AB250" i="22" s="1"/>
  <c r="AI230" i="22"/>
  <c r="T250" i="22" s="1"/>
  <c r="AA230" i="22"/>
  <c r="L250" i="22" s="1"/>
  <c r="S230" i="22"/>
  <c r="D250" i="22" s="1"/>
  <c r="Z230" i="22"/>
  <c r="K250" i="22" s="1"/>
  <c r="AL230" i="22"/>
  <c r="W250" i="22" s="1"/>
  <c r="X232" i="22"/>
  <c r="I252" i="22" s="1"/>
  <c r="AM236" i="22"/>
  <c r="X256" i="22" s="1"/>
  <c r="AE236" i="22"/>
  <c r="P256" i="22" s="1"/>
  <c r="W236" i="22"/>
  <c r="H256" i="22" s="1"/>
  <c r="AL236" i="22"/>
  <c r="W256" i="22" s="1"/>
  <c r="AD236" i="22"/>
  <c r="O256" i="22" s="1"/>
  <c r="V236" i="22"/>
  <c r="G256" i="22" s="1"/>
  <c r="Z236" i="22"/>
  <c r="K256" i="22" s="1"/>
  <c r="AJ236" i="22"/>
  <c r="U256" i="22" s="1"/>
  <c r="AR239" i="22"/>
  <c r="AJ239" i="22"/>
  <c r="AB239" i="22"/>
  <c r="T239" i="22"/>
  <c r="AQ239" i="22"/>
  <c r="AI239" i="22"/>
  <c r="AA239" i="22"/>
  <c r="S239" i="22"/>
  <c r="Z239" i="22"/>
  <c r="AL239" i="22"/>
  <c r="X241" i="22"/>
  <c r="I261" i="22" s="1"/>
  <c r="AP232" i="22"/>
  <c r="AA252" i="22" s="1"/>
  <c r="AH232" i="22"/>
  <c r="S252" i="22" s="1"/>
  <c r="Z232" i="22"/>
  <c r="K252" i="22" s="1"/>
  <c r="R232" i="22"/>
  <c r="C252" i="22" s="1"/>
  <c r="AO232" i="22"/>
  <c r="Z252" i="22" s="1"/>
  <c r="AG232" i="22"/>
  <c r="R252" i="22" s="1"/>
  <c r="Y232" i="22"/>
  <c r="J252" i="22" s="1"/>
  <c r="Q232" i="22"/>
  <c r="B252" i="22" s="1"/>
  <c r="AB232" i="22"/>
  <c r="M252" i="22" s="1"/>
  <c r="AL232" i="22"/>
  <c r="W252" i="22" s="1"/>
  <c r="AP241" i="22"/>
  <c r="AA261" i="22" s="1"/>
  <c r="AH241" i="22"/>
  <c r="S261" i="22" s="1"/>
  <c r="Z241" i="22"/>
  <c r="K261" i="22" s="1"/>
  <c r="R241" i="22"/>
  <c r="C261" i="22" s="1"/>
  <c r="AO241" i="22"/>
  <c r="Z261" i="22" s="1"/>
  <c r="AG241" i="22"/>
  <c r="R261" i="22" s="1"/>
  <c r="Y241" i="22"/>
  <c r="J261" i="22" s="1"/>
  <c r="Q241" i="22"/>
  <c r="B261" i="22" s="1"/>
  <c r="AB241" i="22"/>
  <c r="M261" i="22" s="1"/>
  <c r="AL241" i="22"/>
  <c r="W261" i="22" s="1"/>
  <c r="A282" i="22"/>
  <c r="A294" i="22"/>
  <c r="A398" i="22"/>
  <c r="A386" i="22"/>
  <c r="X225" i="22"/>
  <c r="I245" i="22" s="1"/>
  <c r="AF225" i="22"/>
  <c r="Q245" i="22" s="1"/>
  <c r="AN225" i="22"/>
  <c r="Y245" i="22" s="1"/>
  <c r="W226" i="22"/>
  <c r="H246" i="22" s="1"/>
  <c r="AE226" i="22"/>
  <c r="P246" i="22" s="1"/>
  <c r="AM226" i="22"/>
  <c r="X246" i="22" s="1"/>
  <c r="X233" i="22"/>
  <c r="I253" i="22" s="1"/>
  <c r="AF233" i="22"/>
  <c r="Q253" i="22" s="1"/>
  <c r="AN233" i="22"/>
  <c r="Y253" i="22" s="1"/>
  <c r="W234" i="22"/>
  <c r="H254" i="22" s="1"/>
  <c r="AE234" i="22"/>
  <c r="P254" i="22" s="1"/>
  <c r="AM234" i="22"/>
  <c r="X254" i="22" s="1"/>
  <c r="Y334" i="22"/>
  <c r="J354" i="22" s="1"/>
  <c r="AK334" i="22"/>
  <c r="V354" i="22" s="1"/>
  <c r="AL336" i="22"/>
  <c r="W356" i="22" s="1"/>
  <c r="AD336" i="22"/>
  <c r="O356" i="22" s="1"/>
  <c r="V336" i="22"/>
  <c r="G356" i="22" s="1"/>
  <c r="AK336" i="22"/>
  <c r="V356" i="22" s="1"/>
  <c r="AC336" i="22"/>
  <c r="N356" i="22" s="1"/>
  <c r="U336" i="22"/>
  <c r="F356" i="22" s="1"/>
  <c r="AO336" i="22"/>
  <c r="Z356" i="22" s="1"/>
  <c r="AG336" i="22"/>
  <c r="R356" i="22" s="1"/>
  <c r="Y336" i="22"/>
  <c r="J356" i="22" s="1"/>
  <c r="Q336" i="22"/>
  <c r="B356" i="22" s="1"/>
  <c r="AB336" i="22"/>
  <c r="M356" i="22" s="1"/>
  <c r="AP336" i="22"/>
  <c r="AA356" i="22" s="1"/>
  <c r="Q337" i="22"/>
  <c r="B357" i="22" s="1"/>
  <c r="AD337" i="22"/>
  <c r="O357" i="22" s="1"/>
  <c r="AP337" i="22"/>
  <c r="AA357" i="22" s="1"/>
  <c r="R338" i="22"/>
  <c r="C358" i="22" s="1"/>
  <c r="AF338" i="22"/>
  <c r="Q358" i="22" s="1"/>
  <c r="W339" i="22"/>
  <c r="H359" i="22" s="1"/>
  <c r="AJ339" i="22"/>
  <c r="U359" i="22" s="1"/>
  <c r="AA340" i="22"/>
  <c r="L360" i="22" s="1"/>
  <c r="AM340" i="22"/>
  <c r="X360" i="22" s="1"/>
  <c r="R341" i="22"/>
  <c r="C361" i="22" s="1"/>
  <c r="AH341" i="22"/>
  <c r="S361" i="22" s="1"/>
  <c r="X343" i="22"/>
  <c r="I363" i="22" s="1"/>
  <c r="AR343" i="22"/>
  <c r="AC363" i="22" s="1"/>
  <c r="W345" i="22"/>
  <c r="H365" i="22" s="1"/>
  <c r="AL346" i="22"/>
  <c r="W366" i="22" s="1"/>
  <c r="X347" i="22"/>
  <c r="I367" i="22" s="1"/>
  <c r="AJ348" i="22"/>
  <c r="W348" i="22"/>
  <c r="AH348" i="22"/>
  <c r="U348" i="22"/>
  <c r="AQ348" i="22"/>
  <c r="AC348" i="22"/>
  <c r="R348" i="22"/>
  <c r="Q225" i="22"/>
  <c r="B245" i="22" s="1"/>
  <c r="Y225" i="22"/>
  <c r="J245" i="22" s="1"/>
  <c r="AG225" i="22"/>
  <c r="R245" i="22" s="1"/>
  <c r="X226" i="22"/>
  <c r="I246" i="22" s="1"/>
  <c r="AF226" i="22"/>
  <c r="Q246" i="22" s="1"/>
  <c r="Q233" i="22"/>
  <c r="B253" i="22" s="1"/>
  <c r="Y233" i="22"/>
  <c r="J253" i="22" s="1"/>
  <c r="AG233" i="22"/>
  <c r="R253" i="22" s="1"/>
  <c r="X234" i="22"/>
  <c r="I254" i="22" s="1"/>
  <c r="AF234" i="22"/>
  <c r="Q254" i="22" s="1"/>
  <c r="Z334" i="22"/>
  <c r="K354" i="22" s="1"/>
  <c r="AM335" i="22"/>
  <c r="X355" i="22" s="1"/>
  <c r="AE335" i="22"/>
  <c r="P355" i="22" s="1"/>
  <c r="W335" i="22"/>
  <c r="H355" i="22" s="1"/>
  <c r="AL335" i="22"/>
  <c r="W355" i="22" s="1"/>
  <c r="AD335" i="22"/>
  <c r="O355" i="22" s="1"/>
  <c r="V335" i="22"/>
  <c r="G355" i="22" s="1"/>
  <c r="AP335" i="22"/>
  <c r="AA355" i="22" s="1"/>
  <c r="AH335" i="22"/>
  <c r="S355" i="22" s="1"/>
  <c r="Z335" i="22"/>
  <c r="K355" i="22" s="1"/>
  <c r="R335" i="22"/>
  <c r="C355" i="22" s="1"/>
  <c r="AB335" i="22"/>
  <c r="M355" i="22" s="1"/>
  <c r="AO335" i="22"/>
  <c r="Z355" i="22" s="1"/>
  <c r="R336" i="22"/>
  <c r="C356" i="22" s="1"/>
  <c r="AE336" i="22"/>
  <c r="P356" i="22" s="1"/>
  <c r="AQ336" i="22"/>
  <c r="AB356" i="22" s="1"/>
  <c r="R337" i="22"/>
  <c r="C357" i="22" s="1"/>
  <c r="AE337" i="22"/>
  <c r="P357" i="22" s="1"/>
  <c r="AQ337" i="22"/>
  <c r="AB357" i="22" s="1"/>
  <c r="U338" i="22"/>
  <c r="F358" i="22" s="1"/>
  <c r="AG338" i="22"/>
  <c r="R358" i="22" s="1"/>
  <c r="X339" i="22"/>
  <c r="I359" i="22" s="1"/>
  <c r="AK339" i="22"/>
  <c r="V359" i="22" s="1"/>
  <c r="AB340" i="22"/>
  <c r="M360" i="22" s="1"/>
  <c r="S341" i="22"/>
  <c r="D361" i="22" s="1"/>
  <c r="AI341" i="22"/>
  <c r="T361" i="22" s="1"/>
  <c r="AA343" i="22"/>
  <c r="L363" i="22" s="1"/>
  <c r="Z345" i="22"/>
  <c r="K365" i="22" s="1"/>
  <c r="AA347" i="22"/>
  <c r="L367" i="22" s="1"/>
  <c r="AO348" i="22"/>
  <c r="A400" i="22"/>
  <c r="A388" i="22"/>
  <c r="AP340" i="22"/>
  <c r="AA360" i="22" s="1"/>
  <c r="AH340" i="22"/>
  <c r="S360" i="22" s="1"/>
  <c r="Z340" i="22"/>
  <c r="K360" i="22" s="1"/>
  <c r="R340" i="22"/>
  <c r="C360" i="22" s="1"/>
  <c r="AO340" i="22"/>
  <c r="Z360" i="22" s="1"/>
  <c r="AG340" i="22"/>
  <c r="R360" i="22" s="1"/>
  <c r="Y340" i="22"/>
  <c r="J360" i="22" s="1"/>
  <c r="Q340" i="22"/>
  <c r="B360" i="22" s="1"/>
  <c r="AN340" i="22"/>
  <c r="Y360" i="22" s="1"/>
  <c r="AK340" i="22"/>
  <c r="V360" i="22" s="1"/>
  <c r="AC340" i="22"/>
  <c r="N360" i="22" s="1"/>
  <c r="U340" i="22"/>
  <c r="F360" i="22" s="1"/>
  <c r="AD340" i="22"/>
  <c r="O360" i="22" s="1"/>
  <c r="AR340" i="22"/>
  <c r="AC360" i="22" s="1"/>
  <c r="AQ346" i="22"/>
  <c r="AB366" i="22" s="1"/>
  <c r="AI346" i="22"/>
  <c r="T366" i="22" s="1"/>
  <c r="AA346" i="22"/>
  <c r="L366" i="22" s="1"/>
  <c r="S346" i="22"/>
  <c r="D366" i="22" s="1"/>
  <c r="AP346" i="22"/>
  <c r="AA366" i="22" s="1"/>
  <c r="AH346" i="22"/>
  <c r="S366" i="22" s="1"/>
  <c r="Z346" i="22"/>
  <c r="K366" i="22" s="1"/>
  <c r="R346" i="22"/>
  <c r="C366" i="22" s="1"/>
  <c r="AG346" i="22"/>
  <c r="R366" i="22" s="1"/>
  <c r="W346" i="22"/>
  <c r="H366" i="22" s="1"/>
  <c r="AO346" i="22"/>
  <c r="Z366" i="22" s="1"/>
  <c r="AE346" i="22"/>
  <c r="P366" i="22" s="1"/>
  <c r="U346" i="22"/>
  <c r="F366" i="22" s="1"/>
  <c r="AN346" i="22"/>
  <c r="Y366" i="22" s="1"/>
  <c r="AD346" i="22"/>
  <c r="O366" i="22" s="1"/>
  <c r="T346" i="22"/>
  <c r="E366" i="22" s="1"/>
  <c r="AM346" i="22"/>
  <c r="X366" i="22" s="1"/>
  <c r="AC346" i="22"/>
  <c r="N366" i="22" s="1"/>
  <c r="Q346" i="22"/>
  <c r="B366" i="22" s="1"/>
  <c r="AJ346" i="22"/>
  <c r="U366" i="22" s="1"/>
  <c r="X346" i="22"/>
  <c r="I366" i="22" s="1"/>
  <c r="A387" i="22"/>
  <c r="A399" i="22"/>
  <c r="AH336" i="22"/>
  <c r="S356" i="22" s="1"/>
  <c r="V337" i="22"/>
  <c r="G357" i="22" s="1"/>
  <c r="AH337" i="22"/>
  <c r="S357" i="22" s="1"/>
  <c r="X338" i="22"/>
  <c r="I358" i="22" s="1"/>
  <c r="AK338" i="22"/>
  <c r="V358" i="22" s="1"/>
  <c r="AB339" i="22"/>
  <c r="M359" i="22" s="1"/>
  <c r="S340" i="22"/>
  <c r="D360" i="22" s="1"/>
  <c r="AE340" i="22"/>
  <c r="P360" i="22" s="1"/>
  <c r="V341" i="22"/>
  <c r="G361" i="22" s="1"/>
  <c r="AL341" i="22"/>
  <c r="W361" i="22" s="1"/>
  <c r="AF343" i="22"/>
  <c r="Q363" i="22" s="1"/>
  <c r="AG345" i="22"/>
  <c r="R365" i="22" s="1"/>
  <c r="V346" i="22"/>
  <c r="G366" i="22" s="1"/>
  <c r="W337" i="22"/>
  <c r="H357" i="22" s="1"/>
  <c r="Y338" i="22"/>
  <c r="J358" i="22" s="1"/>
  <c r="AQ339" i="22"/>
  <c r="AB359" i="22" s="1"/>
  <c r="AI339" i="22"/>
  <c r="T359" i="22" s="1"/>
  <c r="AA339" i="22"/>
  <c r="L359" i="22" s="1"/>
  <c r="S339" i="22"/>
  <c r="D359" i="22" s="1"/>
  <c r="AP339" i="22"/>
  <c r="AA359" i="22" s="1"/>
  <c r="AH339" i="22"/>
  <c r="S359" i="22" s="1"/>
  <c r="Z339" i="22"/>
  <c r="K359" i="22" s="1"/>
  <c r="R339" i="22"/>
  <c r="C359" i="22" s="1"/>
  <c r="AL339" i="22"/>
  <c r="W359" i="22" s="1"/>
  <c r="AD339" i="22"/>
  <c r="O359" i="22" s="1"/>
  <c r="V339" i="22"/>
  <c r="G359" i="22" s="1"/>
  <c r="AC339" i="22"/>
  <c r="N359" i="22" s="1"/>
  <c r="AO339" i="22"/>
  <c r="Z359" i="22" s="1"/>
  <c r="T340" i="22"/>
  <c r="E360" i="22" s="1"/>
  <c r="AF340" i="22"/>
  <c r="Q360" i="22" s="1"/>
  <c r="Z341" i="22"/>
  <c r="K361" i="22" s="1"/>
  <c r="AL345" i="22"/>
  <c r="W365" i="22" s="1"/>
  <c r="Y346" i="22"/>
  <c r="J366" i="22" s="1"/>
  <c r="AI347" i="22"/>
  <c r="T367" i="22" s="1"/>
  <c r="V347" i="22"/>
  <c r="G367" i="22" s="1"/>
  <c r="AL347" i="22"/>
  <c r="W367" i="22" s="1"/>
  <c r="A403" i="22"/>
  <c r="A391" i="22"/>
  <c r="AK337" i="22"/>
  <c r="V357" i="22" s="1"/>
  <c r="AC337" i="22"/>
  <c r="N357" i="22" s="1"/>
  <c r="U337" i="22"/>
  <c r="F357" i="22" s="1"/>
  <c r="Y337" i="22"/>
  <c r="J357" i="22" s="1"/>
  <c r="AL337" i="22"/>
  <c r="W357" i="22" s="1"/>
  <c r="V340" i="22"/>
  <c r="G360" i="22" s="1"/>
  <c r="AI340" i="22"/>
  <c r="T360" i="22" s="1"/>
  <c r="AO341" i="22"/>
  <c r="Z361" i="22" s="1"/>
  <c r="AG341" i="22"/>
  <c r="R361" i="22" s="1"/>
  <c r="Y341" i="22"/>
  <c r="J361" i="22" s="1"/>
  <c r="Q341" i="22"/>
  <c r="B361" i="22" s="1"/>
  <c r="AM341" i="22"/>
  <c r="X361" i="22" s="1"/>
  <c r="AE341" i="22"/>
  <c r="P361" i="22" s="1"/>
  <c r="W341" i="22"/>
  <c r="H361" i="22" s="1"/>
  <c r="AA341" i="22"/>
  <c r="L361" i="22" s="1"/>
  <c r="AQ341" i="22"/>
  <c r="AB361" i="22" s="1"/>
  <c r="AO343" i="22"/>
  <c r="Z363" i="22" s="1"/>
  <c r="AG343" i="22"/>
  <c r="R363" i="22" s="1"/>
  <c r="Y343" i="22"/>
  <c r="J363" i="22" s="1"/>
  <c r="Q343" i="22"/>
  <c r="B363" i="22" s="1"/>
  <c r="AM343" i="22"/>
  <c r="X363" i="22" s="1"/>
  <c r="AE343" i="22"/>
  <c r="P363" i="22" s="1"/>
  <c r="W343" i="22"/>
  <c r="H363" i="22" s="1"/>
  <c r="AL343" i="22"/>
  <c r="W363" i="22" s="1"/>
  <c r="AD343" i="22"/>
  <c r="O363" i="22" s="1"/>
  <c r="V343" i="22"/>
  <c r="G363" i="22" s="1"/>
  <c r="AK343" i="22"/>
  <c r="V363" i="22" s="1"/>
  <c r="AC343" i="22"/>
  <c r="N363" i="22" s="1"/>
  <c r="U343" i="22"/>
  <c r="F363" i="22" s="1"/>
  <c r="AP343" i="22"/>
  <c r="AA363" i="22" s="1"/>
  <c r="AH343" i="22"/>
  <c r="S363" i="22" s="1"/>
  <c r="Z343" i="22"/>
  <c r="K363" i="22" s="1"/>
  <c r="R343" i="22"/>
  <c r="C363" i="22" s="1"/>
  <c r="AJ343" i="22"/>
  <c r="U363" i="22" s="1"/>
  <c r="AM345" i="22"/>
  <c r="X365" i="22" s="1"/>
  <c r="AB346" i="22"/>
  <c r="M366" i="22" s="1"/>
  <c r="A385" i="22"/>
  <c r="A397" i="22"/>
  <c r="Z337" i="22"/>
  <c r="K357" i="22" s="1"/>
  <c r="AM337" i="22"/>
  <c r="X357" i="22" s="1"/>
  <c r="AR338" i="22"/>
  <c r="AC358" i="22" s="1"/>
  <c r="AJ338" i="22"/>
  <c r="U358" i="22" s="1"/>
  <c r="AB338" i="22"/>
  <c r="M358" i="22" s="1"/>
  <c r="T338" i="22"/>
  <c r="E358" i="22" s="1"/>
  <c r="AQ338" i="22"/>
  <c r="AB358" i="22" s="1"/>
  <c r="AI338" i="22"/>
  <c r="T358" i="22" s="1"/>
  <c r="AA338" i="22"/>
  <c r="L358" i="22" s="1"/>
  <c r="S338" i="22"/>
  <c r="D358" i="22" s="1"/>
  <c r="AM338" i="22"/>
  <c r="X358" i="22" s="1"/>
  <c r="AE338" i="22"/>
  <c r="P358" i="22" s="1"/>
  <c r="W338" i="22"/>
  <c r="H358" i="22" s="1"/>
  <c r="AC338" i="22"/>
  <c r="N358" i="22" s="1"/>
  <c r="AO338" i="22"/>
  <c r="Z358" i="22" s="1"/>
  <c r="W340" i="22"/>
  <c r="H360" i="22" s="1"/>
  <c r="AJ340" i="22"/>
  <c r="U360" i="22" s="1"/>
  <c r="AC341" i="22"/>
  <c r="N361" i="22" s="1"/>
  <c r="S343" i="22"/>
  <c r="D363" i="22" s="1"/>
  <c r="AN343" i="22"/>
  <c r="Y363" i="22" s="1"/>
  <c r="R345" i="22"/>
  <c r="C365" i="22" s="1"/>
  <c r="AF346" i="22"/>
  <c r="Q366" i="22" s="1"/>
  <c r="AJ347" i="22"/>
  <c r="U367" i="22" s="1"/>
  <c r="AA336" i="22"/>
  <c r="L356" i="22" s="1"/>
  <c r="AR337" i="22"/>
  <c r="AC357" i="22" s="1"/>
  <c r="AA337" i="22"/>
  <c r="L357" i="22" s="1"/>
  <c r="AO337" i="22"/>
  <c r="Z357" i="22" s="1"/>
  <c r="Q338" i="22"/>
  <c r="B358" i="22" s="1"/>
  <c r="AD338" i="22"/>
  <c r="O358" i="22" s="1"/>
  <c r="AP338" i="22"/>
  <c r="AA358" i="22" s="1"/>
  <c r="U339" i="22"/>
  <c r="F359" i="22" s="1"/>
  <c r="AG339" i="22"/>
  <c r="R359" i="22" s="1"/>
  <c r="X340" i="22"/>
  <c r="I360" i="22" s="1"/>
  <c r="AL340" i="22"/>
  <c r="W360" i="22" s="1"/>
  <c r="AN341" i="22"/>
  <c r="Y361" i="22" s="1"/>
  <c r="AD341" i="22"/>
  <c r="O361" i="22" s="1"/>
  <c r="T343" i="22"/>
  <c r="E363" i="22" s="1"/>
  <c r="AQ343" i="22"/>
  <c r="AB363" i="22" s="1"/>
  <c r="AK346" i="22"/>
  <c r="V366" i="22" s="1"/>
  <c r="U347" i="22"/>
  <c r="F367" i="22" s="1"/>
  <c r="S334" i="22"/>
  <c r="D354" i="22" s="1"/>
  <c r="AA334" i="22"/>
  <c r="L354" i="22" s="1"/>
  <c r="AI334" i="22"/>
  <c r="T354" i="22" s="1"/>
  <c r="AQ334" i="22"/>
  <c r="AB354" i="22" s="1"/>
  <c r="X337" i="22"/>
  <c r="I357" i="22" s="1"/>
  <c r="AF337" i="22"/>
  <c r="Q357" i="22" s="1"/>
  <c r="AN337" i="22"/>
  <c r="Y357" i="22" s="1"/>
  <c r="T341" i="22"/>
  <c r="E361" i="22" s="1"/>
  <c r="AB341" i="22"/>
  <c r="M361" i="22" s="1"/>
  <c r="AJ341" i="22"/>
  <c r="U361" i="22" s="1"/>
  <c r="AR341" i="22"/>
  <c r="AC361" i="22" s="1"/>
  <c r="S342" i="22"/>
  <c r="D362" i="22" s="1"/>
  <c r="AA342" i="22"/>
  <c r="L362" i="22" s="1"/>
  <c r="AI342" i="22"/>
  <c r="T362" i="22" s="1"/>
  <c r="AQ342" i="22"/>
  <c r="AB362" i="22" s="1"/>
  <c r="Q345" i="22"/>
  <c r="B365" i="22" s="1"/>
  <c r="Y345" i="22"/>
  <c r="J365" i="22" s="1"/>
  <c r="AK345" i="22"/>
  <c r="V365" i="22" s="1"/>
  <c r="W347" i="22"/>
  <c r="H367" i="22" s="1"/>
  <c r="Q348" i="22"/>
  <c r="AP348" i="22"/>
  <c r="AD348" i="22"/>
  <c r="T348" i="22"/>
  <c r="Z348" i="22"/>
  <c r="AK348" i="22"/>
  <c r="Z349" i="22"/>
  <c r="AL349" i="22"/>
  <c r="AM350" i="22"/>
  <c r="X370" i="22" s="1"/>
  <c r="AE350" i="22"/>
  <c r="P370" i="22" s="1"/>
  <c r="W350" i="22"/>
  <c r="H370" i="22" s="1"/>
  <c r="AL350" i="22"/>
  <c r="W370" i="22" s="1"/>
  <c r="AD350" i="22"/>
  <c r="O370" i="22" s="1"/>
  <c r="V350" i="22"/>
  <c r="G370" i="22" s="1"/>
  <c r="AR350" i="22"/>
  <c r="AC370" i="22" s="1"/>
  <c r="AH350" i="22"/>
  <c r="S370" i="22" s="1"/>
  <c r="X350" i="22"/>
  <c r="I370" i="22" s="1"/>
  <c r="AO350" i="22"/>
  <c r="Z370" i="22" s="1"/>
  <c r="AC350" i="22"/>
  <c r="N370" i="22" s="1"/>
  <c r="S350" i="22"/>
  <c r="D370" i="22" s="1"/>
  <c r="AB350" i="22"/>
  <c r="M370" i="22" s="1"/>
  <c r="AQ350" i="22"/>
  <c r="AB370" i="22" s="1"/>
  <c r="V342" i="22"/>
  <c r="G362" i="22" s="1"/>
  <c r="AD342" i="22"/>
  <c r="O362" i="22" s="1"/>
  <c r="AL342" i="22"/>
  <c r="W362" i="22" s="1"/>
  <c r="T345" i="22"/>
  <c r="E365" i="22" s="1"/>
  <c r="AD345" i="22"/>
  <c r="O365" i="22" s="1"/>
  <c r="AN345" i="22"/>
  <c r="Y365" i="22" s="1"/>
  <c r="AP347" i="22"/>
  <c r="AA367" i="22" s="1"/>
  <c r="AH347" i="22"/>
  <c r="S367" i="22" s="1"/>
  <c r="Z347" i="22"/>
  <c r="K367" i="22" s="1"/>
  <c r="R347" i="22"/>
  <c r="C367" i="22" s="1"/>
  <c r="AO347" i="22"/>
  <c r="Z367" i="22" s="1"/>
  <c r="AG347" i="22"/>
  <c r="R367" i="22" s="1"/>
  <c r="Y347" i="22"/>
  <c r="J367" i="22" s="1"/>
  <c r="Q347" i="22"/>
  <c r="B367" i="22" s="1"/>
  <c r="AR347" i="22"/>
  <c r="AC367" i="22" s="1"/>
  <c r="AF347" i="22"/>
  <c r="Q367" i="22" s="1"/>
  <c r="AB347" i="22"/>
  <c r="M367" i="22" s="1"/>
  <c r="AM347" i="22"/>
  <c r="X367" i="22" s="1"/>
  <c r="S349" i="22"/>
  <c r="AD349" i="22"/>
  <c r="AQ349" i="22"/>
  <c r="O461" i="22"/>
  <c r="W334" i="22"/>
  <c r="H354" i="22" s="1"/>
  <c r="AE334" i="22"/>
  <c r="P354" i="22" s="1"/>
  <c r="AM334" i="22"/>
  <c r="X354" i="22" s="1"/>
  <c r="T337" i="22"/>
  <c r="E357" i="22" s="1"/>
  <c r="AB337" i="22"/>
  <c r="M357" i="22" s="1"/>
  <c r="AJ337" i="22"/>
  <c r="U357" i="22" s="1"/>
  <c r="X341" i="22"/>
  <c r="I361" i="22" s="1"/>
  <c r="AF341" i="22"/>
  <c r="Q361" i="22" s="1"/>
  <c r="W342" i="22"/>
  <c r="H362" i="22" s="1"/>
  <c r="AE342" i="22"/>
  <c r="P362" i="22" s="1"/>
  <c r="AM342" i="22"/>
  <c r="X362" i="22" s="1"/>
  <c r="U345" i="22"/>
  <c r="F365" i="22" s="1"/>
  <c r="AE345" i="22"/>
  <c r="P365" i="22" s="1"/>
  <c r="AO345" i="22"/>
  <c r="Z365" i="22" s="1"/>
  <c r="S347" i="22"/>
  <c r="D367" i="22" s="1"/>
  <c r="AC347" i="22"/>
  <c r="N367" i="22" s="1"/>
  <c r="AN347" i="22"/>
  <c r="Y367" i="22" s="1"/>
  <c r="S348" i="22"/>
  <c r="AE348" i="22"/>
  <c r="AR348" i="22"/>
  <c r="T349" i="22"/>
  <c r="AG349" i="22"/>
  <c r="U350" i="22"/>
  <c r="F370" i="22" s="1"/>
  <c r="AJ350" i="22"/>
  <c r="U370" i="22" s="1"/>
  <c r="X334" i="22"/>
  <c r="I354" i="22" s="1"/>
  <c r="AF334" i="22"/>
  <c r="Q354" i="22" s="1"/>
  <c r="X342" i="22"/>
  <c r="I362" i="22" s="1"/>
  <c r="AF342" i="22"/>
  <c r="Q362" i="22" s="1"/>
  <c r="V345" i="22"/>
  <c r="G365" i="22" s="1"/>
  <c r="AF345" i="22"/>
  <c r="Q365" i="22" s="1"/>
  <c r="T347" i="22"/>
  <c r="E367" i="22" s="1"/>
  <c r="AD347" i="22"/>
  <c r="O367" i="22" s="1"/>
  <c r="AQ347" i="22"/>
  <c r="AB367" i="22" s="1"/>
  <c r="U349" i="22"/>
  <c r="AR345" i="22"/>
  <c r="AC365" i="22" s="1"/>
  <c r="AJ345" i="22"/>
  <c r="U365" i="22" s="1"/>
  <c r="AB345" i="22"/>
  <c r="M365" i="22" s="1"/>
  <c r="AQ345" i="22"/>
  <c r="AB365" i="22" s="1"/>
  <c r="AI345" i="22"/>
  <c r="T365" i="22" s="1"/>
  <c r="AA345" i="22"/>
  <c r="L365" i="22" s="1"/>
  <c r="X345" i="22"/>
  <c r="I365" i="22" s="1"/>
  <c r="AH345" i="22"/>
  <c r="S365" i="22" s="1"/>
  <c r="AK349" i="22"/>
  <c r="AA349" i="22"/>
  <c r="Q349" i="22"/>
  <c r="AR349" i="22"/>
  <c r="Y349" i="22"/>
  <c r="AJ349" i="22"/>
  <c r="AP448" i="22"/>
  <c r="AA468" i="22" s="1"/>
  <c r="AE448" i="22"/>
  <c r="P468" i="22" s="1"/>
  <c r="AD448" i="22"/>
  <c r="O468" i="22" s="1"/>
  <c r="Z448" i="22"/>
  <c r="K468" i="22" s="1"/>
  <c r="U448" i="22"/>
  <c r="F468" i="22" s="1"/>
  <c r="R448" i="22"/>
  <c r="C468" i="22" s="1"/>
  <c r="AK439" i="22"/>
  <c r="V459" i="22" s="1"/>
  <c r="AC439" i="22"/>
  <c r="N459" i="22" s="1"/>
  <c r="U439" i="22"/>
  <c r="F459" i="22" s="1"/>
  <c r="AR439" i="22"/>
  <c r="AC459" i="22" s="1"/>
  <c r="AJ439" i="22"/>
  <c r="U459" i="22" s="1"/>
  <c r="AB439" i="22"/>
  <c r="M459" i="22" s="1"/>
  <c r="T439" i="22"/>
  <c r="E459" i="22" s="1"/>
  <c r="AN439" i="22"/>
  <c r="Y459" i="22" s="1"/>
  <c r="AD439" i="22"/>
  <c r="O459" i="22" s="1"/>
  <c r="R439" i="22"/>
  <c r="C459" i="22" s="1"/>
  <c r="AM439" i="22"/>
  <c r="X459" i="22" s="1"/>
  <c r="AA439" i="22"/>
  <c r="L459" i="22" s="1"/>
  <c r="Q439" i="22"/>
  <c r="B459" i="22" s="1"/>
  <c r="AP439" i="22"/>
  <c r="AA459" i="22" s="1"/>
  <c r="Z439" i="22"/>
  <c r="K459" i="22" s="1"/>
  <c r="AL439" i="22"/>
  <c r="W459" i="22" s="1"/>
  <c r="X439" i="22"/>
  <c r="I459" i="22" s="1"/>
  <c r="AO439" i="22"/>
  <c r="Z459" i="22" s="1"/>
  <c r="V439" i="22"/>
  <c r="G459" i="22" s="1"/>
  <c r="AI439" i="22"/>
  <c r="T459" i="22" s="1"/>
  <c r="S439" i="22"/>
  <c r="D459" i="22" s="1"/>
  <c r="AL447" i="22"/>
  <c r="W467" i="22" s="1"/>
  <c r="W439" i="22"/>
  <c r="H459" i="22" s="1"/>
  <c r="AM447" i="22"/>
  <c r="X467" i="22" s="1"/>
  <c r="Y439" i="22"/>
  <c r="J459" i="22" s="1"/>
  <c r="AF440" i="22"/>
  <c r="Q460" i="22" s="1"/>
  <c r="R440" i="22"/>
  <c r="C460" i="22" s="1"/>
  <c r="AP440" i="22"/>
  <c r="AA460" i="22" s="1"/>
  <c r="AD440" i="22"/>
  <c r="O460" i="22" s="1"/>
  <c r="AM440" i="22"/>
  <c r="X460" i="22" s="1"/>
  <c r="U440" i="22"/>
  <c r="F460" i="22" s="1"/>
  <c r="AH440" i="22"/>
  <c r="S460" i="22" s="1"/>
  <c r="Q440" i="22"/>
  <c r="B460" i="22" s="1"/>
  <c r="AG440" i="22"/>
  <c r="R460" i="22" s="1"/>
  <c r="AN447" i="22"/>
  <c r="Y467" i="22" s="1"/>
  <c r="A503" i="22"/>
  <c r="A491" i="22"/>
  <c r="A493" i="22"/>
  <c r="A505" i="22"/>
  <c r="AE439" i="22"/>
  <c r="P459" i="22" s="1"/>
  <c r="AN440" i="22"/>
  <c r="Y460" i="22" s="1"/>
  <c r="AP447" i="22"/>
  <c r="AA467" i="22" s="1"/>
  <c r="AH447" i="22"/>
  <c r="S467" i="22" s="1"/>
  <c r="Z447" i="22"/>
  <c r="K467" i="22" s="1"/>
  <c r="R447" i="22"/>
  <c r="C467" i="22" s="1"/>
  <c r="AK447" i="22"/>
  <c r="V467" i="22" s="1"/>
  <c r="AC447" i="22"/>
  <c r="N467" i="22" s="1"/>
  <c r="U447" i="22"/>
  <c r="F467" i="22" s="1"/>
  <c r="AR447" i="22"/>
  <c r="AC467" i="22" s="1"/>
  <c r="AJ447" i="22"/>
  <c r="U467" i="22" s="1"/>
  <c r="AB447" i="22"/>
  <c r="M467" i="22" s="1"/>
  <c r="T447" i="22"/>
  <c r="E467" i="22" s="1"/>
  <c r="AF447" i="22"/>
  <c r="Q467" i="22" s="1"/>
  <c r="S447" i="22"/>
  <c r="D467" i="22" s="1"/>
  <c r="AQ447" i="22"/>
  <c r="AB467" i="22" s="1"/>
  <c r="AE447" i="22"/>
  <c r="P467" i="22" s="1"/>
  <c r="Q447" i="22"/>
  <c r="B467" i="22" s="1"/>
  <c r="AD447" i="22"/>
  <c r="O467" i="22" s="1"/>
  <c r="AO447" i="22"/>
  <c r="Z467" i="22" s="1"/>
  <c r="Y447" i="22"/>
  <c r="J467" i="22" s="1"/>
  <c r="AI447" i="22"/>
  <c r="T467" i="22" s="1"/>
  <c r="AG447" i="22"/>
  <c r="R467" i="22" s="1"/>
  <c r="AR451" i="22"/>
  <c r="AC471" i="22" s="1"/>
  <c r="AD451" i="22"/>
  <c r="O471" i="22" s="1"/>
  <c r="S451" i="22"/>
  <c r="D471" i="22" s="1"/>
  <c r="AK451" i="22"/>
  <c r="V471" i="22" s="1"/>
  <c r="U451" i="22"/>
  <c r="F471" i="22" s="1"/>
  <c r="AI451" i="22"/>
  <c r="T471" i="22" s="1"/>
  <c r="AL451" i="22"/>
  <c r="W471" i="22" s="1"/>
  <c r="AJ451" i="22"/>
  <c r="U471" i="22" s="1"/>
  <c r="AF451" i="22"/>
  <c r="Q471" i="22" s="1"/>
  <c r="AE454" i="22"/>
  <c r="AF439" i="22"/>
  <c r="Q459" i="22" s="1"/>
  <c r="AO440" i="22"/>
  <c r="Z460" i="22" s="1"/>
  <c r="AL446" i="22"/>
  <c r="W466" i="22" s="1"/>
  <c r="AD446" i="22"/>
  <c r="O466" i="22" s="1"/>
  <c r="V446" i="22"/>
  <c r="G466" i="22" s="1"/>
  <c r="AK446" i="22"/>
  <c r="V466" i="22" s="1"/>
  <c r="AC446" i="22"/>
  <c r="N466" i="22" s="1"/>
  <c r="U446" i="22"/>
  <c r="F466" i="22" s="1"/>
  <c r="AQ446" i="22"/>
  <c r="AB466" i="22" s="1"/>
  <c r="AG446" i="22"/>
  <c r="R466" i="22" s="1"/>
  <c r="W446" i="22"/>
  <c r="H466" i="22" s="1"/>
  <c r="AP446" i="22"/>
  <c r="AA466" i="22" s="1"/>
  <c r="AF446" i="22"/>
  <c r="Q466" i="22" s="1"/>
  <c r="T446" i="22"/>
  <c r="E466" i="22" s="1"/>
  <c r="AI446" i="22"/>
  <c r="T466" i="22" s="1"/>
  <c r="S446" i="22"/>
  <c r="D466" i="22" s="1"/>
  <c r="AE446" i="22"/>
  <c r="P466" i="22" s="1"/>
  <c r="Q446" i="22"/>
  <c r="B466" i="22" s="1"/>
  <c r="AH446" i="22"/>
  <c r="S466" i="22" s="1"/>
  <c r="AB446" i="22"/>
  <c r="M466" i="22" s="1"/>
  <c r="AN446" i="22"/>
  <c r="Y466" i="22" s="1"/>
  <c r="V447" i="22"/>
  <c r="G467" i="22" s="1"/>
  <c r="AH439" i="22"/>
  <c r="S459" i="22" s="1"/>
  <c r="W440" i="22"/>
  <c r="H460" i="22" s="1"/>
  <c r="AI454" i="22"/>
  <c r="S454" i="22"/>
  <c r="AJ454" i="22"/>
  <c r="AB454" i="22"/>
  <c r="X454" i="22"/>
  <c r="W454" i="22"/>
  <c r="AR454" i="22"/>
  <c r="X348" i="22"/>
  <c r="AF348" i="22"/>
  <c r="AN348" i="22"/>
  <c r="W349" i="22"/>
  <c r="AE349" i="22"/>
  <c r="AM349" i="22"/>
  <c r="AQ441" i="22"/>
  <c r="AB461" i="22" s="1"/>
  <c r="AI441" i="22"/>
  <c r="T461" i="22" s="1"/>
  <c r="AA441" i="22"/>
  <c r="L461" i="22" s="1"/>
  <c r="S441" i="22"/>
  <c r="D461" i="22" s="1"/>
  <c r="AP441" i="22"/>
  <c r="AA461" i="22" s="1"/>
  <c r="AH441" i="22"/>
  <c r="S461" i="22" s="1"/>
  <c r="Z441" i="22"/>
  <c r="K461" i="22" s="1"/>
  <c r="R441" i="22"/>
  <c r="C461" i="22" s="1"/>
  <c r="AK441" i="22"/>
  <c r="V461" i="22" s="1"/>
  <c r="Y441" i="22"/>
  <c r="J461" i="22" s="1"/>
  <c r="AJ441" i="22"/>
  <c r="U461" i="22" s="1"/>
  <c r="X441" i="22"/>
  <c r="I461" i="22" s="1"/>
  <c r="AM441" i="22"/>
  <c r="X461" i="22" s="1"/>
  <c r="W441" i="22"/>
  <c r="H461" i="22" s="1"/>
  <c r="AG441" i="22"/>
  <c r="R461" i="22" s="1"/>
  <c r="U441" i="22"/>
  <c r="F461" i="22" s="1"/>
  <c r="AF441" i="22"/>
  <c r="Q461" i="22" s="1"/>
  <c r="AE442" i="22"/>
  <c r="P462" i="22" s="1"/>
  <c r="AR443" i="22"/>
  <c r="AC463" i="22" s="1"/>
  <c r="AH443" i="22"/>
  <c r="S463" i="22" s="1"/>
  <c r="V443" i="22"/>
  <c r="G463" i="22" s="1"/>
  <c r="AQ443" i="22"/>
  <c r="AB463" i="22" s="1"/>
  <c r="AE443" i="22"/>
  <c r="P463" i="22" s="1"/>
  <c r="U443" i="22"/>
  <c r="F463" i="22" s="1"/>
  <c r="AJ443" i="22"/>
  <c r="U463" i="22" s="1"/>
  <c r="T443" i="22"/>
  <c r="E463" i="22" s="1"/>
  <c r="AD443" i="22"/>
  <c r="O463" i="22" s="1"/>
  <c r="R443" i="22"/>
  <c r="C463" i="22" s="1"/>
  <c r="AC443" i="22"/>
  <c r="N463" i="22" s="1"/>
  <c r="AO444" i="22"/>
  <c r="Z464" i="22" s="1"/>
  <c r="AC444" i="22"/>
  <c r="N464" i="22" s="1"/>
  <c r="S444" i="22"/>
  <c r="D464" i="22" s="1"/>
  <c r="AL444" i="22"/>
  <c r="W464" i="22" s="1"/>
  <c r="AB444" i="22"/>
  <c r="M464" i="22" s="1"/>
  <c r="R444" i="22"/>
  <c r="C464" i="22" s="1"/>
  <c r="AQ444" i="22"/>
  <c r="AB464" i="22" s="1"/>
  <c r="AA444" i="22"/>
  <c r="L464" i="22" s="1"/>
  <c r="AK444" i="22"/>
  <c r="V464" i="22" s="1"/>
  <c r="Y444" i="22"/>
  <c r="J464" i="22" s="1"/>
  <c r="AD444" i="22"/>
  <c r="O464" i="22" s="1"/>
  <c r="Y348" i="22"/>
  <c r="AG348" i="22"/>
  <c r="X349" i="22"/>
  <c r="AF349" i="22"/>
  <c r="AI443" i="22"/>
  <c r="T463" i="22" s="1"/>
  <c r="AG444" i="22"/>
  <c r="R464" i="22" s="1"/>
  <c r="AO448" i="22"/>
  <c r="Z468" i="22" s="1"/>
  <c r="AG448" i="22"/>
  <c r="R468" i="22" s="1"/>
  <c r="Y448" i="22"/>
  <c r="J468" i="22" s="1"/>
  <c r="Q448" i="22"/>
  <c r="B468" i="22" s="1"/>
  <c r="AR448" i="22"/>
  <c r="AC468" i="22" s="1"/>
  <c r="AJ448" i="22"/>
  <c r="U468" i="22" s="1"/>
  <c r="AB448" i="22"/>
  <c r="M468" i="22" s="1"/>
  <c r="T448" i="22"/>
  <c r="E468" i="22" s="1"/>
  <c r="AQ448" i="22"/>
  <c r="AB468" i="22" s="1"/>
  <c r="AI448" i="22"/>
  <c r="T468" i="22" s="1"/>
  <c r="AA448" i="22"/>
  <c r="L468" i="22" s="1"/>
  <c r="S448" i="22"/>
  <c r="D468" i="22" s="1"/>
  <c r="AK448" i="22"/>
  <c r="V468" i="22" s="1"/>
  <c r="W448" i="22"/>
  <c r="H468" i="22" s="1"/>
  <c r="AH448" i="22"/>
  <c r="S468" i="22" s="1"/>
  <c r="V448" i="22"/>
  <c r="G468" i="22" s="1"/>
  <c r="AC448" i="22"/>
  <c r="N468" i="22" s="1"/>
  <c r="AN448" i="22"/>
  <c r="Y468" i="22" s="1"/>
  <c r="X448" i="22"/>
  <c r="I468" i="22" s="1"/>
  <c r="AM448" i="22"/>
  <c r="X468" i="22" s="1"/>
  <c r="A504" i="22"/>
  <c r="A492" i="22"/>
  <c r="A496" i="22"/>
  <c r="A508" i="22"/>
  <c r="AK440" i="22"/>
  <c r="V460" i="22" s="1"/>
  <c r="AB442" i="22"/>
  <c r="M462" i="22" s="1"/>
  <c r="AH452" i="22"/>
  <c r="S472" i="22" s="1"/>
  <c r="T452" i="22"/>
  <c r="E472" i="22" s="1"/>
  <c r="AE452" i="22"/>
  <c r="P472" i="22" s="1"/>
  <c r="S452" i="22"/>
  <c r="D472" i="22" s="1"/>
  <c r="AC452" i="22"/>
  <c r="N472" i="22" s="1"/>
  <c r="AP442" i="22"/>
  <c r="AA462" i="22" s="1"/>
  <c r="AH442" i="22"/>
  <c r="S462" i="22" s="1"/>
  <c r="Z442" i="22"/>
  <c r="K462" i="22" s="1"/>
  <c r="R442" i="22"/>
  <c r="C462" i="22" s="1"/>
  <c r="AO442" i="22"/>
  <c r="Z462" i="22" s="1"/>
  <c r="AG442" i="22"/>
  <c r="R462" i="22" s="1"/>
  <c r="Y442" i="22"/>
  <c r="J462" i="22" s="1"/>
  <c r="Q442" i="22"/>
  <c r="B462" i="22" s="1"/>
  <c r="AJ442" i="22"/>
  <c r="U462" i="22" s="1"/>
  <c r="X442" i="22"/>
  <c r="I462" i="22" s="1"/>
  <c r="AI442" i="22"/>
  <c r="T462" i="22" s="1"/>
  <c r="W442" i="22"/>
  <c r="H462" i="22" s="1"/>
  <c r="AD442" i="22"/>
  <c r="O462" i="22" s="1"/>
  <c r="AR442" i="22"/>
  <c r="AC462" i="22" s="1"/>
  <c r="X470" i="22"/>
  <c r="AM453" i="22"/>
  <c r="X453" i="22"/>
  <c r="AL453" i="22"/>
  <c r="V453" i="22"/>
  <c r="AE453" i="22"/>
  <c r="A506" i="22"/>
  <c r="A494" i="22"/>
  <c r="Y440" i="22"/>
  <c r="J460" i="22" s="1"/>
  <c r="Y445" i="22"/>
  <c r="J465" i="22" s="1"/>
  <c r="Y450" i="22"/>
  <c r="J470" i="22" s="1"/>
  <c r="AM451" i="22"/>
  <c r="X471" i="22" s="1"/>
  <c r="AE451" i="22"/>
  <c r="P471" i="22" s="1"/>
  <c r="W451" i="22"/>
  <c r="H471" i="22" s="1"/>
  <c r="AP451" i="22"/>
  <c r="AA471" i="22" s="1"/>
  <c r="AH451" i="22"/>
  <c r="S471" i="22" s="1"/>
  <c r="Z451" i="22"/>
  <c r="K471" i="22" s="1"/>
  <c r="R451" i="22"/>
  <c r="C471" i="22" s="1"/>
  <c r="AO451" i="22"/>
  <c r="Z471" i="22" s="1"/>
  <c r="AG451" i="22"/>
  <c r="R471" i="22" s="1"/>
  <c r="Y451" i="22"/>
  <c r="J471" i="22" s="1"/>
  <c r="Q451" i="22"/>
  <c r="B471" i="22" s="1"/>
  <c r="AC451" i="22"/>
  <c r="N471" i="22" s="1"/>
  <c r="AQ451" i="22"/>
  <c r="AB471" i="22" s="1"/>
  <c r="AP454" i="22"/>
  <c r="AH454" i="22"/>
  <c r="AO454" i="22"/>
  <c r="AG454" i="22"/>
  <c r="Y454" i="22"/>
  <c r="Q454" i="22"/>
  <c r="AK454" i="22"/>
  <c r="AA454" i="22"/>
  <c r="R454" i="22"/>
  <c r="AN454" i="22"/>
  <c r="AD454" i="22"/>
  <c r="U454" i="22"/>
  <c r="AM454" i="22"/>
  <c r="AC454" i="22"/>
  <c r="T454" i="22"/>
  <c r="AF454" i="22"/>
  <c r="AL455" i="22"/>
  <c r="W475" i="22" s="1"/>
  <c r="AC455" i="22"/>
  <c r="N475" i="22" s="1"/>
  <c r="AR455" i="22"/>
  <c r="AC475" i="22" s="1"/>
  <c r="AR440" i="22"/>
  <c r="AC460" i="22" s="1"/>
  <c r="AJ440" i="22"/>
  <c r="U460" i="22" s="1"/>
  <c r="AB440" i="22"/>
  <c r="M460" i="22" s="1"/>
  <c r="T440" i="22"/>
  <c r="E460" i="22" s="1"/>
  <c r="AQ440" i="22"/>
  <c r="AB460" i="22" s="1"/>
  <c r="AI440" i="22"/>
  <c r="T460" i="22" s="1"/>
  <c r="AA440" i="22"/>
  <c r="L460" i="22" s="1"/>
  <c r="S440" i="22"/>
  <c r="D460" i="22" s="1"/>
  <c r="Z440" i="22"/>
  <c r="K460" i="22" s="1"/>
  <c r="AL440" i="22"/>
  <c r="W460" i="22" s="1"/>
  <c r="AM445" i="22"/>
  <c r="X465" i="22" s="1"/>
  <c r="AE445" i="22"/>
  <c r="P465" i="22" s="1"/>
  <c r="W445" i="22"/>
  <c r="H465" i="22" s="1"/>
  <c r="AL445" i="22"/>
  <c r="W465" i="22" s="1"/>
  <c r="AD445" i="22"/>
  <c r="O465" i="22" s="1"/>
  <c r="V445" i="22"/>
  <c r="G465" i="22" s="1"/>
  <c r="Z445" i="22"/>
  <c r="K465" i="22" s="1"/>
  <c r="AJ445" i="22"/>
  <c r="U465" i="22" s="1"/>
  <c r="AB450" i="22"/>
  <c r="M470" i="22" s="1"/>
  <c r="A495" i="22"/>
  <c r="A507" i="22"/>
  <c r="X443" i="22"/>
  <c r="I463" i="22" s="1"/>
  <c r="AF443" i="22"/>
  <c r="Q463" i="22" s="1"/>
  <c r="AN443" i="22"/>
  <c r="Y463" i="22" s="1"/>
  <c r="W444" i="22"/>
  <c r="H464" i="22" s="1"/>
  <c r="AE444" i="22"/>
  <c r="P464" i="22" s="1"/>
  <c r="AM444" i="22"/>
  <c r="X464" i="22" s="1"/>
  <c r="R450" i="22"/>
  <c r="C470" i="22" s="1"/>
  <c r="Z450" i="22"/>
  <c r="K470" i="22" s="1"/>
  <c r="AH450" i="22"/>
  <c r="S470" i="22" s="1"/>
  <c r="AP450" i="22"/>
  <c r="AA470" i="22" s="1"/>
  <c r="AQ452" i="22"/>
  <c r="AB472" i="22" s="1"/>
  <c r="X452" i="22"/>
  <c r="I472" i="22" s="1"/>
  <c r="AF452" i="22"/>
  <c r="Q472" i="22" s="1"/>
  <c r="AN452" i="22"/>
  <c r="Y472" i="22" s="1"/>
  <c r="AP453" i="22"/>
  <c r="AH453" i="22"/>
  <c r="Z453" i="22"/>
  <c r="R453" i="22"/>
  <c r="Y453" i="22"/>
  <c r="AI453" i="22"/>
  <c r="AR453" i="22"/>
  <c r="AN455" i="22"/>
  <c r="Y475" i="22" s="1"/>
  <c r="AA455" i="22"/>
  <c r="L475" i="22" s="1"/>
  <c r="AK455" i="22"/>
  <c r="V475" i="22" s="1"/>
  <c r="A509" i="22"/>
  <c r="A497" i="22"/>
  <c r="Q443" i="22"/>
  <c r="B463" i="22" s="1"/>
  <c r="Y443" i="22"/>
  <c r="J463" i="22" s="1"/>
  <c r="AG443" i="22"/>
  <c r="R463" i="22" s="1"/>
  <c r="X444" i="22"/>
  <c r="I464" i="22" s="1"/>
  <c r="AF444" i="22"/>
  <c r="Q464" i="22" s="1"/>
  <c r="S450" i="22"/>
  <c r="D470" i="22" s="1"/>
  <c r="AA450" i="22"/>
  <c r="L470" i="22" s="1"/>
  <c r="AI450" i="22"/>
  <c r="T470" i="22" s="1"/>
  <c r="AQ450" i="22"/>
  <c r="AB470" i="22" s="1"/>
  <c r="Q452" i="22"/>
  <c r="B472" i="22" s="1"/>
  <c r="Y452" i="22"/>
  <c r="J472" i="22" s="1"/>
  <c r="AG452" i="22"/>
  <c r="R472" i="22" s="1"/>
  <c r="AO452" i="22"/>
  <c r="Z472" i="22" s="1"/>
  <c r="Q453" i="22"/>
  <c r="AA453" i="22"/>
  <c r="AJ453" i="22"/>
  <c r="R455" i="22"/>
  <c r="C475" i="22" s="1"/>
  <c r="AB455" i="22"/>
  <c r="M475" i="22" s="1"/>
  <c r="X450" i="22"/>
  <c r="I470" i="22" s="1"/>
  <c r="AF450" i="22"/>
  <c r="Q470" i="22" s="1"/>
  <c r="V452" i="22"/>
  <c r="G472" i="22" s="1"/>
  <c r="AD452" i="22"/>
  <c r="O472" i="22" s="1"/>
  <c r="W453" i="22"/>
  <c r="AF453" i="22"/>
  <c r="AO455" i="22"/>
  <c r="Z475" i="22" s="1"/>
  <c r="AG455" i="22"/>
  <c r="R475" i="22" s="1"/>
  <c r="Y455" i="22"/>
  <c r="J475" i="22" s="1"/>
  <c r="Q455" i="22"/>
  <c r="B475" i="22" s="1"/>
  <c r="W455" i="22"/>
  <c r="H475" i="22" s="1"/>
  <c r="AI455" i="22"/>
  <c r="T475" i="22" s="1"/>
  <c r="A490" i="22"/>
  <c r="A502" i="22"/>
  <c r="X455" i="22"/>
  <c r="I475" i="22" s="1"/>
  <c r="AF455" i="22"/>
  <c r="Q475" i="22" s="1"/>
  <c r="AJ345" i="21"/>
  <c r="U365" i="21" s="1"/>
  <c r="AA345" i="21"/>
  <c r="L365" i="21" s="1"/>
  <c r="S236" i="21"/>
  <c r="D256" i="21" s="1"/>
  <c r="Z128" i="21"/>
  <c r="K148" i="21" s="1"/>
  <c r="Q448" i="21"/>
  <c r="B468" i="21" s="1"/>
  <c r="AM448" i="21"/>
  <c r="X468" i="21" s="1"/>
  <c r="Q447" i="21"/>
  <c r="B467" i="21" s="1"/>
  <c r="W448" i="21"/>
  <c r="H468" i="21" s="1"/>
  <c r="AQ448" i="21"/>
  <c r="AB468" i="21" s="1"/>
  <c r="Z447" i="21"/>
  <c r="K467" i="21" s="1"/>
  <c r="X448" i="21"/>
  <c r="I468" i="21" s="1"/>
  <c r="AA447" i="21"/>
  <c r="L467" i="21" s="1"/>
  <c r="R233" i="21"/>
  <c r="C253" i="21" s="1"/>
  <c r="AC233" i="21"/>
  <c r="N253" i="21" s="1"/>
  <c r="AP233" i="21"/>
  <c r="AA253" i="21" s="1"/>
  <c r="AE234" i="21"/>
  <c r="P254" i="21" s="1"/>
  <c r="U233" i="21"/>
  <c r="F253" i="21" s="1"/>
  <c r="AH233" i="21"/>
  <c r="S253" i="21" s="1"/>
  <c r="AI234" i="21"/>
  <c r="T254" i="21" s="1"/>
  <c r="AN234" i="21"/>
  <c r="Y254" i="21" s="1"/>
  <c r="X233" i="21"/>
  <c r="I253" i="21" s="1"/>
  <c r="AI233" i="21"/>
  <c r="T253" i="21" s="1"/>
  <c r="Q234" i="21"/>
  <c r="B254" i="21" s="1"/>
  <c r="Y233" i="21"/>
  <c r="J253" i="21" s="1"/>
  <c r="AK233" i="21"/>
  <c r="V253" i="21" s="1"/>
  <c r="R234" i="21"/>
  <c r="C254" i="21" s="1"/>
  <c r="AA233" i="21"/>
  <c r="L253" i="21" s="1"/>
  <c r="AN233" i="21"/>
  <c r="Y253" i="21" s="1"/>
  <c r="Q233" i="21"/>
  <c r="B253" i="21" s="1"/>
  <c r="AB233" i="21"/>
  <c r="M253" i="21" s="1"/>
  <c r="AI125" i="21"/>
  <c r="T145" i="21" s="1"/>
  <c r="AN125" i="21"/>
  <c r="Y145" i="21" s="1"/>
  <c r="V125" i="21"/>
  <c r="G145" i="21" s="1"/>
  <c r="AQ340" i="21"/>
  <c r="AB360" i="21" s="1"/>
  <c r="X340" i="21"/>
  <c r="I360" i="21" s="1"/>
  <c r="Y340" i="21"/>
  <c r="J360" i="21" s="1"/>
  <c r="J378" i="21" s="1"/>
  <c r="AI123" i="21"/>
  <c r="T143" i="21" s="1"/>
  <c r="AM443" i="21"/>
  <c r="X463" i="21" s="1"/>
  <c r="U338" i="21"/>
  <c r="F358" i="21" s="1"/>
  <c r="AJ338" i="21"/>
  <c r="U358" i="21" s="1"/>
  <c r="V338" i="21"/>
  <c r="G358" i="21" s="1"/>
  <c r="AK338" i="21"/>
  <c r="V358" i="21" s="1"/>
  <c r="AA338" i="21"/>
  <c r="L358" i="21" s="1"/>
  <c r="AR338" i="21"/>
  <c r="AC358" i="21" s="1"/>
  <c r="AD338" i="21"/>
  <c r="O358" i="21" s="1"/>
  <c r="AN338" i="21"/>
  <c r="Y358" i="21" s="1"/>
  <c r="Q229" i="21"/>
  <c r="B249" i="21" s="1"/>
  <c r="AF229" i="21"/>
  <c r="Q249" i="21" s="1"/>
  <c r="U229" i="21"/>
  <c r="F249" i="21" s="1"/>
  <c r="AL229" i="21"/>
  <c r="W249" i="21" s="1"/>
  <c r="V229" i="21"/>
  <c r="G249" i="21" s="1"/>
  <c r="AM229" i="21"/>
  <c r="X249" i="21" s="1"/>
  <c r="W229" i="21"/>
  <c r="H249" i="21" s="1"/>
  <c r="AN229" i="21"/>
  <c r="Y249" i="21" s="1"/>
  <c r="AB229" i="21"/>
  <c r="M249" i="21" s="1"/>
  <c r="AI440" i="21"/>
  <c r="T460" i="21" s="1"/>
  <c r="W334" i="21"/>
  <c r="H354" i="21" s="1"/>
  <c r="AG334" i="21"/>
  <c r="R354" i="21" s="1"/>
  <c r="AH334" i="21"/>
  <c r="S354" i="21" s="1"/>
  <c r="AN334" i="21"/>
  <c r="Y354" i="21" s="1"/>
  <c r="R334" i="21"/>
  <c r="C354" i="21" s="1"/>
  <c r="AO334" i="21"/>
  <c r="Z354" i="21" s="1"/>
  <c r="AO225" i="21"/>
  <c r="Z245" i="21" s="1"/>
  <c r="AA22" i="21"/>
  <c r="L42" i="21" s="1"/>
  <c r="U20" i="21"/>
  <c r="F40" i="21" s="1"/>
  <c r="AR12" i="21"/>
  <c r="AC32" i="21" s="1"/>
  <c r="AE20" i="21"/>
  <c r="P40" i="21" s="1"/>
  <c r="AX33" i="21"/>
  <c r="A62" i="21"/>
  <c r="A74" i="21"/>
  <c r="U11" i="21"/>
  <c r="F31" i="21" s="1"/>
  <c r="AC11" i="21"/>
  <c r="N31" i="21" s="1"/>
  <c r="AK11" i="21"/>
  <c r="V31" i="21" s="1"/>
  <c r="U12" i="21"/>
  <c r="F32" i="21" s="1"/>
  <c r="AC12" i="21"/>
  <c r="N32" i="21" s="1"/>
  <c r="AK12" i="21"/>
  <c r="V32" i="21" s="1"/>
  <c r="U13" i="21"/>
  <c r="F33" i="21" s="1"/>
  <c r="AC13" i="21"/>
  <c r="N33" i="21" s="1"/>
  <c r="AK13" i="21"/>
  <c r="V33" i="21" s="1"/>
  <c r="U14" i="21"/>
  <c r="F34" i="21" s="1"/>
  <c r="AD14" i="21"/>
  <c r="O34" i="21" s="1"/>
  <c r="AN14" i="21"/>
  <c r="Y34" i="21" s="1"/>
  <c r="U15" i="21"/>
  <c r="F35" i="21" s="1"/>
  <c r="AE15" i="21"/>
  <c r="P35" i="21" s="1"/>
  <c r="AP15" i="21"/>
  <c r="AA35" i="21" s="1"/>
  <c r="V16" i="21"/>
  <c r="G36" i="21" s="1"/>
  <c r="AF16" i="21"/>
  <c r="Q36" i="21" s="1"/>
  <c r="AQ16" i="21"/>
  <c r="AB36" i="21" s="1"/>
  <c r="W17" i="21"/>
  <c r="H37" i="21" s="1"/>
  <c r="AH17" i="21"/>
  <c r="S37" i="21" s="1"/>
  <c r="X18" i="21"/>
  <c r="I38" i="21" s="1"/>
  <c r="AI18" i="21"/>
  <c r="T38" i="21" s="1"/>
  <c r="Y19" i="21"/>
  <c r="J39" i="21" s="1"/>
  <c r="R20" i="21"/>
  <c r="C40" i="21" s="1"/>
  <c r="AH20" i="21"/>
  <c r="S40" i="21" s="1"/>
  <c r="AC22" i="21"/>
  <c r="N42" i="21" s="1"/>
  <c r="AM23" i="21"/>
  <c r="X43" i="21" s="1"/>
  <c r="AE23" i="21"/>
  <c r="P43" i="21" s="1"/>
  <c r="W23" i="21"/>
  <c r="H43" i="21" s="1"/>
  <c r="AR23" i="21"/>
  <c r="AC43" i="21" s="1"/>
  <c r="AJ23" i="21"/>
  <c r="U43" i="21" s="1"/>
  <c r="AB23" i="21"/>
  <c r="M43" i="21" s="1"/>
  <c r="T23" i="21"/>
  <c r="E43" i="21" s="1"/>
  <c r="AP23" i="21"/>
  <c r="AA43" i="21" s="1"/>
  <c r="AH23" i="21"/>
  <c r="S43" i="21" s="1"/>
  <c r="Z23" i="21"/>
  <c r="K43" i="21" s="1"/>
  <c r="R23" i="21"/>
  <c r="C43" i="21" s="1"/>
  <c r="AO23" i="21"/>
  <c r="Z43" i="21" s="1"/>
  <c r="AG23" i="21"/>
  <c r="R43" i="21" s="1"/>
  <c r="Y23" i="21"/>
  <c r="J43" i="21" s="1"/>
  <c r="Q23" i="21"/>
  <c r="B43" i="21" s="1"/>
  <c r="AF23" i="21"/>
  <c r="Q43" i="21" s="1"/>
  <c r="V25" i="21"/>
  <c r="AL25" i="21"/>
  <c r="AA27" i="21"/>
  <c r="L47" i="21" s="1"/>
  <c r="AQ27" i="21"/>
  <c r="AB47" i="21" s="1"/>
  <c r="AX31" i="21"/>
  <c r="AZ33" i="21"/>
  <c r="A75" i="21"/>
  <c r="A63" i="21"/>
  <c r="V11" i="21"/>
  <c r="G31" i="21" s="1"/>
  <c r="AD11" i="21"/>
  <c r="O31" i="21" s="1"/>
  <c r="AL11" i="21"/>
  <c r="W31" i="21" s="1"/>
  <c r="V12" i="21"/>
  <c r="G32" i="21" s="1"/>
  <c r="AD12" i="21"/>
  <c r="O32" i="21" s="1"/>
  <c r="AL12" i="21"/>
  <c r="W32" i="21" s="1"/>
  <c r="V13" i="21"/>
  <c r="G33" i="21" s="1"/>
  <c r="AD13" i="21"/>
  <c r="O33" i="21" s="1"/>
  <c r="AL13" i="21"/>
  <c r="W33" i="21" s="1"/>
  <c r="V14" i="21"/>
  <c r="G34" i="21" s="1"/>
  <c r="AE14" i="21"/>
  <c r="P34" i="21" s="1"/>
  <c r="AP14" i="21"/>
  <c r="AA34" i="21" s="1"/>
  <c r="X17" i="21"/>
  <c r="I37" i="21" s="1"/>
  <c r="AI17" i="21"/>
  <c r="T37" i="21" s="1"/>
  <c r="Z18" i="21"/>
  <c r="K38" i="21" s="1"/>
  <c r="AK18" i="21"/>
  <c r="V38" i="21" s="1"/>
  <c r="AX32" i="21"/>
  <c r="AL19" i="21"/>
  <c r="W39" i="21" s="1"/>
  <c r="AD19" i="21"/>
  <c r="O39" i="21" s="1"/>
  <c r="V19" i="21"/>
  <c r="G39" i="21" s="1"/>
  <c r="AK19" i="21"/>
  <c r="V39" i="21" s="1"/>
  <c r="AC19" i="21"/>
  <c r="N39" i="21" s="1"/>
  <c r="U19" i="21"/>
  <c r="F39" i="21" s="1"/>
  <c r="Z19" i="21"/>
  <c r="K39" i="21" s="1"/>
  <c r="AP19" i="21"/>
  <c r="AA39" i="21" s="1"/>
  <c r="AU22" i="21"/>
  <c r="AC27" i="21"/>
  <c r="N47" i="21" s="1"/>
  <c r="W11" i="21"/>
  <c r="H31" i="21" s="1"/>
  <c r="AE11" i="21"/>
  <c r="P31" i="21" s="1"/>
  <c r="AM11" i="21"/>
  <c r="X31" i="21" s="1"/>
  <c r="W12" i="21"/>
  <c r="H32" i="21" s="1"/>
  <c r="AE12" i="21"/>
  <c r="P32" i="21" s="1"/>
  <c r="AM12" i="21"/>
  <c r="X32" i="21" s="1"/>
  <c r="W13" i="21"/>
  <c r="H33" i="21" s="1"/>
  <c r="AE13" i="21"/>
  <c r="P33" i="21" s="1"/>
  <c r="AM13" i="21"/>
  <c r="X33" i="21" s="1"/>
  <c r="W14" i="21"/>
  <c r="H34" i="21" s="1"/>
  <c r="AF14" i="21"/>
  <c r="Q34" i="21" s="1"/>
  <c r="W15" i="21"/>
  <c r="H35" i="21" s="1"/>
  <c r="AH15" i="21"/>
  <c r="S35" i="21" s="1"/>
  <c r="X16" i="21"/>
  <c r="I36" i="21" s="1"/>
  <c r="AI16" i="21"/>
  <c r="T36" i="21" s="1"/>
  <c r="Z17" i="21"/>
  <c r="K37" i="21" s="1"/>
  <c r="AR18" i="21"/>
  <c r="AC38" i="21" s="1"/>
  <c r="AJ18" i="21"/>
  <c r="U38" i="21" s="1"/>
  <c r="AB18" i="21"/>
  <c r="M38" i="21" s="1"/>
  <c r="T18" i="21"/>
  <c r="E38" i="21" s="1"/>
  <c r="AO18" i="21"/>
  <c r="Z38" i="21" s="1"/>
  <c r="AG18" i="21"/>
  <c r="R38" i="21" s="1"/>
  <c r="Y18" i="21"/>
  <c r="J38" i="21" s="1"/>
  <c r="Q18" i="21"/>
  <c r="B38" i="21" s="1"/>
  <c r="AA18" i="21"/>
  <c r="L38" i="21" s="1"/>
  <c r="AL18" i="21"/>
  <c r="W38" i="21" s="1"/>
  <c r="AB19" i="21"/>
  <c r="M39" i="21" s="1"/>
  <c r="AR19" i="21"/>
  <c r="AC39" i="21" s="1"/>
  <c r="W20" i="21"/>
  <c r="H40" i="21" s="1"/>
  <c r="AM20" i="21"/>
  <c r="X40" i="21" s="1"/>
  <c r="AM22" i="21"/>
  <c r="X42" i="21" s="1"/>
  <c r="AE22" i="21"/>
  <c r="P42" i="21" s="1"/>
  <c r="W22" i="21"/>
  <c r="H42" i="21" s="1"/>
  <c r="AR22" i="21"/>
  <c r="AC42" i="21" s="1"/>
  <c r="AJ22" i="21"/>
  <c r="U42" i="21" s="1"/>
  <c r="AB22" i="21"/>
  <c r="M42" i="21" s="1"/>
  <c r="T22" i="21"/>
  <c r="E42" i="21" s="1"/>
  <c r="AP22" i="21"/>
  <c r="AA42" i="21" s="1"/>
  <c r="AH22" i="21"/>
  <c r="S42" i="21" s="1"/>
  <c r="Z22" i="21"/>
  <c r="K42" i="21" s="1"/>
  <c r="R22" i="21"/>
  <c r="C42" i="21" s="1"/>
  <c r="AO22" i="21"/>
  <c r="Z42" i="21" s="1"/>
  <c r="AG22" i="21"/>
  <c r="R42" i="21" s="1"/>
  <c r="Y22" i="21"/>
  <c r="J42" i="21" s="1"/>
  <c r="Q22" i="21"/>
  <c r="B42" i="21" s="1"/>
  <c r="AF22" i="21"/>
  <c r="Q42" i="21" s="1"/>
  <c r="U23" i="21"/>
  <c r="F43" i="21" s="1"/>
  <c r="AK23" i="21"/>
  <c r="V43" i="21" s="1"/>
  <c r="AA25" i="21"/>
  <c r="AQ25" i="21"/>
  <c r="AC26" i="21"/>
  <c r="X11" i="21"/>
  <c r="I31" i="21" s="1"/>
  <c r="AF11" i="21"/>
  <c r="Q31" i="21" s="1"/>
  <c r="AN11" i="21"/>
  <c r="Y31" i="21" s="1"/>
  <c r="X12" i="21"/>
  <c r="I32" i="21" s="1"/>
  <c r="AF12" i="21"/>
  <c r="Q32" i="21" s="1"/>
  <c r="AN12" i="21"/>
  <c r="Y32" i="21" s="1"/>
  <c r="X13" i="21"/>
  <c r="I33" i="21" s="1"/>
  <c r="AF13" i="21"/>
  <c r="Q33" i="21" s="1"/>
  <c r="AN13" i="21"/>
  <c r="Y33" i="21" s="1"/>
  <c r="AR14" i="21"/>
  <c r="AC34" i="21" s="1"/>
  <c r="AJ14" i="21"/>
  <c r="U34" i="21" s="1"/>
  <c r="AB14" i="21"/>
  <c r="M34" i="21" s="1"/>
  <c r="AO14" i="21"/>
  <c r="Z34" i="21" s="1"/>
  <c r="AG14" i="21"/>
  <c r="R34" i="21" s="1"/>
  <c r="X14" i="21"/>
  <c r="I34" i="21" s="1"/>
  <c r="AH14" i="21"/>
  <c r="S34" i="21" s="1"/>
  <c r="X15" i="21"/>
  <c r="I35" i="21" s="1"/>
  <c r="AI15" i="21"/>
  <c r="T35" i="21" s="1"/>
  <c r="Z16" i="21"/>
  <c r="K36" i="21" s="1"/>
  <c r="AV16" i="21"/>
  <c r="AR17" i="21"/>
  <c r="AC37" i="21" s="1"/>
  <c r="AJ17" i="21"/>
  <c r="U37" i="21" s="1"/>
  <c r="AB17" i="21"/>
  <c r="M37" i="21" s="1"/>
  <c r="T17" i="21"/>
  <c r="E37" i="21" s="1"/>
  <c r="AO17" i="21"/>
  <c r="Z37" i="21" s="1"/>
  <c r="AG17" i="21"/>
  <c r="R37" i="21" s="1"/>
  <c r="Y17" i="21"/>
  <c r="J37" i="21" s="1"/>
  <c r="Q17" i="21"/>
  <c r="B37" i="21" s="1"/>
  <c r="AA17" i="21"/>
  <c r="L37" i="21" s="1"/>
  <c r="AL17" i="21"/>
  <c r="W37" i="21" s="1"/>
  <c r="R18" i="21"/>
  <c r="C38" i="21" s="1"/>
  <c r="AC18" i="21"/>
  <c r="N38" i="21" s="1"/>
  <c r="AM18" i="21"/>
  <c r="X38" i="21" s="1"/>
  <c r="AQ19" i="21"/>
  <c r="AB39" i="21" s="1"/>
  <c r="AE19" i="21"/>
  <c r="P39" i="21" s="1"/>
  <c r="X20" i="21"/>
  <c r="I40" i="21" s="1"/>
  <c r="AN20" i="21"/>
  <c r="Y40" i="21" s="1"/>
  <c r="S22" i="21"/>
  <c r="D42" i="21" s="1"/>
  <c r="AI22" i="21"/>
  <c r="T42" i="21" s="1"/>
  <c r="AZ22" i="21"/>
  <c r="V23" i="21"/>
  <c r="G43" i="21" s="1"/>
  <c r="AL23" i="21"/>
  <c r="W43" i="21" s="1"/>
  <c r="AC25" i="21"/>
  <c r="AM27" i="21"/>
  <c r="X47" i="21" s="1"/>
  <c r="AE27" i="21"/>
  <c r="P47" i="21" s="1"/>
  <c r="W27" i="21"/>
  <c r="H47" i="21" s="1"/>
  <c r="AR27" i="21"/>
  <c r="AC47" i="21" s="1"/>
  <c r="AJ27" i="21"/>
  <c r="U47" i="21" s="1"/>
  <c r="AB27" i="21"/>
  <c r="M47" i="21" s="1"/>
  <c r="T27" i="21"/>
  <c r="E47" i="21" s="1"/>
  <c r="AP27" i="21"/>
  <c r="AA47" i="21" s="1"/>
  <c r="AH27" i="21"/>
  <c r="S47" i="21" s="1"/>
  <c r="Z27" i="21"/>
  <c r="K47" i="21" s="1"/>
  <c r="R27" i="21"/>
  <c r="C47" i="21" s="1"/>
  <c r="AO27" i="21"/>
  <c r="Z47" i="21" s="1"/>
  <c r="AG27" i="21"/>
  <c r="R47" i="21" s="1"/>
  <c r="Y27" i="21"/>
  <c r="J47" i="21" s="1"/>
  <c r="Q27" i="21"/>
  <c r="B47" i="21" s="1"/>
  <c r="AF27" i="21"/>
  <c r="Q47" i="21" s="1"/>
  <c r="A67" i="21"/>
  <c r="Q11" i="21"/>
  <c r="B31" i="21" s="1"/>
  <c r="Y11" i="21"/>
  <c r="J31" i="21" s="1"/>
  <c r="AG11" i="21"/>
  <c r="R31" i="21" s="1"/>
  <c r="AO11" i="21"/>
  <c r="Z31" i="21" s="1"/>
  <c r="AX11" i="21"/>
  <c r="Q12" i="21"/>
  <c r="B32" i="21" s="1"/>
  <c r="Y12" i="21"/>
  <c r="J32" i="21" s="1"/>
  <c r="AG12" i="21"/>
  <c r="R32" i="21" s="1"/>
  <c r="AO12" i="21"/>
  <c r="Z32" i="21" s="1"/>
  <c r="AX12" i="21"/>
  <c r="Q13" i="21"/>
  <c r="B33" i="21" s="1"/>
  <c r="Y13" i="21"/>
  <c r="J33" i="21" s="1"/>
  <c r="AG13" i="21"/>
  <c r="R33" i="21" s="1"/>
  <c r="AO13" i="21"/>
  <c r="Z33" i="21" s="1"/>
  <c r="Q14" i="21"/>
  <c r="B34" i="21" s="1"/>
  <c r="Y14" i="21"/>
  <c r="J34" i="21" s="1"/>
  <c r="AI14" i="21"/>
  <c r="T34" i="21" s="1"/>
  <c r="Z15" i="21"/>
  <c r="K35" i="21" s="1"/>
  <c r="AV15" i="21"/>
  <c r="AR16" i="21"/>
  <c r="AC36" i="21" s="1"/>
  <c r="AJ16" i="21"/>
  <c r="U36" i="21" s="1"/>
  <c r="AB16" i="21"/>
  <c r="M36" i="21" s="1"/>
  <c r="T16" i="21"/>
  <c r="E36" i="21" s="1"/>
  <c r="AO16" i="21"/>
  <c r="Z36" i="21" s="1"/>
  <c r="AG16" i="21"/>
  <c r="R36" i="21" s="1"/>
  <c r="Y16" i="21"/>
  <c r="J36" i="21" s="1"/>
  <c r="Q16" i="21"/>
  <c r="B36" i="21" s="1"/>
  <c r="AA16" i="21"/>
  <c r="L36" i="21" s="1"/>
  <c r="AL16" i="21"/>
  <c r="W36" i="21" s="1"/>
  <c r="R17" i="21"/>
  <c r="C37" i="21" s="1"/>
  <c r="AC17" i="21"/>
  <c r="N37" i="21" s="1"/>
  <c r="AM17" i="21"/>
  <c r="X37" i="21" s="1"/>
  <c r="S18" i="21"/>
  <c r="D38" i="21" s="1"/>
  <c r="AD18" i="21"/>
  <c r="O38" i="21" s="1"/>
  <c r="AN18" i="21"/>
  <c r="Y38" i="21" s="1"/>
  <c r="Q19" i="21"/>
  <c r="B39" i="21" s="1"/>
  <c r="AG19" i="21"/>
  <c r="R39" i="21" s="1"/>
  <c r="Z20" i="21"/>
  <c r="K40" i="21" s="1"/>
  <c r="AP20" i="21"/>
  <c r="AA40" i="21" s="1"/>
  <c r="U22" i="21"/>
  <c r="F42" i="21" s="1"/>
  <c r="AK22" i="21"/>
  <c r="V42" i="21" s="1"/>
  <c r="X23" i="21"/>
  <c r="I43" i="21" s="1"/>
  <c r="AN23" i="21"/>
  <c r="Y43" i="21" s="1"/>
  <c r="AM26" i="21"/>
  <c r="AE26" i="21"/>
  <c r="W26" i="21"/>
  <c r="AR26" i="21"/>
  <c r="AJ26" i="21"/>
  <c r="AB26" i="21"/>
  <c r="T26" i="21"/>
  <c r="AP26" i="21"/>
  <c r="AH26" i="21"/>
  <c r="Z26" i="21"/>
  <c r="R26" i="21"/>
  <c r="AO26" i="21"/>
  <c r="AG26" i="21"/>
  <c r="Y26" i="21"/>
  <c r="Q26" i="21"/>
  <c r="AF26" i="21"/>
  <c r="S27" i="21"/>
  <c r="D47" i="21" s="1"/>
  <c r="AI27" i="21"/>
  <c r="T47" i="21" s="1"/>
  <c r="AK120" i="21"/>
  <c r="V140" i="21" s="1"/>
  <c r="AB120" i="21"/>
  <c r="M140" i="21" s="1"/>
  <c r="S120" i="21"/>
  <c r="D140" i="21" s="1"/>
  <c r="AP120" i="21"/>
  <c r="AA140" i="21" s="1"/>
  <c r="AG120" i="21"/>
  <c r="R140" i="21" s="1"/>
  <c r="X120" i="21"/>
  <c r="I140" i="21" s="1"/>
  <c r="AL120" i="21"/>
  <c r="W140" i="21" s="1"/>
  <c r="AC120" i="21"/>
  <c r="N140" i="21" s="1"/>
  <c r="T120" i="21"/>
  <c r="E140" i="21" s="1"/>
  <c r="AN120" i="21"/>
  <c r="Y140" i="21" s="1"/>
  <c r="AI120" i="21"/>
  <c r="T140" i="21" s="1"/>
  <c r="AF120" i="21"/>
  <c r="Q140" i="21" s="1"/>
  <c r="AD120" i="21"/>
  <c r="O140" i="21" s="1"/>
  <c r="Z120" i="21"/>
  <c r="K140" i="21" s="1"/>
  <c r="V120" i="21"/>
  <c r="G140" i="21" s="1"/>
  <c r="AR120" i="21"/>
  <c r="AC140" i="21" s="1"/>
  <c r="U120" i="21"/>
  <c r="F140" i="21" s="1"/>
  <c r="AO120" i="21"/>
  <c r="Z140" i="21" s="1"/>
  <c r="Q120" i="21"/>
  <c r="B140" i="21" s="1"/>
  <c r="R11" i="21"/>
  <c r="C31" i="21" s="1"/>
  <c r="Z11" i="21"/>
  <c r="K31" i="21" s="1"/>
  <c r="AH11" i="21"/>
  <c r="S31" i="21" s="1"/>
  <c r="AP11" i="21"/>
  <c r="AA31" i="21" s="1"/>
  <c r="R12" i="21"/>
  <c r="C32" i="21" s="1"/>
  <c r="Z12" i="21"/>
  <c r="K32" i="21" s="1"/>
  <c r="AH12" i="21"/>
  <c r="S32" i="21" s="1"/>
  <c r="AP12" i="21"/>
  <c r="AA32" i="21" s="1"/>
  <c r="R13" i="21"/>
  <c r="C33" i="21" s="1"/>
  <c r="Z13" i="21"/>
  <c r="K33" i="21" s="1"/>
  <c r="AH13" i="21"/>
  <c r="S33" i="21" s="1"/>
  <c r="AP13" i="21"/>
  <c r="AA33" i="21" s="1"/>
  <c r="R14" i="21"/>
  <c r="C34" i="21" s="1"/>
  <c r="Z14" i="21"/>
  <c r="K34" i="21" s="1"/>
  <c r="AK14" i="21"/>
  <c r="V34" i="21" s="1"/>
  <c r="AV14" i="21"/>
  <c r="AR15" i="21"/>
  <c r="AC35" i="21" s="1"/>
  <c r="AJ15" i="21"/>
  <c r="U35" i="21" s="1"/>
  <c r="AB15" i="21"/>
  <c r="M35" i="21" s="1"/>
  <c r="T15" i="21"/>
  <c r="E35" i="21" s="1"/>
  <c r="AO15" i="21"/>
  <c r="Z35" i="21" s="1"/>
  <c r="AG15" i="21"/>
  <c r="R35" i="21" s="1"/>
  <c r="Y15" i="21"/>
  <c r="J35" i="21" s="1"/>
  <c r="Q15" i="21"/>
  <c r="B35" i="21" s="1"/>
  <c r="AA15" i="21"/>
  <c r="L35" i="21" s="1"/>
  <c r="AL15" i="21"/>
  <c r="W35" i="21" s="1"/>
  <c r="R16" i="21"/>
  <c r="C36" i="21" s="1"/>
  <c r="AC16" i="21"/>
  <c r="N36" i="21" s="1"/>
  <c r="AM16" i="21"/>
  <c r="X36" i="21" s="1"/>
  <c r="S17" i="21"/>
  <c r="D37" i="21" s="1"/>
  <c r="AD17" i="21"/>
  <c r="O37" i="21" s="1"/>
  <c r="AN17" i="21"/>
  <c r="Y37" i="21" s="1"/>
  <c r="AZ17" i="21"/>
  <c r="U18" i="21"/>
  <c r="F38" i="21" s="1"/>
  <c r="AE18" i="21"/>
  <c r="P38" i="21" s="1"/>
  <c r="AP18" i="21"/>
  <c r="AA38" i="21" s="1"/>
  <c r="R19" i="21"/>
  <c r="C39" i="21" s="1"/>
  <c r="AH19" i="21"/>
  <c r="S39" i="21" s="1"/>
  <c r="AC20" i="21"/>
  <c r="N40" i="21" s="1"/>
  <c r="V22" i="21"/>
  <c r="G42" i="21" s="1"/>
  <c r="AL22" i="21"/>
  <c r="W42" i="21" s="1"/>
  <c r="AA23" i="21"/>
  <c r="L43" i="21" s="1"/>
  <c r="AQ23" i="21"/>
  <c r="AB43" i="21" s="1"/>
  <c r="AM25" i="21"/>
  <c r="AE25" i="21"/>
  <c r="W25" i="21"/>
  <c r="AR25" i="21"/>
  <c r="AJ25" i="21"/>
  <c r="AB25" i="21"/>
  <c r="T25" i="21"/>
  <c r="AP25" i="21"/>
  <c r="AH25" i="21"/>
  <c r="Z25" i="21"/>
  <c r="R25" i="21"/>
  <c r="AO25" i="21"/>
  <c r="AG25" i="21"/>
  <c r="Y25" i="21"/>
  <c r="Q25" i="21"/>
  <c r="AF25" i="21"/>
  <c r="S26" i="21"/>
  <c r="AI26" i="21"/>
  <c r="U27" i="21"/>
  <c r="F47" i="21" s="1"/>
  <c r="AK27" i="21"/>
  <c r="V47" i="21" s="1"/>
  <c r="AZ27" i="21"/>
  <c r="A64" i="21"/>
  <c r="A76" i="21"/>
  <c r="S11" i="21"/>
  <c r="D31" i="21" s="1"/>
  <c r="AA11" i="21"/>
  <c r="L31" i="21" s="1"/>
  <c r="AI11" i="21"/>
  <c r="T31" i="21" s="1"/>
  <c r="AQ11" i="21"/>
  <c r="AB31" i="21" s="1"/>
  <c r="S12" i="21"/>
  <c r="D32" i="21" s="1"/>
  <c r="AA12" i="21"/>
  <c r="L32" i="21" s="1"/>
  <c r="AI12" i="21"/>
  <c r="T32" i="21" s="1"/>
  <c r="AQ12" i="21"/>
  <c r="AB32" i="21" s="1"/>
  <c r="S13" i="21"/>
  <c r="D33" i="21" s="1"/>
  <c r="AA13" i="21"/>
  <c r="L33" i="21" s="1"/>
  <c r="AI13" i="21"/>
  <c r="T33" i="21" s="1"/>
  <c r="AZ13" i="21"/>
  <c r="S14" i="21"/>
  <c r="D34" i="21" s="1"/>
  <c r="AA14" i="21"/>
  <c r="L34" i="21" s="1"/>
  <c r="AL14" i="21"/>
  <c r="W34" i="21" s="1"/>
  <c r="R15" i="21"/>
  <c r="C35" i="21" s="1"/>
  <c r="AC15" i="21"/>
  <c r="N35" i="21" s="1"/>
  <c r="AM15" i="21"/>
  <c r="X35" i="21" s="1"/>
  <c r="AY15" i="21"/>
  <c r="S16" i="21"/>
  <c r="D36" i="21" s="1"/>
  <c r="AD16" i="21"/>
  <c r="O36" i="21" s="1"/>
  <c r="AN16" i="21"/>
  <c r="Y36" i="21" s="1"/>
  <c r="AZ16" i="21"/>
  <c r="U17" i="21"/>
  <c r="F37" i="21" s="1"/>
  <c r="AE17" i="21"/>
  <c r="P37" i="21" s="1"/>
  <c r="AP17" i="21"/>
  <c r="AA37" i="21" s="1"/>
  <c r="V18" i="21"/>
  <c r="G38" i="21" s="1"/>
  <c r="AF18" i="21"/>
  <c r="Q38" i="21" s="1"/>
  <c r="AQ18" i="21"/>
  <c r="AB38" i="21" s="1"/>
  <c r="T19" i="21"/>
  <c r="E39" i="21" s="1"/>
  <c r="AJ19" i="21"/>
  <c r="U39" i="21" s="1"/>
  <c r="X22" i="21"/>
  <c r="I42" i="21" s="1"/>
  <c r="AN22" i="21"/>
  <c r="Y42" i="21" s="1"/>
  <c r="AC23" i="21"/>
  <c r="N43" i="21" s="1"/>
  <c r="AM24" i="21"/>
  <c r="X44" i="21" s="1"/>
  <c r="AE24" i="21"/>
  <c r="P44" i="21" s="1"/>
  <c r="W24" i="21"/>
  <c r="H44" i="21" s="1"/>
  <c r="AR24" i="21"/>
  <c r="AC44" i="21" s="1"/>
  <c r="AJ24" i="21"/>
  <c r="U44" i="21" s="1"/>
  <c r="AB24" i="21"/>
  <c r="M44" i="21" s="1"/>
  <c r="T24" i="21"/>
  <c r="E44" i="21" s="1"/>
  <c r="AP24" i="21"/>
  <c r="AA44" i="21" s="1"/>
  <c r="AH24" i="21"/>
  <c r="S44" i="21" s="1"/>
  <c r="Z24" i="21"/>
  <c r="K44" i="21" s="1"/>
  <c r="R24" i="21"/>
  <c r="C44" i="21" s="1"/>
  <c r="AO24" i="21"/>
  <c r="Z44" i="21" s="1"/>
  <c r="AG24" i="21"/>
  <c r="R44" i="21" s="1"/>
  <c r="Y24" i="21"/>
  <c r="J44" i="21" s="1"/>
  <c r="Q24" i="21"/>
  <c r="B44" i="21" s="1"/>
  <c r="AF24" i="21"/>
  <c r="Q44" i="21" s="1"/>
  <c r="S25" i="21"/>
  <c r="AI25" i="21"/>
  <c r="U26" i="21"/>
  <c r="AK26" i="21"/>
  <c r="V27" i="21"/>
  <c r="G47" i="21" s="1"/>
  <c r="AL27" i="21"/>
  <c r="W47" i="21" s="1"/>
  <c r="A77" i="21"/>
  <c r="A65" i="21"/>
  <c r="A66" i="21"/>
  <c r="AT29" i="21"/>
  <c r="AT19" i="21"/>
  <c r="T11" i="21"/>
  <c r="E31" i="21" s="1"/>
  <c r="AB11" i="21"/>
  <c r="M31" i="21" s="1"/>
  <c r="AJ11" i="21"/>
  <c r="U31" i="21" s="1"/>
  <c r="T12" i="21"/>
  <c r="E32" i="21" s="1"/>
  <c r="AB12" i="21"/>
  <c r="M32" i="21" s="1"/>
  <c r="AJ12" i="21"/>
  <c r="U32" i="21" s="1"/>
  <c r="T13" i="21"/>
  <c r="E33" i="21" s="1"/>
  <c r="AB13" i="21"/>
  <c r="M33" i="21" s="1"/>
  <c r="AJ13" i="21"/>
  <c r="U33" i="21" s="1"/>
  <c r="AR13" i="21"/>
  <c r="AC33" i="21" s="1"/>
  <c r="T14" i="21"/>
  <c r="E34" i="21" s="1"/>
  <c r="AC14" i="21"/>
  <c r="N34" i="21" s="1"/>
  <c r="AM14" i="21"/>
  <c r="X34" i="21" s="1"/>
  <c r="V17" i="21"/>
  <c r="G37" i="21" s="1"/>
  <c r="AF17" i="21"/>
  <c r="Q37" i="21" s="1"/>
  <c r="W18" i="21"/>
  <c r="H38" i="21" s="1"/>
  <c r="AU32" i="21"/>
  <c r="W19" i="21"/>
  <c r="H39" i="21" s="1"/>
  <c r="AM19" i="21"/>
  <c r="X39" i="21" s="1"/>
  <c r="AO20" i="21"/>
  <c r="Z40" i="21" s="1"/>
  <c r="AG20" i="21"/>
  <c r="R40" i="21" s="1"/>
  <c r="Y20" i="21"/>
  <c r="J40" i="21" s="1"/>
  <c r="Q20" i="21"/>
  <c r="B40" i="21" s="1"/>
  <c r="AL20" i="21"/>
  <c r="W40" i="21" s="1"/>
  <c r="AD20" i="21"/>
  <c r="O40" i="21" s="1"/>
  <c r="V20" i="21"/>
  <c r="G40" i="21" s="1"/>
  <c r="AR20" i="21"/>
  <c r="AC40" i="21" s="1"/>
  <c r="AJ20" i="21"/>
  <c r="U40" i="21" s="1"/>
  <c r="AB20" i="21"/>
  <c r="M40" i="21" s="1"/>
  <c r="T20" i="21"/>
  <c r="E40" i="21" s="1"/>
  <c r="AQ20" i="21"/>
  <c r="AB40" i="21" s="1"/>
  <c r="AI20" i="21"/>
  <c r="T40" i="21" s="1"/>
  <c r="AA20" i="21"/>
  <c r="L40" i="21" s="1"/>
  <c r="S20" i="21"/>
  <c r="D40" i="21" s="1"/>
  <c r="AF20" i="21"/>
  <c r="Q40" i="21" s="1"/>
  <c r="AU23" i="21"/>
  <c r="X27" i="21"/>
  <c r="I47" i="21" s="1"/>
  <c r="AN27" i="21"/>
  <c r="Y47" i="21" s="1"/>
  <c r="AR119" i="21"/>
  <c r="AC139" i="21" s="1"/>
  <c r="AI119" i="21"/>
  <c r="T139" i="21" s="1"/>
  <c r="Z119" i="21"/>
  <c r="K139" i="21" s="1"/>
  <c r="Q119" i="21"/>
  <c r="B139" i="21" s="1"/>
  <c r="AM119" i="21"/>
  <c r="X139" i="21" s="1"/>
  <c r="AD119" i="21"/>
  <c r="O139" i="21" s="1"/>
  <c r="U119" i="21"/>
  <c r="F139" i="21" s="1"/>
  <c r="AJ119" i="21"/>
  <c r="U139" i="21" s="1"/>
  <c r="AA119" i="21"/>
  <c r="L139" i="21" s="1"/>
  <c r="R119" i="21"/>
  <c r="C139" i="21" s="1"/>
  <c r="AK119" i="21"/>
  <c r="V139" i="21" s="1"/>
  <c r="X121" i="21"/>
  <c r="I141" i="21" s="1"/>
  <c r="AF123" i="21"/>
  <c r="Q143" i="21" s="1"/>
  <c r="AL119" i="21"/>
  <c r="W139" i="21" s="1"/>
  <c r="Y121" i="21"/>
  <c r="J141" i="21" s="1"/>
  <c r="AH123" i="21"/>
  <c r="S143" i="21" s="1"/>
  <c r="AM128" i="21"/>
  <c r="X148" i="21" s="1"/>
  <c r="AE128" i="21"/>
  <c r="P148" i="21" s="1"/>
  <c r="W128" i="21"/>
  <c r="H148" i="21" s="1"/>
  <c r="AQ128" i="21"/>
  <c r="AB148" i="21" s="1"/>
  <c r="AI128" i="21"/>
  <c r="T148" i="21" s="1"/>
  <c r="AA128" i="21"/>
  <c r="L148" i="21" s="1"/>
  <c r="S128" i="21"/>
  <c r="D148" i="21" s="1"/>
  <c r="AH128" i="21"/>
  <c r="S148" i="21" s="1"/>
  <c r="U128" i="21"/>
  <c r="F148" i="21" s="1"/>
  <c r="AG128" i="21"/>
  <c r="R148" i="21" s="1"/>
  <c r="T128" i="21"/>
  <c r="E148" i="21" s="1"/>
  <c r="AR128" i="21"/>
  <c r="AC148" i="21" s="1"/>
  <c r="AD128" i="21"/>
  <c r="O148" i="21" s="1"/>
  <c r="R128" i="21"/>
  <c r="C148" i="21" s="1"/>
  <c r="AP128" i="21"/>
  <c r="AA148" i="21" s="1"/>
  <c r="AC128" i="21"/>
  <c r="N148" i="21" s="1"/>
  <c r="Q128" i="21"/>
  <c r="B148" i="21" s="1"/>
  <c r="AO128" i="21"/>
  <c r="Z148" i="21" s="1"/>
  <c r="AB128" i="21"/>
  <c r="M148" i="21" s="1"/>
  <c r="AJ128" i="21"/>
  <c r="U148" i="21" s="1"/>
  <c r="V128" i="21"/>
  <c r="G148" i="21" s="1"/>
  <c r="AK132" i="21"/>
  <c r="U132" i="21"/>
  <c r="AD132" i="21"/>
  <c r="AP132" i="21"/>
  <c r="Z132" i="21"/>
  <c r="AB121" i="21"/>
  <c r="M141" i="21" s="1"/>
  <c r="AL123" i="21"/>
  <c r="W143" i="21" s="1"/>
  <c r="AA123" i="21"/>
  <c r="L143" i="21" s="1"/>
  <c r="Q123" i="21"/>
  <c r="B143" i="21" s="1"/>
  <c r="AQ123" i="21"/>
  <c r="AB143" i="21" s="1"/>
  <c r="AG123" i="21"/>
  <c r="R143" i="21" s="1"/>
  <c r="V123" i="21"/>
  <c r="G143" i="21" s="1"/>
  <c r="AN123" i="21"/>
  <c r="Y143" i="21" s="1"/>
  <c r="AC123" i="21"/>
  <c r="N143" i="21" s="1"/>
  <c r="R123" i="21"/>
  <c r="C143" i="21" s="1"/>
  <c r="AO123" i="21"/>
  <c r="Z143" i="21" s="1"/>
  <c r="X19" i="21"/>
  <c r="I39" i="21" s="1"/>
  <c r="AF19" i="21"/>
  <c r="Q39" i="21" s="1"/>
  <c r="AN19" i="21"/>
  <c r="Y39" i="21" s="1"/>
  <c r="AZ32" i="21"/>
  <c r="A69" i="21"/>
  <c r="A81" i="21"/>
  <c r="A68" i="21"/>
  <c r="AL117" i="21"/>
  <c r="W137" i="21" s="1"/>
  <c r="AC117" i="21"/>
  <c r="N137" i="21" s="1"/>
  <c r="T117" i="21"/>
  <c r="E137" i="21" s="1"/>
  <c r="AQ117" i="21"/>
  <c r="AB137" i="21" s="1"/>
  <c r="AG117" i="21"/>
  <c r="R137" i="21" s="1"/>
  <c r="X117" i="21"/>
  <c r="I137" i="21" s="1"/>
  <c r="AM117" i="21"/>
  <c r="X137" i="21" s="1"/>
  <c r="AD117" i="21"/>
  <c r="O137" i="21" s="1"/>
  <c r="U117" i="21"/>
  <c r="F137" i="21" s="1"/>
  <c r="AF117" i="21"/>
  <c r="Q137" i="21" s="1"/>
  <c r="AO118" i="21"/>
  <c r="Z138" i="21" s="1"/>
  <c r="AG118" i="21"/>
  <c r="R138" i="21" s="1"/>
  <c r="Y118" i="21"/>
  <c r="J138" i="21" s="1"/>
  <c r="Q118" i="21"/>
  <c r="B138" i="21" s="1"/>
  <c r="AP118" i="21"/>
  <c r="AA138" i="21" s="1"/>
  <c r="AF118" i="21"/>
  <c r="Q138" i="21" s="1"/>
  <c r="W118" i="21"/>
  <c r="H138" i="21" s="1"/>
  <c r="AN118" i="21"/>
  <c r="Y138" i="21" s="1"/>
  <c r="AE118" i="21"/>
  <c r="P138" i="21" s="1"/>
  <c r="V118" i="21"/>
  <c r="G138" i="21" s="1"/>
  <c r="AL118" i="21"/>
  <c r="W138" i="21" s="1"/>
  <c r="AC118" i="21"/>
  <c r="N138" i="21" s="1"/>
  <c r="T118" i="21"/>
  <c r="E138" i="21" s="1"/>
  <c r="AK118" i="21"/>
  <c r="V138" i="21" s="1"/>
  <c r="AB118" i="21"/>
  <c r="M138" i="21" s="1"/>
  <c r="S118" i="21"/>
  <c r="D138" i="21" s="1"/>
  <c r="AQ118" i="21"/>
  <c r="AB138" i="21" s="1"/>
  <c r="AH118" i="21"/>
  <c r="S138" i="21" s="1"/>
  <c r="X118" i="21"/>
  <c r="I138" i="21" s="1"/>
  <c r="AM118" i="21"/>
  <c r="X138" i="21" s="1"/>
  <c r="T119" i="21"/>
  <c r="E139" i="21" s="1"/>
  <c r="AP123" i="21"/>
  <c r="AA143" i="21" s="1"/>
  <c r="AM125" i="21"/>
  <c r="X145" i="21" s="1"/>
  <c r="AA125" i="21"/>
  <c r="L145" i="21" s="1"/>
  <c r="AJ125" i="21"/>
  <c r="U145" i="21" s="1"/>
  <c r="W125" i="21"/>
  <c r="H145" i="21" s="1"/>
  <c r="AR125" i="21"/>
  <c r="AC145" i="21" s="1"/>
  <c r="AE125" i="21"/>
  <c r="P145" i="21" s="1"/>
  <c r="S125" i="21"/>
  <c r="D145" i="21" s="1"/>
  <c r="AH121" i="21"/>
  <c r="S141" i="21" s="1"/>
  <c r="AM129" i="21"/>
  <c r="X149" i="21" s="1"/>
  <c r="AE129" i="21"/>
  <c r="P149" i="21" s="1"/>
  <c r="W129" i="21"/>
  <c r="H149" i="21" s="1"/>
  <c r="AL129" i="21"/>
  <c r="W149" i="21" s="1"/>
  <c r="AD129" i="21"/>
  <c r="O149" i="21" s="1"/>
  <c r="V129" i="21"/>
  <c r="G149" i="21" s="1"/>
  <c r="AR129" i="21"/>
  <c r="AC149" i="21" s="1"/>
  <c r="AJ129" i="21"/>
  <c r="U149" i="21" s="1"/>
  <c r="AB129" i="21"/>
  <c r="M149" i="21" s="1"/>
  <c r="T129" i="21"/>
  <c r="E149" i="21" s="1"/>
  <c r="AP129" i="21"/>
  <c r="AA149" i="21" s="1"/>
  <c r="AH129" i="21"/>
  <c r="S149" i="21" s="1"/>
  <c r="Z129" i="21"/>
  <c r="K149" i="21" s="1"/>
  <c r="R129" i="21"/>
  <c r="C149" i="21" s="1"/>
  <c r="AO129" i="21"/>
  <c r="Z149" i="21" s="1"/>
  <c r="Y129" i="21"/>
  <c r="J149" i="21" s="1"/>
  <c r="AN129" i="21"/>
  <c r="Y149" i="21" s="1"/>
  <c r="X129" i="21"/>
  <c r="I149" i="21" s="1"/>
  <c r="AK129" i="21"/>
  <c r="V149" i="21" s="1"/>
  <c r="U129" i="21"/>
  <c r="F149" i="21" s="1"/>
  <c r="AI129" i="21"/>
  <c r="T149" i="21" s="1"/>
  <c r="S129" i="21"/>
  <c r="D149" i="21" s="1"/>
  <c r="AG129" i="21"/>
  <c r="R149" i="21" s="1"/>
  <c r="Q129" i="21"/>
  <c r="B149" i="21" s="1"/>
  <c r="AQ129" i="21"/>
  <c r="AB149" i="21" s="1"/>
  <c r="AA129" i="21"/>
  <c r="L149" i="21" s="1"/>
  <c r="Q227" i="21"/>
  <c r="B247" i="21" s="1"/>
  <c r="AR227" i="21"/>
  <c r="AC247" i="21" s="1"/>
  <c r="AO227" i="21"/>
  <c r="Z247" i="21" s="1"/>
  <c r="AE227" i="21"/>
  <c r="P247" i="21" s="1"/>
  <c r="AB227" i="21"/>
  <c r="M247" i="21" s="1"/>
  <c r="Y227" i="21"/>
  <c r="J247" i="21" s="1"/>
  <c r="AK121" i="21"/>
  <c r="V141" i="21" s="1"/>
  <c r="S19" i="21"/>
  <c r="D39" i="21" s="1"/>
  <c r="AA19" i="21"/>
  <c r="L39" i="21" s="1"/>
  <c r="AI19" i="21"/>
  <c r="T39" i="21" s="1"/>
  <c r="AC119" i="21"/>
  <c r="N139" i="21" s="1"/>
  <c r="AL121" i="21"/>
  <c r="W141" i="21" s="1"/>
  <c r="AD121" i="21"/>
  <c r="O141" i="21" s="1"/>
  <c r="V121" i="21"/>
  <c r="G141" i="21" s="1"/>
  <c r="AN121" i="21"/>
  <c r="Y141" i="21" s="1"/>
  <c r="AE121" i="21"/>
  <c r="P141" i="21" s="1"/>
  <c r="U121" i="21"/>
  <c r="F141" i="21" s="1"/>
  <c r="AM121" i="21"/>
  <c r="X141" i="21" s="1"/>
  <c r="AC121" i="21"/>
  <c r="N141" i="21" s="1"/>
  <c r="T121" i="21"/>
  <c r="E141" i="21" s="1"/>
  <c r="AJ121" i="21"/>
  <c r="U141" i="21" s="1"/>
  <c r="AA121" i="21"/>
  <c r="L141" i="21" s="1"/>
  <c r="R121" i="21"/>
  <c r="C141" i="21" s="1"/>
  <c r="AR121" i="21"/>
  <c r="AC141" i="21" s="1"/>
  <c r="AI121" i="21"/>
  <c r="T141" i="21" s="1"/>
  <c r="Z121" i="21"/>
  <c r="K141" i="21" s="1"/>
  <c r="Q121" i="21"/>
  <c r="B141" i="21" s="1"/>
  <c r="AO121" i="21"/>
  <c r="Z141" i="21" s="1"/>
  <c r="AF121" i="21"/>
  <c r="Q141" i="21" s="1"/>
  <c r="W121" i="21"/>
  <c r="H141" i="21" s="1"/>
  <c r="AP121" i="21"/>
  <c r="AA141" i="21" s="1"/>
  <c r="Y123" i="21"/>
  <c r="J143" i="21" s="1"/>
  <c r="T125" i="21"/>
  <c r="E145" i="21" s="1"/>
  <c r="AK128" i="21"/>
  <c r="V148" i="21" s="1"/>
  <c r="AF129" i="21"/>
  <c r="Q149" i="21" s="1"/>
  <c r="S121" i="21"/>
  <c r="D141" i="21" s="1"/>
  <c r="AK122" i="21"/>
  <c r="V142" i="21" s="1"/>
  <c r="AC122" i="21"/>
  <c r="N142" i="21" s="1"/>
  <c r="U122" i="21"/>
  <c r="F142" i="21" s="1"/>
  <c r="Y122" i="21"/>
  <c r="J142" i="21" s="1"/>
  <c r="AH122" i="21"/>
  <c r="S142" i="21" s="1"/>
  <c r="AQ122" i="21"/>
  <c r="AB142" i="21" s="1"/>
  <c r="AQ124" i="21"/>
  <c r="AB144" i="21" s="1"/>
  <c r="AI124" i="21"/>
  <c r="T144" i="21" s="1"/>
  <c r="AA124" i="21"/>
  <c r="L144" i="21" s="1"/>
  <c r="S124" i="21"/>
  <c r="D144" i="21" s="1"/>
  <c r="AP124" i="21"/>
  <c r="AA144" i="21" s="1"/>
  <c r="AH124" i="21"/>
  <c r="S144" i="21" s="1"/>
  <c r="Z124" i="21"/>
  <c r="K144" i="21" s="1"/>
  <c r="AL124" i="21"/>
  <c r="W144" i="21" s="1"/>
  <c r="AD124" i="21"/>
  <c r="O144" i="21" s="1"/>
  <c r="V124" i="21"/>
  <c r="G144" i="21" s="1"/>
  <c r="AB124" i="21"/>
  <c r="M144" i="21" s="1"/>
  <c r="AN124" i="21"/>
  <c r="Y144" i="21" s="1"/>
  <c r="W130" i="21"/>
  <c r="H150" i="21" s="1"/>
  <c r="AM130" i="21"/>
  <c r="X150" i="21" s="1"/>
  <c r="A175" i="21"/>
  <c r="A187" i="21"/>
  <c r="AR226" i="21"/>
  <c r="AC246" i="21" s="1"/>
  <c r="AJ226" i="21"/>
  <c r="U246" i="21" s="1"/>
  <c r="AB226" i="21"/>
  <c r="M246" i="21" s="1"/>
  <c r="T226" i="21"/>
  <c r="E246" i="21" s="1"/>
  <c r="AQ226" i="21"/>
  <c r="AB246" i="21" s="1"/>
  <c r="AI226" i="21"/>
  <c r="T246" i="21" s="1"/>
  <c r="AA226" i="21"/>
  <c r="L246" i="21" s="1"/>
  <c r="S226" i="21"/>
  <c r="D246" i="21" s="1"/>
  <c r="AK226" i="21"/>
  <c r="V246" i="21" s="1"/>
  <c r="Y226" i="21"/>
  <c r="J246" i="21" s="1"/>
  <c r="AO226" i="21"/>
  <c r="Z246" i="21" s="1"/>
  <c r="AE226" i="21"/>
  <c r="P246" i="21" s="1"/>
  <c r="U226" i="21"/>
  <c r="F246" i="21" s="1"/>
  <c r="AP226" i="21"/>
  <c r="AA246" i="21" s="1"/>
  <c r="AC226" i="21"/>
  <c r="N246" i="21" s="1"/>
  <c r="AN226" i="21"/>
  <c r="Y246" i="21" s="1"/>
  <c r="Z226" i="21"/>
  <c r="K246" i="21" s="1"/>
  <c r="AM226" i="21"/>
  <c r="X246" i="21" s="1"/>
  <c r="X226" i="21"/>
  <c r="I246" i="21" s="1"/>
  <c r="AL226" i="21"/>
  <c r="W246" i="21" s="1"/>
  <c r="W226" i="21"/>
  <c r="H246" i="21" s="1"/>
  <c r="AG226" i="21"/>
  <c r="R246" i="21" s="1"/>
  <c r="R226" i="21"/>
  <c r="C246" i="21" s="1"/>
  <c r="AP230" i="21"/>
  <c r="AA250" i="21" s="1"/>
  <c r="AH230" i="21"/>
  <c r="S250" i="21" s="1"/>
  <c r="Z230" i="21"/>
  <c r="K250" i="21" s="1"/>
  <c r="R230" i="21"/>
  <c r="C250" i="21" s="1"/>
  <c r="AO230" i="21"/>
  <c r="Z250" i="21" s="1"/>
  <c r="AG230" i="21"/>
  <c r="R250" i="21" s="1"/>
  <c r="Y230" i="21"/>
  <c r="J250" i="21" s="1"/>
  <c r="Q230" i="21"/>
  <c r="B250" i="21" s="1"/>
  <c r="AJ230" i="21"/>
  <c r="U250" i="21" s="1"/>
  <c r="X230" i="21"/>
  <c r="I250" i="21" s="1"/>
  <c r="AI230" i="21"/>
  <c r="T250" i="21" s="1"/>
  <c r="W230" i="21"/>
  <c r="H250" i="21" s="1"/>
  <c r="AK230" i="21"/>
  <c r="V250" i="21" s="1"/>
  <c r="U230" i="21"/>
  <c r="F250" i="21" s="1"/>
  <c r="AF230" i="21"/>
  <c r="Q250" i="21" s="1"/>
  <c r="T230" i="21"/>
  <c r="E250" i="21" s="1"/>
  <c r="AQ230" i="21"/>
  <c r="AB250" i="21" s="1"/>
  <c r="AC230" i="21"/>
  <c r="N250" i="21" s="1"/>
  <c r="AN230" i="21"/>
  <c r="Y250" i="21" s="1"/>
  <c r="AB230" i="21"/>
  <c r="M250" i="21" s="1"/>
  <c r="AM230" i="21"/>
  <c r="X250" i="21" s="1"/>
  <c r="AL230" i="21"/>
  <c r="W250" i="21" s="1"/>
  <c r="AE230" i="21"/>
  <c r="P250" i="21" s="1"/>
  <c r="AD230" i="21"/>
  <c r="O250" i="21" s="1"/>
  <c r="V230" i="21"/>
  <c r="G250" i="21" s="1"/>
  <c r="A172" i="21"/>
  <c r="A184" i="21"/>
  <c r="AC227" i="21"/>
  <c r="N247" i="21" s="1"/>
  <c r="A276" i="21"/>
  <c r="A288" i="21"/>
  <c r="S122" i="21"/>
  <c r="D142" i="21" s="1"/>
  <c r="AB122" i="21"/>
  <c r="M142" i="21" s="1"/>
  <c r="AL122" i="21"/>
  <c r="W142" i="21" s="1"/>
  <c r="T124" i="21"/>
  <c r="E144" i="21" s="1"/>
  <c r="AF124" i="21"/>
  <c r="Q144" i="21" s="1"/>
  <c r="Z126" i="21"/>
  <c r="K146" i="21" s="1"/>
  <c r="AL126" i="21"/>
  <c r="W146" i="21" s="1"/>
  <c r="AN128" i="21"/>
  <c r="Y148" i="21" s="1"/>
  <c r="AB130" i="21"/>
  <c r="M150" i="21" s="1"/>
  <c r="AR130" i="21"/>
  <c r="AC150" i="21" s="1"/>
  <c r="AR132" i="21"/>
  <c r="AJ132" i="21"/>
  <c r="AB132" i="21"/>
  <c r="T132" i="21"/>
  <c r="AQ132" i="21"/>
  <c r="AI132" i="21"/>
  <c r="AA132" i="21"/>
  <c r="S132" i="21"/>
  <c r="AO132" i="21"/>
  <c r="AG132" i="21"/>
  <c r="Y132" i="21"/>
  <c r="Q132" i="21"/>
  <c r="AM132" i="21"/>
  <c r="AE132" i="21"/>
  <c r="W132" i="21"/>
  <c r="AF132" i="21"/>
  <c r="AD226" i="21"/>
  <c r="O246" i="21" s="1"/>
  <c r="AR230" i="21"/>
  <c r="AC250" i="21" s="1"/>
  <c r="AA257" i="21"/>
  <c r="AQ238" i="21"/>
  <c r="AB258" i="21" s="1"/>
  <c r="AI238" i="21"/>
  <c r="T258" i="21" s="1"/>
  <c r="AA238" i="21"/>
  <c r="L258" i="21" s="1"/>
  <c r="S238" i="21"/>
  <c r="D258" i="21" s="1"/>
  <c r="AP238" i="21"/>
  <c r="AA258" i="21" s="1"/>
  <c r="AH238" i="21"/>
  <c r="S258" i="21" s="1"/>
  <c r="Z238" i="21"/>
  <c r="K258" i="21" s="1"/>
  <c r="R238" i="21"/>
  <c r="C258" i="21" s="1"/>
  <c r="AK238" i="21"/>
  <c r="V258" i="21" s="1"/>
  <c r="Y238" i="21"/>
  <c r="J258" i="21" s="1"/>
  <c r="AJ238" i="21"/>
  <c r="U258" i="21" s="1"/>
  <c r="X238" i="21"/>
  <c r="I258" i="21" s="1"/>
  <c r="AN238" i="21"/>
  <c r="Y258" i="21" s="1"/>
  <c r="AB238" i="21"/>
  <c r="M258" i="21" s="1"/>
  <c r="AM238" i="21"/>
  <c r="X258" i="21" s="1"/>
  <c r="W238" i="21"/>
  <c r="H258" i="21" s="1"/>
  <c r="AF238" i="21"/>
  <c r="Q258" i="21" s="1"/>
  <c r="T238" i="21"/>
  <c r="E258" i="21" s="1"/>
  <c r="AE238" i="21"/>
  <c r="P258" i="21" s="1"/>
  <c r="Q238" i="21"/>
  <c r="B258" i="21" s="1"/>
  <c r="AL238" i="21"/>
  <c r="W258" i="21" s="1"/>
  <c r="AG238" i="21"/>
  <c r="R258" i="21" s="1"/>
  <c r="AD238" i="21"/>
  <c r="O258" i="21" s="1"/>
  <c r="AC238" i="21"/>
  <c r="N258" i="21" s="1"/>
  <c r="U238" i="21"/>
  <c r="F258" i="21" s="1"/>
  <c r="AP117" i="21"/>
  <c r="AA137" i="21" s="1"/>
  <c r="AH117" i="21"/>
  <c r="S137" i="21" s="1"/>
  <c r="Z117" i="21"/>
  <c r="K137" i="21" s="1"/>
  <c r="R117" i="21"/>
  <c r="C137" i="21" s="1"/>
  <c r="Y117" i="21"/>
  <c r="J137" i="21" s="1"/>
  <c r="AI117" i="21"/>
  <c r="T137" i="21" s="1"/>
  <c r="AR117" i="21"/>
  <c r="AC137" i="21" s="1"/>
  <c r="V119" i="21"/>
  <c r="G139" i="21" s="1"/>
  <c r="AE119" i="21"/>
  <c r="P139" i="21" s="1"/>
  <c r="AO119" i="21"/>
  <c r="Z139" i="21" s="1"/>
  <c r="AM120" i="21"/>
  <c r="X140" i="21" s="1"/>
  <c r="AE120" i="21"/>
  <c r="P140" i="21" s="1"/>
  <c r="W120" i="21"/>
  <c r="H140" i="21" s="1"/>
  <c r="Y120" i="21"/>
  <c r="J140" i="21" s="1"/>
  <c r="AH120" i="21"/>
  <c r="S140" i="21" s="1"/>
  <c r="AQ120" i="21"/>
  <c r="AB140" i="21" s="1"/>
  <c r="T122" i="21"/>
  <c r="E142" i="21" s="1"/>
  <c r="AD122" i="21"/>
  <c r="O142" i="21" s="1"/>
  <c r="AM122" i="21"/>
  <c r="X142" i="21" s="1"/>
  <c r="X123" i="21"/>
  <c r="I143" i="21" s="1"/>
  <c r="U124" i="21"/>
  <c r="F144" i="21" s="1"/>
  <c r="AG124" i="21"/>
  <c r="R144" i="21" s="1"/>
  <c r="X125" i="21"/>
  <c r="I145" i="21" s="1"/>
  <c r="AL125" i="21"/>
  <c r="W145" i="21" s="1"/>
  <c r="AA126" i="21"/>
  <c r="L146" i="21" s="1"/>
  <c r="AM126" i="21"/>
  <c r="X146" i="21" s="1"/>
  <c r="AM131" i="21"/>
  <c r="R132" i="21"/>
  <c r="AH132" i="21"/>
  <c r="AC133" i="21"/>
  <c r="N153" i="21" s="1"/>
  <c r="A180" i="21"/>
  <c r="A168" i="21"/>
  <c r="A173" i="21"/>
  <c r="AF225" i="21"/>
  <c r="Q245" i="21" s="1"/>
  <c r="R225" i="21"/>
  <c r="C245" i="21" s="1"/>
  <c r="AF226" i="21"/>
  <c r="Q246" i="21" s="1"/>
  <c r="V238" i="21"/>
  <c r="G258" i="21" s="1"/>
  <c r="AR240" i="21"/>
  <c r="AH240" i="21"/>
  <c r="V240" i="21"/>
  <c r="AQ240" i="21"/>
  <c r="AE240" i="21"/>
  <c r="U240" i="21"/>
  <c r="AK240" i="21"/>
  <c r="W240" i="21"/>
  <c r="AJ240" i="21"/>
  <c r="T240" i="21"/>
  <c r="AC240" i="21"/>
  <c r="AP240" i="21"/>
  <c r="AB240" i="21"/>
  <c r="AA240" i="21"/>
  <c r="Z240" i="21"/>
  <c r="S240" i="21"/>
  <c r="R240" i="21"/>
  <c r="AL240" i="21"/>
  <c r="AL130" i="21"/>
  <c r="W150" i="21" s="1"/>
  <c r="AD130" i="21"/>
  <c r="O150" i="21" s="1"/>
  <c r="V130" i="21"/>
  <c r="G150" i="21" s="1"/>
  <c r="AK130" i="21"/>
  <c r="V150" i="21" s="1"/>
  <c r="AC130" i="21"/>
  <c r="N150" i="21" s="1"/>
  <c r="U130" i="21"/>
  <c r="F150" i="21" s="1"/>
  <c r="AQ130" i="21"/>
  <c r="AB150" i="21" s="1"/>
  <c r="AI130" i="21"/>
  <c r="T150" i="21" s="1"/>
  <c r="AA130" i="21"/>
  <c r="L150" i="21" s="1"/>
  <c r="S130" i="21"/>
  <c r="D150" i="21" s="1"/>
  <c r="AO130" i="21"/>
  <c r="Z150" i="21" s="1"/>
  <c r="AG130" i="21"/>
  <c r="R150" i="21" s="1"/>
  <c r="Y130" i="21"/>
  <c r="J150" i="21" s="1"/>
  <c r="Q130" i="21"/>
  <c r="B150" i="21" s="1"/>
  <c r="AF130" i="21"/>
  <c r="Q150" i="21" s="1"/>
  <c r="S117" i="21"/>
  <c r="D137" i="21" s="1"/>
  <c r="AB117" i="21"/>
  <c r="M137" i="21" s="1"/>
  <c r="AK117" i="21"/>
  <c r="V137" i="21" s="1"/>
  <c r="AN119" i="21"/>
  <c r="Y139" i="21" s="1"/>
  <c r="Y119" i="21"/>
  <c r="J139" i="21" s="1"/>
  <c r="AH119" i="21"/>
  <c r="S139" i="21" s="1"/>
  <c r="R120" i="21"/>
  <c r="C140" i="21" s="1"/>
  <c r="AA120" i="21"/>
  <c r="L140" i="21" s="1"/>
  <c r="AJ120" i="21"/>
  <c r="U140" i="21" s="1"/>
  <c r="W122" i="21"/>
  <c r="H142" i="21" s="1"/>
  <c r="AF122" i="21"/>
  <c r="Q142" i="21" s="1"/>
  <c r="AO122" i="21"/>
  <c r="Z142" i="21" s="1"/>
  <c r="AR123" i="21"/>
  <c r="AC143" i="21" s="1"/>
  <c r="AJ123" i="21"/>
  <c r="U143" i="21" s="1"/>
  <c r="AB123" i="21"/>
  <c r="M143" i="21" s="1"/>
  <c r="T123" i="21"/>
  <c r="E143" i="21" s="1"/>
  <c r="AM123" i="21"/>
  <c r="X143" i="21" s="1"/>
  <c r="AE123" i="21"/>
  <c r="P143" i="21" s="1"/>
  <c r="W123" i="21"/>
  <c r="H143" i="21" s="1"/>
  <c r="Z123" i="21"/>
  <c r="K143" i="21" s="1"/>
  <c r="AK123" i="21"/>
  <c r="V143" i="21" s="1"/>
  <c r="X124" i="21"/>
  <c r="I144" i="21" s="1"/>
  <c r="AK124" i="21"/>
  <c r="V144" i="21" s="1"/>
  <c r="AB125" i="21"/>
  <c r="M145" i="21" s="1"/>
  <c r="R126" i="21"/>
  <c r="C146" i="21" s="1"/>
  <c r="AD126" i="21"/>
  <c r="O146" i="21" s="1"/>
  <c r="AQ126" i="21"/>
  <c r="AB146" i="21" s="1"/>
  <c r="R130" i="21"/>
  <c r="C150" i="21" s="1"/>
  <c r="AH130" i="21"/>
  <c r="S150" i="21" s="1"/>
  <c r="AJ131" i="21"/>
  <c r="AB131" i="21"/>
  <c r="T131" i="21"/>
  <c r="AP131" i="21"/>
  <c r="AH131" i="21"/>
  <c r="Z131" i="21"/>
  <c r="R131" i="21"/>
  <c r="AA131" i="21"/>
  <c r="AQ131" i="21"/>
  <c r="V132" i="21"/>
  <c r="AL132" i="21"/>
  <c r="Q133" i="21"/>
  <c r="B153" i="21" s="1"/>
  <c r="AG133" i="21"/>
  <c r="R153" i="21" s="1"/>
  <c r="X225" i="21"/>
  <c r="I245" i="21" s="1"/>
  <c r="AR238" i="21"/>
  <c r="AC258" i="21" s="1"/>
  <c r="X122" i="21"/>
  <c r="I142" i="21" s="1"/>
  <c r="AG122" i="21"/>
  <c r="R142" i="21" s="1"/>
  <c r="AP122" i="21"/>
  <c r="AA142" i="21" s="1"/>
  <c r="Y124" i="21"/>
  <c r="J144" i="21" s="1"/>
  <c r="AM124" i="21"/>
  <c r="X144" i="21" s="1"/>
  <c r="AP125" i="21"/>
  <c r="AA145" i="21" s="1"/>
  <c r="AH125" i="21"/>
  <c r="S145" i="21" s="1"/>
  <c r="Z125" i="21"/>
  <c r="K145" i="21" s="1"/>
  <c r="R125" i="21"/>
  <c r="C145" i="21" s="1"/>
  <c r="AO125" i="21"/>
  <c r="Z145" i="21" s="1"/>
  <c r="AG125" i="21"/>
  <c r="R145" i="21" s="1"/>
  <c r="Y125" i="21"/>
  <c r="J145" i="21" s="1"/>
  <c r="Q125" i="21"/>
  <c r="B145" i="21" s="1"/>
  <c r="AK125" i="21"/>
  <c r="V145" i="21" s="1"/>
  <c r="AC125" i="21"/>
  <c r="N145" i="21" s="1"/>
  <c r="U125" i="21"/>
  <c r="F145" i="21" s="1"/>
  <c r="AD125" i="21"/>
  <c r="O145" i="21" s="1"/>
  <c r="AQ125" i="21"/>
  <c r="AB145" i="21" s="1"/>
  <c r="S126" i="21"/>
  <c r="D146" i="21" s="1"/>
  <c r="T130" i="21"/>
  <c r="E150" i="21" s="1"/>
  <c r="AJ130" i="21"/>
  <c r="U150" i="21" s="1"/>
  <c r="X132" i="21"/>
  <c r="AN132" i="21"/>
  <c r="T133" i="21"/>
  <c r="E153" i="21" s="1"/>
  <c r="A170" i="21"/>
  <c r="A182" i="21"/>
  <c r="AK236" i="21"/>
  <c r="V256" i="21" s="1"/>
  <c r="AC236" i="21"/>
  <c r="N256" i="21" s="1"/>
  <c r="U236" i="21"/>
  <c r="F256" i="21" s="1"/>
  <c r="AR236" i="21"/>
  <c r="AC256" i="21" s="1"/>
  <c r="AJ236" i="21"/>
  <c r="U256" i="21" s="1"/>
  <c r="AB236" i="21"/>
  <c r="M256" i="21" s="1"/>
  <c r="T236" i="21"/>
  <c r="E256" i="21" s="1"/>
  <c r="AN236" i="21"/>
  <c r="Y256" i="21" s="1"/>
  <c r="AD236" i="21"/>
  <c r="O256" i="21" s="1"/>
  <c r="R236" i="21"/>
  <c r="C256" i="21" s="1"/>
  <c r="AM236" i="21"/>
  <c r="X256" i="21" s="1"/>
  <c r="AA236" i="21"/>
  <c r="L256" i="21" s="1"/>
  <c r="Q236" i="21"/>
  <c r="B256" i="21" s="1"/>
  <c r="AQ236" i="21"/>
  <c r="AB256" i="21" s="1"/>
  <c r="AE236" i="21"/>
  <c r="P256" i="21" s="1"/>
  <c r="AP236" i="21"/>
  <c r="AA256" i="21" s="1"/>
  <c r="Z236" i="21"/>
  <c r="K256" i="21" s="1"/>
  <c r="AI236" i="21"/>
  <c r="T256" i="21" s="1"/>
  <c r="W236" i="21"/>
  <c r="H256" i="21" s="1"/>
  <c r="AH236" i="21"/>
  <c r="S256" i="21" s="1"/>
  <c r="V236" i="21"/>
  <c r="G256" i="21" s="1"/>
  <c r="AO236" i="21"/>
  <c r="Z256" i="21" s="1"/>
  <c r="AL236" i="21"/>
  <c r="W256" i="21" s="1"/>
  <c r="AG236" i="21"/>
  <c r="R256" i="21" s="1"/>
  <c r="AF236" i="21"/>
  <c r="Q256" i="21" s="1"/>
  <c r="X236" i="21"/>
  <c r="I256" i="21" s="1"/>
  <c r="AD240" i="21"/>
  <c r="Z146" i="21"/>
  <c r="T126" i="21"/>
  <c r="E146" i="21" s="1"/>
  <c r="AB126" i="21"/>
  <c r="M146" i="21" s="1"/>
  <c r="AJ126" i="21"/>
  <c r="U146" i="21" s="1"/>
  <c r="AR126" i="21"/>
  <c r="AC146" i="21" s="1"/>
  <c r="X131" i="21"/>
  <c r="AF131" i="21"/>
  <c r="AN131" i="21"/>
  <c r="V133" i="21"/>
  <c r="G153" i="21" s="1"/>
  <c r="AD133" i="21"/>
  <c r="O153" i="21" s="1"/>
  <c r="AL133" i="21"/>
  <c r="W153" i="21" s="1"/>
  <c r="Z225" i="21"/>
  <c r="K245" i="21" s="1"/>
  <c r="AC228" i="21"/>
  <c r="N248" i="21" s="1"/>
  <c r="T241" i="21"/>
  <c r="E261" i="21" s="1"/>
  <c r="X133" i="21"/>
  <c r="I153" i="21" s="1"/>
  <c r="AF133" i="21"/>
  <c r="Q153" i="21" s="1"/>
  <c r="AN133" i="21"/>
  <c r="Y153" i="21" s="1"/>
  <c r="AK225" i="21"/>
  <c r="V245" i="21" s="1"/>
  <c r="AC225" i="21"/>
  <c r="N245" i="21" s="1"/>
  <c r="U225" i="21"/>
  <c r="F245" i="21" s="1"/>
  <c r="AR225" i="21"/>
  <c r="AC245" i="21" s="1"/>
  <c r="AJ225" i="21"/>
  <c r="U245" i="21" s="1"/>
  <c r="AB225" i="21"/>
  <c r="M245" i="21" s="1"/>
  <c r="T225" i="21"/>
  <c r="E245" i="21" s="1"/>
  <c r="AM225" i="21"/>
  <c r="X245" i="21" s="1"/>
  <c r="AA225" i="21"/>
  <c r="L245" i="21" s="1"/>
  <c r="Q225" i="21"/>
  <c r="B245" i="21" s="1"/>
  <c r="AQ225" i="21"/>
  <c r="AB245" i="21" s="1"/>
  <c r="AG225" i="21"/>
  <c r="R245" i="21" s="1"/>
  <c r="W225" i="21"/>
  <c r="H245" i="21" s="1"/>
  <c r="AE225" i="21"/>
  <c r="P245" i="21" s="1"/>
  <c r="AQ227" i="21"/>
  <c r="AB247" i="21" s="1"/>
  <c r="AI227" i="21"/>
  <c r="T247" i="21" s="1"/>
  <c r="AA227" i="21"/>
  <c r="L247" i="21" s="1"/>
  <c r="S227" i="21"/>
  <c r="D247" i="21" s="1"/>
  <c r="AP227" i="21"/>
  <c r="AA247" i="21" s="1"/>
  <c r="AH227" i="21"/>
  <c r="S247" i="21" s="1"/>
  <c r="Z227" i="21"/>
  <c r="K247" i="21" s="1"/>
  <c r="R227" i="21"/>
  <c r="C247" i="21" s="1"/>
  <c r="AJ227" i="21"/>
  <c r="U247" i="21" s="1"/>
  <c r="X227" i="21"/>
  <c r="I247" i="21" s="1"/>
  <c r="AG227" i="21"/>
  <c r="R247" i="21" s="1"/>
  <c r="W227" i="21"/>
  <c r="H247" i="21" s="1"/>
  <c r="AN227" i="21"/>
  <c r="Y247" i="21" s="1"/>
  <c r="AD227" i="21"/>
  <c r="O247" i="21" s="1"/>
  <c r="T227" i="21"/>
  <c r="E247" i="21" s="1"/>
  <c r="AF227" i="21"/>
  <c r="Q247" i="21" s="1"/>
  <c r="AF228" i="21"/>
  <c r="Q248" i="21" s="1"/>
  <c r="AL231" i="21"/>
  <c r="W251" i="21" s="1"/>
  <c r="Z231" i="21"/>
  <c r="K251" i="21" s="1"/>
  <c r="AI231" i="21"/>
  <c r="T251" i="21" s="1"/>
  <c r="S231" i="21"/>
  <c r="D251" i="21" s="1"/>
  <c r="AD231" i="21"/>
  <c r="O251" i="21" s="1"/>
  <c r="R231" i="21"/>
  <c r="C251" i="21" s="1"/>
  <c r="AP231" i="21"/>
  <c r="AA251" i="21" s="1"/>
  <c r="Z241" i="21"/>
  <c r="K261" i="21" s="1"/>
  <c r="AK227" i="21"/>
  <c r="V247" i="21" s="1"/>
  <c r="AO231" i="21"/>
  <c r="Z251" i="21" s="1"/>
  <c r="AL239" i="21"/>
  <c r="V239" i="21"/>
  <c r="AN239" i="21"/>
  <c r="A279" i="21"/>
  <c r="A291" i="21"/>
  <c r="X126" i="21"/>
  <c r="I146" i="21" s="1"/>
  <c r="AF126" i="21"/>
  <c r="Q146" i="21" s="1"/>
  <c r="AN126" i="21"/>
  <c r="Y146" i="21" s="1"/>
  <c r="AR131" i="21"/>
  <c r="R133" i="21"/>
  <c r="C153" i="21" s="1"/>
  <c r="Z133" i="21"/>
  <c r="K153" i="21" s="1"/>
  <c r="AH133" i="21"/>
  <c r="S153" i="21" s="1"/>
  <c r="AP133" i="21"/>
  <c r="AA153" i="21" s="1"/>
  <c r="S225" i="21"/>
  <c r="D245" i="21" s="1"/>
  <c r="AH225" i="21"/>
  <c r="S245" i="21" s="1"/>
  <c r="U227" i="21"/>
  <c r="F247" i="21" s="1"/>
  <c r="AL227" i="21"/>
  <c r="W247" i="21" s="1"/>
  <c r="AR228" i="21"/>
  <c r="AC248" i="21" s="1"/>
  <c r="AJ228" i="21"/>
  <c r="U248" i="21" s="1"/>
  <c r="AB228" i="21"/>
  <c r="M248" i="21" s="1"/>
  <c r="AQ228" i="21"/>
  <c r="AB248" i="21" s="1"/>
  <c r="AI228" i="21"/>
  <c r="T248" i="21" s="1"/>
  <c r="AA228" i="21"/>
  <c r="L248" i="21" s="1"/>
  <c r="AL228" i="21"/>
  <c r="W248" i="21" s="1"/>
  <c r="Z228" i="21"/>
  <c r="K248" i="21" s="1"/>
  <c r="R228" i="21"/>
  <c r="C248" i="21" s="1"/>
  <c r="AK228" i="21"/>
  <c r="V248" i="21" s="1"/>
  <c r="Y228" i="21"/>
  <c r="J248" i="21" s="1"/>
  <c r="Q228" i="21"/>
  <c r="B248" i="21" s="1"/>
  <c r="AM228" i="21"/>
  <c r="X248" i="21" s="1"/>
  <c r="W228" i="21"/>
  <c r="H248" i="21" s="1"/>
  <c r="AH228" i="21"/>
  <c r="S248" i="21" s="1"/>
  <c r="V228" i="21"/>
  <c r="G248" i="21" s="1"/>
  <c r="AE228" i="21"/>
  <c r="P248" i="21" s="1"/>
  <c r="S228" i="21"/>
  <c r="D248" i="21" s="1"/>
  <c r="AN228" i="21"/>
  <c r="Y248" i="21" s="1"/>
  <c r="T231" i="21"/>
  <c r="E251" i="21" s="1"/>
  <c r="AO241" i="21"/>
  <c r="Z261" i="21" s="1"/>
  <c r="AC241" i="21"/>
  <c r="N261" i="21" s="1"/>
  <c r="S241" i="21"/>
  <c r="D261" i="21" s="1"/>
  <c r="AL241" i="21"/>
  <c r="W261" i="21" s="1"/>
  <c r="AB241" i="21"/>
  <c r="M261" i="21" s="1"/>
  <c r="R241" i="21"/>
  <c r="C261" i="21" s="1"/>
  <c r="AR241" i="21"/>
  <c r="AC261" i="21" s="1"/>
  <c r="AD241" i="21"/>
  <c r="O261" i="21" s="1"/>
  <c r="AQ241" i="21"/>
  <c r="AB261" i="21" s="1"/>
  <c r="AA241" i="21"/>
  <c r="L261" i="21" s="1"/>
  <c r="AJ241" i="21"/>
  <c r="U261" i="21" s="1"/>
  <c r="V241" i="21"/>
  <c r="G261" i="21" s="1"/>
  <c r="AI241" i="21"/>
  <c r="T261" i="21" s="1"/>
  <c r="U241" i="21"/>
  <c r="F261" i="21" s="1"/>
  <c r="AH241" i="21"/>
  <c r="S261" i="21" s="1"/>
  <c r="X119" i="21"/>
  <c r="I139" i="21" s="1"/>
  <c r="AF119" i="21"/>
  <c r="Q139" i="21" s="1"/>
  <c r="Q126" i="21"/>
  <c r="B146" i="21" s="1"/>
  <c r="Y126" i="21"/>
  <c r="J146" i="21" s="1"/>
  <c r="AG126" i="21"/>
  <c r="R146" i="21" s="1"/>
  <c r="X128" i="21"/>
  <c r="I148" i="21" s="1"/>
  <c r="AF128" i="21"/>
  <c r="Q148" i="21" s="1"/>
  <c r="U131" i="21"/>
  <c r="AC131" i="21"/>
  <c r="S133" i="21"/>
  <c r="D153" i="21" s="1"/>
  <c r="AA133" i="21"/>
  <c r="L153" i="21" s="1"/>
  <c r="AI133" i="21"/>
  <c r="T153" i="21" s="1"/>
  <c r="V225" i="21"/>
  <c r="G245" i="21" s="1"/>
  <c r="AI225" i="21"/>
  <c r="T245" i="21" s="1"/>
  <c r="V227" i="21"/>
  <c r="G247" i="21" s="1"/>
  <c r="AM227" i="21"/>
  <c r="X247" i="21" s="1"/>
  <c r="T228" i="21"/>
  <c r="E248" i="21" s="1"/>
  <c r="AO228" i="21"/>
  <c r="Z248" i="21" s="1"/>
  <c r="W231" i="21"/>
  <c r="H251" i="21" s="1"/>
  <c r="T239" i="21"/>
  <c r="AK241" i="21"/>
  <c r="V261" i="21" s="1"/>
  <c r="AA234" i="21"/>
  <c r="L254" i="21" s="1"/>
  <c r="AO234" i="21"/>
  <c r="Z254" i="21" s="1"/>
  <c r="AK237" i="21"/>
  <c r="V257" i="21" s="1"/>
  <c r="Y237" i="21"/>
  <c r="J257" i="21" s="1"/>
  <c r="X237" i="21"/>
  <c r="I257" i="21" s="1"/>
  <c r="AN237" i="21"/>
  <c r="Y257" i="21" s="1"/>
  <c r="A292" i="21"/>
  <c r="A280" i="21"/>
  <c r="AC337" i="21"/>
  <c r="N357" i="21" s="1"/>
  <c r="AO232" i="21"/>
  <c r="Z252" i="21" s="1"/>
  <c r="AC232" i="21"/>
  <c r="N252" i="21" s="1"/>
  <c r="S232" i="21"/>
  <c r="D252" i="21" s="1"/>
  <c r="AL232" i="21"/>
  <c r="W252" i="21" s="1"/>
  <c r="AB232" i="21"/>
  <c r="M252" i="21" s="1"/>
  <c r="R232" i="21"/>
  <c r="C252" i="21" s="1"/>
  <c r="Z232" i="21"/>
  <c r="K252" i="21" s="1"/>
  <c r="AP232" i="21"/>
  <c r="AA252" i="21" s="1"/>
  <c r="AL234" i="21"/>
  <c r="W254" i="21" s="1"/>
  <c r="AD234" i="21"/>
  <c r="O254" i="21" s="1"/>
  <c r="V234" i="21"/>
  <c r="G254" i="21" s="1"/>
  <c r="AK234" i="21"/>
  <c r="V254" i="21" s="1"/>
  <c r="AC234" i="21"/>
  <c r="N254" i="21" s="1"/>
  <c r="U234" i="21"/>
  <c r="F254" i="21" s="1"/>
  <c r="AQ234" i="21"/>
  <c r="AB254" i="21" s="1"/>
  <c r="AG234" i="21"/>
  <c r="R254" i="21" s="1"/>
  <c r="W234" i="21"/>
  <c r="H254" i="21" s="1"/>
  <c r="AP234" i="21"/>
  <c r="AA254" i="21" s="1"/>
  <c r="AF234" i="21"/>
  <c r="Q254" i="21" s="1"/>
  <c r="T234" i="21"/>
  <c r="E254" i="21" s="1"/>
  <c r="AB234" i="21"/>
  <c r="M254" i="21" s="1"/>
  <c r="AR234" i="21"/>
  <c r="AC254" i="21" s="1"/>
  <c r="AC237" i="21"/>
  <c r="N257" i="21" s="1"/>
  <c r="AO237" i="21"/>
  <c r="Z257" i="21" s="1"/>
  <c r="AA239" i="21"/>
  <c r="AO240" i="21"/>
  <c r="N249" i="21"/>
  <c r="AQ335" i="21"/>
  <c r="AB355" i="21" s="1"/>
  <c r="AI335" i="21"/>
  <c r="T355" i="21" s="1"/>
  <c r="AA335" i="21"/>
  <c r="L355" i="21" s="1"/>
  <c r="S335" i="21"/>
  <c r="D355" i="21" s="1"/>
  <c r="AP335" i="21"/>
  <c r="AA355" i="21" s="1"/>
  <c r="AH335" i="21"/>
  <c r="S355" i="21" s="1"/>
  <c r="Z335" i="21"/>
  <c r="K355" i="21" s="1"/>
  <c r="R335" i="21"/>
  <c r="C355" i="21" s="1"/>
  <c r="AK335" i="21"/>
  <c r="V355" i="21" s="1"/>
  <c r="Y335" i="21"/>
  <c r="J355" i="21" s="1"/>
  <c r="AJ335" i="21"/>
  <c r="U355" i="21" s="1"/>
  <c r="X335" i="21"/>
  <c r="I355" i="21" s="1"/>
  <c r="AL335" i="21"/>
  <c r="W355" i="21" s="1"/>
  <c r="V335" i="21"/>
  <c r="G355" i="21" s="1"/>
  <c r="AG335" i="21"/>
  <c r="R355" i="21" s="1"/>
  <c r="U335" i="21"/>
  <c r="F355" i="21" s="1"/>
  <c r="AM335" i="21"/>
  <c r="X355" i="21" s="1"/>
  <c r="Q335" i="21"/>
  <c r="B355" i="21" s="1"/>
  <c r="AC335" i="21"/>
  <c r="N355" i="21" s="1"/>
  <c r="AR335" i="21"/>
  <c r="AC355" i="21" s="1"/>
  <c r="AB335" i="21"/>
  <c r="M355" i="21" s="1"/>
  <c r="AO335" i="21"/>
  <c r="Z355" i="21" s="1"/>
  <c r="W335" i="21"/>
  <c r="H355" i="21" s="1"/>
  <c r="AR337" i="21"/>
  <c r="AC357" i="21" s="1"/>
  <c r="AH337" i="21"/>
  <c r="S357" i="21" s="1"/>
  <c r="V337" i="21"/>
  <c r="G357" i="21" s="1"/>
  <c r="AQ337" i="21"/>
  <c r="AB357" i="21" s="1"/>
  <c r="AE337" i="21"/>
  <c r="P357" i="21" s="1"/>
  <c r="U337" i="21"/>
  <c r="F357" i="21" s="1"/>
  <c r="AI337" i="21"/>
  <c r="T357" i="21" s="1"/>
  <c r="S337" i="21"/>
  <c r="D357" i="21" s="1"/>
  <c r="AD337" i="21"/>
  <c r="O357" i="21" s="1"/>
  <c r="R337" i="21"/>
  <c r="C357" i="21" s="1"/>
  <c r="AJ337" i="21"/>
  <c r="U357" i="21" s="1"/>
  <c r="AP337" i="21"/>
  <c r="AA357" i="21" s="1"/>
  <c r="Z337" i="21"/>
  <c r="K357" i="21" s="1"/>
  <c r="AM337" i="21"/>
  <c r="X357" i="21" s="1"/>
  <c r="W337" i="21"/>
  <c r="H357" i="21" s="1"/>
  <c r="AL337" i="21"/>
  <c r="W357" i="21" s="1"/>
  <c r="T337" i="21"/>
  <c r="E357" i="21" s="1"/>
  <c r="S234" i="21"/>
  <c r="D254" i="21" s="1"/>
  <c r="R237" i="21"/>
  <c r="C257" i="21" s="1"/>
  <c r="AF237" i="21"/>
  <c r="Q257" i="21" s="1"/>
  <c r="AP239" i="21"/>
  <c r="AH239" i="21"/>
  <c r="Z239" i="21"/>
  <c r="R239" i="21"/>
  <c r="AO239" i="21"/>
  <c r="AG239" i="21"/>
  <c r="Y239" i="21"/>
  <c r="Q239" i="21"/>
  <c r="AJ239" i="21"/>
  <c r="X239" i="21"/>
  <c r="AI239" i="21"/>
  <c r="W239" i="21"/>
  <c r="AD239" i="21"/>
  <c r="AR239" i="21"/>
  <c r="T335" i="21"/>
  <c r="E355" i="21" s="1"/>
  <c r="AQ229" i="21"/>
  <c r="AB249" i="21" s="1"/>
  <c r="AI229" i="21"/>
  <c r="T249" i="21" s="1"/>
  <c r="AA229" i="21"/>
  <c r="L249" i="21" s="1"/>
  <c r="S229" i="21"/>
  <c r="D249" i="21" s="1"/>
  <c r="AP229" i="21"/>
  <c r="AA249" i="21" s="1"/>
  <c r="AH229" i="21"/>
  <c r="S249" i="21" s="1"/>
  <c r="Z229" i="21"/>
  <c r="K249" i="21" s="1"/>
  <c r="R229" i="21"/>
  <c r="C249" i="21" s="1"/>
  <c r="AK229" i="21"/>
  <c r="V249" i="21" s="1"/>
  <c r="Y229" i="21"/>
  <c r="J249" i="21" s="1"/>
  <c r="AJ229" i="21"/>
  <c r="U249" i="21" s="1"/>
  <c r="X229" i="21"/>
  <c r="I249" i="21" s="1"/>
  <c r="AD229" i="21"/>
  <c r="O249" i="21" s="1"/>
  <c r="AR229" i="21"/>
  <c r="AC249" i="21" s="1"/>
  <c r="AR231" i="21"/>
  <c r="AC251" i="21" s="1"/>
  <c r="AH231" i="21"/>
  <c r="S251" i="21" s="1"/>
  <c r="V231" i="21"/>
  <c r="G251" i="21" s="1"/>
  <c r="AQ231" i="21"/>
  <c r="AB251" i="21" s="1"/>
  <c r="AE231" i="21"/>
  <c r="P251" i="21" s="1"/>
  <c r="U231" i="21"/>
  <c r="F251" i="21" s="1"/>
  <c r="AA231" i="21"/>
  <c r="L251" i="21" s="1"/>
  <c r="AM231" i="21"/>
  <c r="X251" i="21" s="1"/>
  <c r="T232" i="21"/>
  <c r="E252" i="21" s="1"/>
  <c r="AH232" i="21"/>
  <c r="S252" i="21" s="1"/>
  <c r="X234" i="21"/>
  <c r="I254" i="21" s="1"/>
  <c r="AJ234" i="21"/>
  <c r="U254" i="21" s="1"/>
  <c r="U237" i="21"/>
  <c r="F257" i="21" s="1"/>
  <c r="AG237" i="21"/>
  <c r="R257" i="21" s="1"/>
  <c r="S239" i="21"/>
  <c r="AE239" i="21"/>
  <c r="AN241" i="21"/>
  <c r="Y261" i="21" s="1"/>
  <c r="A277" i="21"/>
  <c r="AD335" i="21"/>
  <c r="O355" i="21" s="1"/>
  <c r="AO337" i="21"/>
  <c r="Z357" i="21" s="1"/>
  <c r="A283" i="21"/>
  <c r="AE334" i="21"/>
  <c r="P354" i="21" s="1"/>
  <c r="Q334" i="21"/>
  <c r="B354" i="21" s="1"/>
  <c r="AP334" i="21"/>
  <c r="AA354" i="21" s="1"/>
  <c r="AD334" i="21"/>
  <c r="O354" i="21" s="1"/>
  <c r="AC334" i="21"/>
  <c r="N354" i="21" s="1"/>
  <c r="U334" i="21"/>
  <c r="F354" i="21" s="1"/>
  <c r="AM334" i="21"/>
  <c r="X354" i="21" s="1"/>
  <c r="AP336" i="21"/>
  <c r="AA356" i="21" s="1"/>
  <c r="AH336" i="21"/>
  <c r="S356" i="21" s="1"/>
  <c r="Z336" i="21"/>
  <c r="K356" i="21" s="1"/>
  <c r="R336" i="21"/>
  <c r="C356" i="21" s="1"/>
  <c r="AO336" i="21"/>
  <c r="Z356" i="21" s="1"/>
  <c r="AG336" i="21"/>
  <c r="R356" i="21" s="1"/>
  <c r="Y336" i="21"/>
  <c r="J356" i="21" s="1"/>
  <c r="Q336" i="21"/>
  <c r="B356" i="21" s="1"/>
  <c r="AJ336" i="21"/>
  <c r="U356" i="21" s="1"/>
  <c r="X336" i="21"/>
  <c r="I356" i="21" s="1"/>
  <c r="AI336" i="21"/>
  <c r="T356" i="21" s="1"/>
  <c r="W336" i="21"/>
  <c r="H356" i="21" s="1"/>
  <c r="AQ336" i="21"/>
  <c r="AB356" i="21" s="1"/>
  <c r="AC336" i="21"/>
  <c r="N356" i="21" s="1"/>
  <c r="AN336" i="21"/>
  <c r="Y356" i="21" s="1"/>
  <c r="AB336" i="21"/>
  <c r="M356" i="21" s="1"/>
  <c r="AF336" i="21"/>
  <c r="Q356" i="21" s="1"/>
  <c r="AK334" i="21"/>
  <c r="V354" i="21" s="1"/>
  <c r="R340" i="21"/>
  <c r="C360" i="21" s="1"/>
  <c r="AN340" i="21"/>
  <c r="Y360" i="21" s="1"/>
  <c r="S341" i="21"/>
  <c r="D361" i="21" s="1"/>
  <c r="V343" i="21"/>
  <c r="G363" i="21" s="1"/>
  <c r="AC346" i="21"/>
  <c r="N366" i="21" s="1"/>
  <c r="AI350" i="21"/>
  <c r="T370" i="21" s="1"/>
  <c r="Y350" i="21"/>
  <c r="J370" i="21" s="1"/>
  <c r="AO350" i="21"/>
  <c r="Z370" i="21" s="1"/>
  <c r="AM233" i="21"/>
  <c r="X253" i="21" s="1"/>
  <c r="AE233" i="21"/>
  <c r="P253" i="21" s="1"/>
  <c r="W233" i="21"/>
  <c r="H253" i="21" s="1"/>
  <c r="AL233" i="21"/>
  <c r="W253" i="21" s="1"/>
  <c r="AD233" i="21"/>
  <c r="O253" i="21" s="1"/>
  <c r="V233" i="21"/>
  <c r="G253" i="21" s="1"/>
  <c r="Z233" i="21"/>
  <c r="K253" i="21" s="1"/>
  <c r="AJ233" i="21"/>
  <c r="U253" i="21" s="1"/>
  <c r="AR237" i="21"/>
  <c r="AC257" i="21" s="1"/>
  <c r="AJ237" i="21"/>
  <c r="U257" i="21" s="1"/>
  <c r="AB237" i="21"/>
  <c r="M257" i="21" s="1"/>
  <c r="T237" i="21"/>
  <c r="E257" i="21" s="1"/>
  <c r="AQ237" i="21"/>
  <c r="AB257" i="21" s="1"/>
  <c r="AI237" i="21"/>
  <c r="T257" i="21" s="1"/>
  <c r="AA237" i="21"/>
  <c r="L257" i="21" s="1"/>
  <c r="S237" i="21"/>
  <c r="D257" i="21" s="1"/>
  <c r="Z237" i="21"/>
  <c r="K257" i="21" s="1"/>
  <c r="AL237" i="21"/>
  <c r="W257" i="21" s="1"/>
  <c r="AO338" i="21"/>
  <c r="Z358" i="21" s="1"/>
  <c r="AC338" i="21"/>
  <c r="N358" i="21" s="1"/>
  <c r="S338" i="21"/>
  <c r="D358" i="21" s="1"/>
  <c r="AL338" i="21"/>
  <c r="W358" i="21" s="1"/>
  <c r="AB338" i="21"/>
  <c r="M358" i="21" s="1"/>
  <c r="R338" i="21"/>
  <c r="C358" i="21" s="1"/>
  <c r="Z338" i="21"/>
  <c r="K358" i="21" s="1"/>
  <c r="AP338" i="21"/>
  <c r="AA358" i="21" s="1"/>
  <c r="S340" i="21"/>
  <c r="D360" i="21" s="1"/>
  <c r="AO340" i="21"/>
  <c r="Z360" i="21" s="1"/>
  <c r="Y341" i="21"/>
  <c r="J361" i="21" s="1"/>
  <c r="AP342" i="21"/>
  <c r="AA362" i="21" s="1"/>
  <c r="AF342" i="21"/>
  <c r="Q362" i="21" s="1"/>
  <c r="V342" i="21"/>
  <c r="G362" i="21" s="1"/>
  <c r="AO342" i="21"/>
  <c r="Z362" i="21" s="1"/>
  <c r="AE342" i="21"/>
  <c r="P362" i="21" s="1"/>
  <c r="U342" i="21"/>
  <c r="F362" i="21" s="1"/>
  <c r="AN342" i="21"/>
  <c r="Y362" i="21" s="1"/>
  <c r="AD342" i="21"/>
  <c r="O362" i="21" s="1"/>
  <c r="R342" i="21"/>
  <c r="C362" i="21" s="1"/>
  <c r="AH342" i="21"/>
  <c r="S362" i="21" s="1"/>
  <c r="W343" i="21"/>
  <c r="H363" i="21" s="1"/>
  <c r="AI346" i="21"/>
  <c r="T366" i="21" s="1"/>
  <c r="AH350" i="21"/>
  <c r="S370" i="21" s="1"/>
  <c r="Z341" i="21"/>
  <c r="K361" i="21" s="1"/>
  <c r="AB343" i="21"/>
  <c r="M363" i="21" s="1"/>
  <c r="AR345" i="21"/>
  <c r="AC365" i="21" s="1"/>
  <c r="AF345" i="21"/>
  <c r="Q365" i="21" s="1"/>
  <c r="V345" i="21"/>
  <c r="G365" i="21" s="1"/>
  <c r="AP346" i="21"/>
  <c r="AA366" i="21" s="1"/>
  <c r="AD346" i="21"/>
  <c r="O366" i="21" s="1"/>
  <c r="T346" i="21"/>
  <c r="E366" i="21" s="1"/>
  <c r="AL346" i="21"/>
  <c r="W366" i="21" s="1"/>
  <c r="AB346" i="21"/>
  <c r="M366" i="21" s="1"/>
  <c r="R346" i="21"/>
  <c r="C366" i="21" s="1"/>
  <c r="AK346" i="21"/>
  <c r="V366" i="21" s="1"/>
  <c r="AA346" i="21"/>
  <c r="L366" i="21" s="1"/>
  <c r="AJ346" i="21"/>
  <c r="U366" i="21" s="1"/>
  <c r="Z346" i="21"/>
  <c r="K366" i="21" s="1"/>
  <c r="AR346" i="21"/>
  <c r="AC366" i="21" s="1"/>
  <c r="AH346" i="21"/>
  <c r="S366" i="21" s="1"/>
  <c r="V346" i="21"/>
  <c r="G366" i="21" s="1"/>
  <c r="AQ346" i="21"/>
  <c r="AB366" i="21" s="1"/>
  <c r="AE346" i="21"/>
  <c r="P366" i="21" s="1"/>
  <c r="U346" i="21"/>
  <c r="F366" i="21" s="1"/>
  <c r="AI341" i="21"/>
  <c r="T361" i="21" s="1"/>
  <c r="AG343" i="21"/>
  <c r="R363" i="21" s="1"/>
  <c r="U345" i="21"/>
  <c r="F365" i="21" s="1"/>
  <c r="AL341" i="21"/>
  <c r="W361" i="21" s="1"/>
  <c r="AL343" i="21"/>
  <c r="W363" i="21" s="1"/>
  <c r="AH340" i="21"/>
  <c r="S360" i="21" s="1"/>
  <c r="AE345" i="21"/>
  <c r="P365" i="21" s="1"/>
  <c r="S346" i="21"/>
  <c r="D366" i="21" s="1"/>
  <c r="AK341" i="21"/>
  <c r="V361" i="21" s="1"/>
  <c r="AC341" i="21"/>
  <c r="N361" i="21" s="1"/>
  <c r="U341" i="21"/>
  <c r="F361" i="21" s="1"/>
  <c r="AR341" i="21"/>
  <c r="AC361" i="21" s="1"/>
  <c r="AJ341" i="21"/>
  <c r="U361" i="21" s="1"/>
  <c r="AB341" i="21"/>
  <c r="M361" i="21" s="1"/>
  <c r="T341" i="21"/>
  <c r="E361" i="21" s="1"/>
  <c r="AH341" i="21"/>
  <c r="S361" i="21" s="1"/>
  <c r="X341" i="21"/>
  <c r="I361" i="21" s="1"/>
  <c r="AQ341" i="21"/>
  <c r="AB361" i="21" s="1"/>
  <c r="AG341" i="21"/>
  <c r="R361" i="21" s="1"/>
  <c r="W341" i="21"/>
  <c r="H361" i="21" s="1"/>
  <c r="AP341" i="21"/>
  <c r="AA361" i="21" s="1"/>
  <c r="AF341" i="21"/>
  <c r="Q361" i="21" s="1"/>
  <c r="V341" i="21"/>
  <c r="G361" i="21" s="1"/>
  <c r="AN341" i="21"/>
  <c r="Y361" i="21" s="1"/>
  <c r="AD341" i="21"/>
  <c r="O361" i="21" s="1"/>
  <c r="R341" i="21"/>
  <c r="C361" i="21" s="1"/>
  <c r="AM341" i="21"/>
  <c r="X361" i="21" s="1"/>
  <c r="AA341" i="21"/>
  <c r="L361" i="21" s="1"/>
  <c r="Q341" i="21"/>
  <c r="B361" i="21" s="1"/>
  <c r="AQ343" i="21"/>
  <c r="AB363" i="21" s="1"/>
  <c r="AI343" i="21"/>
  <c r="T363" i="21" s="1"/>
  <c r="AA343" i="21"/>
  <c r="L363" i="21" s="1"/>
  <c r="S343" i="21"/>
  <c r="D363" i="21" s="1"/>
  <c r="AP343" i="21"/>
  <c r="AA363" i="21" s="1"/>
  <c r="AH343" i="21"/>
  <c r="S363" i="21" s="1"/>
  <c r="Z343" i="21"/>
  <c r="K363" i="21" s="1"/>
  <c r="R343" i="21"/>
  <c r="C363" i="21" s="1"/>
  <c r="AO343" i="21"/>
  <c r="Z363" i="21" s="1"/>
  <c r="AE343" i="21"/>
  <c r="P363" i="21" s="1"/>
  <c r="U343" i="21"/>
  <c r="F363" i="21" s="1"/>
  <c r="AN343" i="21"/>
  <c r="Y363" i="21" s="1"/>
  <c r="AD343" i="21"/>
  <c r="O363" i="21" s="1"/>
  <c r="T343" i="21"/>
  <c r="E363" i="21" s="1"/>
  <c r="AM343" i="21"/>
  <c r="X363" i="21" s="1"/>
  <c r="AC343" i="21"/>
  <c r="N363" i="21" s="1"/>
  <c r="Q343" i="21"/>
  <c r="B363" i="21" s="1"/>
  <c r="AK343" i="21"/>
  <c r="V363" i="21" s="1"/>
  <c r="Y343" i="21"/>
  <c r="J363" i="21" s="1"/>
  <c r="AJ343" i="21"/>
  <c r="U363" i="21" s="1"/>
  <c r="X343" i="21"/>
  <c r="I363" i="21" s="1"/>
  <c r="W346" i="21"/>
  <c r="H366" i="21" s="1"/>
  <c r="A400" i="21"/>
  <c r="A388" i="21"/>
  <c r="X231" i="21"/>
  <c r="I251" i="21" s="1"/>
  <c r="AF231" i="21"/>
  <c r="Q251" i="21" s="1"/>
  <c r="AN231" i="21"/>
  <c r="Y251" i="21" s="1"/>
  <c r="W232" i="21"/>
  <c r="H252" i="21" s="1"/>
  <c r="AE232" i="21"/>
  <c r="P252" i="21" s="1"/>
  <c r="AM232" i="21"/>
  <c r="X252" i="21" s="1"/>
  <c r="X240" i="21"/>
  <c r="AF240" i="21"/>
  <c r="AN240" i="21"/>
  <c r="W241" i="21"/>
  <c r="H261" i="21" s="1"/>
  <c r="AE241" i="21"/>
  <c r="P261" i="21" s="1"/>
  <c r="AM241" i="21"/>
  <c r="X261" i="21" s="1"/>
  <c r="Y334" i="21"/>
  <c r="J354" i="21" s="1"/>
  <c r="Y339" i="21"/>
  <c r="J359" i="21" s="1"/>
  <c r="T340" i="21"/>
  <c r="E360" i="21" s="1"/>
  <c r="AF340" i="21"/>
  <c r="Q360" i="21" s="1"/>
  <c r="AP340" i="21"/>
  <c r="AA360" i="21" s="1"/>
  <c r="Y342" i="21"/>
  <c r="J362" i="21" s="1"/>
  <c r="W345" i="21"/>
  <c r="H365" i="21" s="1"/>
  <c r="AI345" i="21"/>
  <c r="T365" i="21" s="1"/>
  <c r="R347" i="21"/>
  <c r="C367" i="21" s="1"/>
  <c r="AB347" i="21"/>
  <c r="M367" i="21" s="1"/>
  <c r="AL347" i="21"/>
  <c r="W367" i="21" s="1"/>
  <c r="Y348" i="21"/>
  <c r="T349" i="21"/>
  <c r="AF349" i="21"/>
  <c r="AP349" i="21"/>
  <c r="Q350" i="21"/>
  <c r="B370" i="21" s="1"/>
  <c r="AA350" i="21"/>
  <c r="L370" i="21" s="1"/>
  <c r="AM350" i="21"/>
  <c r="X370" i="21" s="1"/>
  <c r="A386" i="21"/>
  <c r="A398" i="21"/>
  <c r="AD440" i="21"/>
  <c r="O460" i="21" s="1"/>
  <c r="Q231" i="21"/>
  <c r="B251" i="21" s="1"/>
  <c r="Y231" i="21"/>
  <c r="J251" i="21" s="1"/>
  <c r="AG231" i="21"/>
  <c r="R251" i="21" s="1"/>
  <c r="X232" i="21"/>
  <c r="I252" i="21" s="1"/>
  <c r="AF232" i="21"/>
  <c r="Q252" i="21" s="1"/>
  <c r="Q240" i="21"/>
  <c r="Y240" i="21"/>
  <c r="AG240" i="21"/>
  <c r="X241" i="21"/>
  <c r="I261" i="21" s="1"/>
  <c r="AF241" i="21"/>
  <c r="Q261" i="21" s="1"/>
  <c r="AR334" i="21"/>
  <c r="AC354" i="21" s="1"/>
  <c r="AJ334" i="21"/>
  <c r="U354" i="21" s="1"/>
  <c r="AB334" i="21"/>
  <c r="M354" i="21" s="1"/>
  <c r="T334" i="21"/>
  <c r="E354" i="21" s="1"/>
  <c r="AQ334" i="21"/>
  <c r="AB354" i="21" s="1"/>
  <c r="AI334" i="21"/>
  <c r="T354" i="21" s="1"/>
  <c r="AA334" i="21"/>
  <c r="L354" i="21" s="1"/>
  <c r="S334" i="21"/>
  <c r="D354" i="21" s="1"/>
  <c r="Z334" i="21"/>
  <c r="K354" i="21" s="1"/>
  <c r="AL334" i="21"/>
  <c r="W354" i="21" s="1"/>
  <c r="AM339" i="21"/>
  <c r="X359" i="21" s="1"/>
  <c r="AE339" i="21"/>
  <c r="P359" i="21" s="1"/>
  <c r="W339" i="21"/>
  <c r="H359" i="21" s="1"/>
  <c r="AL339" i="21"/>
  <c r="W359" i="21" s="1"/>
  <c r="AD339" i="21"/>
  <c r="O359" i="21" s="1"/>
  <c r="V339" i="21"/>
  <c r="G359" i="21" s="1"/>
  <c r="Z339" i="21"/>
  <c r="K359" i="21" s="1"/>
  <c r="AJ339" i="21"/>
  <c r="U359" i="21" s="1"/>
  <c r="W340" i="21"/>
  <c r="H360" i="21" s="1"/>
  <c r="AG340" i="21"/>
  <c r="R360" i="21" s="1"/>
  <c r="AR342" i="21"/>
  <c r="AC362" i="21" s="1"/>
  <c r="AJ342" i="21"/>
  <c r="U362" i="21" s="1"/>
  <c r="AB342" i="21"/>
  <c r="M362" i="21" s="1"/>
  <c r="T342" i="21"/>
  <c r="E362" i="21" s="1"/>
  <c r="AQ342" i="21"/>
  <c r="AB362" i="21" s="1"/>
  <c r="AI342" i="21"/>
  <c r="T362" i="21" s="1"/>
  <c r="AA342" i="21"/>
  <c r="L362" i="21" s="1"/>
  <c r="S342" i="21"/>
  <c r="D362" i="21" s="1"/>
  <c r="Z342" i="21"/>
  <c r="K362" i="21" s="1"/>
  <c r="AL342" i="21"/>
  <c r="W362" i="21" s="1"/>
  <c r="X345" i="21"/>
  <c r="I365" i="21" s="1"/>
  <c r="S347" i="21"/>
  <c r="D367" i="21" s="1"/>
  <c r="AC347" i="21"/>
  <c r="N367" i="21" s="1"/>
  <c r="AO347" i="21"/>
  <c r="Z367" i="21" s="1"/>
  <c r="AM348" i="21"/>
  <c r="AE348" i="21"/>
  <c r="W348" i="21"/>
  <c r="AL348" i="21"/>
  <c r="AD348" i="21"/>
  <c r="V348" i="21"/>
  <c r="Z348" i="21"/>
  <c r="AJ348" i="21"/>
  <c r="W349" i="21"/>
  <c r="AG349" i="21"/>
  <c r="R350" i="21"/>
  <c r="C370" i="21" s="1"/>
  <c r="AD350" i="21"/>
  <c r="O370" i="21" s="1"/>
  <c r="AN350" i="21"/>
  <c r="Y370" i="21" s="1"/>
  <c r="A391" i="21"/>
  <c r="A403" i="21"/>
  <c r="AL439" i="21"/>
  <c r="W459" i="21" s="1"/>
  <c r="AD439" i="21"/>
  <c r="O459" i="21" s="1"/>
  <c r="V439" i="21"/>
  <c r="G459" i="21" s="1"/>
  <c r="AK439" i="21"/>
  <c r="V459" i="21" s="1"/>
  <c r="AC439" i="21"/>
  <c r="N459" i="21" s="1"/>
  <c r="U439" i="21"/>
  <c r="F459" i="21" s="1"/>
  <c r="AP439" i="21"/>
  <c r="AA459" i="21" s="1"/>
  <c r="AH439" i="21"/>
  <c r="S459" i="21" s="1"/>
  <c r="Z439" i="21"/>
  <c r="K459" i="21" s="1"/>
  <c r="R439" i="21"/>
  <c r="C459" i="21" s="1"/>
  <c r="AO439" i="21"/>
  <c r="Z459" i="21" s="1"/>
  <c r="AG439" i="21"/>
  <c r="R459" i="21" s="1"/>
  <c r="Y439" i="21"/>
  <c r="J459" i="21" s="1"/>
  <c r="Q439" i="21"/>
  <c r="B459" i="21" s="1"/>
  <c r="AN439" i="21"/>
  <c r="Y459" i="21" s="1"/>
  <c r="X439" i="21"/>
  <c r="I459" i="21" s="1"/>
  <c r="AM439" i="21"/>
  <c r="X459" i="21" s="1"/>
  <c r="W439" i="21"/>
  <c r="H459" i="21" s="1"/>
  <c r="AE439" i="21"/>
  <c r="P459" i="21" s="1"/>
  <c r="T439" i="21"/>
  <c r="E459" i="21" s="1"/>
  <c r="AR439" i="21"/>
  <c r="AC459" i="21" s="1"/>
  <c r="S439" i="21"/>
  <c r="D459" i="21" s="1"/>
  <c r="M462" i="21"/>
  <c r="AK445" i="21"/>
  <c r="V465" i="21" s="1"/>
  <c r="AB445" i="21"/>
  <c r="M465" i="21" s="1"/>
  <c r="T445" i="21"/>
  <c r="E465" i="21" s="1"/>
  <c r="AJ445" i="21"/>
  <c r="U465" i="21" s="1"/>
  <c r="AA445" i="21"/>
  <c r="L465" i="21" s="1"/>
  <c r="S445" i="21"/>
  <c r="D465" i="21" s="1"/>
  <c r="AN445" i="21"/>
  <c r="Y465" i="21" s="1"/>
  <c r="V445" i="21"/>
  <c r="G465" i="21" s="1"/>
  <c r="AL445" i="21"/>
  <c r="W465" i="21" s="1"/>
  <c r="U445" i="21"/>
  <c r="F465" i="21" s="1"/>
  <c r="AD445" i="21"/>
  <c r="O465" i="21" s="1"/>
  <c r="AC445" i="21"/>
  <c r="N465" i="21" s="1"/>
  <c r="AH445" i="21"/>
  <c r="S465" i="21" s="1"/>
  <c r="Z445" i="21"/>
  <c r="K465" i="21" s="1"/>
  <c r="Y445" i="21"/>
  <c r="J465" i="21" s="1"/>
  <c r="R445" i="21"/>
  <c r="C465" i="21" s="1"/>
  <c r="A505" i="21"/>
  <c r="A493" i="21"/>
  <c r="AP345" i="21"/>
  <c r="AA365" i="21" s="1"/>
  <c r="AH345" i="21"/>
  <c r="S365" i="21" s="1"/>
  <c r="Z345" i="21"/>
  <c r="K365" i="21" s="1"/>
  <c r="R345" i="21"/>
  <c r="C365" i="21" s="1"/>
  <c r="AO345" i="21"/>
  <c r="Z365" i="21" s="1"/>
  <c r="AG345" i="21"/>
  <c r="R365" i="21" s="1"/>
  <c r="Y345" i="21"/>
  <c r="J365" i="21" s="1"/>
  <c r="Q345" i="21"/>
  <c r="B365" i="21" s="1"/>
  <c r="AB345" i="21"/>
  <c r="M365" i="21" s="1"/>
  <c r="AL345" i="21"/>
  <c r="W365" i="21" s="1"/>
  <c r="AG347" i="21"/>
  <c r="R367" i="21" s="1"/>
  <c r="AQ347" i="21"/>
  <c r="AB367" i="21" s="1"/>
  <c r="Y349" i="21"/>
  <c r="AI349" i="21"/>
  <c r="V350" i="21"/>
  <c r="G370" i="21" s="1"/>
  <c r="AF350" i="21"/>
  <c r="Q370" i="21" s="1"/>
  <c r="AP350" i="21"/>
  <c r="AA370" i="21" s="1"/>
  <c r="AA439" i="21"/>
  <c r="L459" i="21" s="1"/>
  <c r="AH440" i="21"/>
  <c r="S460" i="21" s="1"/>
  <c r="R440" i="21"/>
  <c r="C460" i="21" s="1"/>
  <c r="AE440" i="21"/>
  <c r="P460" i="21" s="1"/>
  <c r="AM440" i="21"/>
  <c r="X460" i="21" s="1"/>
  <c r="W440" i="21"/>
  <c r="H460" i="21" s="1"/>
  <c r="AA440" i="21"/>
  <c r="L460" i="21" s="1"/>
  <c r="Z440" i="21"/>
  <c r="K460" i="21" s="1"/>
  <c r="AP440" i="21"/>
  <c r="AA460" i="21" s="1"/>
  <c r="AL340" i="21"/>
  <c r="W360" i="21" s="1"/>
  <c r="AD340" i="21"/>
  <c r="O360" i="21" s="1"/>
  <c r="V340" i="21"/>
  <c r="G360" i="21" s="1"/>
  <c r="AK340" i="21"/>
  <c r="V360" i="21" s="1"/>
  <c r="AC340" i="21"/>
  <c r="N360" i="21" s="1"/>
  <c r="U340" i="21"/>
  <c r="F360" i="21" s="1"/>
  <c r="Z340" i="21"/>
  <c r="K360" i="21" s="1"/>
  <c r="AJ340" i="21"/>
  <c r="U360" i="21" s="1"/>
  <c r="S345" i="21"/>
  <c r="D365" i="21" s="1"/>
  <c r="AC345" i="21"/>
  <c r="N365" i="21" s="1"/>
  <c r="AM345" i="21"/>
  <c r="X365" i="21" s="1"/>
  <c r="AO346" i="21"/>
  <c r="Z366" i="21" s="1"/>
  <c r="V347" i="21"/>
  <c r="G367" i="21" s="1"/>
  <c r="AH347" i="21"/>
  <c r="S367" i="21" s="1"/>
  <c r="AR347" i="21"/>
  <c r="AC367" i="21" s="1"/>
  <c r="AL349" i="21"/>
  <c r="AD349" i="21"/>
  <c r="V349" i="21"/>
  <c r="AK349" i="21"/>
  <c r="AC349" i="21"/>
  <c r="U349" i="21"/>
  <c r="Z349" i="21"/>
  <c r="AJ349" i="21"/>
  <c r="W350" i="21"/>
  <c r="H370" i="21" s="1"/>
  <c r="AG350" i="21"/>
  <c r="R370" i="21" s="1"/>
  <c r="AQ350" i="21"/>
  <c r="AB370" i="21" s="1"/>
  <c r="AB439" i="21"/>
  <c r="M459" i="21" s="1"/>
  <c r="AQ440" i="21"/>
  <c r="AB460" i="21" s="1"/>
  <c r="AA340" i="21"/>
  <c r="L360" i="21" s="1"/>
  <c r="AM340" i="21"/>
  <c r="X360" i="21" s="1"/>
  <c r="T345" i="21"/>
  <c r="E365" i="21" s="1"/>
  <c r="AD345" i="21"/>
  <c r="O365" i="21" s="1"/>
  <c r="AN345" i="21"/>
  <c r="Y365" i="21" s="1"/>
  <c r="Y347" i="21"/>
  <c r="J367" i="21" s="1"/>
  <c r="Q349" i="21"/>
  <c r="AA349" i="21"/>
  <c r="AM349" i="21"/>
  <c r="X350" i="21"/>
  <c r="I370" i="21" s="1"/>
  <c r="AF439" i="21"/>
  <c r="Q459" i="21" s="1"/>
  <c r="P463" i="21"/>
  <c r="Q445" i="21"/>
  <c r="B465" i="21" s="1"/>
  <c r="A402" i="21"/>
  <c r="A390" i="21"/>
  <c r="AI439" i="21"/>
  <c r="T459" i="21" s="1"/>
  <c r="AI445" i="21"/>
  <c r="T465" i="21" s="1"/>
  <c r="AK350" i="21"/>
  <c r="V370" i="21" s="1"/>
  <c r="AC350" i="21"/>
  <c r="N370" i="21" s="1"/>
  <c r="U350" i="21"/>
  <c r="F370" i="21" s="1"/>
  <c r="AR350" i="21"/>
  <c r="AC370" i="21" s="1"/>
  <c r="AJ350" i="21"/>
  <c r="U370" i="21" s="1"/>
  <c r="AB350" i="21"/>
  <c r="M370" i="21" s="1"/>
  <c r="T350" i="21"/>
  <c r="E370" i="21" s="1"/>
  <c r="Z350" i="21"/>
  <c r="K370" i="21" s="1"/>
  <c r="AL350" i="21"/>
  <c r="W370" i="21" s="1"/>
  <c r="A401" i="21"/>
  <c r="A389" i="21"/>
  <c r="AJ439" i="21"/>
  <c r="U459" i="21" s="1"/>
  <c r="V440" i="21"/>
  <c r="G460" i="21" s="1"/>
  <c r="AR445" i="21"/>
  <c r="AC465" i="21" s="1"/>
  <c r="D475" i="21"/>
  <c r="K475" i="21"/>
  <c r="X337" i="21"/>
  <c r="I357" i="21" s="1"/>
  <c r="AF337" i="21"/>
  <c r="Q357" i="21" s="1"/>
  <c r="AN337" i="21"/>
  <c r="Y357" i="21" s="1"/>
  <c r="W338" i="21"/>
  <c r="H358" i="21" s="1"/>
  <c r="AE338" i="21"/>
  <c r="P358" i="21" s="1"/>
  <c r="AM338" i="21"/>
  <c r="X358" i="21" s="1"/>
  <c r="X346" i="21"/>
  <c r="I366" i="21" s="1"/>
  <c r="AF346" i="21"/>
  <c r="Q366" i="21" s="1"/>
  <c r="AN346" i="21"/>
  <c r="Y366" i="21" s="1"/>
  <c r="W347" i="21"/>
  <c r="H367" i="21" s="1"/>
  <c r="AE347" i="21"/>
  <c r="P367" i="21" s="1"/>
  <c r="AM347" i="21"/>
  <c r="X367" i="21" s="1"/>
  <c r="AQ442" i="21"/>
  <c r="AB462" i="21" s="1"/>
  <c r="AI442" i="21"/>
  <c r="T462" i="21" s="1"/>
  <c r="AA442" i="21"/>
  <c r="L462" i="21" s="1"/>
  <c r="S442" i="21"/>
  <c r="D462" i="21" s="1"/>
  <c r="AP442" i="21"/>
  <c r="AA462" i="21" s="1"/>
  <c r="AH442" i="21"/>
  <c r="S462" i="21" s="1"/>
  <c r="Z442" i="21"/>
  <c r="K462" i="21" s="1"/>
  <c r="R442" i="21"/>
  <c r="C462" i="21" s="1"/>
  <c r="AO442" i="21"/>
  <c r="Z462" i="21" s="1"/>
  <c r="AE442" i="21"/>
  <c r="P462" i="21" s="1"/>
  <c r="U442" i="21"/>
  <c r="F462" i="21" s="1"/>
  <c r="AN442" i="21"/>
  <c r="Y462" i="21" s="1"/>
  <c r="AD442" i="21"/>
  <c r="O462" i="21" s="1"/>
  <c r="T442" i="21"/>
  <c r="E462" i="21" s="1"/>
  <c r="AK442" i="21"/>
  <c r="V462" i="21" s="1"/>
  <c r="Y442" i="21"/>
  <c r="J462" i="21" s="1"/>
  <c r="AJ442" i="21"/>
  <c r="U462" i="21" s="1"/>
  <c r="X442" i="21"/>
  <c r="I462" i="21" s="1"/>
  <c r="AG442" i="21"/>
  <c r="R462" i="21" s="1"/>
  <c r="AF442" i="21"/>
  <c r="Q462" i="21" s="1"/>
  <c r="AR442" i="21"/>
  <c r="AC462" i="21" s="1"/>
  <c r="V442" i="21"/>
  <c r="G462" i="21" s="1"/>
  <c r="Q337" i="21"/>
  <c r="B357" i="21" s="1"/>
  <c r="Y337" i="21"/>
  <c r="J357" i="21" s="1"/>
  <c r="AG337" i="21"/>
  <c r="R357" i="21" s="1"/>
  <c r="X338" i="21"/>
  <c r="I358" i="21" s="1"/>
  <c r="AF338" i="21"/>
  <c r="Q358" i="21" s="1"/>
  <c r="Q346" i="21"/>
  <c r="B366" i="21" s="1"/>
  <c r="Y346" i="21"/>
  <c r="J366" i="21" s="1"/>
  <c r="AG346" i="21"/>
  <c r="R366" i="21" s="1"/>
  <c r="X347" i="21"/>
  <c r="I367" i="21" s="1"/>
  <c r="AF347" i="21"/>
  <c r="Q367" i="21" s="1"/>
  <c r="AK450" i="21"/>
  <c r="V470" i="21" s="1"/>
  <c r="AC450" i="21"/>
  <c r="N470" i="21" s="1"/>
  <c r="U450" i="21"/>
  <c r="F470" i="21" s="1"/>
  <c r="AQ450" i="21"/>
  <c r="AB470" i="21" s="1"/>
  <c r="AI450" i="21"/>
  <c r="T470" i="21" s="1"/>
  <c r="AA450" i="21"/>
  <c r="L470" i="21" s="1"/>
  <c r="S450" i="21"/>
  <c r="D470" i="21" s="1"/>
  <c r="AN450" i="21"/>
  <c r="Y470" i="21" s="1"/>
  <c r="AD450" i="21"/>
  <c r="O470" i="21" s="1"/>
  <c r="R450" i="21"/>
  <c r="C470" i="21" s="1"/>
  <c r="AM450" i="21"/>
  <c r="X470" i="21" s="1"/>
  <c r="AB450" i="21"/>
  <c r="M470" i="21" s="1"/>
  <c r="Q450" i="21"/>
  <c r="B470" i="21" s="1"/>
  <c r="AH450" i="21"/>
  <c r="S470" i="21" s="1"/>
  <c r="X450" i="21"/>
  <c r="I470" i="21" s="1"/>
  <c r="AR450" i="21"/>
  <c r="AC470" i="21" s="1"/>
  <c r="AG450" i="21"/>
  <c r="R470" i="21" s="1"/>
  <c r="W450" i="21"/>
  <c r="H470" i="21" s="1"/>
  <c r="Y450" i="21"/>
  <c r="J470" i="21" s="1"/>
  <c r="AP450" i="21"/>
  <c r="AA470" i="21" s="1"/>
  <c r="V450" i="21"/>
  <c r="G470" i="21" s="1"/>
  <c r="AJ450" i="21"/>
  <c r="U470" i="21" s="1"/>
  <c r="AF450" i="21"/>
  <c r="Q470" i="21" s="1"/>
  <c r="AO450" i="21"/>
  <c r="Z470" i="21" s="1"/>
  <c r="T450" i="21"/>
  <c r="E470" i="21" s="1"/>
  <c r="AM451" i="21"/>
  <c r="X471" i="21" s="1"/>
  <c r="AM446" i="21"/>
  <c r="X466" i="21" s="1"/>
  <c r="AB446" i="21"/>
  <c r="M466" i="21" s="1"/>
  <c r="R446" i="21"/>
  <c r="C466" i="21" s="1"/>
  <c r="AK446" i="21"/>
  <c r="V466" i="21" s="1"/>
  <c r="AA446" i="21"/>
  <c r="L466" i="21" s="1"/>
  <c r="Q446" i="21"/>
  <c r="B466" i="21" s="1"/>
  <c r="AR446" i="21"/>
  <c r="AC466" i="21" s="1"/>
  <c r="AH446" i="21"/>
  <c r="S466" i="21" s="1"/>
  <c r="W446" i="21"/>
  <c r="H466" i="21" s="1"/>
  <c r="AQ446" i="21"/>
  <c r="AB466" i="21" s="1"/>
  <c r="AG446" i="21"/>
  <c r="R466" i="21" s="1"/>
  <c r="U446" i="21"/>
  <c r="F466" i="21" s="1"/>
  <c r="AP446" i="21"/>
  <c r="AA466" i="21" s="1"/>
  <c r="T446" i="21"/>
  <c r="E466" i="21" s="1"/>
  <c r="AO446" i="21"/>
  <c r="Z466" i="21" s="1"/>
  <c r="S446" i="21"/>
  <c r="D466" i="21" s="1"/>
  <c r="AE446" i="21"/>
  <c r="P466" i="21" s="1"/>
  <c r="AC446" i="21"/>
  <c r="N466" i="21" s="1"/>
  <c r="Y446" i="21"/>
  <c r="J466" i="21" s="1"/>
  <c r="AJ446" i="21"/>
  <c r="U466" i="21" s="1"/>
  <c r="AF451" i="21"/>
  <c r="Q471" i="21" s="1"/>
  <c r="V451" i="21"/>
  <c r="G471" i="21" s="1"/>
  <c r="AO451" i="21"/>
  <c r="Z471" i="21" s="1"/>
  <c r="AE451" i="21"/>
  <c r="P471" i="21" s="1"/>
  <c r="U451" i="21"/>
  <c r="F471" i="21" s="1"/>
  <c r="X451" i="21"/>
  <c r="I471" i="21" s="1"/>
  <c r="W451" i="21"/>
  <c r="H471" i="21" s="1"/>
  <c r="AI451" i="21"/>
  <c r="T471" i="21" s="1"/>
  <c r="AG451" i="21"/>
  <c r="R471" i="21" s="1"/>
  <c r="AD451" i="21"/>
  <c r="O471" i="21" s="1"/>
  <c r="AC451" i="21"/>
  <c r="N471" i="21" s="1"/>
  <c r="AK440" i="21"/>
  <c r="V460" i="21" s="1"/>
  <c r="AC441" i="21"/>
  <c r="N461" i="21" s="1"/>
  <c r="AN446" i="21"/>
  <c r="Y466" i="21" s="1"/>
  <c r="AP443" i="21"/>
  <c r="AA463" i="21" s="1"/>
  <c r="AH443" i="21"/>
  <c r="S463" i="21" s="1"/>
  <c r="Z443" i="21"/>
  <c r="K463" i="21" s="1"/>
  <c r="R443" i="21"/>
  <c r="C463" i="21" s="1"/>
  <c r="AO443" i="21"/>
  <c r="Z463" i="21" s="1"/>
  <c r="AG443" i="21"/>
  <c r="R463" i="21" s="1"/>
  <c r="Y443" i="21"/>
  <c r="J463" i="21" s="1"/>
  <c r="Q443" i="21"/>
  <c r="B463" i="21" s="1"/>
  <c r="AL443" i="21"/>
  <c r="W463" i="21" s="1"/>
  <c r="AD443" i="21"/>
  <c r="O463" i="21" s="1"/>
  <c r="V443" i="21"/>
  <c r="G463" i="21" s="1"/>
  <c r="AK443" i="21"/>
  <c r="V463" i="21" s="1"/>
  <c r="AC443" i="21"/>
  <c r="N463" i="21" s="1"/>
  <c r="U443" i="21"/>
  <c r="F463" i="21" s="1"/>
  <c r="AJ443" i="21"/>
  <c r="U463" i="21" s="1"/>
  <c r="T443" i="21"/>
  <c r="E463" i="21" s="1"/>
  <c r="AI443" i="21"/>
  <c r="T463" i="21" s="1"/>
  <c r="S443" i="21"/>
  <c r="D463" i="21" s="1"/>
  <c r="AR443" i="21"/>
  <c r="AC463" i="21" s="1"/>
  <c r="AB443" i="21"/>
  <c r="M463" i="21" s="1"/>
  <c r="AQ443" i="21"/>
  <c r="AB463" i="21" s="1"/>
  <c r="AA443" i="21"/>
  <c r="L463" i="21" s="1"/>
  <c r="AM447" i="21"/>
  <c r="X467" i="21" s="1"/>
  <c r="AE447" i="21"/>
  <c r="P467" i="21" s="1"/>
  <c r="W447" i="21"/>
  <c r="H467" i="21" s="1"/>
  <c r="AK447" i="21"/>
  <c r="V467" i="21" s="1"/>
  <c r="AC447" i="21"/>
  <c r="N467" i="21" s="1"/>
  <c r="U447" i="21"/>
  <c r="F467" i="21" s="1"/>
  <c r="AI447" i="21"/>
  <c r="T467" i="21" s="1"/>
  <c r="Y447" i="21"/>
  <c r="J467" i="21" s="1"/>
  <c r="AR447" i="21"/>
  <c r="AC467" i="21" s="1"/>
  <c r="AH447" i="21"/>
  <c r="S467" i="21" s="1"/>
  <c r="X447" i="21"/>
  <c r="I467" i="21" s="1"/>
  <c r="AO447" i="21"/>
  <c r="Z467" i="21" s="1"/>
  <c r="AD447" i="21"/>
  <c r="O467" i="21" s="1"/>
  <c r="S447" i="21"/>
  <c r="D467" i="21" s="1"/>
  <c r="AN447" i="21"/>
  <c r="Y467" i="21" s="1"/>
  <c r="AB447" i="21"/>
  <c r="M467" i="21" s="1"/>
  <c r="R447" i="21"/>
  <c r="C467" i="21" s="1"/>
  <c r="AQ447" i="21"/>
  <c r="AB467" i="21" s="1"/>
  <c r="V447" i="21"/>
  <c r="G467" i="21" s="1"/>
  <c r="AP447" i="21"/>
  <c r="AA467" i="21" s="1"/>
  <c r="T447" i="21"/>
  <c r="E467" i="21" s="1"/>
  <c r="AG447" i="21"/>
  <c r="R467" i="21" s="1"/>
  <c r="AF447" i="21"/>
  <c r="Q467" i="21" s="1"/>
  <c r="S453" i="21"/>
  <c r="AL453" i="21"/>
  <c r="AB453" i="21"/>
  <c r="Q453" i="21"/>
  <c r="AE453" i="21"/>
  <c r="AD453" i="21"/>
  <c r="AQ453" i="21"/>
  <c r="U453" i="21"/>
  <c r="AO453" i="21"/>
  <c r="T453" i="21"/>
  <c r="X440" i="21"/>
  <c r="I460" i="21" s="1"/>
  <c r="AF440" i="21"/>
  <c r="Q460" i="21" s="1"/>
  <c r="AN440" i="21"/>
  <c r="Y460" i="21" s="1"/>
  <c r="Y441" i="21"/>
  <c r="J461" i="21" s="1"/>
  <c r="AQ452" i="21"/>
  <c r="AB472" i="21" s="1"/>
  <c r="AI452" i="21"/>
  <c r="T472" i="21" s="1"/>
  <c r="AA452" i="21"/>
  <c r="L472" i="21" s="1"/>
  <c r="S452" i="21"/>
  <c r="D472" i="21" s="1"/>
  <c r="AO452" i="21"/>
  <c r="Z472" i="21" s="1"/>
  <c r="AG452" i="21"/>
  <c r="R472" i="21" s="1"/>
  <c r="Y452" i="21"/>
  <c r="J472" i="21" s="1"/>
  <c r="Q452" i="21"/>
  <c r="B472" i="21" s="1"/>
  <c r="AK452" i="21"/>
  <c r="V472" i="21" s="1"/>
  <c r="Z452" i="21"/>
  <c r="K472" i="21" s="1"/>
  <c r="AJ452" i="21"/>
  <c r="U472" i="21" s="1"/>
  <c r="X452" i="21"/>
  <c r="I472" i="21" s="1"/>
  <c r="AP452" i="21"/>
  <c r="AA472" i="21" s="1"/>
  <c r="AE452" i="21"/>
  <c r="P472" i="21" s="1"/>
  <c r="U452" i="21"/>
  <c r="F472" i="21" s="1"/>
  <c r="AN452" i="21"/>
  <c r="Y472" i="21" s="1"/>
  <c r="AD452" i="21"/>
  <c r="O472" i="21" s="1"/>
  <c r="T452" i="21"/>
  <c r="E472" i="21" s="1"/>
  <c r="AL452" i="21"/>
  <c r="W472" i="21" s="1"/>
  <c r="A508" i="21"/>
  <c r="A496" i="21"/>
  <c r="Q440" i="21"/>
  <c r="B460" i="21" s="1"/>
  <c r="Y440" i="21"/>
  <c r="J460" i="21" s="1"/>
  <c r="AG440" i="21"/>
  <c r="R460" i="21" s="1"/>
  <c r="AO440" i="21"/>
  <c r="Z460" i="21" s="1"/>
  <c r="AR441" i="21"/>
  <c r="AC461" i="21" s="1"/>
  <c r="AJ441" i="21"/>
  <c r="U461" i="21" s="1"/>
  <c r="AB441" i="21"/>
  <c r="M461" i="21" s="1"/>
  <c r="T441" i="21"/>
  <c r="E461" i="21" s="1"/>
  <c r="AQ441" i="21"/>
  <c r="AB461" i="21" s="1"/>
  <c r="AI441" i="21"/>
  <c r="T461" i="21" s="1"/>
  <c r="AA441" i="21"/>
  <c r="L461" i="21" s="1"/>
  <c r="S441" i="21"/>
  <c r="D461" i="21" s="1"/>
  <c r="Z441" i="21"/>
  <c r="K461" i="21" s="1"/>
  <c r="AL441" i="21"/>
  <c r="W461" i="21" s="1"/>
  <c r="AP445" i="21"/>
  <c r="AA465" i="21" s="1"/>
  <c r="AK451" i="21"/>
  <c r="V471" i="21" s="1"/>
  <c r="R452" i="21"/>
  <c r="C472" i="21" s="1"/>
  <c r="AM452" i="21"/>
  <c r="X472" i="21" s="1"/>
  <c r="A502" i="21"/>
  <c r="A490" i="21"/>
  <c r="T440" i="21"/>
  <c r="E460" i="21" s="1"/>
  <c r="AB440" i="21"/>
  <c r="M460" i="21" s="1"/>
  <c r="AJ440" i="21"/>
  <c r="U460" i="21" s="1"/>
  <c r="AR440" i="21"/>
  <c r="AC460" i="21" s="1"/>
  <c r="U441" i="21"/>
  <c r="F461" i="21" s="1"/>
  <c r="AE441" i="21"/>
  <c r="P461" i="21" s="1"/>
  <c r="AO441" i="21"/>
  <c r="Z461" i="21" s="1"/>
  <c r="AK444" i="21"/>
  <c r="V464" i="21" s="1"/>
  <c r="AC444" i="21"/>
  <c r="N464" i="21" s="1"/>
  <c r="U444" i="21"/>
  <c r="F464" i="21" s="1"/>
  <c r="AR444" i="21"/>
  <c r="AC464" i="21" s="1"/>
  <c r="AJ444" i="21"/>
  <c r="U464" i="21" s="1"/>
  <c r="AB444" i="21"/>
  <c r="M464" i="21" s="1"/>
  <c r="T444" i="21"/>
  <c r="E464" i="21" s="1"/>
  <c r="AA444" i="21"/>
  <c r="L464" i="21" s="1"/>
  <c r="AQ444" i="21"/>
  <c r="AB464" i="21" s="1"/>
  <c r="AB452" i="21"/>
  <c r="M472" i="21" s="1"/>
  <c r="AJ454" i="21"/>
  <c r="Z454" i="21"/>
  <c r="AC454" i="21"/>
  <c r="A491" i="21"/>
  <c r="A503" i="21"/>
  <c r="A509" i="21"/>
  <c r="A497" i="21"/>
  <c r="U440" i="21"/>
  <c r="F460" i="21" s="1"/>
  <c r="AC440" i="21"/>
  <c r="N460" i="21" s="1"/>
  <c r="V441" i="21"/>
  <c r="G461" i="21" s="1"/>
  <c r="AF441" i="21"/>
  <c r="Q461" i="21" s="1"/>
  <c r="AP441" i="21"/>
  <c r="AA461" i="21" s="1"/>
  <c r="AD444" i="21"/>
  <c r="O464" i="21" s="1"/>
  <c r="AC452" i="21"/>
  <c r="N472" i="21" s="1"/>
  <c r="AR453" i="21"/>
  <c r="AH454" i="21"/>
  <c r="AM455" i="21"/>
  <c r="X475" i="21" s="1"/>
  <c r="AB455" i="21"/>
  <c r="M475" i="21" s="1"/>
  <c r="R455" i="21"/>
  <c r="C475" i="21" s="1"/>
  <c r="AK455" i="21"/>
  <c r="V475" i="21" s="1"/>
  <c r="AA455" i="21"/>
  <c r="L475" i="21" s="1"/>
  <c r="Q455" i="21"/>
  <c r="B475" i="21" s="1"/>
  <c r="AR455" i="21"/>
  <c r="AC475" i="21" s="1"/>
  <c r="AH455" i="21"/>
  <c r="S475" i="21" s="1"/>
  <c r="W455" i="21"/>
  <c r="H475" i="21" s="1"/>
  <c r="AQ455" i="21"/>
  <c r="AB475" i="21" s="1"/>
  <c r="AG455" i="21"/>
  <c r="R475" i="21" s="1"/>
  <c r="U455" i="21"/>
  <c r="F475" i="21" s="1"/>
  <c r="AI455" i="21"/>
  <c r="T475" i="21" s="1"/>
  <c r="Y448" i="21"/>
  <c r="J468" i="21" s="1"/>
  <c r="AL448" i="21"/>
  <c r="W468" i="21" s="1"/>
  <c r="AD448" i="21"/>
  <c r="O468" i="21" s="1"/>
  <c r="V448" i="21"/>
  <c r="G468" i="21" s="1"/>
  <c r="AR448" i="21"/>
  <c r="AC468" i="21" s="1"/>
  <c r="AJ448" i="21"/>
  <c r="U468" i="21" s="1"/>
  <c r="AB448" i="21"/>
  <c r="M468" i="21" s="1"/>
  <c r="T448" i="21"/>
  <c r="E468" i="21" s="1"/>
  <c r="Z448" i="21"/>
  <c r="K468" i="21" s="1"/>
  <c r="AK448" i="21"/>
  <c r="V468" i="21" s="1"/>
  <c r="AQ451" i="21"/>
  <c r="AB471" i="21" s="1"/>
  <c r="AC453" i="21"/>
  <c r="AM453" i="21"/>
  <c r="AO454" i="21"/>
  <c r="AG454" i="21"/>
  <c r="Y454" i="21"/>
  <c r="Q454" i="21"/>
  <c r="AM454" i="21"/>
  <c r="AE454" i="21"/>
  <c r="W454" i="21"/>
  <c r="AA454" i="21"/>
  <c r="AK454" i="21"/>
  <c r="X444" i="21"/>
  <c r="I464" i="21" s="1"/>
  <c r="AF444" i="21"/>
  <c r="Q464" i="21" s="1"/>
  <c r="AN444" i="21"/>
  <c r="Y464" i="21" s="1"/>
  <c r="W445" i="21"/>
  <c r="H465" i="21" s="1"/>
  <c r="AE445" i="21"/>
  <c r="P465" i="21" s="1"/>
  <c r="S448" i="21"/>
  <c r="D468" i="21" s="1"/>
  <c r="AE448" i="21"/>
  <c r="P468" i="21" s="1"/>
  <c r="AO448" i="21"/>
  <c r="Z468" i="21" s="1"/>
  <c r="Y451" i="21"/>
  <c r="J471" i="21" s="1"/>
  <c r="V453" i="21"/>
  <c r="AG453" i="21"/>
  <c r="T454" i="21"/>
  <c r="AD454" i="21"/>
  <c r="AP454" i="21"/>
  <c r="B461" i="21"/>
  <c r="Q444" i="21"/>
  <c r="B464" i="21" s="1"/>
  <c r="Y444" i="21"/>
  <c r="J464" i="21" s="1"/>
  <c r="AG444" i="21"/>
  <c r="R464" i="21" s="1"/>
  <c r="AO445" i="21"/>
  <c r="Z465" i="21" s="1"/>
  <c r="AG445" i="21"/>
  <c r="R465" i="21" s="1"/>
  <c r="AM445" i="21"/>
  <c r="X465" i="21" s="1"/>
  <c r="X445" i="21"/>
  <c r="I465" i="21" s="1"/>
  <c r="AF445" i="21"/>
  <c r="Q465" i="21" s="1"/>
  <c r="AQ445" i="21"/>
  <c r="AB465" i="21" s="1"/>
  <c r="U448" i="21"/>
  <c r="F468" i="21" s="1"/>
  <c r="AF448" i="21"/>
  <c r="Q468" i="21" s="1"/>
  <c r="AP448" i="21"/>
  <c r="AA468" i="21" s="1"/>
  <c r="AR451" i="21"/>
  <c r="AC471" i="21" s="1"/>
  <c r="AJ451" i="21"/>
  <c r="U471" i="21" s="1"/>
  <c r="AB451" i="21"/>
  <c r="M471" i="21" s="1"/>
  <c r="T451" i="21"/>
  <c r="E471" i="21" s="1"/>
  <c r="AP451" i="21"/>
  <c r="AA471" i="21" s="1"/>
  <c r="AH451" i="21"/>
  <c r="S471" i="21" s="1"/>
  <c r="Z451" i="21"/>
  <c r="K471" i="21" s="1"/>
  <c r="R451" i="21"/>
  <c r="C471" i="21" s="1"/>
  <c r="AA451" i="21"/>
  <c r="L471" i="21" s="1"/>
  <c r="AL451" i="21"/>
  <c r="W471" i="21" s="1"/>
  <c r="R453" i="21"/>
  <c r="W453" i="21"/>
  <c r="AI453" i="21"/>
  <c r="U454" i="21"/>
  <c r="AF454" i="21"/>
  <c r="AQ454" i="21"/>
  <c r="A492" i="21"/>
  <c r="A504" i="21"/>
  <c r="A507" i="21"/>
  <c r="A495" i="21"/>
  <c r="A494" i="21"/>
  <c r="A506" i="21"/>
  <c r="V446" i="21"/>
  <c r="G466" i="21" s="1"/>
  <c r="AD446" i="21"/>
  <c r="O466" i="21" s="1"/>
  <c r="AL446" i="21"/>
  <c r="W466" i="21" s="1"/>
  <c r="X453" i="21"/>
  <c r="AF453" i="21"/>
  <c r="AN453" i="21"/>
  <c r="V455" i="21"/>
  <c r="G475" i="21" s="1"/>
  <c r="AD455" i="21"/>
  <c r="O475" i="21" s="1"/>
  <c r="AL455" i="21"/>
  <c r="W475" i="21" s="1"/>
  <c r="X446" i="21"/>
  <c r="I466" i="21" s="1"/>
  <c r="AF446" i="21"/>
  <c r="Q466" i="21" s="1"/>
  <c r="Z453" i="21"/>
  <c r="AH453" i="21"/>
  <c r="X455" i="21"/>
  <c r="I475" i="21" s="1"/>
  <c r="AF455" i="21"/>
  <c r="Q475" i="21" s="1"/>
  <c r="AR18" i="19"/>
  <c r="AC38" i="19" s="1"/>
  <c r="AN27" i="19"/>
  <c r="Y47" i="19" s="1"/>
  <c r="AN130" i="19"/>
  <c r="Y150" i="19" s="1"/>
  <c r="S133" i="19"/>
  <c r="D153" i="19" s="1"/>
  <c r="AI13" i="19"/>
  <c r="T33" i="19" s="1"/>
  <c r="T27" i="19"/>
  <c r="E47" i="19" s="1"/>
  <c r="T120" i="19"/>
  <c r="E140" i="19" s="1"/>
  <c r="AC122" i="19"/>
  <c r="N142" i="19" s="1"/>
  <c r="AN124" i="19"/>
  <c r="Y144" i="19" s="1"/>
  <c r="AN131" i="19"/>
  <c r="AH131" i="19"/>
  <c r="U133" i="19"/>
  <c r="F153" i="19" s="1"/>
  <c r="AM227" i="19"/>
  <c r="X247" i="19" s="1"/>
  <c r="AO228" i="19"/>
  <c r="Z248" i="19" s="1"/>
  <c r="Q230" i="19"/>
  <c r="B250" i="19" s="1"/>
  <c r="AO230" i="19"/>
  <c r="Z250" i="19" s="1"/>
  <c r="W232" i="19"/>
  <c r="H252" i="19" s="1"/>
  <c r="AA236" i="19"/>
  <c r="L256" i="19" s="1"/>
  <c r="AN237" i="19"/>
  <c r="Y257" i="19" s="1"/>
  <c r="AP237" i="19"/>
  <c r="AA257" i="19" s="1"/>
  <c r="AI237" i="19"/>
  <c r="T257" i="19" s="1"/>
  <c r="AN240" i="19"/>
  <c r="R339" i="19"/>
  <c r="C359" i="19" s="1"/>
  <c r="AO341" i="19"/>
  <c r="Z361" i="19" s="1"/>
  <c r="AR341" i="19"/>
  <c r="AC361" i="19" s="1"/>
  <c r="AG347" i="19"/>
  <c r="R367" i="19" s="1"/>
  <c r="AI348" i="19"/>
  <c r="AO350" i="19"/>
  <c r="Z370" i="19" s="1"/>
  <c r="U440" i="19"/>
  <c r="F460" i="19" s="1"/>
  <c r="T441" i="19"/>
  <c r="E461" i="19" s="1"/>
  <c r="Q443" i="19"/>
  <c r="B463" i="19" s="1"/>
  <c r="AQ451" i="19"/>
  <c r="AB471" i="19" s="1"/>
  <c r="Z452" i="19"/>
  <c r="K472" i="19" s="1"/>
  <c r="AQ453" i="19"/>
  <c r="AB453" i="19"/>
  <c r="T453" i="19"/>
  <c r="AC16" i="20"/>
  <c r="N36" i="20" s="1"/>
  <c r="AR18" i="20"/>
  <c r="AC38" i="20" s="1"/>
  <c r="Q25" i="20"/>
  <c r="AI120" i="20"/>
  <c r="T140" i="20" s="1"/>
  <c r="U120" i="20"/>
  <c r="F140" i="20" s="1"/>
  <c r="AH120" i="20"/>
  <c r="S140" i="20" s="1"/>
  <c r="S120" i="20"/>
  <c r="D140" i="20" s="1"/>
  <c r="AG120" i="20"/>
  <c r="R140" i="20" s="1"/>
  <c r="AB129" i="20"/>
  <c r="M149" i="20" s="1"/>
  <c r="AD337" i="20"/>
  <c r="O357" i="20" s="1"/>
  <c r="Z444" i="20"/>
  <c r="K464" i="20" s="1"/>
  <c r="W444" i="20"/>
  <c r="H464" i="20" s="1"/>
  <c r="AP444" i="20"/>
  <c r="AA464" i="20" s="1"/>
  <c r="V444" i="20"/>
  <c r="G464" i="20" s="1"/>
  <c r="G482" i="20" s="1"/>
  <c r="AM444" i="20"/>
  <c r="X464" i="20" s="1"/>
  <c r="S444" i="20"/>
  <c r="D464" i="20" s="1"/>
  <c r="AL444" i="20"/>
  <c r="W464" i="20" s="1"/>
  <c r="R444" i="20"/>
  <c r="C464" i="20" s="1"/>
  <c r="AO451" i="20"/>
  <c r="Z471" i="20" s="1"/>
  <c r="AJ451" i="20"/>
  <c r="U471" i="20" s="1"/>
  <c r="U451" i="20"/>
  <c r="F471" i="20" s="1"/>
  <c r="T451" i="20"/>
  <c r="E471" i="20" s="1"/>
  <c r="Q451" i="20"/>
  <c r="B471" i="20" s="1"/>
  <c r="AQ117" i="20"/>
  <c r="AB137" i="20" s="1"/>
  <c r="AF117" i="20"/>
  <c r="Q137" i="20" s="1"/>
  <c r="AK225" i="20"/>
  <c r="V245" i="20" s="1"/>
  <c r="AG225" i="20"/>
  <c r="R245" i="20" s="1"/>
  <c r="AC225" i="20"/>
  <c r="N245" i="20" s="1"/>
  <c r="U225" i="20"/>
  <c r="F245" i="20" s="1"/>
  <c r="Q225" i="20"/>
  <c r="B245" i="20" s="1"/>
  <c r="AP225" i="20"/>
  <c r="AA245" i="20" s="1"/>
  <c r="AD335" i="20"/>
  <c r="O355" i="20" s="1"/>
  <c r="AB335" i="20"/>
  <c r="M355" i="20" s="1"/>
  <c r="AQ128" i="20"/>
  <c r="AB148" i="20" s="1"/>
  <c r="AG128" i="20"/>
  <c r="R148" i="20" s="1"/>
  <c r="U128" i="20"/>
  <c r="F148" i="20" s="1"/>
  <c r="T128" i="20"/>
  <c r="E148" i="20" s="1"/>
  <c r="AB345" i="20"/>
  <c r="M365" i="20" s="1"/>
  <c r="AN345" i="20"/>
  <c r="Y365" i="20" s="1"/>
  <c r="AF345" i="20"/>
  <c r="Q365" i="20" s="1"/>
  <c r="AD345" i="20"/>
  <c r="O365" i="20" s="1"/>
  <c r="AM231" i="20"/>
  <c r="X251" i="20" s="1"/>
  <c r="AI231" i="20"/>
  <c r="T251" i="20" s="1"/>
  <c r="T269" i="20" s="1"/>
  <c r="AR231" i="20"/>
  <c r="AC251" i="20" s="1"/>
  <c r="AC269" i="20" s="1"/>
  <c r="AQ125" i="20"/>
  <c r="AB145" i="20" s="1"/>
  <c r="AA125" i="20"/>
  <c r="L145" i="20" s="1"/>
  <c r="AJ233" i="20"/>
  <c r="U253" i="20" s="1"/>
  <c r="AA233" i="20"/>
  <c r="L253" i="20" s="1"/>
  <c r="U233" i="20"/>
  <c r="F253" i="20" s="1"/>
  <c r="AK233" i="20"/>
  <c r="V253" i="20" s="1"/>
  <c r="U343" i="20"/>
  <c r="F363" i="20" s="1"/>
  <c r="AE343" i="20"/>
  <c r="P363" i="20" s="1"/>
  <c r="AO343" i="20"/>
  <c r="Z363" i="20" s="1"/>
  <c r="AH343" i="20"/>
  <c r="S363" i="20" s="1"/>
  <c r="AG132" i="20"/>
  <c r="Q132" i="20"/>
  <c r="AH132" i="20"/>
  <c r="AN349" i="20"/>
  <c r="X349" i="20"/>
  <c r="AK349" i="20"/>
  <c r="U349" i="20"/>
  <c r="AH349" i="20"/>
  <c r="T349" i="20"/>
  <c r="AG349" i="20"/>
  <c r="S349" i="20"/>
  <c r="AR349" i="20"/>
  <c r="AF349" i="20"/>
  <c r="R349" i="20"/>
  <c r="AQ349" i="20"/>
  <c r="AC349" i="20"/>
  <c r="Q349" i="20"/>
  <c r="AP349" i="20"/>
  <c r="AB349" i="20"/>
  <c r="AI349" i="20"/>
  <c r="AJ229" i="20"/>
  <c r="U249" i="20" s="1"/>
  <c r="T229" i="20"/>
  <c r="E249" i="20" s="1"/>
  <c r="AI229" i="20"/>
  <c r="T249" i="20" s="1"/>
  <c r="S229" i="20"/>
  <c r="D249" i="20" s="1"/>
  <c r="AG229" i="20"/>
  <c r="R249" i="20" s="1"/>
  <c r="R229" i="20"/>
  <c r="C249" i="20" s="1"/>
  <c r="AC229" i="20"/>
  <c r="N249" i="20" s="1"/>
  <c r="Q229" i="20"/>
  <c r="B249" i="20" s="1"/>
  <c r="AR229" i="20"/>
  <c r="AC249" i="20" s="1"/>
  <c r="AB229" i="20"/>
  <c r="M249" i="20" s="1"/>
  <c r="AN229" i="20"/>
  <c r="Y249" i="20" s="1"/>
  <c r="AQ229" i="20"/>
  <c r="AB249" i="20" s="1"/>
  <c r="AA229" i="20"/>
  <c r="L249" i="20" s="1"/>
  <c r="AL229" i="20"/>
  <c r="W249" i="20" s="1"/>
  <c r="AO229" i="20"/>
  <c r="Z249" i="20" s="1"/>
  <c r="Y229" i="20"/>
  <c r="J249" i="20" s="1"/>
  <c r="V27" i="19"/>
  <c r="G47" i="19" s="1"/>
  <c r="AB120" i="19"/>
  <c r="M140" i="19" s="1"/>
  <c r="AD122" i="19"/>
  <c r="O142" i="19" s="1"/>
  <c r="R131" i="19"/>
  <c r="AI131" i="19"/>
  <c r="Y133" i="19"/>
  <c r="J153" i="19" s="1"/>
  <c r="T230" i="19"/>
  <c r="E250" i="19" s="1"/>
  <c r="AR230" i="19"/>
  <c r="AC250" i="19" s="1"/>
  <c r="AD232" i="19"/>
  <c r="O252" i="19" s="1"/>
  <c r="AH238" i="19"/>
  <c r="S258" i="19" s="1"/>
  <c r="T339" i="19"/>
  <c r="E359" i="19" s="1"/>
  <c r="AC452" i="19"/>
  <c r="N472" i="19" s="1"/>
  <c r="Q453" i="19"/>
  <c r="AG16" i="20"/>
  <c r="R36" i="20" s="1"/>
  <c r="AM18" i="20"/>
  <c r="X38" i="20" s="1"/>
  <c r="U25" i="20"/>
  <c r="AI119" i="20"/>
  <c r="T139" i="20" s="1"/>
  <c r="AJ119" i="20"/>
  <c r="U139" i="20" s="1"/>
  <c r="Q120" i="20"/>
  <c r="B140" i="20" s="1"/>
  <c r="AK120" i="20"/>
  <c r="V140" i="20" s="1"/>
  <c r="AG129" i="20"/>
  <c r="R149" i="20" s="1"/>
  <c r="AN237" i="20"/>
  <c r="Y257" i="20" s="1"/>
  <c r="AF237" i="20"/>
  <c r="Q257" i="20" s="1"/>
  <c r="Y237" i="20"/>
  <c r="J257" i="20" s="1"/>
  <c r="R237" i="20"/>
  <c r="C257" i="20" s="1"/>
  <c r="AA337" i="20"/>
  <c r="L357" i="20" s="1"/>
  <c r="U337" i="20"/>
  <c r="F357" i="20" s="1"/>
  <c r="AR337" i="20"/>
  <c r="AC357" i="20" s="1"/>
  <c r="T337" i="20"/>
  <c r="E357" i="20" s="1"/>
  <c r="AI122" i="19"/>
  <c r="T142" i="19" s="1"/>
  <c r="AH227" i="19"/>
  <c r="S247" i="19" s="1"/>
  <c r="X230" i="19"/>
  <c r="I250" i="19" s="1"/>
  <c r="Z339" i="19"/>
  <c r="K359" i="19" s="1"/>
  <c r="AN18" i="20"/>
  <c r="Y38" i="20" s="1"/>
  <c r="AI18" i="20"/>
  <c r="T38" i="20" s="1"/>
  <c r="AE18" i="20"/>
  <c r="P38" i="20" s="1"/>
  <c r="AG25" i="20"/>
  <c r="AK119" i="20"/>
  <c r="V139" i="20" s="1"/>
  <c r="R120" i="20"/>
  <c r="C140" i="20" s="1"/>
  <c r="AN120" i="20"/>
  <c r="Y140" i="20" s="1"/>
  <c r="AB27" i="19"/>
  <c r="M47" i="19" s="1"/>
  <c r="AA133" i="19"/>
  <c r="L153" i="19" s="1"/>
  <c r="AN18" i="19"/>
  <c r="Y38" i="19" s="1"/>
  <c r="AJ27" i="19"/>
  <c r="U47" i="19" s="1"/>
  <c r="AK120" i="19"/>
  <c r="V140" i="19" s="1"/>
  <c r="AK122" i="19"/>
  <c r="V142" i="19" s="1"/>
  <c r="AA124" i="19"/>
  <c r="L144" i="19" s="1"/>
  <c r="AE129" i="19"/>
  <c r="P149" i="19" s="1"/>
  <c r="U131" i="19"/>
  <c r="AM131" i="19"/>
  <c r="AC133" i="19"/>
  <c r="N153" i="19" s="1"/>
  <c r="Y230" i="19"/>
  <c r="J250" i="19" s="1"/>
  <c r="Z237" i="19"/>
  <c r="K257" i="19" s="1"/>
  <c r="AM238" i="19"/>
  <c r="X258" i="19" s="1"/>
  <c r="AP238" i="19"/>
  <c r="AA258" i="19" s="1"/>
  <c r="R238" i="19"/>
  <c r="C258" i="19" s="1"/>
  <c r="AO238" i="19"/>
  <c r="Z258" i="19" s="1"/>
  <c r="Q238" i="19"/>
  <c r="B258" i="19" s="1"/>
  <c r="AD337" i="19"/>
  <c r="O357" i="19" s="1"/>
  <c r="AB339" i="19"/>
  <c r="M359" i="19" s="1"/>
  <c r="AI341" i="19"/>
  <c r="T361" i="19" s="1"/>
  <c r="W441" i="19"/>
  <c r="H461" i="19" s="1"/>
  <c r="V444" i="19"/>
  <c r="G464" i="19" s="1"/>
  <c r="AI451" i="19"/>
  <c r="T471" i="19" s="1"/>
  <c r="AD451" i="19"/>
  <c r="O471" i="19" s="1"/>
  <c r="AR453" i="19"/>
  <c r="AM455" i="19"/>
  <c r="X475" i="19" s="1"/>
  <c r="S18" i="20"/>
  <c r="D38" i="20" s="1"/>
  <c r="S27" i="20"/>
  <c r="D47" i="20" s="1"/>
  <c r="AN119" i="20"/>
  <c r="Y139" i="20" s="1"/>
  <c r="Z119" i="20"/>
  <c r="K139" i="20" s="1"/>
  <c r="AQ119" i="20"/>
  <c r="AB139" i="20" s="1"/>
  <c r="U119" i="20"/>
  <c r="F139" i="20" s="1"/>
  <c r="AP119" i="20"/>
  <c r="AA139" i="20" s="1"/>
  <c r="X120" i="20"/>
  <c r="I140" i="20" s="1"/>
  <c r="AO120" i="20"/>
  <c r="Z140" i="20" s="1"/>
  <c r="AA336" i="20"/>
  <c r="L356" i="20" s="1"/>
  <c r="Y336" i="20"/>
  <c r="J356" i="20" s="1"/>
  <c r="AQ336" i="20"/>
  <c r="AB356" i="20" s="1"/>
  <c r="U336" i="20"/>
  <c r="F356" i="20" s="1"/>
  <c r="AE337" i="20"/>
  <c r="P357" i="20" s="1"/>
  <c r="AO350" i="20"/>
  <c r="Z370" i="20" s="1"/>
  <c r="AN350" i="20"/>
  <c r="Y370" i="20" s="1"/>
  <c r="AJ350" i="20"/>
  <c r="U370" i="20" s="1"/>
  <c r="Z350" i="20"/>
  <c r="K370" i="20" s="1"/>
  <c r="X350" i="20"/>
  <c r="I370" i="20" s="1"/>
  <c r="AE444" i="20"/>
  <c r="P464" i="20" s="1"/>
  <c r="AR27" i="19"/>
  <c r="AC47" i="19" s="1"/>
  <c r="AQ120" i="19"/>
  <c r="AB140" i="19" s="1"/>
  <c r="AL120" i="19"/>
  <c r="W140" i="19" s="1"/>
  <c r="AP122" i="19"/>
  <c r="AA142" i="19" s="1"/>
  <c r="AG133" i="19"/>
  <c r="R153" i="19" s="1"/>
  <c r="AB230" i="19"/>
  <c r="M250" i="19" s="1"/>
  <c r="AH339" i="19"/>
  <c r="S359" i="19" s="1"/>
  <c r="AO347" i="19"/>
  <c r="Z367" i="19" s="1"/>
  <c r="U348" i="19"/>
  <c r="R451" i="19"/>
  <c r="C471" i="19" s="1"/>
  <c r="AO455" i="19"/>
  <c r="Z475" i="19" s="1"/>
  <c r="AP455" i="19"/>
  <c r="AA475" i="19" s="1"/>
  <c r="AA18" i="20"/>
  <c r="L38" i="20" s="1"/>
  <c r="AA27" i="20"/>
  <c r="L47" i="20" s="1"/>
  <c r="Y120" i="20"/>
  <c r="J140" i="20" s="1"/>
  <c r="AQ120" i="20"/>
  <c r="AB140" i="20" s="1"/>
  <c r="AH129" i="20"/>
  <c r="S149" i="20" s="1"/>
  <c r="S129" i="20"/>
  <c r="D149" i="20" s="1"/>
  <c r="AR129" i="20"/>
  <c r="AC149" i="20" s="1"/>
  <c r="AC129" i="20"/>
  <c r="N149" i="20" s="1"/>
  <c r="Q129" i="20"/>
  <c r="B149" i="20" s="1"/>
  <c r="AN129" i="20"/>
  <c r="Y149" i="20" s="1"/>
  <c r="Y129" i="20"/>
  <c r="J149" i="20" s="1"/>
  <c r="AK129" i="20"/>
  <c r="V149" i="20" s="1"/>
  <c r="X129" i="20"/>
  <c r="I149" i="20" s="1"/>
  <c r="AQ129" i="20"/>
  <c r="AB149" i="20" s="1"/>
  <c r="AG232" i="20"/>
  <c r="R252" i="20" s="1"/>
  <c r="AL232" i="20"/>
  <c r="W252" i="20" s="1"/>
  <c r="AF232" i="20"/>
  <c r="Q252" i="20" s="1"/>
  <c r="V232" i="20"/>
  <c r="G252" i="20" s="1"/>
  <c r="R232" i="20"/>
  <c r="C252" i="20" s="1"/>
  <c r="AK440" i="19"/>
  <c r="V460" i="19" s="1"/>
  <c r="AN440" i="19"/>
  <c r="Y460" i="19" s="1"/>
  <c r="AH440" i="19"/>
  <c r="S460" i="19" s="1"/>
  <c r="T236" i="19"/>
  <c r="E256" i="19" s="1"/>
  <c r="S236" i="19"/>
  <c r="D256" i="19" s="1"/>
  <c r="AM236" i="19"/>
  <c r="X256" i="19" s="1"/>
  <c r="AP342" i="19"/>
  <c r="AA362" i="19" s="1"/>
  <c r="AR342" i="19"/>
  <c r="AC362" i="19" s="1"/>
  <c r="Y443" i="19"/>
  <c r="J463" i="19" s="1"/>
  <c r="U443" i="19"/>
  <c r="F463" i="19" s="1"/>
  <c r="AK133" i="19"/>
  <c r="V153" i="19" s="1"/>
  <c r="AF230" i="19"/>
  <c r="Q250" i="19" s="1"/>
  <c r="AJ339" i="19"/>
  <c r="U359" i="19" s="1"/>
  <c r="AN14" i="19"/>
  <c r="Y34" i="19" s="1"/>
  <c r="AJ18" i="19"/>
  <c r="U38" i="19" s="1"/>
  <c r="AQ24" i="19"/>
  <c r="AB44" i="19" s="1"/>
  <c r="AD25" i="19"/>
  <c r="V122" i="19"/>
  <c r="G142" i="19" s="1"/>
  <c r="AC131" i="19"/>
  <c r="Q133" i="19"/>
  <c r="B153" i="19" s="1"/>
  <c r="AO133" i="19"/>
  <c r="Z153" i="19" s="1"/>
  <c r="AA227" i="19"/>
  <c r="L247" i="19" s="1"/>
  <c r="Y228" i="19"/>
  <c r="J248" i="19" s="1"/>
  <c r="Z238" i="19"/>
  <c r="K258" i="19" s="1"/>
  <c r="AO239" i="19"/>
  <c r="AN239" i="19"/>
  <c r="AD347" i="19"/>
  <c r="O367" i="19" s="1"/>
  <c r="U347" i="19"/>
  <c r="F367" i="19" s="1"/>
  <c r="Z455" i="19"/>
  <c r="K475" i="19" s="1"/>
  <c r="AL16" i="20"/>
  <c r="W36" i="20" s="1"/>
  <c r="U16" i="20"/>
  <c r="F36" i="20" s="1"/>
  <c r="Q16" i="20"/>
  <c r="B36" i="20" s="1"/>
  <c r="AQ27" i="20"/>
  <c r="AB47" i="20" s="1"/>
  <c r="AB120" i="20"/>
  <c r="M140" i="20" s="1"/>
  <c r="AI122" i="20"/>
  <c r="T142" i="20" s="1"/>
  <c r="T160" i="20" s="1"/>
  <c r="U129" i="20"/>
  <c r="F149" i="20" s="1"/>
  <c r="AM24" i="19"/>
  <c r="X44" i="19" s="1"/>
  <c r="AL25" i="19"/>
  <c r="W122" i="19"/>
  <c r="H142" i="19" s="1"/>
  <c r="AD228" i="19"/>
  <c r="O248" i="19" s="1"/>
  <c r="Q239" i="19"/>
  <c r="AP339" i="19"/>
  <c r="AA359" i="19" s="1"/>
  <c r="Q347" i="19"/>
  <c r="B367" i="19" s="1"/>
  <c r="X348" i="19"/>
  <c r="AA350" i="19"/>
  <c r="L370" i="19" s="1"/>
  <c r="AO441" i="19"/>
  <c r="Z461" i="19" s="1"/>
  <c r="W452" i="19"/>
  <c r="H472" i="19" s="1"/>
  <c r="AH455" i="19"/>
  <c r="S475" i="19" s="1"/>
  <c r="Y16" i="20"/>
  <c r="J36" i="20" s="1"/>
  <c r="AL25" i="20"/>
  <c r="AC25" i="20"/>
  <c r="Y25" i="20"/>
  <c r="AD119" i="20"/>
  <c r="O139" i="20" s="1"/>
  <c r="AA129" i="20"/>
  <c r="L149" i="20" s="1"/>
  <c r="AE130" i="20"/>
  <c r="P150" i="20" s="1"/>
  <c r="X130" i="20"/>
  <c r="I150" i="20" s="1"/>
  <c r="AM237" i="19"/>
  <c r="X257" i="19" s="1"/>
  <c r="AM339" i="19"/>
  <c r="X359" i="19" s="1"/>
  <c r="AN348" i="19"/>
  <c r="AN441" i="19"/>
  <c r="Y461" i="19" s="1"/>
  <c r="AR452" i="19"/>
  <c r="AC472" i="19" s="1"/>
  <c r="AM452" i="19"/>
  <c r="X472" i="19" s="1"/>
  <c r="W23" i="20"/>
  <c r="H43" i="20" s="1"/>
  <c r="AR27" i="20"/>
  <c r="AC47" i="20" s="1"/>
  <c r="AI130" i="20"/>
  <c r="T150" i="20" s="1"/>
  <c r="T226" i="20"/>
  <c r="E246" i="20" s="1"/>
  <c r="AL236" i="20"/>
  <c r="W256" i="20" s="1"/>
  <c r="AG236" i="20"/>
  <c r="R256" i="20" s="1"/>
  <c r="AH238" i="20"/>
  <c r="S258" i="20" s="1"/>
  <c r="AD241" i="20"/>
  <c r="O261" i="20" s="1"/>
  <c r="AD334" i="20"/>
  <c r="O354" i="20" s="1"/>
  <c r="AI336" i="20"/>
  <c r="T356" i="20" s="1"/>
  <c r="AN337" i="20"/>
  <c r="Y357" i="20" s="1"/>
  <c r="AF337" i="20"/>
  <c r="Q357" i="20" s="1"/>
  <c r="AK339" i="20"/>
  <c r="V359" i="20" s="1"/>
  <c r="AG339" i="20"/>
  <c r="R359" i="20" s="1"/>
  <c r="S340" i="20"/>
  <c r="D360" i="20" s="1"/>
  <c r="AG340" i="20"/>
  <c r="R360" i="20" s="1"/>
  <c r="AI341" i="20"/>
  <c r="T361" i="20" s="1"/>
  <c r="AF343" i="20"/>
  <c r="Q363" i="20" s="1"/>
  <c r="AK346" i="20"/>
  <c r="V366" i="20" s="1"/>
  <c r="V348" i="20"/>
  <c r="R441" i="20"/>
  <c r="C461" i="20" s="1"/>
  <c r="AK442" i="20"/>
  <c r="V462" i="20" s="1"/>
  <c r="AD444" i="20"/>
  <c r="O464" i="20" s="1"/>
  <c r="O482" i="20" s="1"/>
  <c r="Y446" i="20"/>
  <c r="J466" i="20" s="1"/>
  <c r="R450" i="20"/>
  <c r="C470" i="20" s="1"/>
  <c r="AI452" i="20"/>
  <c r="T472" i="20" s="1"/>
  <c r="AC455" i="20"/>
  <c r="N475" i="20" s="1"/>
  <c r="AR17" i="20"/>
  <c r="AC37" i="20" s="1"/>
  <c r="AJ20" i="20"/>
  <c r="U40" i="20" s="1"/>
  <c r="AE231" i="20"/>
  <c r="P251" i="20" s="1"/>
  <c r="AC343" i="20"/>
  <c r="N363" i="20" s="1"/>
  <c r="AO339" i="19"/>
  <c r="Z359" i="19" s="1"/>
  <c r="AR339" i="19"/>
  <c r="AC359" i="19" s="1"/>
  <c r="AN350" i="19"/>
  <c r="Y370" i="19" s="1"/>
  <c r="R452" i="19"/>
  <c r="C472" i="19" s="1"/>
  <c r="AP452" i="19"/>
  <c r="AA472" i="19" s="1"/>
  <c r="AE14" i="20"/>
  <c r="P34" i="20" s="1"/>
  <c r="AE27" i="20"/>
  <c r="P47" i="20" s="1"/>
  <c r="AQ130" i="20"/>
  <c r="AB150" i="20" s="1"/>
  <c r="AO130" i="20"/>
  <c r="Z150" i="20" s="1"/>
  <c r="AL227" i="20"/>
  <c r="W247" i="20" s="1"/>
  <c r="AN236" i="20"/>
  <c r="Y256" i="20" s="1"/>
  <c r="AJ236" i="20"/>
  <c r="U256" i="20" s="1"/>
  <c r="AO237" i="20"/>
  <c r="Z257" i="20" s="1"/>
  <c r="AG238" i="20"/>
  <c r="R258" i="20" s="1"/>
  <c r="AM238" i="20"/>
  <c r="X258" i="20" s="1"/>
  <c r="Q336" i="20"/>
  <c r="B356" i="20" s="1"/>
  <c r="Q337" i="20"/>
  <c r="B357" i="20" s="1"/>
  <c r="AK337" i="20"/>
  <c r="V357" i="20" s="1"/>
  <c r="AH339" i="20"/>
  <c r="S359" i="20" s="1"/>
  <c r="T340" i="20"/>
  <c r="E360" i="20" s="1"/>
  <c r="AJ341" i="20"/>
  <c r="U361" i="20" s="1"/>
  <c r="AM346" i="20"/>
  <c r="X366" i="20" s="1"/>
  <c r="AA348" i="20"/>
  <c r="AG441" i="20"/>
  <c r="R461" i="20" s="1"/>
  <c r="AC442" i="20"/>
  <c r="N462" i="20" s="1"/>
  <c r="AN444" i="20"/>
  <c r="Y464" i="20" s="1"/>
  <c r="AI444" i="20"/>
  <c r="T464" i="20" s="1"/>
  <c r="AB446" i="20"/>
  <c r="M466" i="20" s="1"/>
  <c r="AG451" i="20"/>
  <c r="R471" i="20" s="1"/>
  <c r="AJ452" i="20"/>
  <c r="U472" i="20" s="1"/>
  <c r="AE455" i="20"/>
  <c r="P475" i="20" s="1"/>
  <c r="AF445" i="19"/>
  <c r="Q465" i="19" s="1"/>
  <c r="AJ17" i="20"/>
  <c r="U37" i="20" s="1"/>
  <c r="AJ439" i="20"/>
  <c r="U459" i="20" s="1"/>
  <c r="AK128" i="20"/>
  <c r="V148" i="20" s="1"/>
  <c r="AG450" i="20"/>
  <c r="R470" i="20" s="1"/>
  <c r="AE227" i="20"/>
  <c r="P247" i="20" s="1"/>
  <c r="AD228" i="20"/>
  <c r="O248" i="20" s="1"/>
  <c r="AO238" i="20"/>
  <c r="Z258" i="20" s="1"/>
  <c r="T336" i="20"/>
  <c r="E356" i="20" s="1"/>
  <c r="S337" i="20"/>
  <c r="D357" i="20" s="1"/>
  <c r="AM337" i="20"/>
  <c r="X357" i="20" s="1"/>
  <c r="AJ339" i="20"/>
  <c r="U359" i="20" s="1"/>
  <c r="AN341" i="20"/>
  <c r="Y361" i="20" s="1"/>
  <c r="AK348" i="20"/>
  <c r="AC446" i="20"/>
  <c r="N466" i="20" s="1"/>
  <c r="AJ455" i="20"/>
  <c r="U475" i="20" s="1"/>
  <c r="AK455" i="20"/>
  <c r="V475" i="20" s="1"/>
  <c r="R12" i="20"/>
  <c r="C32" i="20" s="1"/>
  <c r="AJ446" i="20"/>
  <c r="U466" i="20" s="1"/>
  <c r="AM455" i="20"/>
  <c r="X475" i="20" s="1"/>
  <c r="AJ343" i="19"/>
  <c r="U363" i="19" s="1"/>
  <c r="AE342" i="20"/>
  <c r="P362" i="20" s="1"/>
  <c r="S227" i="20"/>
  <c r="D247" i="20" s="1"/>
  <c r="S346" i="20"/>
  <c r="D366" i="20" s="1"/>
  <c r="AN348" i="20"/>
  <c r="AH348" i="20"/>
  <c r="Q446" i="20"/>
  <c r="B466" i="20" s="1"/>
  <c r="AK446" i="20"/>
  <c r="V466" i="20" s="1"/>
  <c r="S452" i="20"/>
  <c r="D472" i="20" s="1"/>
  <c r="T455" i="20"/>
  <c r="E475" i="20" s="1"/>
  <c r="AR455" i="20"/>
  <c r="AC475" i="20" s="1"/>
  <c r="W227" i="20"/>
  <c r="H247" i="20" s="1"/>
  <c r="AR232" i="20"/>
  <c r="AC252" i="20" s="1"/>
  <c r="X341" i="20"/>
  <c r="I361" i="20" s="1"/>
  <c r="U346" i="20"/>
  <c r="F366" i="20" s="1"/>
  <c r="Q348" i="20"/>
  <c r="AJ348" i="20"/>
  <c r="T446" i="20"/>
  <c r="E466" i="20" s="1"/>
  <c r="AN446" i="20"/>
  <c r="Y466" i="20" s="1"/>
  <c r="T452" i="20"/>
  <c r="E472" i="20" s="1"/>
  <c r="U455" i="20"/>
  <c r="F475" i="20" s="1"/>
  <c r="AR234" i="19"/>
  <c r="AC254" i="19" s="1"/>
  <c r="AA454" i="19"/>
  <c r="AF334" i="20"/>
  <c r="Q354" i="20" s="1"/>
  <c r="AG123" i="20"/>
  <c r="R143" i="20" s="1"/>
  <c r="AE131" i="20"/>
  <c r="Y238" i="20"/>
  <c r="J258" i="20" s="1"/>
  <c r="AO336" i="20"/>
  <c r="Z356" i="20" s="1"/>
  <c r="AD336" i="20"/>
  <c r="O356" i="20" s="1"/>
  <c r="AA346" i="20"/>
  <c r="L366" i="20" s="1"/>
  <c r="T348" i="20"/>
  <c r="AQ348" i="20"/>
  <c r="U446" i="20"/>
  <c r="F466" i="20" s="1"/>
  <c r="AB452" i="20"/>
  <c r="M472" i="20" s="1"/>
  <c r="W455" i="20"/>
  <c r="H475" i="20" s="1"/>
  <c r="AI439" i="19"/>
  <c r="T459" i="19" s="1"/>
  <c r="S340" i="19"/>
  <c r="D360" i="19" s="1"/>
  <c r="AQ338" i="19"/>
  <c r="AB358" i="19" s="1"/>
  <c r="AE440" i="20"/>
  <c r="P460" i="20" s="1"/>
  <c r="S231" i="20"/>
  <c r="D251" i="20" s="1"/>
  <c r="AB121" i="20"/>
  <c r="M141" i="20" s="1"/>
  <c r="AI121" i="20"/>
  <c r="T141" i="20" s="1"/>
  <c r="Y121" i="20"/>
  <c r="J141" i="20" s="1"/>
  <c r="AN121" i="20"/>
  <c r="Y141" i="20" s="1"/>
  <c r="AQ121" i="20"/>
  <c r="AB141" i="20" s="1"/>
  <c r="AO121" i="20"/>
  <c r="Z141" i="20" s="1"/>
  <c r="AF240" i="20"/>
  <c r="AN240" i="20"/>
  <c r="AK240" i="20"/>
  <c r="W240" i="20"/>
  <c r="R343" i="20"/>
  <c r="C363" i="20" s="1"/>
  <c r="AM343" i="20"/>
  <c r="X363" i="20" s="1"/>
  <c r="W343" i="20"/>
  <c r="H363" i="20" s="1"/>
  <c r="AQ233" i="20"/>
  <c r="AB253" i="20" s="1"/>
  <c r="S234" i="20"/>
  <c r="D254" i="20" s="1"/>
  <c r="AI234" i="20"/>
  <c r="T254" i="20" s="1"/>
  <c r="AH445" i="20"/>
  <c r="S465" i="20" s="1"/>
  <c r="AO445" i="20"/>
  <c r="Z465" i="20" s="1"/>
  <c r="Q445" i="20"/>
  <c r="B465" i="20" s="1"/>
  <c r="W231" i="20"/>
  <c r="H251" i="20" s="1"/>
  <c r="Q450" i="20"/>
  <c r="B470" i="20" s="1"/>
  <c r="AL450" i="20"/>
  <c r="W470" i="20" s="1"/>
  <c r="U450" i="20"/>
  <c r="F470" i="20" s="1"/>
  <c r="AP450" i="20"/>
  <c r="AA470" i="20" s="1"/>
  <c r="V450" i="20"/>
  <c r="G470" i="20" s="1"/>
  <c r="AR345" i="20"/>
  <c r="AC365" i="20" s="1"/>
  <c r="T345" i="20"/>
  <c r="E365" i="20" s="1"/>
  <c r="U236" i="20"/>
  <c r="F256" i="20" s="1"/>
  <c r="AI236" i="20"/>
  <c r="T256" i="20" s="1"/>
  <c r="Q236" i="20"/>
  <c r="B256" i="20" s="1"/>
  <c r="AB236" i="20"/>
  <c r="M256" i="20" s="1"/>
  <c r="AP236" i="20"/>
  <c r="AA256" i="20" s="1"/>
  <c r="R236" i="20"/>
  <c r="C256" i="20" s="1"/>
  <c r="AC236" i="20"/>
  <c r="N256" i="20" s="1"/>
  <c r="AA128" i="20"/>
  <c r="L148" i="20" s="1"/>
  <c r="AN128" i="20"/>
  <c r="Y148" i="20" s="1"/>
  <c r="AJ128" i="20"/>
  <c r="U148" i="20" s="1"/>
  <c r="Q128" i="20"/>
  <c r="B148" i="20" s="1"/>
  <c r="V334" i="20"/>
  <c r="G354" i="20" s="1"/>
  <c r="AB334" i="20"/>
  <c r="M354" i="20" s="1"/>
  <c r="AQ15" i="20"/>
  <c r="AB35" i="20" s="1"/>
  <c r="AR26" i="20"/>
  <c r="T26" i="20"/>
  <c r="AP20" i="20"/>
  <c r="AA40" i="20" s="1"/>
  <c r="U20" i="20"/>
  <c r="F40" i="20" s="1"/>
  <c r="AC20" i="20"/>
  <c r="N40" i="20" s="1"/>
  <c r="AG20" i="20"/>
  <c r="R40" i="20" s="1"/>
  <c r="AN20" i="20"/>
  <c r="Y40" i="20" s="1"/>
  <c r="AK20" i="20"/>
  <c r="V40" i="20" s="1"/>
  <c r="Q20" i="20"/>
  <c r="B40" i="20" s="1"/>
  <c r="AR20" i="20"/>
  <c r="AC40" i="20" s="1"/>
  <c r="R20" i="20"/>
  <c r="C40" i="20" s="1"/>
  <c r="AP19" i="20"/>
  <c r="AA39" i="20" s="1"/>
  <c r="T17" i="20"/>
  <c r="E37" i="20" s="1"/>
  <c r="AN22" i="20"/>
  <c r="Y42" i="20" s="1"/>
  <c r="AP11" i="20"/>
  <c r="AA31" i="20" s="1"/>
  <c r="R11" i="20"/>
  <c r="C31" i="20" s="1"/>
  <c r="Y12" i="20"/>
  <c r="J32" i="20" s="1"/>
  <c r="Z12" i="20"/>
  <c r="K32" i="20" s="1"/>
  <c r="AB12" i="20"/>
  <c r="M32" i="20" s="1"/>
  <c r="AG12" i="20"/>
  <c r="R32" i="20" s="1"/>
  <c r="AK12" i="20"/>
  <c r="V32" i="20" s="1"/>
  <c r="AO11" i="20"/>
  <c r="Z31" i="20" s="1"/>
  <c r="AK26" i="20"/>
  <c r="T20" i="20"/>
  <c r="E40" i="20" s="1"/>
  <c r="AO20" i="20"/>
  <c r="Z40" i="20" s="1"/>
  <c r="R19" i="20"/>
  <c r="C39" i="20" s="1"/>
  <c r="V19" i="20"/>
  <c r="G39" i="20" s="1"/>
  <c r="Z19" i="20"/>
  <c r="K39" i="20" s="1"/>
  <c r="AH19" i="20"/>
  <c r="S39" i="20" s="1"/>
  <c r="AJ12" i="20"/>
  <c r="U32" i="20" s="1"/>
  <c r="AP12" i="20"/>
  <c r="AA32" i="20" s="1"/>
  <c r="AN12" i="20"/>
  <c r="Y32" i="20" s="1"/>
  <c r="AC12" i="20"/>
  <c r="N32" i="20" s="1"/>
  <c r="Q12" i="20"/>
  <c r="B32" i="20" s="1"/>
  <c r="AA338" i="19"/>
  <c r="L358" i="19" s="1"/>
  <c r="AK338" i="19"/>
  <c r="V358" i="19" s="1"/>
  <c r="X343" i="19"/>
  <c r="I363" i="19" s="1"/>
  <c r="AG343" i="19"/>
  <c r="R363" i="19" s="1"/>
  <c r="AB234" i="19"/>
  <c r="M254" i="19" s="1"/>
  <c r="AK234" i="19"/>
  <c r="V254" i="19" s="1"/>
  <c r="AA445" i="19"/>
  <c r="L465" i="19" s="1"/>
  <c r="AN340" i="19"/>
  <c r="Y360" i="19" s="1"/>
  <c r="AQ340" i="19"/>
  <c r="AB360" i="19" s="1"/>
  <c r="Q340" i="19"/>
  <c r="B360" i="19" s="1"/>
  <c r="AL236" i="19"/>
  <c r="W256" i="19" s="1"/>
  <c r="AJ236" i="19"/>
  <c r="U256" i="19" s="1"/>
  <c r="AO236" i="19"/>
  <c r="Z256" i="19" s="1"/>
  <c r="AR236" i="19"/>
  <c r="AC256" i="19" s="1"/>
  <c r="S439" i="19"/>
  <c r="D459" i="19" s="1"/>
  <c r="AN335" i="19"/>
  <c r="Y355" i="19" s="1"/>
  <c r="AR15" i="19"/>
  <c r="AC35" i="19" s="1"/>
  <c r="AP20" i="19"/>
  <c r="AA40" i="19" s="1"/>
  <c r="R20" i="19"/>
  <c r="C40" i="19" s="1"/>
  <c r="T20" i="19"/>
  <c r="E40" i="19" s="1"/>
  <c r="Z20" i="19"/>
  <c r="K40" i="19" s="1"/>
  <c r="AB20" i="19"/>
  <c r="M40" i="19" s="1"/>
  <c r="AR20" i="19"/>
  <c r="AC40" i="19" s="1"/>
  <c r="AH20" i="19"/>
  <c r="S40" i="19" s="1"/>
  <c r="AQ22" i="19"/>
  <c r="AB42" i="19" s="1"/>
  <c r="AQ26" i="19"/>
  <c r="AJ20" i="19"/>
  <c r="U40" i="19" s="1"/>
  <c r="AN20" i="19"/>
  <c r="Y40" i="19" s="1"/>
  <c r="AM22" i="19"/>
  <c r="X42" i="19" s="1"/>
  <c r="AO22" i="19"/>
  <c r="Z42" i="19" s="1"/>
  <c r="AL22" i="19"/>
  <c r="W42" i="19" s="1"/>
  <c r="R12" i="19"/>
  <c r="C32" i="19" s="1"/>
  <c r="T12" i="19"/>
  <c r="E32" i="19" s="1"/>
  <c r="Z12" i="19"/>
  <c r="K32" i="19" s="1"/>
  <c r="Q11" i="19"/>
  <c r="B31" i="19" s="1"/>
  <c r="AG11" i="19"/>
  <c r="R31" i="19" s="1"/>
  <c r="S11" i="19"/>
  <c r="D31" i="19" s="1"/>
  <c r="Z36" i="20"/>
  <c r="AM15" i="20"/>
  <c r="X35" i="20" s="1"/>
  <c r="AE15" i="20"/>
  <c r="P35" i="20" s="1"/>
  <c r="W15" i="20"/>
  <c r="H35" i="20" s="1"/>
  <c r="AK15" i="20"/>
  <c r="V35" i="20" s="1"/>
  <c r="AC15" i="20"/>
  <c r="N35" i="20" s="1"/>
  <c r="U15" i="20"/>
  <c r="F35" i="20" s="1"/>
  <c r="R15" i="20"/>
  <c r="C35" i="20" s="1"/>
  <c r="AR15" i="20"/>
  <c r="AC35" i="20" s="1"/>
  <c r="AJ15" i="20"/>
  <c r="U35" i="20" s="1"/>
  <c r="AB15" i="20"/>
  <c r="M35" i="20" s="1"/>
  <c r="T15" i="20"/>
  <c r="E35" i="20" s="1"/>
  <c r="AH15" i="20"/>
  <c r="S35" i="20" s="1"/>
  <c r="AP15" i="20"/>
  <c r="AA35" i="20" s="1"/>
  <c r="Z15" i="20"/>
  <c r="K35" i="20" s="1"/>
  <c r="AO15" i="20"/>
  <c r="Z35" i="20" s="1"/>
  <c r="AG15" i="20"/>
  <c r="R35" i="20" s="1"/>
  <c r="Y15" i="20"/>
  <c r="J35" i="20" s="1"/>
  <c r="Q15" i="20"/>
  <c r="B35" i="20" s="1"/>
  <c r="AO13" i="20"/>
  <c r="Z33" i="20" s="1"/>
  <c r="AG13" i="20"/>
  <c r="R33" i="20" s="1"/>
  <c r="Y13" i="20"/>
  <c r="J33" i="20" s="1"/>
  <c r="Q13" i="20"/>
  <c r="B33" i="20" s="1"/>
  <c r="AM13" i="20"/>
  <c r="X33" i="20" s="1"/>
  <c r="AE13" i="20"/>
  <c r="P33" i="20" s="1"/>
  <c r="W13" i="20"/>
  <c r="H33" i="20" s="1"/>
  <c r="AB13" i="20"/>
  <c r="M33" i="20" s="1"/>
  <c r="AL13" i="20"/>
  <c r="W33" i="20" s="1"/>
  <c r="AD13" i="20"/>
  <c r="O33" i="20" s="1"/>
  <c r="V13" i="20"/>
  <c r="G33" i="20" s="1"/>
  <c r="AR13" i="20"/>
  <c r="AC33" i="20" s="1"/>
  <c r="T13" i="20"/>
  <c r="E33" i="20" s="1"/>
  <c r="AK13" i="20"/>
  <c r="V33" i="20" s="1"/>
  <c r="AC13" i="20"/>
  <c r="N33" i="20" s="1"/>
  <c r="U13" i="20"/>
  <c r="F33" i="20" s="1"/>
  <c r="AJ13" i="20"/>
  <c r="U33" i="20" s="1"/>
  <c r="AQ13" i="20"/>
  <c r="AB33" i="20" s="1"/>
  <c r="AI13" i="20"/>
  <c r="T33" i="20" s="1"/>
  <c r="AA13" i="20"/>
  <c r="L33" i="20" s="1"/>
  <c r="S13" i="20"/>
  <c r="D33" i="20" s="1"/>
  <c r="AP13" i="20"/>
  <c r="AA33" i="20" s="1"/>
  <c r="AH13" i="20"/>
  <c r="S33" i="20" s="1"/>
  <c r="Z13" i="20"/>
  <c r="K33" i="20" s="1"/>
  <c r="R13" i="20"/>
  <c r="C33" i="20" s="1"/>
  <c r="AN14" i="20"/>
  <c r="Y34" i="20" s="1"/>
  <c r="AM24" i="20"/>
  <c r="X44" i="20" s="1"/>
  <c r="AE24" i="20"/>
  <c r="P44" i="20" s="1"/>
  <c r="W24" i="20"/>
  <c r="H44" i="20" s="1"/>
  <c r="AK24" i="20"/>
  <c r="V44" i="20" s="1"/>
  <c r="AC24" i="20"/>
  <c r="N44" i="20" s="1"/>
  <c r="U24" i="20"/>
  <c r="F44" i="20" s="1"/>
  <c r="AR24" i="20"/>
  <c r="AC44" i="20" s="1"/>
  <c r="AJ24" i="20"/>
  <c r="U44" i="20" s="1"/>
  <c r="AB24" i="20"/>
  <c r="M44" i="20" s="1"/>
  <c r="T24" i="20"/>
  <c r="E44" i="20" s="1"/>
  <c r="R24" i="20"/>
  <c r="C44" i="20" s="1"/>
  <c r="AP24" i="20"/>
  <c r="AA44" i="20" s="1"/>
  <c r="Z24" i="20"/>
  <c r="K44" i="20" s="1"/>
  <c r="AH24" i="20"/>
  <c r="S44" i="20" s="1"/>
  <c r="AO24" i="20"/>
  <c r="Z44" i="20" s="1"/>
  <c r="AG24" i="20"/>
  <c r="R44" i="20" s="1"/>
  <c r="Y24" i="20"/>
  <c r="J44" i="20" s="1"/>
  <c r="Q24" i="20"/>
  <c r="B44" i="20" s="1"/>
  <c r="A79" i="20"/>
  <c r="A67" i="20"/>
  <c r="AF13" i="20"/>
  <c r="Q33" i="20" s="1"/>
  <c r="AD15" i="20"/>
  <c r="O35" i="20" s="1"/>
  <c r="AO22" i="20"/>
  <c r="Z42" i="20" s="1"/>
  <c r="AG22" i="20"/>
  <c r="R42" i="20" s="1"/>
  <c r="Y22" i="20"/>
  <c r="J42" i="20" s="1"/>
  <c r="Q22" i="20"/>
  <c r="B42" i="20" s="1"/>
  <c r="AM22" i="20"/>
  <c r="X42" i="20" s="1"/>
  <c r="AE22" i="20"/>
  <c r="P42" i="20" s="1"/>
  <c r="W22" i="20"/>
  <c r="H42" i="20" s="1"/>
  <c r="AJ22" i="20"/>
  <c r="U42" i="20" s="1"/>
  <c r="AL22" i="20"/>
  <c r="W42" i="20" s="1"/>
  <c r="AD22" i="20"/>
  <c r="O42" i="20" s="1"/>
  <c r="V22" i="20"/>
  <c r="G42" i="20" s="1"/>
  <c r="AB22" i="20"/>
  <c r="M42" i="20" s="1"/>
  <c r="AK22" i="20"/>
  <c r="V42" i="20" s="1"/>
  <c r="AC22" i="20"/>
  <c r="N42" i="20" s="1"/>
  <c r="U22" i="20"/>
  <c r="F42" i="20" s="1"/>
  <c r="T22" i="20"/>
  <c r="E42" i="20" s="1"/>
  <c r="AR22" i="20"/>
  <c r="AC42" i="20" s="1"/>
  <c r="AQ22" i="20"/>
  <c r="AB42" i="20" s="1"/>
  <c r="AI22" i="20"/>
  <c r="T42" i="20" s="1"/>
  <c r="AA22" i="20"/>
  <c r="L42" i="20" s="1"/>
  <c r="S22" i="20"/>
  <c r="D42" i="20" s="1"/>
  <c r="AP22" i="20"/>
  <c r="AA42" i="20" s="1"/>
  <c r="AH22" i="20"/>
  <c r="S42" i="20" s="1"/>
  <c r="Z22" i="20"/>
  <c r="K42" i="20" s="1"/>
  <c r="R22" i="20"/>
  <c r="C42" i="20" s="1"/>
  <c r="AN23" i="20"/>
  <c r="Y43" i="20" s="1"/>
  <c r="AQ24" i="20"/>
  <c r="AB44" i="20" s="1"/>
  <c r="A77" i="20"/>
  <c r="A65" i="20"/>
  <c r="S14" i="20"/>
  <c r="D34" i="20" s="1"/>
  <c r="AQ14" i="20"/>
  <c r="AB34" i="20" s="1"/>
  <c r="AI14" i="20"/>
  <c r="T34" i="20" s="1"/>
  <c r="AA14" i="20"/>
  <c r="L34" i="20" s="1"/>
  <c r="AP14" i="20"/>
  <c r="AA34" i="20" s="1"/>
  <c r="AH14" i="20"/>
  <c r="S34" i="20" s="1"/>
  <c r="Z14" i="20"/>
  <c r="K34" i="20" s="1"/>
  <c r="R14" i="20"/>
  <c r="C34" i="20" s="1"/>
  <c r="W14" i="20"/>
  <c r="H34" i="20" s="1"/>
  <c r="AN13" i="20"/>
  <c r="Y33" i="20" s="1"/>
  <c r="AM14" i="20"/>
  <c r="X34" i="20" s="1"/>
  <c r="AL15" i="20"/>
  <c r="W35" i="20" s="1"/>
  <c r="X22" i="20"/>
  <c r="I42" i="20" s="1"/>
  <c r="V24" i="20"/>
  <c r="G44" i="20" s="1"/>
  <c r="AI23" i="20"/>
  <c r="T43" i="20" s="1"/>
  <c r="AA23" i="20"/>
  <c r="L43" i="20" s="1"/>
  <c r="AQ23" i="20"/>
  <c r="AB43" i="20" s="1"/>
  <c r="S23" i="20"/>
  <c r="D43" i="20" s="1"/>
  <c r="AP23" i="20"/>
  <c r="AA43" i="20" s="1"/>
  <c r="AH23" i="20"/>
  <c r="S43" i="20" s="1"/>
  <c r="Z23" i="20"/>
  <c r="K43" i="20" s="1"/>
  <c r="R23" i="20"/>
  <c r="C43" i="20" s="1"/>
  <c r="AF22" i="20"/>
  <c r="Q42" i="20" s="1"/>
  <c r="AE23" i="20"/>
  <c r="P43" i="20" s="1"/>
  <c r="AD24" i="20"/>
  <c r="O44" i="20" s="1"/>
  <c r="A81" i="20"/>
  <c r="A69" i="20"/>
  <c r="T11" i="20"/>
  <c r="E31" i="20" s="1"/>
  <c r="AB11" i="20"/>
  <c r="M31" i="20" s="1"/>
  <c r="AJ11" i="20"/>
  <c r="U31" i="20" s="1"/>
  <c r="AR11" i="20"/>
  <c r="AC31" i="20" s="1"/>
  <c r="S12" i="20"/>
  <c r="D32" i="20" s="1"/>
  <c r="AA12" i="20"/>
  <c r="L32" i="20" s="1"/>
  <c r="AI12" i="20"/>
  <c r="T32" i="20" s="1"/>
  <c r="AQ12" i="20"/>
  <c r="AB32" i="20" s="1"/>
  <c r="Q14" i="20"/>
  <c r="B34" i="20" s="1"/>
  <c r="Y14" i="20"/>
  <c r="J34" i="20" s="1"/>
  <c r="AG14" i="20"/>
  <c r="R34" i="20" s="1"/>
  <c r="AO14" i="20"/>
  <c r="Z34" i="20" s="1"/>
  <c r="X15" i="20"/>
  <c r="I35" i="20" s="1"/>
  <c r="AF15" i="20"/>
  <c r="Q35" i="20" s="1"/>
  <c r="AN15" i="20"/>
  <c r="Y35" i="20" s="1"/>
  <c r="W16" i="20"/>
  <c r="H36" i="20" s="1"/>
  <c r="AE16" i="20"/>
  <c r="P36" i="20" s="1"/>
  <c r="AM16" i="20"/>
  <c r="X36" i="20" s="1"/>
  <c r="V17" i="20"/>
  <c r="G37" i="20" s="1"/>
  <c r="AD17" i="20"/>
  <c r="O37" i="20" s="1"/>
  <c r="AL17" i="20"/>
  <c r="W37" i="20" s="1"/>
  <c r="U18" i="20"/>
  <c r="F38" i="20" s="1"/>
  <c r="AC18" i="20"/>
  <c r="N38" i="20" s="1"/>
  <c r="AK18" i="20"/>
  <c r="V38" i="20" s="1"/>
  <c r="T19" i="20"/>
  <c r="E39" i="20" s="1"/>
  <c r="AB19" i="20"/>
  <c r="M39" i="20" s="1"/>
  <c r="AJ19" i="20"/>
  <c r="U39" i="20" s="1"/>
  <c r="AR19" i="20"/>
  <c r="AC39" i="20" s="1"/>
  <c r="S20" i="20"/>
  <c r="D40" i="20" s="1"/>
  <c r="AA20" i="20"/>
  <c r="L40" i="20" s="1"/>
  <c r="AI20" i="20"/>
  <c r="T40" i="20" s="1"/>
  <c r="AQ20" i="20"/>
  <c r="AB40" i="20" s="1"/>
  <c r="Q23" i="20"/>
  <c r="B43" i="20" s="1"/>
  <c r="Y23" i="20"/>
  <c r="J43" i="20" s="1"/>
  <c r="AG23" i="20"/>
  <c r="R43" i="20" s="1"/>
  <c r="AO23" i="20"/>
  <c r="Z43" i="20" s="1"/>
  <c r="X24" i="20"/>
  <c r="I44" i="20" s="1"/>
  <c r="AF24" i="20"/>
  <c r="Q44" i="20" s="1"/>
  <c r="AN24" i="20"/>
  <c r="Y44" i="20" s="1"/>
  <c r="W25" i="20"/>
  <c r="AE25" i="20"/>
  <c r="AM25" i="20"/>
  <c r="V26" i="20"/>
  <c r="AD26" i="20"/>
  <c r="AL26" i="20"/>
  <c r="U27" i="20"/>
  <c r="F47" i="20" s="1"/>
  <c r="AC27" i="20"/>
  <c r="N47" i="20" s="1"/>
  <c r="AK27" i="20"/>
  <c r="V47" i="20" s="1"/>
  <c r="Y122" i="20"/>
  <c r="J142" i="20" s="1"/>
  <c r="U11" i="20"/>
  <c r="F31" i="20" s="1"/>
  <c r="AC11" i="20"/>
  <c r="N31" i="20" s="1"/>
  <c r="AK11" i="20"/>
  <c r="V31" i="20" s="1"/>
  <c r="X16" i="20"/>
  <c r="I36" i="20" s="1"/>
  <c r="AF16" i="20"/>
  <c r="Q36" i="20" s="1"/>
  <c r="AN16" i="20"/>
  <c r="Y36" i="20" s="1"/>
  <c r="W17" i="20"/>
  <c r="H37" i="20" s="1"/>
  <c r="AE17" i="20"/>
  <c r="P37" i="20" s="1"/>
  <c r="AM17" i="20"/>
  <c r="X37" i="20" s="1"/>
  <c r="V18" i="20"/>
  <c r="G38" i="20" s="1"/>
  <c r="AD18" i="20"/>
  <c r="O38" i="20" s="1"/>
  <c r="AL18" i="20"/>
  <c r="W38" i="20" s="1"/>
  <c r="U19" i="20"/>
  <c r="F39" i="20" s="1"/>
  <c r="AC19" i="20"/>
  <c r="N39" i="20" s="1"/>
  <c r="AK19" i="20"/>
  <c r="V39" i="20" s="1"/>
  <c r="X25" i="20"/>
  <c r="AF25" i="20"/>
  <c r="AN25" i="20"/>
  <c r="W26" i="20"/>
  <c r="AE26" i="20"/>
  <c r="AM26" i="20"/>
  <c r="V27" i="20"/>
  <c r="G47" i="20" s="1"/>
  <c r="AD27" i="20"/>
  <c r="O47" i="20" s="1"/>
  <c r="AL27" i="20"/>
  <c r="W47" i="20" s="1"/>
  <c r="E32" i="20"/>
  <c r="A78" i="20"/>
  <c r="A66" i="20"/>
  <c r="G137" i="20"/>
  <c r="V137" i="20"/>
  <c r="AF26" i="20"/>
  <c r="AM27" i="20"/>
  <c r="X47" i="20" s="1"/>
  <c r="V11" i="20"/>
  <c r="G31" i="20" s="1"/>
  <c r="AD11" i="20"/>
  <c r="O31" i="20" s="1"/>
  <c r="AL11" i="20"/>
  <c r="W31" i="20" s="1"/>
  <c r="AF17" i="20"/>
  <c r="Q37" i="20" s="1"/>
  <c r="AN17" i="20"/>
  <c r="Y37" i="20" s="1"/>
  <c r="W18" i="20"/>
  <c r="H38" i="20" s="1"/>
  <c r="AD19" i="20"/>
  <c r="O39" i="20" s="1"/>
  <c r="AL19" i="20"/>
  <c r="W39" i="20" s="1"/>
  <c r="X26" i="20"/>
  <c r="AN26" i="20"/>
  <c r="W27" i="20"/>
  <c r="H47" i="20" s="1"/>
  <c r="W11" i="20"/>
  <c r="H31" i="20" s="1"/>
  <c r="AE11" i="20"/>
  <c r="P31" i="20" s="1"/>
  <c r="AM11" i="20"/>
  <c r="X31" i="20" s="1"/>
  <c r="V12" i="20"/>
  <c r="G32" i="20" s="1"/>
  <c r="AD12" i="20"/>
  <c r="O32" i="20" s="1"/>
  <c r="AL12" i="20"/>
  <c r="W32" i="20" s="1"/>
  <c r="T14" i="20"/>
  <c r="E34" i="20" s="1"/>
  <c r="AB14" i="20"/>
  <c r="M34" i="20" s="1"/>
  <c r="AJ14" i="20"/>
  <c r="U34" i="20" s="1"/>
  <c r="AR14" i="20"/>
  <c r="AC34" i="20" s="1"/>
  <c r="S15" i="20"/>
  <c r="D35" i="20" s="1"/>
  <c r="AA15" i="20"/>
  <c r="L35" i="20" s="1"/>
  <c r="AI15" i="20"/>
  <c r="T35" i="20" s="1"/>
  <c r="R16" i="20"/>
  <c r="C36" i="20" s="1"/>
  <c r="Z16" i="20"/>
  <c r="K36" i="20" s="1"/>
  <c r="AH16" i="20"/>
  <c r="S36" i="20" s="1"/>
  <c r="AP16" i="20"/>
  <c r="AA36" i="20" s="1"/>
  <c r="Q17" i="20"/>
  <c r="B37" i="20" s="1"/>
  <c r="Y17" i="20"/>
  <c r="J37" i="20" s="1"/>
  <c r="AG17" i="20"/>
  <c r="R37" i="20" s="1"/>
  <c r="AO17" i="20"/>
  <c r="Z37" i="20" s="1"/>
  <c r="X18" i="20"/>
  <c r="I38" i="20" s="1"/>
  <c r="AF18" i="20"/>
  <c r="Q38" i="20" s="1"/>
  <c r="W19" i="20"/>
  <c r="H39" i="20" s="1"/>
  <c r="AE19" i="20"/>
  <c r="P39" i="20" s="1"/>
  <c r="AM19" i="20"/>
  <c r="X39" i="20" s="1"/>
  <c r="V20" i="20"/>
  <c r="G40" i="20" s="1"/>
  <c r="AD20" i="20"/>
  <c r="O40" i="20" s="1"/>
  <c r="AL20" i="20"/>
  <c r="W40" i="20" s="1"/>
  <c r="T23" i="20"/>
  <c r="E43" i="20" s="1"/>
  <c r="AB23" i="20"/>
  <c r="M43" i="20" s="1"/>
  <c r="AJ23" i="20"/>
  <c r="U43" i="20" s="1"/>
  <c r="AR23" i="20"/>
  <c r="AC43" i="20" s="1"/>
  <c r="S24" i="20"/>
  <c r="D44" i="20" s="1"/>
  <c r="AA24" i="20"/>
  <c r="L44" i="20" s="1"/>
  <c r="AI24" i="20"/>
  <c r="T44" i="20" s="1"/>
  <c r="R25" i="20"/>
  <c r="Z25" i="20"/>
  <c r="AH25" i="20"/>
  <c r="AP25" i="20"/>
  <c r="Q26" i="20"/>
  <c r="Y26" i="20"/>
  <c r="AG26" i="20"/>
  <c r="AO26" i="20"/>
  <c r="X27" i="20"/>
  <c r="I47" i="20" s="1"/>
  <c r="AF27" i="20"/>
  <c r="Q47" i="20" s="1"/>
  <c r="A80" i="20"/>
  <c r="X17" i="20"/>
  <c r="I37" i="20" s="1"/>
  <c r="X11" i="20"/>
  <c r="I31" i="20" s="1"/>
  <c r="AF11" i="20"/>
  <c r="Q31" i="20" s="1"/>
  <c r="AN11" i="20"/>
  <c r="Y31" i="20" s="1"/>
  <c r="W12" i="20"/>
  <c r="H32" i="20" s="1"/>
  <c r="AE12" i="20"/>
  <c r="P32" i="20" s="1"/>
  <c r="AM12" i="20"/>
  <c r="X32" i="20" s="1"/>
  <c r="U14" i="20"/>
  <c r="F34" i="20" s="1"/>
  <c r="AC14" i="20"/>
  <c r="N34" i="20" s="1"/>
  <c r="AK14" i="20"/>
  <c r="V34" i="20" s="1"/>
  <c r="S16" i="20"/>
  <c r="D36" i="20" s="1"/>
  <c r="AA16" i="20"/>
  <c r="L36" i="20" s="1"/>
  <c r="AI16" i="20"/>
  <c r="T36" i="20" s="1"/>
  <c r="AQ16" i="20"/>
  <c r="AB36" i="20" s="1"/>
  <c r="R17" i="20"/>
  <c r="C37" i="20" s="1"/>
  <c r="Z17" i="20"/>
  <c r="K37" i="20" s="1"/>
  <c r="AH17" i="20"/>
  <c r="S37" i="20" s="1"/>
  <c r="AP17" i="20"/>
  <c r="AA37" i="20" s="1"/>
  <c r="Q18" i="20"/>
  <c r="B38" i="20" s="1"/>
  <c r="Y18" i="20"/>
  <c r="J38" i="20" s="1"/>
  <c r="AG18" i="20"/>
  <c r="R38" i="20" s="1"/>
  <c r="AO18" i="20"/>
  <c r="Z38" i="20" s="1"/>
  <c r="X19" i="20"/>
  <c r="I39" i="20" s="1"/>
  <c r="AF19" i="20"/>
  <c r="Q39" i="20" s="1"/>
  <c r="AN19" i="20"/>
  <c r="Y39" i="20" s="1"/>
  <c r="W20" i="20"/>
  <c r="H40" i="20" s="1"/>
  <c r="AE20" i="20"/>
  <c r="P40" i="20" s="1"/>
  <c r="AM20" i="20"/>
  <c r="X40" i="20" s="1"/>
  <c r="U23" i="20"/>
  <c r="F43" i="20" s="1"/>
  <c r="AC23" i="20"/>
  <c r="N43" i="20" s="1"/>
  <c r="AK23" i="20"/>
  <c r="V43" i="20" s="1"/>
  <c r="S25" i="20"/>
  <c r="AA25" i="20"/>
  <c r="AI25" i="20"/>
  <c r="AQ25" i="20"/>
  <c r="R26" i="20"/>
  <c r="Z26" i="20"/>
  <c r="AH26" i="20"/>
  <c r="AP26" i="20"/>
  <c r="Q27" i="20"/>
  <c r="B47" i="20" s="1"/>
  <c r="Y27" i="20"/>
  <c r="J47" i="20" s="1"/>
  <c r="AG27" i="20"/>
  <c r="R47" i="20" s="1"/>
  <c r="AO27" i="20"/>
  <c r="Z47" i="20" s="1"/>
  <c r="Q11" i="20"/>
  <c r="B31" i="20" s="1"/>
  <c r="Y11" i="20"/>
  <c r="J31" i="20" s="1"/>
  <c r="AG11" i="20"/>
  <c r="R31" i="20" s="1"/>
  <c r="X12" i="20"/>
  <c r="I32" i="20" s="1"/>
  <c r="AF12" i="20"/>
  <c r="Q32" i="20" s="1"/>
  <c r="V14" i="20"/>
  <c r="G34" i="20" s="1"/>
  <c r="AD14" i="20"/>
  <c r="O34" i="20" s="1"/>
  <c r="AL14" i="20"/>
  <c r="W34" i="20" s="1"/>
  <c r="T16" i="20"/>
  <c r="E36" i="20" s="1"/>
  <c r="AB16" i="20"/>
  <c r="M36" i="20" s="1"/>
  <c r="AJ16" i="20"/>
  <c r="U36" i="20" s="1"/>
  <c r="AR16" i="20"/>
  <c r="AC36" i="20" s="1"/>
  <c r="S17" i="20"/>
  <c r="D37" i="20" s="1"/>
  <c r="AA17" i="20"/>
  <c r="L37" i="20" s="1"/>
  <c r="AI17" i="20"/>
  <c r="T37" i="20" s="1"/>
  <c r="AQ17" i="20"/>
  <c r="AB37" i="20" s="1"/>
  <c r="R18" i="20"/>
  <c r="C38" i="20" s="1"/>
  <c r="Z18" i="20"/>
  <c r="K38" i="20" s="1"/>
  <c r="AH18" i="20"/>
  <c r="S38" i="20" s="1"/>
  <c r="AP18" i="20"/>
  <c r="AA38" i="20" s="1"/>
  <c r="Q19" i="20"/>
  <c r="B39" i="20" s="1"/>
  <c r="Y19" i="20"/>
  <c r="J39" i="20" s="1"/>
  <c r="AG19" i="20"/>
  <c r="R39" i="20" s="1"/>
  <c r="X20" i="20"/>
  <c r="I40" i="20" s="1"/>
  <c r="AF20" i="20"/>
  <c r="Q40" i="20" s="1"/>
  <c r="V23" i="20"/>
  <c r="G43" i="20" s="1"/>
  <c r="AD23" i="20"/>
  <c r="O43" i="20" s="1"/>
  <c r="AL23" i="20"/>
  <c r="W43" i="20" s="1"/>
  <c r="T25" i="20"/>
  <c r="AB25" i="20"/>
  <c r="AJ25" i="20"/>
  <c r="AR25" i="20"/>
  <c r="S26" i="20"/>
  <c r="AA26" i="20"/>
  <c r="AI26" i="20"/>
  <c r="AQ26" i="20"/>
  <c r="R27" i="20"/>
  <c r="C47" i="20" s="1"/>
  <c r="Z27" i="20"/>
  <c r="K47" i="20" s="1"/>
  <c r="AH27" i="20"/>
  <c r="S47" i="20" s="1"/>
  <c r="AP27" i="20"/>
  <c r="AA47" i="20" s="1"/>
  <c r="A63" i="20"/>
  <c r="A75" i="20"/>
  <c r="S11" i="20"/>
  <c r="D31" i="20" s="1"/>
  <c r="AA11" i="20"/>
  <c r="L31" i="20" s="1"/>
  <c r="AI11" i="20"/>
  <c r="T31" i="20" s="1"/>
  <c r="AH12" i="20"/>
  <c r="S32" i="20" s="1"/>
  <c r="X14" i="20"/>
  <c r="I34" i="20" s="1"/>
  <c r="AF14" i="20"/>
  <c r="Q34" i="20" s="1"/>
  <c r="V16" i="20"/>
  <c r="G36" i="20" s="1"/>
  <c r="AD16" i="20"/>
  <c r="O36" i="20" s="1"/>
  <c r="U17" i="20"/>
  <c r="F37" i="20" s="1"/>
  <c r="AC17" i="20"/>
  <c r="N37" i="20" s="1"/>
  <c r="T18" i="20"/>
  <c r="E38" i="20" s="1"/>
  <c r="AB18" i="20"/>
  <c r="M38" i="20" s="1"/>
  <c r="AJ18" i="20"/>
  <c r="U38" i="20" s="1"/>
  <c r="S19" i="20"/>
  <c r="D39" i="20" s="1"/>
  <c r="AA19" i="20"/>
  <c r="L39" i="20" s="1"/>
  <c r="AI19" i="20"/>
  <c r="T39" i="20" s="1"/>
  <c r="Z20" i="20"/>
  <c r="K40" i="20" s="1"/>
  <c r="AH20" i="20"/>
  <c r="S40" i="20" s="1"/>
  <c r="X23" i="20"/>
  <c r="I43" i="20" s="1"/>
  <c r="AF23" i="20"/>
  <c r="Q43" i="20" s="1"/>
  <c r="V25" i="20"/>
  <c r="AD25" i="20"/>
  <c r="U26" i="20"/>
  <c r="AC26" i="20"/>
  <c r="T27" i="20"/>
  <c r="E47" i="20" s="1"/>
  <c r="AB27" i="20"/>
  <c r="M47" i="20" s="1"/>
  <c r="AJ27" i="20"/>
  <c r="U47" i="20" s="1"/>
  <c r="A64" i="20"/>
  <c r="L139" i="20"/>
  <c r="AK122" i="20"/>
  <c r="V142" i="20" s="1"/>
  <c r="AC122" i="20"/>
  <c r="N142" i="20" s="1"/>
  <c r="U122" i="20"/>
  <c r="F142" i="20" s="1"/>
  <c r="AR122" i="20"/>
  <c r="AC142" i="20" s="1"/>
  <c r="AJ122" i="20"/>
  <c r="U142" i="20" s="1"/>
  <c r="AB122" i="20"/>
  <c r="M142" i="20" s="1"/>
  <c r="T122" i="20"/>
  <c r="E142" i="20" s="1"/>
  <c r="AH122" i="20"/>
  <c r="S142" i="20" s="1"/>
  <c r="X122" i="20"/>
  <c r="I142" i="20" s="1"/>
  <c r="AQ122" i="20"/>
  <c r="AB142" i="20" s="1"/>
  <c r="AG122" i="20"/>
  <c r="R142" i="20" s="1"/>
  <c r="W122" i="20"/>
  <c r="H142" i="20" s="1"/>
  <c r="AP122" i="20"/>
  <c r="AA142" i="20" s="1"/>
  <c r="AF122" i="20"/>
  <c r="Q142" i="20" s="1"/>
  <c r="V122" i="20"/>
  <c r="G142" i="20" s="1"/>
  <c r="AN122" i="20"/>
  <c r="Y142" i="20" s="1"/>
  <c r="AD122" i="20"/>
  <c r="O142" i="20" s="1"/>
  <c r="R122" i="20"/>
  <c r="C142" i="20" s="1"/>
  <c r="AM122" i="20"/>
  <c r="X142" i="20" s="1"/>
  <c r="AA122" i="20"/>
  <c r="L142" i="20" s="1"/>
  <c r="Q122" i="20"/>
  <c r="B142" i="20" s="1"/>
  <c r="AL122" i="20"/>
  <c r="W142" i="20" s="1"/>
  <c r="AE122" i="20"/>
  <c r="P142" i="20" s="1"/>
  <c r="Z122" i="20"/>
  <c r="K142" i="20" s="1"/>
  <c r="S122" i="20"/>
  <c r="D142" i="20" s="1"/>
  <c r="AO122" i="20"/>
  <c r="Z142" i="20" s="1"/>
  <c r="AA117" i="20"/>
  <c r="L137" i="20" s="1"/>
  <c r="AH121" i="20"/>
  <c r="S141" i="20" s="1"/>
  <c r="X123" i="20"/>
  <c r="I143" i="20" s="1"/>
  <c r="AI131" i="20"/>
  <c r="AQ133" i="20"/>
  <c r="AB153" i="20" s="1"/>
  <c r="AI133" i="20"/>
  <c r="T153" i="20" s="1"/>
  <c r="AA133" i="20"/>
  <c r="L153" i="20" s="1"/>
  <c r="S133" i="20"/>
  <c r="D153" i="20" s="1"/>
  <c r="AP133" i="20"/>
  <c r="AA153" i="20" s="1"/>
  <c r="AH133" i="20"/>
  <c r="S153" i="20" s="1"/>
  <c r="Z133" i="20"/>
  <c r="K153" i="20" s="1"/>
  <c r="R133" i="20"/>
  <c r="C153" i="20" s="1"/>
  <c r="AG133" i="20"/>
  <c r="R153" i="20" s="1"/>
  <c r="W133" i="20"/>
  <c r="H153" i="20" s="1"/>
  <c r="AO133" i="20"/>
  <c r="Z153" i="20" s="1"/>
  <c r="AE133" i="20"/>
  <c r="P153" i="20" s="1"/>
  <c r="U133" i="20"/>
  <c r="F153" i="20" s="1"/>
  <c r="AN133" i="20"/>
  <c r="Y153" i="20" s="1"/>
  <c r="AD133" i="20"/>
  <c r="O153" i="20" s="1"/>
  <c r="T133" i="20"/>
  <c r="E153" i="20" s="1"/>
  <c r="AM133" i="20"/>
  <c r="X153" i="20" s="1"/>
  <c r="AC133" i="20"/>
  <c r="N153" i="20" s="1"/>
  <c r="Q133" i="20"/>
  <c r="B153" i="20" s="1"/>
  <c r="AK133" i="20"/>
  <c r="V153" i="20" s="1"/>
  <c r="Y133" i="20"/>
  <c r="J153" i="20" s="1"/>
  <c r="AJ133" i="20"/>
  <c r="U153" i="20" s="1"/>
  <c r="X133" i="20"/>
  <c r="I153" i="20" s="1"/>
  <c r="AQ124" i="20"/>
  <c r="AB144" i="20" s="1"/>
  <c r="AI124" i="20"/>
  <c r="T144" i="20" s="1"/>
  <c r="AA124" i="20"/>
  <c r="L144" i="20" s="1"/>
  <c r="S124" i="20"/>
  <c r="D144" i="20" s="1"/>
  <c r="AP124" i="20"/>
  <c r="AA144" i="20" s="1"/>
  <c r="AH124" i="20"/>
  <c r="S144" i="20" s="1"/>
  <c r="Z124" i="20"/>
  <c r="K144" i="20" s="1"/>
  <c r="R124" i="20"/>
  <c r="C144" i="20" s="1"/>
  <c r="AG124" i="20"/>
  <c r="R144" i="20" s="1"/>
  <c r="AO124" i="20"/>
  <c r="Z144" i="20" s="1"/>
  <c r="AE124" i="20"/>
  <c r="P144" i="20" s="1"/>
  <c r="U124" i="20"/>
  <c r="F144" i="20" s="1"/>
  <c r="AN124" i="20"/>
  <c r="Y144" i="20" s="1"/>
  <c r="AD124" i="20"/>
  <c r="O144" i="20" s="1"/>
  <c r="T124" i="20"/>
  <c r="E144" i="20" s="1"/>
  <c r="AM124" i="20"/>
  <c r="X144" i="20" s="1"/>
  <c r="AC124" i="20"/>
  <c r="N144" i="20" s="1"/>
  <c r="Q124" i="20"/>
  <c r="B144" i="20" s="1"/>
  <c r="AK124" i="20"/>
  <c r="V144" i="20" s="1"/>
  <c r="Y124" i="20"/>
  <c r="J144" i="20" s="1"/>
  <c r="AJ124" i="20"/>
  <c r="U144" i="20" s="1"/>
  <c r="X124" i="20"/>
  <c r="I144" i="20" s="1"/>
  <c r="AO131" i="20"/>
  <c r="AL118" i="20"/>
  <c r="W138" i="20" s="1"/>
  <c r="AB118" i="20"/>
  <c r="M138" i="20" s="1"/>
  <c r="R118" i="20"/>
  <c r="C138" i="20" s="1"/>
  <c r="AK118" i="20"/>
  <c r="V138" i="20" s="1"/>
  <c r="AA118" i="20"/>
  <c r="L138" i="20" s="1"/>
  <c r="AR118" i="20"/>
  <c r="AC138" i="20" s="1"/>
  <c r="AH118" i="20"/>
  <c r="S138" i="20" s="1"/>
  <c r="V118" i="20"/>
  <c r="G138" i="20" s="1"/>
  <c r="AQ118" i="20"/>
  <c r="AB138" i="20" s="1"/>
  <c r="AE118" i="20"/>
  <c r="P138" i="20" s="1"/>
  <c r="U118" i="20"/>
  <c r="F138" i="20" s="1"/>
  <c r="AD118" i="20"/>
  <c r="O138" i="20" s="1"/>
  <c r="V124" i="20"/>
  <c r="G144" i="20" s="1"/>
  <c r="A182" i="20"/>
  <c r="A170" i="20"/>
  <c r="A186" i="20"/>
  <c r="A174" i="20"/>
  <c r="AO123" i="20"/>
  <c r="Z143" i="20" s="1"/>
  <c r="AE123" i="20"/>
  <c r="P143" i="20" s="1"/>
  <c r="U123" i="20"/>
  <c r="F143" i="20" s="1"/>
  <c r="AN123" i="20"/>
  <c r="Y143" i="20" s="1"/>
  <c r="AD123" i="20"/>
  <c r="O143" i="20" s="1"/>
  <c r="R123" i="20"/>
  <c r="C143" i="20" s="1"/>
  <c r="AK123" i="20"/>
  <c r="V143" i="20" s="1"/>
  <c r="Y123" i="20"/>
  <c r="J143" i="20" s="1"/>
  <c r="AH123" i="20"/>
  <c r="S143" i="20" s="1"/>
  <c r="W124" i="20"/>
  <c r="H144" i="20" s="1"/>
  <c r="AR125" i="20"/>
  <c r="AC145" i="20" s="1"/>
  <c r="AF125" i="20"/>
  <c r="Q145" i="20" s="1"/>
  <c r="V125" i="20"/>
  <c r="G145" i="20" s="1"/>
  <c r="AJ118" i="20"/>
  <c r="U138" i="20" s="1"/>
  <c r="AM123" i="20"/>
  <c r="X143" i="20" s="1"/>
  <c r="AB124" i="20"/>
  <c r="M144" i="20" s="1"/>
  <c r="AJ125" i="20"/>
  <c r="U145" i="20" s="1"/>
  <c r="Q126" i="20"/>
  <c r="B146" i="20" s="1"/>
  <c r="AP126" i="20"/>
  <c r="AA146" i="20" s="1"/>
  <c r="AD126" i="20"/>
  <c r="O146" i="20" s="1"/>
  <c r="T126" i="20"/>
  <c r="E146" i="20" s="1"/>
  <c r="AL126" i="20"/>
  <c r="W146" i="20" s="1"/>
  <c r="AB126" i="20"/>
  <c r="M146" i="20" s="1"/>
  <c r="R126" i="20"/>
  <c r="C146" i="20" s="1"/>
  <c r="AK126" i="20"/>
  <c r="V146" i="20" s="1"/>
  <c r="AA126" i="20"/>
  <c r="L146" i="20" s="1"/>
  <c r="AJ126" i="20"/>
  <c r="U146" i="20" s="1"/>
  <c r="Z126" i="20"/>
  <c r="K146" i="20" s="1"/>
  <c r="AR126" i="20"/>
  <c r="AC146" i="20" s="1"/>
  <c r="AH126" i="20"/>
  <c r="S146" i="20" s="1"/>
  <c r="V126" i="20"/>
  <c r="G146" i="20" s="1"/>
  <c r="AQ126" i="20"/>
  <c r="AB146" i="20" s="1"/>
  <c r="AE126" i="20"/>
  <c r="P146" i="20" s="1"/>
  <c r="U126" i="20"/>
  <c r="F146" i="20" s="1"/>
  <c r="AH131" i="20"/>
  <c r="AL133" i="20"/>
  <c r="W153" i="20" s="1"/>
  <c r="AP117" i="20"/>
  <c r="AA137" i="20" s="1"/>
  <c r="AH117" i="20"/>
  <c r="S137" i="20" s="1"/>
  <c r="Z117" i="20"/>
  <c r="K137" i="20" s="1"/>
  <c r="R117" i="20"/>
  <c r="C137" i="20" s="1"/>
  <c r="AO117" i="20"/>
  <c r="Z137" i="20" s="1"/>
  <c r="AG117" i="20"/>
  <c r="R137" i="20" s="1"/>
  <c r="Y117" i="20"/>
  <c r="J137" i="20" s="1"/>
  <c r="Q117" i="20"/>
  <c r="B137" i="20" s="1"/>
  <c r="AN117" i="20"/>
  <c r="Y137" i="20" s="1"/>
  <c r="AD117" i="20"/>
  <c r="O137" i="20" s="1"/>
  <c r="T117" i="20"/>
  <c r="E137" i="20" s="1"/>
  <c r="AM117" i="20"/>
  <c r="X137" i="20" s="1"/>
  <c r="AC117" i="20"/>
  <c r="N137" i="20" s="1"/>
  <c r="S117" i="20"/>
  <c r="D137" i="20" s="1"/>
  <c r="AJ117" i="20"/>
  <c r="U137" i="20" s="1"/>
  <c r="X117" i="20"/>
  <c r="I137" i="20" s="1"/>
  <c r="AI117" i="20"/>
  <c r="T137" i="20" s="1"/>
  <c r="W117" i="20"/>
  <c r="H137" i="20" s="1"/>
  <c r="AL117" i="20"/>
  <c r="W137" i="20" s="1"/>
  <c r="S118" i="20"/>
  <c r="D138" i="20" s="1"/>
  <c r="AM118" i="20"/>
  <c r="X138" i="20" s="1"/>
  <c r="AF124" i="20"/>
  <c r="Q144" i="20" s="1"/>
  <c r="U125" i="20"/>
  <c r="F145" i="20" s="1"/>
  <c r="S131" i="20"/>
  <c r="AR133" i="20"/>
  <c r="AC153" i="20" s="1"/>
  <c r="A172" i="20"/>
  <c r="A184" i="20"/>
  <c r="A173" i="20"/>
  <c r="A185" i="20"/>
  <c r="Y131" i="20"/>
  <c r="A168" i="20"/>
  <c r="A180" i="20"/>
  <c r="W123" i="20"/>
  <c r="H143" i="20" s="1"/>
  <c r="AR124" i="20"/>
  <c r="AC144" i="20" s="1"/>
  <c r="AE125" i="20"/>
  <c r="P145" i="20" s="1"/>
  <c r="R119" i="20"/>
  <c r="C139" i="20" s="1"/>
  <c r="AB119" i="20"/>
  <c r="M139" i="20" s="1"/>
  <c r="AL119" i="20"/>
  <c r="W139" i="20" s="1"/>
  <c r="T121" i="20"/>
  <c r="E141" i="20" s="1"/>
  <c r="AF121" i="20"/>
  <c r="Q141" i="20" s="1"/>
  <c r="AP121" i="20"/>
  <c r="AA141" i="20" s="1"/>
  <c r="W125" i="20"/>
  <c r="H145" i="20" s="1"/>
  <c r="AI125" i="20"/>
  <c r="T145" i="20" s="1"/>
  <c r="R128" i="20"/>
  <c r="C148" i="20" s="1"/>
  <c r="AB128" i="20"/>
  <c r="M148" i="20" s="1"/>
  <c r="AL128" i="20"/>
  <c r="W148" i="20" s="1"/>
  <c r="T130" i="20"/>
  <c r="E150" i="20" s="1"/>
  <c r="AF130" i="20"/>
  <c r="Q150" i="20" s="1"/>
  <c r="AP130" i="20"/>
  <c r="AA150" i="20" s="1"/>
  <c r="Q131" i="20"/>
  <c r="AA131" i="20"/>
  <c r="AM131" i="20"/>
  <c r="Y132" i="20"/>
  <c r="AK132" i="20"/>
  <c r="AQ227" i="20"/>
  <c r="AB247" i="20" s="1"/>
  <c r="Z228" i="20"/>
  <c r="K248" i="20" s="1"/>
  <c r="X230" i="20"/>
  <c r="I250" i="20" s="1"/>
  <c r="W241" i="20"/>
  <c r="H261" i="20" s="1"/>
  <c r="A278" i="20"/>
  <c r="A290" i="20"/>
  <c r="F249" i="20"/>
  <c r="S119" i="20"/>
  <c r="D139" i="20" s="1"/>
  <c r="AC119" i="20"/>
  <c r="N139" i="20" s="1"/>
  <c r="AO119" i="20"/>
  <c r="Z139" i="20" s="1"/>
  <c r="AM120" i="20"/>
  <c r="X140" i="20" s="1"/>
  <c r="AE120" i="20"/>
  <c r="P140" i="20" s="1"/>
  <c r="W120" i="20"/>
  <c r="H140" i="20" s="1"/>
  <c r="AL120" i="20"/>
  <c r="W140" i="20" s="1"/>
  <c r="AD120" i="20"/>
  <c r="O140" i="20" s="1"/>
  <c r="V120" i="20"/>
  <c r="G140" i="20" s="1"/>
  <c r="Z120" i="20"/>
  <c r="K140" i="20" s="1"/>
  <c r="AJ120" i="20"/>
  <c r="U140" i="20" s="1"/>
  <c r="W121" i="20"/>
  <c r="H141" i="20" s="1"/>
  <c r="AG121" i="20"/>
  <c r="R141" i="20" s="1"/>
  <c r="AR123" i="20"/>
  <c r="AC143" i="20" s="1"/>
  <c r="AJ123" i="20"/>
  <c r="U143" i="20" s="1"/>
  <c r="AB123" i="20"/>
  <c r="M143" i="20" s="1"/>
  <c r="T123" i="20"/>
  <c r="E143" i="20" s="1"/>
  <c r="AQ123" i="20"/>
  <c r="AB143" i="20" s="1"/>
  <c r="AI123" i="20"/>
  <c r="T143" i="20" s="1"/>
  <c r="AA123" i="20"/>
  <c r="L143" i="20" s="1"/>
  <c r="S123" i="20"/>
  <c r="D143" i="20" s="1"/>
  <c r="Z123" i="20"/>
  <c r="K143" i="20" s="1"/>
  <c r="AL123" i="20"/>
  <c r="W143" i="20" s="1"/>
  <c r="X125" i="20"/>
  <c r="I145" i="20" s="1"/>
  <c r="S128" i="20"/>
  <c r="D148" i="20" s="1"/>
  <c r="AC128" i="20"/>
  <c r="N148" i="20" s="1"/>
  <c r="AO128" i="20"/>
  <c r="Z148" i="20" s="1"/>
  <c r="AM129" i="20"/>
  <c r="X149" i="20" s="1"/>
  <c r="AE129" i="20"/>
  <c r="P149" i="20" s="1"/>
  <c r="W129" i="20"/>
  <c r="H149" i="20" s="1"/>
  <c r="AL129" i="20"/>
  <c r="W149" i="20" s="1"/>
  <c r="AD129" i="20"/>
  <c r="O149" i="20" s="1"/>
  <c r="V129" i="20"/>
  <c r="G149" i="20" s="1"/>
  <c r="Z129" i="20"/>
  <c r="K149" i="20" s="1"/>
  <c r="AJ129" i="20"/>
  <c r="U149" i="20" s="1"/>
  <c r="W130" i="20"/>
  <c r="H150" i="20" s="1"/>
  <c r="AG130" i="20"/>
  <c r="R150" i="20" s="1"/>
  <c r="R131" i="20"/>
  <c r="AD131" i="20"/>
  <c r="AN131" i="20"/>
  <c r="AR132" i="20"/>
  <c r="AJ132" i="20"/>
  <c r="AB132" i="20"/>
  <c r="T132" i="20"/>
  <c r="AQ132" i="20"/>
  <c r="AI132" i="20"/>
  <c r="AA132" i="20"/>
  <c r="S132" i="20"/>
  <c r="Z132" i="20"/>
  <c r="AL132" i="20"/>
  <c r="AN227" i="20"/>
  <c r="Y247" i="20" s="1"/>
  <c r="AB230" i="20"/>
  <c r="M250" i="20" s="1"/>
  <c r="AP231" i="20"/>
  <c r="AA251" i="20" s="1"/>
  <c r="AH231" i="20"/>
  <c r="S251" i="20" s="1"/>
  <c r="Z231" i="20"/>
  <c r="K251" i="20" s="1"/>
  <c r="R231" i="20"/>
  <c r="C251" i="20" s="1"/>
  <c r="AO231" i="20"/>
  <c r="Z251" i="20" s="1"/>
  <c r="AG231" i="20"/>
  <c r="R251" i="20" s="1"/>
  <c r="Y231" i="20"/>
  <c r="J251" i="20" s="1"/>
  <c r="Q231" i="20"/>
  <c r="B251" i="20" s="1"/>
  <c r="AQ231" i="20"/>
  <c r="AB251" i="20" s="1"/>
  <c r="AB232" i="20"/>
  <c r="M252" i="20" s="1"/>
  <c r="AR233" i="20"/>
  <c r="AC253" i="20" s="1"/>
  <c r="Q234" i="20"/>
  <c r="B254" i="20" s="1"/>
  <c r="AJ234" i="20"/>
  <c r="U254" i="20" s="1"/>
  <c r="Z234" i="20"/>
  <c r="K254" i="20" s="1"/>
  <c r="AR234" i="20"/>
  <c r="AC254" i="20" s="1"/>
  <c r="AH234" i="20"/>
  <c r="S254" i="20" s="1"/>
  <c r="V234" i="20"/>
  <c r="G254" i="20" s="1"/>
  <c r="AQ234" i="20"/>
  <c r="AB254" i="20" s="1"/>
  <c r="AE234" i="20"/>
  <c r="P254" i="20" s="1"/>
  <c r="U234" i="20"/>
  <c r="F254" i="20" s="1"/>
  <c r="AP234" i="20"/>
  <c r="AA254" i="20" s="1"/>
  <c r="AD234" i="20"/>
  <c r="O254" i="20" s="1"/>
  <c r="T234" i="20"/>
  <c r="E254" i="20" s="1"/>
  <c r="AL234" i="20"/>
  <c r="W254" i="20" s="1"/>
  <c r="AB234" i="20"/>
  <c r="M254" i="20" s="1"/>
  <c r="R234" i="20"/>
  <c r="C254" i="20" s="1"/>
  <c r="AK234" i="20"/>
  <c r="V254" i="20" s="1"/>
  <c r="AA234" i="20"/>
  <c r="L254" i="20" s="1"/>
  <c r="O256" i="20"/>
  <c r="AJ241" i="20"/>
  <c r="U261" i="20" s="1"/>
  <c r="AF230" i="20"/>
  <c r="Q250" i="20" s="1"/>
  <c r="AP125" i="20"/>
  <c r="AA145" i="20" s="1"/>
  <c r="AH125" i="20"/>
  <c r="S145" i="20" s="1"/>
  <c r="Z125" i="20"/>
  <c r="K145" i="20" s="1"/>
  <c r="R125" i="20"/>
  <c r="C145" i="20" s="1"/>
  <c r="AO125" i="20"/>
  <c r="Z145" i="20" s="1"/>
  <c r="AG125" i="20"/>
  <c r="R145" i="20" s="1"/>
  <c r="Y125" i="20"/>
  <c r="J145" i="20" s="1"/>
  <c r="Q125" i="20"/>
  <c r="B145" i="20" s="1"/>
  <c r="AB125" i="20"/>
  <c r="M145" i="20" s="1"/>
  <c r="AL125" i="20"/>
  <c r="W145" i="20" s="1"/>
  <c r="Y130" i="20"/>
  <c r="J150" i="20" s="1"/>
  <c r="V131" i="20"/>
  <c r="AF131" i="20"/>
  <c r="AP131" i="20"/>
  <c r="R132" i="20"/>
  <c r="AD132" i="20"/>
  <c r="AN132" i="20"/>
  <c r="AM228" i="20"/>
  <c r="X248" i="20" s="1"/>
  <c r="AE228" i="20"/>
  <c r="P248" i="20" s="1"/>
  <c r="W228" i="20"/>
  <c r="H248" i="20" s="1"/>
  <c r="AK228" i="20"/>
  <c r="V248" i="20" s="1"/>
  <c r="AC228" i="20"/>
  <c r="N248" i="20" s="1"/>
  <c r="U228" i="20"/>
  <c r="F248" i="20" s="1"/>
  <c r="AR228" i="20"/>
  <c r="AC248" i="20" s="1"/>
  <c r="AJ228" i="20"/>
  <c r="U248" i="20" s="1"/>
  <c r="AB228" i="20"/>
  <c r="M248" i="20" s="1"/>
  <c r="T228" i="20"/>
  <c r="E248" i="20" s="1"/>
  <c r="AQ228" i="20"/>
  <c r="AB248" i="20" s="1"/>
  <c r="AI228" i="20"/>
  <c r="T248" i="20" s="1"/>
  <c r="AA228" i="20"/>
  <c r="L248" i="20" s="1"/>
  <c r="S228" i="20"/>
  <c r="D248" i="20" s="1"/>
  <c r="AO228" i="20"/>
  <c r="Z248" i="20" s="1"/>
  <c r="AG228" i="20"/>
  <c r="R248" i="20" s="1"/>
  <c r="Y228" i="20"/>
  <c r="J248" i="20" s="1"/>
  <c r="Q228" i="20"/>
  <c r="B248" i="20" s="1"/>
  <c r="AL228" i="20"/>
  <c r="W248" i="20" s="1"/>
  <c r="AJ230" i="20"/>
  <c r="U250" i="20" s="1"/>
  <c r="AO118" i="20"/>
  <c r="Z138" i="20" s="1"/>
  <c r="V119" i="20"/>
  <c r="G139" i="20" s="1"/>
  <c r="AH119" i="20"/>
  <c r="S139" i="20" s="1"/>
  <c r="AR119" i="20"/>
  <c r="AC139" i="20" s="1"/>
  <c r="AL121" i="20"/>
  <c r="W141" i="20" s="1"/>
  <c r="AD121" i="20"/>
  <c r="O141" i="20" s="1"/>
  <c r="V121" i="20"/>
  <c r="G141" i="20" s="1"/>
  <c r="AK121" i="20"/>
  <c r="V141" i="20" s="1"/>
  <c r="AC121" i="20"/>
  <c r="N141" i="20" s="1"/>
  <c r="U121" i="20"/>
  <c r="F141" i="20" s="1"/>
  <c r="Z121" i="20"/>
  <c r="K141" i="20" s="1"/>
  <c r="AJ121" i="20"/>
  <c r="U141" i="20" s="1"/>
  <c r="S125" i="20"/>
  <c r="D145" i="20" s="1"/>
  <c r="AC125" i="20"/>
  <c r="N145" i="20" s="1"/>
  <c r="AM125" i="20"/>
  <c r="X145" i="20" s="1"/>
  <c r="AO126" i="20"/>
  <c r="Z146" i="20" s="1"/>
  <c r="V128" i="20"/>
  <c r="G148" i="20" s="1"/>
  <c r="AH128" i="20"/>
  <c r="S148" i="20" s="1"/>
  <c r="AR128" i="20"/>
  <c r="AC148" i="20" s="1"/>
  <c r="AL130" i="20"/>
  <c r="W150" i="20" s="1"/>
  <c r="AD130" i="20"/>
  <c r="O150" i="20" s="1"/>
  <c r="V130" i="20"/>
  <c r="G150" i="20" s="1"/>
  <c r="AK130" i="20"/>
  <c r="V150" i="20" s="1"/>
  <c r="AC130" i="20"/>
  <c r="N150" i="20" s="1"/>
  <c r="U130" i="20"/>
  <c r="F150" i="20" s="1"/>
  <c r="Z130" i="20"/>
  <c r="K150" i="20" s="1"/>
  <c r="AJ130" i="20"/>
  <c r="U150" i="20" s="1"/>
  <c r="W131" i="20"/>
  <c r="AG131" i="20"/>
  <c r="AQ131" i="20"/>
  <c r="U132" i="20"/>
  <c r="AE132" i="20"/>
  <c r="AO132" i="20"/>
  <c r="A181" i="20"/>
  <c r="A169" i="20"/>
  <c r="AA227" i="20"/>
  <c r="L247" i="20" s="1"/>
  <c r="AP228" i="20"/>
  <c r="AA248" i="20" s="1"/>
  <c r="AN230" i="20"/>
  <c r="Y250" i="20" s="1"/>
  <c r="AE233" i="20"/>
  <c r="P253" i="20" s="1"/>
  <c r="AK239" i="20"/>
  <c r="AC239" i="20"/>
  <c r="U239" i="20"/>
  <c r="AR239" i="20"/>
  <c r="AJ239" i="20"/>
  <c r="AB239" i="20"/>
  <c r="T239" i="20"/>
  <c r="AQ239" i="20"/>
  <c r="AI239" i="20"/>
  <c r="AA239" i="20"/>
  <c r="S239" i="20"/>
  <c r="AP239" i="20"/>
  <c r="AH239" i="20"/>
  <c r="Z239" i="20"/>
  <c r="R239" i="20"/>
  <c r="AM239" i="20"/>
  <c r="AE239" i="20"/>
  <c r="W239" i="20"/>
  <c r="AD239" i="20"/>
  <c r="X239" i="20"/>
  <c r="AO239" i="20"/>
  <c r="V239" i="20"/>
  <c r="AN239" i="20"/>
  <c r="Q239" i="20"/>
  <c r="AG239" i="20"/>
  <c r="AF239" i="20"/>
  <c r="Y119" i="20"/>
  <c r="J139" i="20" s="1"/>
  <c r="T120" i="20"/>
  <c r="E140" i="20" s="1"/>
  <c r="AF120" i="20"/>
  <c r="Q140" i="20" s="1"/>
  <c r="AP120" i="20"/>
  <c r="AA140" i="20" s="1"/>
  <c r="Q121" i="20"/>
  <c r="B141" i="20" s="1"/>
  <c r="AA121" i="20"/>
  <c r="L141" i="20" s="1"/>
  <c r="AM121" i="20"/>
  <c r="X141" i="20" s="1"/>
  <c r="V123" i="20"/>
  <c r="G143" i="20" s="1"/>
  <c r="AF123" i="20"/>
  <c r="Q143" i="20" s="1"/>
  <c r="AP123" i="20"/>
  <c r="AA143" i="20" s="1"/>
  <c r="T125" i="20"/>
  <c r="E145" i="20" s="1"/>
  <c r="AD125" i="20"/>
  <c r="O145" i="20" s="1"/>
  <c r="AN125" i="20"/>
  <c r="Y145" i="20" s="1"/>
  <c r="Y128" i="20"/>
  <c r="J148" i="20" s="1"/>
  <c r="T129" i="20"/>
  <c r="E149" i="20" s="1"/>
  <c r="AF129" i="20"/>
  <c r="Q149" i="20" s="1"/>
  <c r="AP129" i="20"/>
  <c r="AA149" i="20" s="1"/>
  <c r="Q130" i="20"/>
  <c r="B150" i="20" s="1"/>
  <c r="AA130" i="20"/>
  <c r="L150" i="20" s="1"/>
  <c r="AM130" i="20"/>
  <c r="X150" i="20" s="1"/>
  <c r="X131" i="20"/>
  <c r="V132" i="20"/>
  <c r="AF132" i="20"/>
  <c r="AP132" i="20"/>
  <c r="AO226" i="20"/>
  <c r="Z246" i="20" s="1"/>
  <c r="AG226" i="20"/>
  <c r="R246" i="20" s="1"/>
  <c r="Y226" i="20"/>
  <c r="J246" i="20" s="1"/>
  <c r="Q226" i="20"/>
  <c r="B246" i="20" s="1"/>
  <c r="AM226" i="20"/>
  <c r="X246" i="20" s="1"/>
  <c r="AE226" i="20"/>
  <c r="P246" i="20" s="1"/>
  <c r="W226" i="20"/>
  <c r="H246" i="20" s="1"/>
  <c r="AL226" i="20"/>
  <c r="W246" i="20" s="1"/>
  <c r="AD226" i="20"/>
  <c r="O246" i="20" s="1"/>
  <c r="V226" i="20"/>
  <c r="G246" i="20" s="1"/>
  <c r="AK226" i="20"/>
  <c r="V246" i="20" s="1"/>
  <c r="AC226" i="20"/>
  <c r="N246" i="20" s="1"/>
  <c r="U226" i="20"/>
  <c r="F246" i="20" s="1"/>
  <c r="AQ226" i="20"/>
  <c r="AB246" i="20" s="1"/>
  <c r="AI226" i="20"/>
  <c r="T246" i="20" s="1"/>
  <c r="AA226" i="20"/>
  <c r="L246" i="20" s="1"/>
  <c r="S226" i="20"/>
  <c r="D246" i="20" s="1"/>
  <c r="AP226" i="20"/>
  <c r="AA246" i="20" s="1"/>
  <c r="AH226" i="20"/>
  <c r="S246" i="20" s="1"/>
  <c r="Z226" i="20"/>
  <c r="K246" i="20" s="1"/>
  <c r="R226" i="20"/>
  <c r="C246" i="20" s="1"/>
  <c r="AN228" i="20"/>
  <c r="Y248" i="20" s="1"/>
  <c r="AA231" i="20"/>
  <c r="L251" i="20" s="1"/>
  <c r="W234" i="20"/>
  <c r="H254" i="20" s="1"/>
  <c r="Y239" i="20"/>
  <c r="AL241" i="20"/>
  <c r="W261" i="20" s="1"/>
  <c r="A289" i="20"/>
  <c r="A277" i="20"/>
  <c r="AK230" i="20"/>
  <c r="V250" i="20" s="1"/>
  <c r="AC230" i="20"/>
  <c r="N250" i="20" s="1"/>
  <c r="U230" i="20"/>
  <c r="F250" i="20" s="1"/>
  <c r="AQ230" i="20"/>
  <c r="AB250" i="20" s="1"/>
  <c r="AI230" i="20"/>
  <c r="T250" i="20" s="1"/>
  <c r="AA230" i="20"/>
  <c r="L250" i="20" s="1"/>
  <c r="S230" i="20"/>
  <c r="D250" i="20" s="1"/>
  <c r="AP230" i="20"/>
  <c r="AA250" i="20" s="1"/>
  <c r="AH230" i="20"/>
  <c r="S250" i="20" s="1"/>
  <c r="Z230" i="20"/>
  <c r="K250" i="20" s="1"/>
  <c r="R230" i="20"/>
  <c r="C250" i="20" s="1"/>
  <c r="AO230" i="20"/>
  <c r="Z250" i="20" s="1"/>
  <c r="AG230" i="20"/>
  <c r="R250" i="20" s="1"/>
  <c r="Y230" i="20"/>
  <c r="J250" i="20" s="1"/>
  <c r="Q230" i="20"/>
  <c r="B250" i="20" s="1"/>
  <c r="AM230" i="20"/>
  <c r="X250" i="20" s="1"/>
  <c r="AE230" i="20"/>
  <c r="P250" i="20" s="1"/>
  <c r="W230" i="20"/>
  <c r="H250" i="20" s="1"/>
  <c r="AL230" i="20"/>
  <c r="W250" i="20" s="1"/>
  <c r="AD230" i="20"/>
  <c r="O250" i="20" s="1"/>
  <c r="V230" i="20"/>
  <c r="G250" i="20" s="1"/>
  <c r="A281" i="20"/>
  <c r="A293" i="20"/>
  <c r="AK131" i="20"/>
  <c r="AC131" i="20"/>
  <c r="U131" i="20"/>
  <c r="AR131" i="20"/>
  <c r="AJ131" i="20"/>
  <c r="AB131" i="20"/>
  <c r="T131" i="20"/>
  <c r="Z131" i="20"/>
  <c r="AL131" i="20"/>
  <c r="X132" i="20"/>
  <c r="A187" i="20"/>
  <c r="A175" i="20"/>
  <c r="T230" i="20"/>
  <c r="E250" i="20" s="1"/>
  <c r="X118" i="20"/>
  <c r="I138" i="20" s="1"/>
  <c r="AF118" i="20"/>
  <c r="Q138" i="20" s="1"/>
  <c r="AN118" i="20"/>
  <c r="Y138" i="20" s="1"/>
  <c r="W119" i="20"/>
  <c r="H139" i="20" s="1"/>
  <c r="AE119" i="20"/>
  <c r="P139" i="20" s="1"/>
  <c r="AM119" i="20"/>
  <c r="X139" i="20" s="1"/>
  <c r="X126" i="20"/>
  <c r="I146" i="20" s="1"/>
  <c r="AF126" i="20"/>
  <c r="Q146" i="20" s="1"/>
  <c r="AN126" i="20"/>
  <c r="Y146" i="20" s="1"/>
  <c r="W128" i="20"/>
  <c r="H148" i="20" s="1"/>
  <c r="AE128" i="20"/>
  <c r="P148" i="20" s="1"/>
  <c r="AM128" i="20"/>
  <c r="X148" i="20" s="1"/>
  <c r="S225" i="20"/>
  <c r="D245" i="20" s="1"/>
  <c r="AA225" i="20"/>
  <c r="L245" i="20" s="1"/>
  <c r="AI225" i="20"/>
  <c r="T245" i="20" s="1"/>
  <c r="AQ225" i="20"/>
  <c r="AB245" i="20" s="1"/>
  <c r="Q227" i="20"/>
  <c r="B247" i="20" s="1"/>
  <c r="Y227" i="20"/>
  <c r="J247" i="20" s="1"/>
  <c r="AG227" i="20"/>
  <c r="R247" i="20" s="1"/>
  <c r="AO227" i="20"/>
  <c r="Z247" i="20" s="1"/>
  <c r="X228" i="20"/>
  <c r="I248" i="20" s="1"/>
  <c r="AF228" i="20"/>
  <c r="Q248" i="20" s="1"/>
  <c r="W229" i="20"/>
  <c r="H249" i="20" s="1"/>
  <c r="AE229" i="20"/>
  <c r="P249" i="20" s="1"/>
  <c r="AM229" i="20"/>
  <c r="X249" i="20" s="1"/>
  <c r="U231" i="20"/>
  <c r="F251" i="20" s="1"/>
  <c r="AC231" i="20"/>
  <c r="N251" i="20" s="1"/>
  <c r="AK231" i="20"/>
  <c r="V251" i="20" s="1"/>
  <c r="T232" i="20"/>
  <c r="E252" i="20" s="1"/>
  <c r="AD232" i="20"/>
  <c r="O252" i="20" s="1"/>
  <c r="AN232" i="20"/>
  <c r="Y252" i="20" s="1"/>
  <c r="S233" i="20"/>
  <c r="D253" i="20" s="1"/>
  <c r="AC233" i="20"/>
  <c r="N253" i="20" s="1"/>
  <c r="AM233" i="20"/>
  <c r="X253" i="20" s="1"/>
  <c r="AO234" i="20"/>
  <c r="Z254" i="20" s="1"/>
  <c r="V236" i="20"/>
  <c r="G256" i="20" s="1"/>
  <c r="AH236" i="20"/>
  <c r="S256" i="20" s="1"/>
  <c r="T237" i="20"/>
  <c r="E257" i="20" s="1"/>
  <c r="AH237" i="20"/>
  <c r="S257" i="20" s="1"/>
  <c r="AE238" i="20"/>
  <c r="P258" i="20" s="1"/>
  <c r="T241" i="20"/>
  <c r="E261" i="20" s="1"/>
  <c r="AM241" i="20"/>
  <c r="X261" i="20" s="1"/>
  <c r="W335" i="20"/>
  <c r="H355" i="20" s="1"/>
  <c r="AC338" i="20"/>
  <c r="N358" i="20" s="1"/>
  <c r="Q118" i="20"/>
  <c r="B138" i="20" s="1"/>
  <c r="Y118" i="20"/>
  <c r="J138" i="20" s="1"/>
  <c r="AG118" i="20"/>
  <c r="R138" i="20" s="1"/>
  <c r="X119" i="20"/>
  <c r="I139" i="20" s="1"/>
  <c r="AF119" i="20"/>
  <c r="Q139" i="20" s="1"/>
  <c r="Y126" i="20"/>
  <c r="J146" i="20" s="1"/>
  <c r="AG126" i="20"/>
  <c r="R146" i="20" s="1"/>
  <c r="X128" i="20"/>
  <c r="I148" i="20" s="1"/>
  <c r="AF128" i="20"/>
  <c r="Q148" i="20" s="1"/>
  <c r="T225" i="20"/>
  <c r="E245" i="20" s="1"/>
  <c r="AB225" i="20"/>
  <c r="M245" i="20" s="1"/>
  <c r="AJ225" i="20"/>
  <c r="U245" i="20" s="1"/>
  <c r="AR225" i="20"/>
  <c r="AC245" i="20" s="1"/>
  <c r="R227" i="20"/>
  <c r="C247" i="20" s="1"/>
  <c r="Z227" i="20"/>
  <c r="K247" i="20" s="1"/>
  <c r="AH227" i="20"/>
  <c r="S247" i="20" s="1"/>
  <c r="AP227" i="20"/>
  <c r="AA247" i="20" s="1"/>
  <c r="X229" i="20"/>
  <c r="I249" i="20" s="1"/>
  <c r="AF229" i="20"/>
  <c r="Q249" i="20" s="1"/>
  <c r="V231" i="20"/>
  <c r="G251" i="20" s="1"/>
  <c r="AD231" i="20"/>
  <c r="O251" i="20" s="1"/>
  <c r="AL231" i="20"/>
  <c r="W251" i="20" s="1"/>
  <c r="U232" i="20"/>
  <c r="F252" i="20" s="1"/>
  <c r="AE232" i="20"/>
  <c r="P252" i="20" s="1"/>
  <c r="AO232" i="20"/>
  <c r="Z252" i="20" s="1"/>
  <c r="T233" i="20"/>
  <c r="E253" i="20" s="1"/>
  <c r="AD233" i="20"/>
  <c r="O253" i="20" s="1"/>
  <c r="AN233" i="20"/>
  <c r="Y253" i="20" s="1"/>
  <c r="X237" i="20"/>
  <c r="I257" i="20" s="1"/>
  <c r="AI237" i="20"/>
  <c r="T257" i="20" s="1"/>
  <c r="AR240" i="20"/>
  <c r="AJ240" i="20"/>
  <c r="AB240" i="20"/>
  <c r="T240" i="20"/>
  <c r="AQ240" i="20"/>
  <c r="AI240" i="20"/>
  <c r="AA240" i="20"/>
  <c r="S240" i="20"/>
  <c r="AP240" i="20"/>
  <c r="AH240" i="20"/>
  <c r="Z240" i="20"/>
  <c r="R240" i="20"/>
  <c r="AO240" i="20"/>
  <c r="AG240" i="20"/>
  <c r="Y240" i="20"/>
  <c r="Q240" i="20"/>
  <c r="AL240" i="20"/>
  <c r="AD240" i="20"/>
  <c r="V240" i="20"/>
  <c r="AM240" i="20"/>
  <c r="V241" i="20"/>
  <c r="G261" i="20" s="1"/>
  <c r="AR241" i="20"/>
  <c r="AC261" i="20" s="1"/>
  <c r="AG342" i="20"/>
  <c r="R362" i="20" s="1"/>
  <c r="A404" i="20"/>
  <c r="A392" i="20"/>
  <c r="V225" i="20"/>
  <c r="G245" i="20" s="1"/>
  <c r="AD225" i="20"/>
  <c r="O245" i="20" s="1"/>
  <c r="AL225" i="20"/>
  <c r="W245" i="20" s="1"/>
  <c r="T227" i="20"/>
  <c r="E247" i="20" s="1"/>
  <c r="AB227" i="20"/>
  <c r="M247" i="20" s="1"/>
  <c r="AJ227" i="20"/>
  <c r="U247" i="20" s="1"/>
  <c r="AR227" i="20"/>
  <c r="AC247" i="20" s="1"/>
  <c r="Z229" i="20"/>
  <c r="K249" i="20" s="1"/>
  <c r="AH229" i="20"/>
  <c r="S249" i="20" s="1"/>
  <c r="AP229" i="20"/>
  <c r="AA249" i="20" s="1"/>
  <c r="X231" i="20"/>
  <c r="I251" i="20" s="1"/>
  <c r="AF231" i="20"/>
  <c r="Q251" i="20" s="1"/>
  <c r="AN231" i="20"/>
  <c r="Y251" i="20" s="1"/>
  <c r="W232" i="20"/>
  <c r="H252" i="20" s="1"/>
  <c r="V233" i="20"/>
  <c r="G253" i="20" s="1"/>
  <c r="AF233" i="20"/>
  <c r="Q253" i="20" s="1"/>
  <c r="Z237" i="20"/>
  <c r="K257" i="20" s="1"/>
  <c r="AB241" i="20"/>
  <c r="M261" i="20" s="1"/>
  <c r="A294" i="20"/>
  <c r="A282" i="20"/>
  <c r="W225" i="20"/>
  <c r="H245" i="20" s="1"/>
  <c r="AE225" i="20"/>
  <c r="P245" i="20" s="1"/>
  <c r="AM225" i="20"/>
  <c r="X245" i="20" s="1"/>
  <c r="U227" i="20"/>
  <c r="F247" i="20" s="1"/>
  <c r="AC227" i="20"/>
  <c r="N247" i="20" s="1"/>
  <c r="AK227" i="20"/>
  <c r="V247" i="20" s="1"/>
  <c r="AQ232" i="20"/>
  <c r="AB252" i="20" s="1"/>
  <c r="AI232" i="20"/>
  <c r="T252" i="20" s="1"/>
  <c r="AA232" i="20"/>
  <c r="L252" i="20" s="1"/>
  <c r="AP232" i="20"/>
  <c r="AA252" i="20" s="1"/>
  <c r="AH232" i="20"/>
  <c r="S252" i="20" s="1"/>
  <c r="Z232" i="20"/>
  <c r="K252" i="20" s="1"/>
  <c r="X232" i="20"/>
  <c r="I252" i="20" s="1"/>
  <c r="AJ232" i="20"/>
  <c r="U252" i="20" s="1"/>
  <c r="W233" i="20"/>
  <c r="H253" i="20" s="1"/>
  <c r="AI233" i="20"/>
  <c r="T253" i="20" s="1"/>
  <c r="AM237" i="20"/>
  <c r="X257" i="20" s="1"/>
  <c r="AE237" i="20"/>
  <c r="P257" i="20" s="1"/>
  <c r="W237" i="20"/>
  <c r="H257" i="20" s="1"/>
  <c r="AL237" i="20"/>
  <c r="W257" i="20" s="1"/>
  <c r="AD237" i="20"/>
  <c r="O257" i="20" s="1"/>
  <c r="V237" i="20"/>
  <c r="G257" i="20" s="1"/>
  <c r="AK237" i="20"/>
  <c r="V257" i="20" s="1"/>
  <c r="AC237" i="20"/>
  <c r="N257" i="20" s="1"/>
  <c r="U237" i="20"/>
  <c r="F257" i="20" s="1"/>
  <c r="AR237" i="20"/>
  <c r="AC257" i="20" s="1"/>
  <c r="AJ237" i="20"/>
  <c r="U257" i="20" s="1"/>
  <c r="AA237" i="20"/>
  <c r="L257" i="20" s="1"/>
  <c r="AP237" i="20"/>
  <c r="AA257" i="20" s="1"/>
  <c r="A291" i="20"/>
  <c r="A279" i="20"/>
  <c r="A295" i="20"/>
  <c r="A283" i="20"/>
  <c r="A280" i="20"/>
  <c r="X225" i="20"/>
  <c r="I245" i="20" s="1"/>
  <c r="AF225" i="20"/>
  <c r="Q245" i="20" s="1"/>
  <c r="AN225" i="20"/>
  <c r="Y245" i="20" s="1"/>
  <c r="V227" i="20"/>
  <c r="G247" i="20" s="1"/>
  <c r="AD227" i="20"/>
  <c r="O247" i="20" s="1"/>
  <c r="Q232" i="20"/>
  <c r="B252" i="20" s="1"/>
  <c r="Y232" i="20"/>
  <c r="J252" i="20" s="1"/>
  <c r="AK232" i="20"/>
  <c r="V252" i="20" s="1"/>
  <c r="X233" i="20"/>
  <c r="I253" i="20" s="1"/>
  <c r="Q237" i="20"/>
  <c r="B257" i="20" s="1"/>
  <c r="AB237" i="20"/>
  <c r="M257" i="20" s="1"/>
  <c r="AQ237" i="20"/>
  <c r="AB257" i="20" s="1"/>
  <c r="AE241" i="20"/>
  <c r="P261" i="20" s="1"/>
  <c r="AG335" i="20"/>
  <c r="R355" i="20" s="1"/>
  <c r="Y335" i="20"/>
  <c r="J355" i="20" s="1"/>
  <c r="Q335" i="20"/>
  <c r="B355" i="20" s="1"/>
  <c r="AR335" i="20"/>
  <c r="AC355" i="20" s="1"/>
  <c r="AH335" i="20"/>
  <c r="S355" i="20" s="1"/>
  <c r="V335" i="20"/>
  <c r="G355" i="20" s="1"/>
  <c r="AQ335" i="20"/>
  <c r="AB355" i="20" s="1"/>
  <c r="AE335" i="20"/>
  <c r="P355" i="20" s="1"/>
  <c r="U335" i="20"/>
  <c r="F355" i="20" s="1"/>
  <c r="AM335" i="20"/>
  <c r="X355" i="20" s="1"/>
  <c r="AC335" i="20"/>
  <c r="N355" i="20" s="1"/>
  <c r="S335" i="20"/>
  <c r="D355" i="20" s="1"/>
  <c r="AK335" i="20"/>
  <c r="V355" i="20" s="1"/>
  <c r="AA335" i="20"/>
  <c r="L355" i="20" s="1"/>
  <c r="AP335" i="20"/>
  <c r="AA355" i="20" s="1"/>
  <c r="T335" i="20"/>
  <c r="E355" i="20" s="1"/>
  <c r="AL335" i="20"/>
  <c r="W355" i="20" s="1"/>
  <c r="R335" i="20"/>
  <c r="C355" i="20" s="1"/>
  <c r="AJ335" i="20"/>
  <c r="U355" i="20" s="1"/>
  <c r="AI335" i="20"/>
  <c r="T355" i="20" s="1"/>
  <c r="Z335" i="20"/>
  <c r="K355" i="20" s="1"/>
  <c r="AR338" i="20"/>
  <c r="AC358" i="20" s="1"/>
  <c r="AH338" i="20"/>
  <c r="S358" i="20" s="1"/>
  <c r="V338" i="20"/>
  <c r="G358" i="20" s="1"/>
  <c r="AQ338" i="20"/>
  <c r="AB358" i="20" s="1"/>
  <c r="AE338" i="20"/>
  <c r="P358" i="20" s="1"/>
  <c r="U338" i="20"/>
  <c r="F358" i="20" s="1"/>
  <c r="AI338" i="20"/>
  <c r="T358" i="20" s="1"/>
  <c r="S338" i="20"/>
  <c r="D358" i="20" s="1"/>
  <c r="AD338" i="20"/>
  <c r="O358" i="20" s="1"/>
  <c r="R338" i="20"/>
  <c r="C358" i="20" s="1"/>
  <c r="AP338" i="20"/>
  <c r="AA358" i="20" s="1"/>
  <c r="AB338" i="20"/>
  <c r="M358" i="20" s="1"/>
  <c r="AL338" i="20"/>
  <c r="W358" i="20" s="1"/>
  <c r="Z338" i="20"/>
  <c r="K358" i="20" s="1"/>
  <c r="AA338" i="20"/>
  <c r="L358" i="20" s="1"/>
  <c r="W338" i="20"/>
  <c r="H358" i="20" s="1"/>
  <c r="T338" i="20"/>
  <c r="E358" i="20" s="1"/>
  <c r="AJ338" i="20"/>
  <c r="U358" i="20" s="1"/>
  <c r="R225" i="20"/>
  <c r="C245" i="20" s="1"/>
  <c r="Z225" i="20"/>
  <c r="K245" i="20" s="1"/>
  <c r="AH225" i="20"/>
  <c r="S245" i="20" s="1"/>
  <c r="X227" i="20"/>
  <c r="I247" i="20" s="1"/>
  <c r="AF227" i="20"/>
  <c r="Q247" i="20" s="1"/>
  <c r="V229" i="20"/>
  <c r="G249" i="20" s="1"/>
  <c r="AD229" i="20"/>
  <c r="O249" i="20" s="1"/>
  <c r="T231" i="20"/>
  <c r="E251" i="20" s="1"/>
  <c r="AB231" i="20"/>
  <c r="M251" i="20" s="1"/>
  <c r="AJ231" i="20"/>
  <c r="U251" i="20" s="1"/>
  <c r="S232" i="20"/>
  <c r="D252" i="20" s="1"/>
  <c r="AC232" i="20"/>
  <c r="N252" i="20" s="1"/>
  <c r="AM232" i="20"/>
  <c r="X252" i="20" s="1"/>
  <c r="AP233" i="20"/>
  <c r="AA253" i="20" s="1"/>
  <c r="AH233" i="20"/>
  <c r="S253" i="20" s="1"/>
  <c r="Z233" i="20"/>
  <c r="K253" i="20" s="1"/>
  <c r="R233" i="20"/>
  <c r="C253" i="20" s="1"/>
  <c r="AO233" i="20"/>
  <c r="Z253" i="20" s="1"/>
  <c r="AG233" i="20"/>
  <c r="R253" i="20" s="1"/>
  <c r="Y233" i="20"/>
  <c r="J253" i="20" s="1"/>
  <c r="Q233" i="20"/>
  <c r="B253" i="20" s="1"/>
  <c r="AB233" i="20"/>
  <c r="M253" i="20" s="1"/>
  <c r="AL233" i="20"/>
  <c r="W253" i="20" s="1"/>
  <c r="S237" i="20"/>
  <c r="D257" i="20" s="1"/>
  <c r="AG237" i="20"/>
  <c r="R257" i="20" s="1"/>
  <c r="AQ241" i="20"/>
  <c r="AB261" i="20" s="1"/>
  <c r="A288" i="20"/>
  <c r="A276" i="20"/>
  <c r="X238" i="20"/>
  <c r="I258" i="20" s="1"/>
  <c r="AF238" i="20"/>
  <c r="Q258" i="20" s="1"/>
  <c r="AN238" i="20"/>
  <c r="Y258" i="20" s="1"/>
  <c r="U241" i="20"/>
  <c r="F261" i="20" s="1"/>
  <c r="AC241" i="20"/>
  <c r="N261" i="20" s="1"/>
  <c r="AK241" i="20"/>
  <c r="V261" i="20" s="1"/>
  <c r="AI342" i="20"/>
  <c r="T362" i="20" s="1"/>
  <c r="AR347" i="20"/>
  <c r="AC367" i="20" s="1"/>
  <c r="AH347" i="20"/>
  <c r="S367" i="20" s="1"/>
  <c r="V347" i="20"/>
  <c r="G367" i="20" s="1"/>
  <c r="AQ347" i="20"/>
  <c r="AB367" i="20" s="1"/>
  <c r="AE347" i="20"/>
  <c r="P367" i="20" s="1"/>
  <c r="U347" i="20"/>
  <c r="F367" i="20" s="1"/>
  <c r="AJ347" i="20"/>
  <c r="U367" i="20" s="1"/>
  <c r="T347" i="20"/>
  <c r="E367" i="20" s="1"/>
  <c r="AI347" i="20"/>
  <c r="T367" i="20" s="1"/>
  <c r="S347" i="20"/>
  <c r="D367" i="20" s="1"/>
  <c r="AD347" i="20"/>
  <c r="O367" i="20" s="1"/>
  <c r="R347" i="20"/>
  <c r="C367" i="20" s="1"/>
  <c r="AC347" i="20"/>
  <c r="N367" i="20" s="1"/>
  <c r="AP347" i="20"/>
  <c r="AA367" i="20" s="1"/>
  <c r="AB347" i="20"/>
  <c r="M367" i="20" s="1"/>
  <c r="AL347" i="20"/>
  <c r="W367" i="20" s="1"/>
  <c r="Z347" i="20"/>
  <c r="K367" i="20" s="1"/>
  <c r="S238" i="20"/>
  <c r="D258" i="20" s="1"/>
  <c r="AA238" i="20"/>
  <c r="L258" i="20" s="1"/>
  <c r="AI238" i="20"/>
  <c r="T258" i="20" s="1"/>
  <c r="AQ238" i="20"/>
  <c r="AB258" i="20" s="1"/>
  <c r="X241" i="20"/>
  <c r="I261" i="20" s="1"/>
  <c r="AF241" i="20"/>
  <c r="Q261" i="20" s="1"/>
  <c r="AN241" i="20"/>
  <c r="Y261" i="20" s="1"/>
  <c r="AO338" i="20"/>
  <c r="Z358" i="20" s="1"/>
  <c r="S342" i="20"/>
  <c r="D362" i="20" s="1"/>
  <c r="T238" i="20"/>
  <c r="E258" i="20" s="1"/>
  <c r="AB238" i="20"/>
  <c r="M258" i="20" s="1"/>
  <c r="AJ238" i="20"/>
  <c r="U258" i="20" s="1"/>
  <c r="AR238" i="20"/>
  <c r="AC258" i="20" s="1"/>
  <c r="Q241" i="20"/>
  <c r="B261" i="20" s="1"/>
  <c r="Y241" i="20"/>
  <c r="J261" i="20" s="1"/>
  <c r="AG241" i="20"/>
  <c r="R261" i="20" s="1"/>
  <c r="AO241" i="20"/>
  <c r="Z261" i="20" s="1"/>
  <c r="W342" i="20"/>
  <c r="H362" i="20" s="1"/>
  <c r="X234" i="20"/>
  <c r="I254" i="20" s="1"/>
  <c r="AF234" i="20"/>
  <c r="Q254" i="20" s="1"/>
  <c r="AN234" i="20"/>
  <c r="Y254" i="20" s="1"/>
  <c r="W236" i="20"/>
  <c r="H256" i="20" s="1"/>
  <c r="AE236" i="20"/>
  <c r="P256" i="20" s="1"/>
  <c r="AM236" i="20"/>
  <c r="X256" i="20" s="1"/>
  <c r="U238" i="20"/>
  <c r="F258" i="20" s="1"/>
  <c r="AC238" i="20"/>
  <c r="N258" i="20" s="1"/>
  <c r="AK238" i="20"/>
  <c r="V258" i="20" s="1"/>
  <c r="R241" i="20"/>
  <c r="C261" i="20" s="1"/>
  <c r="Z241" i="20"/>
  <c r="K261" i="20" s="1"/>
  <c r="AH241" i="20"/>
  <c r="S261" i="20" s="1"/>
  <c r="AP241" i="20"/>
  <c r="AA261" i="20" s="1"/>
  <c r="AP334" i="20"/>
  <c r="AA354" i="20" s="1"/>
  <c r="AH334" i="20"/>
  <c r="S354" i="20" s="1"/>
  <c r="Z334" i="20"/>
  <c r="K354" i="20" s="1"/>
  <c r="R334" i="20"/>
  <c r="C354" i="20" s="1"/>
  <c r="AO334" i="20"/>
  <c r="Z354" i="20" s="1"/>
  <c r="AG334" i="20"/>
  <c r="R354" i="20" s="1"/>
  <c r="Y334" i="20"/>
  <c r="J354" i="20" s="1"/>
  <c r="Q334" i="20"/>
  <c r="B354" i="20" s="1"/>
  <c r="AJ334" i="20"/>
  <c r="U354" i="20" s="1"/>
  <c r="X334" i="20"/>
  <c r="I354" i="20" s="1"/>
  <c r="AI334" i="20"/>
  <c r="T354" i="20" s="1"/>
  <c r="W334" i="20"/>
  <c r="H354" i="20" s="1"/>
  <c r="AQ334" i="20"/>
  <c r="AB354" i="20" s="1"/>
  <c r="AE334" i="20"/>
  <c r="P354" i="20" s="1"/>
  <c r="U334" i="20"/>
  <c r="F354" i="20" s="1"/>
  <c r="AM334" i="20"/>
  <c r="X354" i="20" s="1"/>
  <c r="AC334" i="20"/>
  <c r="N354" i="20" s="1"/>
  <c r="S334" i="20"/>
  <c r="D354" i="20" s="1"/>
  <c r="AL334" i="20"/>
  <c r="W354" i="20" s="1"/>
  <c r="AL341" i="20"/>
  <c r="W361" i="20" s="1"/>
  <c r="AD341" i="20"/>
  <c r="O361" i="20" s="1"/>
  <c r="V341" i="20"/>
  <c r="G361" i="20" s="1"/>
  <c r="AK341" i="20"/>
  <c r="V361" i="20" s="1"/>
  <c r="AC341" i="20"/>
  <c r="N361" i="20" s="1"/>
  <c r="U341" i="20"/>
  <c r="F361" i="20" s="1"/>
  <c r="AQ341" i="20"/>
  <c r="AB361" i="20" s="1"/>
  <c r="AG341" i="20"/>
  <c r="R361" i="20" s="1"/>
  <c r="W341" i="20"/>
  <c r="H361" i="20" s="1"/>
  <c r="AP341" i="20"/>
  <c r="AA361" i="20" s="1"/>
  <c r="AF341" i="20"/>
  <c r="Q361" i="20" s="1"/>
  <c r="T341" i="20"/>
  <c r="E361" i="20" s="1"/>
  <c r="AH341" i="20"/>
  <c r="S361" i="20" s="1"/>
  <c r="R341" i="20"/>
  <c r="C361" i="20" s="1"/>
  <c r="AE341" i="20"/>
  <c r="P361" i="20" s="1"/>
  <c r="Q341" i="20"/>
  <c r="B361" i="20" s="1"/>
  <c r="AO341" i="20"/>
  <c r="Z361" i="20" s="1"/>
  <c r="AA341" i="20"/>
  <c r="L361" i="20" s="1"/>
  <c r="AM341" i="20"/>
  <c r="X361" i="20" s="1"/>
  <c r="Y341" i="20"/>
  <c r="J361" i="20" s="1"/>
  <c r="AR341" i="20"/>
  <c r="AC361" i="20" s="1"/>
  <c r="Z342" i="20"/>
  <c r="K362" i="20" s="1"/>
  <c r="W347" i="20"/>
  <c r="H367" i="20" s="1"/>
  <c r="Y234" i="20"/>
  <c r="J254" i="20" s="1"/>
  <c r="AG234" i="20"/>
  <c r="R254" i="20" s="1"/>
  <c r="X236" i="20"/>
  <c r="I256" i="20" s="1"/>
  <c r="AF236" i="20"/>
  <c r="Q256" i="20" s="1"/>
  <c r="V238" i="20"/>
  <c r="G258" i="20" s="1"/>
  <c r="AD238" i="20"/>
  <c r="O258" i="20" s="1"/>
  <c r="S241" i="20"/>
  <c r="D261" i="20" s="1"/>
  <c r="AA241" i="20"/>
  <c r="L261" i="20" s="1"/>
  <c r="AI241" i="20"/>
  <c r="T261" i="20" s="1"/>
  <c r="T334" i="20"/>
  <c r="E354" i="20" s="1"/>
  <c r="AN334" i="20"/>
  <c r="Y354" i="20" s="1"/>
  <c r="S341" i="20"/>
  <c r="D361" i="20" s="1"/>
  <c r="AQ345" i="20"/>
  <c r="AB365" i="20" s="1"/>
  <c r="AI345" i="20"/>
  <c r="T365" i="20" s="1"/>
  <c r="AA345" i="20"/>
  <c r="L365" i="20" s="1"/>
  <c r="S345" i="20"/>
  <c r="D365" i="20" s="1"/>
  <c r="AP345" i="20"/>
  <c r="AA365" i="20" s="1"/>
  <c r="AH345" i="20"/>
  <c r="S365" i="20" s="1"/>
  <c r="Z345" i="20"/>
  <c r="K365" i="20" s="1"/>
  <c r="R345" i="20"/>
  <c r="C365" i="20" s="1"/>
  <c r="AK345" i="20"/>
  <c r="V365" i="20" s="1"/>
  <c r="Y345" i="20"/>
  <c r="J365" i="20" s="1"/>
  <c r="AJ345" i="20"/>
  <c r="U365" i="20" s="1"/>
  <c r="X345" i="20"/>
  <c r="I365" i="20" s="1"/>
  <c r="AM345" i="20"/>
  <c r="X365" i="20" s="1"/>
  <c r="W345" i="20"/>
  <c r="H365" i="20" s="1"/>
  <c r="AL345" i="20"/>
  <c r="W365" i="20" s="1"/>
  <c r="V345" i="20"/>
  <c r="G365" i="20" s="1"/>
  <c r="AG345" i="20"/>
  <c r="R365" i="20" s="1"/>
  <c r="U345" i="20"/>
  <c r="F365" i="20" s="1"/>
  <c r="AE345" i="20"/>
  <c r="P365" i="20" s="1"/>
  <c r="Q345" i="20"/>
  <c r="B365" i="20" s="1"/>
  <c r="AO345" i="20"/>
  <c r="Z365" i="20" s="1"/>
  <c r="AC345" i="20"/>
  <c r="N365" i="20" s="1"/>
  <c r="AA347" i="20"/>
  <c r="L367" i="20" s="1"/>
  <c r="AO335" i="20"/>
  <c r="Z355" i="20" s="1"/>
  <c r="V336" i="20"/>
  <c r="G356" i="20" s="1"/>
  <c r="AH336" i="20"/>
  <c r="S356" i="20" s="1"/>
  <c r="AR336" i="20"/>
  <c r="AC356" i="20" s="1"/>
  <c r="AC360" i="20"/>
  <c r="L360" i="20"/>
  <c r="I360" i="20"/>
  <c r="AK342" i="20"/>
  <c r="V362" i="20" s="1"/>
  <c r="AC342" i="20"/>
  <c r="N362" i="20" s="1"/>
  <c r="U342" i="20"/>
  <c r="F362" i="20" s="1"/>
  <c r="AR342" i="20"/>
  <c r="AC362" i="20" s="1"/>
  <c r="AJ342" i="20"/>
  <c r="U362" i="20" s="1"/>
  <c r="AB342" i="20"/>
  <c r="M362" i="20" s="1"/>
  <c r="T342" i="20"/>
  <c r="E362" i="20" s="1"/>
  <c r="AN342" i="20"/>
  <c r="Y362" i="20" s="1"/>
  <c r="AD342" i="20"/>
  <c r="O362" i="20" s="1"/>
  <c r="R342" i="20"/>
  <c r="C362" i="20" s="1"/>
  <c r="AM342" i="20"/>
  <c r="X362" i="20" s="1"/>
  <c r="AA342" i="20"/>
  <c r="L362" i="20" s="1"/>
  <c r="Q342" i="20"/>
  <c r="B362" i="20" s="1"/>
  <c r="AF342" i="20"/>
  <c r="Q362" i="20" s="1"/>
  <c r="T346" i="20"/>
  <c r="E366" i="20" s="1"/>
  <c r="AF346" i="20"/>
  <c r="Q366" i="20" s="1"/>
  <c r="Y350" i="20"/>
  <c r="J370" i="20" s="1"/>
  <c r="AM350" i="20"/>
  <c r="X370" i="20" s="1"/>
  <c r="A400" i="20"/>
  <c r="A388" i="20"/>
  <c r="A389" i="20"/>
  <c r="A401" i="20"/>
  <c r="AN336" i="20"/>
  <c r="Y356" i="20" s="1"/>
  <c r="Z336" i="20"/>
  <c r="K356" i="20" s="1"/>
  <c r="AJ336" i="20"/>
  <c r="U356" i="20" s="1"/>
  <c r="V337" i="20"/>
  <c r="G357" i="20" s="1"/>
  <c r="AL337" i="20"/>
  <c r="W357" i="20" s="1"/>
  <c r="U339" i="20"/>
  <c r="F359" i="20" s="1"/>
  <c r="AI339" i="20"/>
  <c r="T359" i="20" s="1"/>
  <c r="V342" i="20"/>
  <c r="G362" i="20" s="1"/>
  <c r="AH342" i="20"/>
  <c r="S362" i="20" s="1"/>
  <c r="X343" i="20"/>
  <c r="I363" i="20" s="1"/>
  <c r="AN343" i="20"/>
  <c r="Y363" i="20" s="1"/>
  <c r="V346" i="20"/>
  <c r="G366" i="20" s="1"/>
  <c r="AL346" i="20"/>
  <c r="W366" i="20" s="1"/>
  <c r="AI348" i="20"/>
  <c r="AA350" i="20"/>
  <c r="L370" i="20" s="1"/>
  <c r="AO347" i="20"/>
  <c r="Z367" i="20" s="1"/>
  <c r="AL350" i="20"/>
  <c r="W370" i="20" s="1"/>
  <c r="AD350" i="20"/>
  <c r="O370" i="20" s="1"/>
  <c r="V350" i="20"/>
  <c r="G370" i="20" s="1"/>
  <c r="AK350" i="20"/>
  <c r="V370" i="20" s="1"/>
  <c r="AC350" i="20"/>
  <c r="N370" i="20" s="1"/>
  <c r="U350" i="20"/>
  <c r="F370" i="20" s="1"/>
  <c r="AQ350" i="20"/>
  <c r="AB370" i="20" s="1"/>
  <c r="AG350" i="20"/>
  <c r="R370" i="20" s="1"/>
  <c r="W350" i="20"/>
  <c r="H370" i="20" s="1"/>
  <c r="AP350" i="20"/>
  <c r="AA370" i="20" s="1"/>
  <c r="AF350" i="20"/>
  <c r="Q370" i="20" s="1"/>
  <c r="T350" i="20"/>
  <c r="E370" i="20" s="1"/>
  <c r="AB350" i="20"/>
  <c r="M370" i="20" s="1"/>
  <c r="AR350" i="20"/>
  <c r="AC370" i="20" s="1"/>
  <c r="A398" i="20"/>
  <c r="A386" i="20"/>
  <c r="R336" i="20"/>
  <c r="C356" i="20" s="1"/>
  <c r="AB336" i="20"/>
  <c r="M356" i="20" s="1"/>
  <c r="AL336" i="20"/>
  <c r="W356" i="20" s="1"/>
  <c r="AB337" i="20"/>
  <c r="M357" i="20" s="1"/>
  <c r="Y339" i="20"/>
  <c r="J359" i="20" s="1"/>
  <c r="X342" i="20"/>
  <c r="I362" i="20" s="1"/>
  <c r="AL342" i="20"/>
  <c r="W362" i="20" s="1"/>
  <c r="AK343" i="20"/>
  <c r="V363" i="20" s="1"/>
  <c r="AD343" i="20"/>
  <c r="O363" i="20" s="1"/>
  <c r="AP343" i="20"/>
  <c r="AA363" i="20" s="1"/>
  <c r="AB346" i="20"/>
  <c r="M366" i="20" s="1"/>
  <c r="AN346" i="20"/>
  <c r="Y366" i="20" s="1"/>
  <c r="Y348" i="20"/>
  <c r="Q350" i="20"/>
  <c r="B370" i="20" s="1"/>
  <c r="AE350" i="20"/>
  <c r="P370" i="20" s="1"/>
  <c r="S336" i="20"/>
  <c r="D356" i="20" s="1"/>
  <c r="AC336" i="20"/>
  <c r="N356" i="20" s="1"/>
  <c r="AP337" i="20"/>
  <c r="AA357" i="20" s="1"/>
  <c r="AH337" i="20"/>
  <c r="S357" i="20" s="1"/>
  <c r="Z337" i="20"/>
  <c r="K357" i="20" s="1"/>
  <c r="R337" i="20"/>
  <c r="C357" i="20" s="1"/>
  <c r="AO337" i="20"/>
  <c r="Z357" i="20" s="1"/>
  <c r="AG337" i="20"/>
  <c r="R357" i="20" s="1"/>
  <c r="Y337" i="20"/>
  <c r="J357" i="20" s="1"/>
  <c r="AJ337" i="20"/>
  <c r="U357" i="20" s="1"/>
  <c r="X337" i="20"/>
  <c r="I357" i="20" s="1"/>
  <c r="AI337" i="20"/>
  <c r="T357" i="20" s="1"/>
  <c r="W337" i="20"/>
  <c r="H357" i="20" s="1"/>
  <c r="AC337" i="20"/>
  <c r="N357" i="20" s="1"/>
  <c r="AQ337" i="20"/>
  <c r="AB357" i="20" s="1"/>
  <c r="AO339" i="20"/>
  <c r="Z359" i="20" s="1"/>
  <c r="AC339" i="20"/>
  <c r="N359" i="20" s="1"/>
  <c r="S339" i="20"/>
  <c r="D359" i="20" s="1"/>
  <c r="AL339" i="20"/>
  <c r="W359" i="20" s="1"/>
  <c r="AB339" i="20"/>
  <c r="M359" i="20" s="1"/>
  <c r="R339" i="20"/>
  <c r="C359" i="20" s="1"/>
  <c r="Z339" i="20"/>
  <c r="K359" i="20" s="1"/>
  <c r="AP339" i="20"/>
  <c r="AA359" i="20" s="1"/>
  <c r="Y342" i="20"/>
  <c r="J362" i="20" s="1"/>
  <c r="AO342" i="20"/>
  <c r="Z362" i="20" s="1"/>
  <c r="Q343" i="20"/>
  <c r="B363" i="20" s="1"/>
  <c r="AC346" i="20"/>
  <c r="N366" i="20" s="1"/>
  <c r="AM348" i="20"/>
  <c r="AE348" i="20"/>
  <c r="W348" i="20"/>
  <c r="AO348" i="20"/>
  <c r="AC348" i="20"/>
  <c r="S348" i="20"/>
  <c r="AL348" i="20"/>
  <c r="AB348" i="20"/>
  <c r="R348" i="20"/>
  <c r="Z348" i="20"/>
  <c r="AP348" i="20"/>
  <c r="R350" i="20"/>
  <c r="C370" i="20" s="1"/>
  <c r="AH350" i="20"/>
  <c r="S370" i="20" s="1"/>
  <c r="AP346" i="20"/>
  <c r="AA366" i="20" s="1"/>
  <c r="AH346" i="20"/>
  <c r="S366" i="20" s="1"/>
  <c r="Z346" i="20"/>
  <c r="K366" i="20" s="1"/>
  <c r="R346" i="20"/>
  <c r="C366" i="20" s="1"/>
  <c r="AO346" i="20"/>
  <c r="Z366" i="20" s="1"/>
  <c r="AG346" i="20"/>
  <c r="R366" i="20" s="1"/>
  <c r="Y346" i="20"/>
  <c r="J366" i="20" s="1"/>
  <c r="Q346" i="20"/>
  <c r="B366" i="20" s="1"/>
  <c r="AJ346" i="20"/>
  <c r="U366" i="20" s="1"/>
  <c r="X346" i="20"/>
  <c r="I366" i="20" s="1"/>
  <c r="AI346" i="20"/>
  <c r="T366" i="20" s="1"/>
  <c r="W346" i="20"/>
  <c r="H366" i="20" s="1"/>
  <c r="AD346" i="20"/>
  <c r="O366" i="20" s="1"/>
  <c r="AR346" i="20"/>
  <c r="AC366" i="20" s="1"/>
  <c r="S350" i="20"/>
  <c r="D370" i="20" s="1"/>
  <c r="AI350" i="20"/>
  <c r="T370" i="20" s="1"/>
  <c r="Z360" i="20"/>
  <c r="X335" i="20"/>
  <c r="I355" i="20" s="1"/>
  <c r="AF335" i="20"/>
  <c r="Q355" i="20" s="1"/>
  <c r="AN335" i="20"/>
  <c r="Y355" i="20" s="1"/>
  <c r="W336" i="20"/>
  <c r="H356" i="20" s="1"/>
  <c r="AE336" i="20"/>
  <c r="P356" i="20" s="1"/>
  <c r="AM336" i="20"/>
  <c r="X356" i="20" s="1"/>
  <c r="Y340" i="20"/>
  <c r="J360" i="20" s="1"/>
  <c r="Y343" i="20"/>
  <c r="J363" i="20" s="1"/>
  <c r="Y349" i="20"/>
  <c r="X439" i="20"/>
  <c r="I459" i="20" s="1"/>
  <c r="AP440" i="20"/>
  <c r="AA460" i="20" s="1"/>
  <c r="Y441" i="20"/>
  <c r="J461" i="20" s="1"/>
  <c r="AJ442" i="20"/>
  <c r="U462" i="20" s="1"/>
  <c r="X443" i="20"/>
  <c r="I463" i="20" s="1"/>
  <c r="S447" i="20"/>
  <c r="D467" i="20" s="1"/>
  <c r="X336" i="20"/>
  <c r="I356" i="20" s="1"/>
  <c r="AF336" i="20"/>
  <c r="Q356" i="20" s="1"/>
  <c r="AM340" i="20"/>
  <c r="X360" i="20" s="1"/>
  <c r="AE340" i="20"/>
  <c r="P360" i="20" s="1"/>
  <c r="W340" i="20"/>
  <c r="H360" i="20" s="1"/>
  <c r="AL340" i="20"/>
  <c r="W360" i="20" s="1"/>
  <c r="AD340" i="20"/>
  <c r="O360" i="20" s="1"/>
  <c r="V340" i="20"/>
  <c r="G360" i="20" s="1"/>
  <c r="Z340" i="20"/>
  <c r="K360" i="20" s="1"/>
  <c r="AJ340" i="20"/>
  <c r="U360" i="20" s="1"/>
  <c r="AR343" i="20"/>
  <c r="AC363" i="20" s="1"/>
  <c r="AJ343" i="20"/>
  <c r="U363" i="20" s="1"/>
  <c r="AB343" i="20"/>
  <c r="M363" i="20" s="1"/>
  <c r="T343" i="20"/>
  <c r="E363" i="20" s="1"/>
  <c r="AQ343" i="20"/>
  <c r="AB363" i="20" s="1"/>
  <c r="AI343" i="20"/>
  <c r="T363" i="20" s="1"/>
  <c r="AA343" i="20"/>
  <c r="L363" i="20" s="1"/>
  <c r="S343" i="20"/>
  <c r="D363" i="20" s="1"/>
  <c r="Z343" i="20"/>
  <c r="K363" i="20" s="1"/>
  <c r="AL343" i="20"/>
  <c r="W363" i="20" s="1"/>
  <c r="AM349" i="20"/>
  <c r="AE349" i="20"/>
  <c r="W349" i="20"/>
  <c r="AL349" i="20"/>
  <c r="AD349" i="20"/>
  <c r="V349" i="20"/>
  <c r="Z349" i="20"/>
  <c r="AJ349" i="20"/>
  <c r="AE439" i="20"/>
  <c r="P459" i="20" s="1"/>
  <c r="AK440" i="20"/>
  <c r="V460" i="20" s="1"/>
  <c r="AE443" i="20"/>
  <c r="P463" i="20" s="1"/>
  <c r="AQ445" i="20"/>
  <c r="AB465" i="20" s="1"/>
  <c r="AI445" i="20"/>
  <c r="T465" i="20" s="1"/>
  <c r="AA445" i="20"/>
  <c r="L465" i="20" s="1"/>
  <c r="S445" i="20"/>
  <c r="D465" i="20" s="1"/>
  <c r="AL445" i="20"/>
  <c r="W465" i="20" s="1"/>
  <c r="V445" i="20"/>
  <c r="G465" i="20" s="1"/>
  <c r="AK445" i="20"/>
  <c r="V465" i="20" s="1"/>
  <c r="U445" i="20"/>
  <c r="F465" i="20" s="1"/>
  <c r="Y445" i="20"/>
  <c r="J465" i="20" s="1"/>
  <c r="AG445" i="20"/>
  <c r="R465" i="20" s="1"/>
  <c r="AC445" i="20"/>
  <c r="N465" i="20" s="1"/>
  <c r="Z445" i="20"/>
  <c r="K465" i="20" s="1"/>
  <c r="AP445" i="20"/>
  <c r="AA465" i="20" s="1"/>
  <c r="T447" i="20"/>
  <c r="E467" i="20" s="1"/>
  <c r="AA448" i="20"/>
  <c r="L468" i="20" s="1"/>
  <c r="AM448" i="20"/>
  <c r="X468" i="20" s="1"/>
  <c r="AF439" i="20"/>
  <c r="Q459" i="20" s="1"/>
  <c r="R440" i="20"/>
  <c r="C460" i="20" s="1"/>
  <c r="AQ442" i="20"/>
  <c r="AB462" i="20" s="1"/>
  <c r="AI442" i="20"/>
  <c r="T462" i="20" s="1"/>
  <c r="AA442" i="20"/>
  <c r="L462" i="20" s="1"/>
  <c r="S442" i="20"/>
  <c r="D462" i="20" s="1"/>
  <c r="AP442" i="20"/>
  <c r="AA462" i="20" s="1"/>
  <c r="AH442" i="20"/>
  <c r="S462" i="20" s="1"/>
  <c r="Z442" i="20"/>
  <c r="K462" i="20" s="1"/>
  <c r="R442" i="20"/>
  <c r="C462" i="20" s="1"/>
  <c r="AM442" i="20"/>
  <c r="X462" i="20" s="1"/>
  <c r="AE442" i="20"/>
  <c r="P462" i="20" s="1"/>
  <c r="W442" i="20"/>
  <c r="H462" i="20" s="1"/>
  <c r="AL442" i="20"/>
  <c r="W462" i="20" s="1"/>
  <c r="AD442" i="20"/>
  <c r="O462" i="20" s="1"/>
  <c r="V442" i="20"/>
  <c r="G462" i="20" s="1"/>
  <c r="AO442" i="20"/>
  <c r="Z462" i="20" s="1"/>
  <c r="Y442" i="20"/>
  <c r="J462" i="20" s="1"/>
  <c r="AN442" i="20"/>
  <c r="Y462" i="20" s="1"/>
  <c r="X442" i="20"/>
  <c r="I462" i="20" s="1"/>
  <c r="U442" i="20"/>
  <c r="F462" i="20" s="1"/>
  <c r="AR442" i="20"/>
  <c r="AC462" i="20" s="1"/>
  <c r="T442" i="20"/>
  <c r="E462" i="20" s="1"/>
  <c r="AF443" i="20"/>
  <c r="Q463" i="20" s="1"/>
  <c r="AF447" i="20"/>
  <c r="Q467" i="20" s="1"/>
  <c r="AQ453" i="20"/>
  <c r="AI453" i="20"/>
  <c r="AA453" i="20"/>
  <c r="S453" i="20"/>
  <c r="AK453" i="20"/>
  <c r="AB453" i="20"/>
  <c r="R453" i="20"/>
  <c r="AJ453" i="20"/>
  <c r="Z453" i="20"/>
  <c r="Q453" i="20"/>
  <c r="AR453" i="20"/>
  <c r="AH453" i="20"/>
  <c r="AP453" i="20"/>
  <c r="AG453" i="20"/>
  <c r="X453" i="20"/>
  <c r="AO453" i="20"/>
  <c r="AF453" i="20"/>
  <c r="W453" i="20"/>
  <c r="AN453" i="20"/>
  <c r="AE453" i="20"/>
  <c r="V453" i="20"/>
  <c r="AD453" i="20"/>
  <c r="AC453" i="20"/>
  <c r="T453" i="20"/>
  <c r="AM453" i="20"/>
  <c r="Y453" i="20"/>
  <c r="U453" i="20"/>
  <c r="AI439" i="20"/>
  <c r="T459" i="20" s="1"/>
  <c r="AA440" i="20"/>
  <c r="L460" i="20" s="1"/>
  <c r="AM441" i="20"/>
  <c r="X461" i="20" s="1"/>
  <c r="AE441" i="20"/>
  <c r="P461" i="20" s="1"/>
  <c r="W441" i="20"/>
  <c r="H461" i="20" s="1"/>
  <c r="AD441" i="20"/>
  <c r="O461" i="20" s="1"/>
  <c r="AC441" i="20"/>
  <c r="N461" i="20" s="1"/>
  <c r="AP441" i="20"/>
  <c r="AA461" i="20" s="1"/>
  <c r="V441" i="20"/>
  <c r="G461" i="20" s="1"/>
  <c r="AO441" i="20"/>
  <c r="Z461" i="20" s="1"/>
  <c r="U441" i="20"/>
  <c r="F461" i="20" s="1"/>
  <c r="AH441" i="20"/>
  <c r="S461" i="20" s="1"/>
  <c r="Q442" i="20"/>
  <c r="B462" i="20" s="1"/>
  <c r="AM443" i="20"/>
  <c r="X463" i="20" s="1"/>
  <c r="AJ447" i="20"/>
  <c r="U467" i="20" s="1"/>
  <c r="AL453" i="20"/>
  <c r="AD440" i="20"/>
  <c r="O460" i="20" s="1"/>
  <c r="AB442" i="20"/>
  <c r="M462" i="20" s="1"/>
  <c r="AN443" i="20"/>
  <c r="Y463" i="20" s="1"/>
  <c r="AM447" i="20"/>
  <c r="X467" i="20" s="1"/>
  <c r="A390" i="20"/>
  <c r="AL439" i="20"/>
  <c r="W459" i="20" s="1"/>
  <c r="AD439" i="20"/>
  <c r="O459" i="20" s="1"/>
  <c r="V439" i="20"/>
  <c r="G459" i="20" s="1"/>
  <c r="AK439" i="20"/>
  <c r="V459" i="20" s="1"/>
  <c r="AC439" i="20"/>
  <c r="N459" i="20" s="1"/>
  <c r="U439" i="20"/>
  <c r="F459" i="20" s="1"/>
  <c r="AP439" i="20"/>
  <c r="AA459" i="20" s="1"/>
  <c r="AH439" i="20"/>
  <c r="S459" i="20" s="1"/>
  <c r="Z439" i="20"/>
  <c r="K459" i="20" s="1"/>
  <c r="R439" i="20"/>
  <c r="C459" i="20" s="1"/>
  <c r="AO439" i="20"/>
  <c r="Z459" i="20" s="1"/>
  <c r="AG439" i="20"/>
  <c r="R459" i="20" s="1"/>
  <c r="Y439" i="20"/>
  <c r="J459" i="20" s="1"/>
  <c r="Q439" i="20"/>
  <c r="B459" i="20" s="1"/>
  <c r="AR439" i="20"/>
  <c r="AC459" i="20" s="1"/>
  <c r="AB439" i="20"/>
  <c r="M459" i="20" s="1"/>
  <c r="AQ439" i="20"/>
  <c r="AB459" i="20" s="1"/>
  <c r="AA439" i="20"/>
  <c r="L459" i="20" s="1"/>
  <c r="AN439" i="20"/>
  <c r="Y459" i="20" s="1"/>
  <c r="T439" i="20"/>
  <c r="E459" i="20" s="1"/>
  <c r="AM439" i="20"/>
  <c r="X459" i="20" s="1"/>
  <c r="S439" i="20"/>
  <c r="D459" i="20" s="1"/>
  <c r="AP443" i="20"/>
  <c r="AA463" i="20" s="1"/>
  <c r="AH443" i="20"/>
  <c r="S463" i="20" s="1"/>
  <c r="Z443" i="20"/>
  <c r="K463" i="20" s="1"/>
  <c r="R443" i="20"/>
  <c r="C463" i="20" s="1"/>
  <c r="AO443" i="20"/>
  <c r="Z463" i="20" s="1"/>
  <c r="AG443" i="20"/>
  <c r="R463" i="20" s="1"/>
  <c r="Y443" i="20"/>
  <c r="J463" i="20" s="1"/>
  <c r="Q443" i="20"/>
  <c r="B463" i="20" s="1"/>
  <c r="AL443" i="20"/>
  <c r="W463" i="20" s="1"/>
  <c r="AD443" i="20"/>
  <c r="O463" i="20" s="1"/>
  <c r="V443" i="20"/>
  <c r="G463" i="20" s="1"/>
  <c r="AK443" i="20"/>
  <c r="V463" i="20" s="1"/>
  <c r="AC443" i="20"/>
  <c r="N463" i="20" s="1"/>
  <c r="U443" i="20"/>
  <c r="F463" i="20" s="1"/>
  <c r="AJ443" i="20"/>
  <c r="U463" i="20" s="1"/>
  <c r="T443" i="20"/>
  <c r="E463" i="20" s="1"/>
  <c r="AI443" i="20"/>
  <c r="T463" i="20" s="1"/>
  <c r="S443" i="20"/>
  <c r="D463" i="20" s="1"/>
  <c r="AB443" i="20"/>
  <c r="M463" i="20" s="1"/>
  <c r="AA443" i="20"/>
  <c r="L463" i="20" s="1"/>
  <c r="AR443" i="20"/>
  <c r="AC463" i="20" s="1"/>
  <c r="A391" i="20"/>
  <c r="A397" i="20"/>
  <c r="W439" i="20"/>
  <c r="H459" i="20" s="1"/>
  <c r="AL440" i="20"/>
  <c r="W460" i="20" s="1"/>
  <c r="V440" i="20"/>
  <c r="G460" i="20" s="1"/>
  <c r="AI440" i="20"/>
  <c r="T460" i="20" s="1"/>
  <c r="S440" i="20"/>
  <c r="D460" i="20" s="1"/>
  <c r="Z440" i="20"/>
  <c r="K460" i="20" s="1"/>
  <c r="AQ440" i="20"/>
  <c r="AB460" i="20" s="1"/>
  <c r="W440" i="20"/>
  <c r="H460" i="20" s="1"/>
  <c r="AM440" i="20"/>
  <c r="X460" i="20" s="1"/>
  <c r="W443" i="20"/>
  <c r="H463" i="20" s="1"/>
  <c r="AL447" i="20"/>
  <c r="W467" i="20" s="1"/>
  <c r="AD447" i="20"/>
  <c r="O467" i="20" s="1"/>
  <c r="V447" i="20"/>
  <c r="G467" i="20" s="1"/>
  <c r="AK447" i="20"/>
  <c r="V467" i="20" s="1"/>
  <c r="AC447" i="20"/>
  <c r="N467" i="20" s="1"/>
  <c r="U447" i="20"/>
  <c r="F467" i="20" s="1"/>
  <c r="AP447" i="20"/>
  <c r="AA467" i="20" s="1"/>
  <c r="AH447" i="20"/>
  <c r="S467" i="20" s="1"/>
  <c r="Z447" i="20"/>
  <c r="K467" i="20" s="1"/>
  <c r="R447" i="20"/>
  <c r="C467" i="20" s="1"/>
  <c r="AO447" i="20"/>
  <c r="Z467" i="20" s="1"/>
  <c r="AG447" i="20"/>
  <c r="R467" i="20" s="1"/>
  <c r="Y447" i="20"/>
  <c r="J467" i="20" s="1"/>
  <c r="Q447" i="20"/>
  <c r="B467" i="20" s="1"/>
  <c r="AR447" i="20"/>
  <c r="AC467" i="20" s="1"/>
  <c r="AB447" i="20"/>
  <c r="M467" i="20" s="1"/>
  <c r="AQ447" i="20"/>
  <c r="AB467" i="20" s="1"/>
  <c r="AA447" i="20"/>
  <c r="L467" i="20" s="1"/>
  <c r="W447" i="20"/>
  <c r="H467" i="20" s="1"/>
  <c r="AI447" i="20"/>
  <c r="T467" i="20" s="1"/>
  <c r="AE447" i="20"/>
  <c r="P467" i="20" s="1"/>
  <c r="X447" i="20"/>
  <c r="I467" i="20" s="1"/>
  <c r="X338" i="20"/>
  <c r="I358" i="20" s="1"/>
  <c r="AF338" i="20"/>
  <c r="Q358" i="20" s="1"/>
  <c r="AN338" i="20"/>
  <c r="Y358" i="20" s="1"/>
  <c r="W339" i="20"/>
  <c r="H359" i="20" s="1"/>
  <c r="AE339" i="20"/>
  <c r="P359" i="20" s="1"/>
  <c r="AM339" i="20"/>
  <c r="X359" i="20" s="1"/>
  <c r="X347" i="20"/>
  <c r="I367" i="20" s="1"/>
  <c r="AF347" i="20"/>
  <c r="Q367" i="20" s="1"/>
  <c r="AN347" i="20"/>
  <c r="Y367" i="20" s="1"/>
  <c r="T450" i="20"/>
  <c r="E470" i="20" s="1"/>
  <c r="AM450" i="20"/>
  <c r="X470" i="20" s="1"/>
  <c r="AE450" i="20"/>
  <c r="P470" i="20" s="1"/>
  <c r="W450" i="20"/>
  <c r="H470" i="20" s="1"/>
  <c r="AD450" i="20"/>
  <c r="O470" i="20" s="1"/>
  <c r="AC450" i="20"/>
  <c r="N470" i="20" s="1"/>
  <c r="Z450" i="20"/>
  <c r="K470" i="20" s="1"/>
  <c r="AC451" i="20"/>
  <c r="N471" i="20" s="1"/>
  <c r="Q338" i="20"/>
  <c r="B358" i="20" s="1"/>
  <c r="Y338" i="20"/>
  <c r="J358" i="20" s="1"/>
  <c r="AG338" i="20"/>
  <c r="R358" i="20" s="1"/>
  <c r="X339" i="20"/>
  <c r="I359" i="20" s="1"/>
  <c r="AF339" i="20"/>
  <c r="Q359" i="20" s="1"/>
  <c r="Q347" i="20"/>
  <c r="B367" i="20" s="1"/>
  <c r="Y347" i="20"/>
  <c r="J367" i="20" s="1"/>
  <c r="AG347" i="20"/>
  <c r="R367" i="20" s="1"/>
  <c r="X348" i="20"/>
  <c r="AF348" i="20"/>
  <c r="AL448" i="20"/>
  <c r="W468" i="20" s="1"/>
  <c r="V448" i="20"/>
  <c r="G468" i="20" s="1"/>
  <c r="AI448" i="20"/>
  <c r="T468" i="20" s="1"/>
  <c r="S448" i="20"/>
  <c r="D468" i="20" s="1"/>
  <c r="AE448" i="20"/>
  <c r="P468" i="20" s="1"/>
  <c r="AR452" i="20"/>
  <c r="AC472" i="20" s="1"/>
  <c r="AP452" i="20"/>
  <c r="AA472" i="20" s="1"/>
  <c r="AH452" i="20"/>
  <c r="S472" i="20" s="1"/>
  <c r="Z452" i="20"/>
  <c r="K472" i="20" s="1"/>
  <c r="R452" i="20"/>
  <c r="C472" i="20" s="1"/>
  <c r="AO452" i="20"/>
  <c r="Z472" i="20" s="1"/>
  <c r="AG452" i="20"/>
  <c r="R472" i="20" s="1"/>
  <c r="Y452" i="20"/>
  <c r="J472" i="20" s="1"/>
  <c r="Q452" i="20"/>
  <c r="B472" i="20" s="1"/>
  <c r="AM452" i="20"/>
  <c r="X472" i="20" s="1"/>
  <c r="AE452" i="20"/>
  <c r="P472" i="20" s="1"/>
  <c r="W452" i="20"/>
  <c r="H472" i="20" s="1"/>
  <c r="AL452" i="20"/>
  <c r="W472" i="20" s="1"/>
  <c r="AD452" i="20"/>
  <c r="O472" i="20" s="1"/>
  <c r="V452" i="20"/>
  <c r="G472" i="20" s="1"/>
  <c r="AK452" i="20"/>
  <c r="V472" i="20" s="1"/>
  <c r="AC452" i="20"/>
  <c r="N472" i="20" s="1"/>
  <c r="U452" i="20"/>
  <c r="F472" i="20" s="1"/>
  <c r="AA452" i="20"/>
  <c r="L472" i="20" s="1"/>
  <c r="X452" i="20"/>
  <c r="I472" i="20" s="1"/>
  <c r="AQ452" i="20"/>
  <c r="AB472" i="20" s="1"/>
  <c r="AK448" i="20"/>
  <c r="V468" i="20" s="1"/>
  <c r="AQ451" i="20"/>
  <c r="AB471" i="20" s="1"/>
  <c r="AI451" i="20"/>
  <c r="T471" i="20" s="1"/>
  <c r="AA451" i="20"/>
  <c r="L471" i="20" s="1"/>
  <c r="S451" i="20"/>
  <c r="D471" i="20" s="1"/>
  <c r="AP451" i="20"/>
  <c r="AA471" i="20" s="1"/>
  <c r="AH451" i="20"/>
  <c r="S471" i="20" s="1"/>
  <c r="Z451" i="20"/>
  <c r="K471" i="20" s="1"/>
  <c r="R451" i="20"/>
  <c r="C471" i="20" s="1"/>
  <c r="AN451" i="20"/>
  <c r="Y471" i="20" s="1"/>
  <c r="AF451" i="20"/>
  <c r="Q471" i="20" s="1"/>
  <c r="AM451" i="20"/>
  <c r="X471" i="20" s="1"/>
  <c r="AE451" i="20"/>
  <c r="P471" i="20" s="1"/>
  <c r="W451" i="20"/>
  <c r="H471" i="20" s="1"/>
  <c r="AL451" i="20"/>
  <c r="W471" i="20" s="1"/>
  <c r="AD451" i="20"/>
  <c r="O471" i="20" s="1"/>
  <c r="V451" i="20"/>
  <c r="G471" i="20" s="1"/>
  <c r="Y451" i="20"/>
  <c r="J471" i="20" s="1"/>
  <c r="AR451" i="20"/>
  <c r="AC471" i="20" s="1"/>
  <c r="X451" i="20"/>
  <c r="I471" i="20" s="1"/>
  <c r="AK451" i="20"/>
  <c r="V471" i="20" s="1"/>
  <c r="AB451" i="20"/>
  <c r="M471" i="20" s="1"/>
  <c r="AO444" i="20"/>
  <c r="Z464" i="20" s="1"/>
  <c r="AG444" i="20"/>
  <c r="R464" i="20" s="1"/>
  <c r="Y444" i="20"/>
  <c r="J464" i="20" s="1"/>
  <c r="Q444" i="20"/>
  <c r="B464" i="20" s="1"/>
  <c r="AK444" i="20"/>
  <c r="V464" i="20" s="1"/>
  <c r="AC444" i="20"/>
  <c r="N464" i="20" s="1"/>
  <c r="U444" i="20"/>
  <c r="F464" i="20" s="1"/>
  <c r="AR444" i="20"/>
  <c r="AC464" i="20" s="1"/>
  <c r="AJ444" i="20"/>
  <c r="U464" i="20" s="1"/>
  <c r="AB444" i="20"/>
  <c r="M464" i="20" s="1"/>
  <c r="T444" i="20"/>
  <c r="E464" i="20" s="1"/>
  <c r="AA444" i="20"/>
  <c r="L464" i="20" s="1"/>
  <c r="AQ444" i="20"/>
  <c r="AB464" i="20" s="1"/>
  <c r="AM446" i="20"/>
  <c r="X466" i="20" s="1"/>
  <c r="AE446" i="20"/>
  <c r="P466" i="20" s="1"/>
  <c r="W446" i="20"/>
  <c r="H466" i="20" s="1"/>
  <c r="AL446" i="20"/>
  <c r="W466" i="20" s="1"/>
  <c r="AD446" i="20"/>
  <c r="O466" i="20" s="1"/>
  <c r="V446" i="20"/>
  <c r="G466" i="20" s="1"/>
  <c r="AQ446" i="20"/>
  <c r="AB466" i="20" s="1"/>
  <c r="AI446" i="20"/>
  <c r="T466" i="20" s="1"/>
  <c r="AA446" i="20"/>
  <c r="L466" i="20" s="1"/>
  <c r="S446" i="20"/>
  <c r="D466" i="20" s="1"/>
  <c r="AP446" i="20"/>
  <c r="AA466" i="20" s="1"/>
  <c r="AH446" i="20"/>
  <c r="S466" i="20" s="1"/>
  <c r="Z446" i="20"/>
  <c r="K466" i="20" s="1"/>
  <c r="R446" i="20"/>
  <c r="C466" i="20" s="1"/>
  <c r="AF446" i="20"/>
  <c r="Q466" i="20" s="1"/>
  <c r="AR441" i="20"/>
  <c r="AC461" i="20" s="1"/>
  <c r="AG446" i="20"/>
  <c r="R466" i="20" s="1"/>
  <c r="AR450" i="20"/>
  <c r="AC470" i="20" s="1"/>
  <c r="A504" i="20"/>
  <c r="A492" i="20"/>
  <c r="X440" i="20"/>
  <c r="I460" i="20" s="1"/>
  <c r="AF440" i="20"/>
  <c r="Q460" i="20" s="1"/>
  <c r="AN440" i="20"/>
  <c r="Y460" i="20" s="1"/>
  <c r="X448" i="20"/>
  <c r="I468" i="20" s="1"/>
  <c r="AF448" i="20"/>
  <c r="Q468" i="20" s="1"/>
  <c r="AN448" i="20"/>
  <c r="Y468" i="20" s="1"/>
  <c r="AR454" i="20"/>
  <c r="AJ454" i="20"/>
  <c r="AB454" i="20"/>
  <c r="T454" i="20"/>
  <c r="AQ454" i="20"/>
  <c r="AI454" i="20"/>
  <c r="AA454" i="20"/>
  <c r="S454" i="20"/>
  <c r="AP454" i="20"/>
  <c r="AH454" i="20"/>
  <c r="Z454" i="20"/>
  <c r="R454" i="20"/>
  <c r="AD454" i="20"/>
  <c r="AO454" i="20"/>
  <c r="A490" i="20"/>
  <c r="Q440" i="20"/>
  <c r="B460" i="20" s="1"/>
  <c r="Y440" i="20"/>
  <c r="J460" i="20" s="1"/>
  <c r="AG440" i="20"/>
  <c r="R460" i="20" s="1"/>
  <c r="AO440" i="20"/>
  <c r="Z460" i="20" s="1"/>
  <c r="X441" i="20"/>
  <c r="I461" i="20" s="1"/>
  <c r="AF441" i="20"/>
  <c r="Q461" i="20" s="1"/>
  <c r="AN441" i="20"/>
  <c r="Y461" i="20" s="1"/>
  <c r="T445" i="20"/>
  <c r="E465" i="20" s="1"/>
  <c r="AB445" i="20"/>
  <c r="M465" i="20" s="1"/>
  <c r="AJ445" i="20"/>
  <c r="U465" i="20" s="1"/>
  <c r="AR445" i="20"/>
  <c r="AC465" i="20" s="1"/>
  <c r="Q448" i="20"/>
  <c r="B468" i="20" s="1"/>
  <c r="Y448" i="20"/>
  <c r="J468" i="20" s="1"/>
  <c r="AG448" i="20"/>
  <c r="R468" i="20" s="1"/>
  <c r="AO448" i="20"/>
  <c r="Z468" i="20" s="1"/>
  <c r="X450" i="20"/>
  <c r="I470" i="20" s="1"/>
  <c r="AF450" i="20"/>
  <c r="Q470" i="20" s="1"/>
  <c r="AN450" i="20"/>
  <c r="Y470" i="20" s="1"/>
  <c r="Q454" i="20"/>
  <c r="AE454" i="20"/>
  <c r="A493" i="20"/>
  <c r="A505" i="20"/>
  <c r="U454" i="20"/>
  <c r="AF454" i="20"/>
  <c r="V454" i="20"/>
  <c r="AG454" i="20"/>
  <c r="T440" i="20"/>
  <c r="E460" i="20" s="1"/>
  <c r="AB440" i="20"/>
  <c r="M460" i="20" s="1"/>
  <c r="AJ440" i="20"/>
  <c r="U460" i="20" s="1"/>
  <c r="AR440" i="20"/>
  <c r="AC460" i="20" s="1"/>
  <c r="S441" i="20"/>
  <c r="D461" i="20" s="1"/>
  <c r="AA441" i="20"/>
  <c r="L461" i="20" s="1"/>
  <c r="AI441" i="20"/>
  <c r="T461" i="20" s="1"/>
  <c r="AQ441" i="20"/>
  <c r="AB461" i="20" s="1"/>
  <c r="X444" i="20"/>
  <c r="I464" i="20" s="1"/>
  <c r="AF444" i="20"/>
  <c r="Q464" i="20" s="1"/>
  <c r="W445" i="20"/>
  <c r="H465" i="20" s="1"/>
  <c r="AE445" i="20"/>
  <c r="P465" i="20" s="1"/>
  <c r="AM445" i="20"/>
  <c r="X465" i="20" s="1"/>
  <c r="T448" i="20"/>
  <c r="E468" i="20" s="1"/>
  <c r="AB448" i="20"/>
  <c r="M468" i="20" s="1"/>
  <c r="AJ448" i="20"/>
  <c r="U468" i="20" s="1"/>
  <c r="AR448" i="20"/>
  <c r="AC468" i="20" s="1"/>
  <c r="S450" i="20"/>
  <c r="D470" i="20" s="1"/>
  <c r="AA450" i="20"/>
  <c r="L470" i="20" s="1"/>
  <c r="AI450" i="20"/>
  <c r="T470" i="20" s="1"/>
  <c r="AQ450" i="20"/>
  <c r="AB470" i="20" s="1"/>
  <c r="W454" i="20"/>
  <c r="AK454" i="20"/>
  <c r="U440" i="20"/>
  <c r="F460" i="20" s="1"/>
  <c r="AC440" i="20"/>
  <c r="N460" i="20" s="1"/>
  <c r="T441" i="20"/>
  <c r="E461" i="20" s="1"/>
  <c r="AB441" i="20"/>
  <c r="M461" i="20" s="1"/>
  <c r="AJ441" i="20"/>
  <c r="U461" i="20" s="1"/>
  <c r="X445" i="20"/>
  <c r="I465" i="20" s="1"/>
  <c r="AF445" i="20"/>
  <c r="Q465" i="20" s="1"/>
  <c r="U448" i="20"/>
  <c r="F468" i="20" s="1"/>
  <c r="AC448" i="20"/>
  <c r="N468" i="20" s="1"/>
  <c r="AB450" i="20"/>
  <c r="M470" i="20" s="1"/>
  <c r="AJ450" i="20"/>
  <c r="U470" i="20" s="1"/>
  <c r="X454" i="20"/>
  <c r="AL454" i="20"/>
  <c r="Y454" i="20"/>
  <c r="AM454" i="20"/>
  <c r="A496" i="20"/>
  <c r="A508" i="20"/>
  <c r="AC454" i="20"/>
  <c r="V455" i="20"/>
  <c r="G475" i="20" s="1"/>
  <c r="AD455" i="20"/>
  <c r="O475" i="20" s="1"/>
  <c r="AL455" i="20"/>
  <c r="W475" i="20" s="1"/>
  <c r="A495" i="20"/>
  <c r="X455" i="20"/>
  <c r="I475" i="20" s="1"/>
  <c r="AF455" i="20"/>
  <c r="Q475" i="20" s="1"/>
  <c r="AN455" i="20"/>
  <c r="Y475" i="20" s="1"/>
  <c r="Q455" i="20"/>
  <c r="B475" i="20" s="1"/>
  <c r="Y455" i="20"/>
  <c r="J475" i="20" s="1"/>
  <c r="AG455" i="20"/>
  <c r="R475" i="20" s="1"/>
  <c r="AO455" i="20"/>
  <c r="Z475" i="20" s="1"/>
  <c r="R455" i="20"/>
  <c r="C475" i="20" s="1"/>
  <c r="Z455" i="20"/>
  <c r="K475" i="20" s="1"/>
  <c r="AH455" i="20"/>
  <c r="S475" i="20" s="1"/>
  <c r="AP455" i="20"/>
  <c r="AA475" i="20" s="1"/>
  <c r="A503" i="20"/>
  <c r="A491" i="20"/>
  <c r="A509" i="20"/>
  <c r="A497" i="20"/>
  <c r="S455" i="20"/>
  <c r="D475" i="20" s="1"/>
  <c r="AA455" i="20"/>
  <c r="L475" i="20" s="1"/>
  <c r="AI455" i="20"/>
  <c r="T475" i="20" s="1"/>
  <c r="A494" i="20"/>
  <c r="A506" i="20"/>
  <c r="A65" i="19"/>
  <c r="A77" i="19"/>
  <c r="AM12" i="19"/>
  <c r="X32" i="19" s="1"/>
  <c r="AE12" i="19"/>
  <c r="P32" i="19" s="1"/>
  <c r="W12" i="19"/>
  <c r="H32" i="19" s="1"/>
  <c r="AL12" i="19"/>
  <c r="W32" i="19" s="1"/>
  <c r="AD12" i="19"/>
  <c r="O32" i="19" s="1"/>
  <c r="V12" i="19"/>
  <c r="G32" i="19" s="1"/>
  <c r="AK12" i="19"/>
  <c r="V32" i="19" s="1"/>
  <c r="AC12" i="19"/>
  <c r="N32" i="19" s="1"/>
  <c r="U12" i="19"/>
  <c r="F32" i="19" s="1"/>
  <c r="AQ12" i="19"/>
  <c r="AB32" i="19" s="1"/>
  <c r="AI12" i="19"/>
  <c r="T32" i="19" s="1"/>
  <c r="AA12" i="19"/>
  <c r="L32" i="19" s="1"/>
  <c r="S12" i="19"/>
  <c r="D32" i="19" s="1"/>
  <c r="AO12" i="19"/>
  <c r="Z32" i="19" s="1"/>
  <c r="AG12" i="19"/>
  <c r="R32" i="19" s="1"/>
  <c r="Y12" i="19"/>
  <c r="J32" i="19" s="1"/>
  <c r="Q12" i="19"/>
  <c r="B32" i="19" s="1"/>
  <c r="AJ12" i="19"/>
  <c r="U32" i="19" s="1"/>
  <c r="AL13" i="19"/>
  <c r="W33" i="19" s="1"/>
  <c r="AM13" i="19"/>
  <c r="X33" i="19" s="1"/>
  <c r="R14" i="19"/>
  <c r="C34" i="19" s="1"/>
  <c r="AC15" i="19"/>
  <c r="N35" i="19" s="1"/>
  <c r="AO15" i="19"/>
  <c r="Z35" i="19" s="1"/>
  <c r="Q15" i="19"/>
  <c r="B35" i="19" s="1"/>
  <c r="Y15" i="19"/>
  <c r="J35" i="19" s="1"/>
  <c r="AG15" i="19"/>
  <c r="R35" i="19" s="1"/>
  <c r="AK15" i="19"/>
  <c r="V35" i="19" s="1"/>
  <c r="U15" i="19"/>
  <c r="F35" i="19" s="1"/>
  <c r="X23" i="19"/>
  <c r="I43" i="19" s="1"/>
  <c r="W24" i="19"/>
  <c r="H44" i="19" s="1"/>
  <c r="Q13" i="19"/>
  <c r="B33" i="19" s="1"/>
  <c r="AO13" i="19"/>
  <c r="Z33" i="19" s="1"/>
  <c r="V14" i="19"/>
  <c r="G34" i="19" s="1"/>
  <c r="AR16" i="19"/>
  <c r="AC36" i="19" s="1"/>
  <c r="AF23" i="19"/>
  <c r="Q43" i="19" s="1"/>
  <c r="S13" i="19"/>
  <c r="D33" i="19" s="1"/>
  <c r="AQ13" i="19"/>
  <c r="AB33" i="19" s="1"/>
  <c r="X12" i="19"/>
  <c r="I32" i="19" s="1"/>
  <c r="AR12" i="19"/>
  <c r="AC32" i="19" s="1"/>
  <c r="W13" i="19"/>
  <c r="H33" i="19" s="1"/>
  <c r="AF14" i="19"/>
  <c r="Q34" i="19" s="1"/>
  <c r="AE15" i="19"/>
  <c r="P35" i="19" s="1"/>
  <c r="AD16" i="19"/>
  <c r="O36" i="19" s="1"/>
  <c r="A80" i="19"/>
  <c r="A68" i="19"/>
  <c r="A67" i="19"/>
  <c r="Y13" i="19"/>
  <c r="J33" i="19" s="1"/>
  <c r="AB12" i="19"/>
  <c r="M32" i="19" s="1"/>
  <c r="AA13" i="19"/>
  <c r="L33" i="19" s="1"/>
  <c r="AR24" i="19"/>
  <c r="AC44" i="19" s="1"/>
  <c r="A62" i="19"/>
  <c r="A74" i="19"/>
  <c r="A75" i="19"/>
  <c r="AE13" i="19"/>
  <c r="P33" i="19" s="1"/>
  <c r="AK24" i="19"/>
  <c r="V44" i="19" s="1"/>
  <c r="AC24" i="19"/>
  <c r="N44" i="19" s="1"/>
  <c r="U24" i="19"/>
  <c r="F44" i="19" s="1"/>
  <c r="Q24" i="19"/>
  <c r="B44" i="19" s="1"/>
  <c r="AO24" i="19"/>
  <c r="Z44" i="19" s="1"/>
  <c r="Y24" i="19"/>
  <c r="J44" i="19" s="1"/>
  <c r="AG24" i="19"/>
  <c r="R44" i="19" s="1"/>
  <c r="AQ119" i="19"/>
  <c r="AB139" i="19" s="1"/>
  <c r="AI119" i="19"/>
  <c r="T139" i="19" s="1"/>
  <c r="AA119" i="19"/>
  <c r="L139" i="19" s="1"/>
  <c r="S119" i="19"/>
  <c r="D139" i="19" s="1"/>
  <c r="AM119" i="19"/>
  <c r="X139" i="19" s="1"/>
  <c r="AD119" i="19"/>
  <c r="O139" i="19" s="1"/>
  <c r="U119" i="19"/>
  <c r="F139" i="19" s="1"/>
  <c r="AL119" i="19"/>
  <c r="W139" i="19" s="1"/>
  <c r="AC119" i="19"/>
  <c r="N139" i="19" s="1"/>
  <c r="T119" i="19"/>
  <c r="E139" i="19" s="1"/>
  <c r="AK119" i="19"/>
  <c r="V139" i="19" s="1"/>
  <c r="AB119" i="19"/>
  <c r="M139" i="19" s="1"/>
  <c r="R119" i="19"/>
  <c r="C139" i="19" s="1"/>
  <c r="AJ119" i="19"/>
  <c r="U139" i="19" s="1"/>
  <c r="Z119" i="19"/>
  <c r="K139" i="19" s="1"/>
  <c r="Q119" i="19"/>
  <c r="B139" i="19" s="1"/>
  <c r="AP119" i="19"/>
  <c r="AA139" i="19" s="1"/>
  <c r="AO119" i="19"/>
  <c r="Z139" i="19" s="1"/>
  <c r="AF119" i="19"/>
  <c r="Q139" i="19" s="1"/>
  <c r="W119" i="19"/>
  <c r="H139" i="19" s="1"/>
  <c r="AN119" i="19"/>
  <c r="Y139" i="19" s="1"/>
  <c r="AE119" i="19"/>
  <c r="P139" i="19" s="1"/>
  <c r="V119" i="19"/>
  <c r="G139" i="19" s="1"/>
  <c r="AR119" i="19"/>
  <c r="AC139" i="19" s="1"/>
  <c r="AH119" i="19"/>
  <c r="S139" i="19" s="1"/>
  <c r="AG119" i="19"/>
  <c r="R139" i="19" s="1"/>
  <c r="Y119" i="19"/>
  <c r="J139" i="19" s="1"/>
  <c r="X119" i="19"/>
  <c r="I139" i="19" s="1"/>
  <c r="AG13" i="19"/>
  <c r="R33" i="19" s="1"/>
  <c r="AD14" i="19"/>
  <c r="O34" i="19" s="1"/>
  <c r="AK14" i="19"/>
  <c r="V34" i="19" s="1"/>
  <c r="AC14" i="19"/>
  <c r="N34" i="19" s="1"/>
  <c r="U14" i="19"/>
  <c r="F34" i="19" s="1"/>
  <c r="AH14" i="19"/>
  <c r="S34" i="19" s="1"/>
  <c r="Z14" i="19"/>
  <c r="K34" i="19" s="1"/>
  <c r="AR14" i="19"/>
  <c r="AC34" i="19" s="1"/>
  <c r="AJ14" i="19"/>
  <c r="U34" i="19" s="1"/>
  <c r="AB14" i="19"/>
  <c r="M34" i="19" s="1"/>
  <c r="T14" i="19"/>
  <c r="E34" i="19" s="1"/>
  <c r="AQ14" i="19"/>
  <c r="AB34" i="19" s="1"/>
  <c r="AI14" i="19"/>
  <c r="T34" i="19" s="1"/>
  <c r="AA14" i="19"/>
  <c r="L34" i="19" s="1"/>
  <c r="S14" i="19"/>
  <c r="D34" i="19" s="1"/>
  <c r="AP14" i="19"/>
  <c r="AA34" i="19" s="1"/>
  <c r="AO14" i="19"/>
  <c r="Z34" i="19" s="1"/>
  <c r="AG14" i="19"/>
  <c r="R34" i="19" s="1"/>
  <c r="Y14" i="19"/>
  <c r="J34" i="19" s="1"/>
  <c r="Q14" i="19"/>
  <c r="B34" i="19" s="1"/>
  <c r="AM14" i="19"/>
  <c r="X34" i="19" s="1"/>
  <c r="AE14" i="19"/>
  <c r="P34" i="19" s="1"/>
  <c r="W14" i="19"/>
  <c r="H34" i="19" s="1"/>
  <c r="AL14" i="19"/>
  <c r="W34" i="19" s="1"/>
  <c r="AL23" i="19"/>
  <c r="W43" i="19" s="1"/>
  <c r="AD23" i="19"/>
  <c r="O43" i="19" s="1"/>
  <c r="V23" i="19"/>
  <c r="G43" i="19" s="1"/>
  <c r="AK23" i="19"/>
  <c r="V43" i="19" s="1"/>
  <c r="AC23" i="19"/>
  <c r="N43" i="19" s="1"/>
  <c r="U23" i="19"/>
  <c r="F43" i="19" s="1"/>
  <c r="AH23" i="19"/>
  <c r="S43" i="19" s="1"/>
  <c r="AR23" i="19"/>
  <c r="AC43" i="19" s="1"/>
  <c r="AJ23" i="19"/>
  <c r="U43" i="19" s="1"/>
  <c r="AB23" i="19"/>
  <c r="M43" i="19" s="1"/>
  <c r="T23" i="19"/>
  <c r="E43" i="19" s="1"/>
  <c r="AQ23" i="19"/>
  <c r="AB43" i="19" s="1"/>
  <c r="AI23" i="19"/>
  <c r="T43" i="19" s="1"/>
  <c r="AA23" i="19"/>
  <c r="L43" i="19" s="1"/>
  <c r="S23" i="19"/>
  <c r="D43" i="19" s="1"/>
  <c r="Z23" i="19"/>
  <c r="K43" i="19" s="1"/>
  <c r="AP23" i="19"/>
  <c r="AA43" i="19" s="1"/>
  <c r="R23" i="19"/>
  <c r="C43" i="19" s="1"/>
  <c r="AO23" i="19"/>
  <c r="Z43" i="19" s="1"/>
  <c r="AG23" i="19"/>
  <c r="R43" i="19" s="1"/>
  <c r="Y23" i="19"/>
  <c r="J43" i="19" s="1"/>
  <c r="Q23" i="19"/>
  <c r="B43" i="19" s="1"/>
  <c r="AM23" i="19"/>
  <c r="X43" i="19" s="1"/>
  <c r="AE23" i="19"/>
  <c r="P43" i="19" s="1"/>
  <c r="W23" i="19"/>
  <c r="H43" i="19" s="1"/>
  <c r="T16" i="19"/>
  <c r="E36" i="19" s="1"/>
  <c r="AJ16" i="19"/>
  <c r="U36" i="19" s="1"/>
  <c r="S17" i="19"/>
  <c r="D37" i="19" s="1"/>
  <c r="AI17" i="19"/>
  <c r="T37" i="19" s="1"/>
  <c r="R18" i="19"/>
  <c r="C38" i="19" s="1"/>
  <c r="AH18" i="19"/>
  <c r="S38" i="19" s="1"/>
  <c r="AP18" i="19"/>
  <c r="AA38" i="19" s="1"/>
  <c r="X13" i="19"/>
  <c r="I33" i="19" s="1"/>
  <c r="AF13" i="19"/>
  <c r="Q33" i="19" s="1"/>
  <c r="AN13" i="19"/>
  <c r="Y33" i="19" s="1"/>
  <c r="V15" i="19"/>
  <c r="G35" i="19" s="1"/>
  <c r="AD15" i="19"/>
  <c r="O35" i="19" s="1"/>
  <c r="AL15" i="19"/>
  <c r="W35" i="19" s="1"/>
  <c r="U16" i="19"/>
  <c r="F36" i="19" s="1"/>
  <c r="AC16" i="19"/>
  <c r="N36" i="19" s="1"/>
  <c r="AK16" i="19"/>
  <c r="V36" i="19" s="1"/>
  <c r="T17" i="19"/>
  <c r="E37" i="19" s="1"/>
  <c r="AB17" i="19"/>
  <c r="M37" i="19" s="1"/>
  <c r="AJ17" i="19"/>
  <c r="U37" i="19" s="1"/>
  <c r="AR17" i="19"/>
  <c r="AC37" i="19" s="1"/>
  <c r="S18" i="19"/>
  <c r="D38" i="19" s="1"/>
  <c r="AA18" i="19"/>
  <c r="L38" i="19" s="1"/>
  <c r="AI18" i="19"/>
  <c r="T38" i="19" s="1"/>
  <c r="AQ18" i="19"/>
  <c r="AB38" i="19" s="1"/>
  <c r="AH19" i="19"/>
  <c r="S39" i="19" s="1"/>
  <c r="AP19" i="19"/>
  <c r="AA39" i="19" s="1"/>
  <c r="Q20" i="19"/>
  <c r="B40" i="19" s="1"/>
  <c r="Y20" i="19"/>
  <c r="J40" i="19" s="1"/>
  <c r="AG20" i="19"/>
  <c r="R40" i="19" s="1"/>
  <c r="AO20" i="19"/>
  <c r="Z40" i="19" s="1"/>
  <c r="X22" i="19"/>
  <c r="I42" i="19" s="1"/>
  <c r="AF22" i="19"/>
  <c r="Q42" i="19" s="1"/>
  <c r="AN22" i="19"/>
  <c r="Y42" i="19" s="1"/>
  <c r="V24" i="19"/>
  <c r="G44" i="19" s="1"/>
  <c r="AD24" i="19"/>
  <c r="O44" i="19" s="1"/>
  <c r="AL24" i="19"/>
  <c r="W44" i="19" s="1"/>
  <c r="U25" i="19"/>
  <c r="AC25" i="19"/>
  <c r="AK25" i="19"/>
  <c r="T26" i="19"/>
  <c r="AB26" i="19"/>
  <c r="AJ26" i="19"/>
  <c r="AR26" i="19"/>
  <c r="S27" i="19"/>
  <c r="D47" i="19" s="1"/>
  <c r="AA27" i="19"/>
  <c r="L47" i="19" s="1"/>
  <c r="AI27" i="19"/>
  <c r="T47" i="19" s="1"/>
  <c r="AQ27" i="19"/>
  <c r="AB47" i="19" s="1"/>
  <c r="A76" i="19"/>
  <c r="T11" i="19"/>
  <c r="E31" i="19" s="1"/>
  <c r="AB11" i="19"/>
  <c r="M31" i="19" s="1"/>
  <c r="AJ11" i="19"/>
  <c r="U31" i="19" s="1"/>
  <c r="AR11" i="19"/>
  <c r="AC31" i="19" s="1"/>
  <c r="R13" i="19"/>
  <c r="C33" i="19" s="1"/>
  <c r="Z13" i="19"/>
  <c r="K33" i="19" s="1"/>
  <c r="AH13" i="19"/>
  <c r="S33" i="19" s="1"/>
  <c r="AP13" i="19"/>
  <c r="AA33" i="19" s="1"/>
  <c r="X15" i="19"/>
  <c r="I35" i="19" s="1"/>
  <c r="AF15" i="19"/>
  <c r="Q35" i="19" s="1"/>
  <c r="AN15" i="19"/>
  <c r="Y35" i="19" s="1"/>
  <c r="W16" i="19"/>
  <c r="H36" i="19" s="1"/>
  <c r="AE16" i="19"/>
  <c r="P36" i="19" s="1"/>
  <c r="AM16" i="19"/>
  <c r="X36" i="19" s="1"/>
  <c r="V17" i="19"/>
  <c r="G37" i="19" s="1"/>
  <c r="AD17" i="19"/>
  <c r="O37" i="19" s="1"/>
  <c r="AL17" i="19"/>
  <c r="W37" i="19" s="1"/>
  <c r="U18" i="19"/>
  <c r="F38" i="19" s="1"/>
  <c r="AC18" i="19"/>
  <c r="N38" i="19" s="1"/>
  <c r="AK18" i="19"/>
  <c r="V38" i="19" s="1"/>
  <c r="T19" i="19"/>
  <c r="E39" i="19" s="1"/>
  <c r="AB19" i="19"/>
  <c r="M39" i="19" s="1"/>
  <c r="AJ19" i="19"/>
  <c r="U39" i="19" s="1"/>
  <c r="AR19" i="19"/>
  <c r="AC39" i="19" s="1"/>
  <c r="S20" i="19"/>
  <c r="D40" i="19" s="1"/>
  <c r="AA20" i="19"/>
  <c r="L40" i="19" s="1"/>
  <c r="AI20" i="19"/>
  <c r="T40" i="19" s="1"/>
  <c r="AQ20" i="19"/>
  <c r="AB40" i="19" s="1"/>
  <c r="R22" i="19"/>
  <c r="C42" i="19" s="1"/>
  <c r="Z22" i="19"/>
  <c r="K42" i="19" s="1"/>
  <c r="AH22" i="19"/>
  <c r="S42" i="19" s="1"/>
  <c r="AP22" i="19"/>
  <c r="AA42" i="19" s="1"/>
  <c r="X24" i="19"/>
  <c r="I44" i="19" s="1"/>
  <c r="AF24" i="19"/>
  <c r="Q44" i="19" s="1"/>
  <c r="AN24" i="19"/>
  <c r="Y44" i="19" s="1"/>
  <c r="W25" i="19"/>
  <c r="AE25" i="19"/>
  <c r="AM25" i="19"/>
  <c r="V26" i="19"/>
  <c r="AD26" i="19"/>
  <c r="AL26" i="19"/>
  <c r="U27" i="19"/>
  <c r="F47" i="19" s="1"/>
  <c r="AC27" i="19"/>
  <c r="N47" i="19" s="1"/>
  <c r="AK27" i="19"/>
  <c r="V47" i="19" s="1"/>
  <c r="AN25" i="19"/>
  <c r="W26" i="19"/>
  <c r="AE26" i="19"/>
  <c r="AM26" i="19"/>
  <c r="AL27" i="19"/>
  <c r="W47" i="19" s="1"/>
  <c r="A78" i="19"/>
  <c r="A66" i="19"/>
  <c r="AF16" i="19"/>
  <c r="Q36" i="19" s="1"/>
  <c r="AM17" i="19"/>
  <c r="X37" i="19" s="1"/>
  <c r="AD18" i="19"/>
  <c r="O38" i="19" s="1"/>
  <c r="X25" i="19"/>
  <c r="AF25" i="19"/>
  <c r="V11" i="19"/>
  <c r="G31" i="19" s="1"/>
  <c r="AD11" i="19"/>
  <c r="O31" i="19" s="1"/>
  <c r="T13" i="19"/>
  <c r="E33" i="19" s="1"/>
  <c r="AB13" i="19"/>
  <c r="M33" i="19" s="1"/>
  <c r="AJ13" i="19"/>
  <c r="U33" i="19" s="1"/>
  <c r="AR13" i="19"/>
  <c r="AC33" i="19" s="1"/>
  <c r="R15" i="19"/>
  <c r="C35" i="19" s="1"/>
  <c r="Z15" i="19"/>
  <c r="K35" i="19" s="1"/>
  <c r="AH15" i="19"/>
  <c r="S35" i="19" s="1"/>
  <c r="AP15" i="19"/>
  <c r="AA35" i="19" s="1"/>
  <c r="Q16" i="19"/>
  <c r="B36" i="19" s="1"/>
  <c r="Y16" i="19"/>
  <c r="J36" i="19" s="1"/>
  <c r="AG16" i="19"/>
  <c r="R36" i="19" s="1"/>
  <c r="AO16" i="19"/>
  <c r="Z36" i="19" s="1"/>
  <c r="X17" i="19"/>
  <c r="I37" i="19" s="1"/>
  <c r="AF17" i="19"/>
  <c r="Q37" i="19" s="1"/>
  <c r="AN17" i="19"/>
  <c r="Y37" i="19" s="1"/>
  <c r="W18" i="19"/>
  <c r="H38" i="19" s="1"/>
  <c r="AE18" i="19"/>
  <c r="P38" i="19" s="1"/>
  <c r="AM18" i="19"/>
  <c r="X38" i="19" s="1"/>
  <c r="V19" i="19"/>
  <c r="G39" i="19" s="1"/>
  <c r="AD19" i="19"/>
  <c r="O39" i="19" s="1"/>
  <c r="U20" i="19"/>
  <c r="F40" i="19" s="1"/>
  <c r="AC20" i="19"/>
  <c r="N40" i="19" s="1"/>
  <c r="AK20" i="19"/>
  <c r="V40" i="19" s="1"/>
  <c r="T22" i="19"/>
  <c r="E42" i="19" s="1"/>
  <c r="AB22" i="19"/>
  <c r="M42" i="19" s="1"/>
  <c r="AJ22" i="19"/>
  <c r="U42" i="19" s="1"/>
  <c r="AR22" i="19"/>
  <c r="AC42" i="19" s="1"/>
  <c r="R24" i="19"/>
  <c r="C44" i="19" s="1"/>
  <c r="Z24" i="19"/>
  <c r="K44" i="19" s="1"/>
  <c r="AH24" i="19"/>
  <c r="S44" i="19" s="1"/>
  <c r="AP24" i="19"/>
  <c r="AA44" i="19" s="1"/>
  <c r="Q25" i="19"/>
  <c r="Y25" i="19"/>
  <c r="AG25" i="19"/>
  <c r="AO25" i="19"/>
  <c r="X26" i="19"/>
  <c r="AF26" i="19"/>
  <c r="AN26" i="19"/>
  <c r="W27" i="19"/>
  <c r="H47" i="19" s="1"/>
  <c r="AE27" i="19"/>
  <c r="P47" i="19" s="1"/>
  <c r="AM27" i="19"/>
  <c r="X47" i="19" s="1"/>
  <c r="AK121" i="19"/>
  <c r="V141" i="19" s="1"/>
  <c r="AB121" i="19"/>
  <c r="M141" i="19" s="1"/>
  <c r="S121" i="19"/>
  <c r="D141" i="19" s="1"/>
  <c r="AJ121" i="19"/>
  <c r="U141" i="19" s="1"/>
  <c r="AA121" i="19"/>
  <c r="L141" i="19" s="1"/>
  <c r="R121" i="19"/>
  <c r="C141" i="19" s="1"/>
  <c r="AQ121" i="19"/>
  <c r="AB141" i="19" s="1"/>
  <c r="AH121" i="19"/>
  <c r="S141" i="19" s="1"/>
  <c r="X121" i="19"/>
  <c r="I141" i="19" s="1"/>
  <c r="AN121" i="19"/>
  <c r="Y141" i="19" s="1"/>
  <c r="AE121" i="19"/>
  <c r="P141" i="19" s="1"/>
  <c r="V121" i="19"/>
  <c r="G141" i="19" s="1"/>
  <c r="AM121" i="19"/>
  <c r="X141" i="19" s="1"/>
  <c r="AD121" i="19"/>
  <c r="O141" i="19" s="1"/>
  <c r="U121" i="19"/>
  <c r="F141" i="19" s="1"/>
  <c r="AL121" i="19"/>
  <c r="W141" i="19" s="1"/>
  <c r="AC121" i="19"/>
  <c r="N141" i="19" s="1"/>
  <c r="T121" i="19"/>
  <c r="E141" i="19" s="1"/>
  <c r="AD27" i="19"/>
  <c r="O47" i="19" s="1"/>
  <c r="W11" i="19"/>
  <c r="H31" i="19" s="1"/>
  <c r="AE11" i="19"/>
  <c r="P31" i="19" s="1"/>
  <c r="AM11" i="19"/>
  <c r="X31" i="19" s="1"/>
  <c r="U13" i="19"/>
  <c r="F33" i="19" s="1"/>
  <c r="AC13" i="19"/>
  <c r="N33" i="19" s="1"/>
  <c r="AK13" i="19"/>
  <c r="V33" i="19" s="1"/>
  <c r="S15" i="19"/>
  <c r="D35" i="19" s="1"/>
  <c r="AA15" i="19"/>
  <c r="L35" i="19" s="1"/>
  <c r="AI15" i="19"/>
  <c r="T35" i="19" s="1"/>
  <c r="R16" i="19"/>
  <c r="C36" i="19" s="1"/>
  <c r="Z16" i="19"/>
  <c r="K36" i="19" s="1"/>
  <c r="AH16" i="19"/>
  <c r="S36" i="19" s="1"/>
  <c r="AP16" i="19"/>
  <c r="AA36" i="19" s="1"/>
  <c r="Q17" i="19"/>
  <c r="B37" i="19" s="1"/>
  <c r="Y17" i="19"/>
  <c r="J37" i="19" s="1"/>
  <c r="AG17" i="19"/>
  <c r="R37" i="19" s="1"/>
  <c r="AO17" i="19"/>
  <c r="Z37" i="19" s="1"/>
  <c r="X18" i="19"/>
  <c r="I38" i="19" s="1"/>
  <c r="AF18" i="19"/>
  <c r="Q38" i="19" s="1"/>
  <c r="W19" i="19"/>
  <c r="H39" i="19" s="1"/>
  <c r="AE19" i="19"/>
  <c r="P39" i="19" s="1"/>
  <c r="AM19" i="19"/>
  <c r="X39" i="19" s="1"/>
  <c r="V20" i="19"/>
  <c r="G40" i="19" s="1"/>
  <c r="AD20" i="19"/>
  <c r="O40" i="19" s="1"/>
  <c r="AL20" i="19"/>
  <c r="W40" i="19" s="1"/>
  <c r="U22" i="19"/>
  <c r="F42" i="19" s="1"/>
  <c r="AC22" i="19"/>
  <c r="N42" i="19" s="1"/>
  <c r="AK22" i="19"/>
  <c r="V42" i="19" s="1"/>
  <c r="S24" i="19"/>
  <c r="D44" i="19" s="1"/>
  <c r="AA24" i="19"/>
  <c r="L44" i="19" s="1"/>
  <c r="AI24" i="19"/>
  <c r="T44" i="19" s="1"/>
  <c r="R25" i="19"/>
  <c r="Z25" i="19"/>
  <c r="AH25" i="19"/>
  <c r="AP25" i="19"/>
  <c r="Q26" i="19"/>
  <c r="Y26" i="19"/>
  <c r="AG26" i="19"/>
  <c r="AO26" i="19"/>
  <c r="X27" i="19"/>
  <c r="I47" i="19" s="1"/>
  <c r="AF27" i="19"/>
  <c r="Q47" i="19" s="1"/>
  <c r="X16" i="19"/>
  <c r="I36" i="19" s="1"/>
  <c r="AN16" i="19"/>
  <c r="Y36" i="19" s="1"/>
  <c r="AE17" i="19"/>
  <c r="P37" i="19" s="1"/>
  <c r="V18" i="19"/>
  <c r="G38" i="19" s="1"/>
  <c r="AL18" i="19"/>
  <c r="W38" i="19" s="1"/>
  <c r="X11" i="19"/>
  <c r="I31" i="19" s="1"/>
  <c r="AF11" i="19"/>
  <c r="Q31" i="19" s="1"/>
  <c r="V13" i="19"/>
  <c r="G33" i="19" s="1"/>
  <c r="AD13" i="19"/>
  <c r="O33" i="19" s="1"/>
  <c r="T15" i="19"/>
  <c r="E35" i="19" s="1"/>
  <c r="AB15" i="19"/>
  <c r="M35" i="19" s="1"/>
  <c r="AJ15" i="19"/>
  <c r="U35" i="19" s="1"/>
  <c r="S16" i="19"/>
  <c r="D36" i="19" s="1"/>
  <c r="AA16" i="19"/>
  <c r="L36" i="19" s="1"/>
  <c r="AI16" i="19"/>
  <c r="T36" i="19" s="1"/>
  <c r="AQ16" i="19"/>
  <c r="AB36" i="19" s="1"/>
  <c r="R17" i="19"/>
  <c r="C37" i="19" s="1"/>
  <c r="Z17" i="19"/>
  <c r="K37" i="19" s="1"/>
  <c r="AH17" i="19"/>
  <c r="S37" i="19" s="1"/>
  <c r="Q18" i="19"/>
  <c r="B38" i="19" s="1"/>
  <c r="Y18" i="19"/>
  <c r="J38" i="19" s="1"/>
  <c r="AG18" i="19"/>
  <c r="R38" i="19" s="1"/>
  <c r="AO18" i="19"/>
  <c r="Z38" i="19" s="1"/>
  <c r="X19" i="19"/>
  <c r="I39" i="19" s="1"/>
  <c r="AF19" i="19"/>
  <c r="Q39" i="19" s="1"/>
  <c r="W20" i="19"/>
  <c r="H40" i="19" s="1"/>
  <c r="AE20" i="19"/>
  <c r="P40" i="19" s="1"/>
  <c r="AM20" i="19"/>
  <c r="X40" i="19" s="1"/>
  <c r="V22" i="19"/>
  <c r="G42" i="19" s="1"/>
  <c r="AD22" i="19"/>
  <c r="O42" i="19" s="1"/>
  <c r="T24" i="19"/>
  <c r="E44" i="19" s="1"/>
  <c r="AB24" i="19"/>
  <c r="M44" i="19" s="1"/>
  <c r="AJ24" i="19"/>
  <c r="U44" i="19" s="1"/>
  <c r="S25" i="19"/>
  <c r="AA25" i="19"/>
  <c r="AI25" i="19"/>
  <c r="AQ25" i="19"/>
  <c r="R26" i="19"/>
  <c r="Z26" i="19"/>
  <c r="AH26" i="19"/>
  <c r="Q27" i="19"/>
  <c r="B47" i="19" s="1"/>
  <c r="Y27" i="19"/>
  <c r="J47" i="19" s="1"/>
  <c r="AG27" i="19"/>
  <c r="R47" i="19" s="1"/>
  <c r="AO27" i="19"/>
  <c r="Z47" i="19" s="1"/>
  <c r="AB16" i="19"/>
  <c r="M36" i="19" s="1"/>
  <c r="AA17" i="19"/>
  <c r="L37" i="19" s="1"/>
  <c r="X20" i="19"/>
  <c r="I40" i="19" s="1"/>
  <c r="AF20" i="19"/>
  <c r="Q40" i="19" s="1"/>
  <c r="W22" i="19"/>
  <c r="H42" i="19" s="1"/>
  <c r="AE22" i="19"/>
  <c r="P42" i="19" s="1"/>
  <c r="T25" i="19"/>
  <c r="AB25" i="19"/>
  <c r="AJ25" i="19"/>
  <c r="S26" i="19"/>
  <c r="AA26" i="19"/>
  <c r="AI26" i="19"/>
  <c r="R27" i="19"/>
  <c r="C47" i="19" s="1"/>
  <c r="Z27" i="19"/>
  <c r="K47" i="19" s="1"/>
  <c r="AH27" i="19"/>
  <c r="S47" i="19" s="1"/>
  <c r="A81" i="19"/>
  <c r="A69" i="19"/>
  <c r="AK117" i="19"/>
  <c r="V137" i="19" s="1"/>
  <c r="AC117" i="19"/>
  <c r="N137" i="19" s="1"/>
  <c r="U117" i="19"/>
  <c r="F137" i="19" s="1"/>
  <c r="Y117" i="19"/>
  <c r="J137" i="19" s="1"/>
  <c r="AH117" i="19"/>
  <c r="S137" i="19" s="1"/>
  <c r="AQ117" i="19"/>
  <c r="AB137" i="19" s="1"/>
  <c r="R118" i="19"/>
  <c r="C138" i="19" s="1"/>
  <c r="AA118" i="19"/>
  <c r="L138" i="19" s="1"/>
  <c r="AK118" i="19"/>
  <c r="V138" i="19" s="1"/>
  <c r="AP120" i="19"/>
  <c r="AA140" i="19" s="1"/>
  <c r="AH120" i="19"/>
  <c r="S140" i="19" s="1"/>
  <c r="Z120" i="19"/>
  <c r="K140" i="19" s="1"/>
  <c r="R120" i="19"/>
  <c r="C140" i="19" s="1"/>
  <c r="Y120" i="19"/>
  <c r="J140" i="19" s="1"/>
  <c r="AI120" i="19"/>
  <c r="T140" i="19" s="1"/>
  <c r="AR120" i="19"/>
  <c r="AC140" i="19" s="1"/>
  <c r="AR122" i="19"/>
  <c r="AC142" i="19" s="1"/>
  <c r="AJ122" i="19"/>
  <c r="U142" i="19" s="1"/>
  <c r="AB122" i="19"/>
  <c r="M142" i="19" s="1"/>
  <c r="T122" i="19"/>
  <c r="E142" i="19" s="1"/>
  <c r="AO122" i="19"/>
  <c r="Z142" i="19" s="1"/>
  <c r="AG122" i="19"/>
  <c r="R142" i="19" s="1"/>
  <c r="Y122" i="19"/>
  <c r="J142" i="19" s="1"/>
  <c r="Q122" i="19"/>
  <c r="B142" i="19" s="1"/>
  <c r="Z122" i="19"/>
  <c r="K142" i="19" s="1"/>
  <c r="AL122" i="19"/>
  <c r="W142" i="19" s="1"/>
  <c r="AQ123" i="19"/>
  <c r="AB143" i="19" s="1"/>
  <c r="AB123" i="19"/>
  <c r="M143" i="19" s="1"/>
  <c r="AO123" i="19"/>
  <c r="Z143" i="19" s="1"/>
  <c r="Q124" i="19"/>
  <c r="B144" i="19" s="1"/>
  <c r="AC124" i="19"/>
  <c r="N144" i="19" s="1"/>
  <c r="AQ124" i="19"/>
  <c r="AB144" i="19" s="1"/>
  <c r="S125" i="19"/>
  <c r="D145" i="19" s="1"/>
  <c r="AF125" i="19"/>
  <c r="Q145" i="19" s="1"/>
  <c r="AR125" i="19"/>
  <c r="AC145" i="19" s="1"/>
  <c r="S126" i="19"/>
  <c r="D146" i="19" s="1"/>
  <c r="AG126" i="19"/>
  <c r="R146" i="19" s="1"/>
  <c r="V128" i="19"/>
  <c r="G148" i="19" s="1"/>
  <c r="AH128" i="19"/>
  <c r="S148" i="19" s="1"/>
  <c r="Y129" i="19"/>
  <c r="J149" i="19" s="1"/>
  <c r="AM129" i="19"/>
  <c r="X149" i="19" s="1"/>
  <c r="AK130" i="19"/>
  <c r="V150" i="19" s="1"/>
  <c r="AC130" i="19"/>
  <c r="N150" i="19" s="1"/>
  <c r="U130" i="19"/>
  <c r="F150" i="19" s="1"/>
  <c r="AP130" i="19"/>
  <c r="AA150" i="19" s="1"/>
  <c r="AH130" i="19"/>
  <c r="S150" i="19" s="1"/>
  <c r="Z130" i="19"/>
  <c r="K150" i="19" s="1"/>
  <c r="R130" i="19"/>
  <c r="C150" i="19" s="1"/>
  <c r="AO130" i="19"/>
  <c r="Z150" i="19" s="1"/>
  <c r="AG130" i="19"/>
  <c r="R150" i="19" s="1"/>
  <c r="Y130" i="19"/>
  <c r="J150" i="19" s="1"/>
  <c r="Q130" i="19"/>
  <c r="B150" i="19" s="1"/>
  <c r="AD130" i="19"/>
  <c r="O150" i="19" s="1"/>
  <c r="AQ130" i="19"/>
  <c r="AB150" i="19" s="1"/>
  <c r="AK132" i="19"/>
  <c r="AC132" i="19"/>
  <c r="U132" i="19"/>
  <c r="AO132" i="19"/>
  <c r="AG132" i="19"/>
  <c r="Y132" i="19"/>
  <c r="Q132" i="19"/>
  <c r="AD132" i="19"/>
  <c r="Q117" i="19"/>
  <c r="B137" i="19" s="1"/>
  <c r="Z117" i="19"/>
  <c r="K137" i="19" s="1"/>
  <c r="AI117" i="19"/>
  <c r="T137" i="19" s="1"/>
  <c r="AR117" i="19"/>
  <c r="AC137" i="19" s="1"/>
  <c r="S118" i="19"/>
  <c r="D138" i="19" s="1"/>
  <c r="AC118" i="19"/>
  <c r="N138" i="19" s="1"/>
  <c r="AL118" i="19"/>
  <c r="W138" i="19" s="1"/>
  <c r="Q120" i="19"/>
  <c r="B140" i="19" s="1"/>
  <c r="AA120" i="19"/>
  <c r="L140" i="19" s="1"/>
  <c r="AJ120" i="19"/>
  <c r="U140" i="19" s="1"/>
  <c r="AA122" i="19"/>
  <c r="L142" i="19" s="1"/>
  <c r="AM122" i="19"/>
  <c r="X142" i="19" s="1"/>
  <c r="Q123" i="19"/>
  <c r="B143" i="19" s="1"/>
  <c r="AC123" i="19"/>
  <c r="N143" i="19" s="1"/>
  <c r="AP123" i="19"/>
  <c r="AA143" i="19" s="1"/>
  <c r="S124" i="19"/>
  <c r="D144" i="19" s="1"/>
  <c r="AF124" i="19"/>
  <c r="Q144" i="19" s="1"/>
  <c r="AR124" i="19"/>
  <c r="AC144" i="19" s="1"/>
  <c r="T125" i="19"/>
  <c r="E145" i="19" s="1"/>
  <c r="AH125" i="19"/>
  <c r="S145" i="19" s="1"/>
  <c r="V126" i="19"/>
  <c r="G146" i="19" s="1"/>
  <c r="AH126" i="19"/>
  <c r="S146" i="19" s="1"/>
  <c r="X128" i="19"/>
  <c r="I148" i="19" s="1"/>
  <c r="AK128" i="19"/>
  <c r="V148" i="19" s="1"/>
  <c r="AB129" i="19"/>
  <c r="M149" i="19" s="1"/>
  <c r="S130" i="19"/>
  <c r="D150" i="19" s="1"/>
  <c r="AE130" i="19"/>
  <c r="P150" i="19" s="1"/>
  <c r="AR130" i="19"/>
  <c r="AC150" i="19" s="1"/>
  <c r="AH132" i="19"/>
  <c r="A169" i="19"/>
  <c r="A181" i="19"/>
  <c r="A280" i="19"/>
  <c r="A292" i="19"/>
  <c r="W125" i="19"/>
  <c r="H145" i="19" s="1"/>
  <c r="AI125" i="19"/>
  <c r="T145" i="19" s="1"/>
  <c r="W126" i="19"/>
  <c r="H146" i="19" s="1"/>
  <c r="AI126" i="19"/>
  <c r="T146" i="19" s="1"/>
  <c r="Y128" i="19"/>
  <c r="J148" i="19" s="1"/>
  <c r="AL128" i="19"/>
  <c r="W148" i="19" s="1"/>
  <c r="AL129" i="19"/>
  <c r="W149" i="19" s="1"/>
  <c r="AD129" i="19"/>
  <c r="O149" i="19" s="1"/>
  <c r="V129" i="19"/>
  <c r="G149" i="19" s="1"/>
  <c r="AQ129" i="19"/>
  <c r="AB149" i="19" s="1"/>
  <c r="AI129" i="19"/>
  <c r="T149" i="19" s="1"/>
  <c r="AA129" i="19"/>
  <c r="L149" i="19" s="1"/>
  <c r="S129" i="19"/>
  <c r="D149" i="19" s="1"/>
  <c r="AP129" i="19"/>
  <c r="AA149" i="19" s="1"/>
  <c r="AH129" i="19"/>
  <c r="S149" i="19" s="1"/>
  <c r="Z129" i="19"/>
  <c r="K149" i="19" s="1"/>
  <c r="R129" i="19"/>
  <c r="C149" i="19" s="1"/>
  <c r="AC129" i="19"/>
  <c r="N149" i="19" s="1"/>
  <c r="AO129" i="19"/>
  <c r="Z149" i="19" s="1"/>
  <c r="T130" i="19"/>
  <c r="E150" i="19" s="1"/>
  <c r="AF130" i="19"/>
  <c r="Q150" i="19" s="1"/>
  <c r="A171" i="19"/>
  <c r="A183" i="19"/>
  <c r="A172" i="19"/>
  <c r="A184" i="19"/>
  <c r="Y126" i="19"/>
  <c r="J146" i="19" s="1"/>
  <c r="AL126" i="19"/>
  <c r="W146" i="19" s="1"/>
  <c r="A174" i="19"/>
  <c r="A186" i="19"/>
  <c r="T117" i="19"/>
  <c r="E137" i="19" s="1"/>
  <c r="AD117" i="19"/>
  <c r="O137" i="19" s="1"/>
  <c r="AM117" i="19"/>
  <c r="X137" i="19" s="1"/>
  <c r="W118" i="19"/>
  <c r="H138" i="19" s="1"/>
  <c r="AF118" i="19"/>
  <c r="Q138" i="19" s="1"/>
  <c r="AO118" i="19"/>
  <c r="Z138" i="19" s="1"/>
  <c r="U120" i="19"/>
  <c r="F140" i="19" s="1"/>
  <c r="AD120" i="19"/>
  <c r="O140" i="19" s="1"/>
  <c r="AM120" i="19"/>
  <c r="X140" i="19" s="1"/>
  <c r="S122" i="19"/>
  <c r="D142" i="19" s="1"/>
  <c r="AE122" i="19"/>
  <c r="P142" i="19" s="1"/>
  <c r="U123" i="19"/>
  <c r="F143" i="19" s="1"/>
  <c r="AH123" i="19"/>
  <c r="S143" i="19" s="1"/>
  <c r="X124" i="19"/>
  <c r="I144" i="19" s="1"/>
  <c r="AJ124" i="19"/>
  <c r="U144" i="19" s="1"/>
  <c r="Z125" i="19"/>
  <c r="K145" i="19" s="1"/>
  <c r="AM125" i="19"/>
  <c r="X145" i="19" s="1"/>
  <c r="Z126" i="19"/>
  <c r="K146" i="19" s="1"/>
  <c r="AM126" i="19"/>
  <c r="X146" i="19" s="1"/>
  <c r="AM128" i="19"/>
  <c r="X148" i="19" s="1"/>
  <c r="AE128" i="19"/>
  <c r="P148" i="19" s="1"/>
  <c r="W128" i="19"/>
  <c r="H148" i="19" s="1"/>
  <c r="AR128" i="19"/>
  <c r="AC148" i="19" s="1"/>
  <c r="AJ128" i="19"/>
  <c r="U148" i="19" s="1"/>
  <c r="AB128" i="19"/>
  <c r="M148" i="19" s="1"/>
  <c r="T128" i="19"/>
  <c r="E148" i="19" s="1"/>
  <c r="AQ128" i="19"/>
  <c r="AB148" i="19" s="1"/>
  <c r="AI128" i="19"/>
  <c r="T148" i="19" s="1"/>
  <c r="AA128" i="19"/>
  <c r="L148" i="19" s="1"/>
  <c r="S128" i="19"/>
  <c r="D148" i="19" s="1"/>
  <c r="AC128" i="19"/>
  <c r="N148" i="19" s="1"/>
  <c r="AO128" i="19"/>
  <c r="Z148" i="19" s="1"/>
  <c r="T129" i="19"/>
  <c r="E149" i="19" s="1"/>
  <c r="AF129" i="19"/>
  <c r="Q149" i="19" s="1"/>
  <c r="W130" i="19"/>
  <c r="H150" i="19" s="1"/>
  <c r="AJ130" i="19"/>
  <c r="U150" i="19" s="1"/>
  <c r="AL131" i="19"/>
  <c r="AD131" i="19"/>
  <c r="AR131" i="19"/>
  <c r="AJ131" i="19"/>
  <c r="AB131" i="19"/>
  <c r="T131" i="19"/>
  <c r="AO131" i="19"/>
  <c r="AG131" i="19"/>
  <c r="Y131" i="19"/>
  <c r="Q131" i="19"/>
  <c r="Z131" i="19"/>
  <c r="AP131" i="19"/>
  <c r="T132" i="19"/>
  <c r="AP132" i="19"/>
  <c r="V117" i="19"/>
  <c r="G137" i="19" s="1"/>
  <c r="AE117" i="19"/>
  <c r="P137" i="19" s="1"/>
  <c r="AN117" i="19"/>
  <c r="Y137" i="19" s="1"/>
  <c r="X118" i="19"/>
  <c r="I138" i="19" s="1"/>
  <c r="AG118" i="19"/>
  <c r="R138" i="19" s="1"/>
  <c r="V120" i="19"/>
  <c r="G140" i="19" s="1"/>
  <c r="AE120" i="19"/>
  <c r="P140" i="19" s="1"/>
  <c r="AN120" i="19"/>
  <c r="Y140" i="19" s="1"/>
  <c r="AO121" i="19"/>
  <c r="Z141" i="19" s="1"/>
  <c r="AG121" i="19"/>
  <c r="R141" i="19" s="1"/>
  <c r="Y121" i="19"/>
  <c r="J141" i="19" s="1"/>
  <c r="Q121" i="19"/>
  <c r="B141" i="19" s="1"/>
  <c r="Z121" i="19"/>
  <c r="K141" i="19" s="1"/>
  <c r="AI121" i="19"/>
  <c r="T141" i="19" s="1"/>
  <c r="AR121" i="19"/>
  <c r="AC141" i="19" s="1"/>
  <c r="U122" i="19"/>
  <c r="F142" i="19" s="1"/>
  <c r="AH122" i="19"/>
  <c r="S142" i="19" s="1"/>
  <c r="V123" i="19"/>
  <c r="G143" i="19" s="1"/>
  <c r="AJ123" i="19"/>
  <c r="U143" i="19" s="1"/>
  <c r="Y124" i="19"/>
  <c r="J144" i="19" s="1"/>
  <c r="AK124" i="19"/>
  <c r="V144" i="19" s="1"/>
  <c r="AA125" i="19"/>
  <c r="L145" i="19" s="1"/>
  <c r="AN126" i="19"/>
  <c r="Y146" i="19" s="1"/>
  <c r="AA126" i="19"/>
  <c r="L146" i="19" s="1"/>
  <c r="AO126" i="19"/>
  <c r="Z146" i="19" s="1"/>
  <c r="Q128" i="19"/>
  <c r="B148" i="19" s="1"/>
  <c r="AD128" i="19"/>
  <c r="O148" i="19" s="1"/>
  <c r="AP128" i="19"/>
  <c r="AA148" i="19" s="1"/>
  <c r="U129" i="19"/>
  <c r="F149" i="19" s="1"/>
  <c r="AG129" i="19"/>
  <c r="R149" i="19" s="1"/>
  <c r="X130" i="19"/>
  <c r="I150" i="19" s="1"/>
  <c r="AL130" i="19"/>
  <c r="W150" i="19" s="1"/>
  <c r="AA131" i="19"/>
  <c r="AQ131" i="19"/>
  <c r="V132" i="19"/>
  <c r="AR132" i="19"/>
  <c r="A182" i="19"/>
  <c r="A170" i="19"/>
  <c r="W117" i="19"/>
  <c r="H137" i="19" s="1"/>
  <c r="AF117" i="19"/>
  <c r="Q137" i="19" s="1"/>
  <c r="AO117" i="19"/>
  <c r="Z137" i="19" s="1"/>
  <c r="AR118" i="19"/>
  <c r="AC138" i="19" s="1"/>
  <c r="AJ118" i="19"/>
  <c r="U138" i="19" s="1"/>
  <c r="AB118" i="19"/>
  <c r="M138" i="19" s="1"/>
  <c r="T118" i="19"/>
  <c r="E138" i="19" s="1"/>
  <c r="Y118" i="19"/>
  <c r="J138" i="19" s="1"/>
  <c r="AH118" i="19"/>
  <c r="S138" i="19" s="1"/>
  <c r="AQ118" i="19"/>
  <c r="AB138" i="19" s="1"/>
  <c r="W120" i="19"/>
  <c r="H140" i="19" s="1"/>
  <c r="AF120" i="19"/>
  <c r="Q140" i="19" s="1"/>
  <c r="AO120" i="19"/>
  <c r="Z140" i="19" s="1"/>
  <c r="Y123" i="19"/>
  <c r="J143" i="19" s="1"/>
  <c r="AK123" i="19"/>
  <c r="V143" i="19" s="1"/>
  <c r="AO125" i="19"/>
  <c r="Z145" i="19" s="1"/>
  <c r="AG125" i="19"/>
  <c r="R145" i="19" s="1"/>
  <c r="Y125" i="19"/>
  <c r="J145" i="19" s="1"/>
  <c r="Q125" i="19"/>
  <c r="B145" i="19" s="1"/>
  <c r="AL125" i="19"/>
  <c r="W145" i="19" s="1"/>
  <c r="AD125" i="19"/>
  <c r="O145" i="19" s="1"/>
  <c r="V125" i="19"/>
  <c r="G145" i="19" s="1"/>
  <c r="AK125" i="19"/>
  <c r="V145" i="19" s="1"/>
  <c r="AC125" i="19"/>
  <c r="N145" i="19" s="1"/>
  <c r="U125" i="19"/>
  <c r="F145" i="19" s="1"/>
  <c r="AB125" i="19"/>
  <c r="M145" i="19" s="1"/>
  <c r="AP125" i="19"/>
  <c r="AA145" i="19" s="1"/>
  <c r="Q126" i="19"/>
  <c r="B146" i="19" s="1"/>
  <c r="AD126" i="19"/>
  <c r="O146" i="19" s="1"/>
  <c r="AP126" i="19"/>
  <c r="AA146" i="19" s="1"/>
  <c r="R128" i="19"/>
  <c r="C148" i="19" s="1"/>
  <c r="AF128" i="19"/>
  <c r="Q148" i="19" s="1"/>
  <c r="W129" i="19"/>
  <c r="H149" i="19" s="1"/>
  <c r="AJ129" i="19"/>
  <c r="U149" i="19" s="1"/>
  <c r="AA130" i="19"/>
  <c r="L150" i="19" s="1"/>
  <c r="AM130" i="19"/>
  <c r="X150" i="19" s="1"/>
  <c r="X117" i="19"/>
  <c r="I137" i="19" s="1"/>
  <c r="AG117" i="19"/>
  <c r="R137" i="19" s="1"/>
  <c r="Q118" i="19"/>
  <c r="B138" i="19" s="1"/>
  <c r="Z118" i="19"/>
  <c r="K138" i="19" s="1"/>
  <c r="AI118" i="19"/>
  <c r="T138" i="19" s="1"/>
  <c r="X120" i="19"/>
  <c r="I140" i="19" s="1"/>
  <c r="AG120" i="19"/>
  <c r="R140" i="19" s="1"/>
  <c r="Z123" i="19"/>
  <c r="K143" i="19" s="1"/>
  <c r="AP124" i="19"/>
  <c r="AA144" i="19" s="1"/>
  <c r="AH124" i="19"/>
  <c r="S144" i="19" s="1"/>
  <c r="Z124" i="19"/>
  <c r="K144" i="19" s="1"/>
  <c r="R124" i="19"/>
  <c r="C144" i="19" s="1"/>
  <c r="AM124" i="19"/>
  <c r="X144" i="19" s="1"/>
  <c r="AE124" i="19"/>
  <c r="P144" i="19" s="1"/>
  <c r="W124" i="19"/>
  <c r="H144" i="19" s="1"/>
  <c r="AL124" i="19"/>
  <c r="W144" i="19" s="1"/>
  <c r="AD124" i="19"/>
  <c r="O144" i="19" s="1"/>
  <c r="V124" i="19"/>
  <c r="G144" i="19" s="1"/>
  <c r="AB124" i="19"/>
  <c r="M144" i="19" s="1"/>
  <c r="AO124" i="19"/>
  <c r="Z144" i="19" s="1"/>
  <c r="R125" i="19"/>
  <c r="C145" i="19" s="1"/>
  <c r="AE125" i="19"/>
  <c r="P145" i="19" s="1"/>
  <c r="AQ125" i="19"/>
  <c r="AB145" i="19" s="1"/>
  <c r="R126" i="19"/>
  <c r="C146" i="19" s="1"/>
  <c r="AE126" i="19"/>
  <c r="P146" i="19" s="1"/>
  <c r="U128" i="19"/>
  <c r="F148" i="19" s="1"/>
  <c r="X129" i="19"/>
  <c r="I149" i="19" s="1"/>
  <c r="AK129" i="19"/>
  <c r="V149" i="19" s="1"/>
  <c r="AB130" i="19"/>
  <c r="M150" i="19" s="1"/>
  <c r="A185" i="19"/>
  <c r="A173" i="19"/>
  <c r="X122" i="19"/>
  <c r="I142" i="19" s="1"/>
  <c r="AF122" i="19"/>
  <c r="Q142" i="19" s="1"/>
  <c r="W123" i="19"/>
  <c r="H143" i="19" s="1"/>
  <c r="AE123" i="19"/>
  <c r="P143" i="19" s="1"/>
  <c r="AM123" i="19"/>
  <c r="X143" i="19" s="1"/>
  <c r="T126" i="19"/>
  <c r="E146" i="19" s="1"/>
  <c r="AB126" i="19"/>
  <c r="M146" i="19" s="1"/>
  <c r="AJ126" i="19"/>
  <c r="U146" i="19" s="1"/>
  <c r="AR126" i="19"/>
  <c r="AC146" i="19" s="1"/>
  <c r="X131" i="19"/>
  <c r="AF131" i="19"/>
  <c r="W132" i="19"/>
  <c r="AE132" i="19"/>
  <c r="AM132" i="19"/>
  <c r="V133" i="19"/>
  <c r="G153" i="19" s="1"/>
  <c r="AD133" i="19"/>
  <c r="O153" i="19" s="1"/>
  <c r="AL133" i="19"/>
  <c r="W153" i="19" s="1"/>
  <c r="A175" i="19"/>
  <c r="AD225" i="19"/>
  <c r="O245" i="19" s="1"/>
  <c r="AJ227" i="19"/>
  <c r="U247" i="19" s="1"/>
  <c r="W227" i="19"/>
  <c r="H247" i="19" s="1"/>
  <c r="AD241" i="19"/>
  <c r="O261" i="19" s="1"/>
  <c r="X123" i="19"/>
  <c r="I143" i="19" s="1"/>
  <c r="AF123" i="19"/>
  <c r="Q143" i="19" s="1"/>
  <c r="AN123" i="19"/>
  <c r="Y143" i="19" s="1"/>
  <c r="U126" i="19"/>
  <c r="F146" i="19" s="1"/>
  <c r="AC126" i="19"/>
  <c r="N146" i="19" s="1"/>
  <c r="AK126" i="19"/>
  <c r="V146" i="19" s="1"/>
  <c r="X132" i="19"/>
  <c r="AF132" i="19"/>
  <c r="AN132" i="19"/>
  <c r="W133" i="19"/>
  <c r="H153" i="19" s="1"/>
  <c r="AE133" i="19"/>
  <c r="P153" i="19" s="1"/>
  <c r="AM133" i="19"/>
  <c r="X153" i="19" s="1"/>
  <c r="AK225" i="19"/>
  <c r="V245" i="19" s="1"/>
  <c r="AL241" i="19"/>
  <c r="W261" i="19" s="1"/>
  <c r="AE241" i="19"/>
  <c r="P261" i="19" s="1"/>
  <c r="V241" i="19"/>
  <c r="G261" i="19" s="1"/>
  <c r="X133" i="19"/>
  <c r="I153" i="19" s="1"/>
  <c r="AF133" i="19"/>
  <c r="Q153" i="19" s="1"/>
  <c r="AN133" i="19"/>
  <c r="Y153" i="19" s="1"/>
  <c r="A168" i="19"/>
  <c r="AO233" i="19"/>
  <c r="Z253" i="19" s="1"/>
  <c r="AG233" i="19"/>
  <c r="R253" i="19" s="1"/>
  <c r="Y233" i="19"/>
  <c r="J253" i="19" s="1"/>
  <c r="Q233" i="19"/>
  <c r="B253" i="19" s="1"/>
  <c r="AR233" i="19"/>
  <c r="AC253" i="19" s="1"/>
  <c r="AJ233" i="19"/>
  <c r="U253" i="19" s="1"/>
  <c r="AB233" i="19"/>
  <c r="M253" i="19" s="1"/>
  <c r="T233" i="19"/>
  <c r="E253" i="19" s="1"/>
  <c r="AK233" i="19"/>
  <c r="V253" i="19" s="1"/>
  <c r="AD233" i="19"/>
  <c r="O253" i="19" s="1"/>
  <c r="AC233" i="19"/>
  <c r="N253" i="19" s="1"/>
  <c r="V233" i="19"/>
  <c r="G253" i="19" s="1"/>
  <c r="S123" i="19"/>
  <c r="D143" i="19" s="1"/>
  <c r="AA123" i="19"/>
  <c r="L143" i="19" s="1"/>
  <c r="AI123" i="19"/>
  <c r="T143" i="19" s="1"/>
  <c r="X126" i="19"/>
  <c r="I146" i="19" s="1"/>
  <c r="AF126" i="19"/>
  <c r="Q146" i="19" s="1"/>
  <c r="S132" i="19"/>
  <c r="AA132" i="19"/>
  <c r="AI132" i="19"/>
  <c r="R133" i="19"/>
  <c r="C153" i="19" s="1"/>
  <c r="Z133" i="19"/>
  <c r="K153" i="19" s="1"/>
  <c r="AH133" i="19"/>
  <c r="S153" i="19" s="1"/>
  <c r="AP133" i="19"/>
  <c r="AA153" i="19" s="1"/>
  <c r="A279" i="19"/>
  <c r="A291" i="19"/>
  <c r="AI133" i="19"/>
  <c r="T153" i="19" s="1"/>
  <c r="AQ133" i="19"/>
  <c r="AB153" i="19" s="1"/>
  <c r="AQ225" i="19"/>
  <c r="AB245" i="19" s="1"/>
  <c r="AI225" i="19"/>
  <c r="T245" i="19" s="1"/>
  <c r="AA225" i="19"/>
  <c r="L245" i="19" s="1"/>
  <c r="S225" i="19"/>
  <c r="D245" i="19" s="1"/>
  <c r="AM225" i="19"/>
  <c r="X245" i="19" s="1"/>
  <c r="AE225" i="19"/>
  <c r="P245" i="19" s="1"/>
  <c r="W225" i="19"/>
  <c r="H245" i="19" s="1"/>
  <c r="AJ225" i="19"/>
  <c r="U245" i="19" s="1"/>
  <c r="Y225" i="19"/>
  <c r="J245" i="19" s="1"/>
  <c r="AH225" i="19"/>
  <c r="S245" i="19" s="1"/>
  <c r="X225" i="19"/>
  <c r="I245" i="19" s="1"/>
  <c r="AR225" i="19"/>
  <c r="AC245" i="19" s="1"/>
  <c r="AG225" i="19"/>
  <c r="R245" i="19" s="1"/>
  <c r="V225" i="19"/>
  <c r="G245" i="19" s="1"/>
  <c r="AP225" i="19"/>
  <c r="AA245" i="19" s="1"/>
  <c r="AF225" i="19"/>
  <c r="Q245" i="19" s="1"/>
  <c r="U225" i="19"/>
  <c r="F245" i="19" s="1"/>
  <c r="AN225" i="19"/>
  <c r="Y245" i="19" s="1"/>
  <c r="AC225" i="19"/>
  <c r="N245" i="19" s="1"/>
  <c r="R225" i="19"/>
  <c r="C245" i="19" s="1"/>
  <c r="AL225" i="19"/>
  <c r="W245" i="19" s="1"/>
  <c r="AB225" i="19"/>
  <c r="M245" i="19" s="1"/>
  <c r="Q225" i="19"/>
  <c r="B245" i="19" s="1"/>
  <c r="T133" i="19"/>
  <c r="E153" i="19" s="1"/>
  <c r="AB133" i="19"/>
  <c r="M153" i="19" s="1"/>
  <c r="AJ133" i="19"/>
  <c r="U153" i="19" s="1"/>
  <c r="T225" i="19"/>
  <c r="E245" i="19" s="1"/>
  <c r="U233" i="19"/>
  <c r="F253" i="19" s="1"/>
  <c r="AL233" i="19"/>
  <c r="W253" i="19" s="1"/>
  <c r="Y226" i="19"/>
  <c r="J246" i="19" s="1"/>
  <c r="AM228" i="19"/>
  <c r="X248" i="19" s="1"/>
  <c r="AE228" i="19"/>
  <c r="P248" i="19" s="1"/>
  <c r="W228" i="19"/>
  <c r="H248" i="19" s="1"/>
  <c r="AK228" i="19"/>
  <c r="V248" i="19" s="1"/>
  <c r="AC228" i="19"/>
  <c r="N248" i="19" s="1"/>
  <c r="U228" i="19"/>
  <c r="F248" i="19" s="1"/>
  <c r="AR228" i="19"/>
  <c r="AC248" i="19" s="1"/>
  <c r="AJ228" i="19"/>
  <c r="U248" i="19" s="1"/>
  <c r="AB228" i="19"/>
  <c r="M248" i="19" s="1"/>
  <c r="T228" i="19"/>
  <c r="E248" i="19" s="1"/>
  <c r="Z228" i="19"/>
  <c r="K248" i="19" s="1"/>
  <c r="AP228" i="19"/>
  <c r="AA248" i="19" s="1"/>
  <c r="AR241" i="19"/>
  <c r="AC261" i="19" s="1"/>
  <c r="A278" i="19"/>
  <c r="A290" i="19"/>
  <c r="A390" i="19"/>
  <c r="A402" i="19"/>
  <c r="AP226" i="19"/>
  <c r="AA246" i="19" s="1"/>
  <c r="AH226" i="19"/>
  <c r="S246" i="19" s="1"/>
  <c r="Z226" i="19"/>
  <c r="K246" i="19" s="1"/>
  <c r="R226" i="19"/>
  <c r="C246" i="19" s="1"/>
  <c r="AL226" i="19"/>
  <c r="W246" i="19" s="1"/>
  <c r="AD226" i="19"/>
  <c r="O246" i="19" s="1"/>
  <c r="V226" i="19"/>
  <c r="G246" i="19" s="1"/>
  <c r="AA226" i="19"/>
  <c r="L246" i="19" s="1"/>
  <c r="AK226" i="19"/>
  <c r="V246" i="19" s="1"/>
  <c r="Z227" i="19"/>
  <c r="K247" i="19" s="1"/>
  <c r="AL227" i="19"/>
  <c r="W247" i="19" s="1"/>
  <c r="AA228" i="19"/>
  <c r="L248" i="19" s="1"/>
  <c r="AQ228" i="19"/>
  <c r="AB248" i="19" s="1"/>
  <c r="AQ233" i="19"/>
  <c r="AB253" i="19" s="1"/>
  <c r="AL239" i="19"/>
  <c r="AD239" i="19"/>
  <c r="V239" i="19"/>
  <c r="AK239" i="19"/>
  <c r="AC239" i="19"/>
  <c r="U239" i="19"/>
  <c r="AR239" i="19"/>
  <c r="AJ239" i="19"/>
  <c r="AB239" i="19"/>
  <c r="T239" i="19"/>
  <c r="AQ239" i="19"/>
  <c r="AI239" i="19"/>
  <c r="AA239" i="19"/>
  <c r="S239" i="19"/>
  <c r="AP239" i="19"/>
  <c r="AH239" i="19"/>
  <c r="Z239" i="19"/>
  <c r="R239" i="19"/>
  <c r="AM239" i="19"/>
  <c r="AE239" i="19"/>
  <c r="W239" i="19"/>
  <c r="A277" i="19"/>
  <c r="A289" i="19"/>
  <c r="AR334" i="19"/>
  <c r="AC354" i="19" s="1"/>
  <c r="AJ334" i="19"/>
  <c r="U354" i="19" s="1"/>
  <c r="AB334" i="19"/>
  <c r="M354" i="19" s="1"/>
  <c r="T334" i="19"/>
  <c r="E354" i="19" s="1"/>
  <c r="S334" i="19"/>
  <c r="D354" i="19" s="1"/>
  <c r="AP334" i="19"/>
  <c r="AA354" i="19" s="1"/>
  <c r="AH334" i="19"/>
  <c r="S354" i="19" s="1"/>
  <c r="Z334" i="19"/>
  <c r="K354" i="19" s="1"/>
  <c r="R334" i="19"/>
  <c r="C354" i="19" s="1"/>
  <c r="AE334" i="19"/>
  <c r="P354" i="19" s="1"/>
  <c r="Y334" i="19"/>
  <c r="J354" i="19" s="1"/>
  <c r="W334" i="19"/>
  <c r="H354" i="19" s="1"/>
  <c r="Q334" i="19"/>
  <c r="B354" i="19" s="1"/>
  <c r="AG334" i="19"/>
  <c r="R354" i="19" s="1"/>
  <c r="AP336" i="19"/>
  <c r="AA356" i="19" s="1"/>
  <c r="AH336" i="19"/>
  <c r="S356" i="19" s="1"/>
  <c r="Z336" i="19"/>
  <c r="K356" i="19" s="1"/>
  <c r="R336" i="19"/>
  <c r="C356" i="19" s="1"/>
  <c r="AK336" i="19"/>
  <c r="V356" i="19" s="1"/>
  <c r="AE336" i="19"/>
  <c r="P356" i="19" s="1"/>
  <c r="AC336" i="19"/>
  <c r="N356" i="19" s="1"/>
  <c r="W336" i="19"/>
  <c r="H356" i="19" s="1"/>
  <c r="U336" i="19"/>
  <c r="F356" i="19" s="1"/>
  <c r="AM336" i="19"/>
  <c r="X356" i="19" s="1"/>
  <c r="S226" i="19"/>
  <c r="D246" i="19" s="1"/>
  <c r="AC226" i="19"/>
  <c r="N246" i="19" s="1"/>
  <c r="AN226" i="19"/>
  <c r="Y246" i="19" s="1"/>
  <c r="AO227" i="19"/>
  <c r="Z247" i="19" s="1"/>
  <c r="AB227" i="19"/>
  <c r="M247" i="19" s="1"/>
  <c r="AP227" i="19"/>
  <c r="AA247" i="19" s="1"/>
  <c r="Q228" i="19"/>
  <c r="B248" i="19" s="1"/>
  <c r="AG228" i="19"/>
  <c r="R248" i="19" s="1"/>
  <c r="AE231" i="19"/>
  <c r="P251" i="19" s="1"/>
  <c r="AQ232" i="19"/>
  <c r="AB252" i="19" s="1"/>
  <c r="AI232" i="19"/>
  <c r="T252" i="19" s="1"/>
  <c r="AA232" i="19"/>
  <c r="L252" i="19" s="1"/>
  <c r="S232" i="19"/>
  <c r="D252" i="19" s="1"/>
  <c r="AP232" i="19"/>
  <c r="AA252" i="19" s="1"/>
  <c r="AH232" i="19"/>
  <c r="S252" i="19" s="1"/>
  <c r="Z232" i="19"/>
  <c r="K252" i="19" s="1"/>
  <c r="AO232" i="19"/>
  <c r="Z252" i="19" s="1"/>
  <c r="AG232" i="19"/>
  <c r="R252" i="19" s="1"/>
  <c r="Y232" i="19"/>
  <c r="J252" i="19" s="1"/>
  <c r="Q232" i="19"/>
  <c r="B252" i="19" s="1"/>
  <c r="AK232" i="19"/>
  <c r="V252" i="19" s="1"/>
  <c r="AC232" i="19"/>
  <c r="N252" i="19" s="1"/>
  <c r="U232" i="19"/>
  <c r="F252" i="19" s="1"/>
  <c r="AL232" i="19"/>
  <c r="W252" i="19" s="1"/>
  <c r="X239" i="19"/>
  <c r="AR336" i="19"/>
  <c r="AC356" i="19" s="1"/>
  <c r="T226" i="19"/>
  <c r="E246" i="19" s="1"/>
  <c r="AE226" i="19"/>
  <c r="P246" i="19" s="1"/>
  <c r="AO226" i="19"/>
  <c r="Z246" i="19" s="1"/>
  <c r="R227" i="19"/>
  <c r="C247" i="19" s="1"/>
  <c r="AD227" i="19"/>
  <c r="O247" i="19" s="1"/>
  <c r="AQ227" i="19"/>
  <c r="AB247" i="19" s="1"/>
  <c r="R228" i="19"/>
  <c r="C248" i="19" s="1"/>
  <c r="AH228" i="19"/>
  <c r="S248" i="19" s="1"/>
  <c r="Y239" i="19"/>
  <c r="AM334" i="19"/>
  <c r="X354" i="19" s="1"/>
  <c r="U226" i="19"/>
  <c r="F246" i="19" s="1"/>
  <c r="AF226" i="19"/>
  <c r="Q246" i="19" s="1"/>
  <c r="AQ226" i="19"/>
  <c r="AB246" i="19" s="1"/>
  <c r="S227" i="19"/>
  <c r="D247" i="19" s="1"/>
  <c r="AE227" i="19"/>
  <c r="P247" i="19" s="1"/>
  <c r="AR227" i="19"/>
  <c r="AC247" i="19" s="1"/>
  <c r="S228" i="19"/>
  <c r="D248" i="19" s="1"/>
  <c r="AI228" i="19"/>
  <c r="T248" i="19" s="1"/>
  <c r="AR232" i="19"/>
  <c r="AC252" i="19" s="1"/>
  <c r="AF239" i="19"/>
  <c r="AK240" i="19"/>
  <c r="AC240" i="19"/>
  <c r="U240" i="19"/>
  <c r="AR240" i="19"/>
  <c r="AJ240" i="19"/>
  <c r="AB240" i="19"/>
  <c r="T240" i="19"/>
  <c r="AQ240" i="19"/>
  <c r="AI240" i="19"/>
  <c r="AA240" i="19"/>
  <c r="S240" i="19"/>
  <c r="AP240" i="19"/>
  <c r="AH240" i="19"/>
  <c r="Z240" i="19"/>
  <c r="R240" i="19"/>
  <c r="AO240" i="19"/>
  <c r="AG240" i="19"/>
  <c r="Y240" i="19"/>
  <c r="Q240" i="19"/>
  <c r="AL240" i="19"/>
  <c r="AD240" i="19"/>
  <c r="V240" i="19"/>
  <c r="AO334" i="19"/>
  <c r="Z354" i="19" s="1"/>
  <c r="W226" i="19"/>
  <c r="H246" i="19" s="1"/>
  <c r="AG226" i="19"/>
  <c r="R246" i="19" s="1"/>
  <c r="AR226" i="19"/>
  <c r="AC246" i="19" s="1"/>
  <c r="T227" i="19"/>
  <c r="E247" i="19" s="1"/>
  <c r="V228" i="19"/>
  <c r="G248" i="19" s="1"/>
  <c r="AL228" i="19"/>
  <c r="W248" i="19" s="1"/>
  <c r="AM229" i="19"/>
  <c r="X249" i="19" s="1"/>
  <c r="AE229" i="19"/>
  <c r="P249" i="19" s="1"/>
  <c r="W229" i="19"/>
  <c r="H249" i="19" s="1"/>
  <c r="AL229" i="19"/>
  <c r="W249" i="19" s="1"/>
  <c r="AD229" i="19"/>
  <c r="O249" i="19" s="1"/>
  <c r="V229" i="19"/>
  <c r="G249" i="19" s="1"/>
  <c r="AR229" i="19"/>
  <c r="AC249" i="19" s="1"/>
  <c r="AJ229" i="19"/>
  <c r="U249" i="19" s="1"/>
  <c r="AB229" i="19"/>
  <c r="M249" i="19" s="1"/>
  <c r="T229" i="19"/>
  <c r="E249" i="19" s="1"/>
  <c r="AQ229" i="19"/>
  <c r="AB249" i="19" s="1"/>
  <c r="AI229" i="19"/>
  <c r="T249" i="19" s="1"/>
  <c r="AA229" i="19"/>
  <c r="L249" i="19" s="1"/>
  <c r="S229" i="19"/>
  <c r="D249" i="19" s="1"/>
  <c r="AN229" i="19"/>
  <c r="Y249" i="19" s="1"/>
  <c r="AF229" i="19"/>
  <c r="Q249" i="19" s="1"/>
  <c r="X229" i="19"/>
  <c r="I249" i="19" s="1"/>
  <c r="AH229" i="19"/>
  <c r="S249" i="19" s="1"/>
  <c r="AL230" i="19"/>
  <c r="W250" i="19" s="1"/>
  <c r="AD230" i="19"/>
  <c r="O250" i="19" s="1"/>
  <c r="V230" i="19"/>
  <c r="G250" i="19" s="1"/>
  <c r="AK230" i="19"/>
  <c r="V250" i="19" s="1"/>
  <c r="AC230" i="19"/>
  <c r="N250" i="19" s="1"/>
  <c r="U230" i="19"/>
  <c r="F250" i="19" s="1"/>
  <c r="AQ230" i="19"/>
  <c r="AB250" i="19" s="1"/>
  <c r="AI230" i="19"/>
  <c r="T250" i="19" s="1"/>
  <c r="AA230" i="19"/>
  <c r="L250" i="19" s="1"/>
  <c r="S230" i="19"/>
  <c r="D250" i="19" s="1"/>
  <c r="AP230" i="19"/>
  <c r="AA250" i="19" s="1"/>
  <c r="AH230" i="19"/>
  <c r="S250" i="19" s="1"/>
  <c r="Z230" i="19"/>
  <c r="K250" i="19" s="1"/>
  <c r="R230" i="19"/>
  <c r="C250" i="19" s="1"/>
  <c r="AM230" i="19"/>
  <c r="X250" i="19" s="1"/>
  <c r="AE230" i="19"/>
  <c r="P250" i="19" s="1"/>
  <c r="W230" i="19"/>
  <c r="H250" i="19" s="1"/>
  <c r="AJ230" i="19"/>
  <c r="U250" i="19" s="1"/>
  <c r="AK231" i="19"/>
  <c r="V251" i="19" s="1"/>
  <c r="AC231" i="19"/>
  <c r="N251" i="19" s="1"/>
  <c r="U231" i="19"/>
  <c r="F251" i="19" s="1"/>
  <c r="AR231" i="19"/>
  <c r="AC251" i="19" s="1"/>
  <c r="AJ231" i="19"/>
  <c r="U251" i="19" s="1"/>
  <c r="AB231" i="19"/>
  <c r="M251" i="19" s="1"/>
  <c r="T231" i="19"/>
  <c r="E251" i="19" s="1"/>
  <c r="AP231" i="19"/>
  <c r="AA251" i="19" s="1"/>
  <c r="AH231" i="19"/>
  <c r="S251" i="19" s="1"/>
  <c r="Z231" i="19"/>
  <c r="K251" i="19" s="1"/>
  <c r="R231" i="19"/>
  <c r="C251" i="19" s="1"/>
  <c r="AO231" i="19"/>
  <c r="Z251" i="19" s="1"/>
  <c r="AG231" i="19"/>
  <c r="R251" i="19" s="1"/>
  <c r="Y231" i="19"/>
  <c r="J251" i="19" s="1"/>
  <c r="Q231" i="19"/>
  <c r="B251" i="19" s="1"/>
  <c r="AL231" i="19"/>
  <c r="W251" i="19" s="1"/>
  <c r="AD231" i="19"/>
  <c r="O251" i="19" s="1"/>
  <c r="V231" i="19"/>
  <c r="G251" i="19" s="1"/>
  <c r="AM231" i="19"/>
  <c r="X251" i="19" s="1"/>
  <c r="R232" i="19"/>
  <c r="C252" i="19" s="1"/>
  <c r="AG239" i="19"/>
  <c r="W240" i="19"/>
  <c r="AP241" i="19"/>
  <c r="AA261" i="19" s="1"/>
  <c r="AH241" i="19"/>
  <c r="S261" i="19" s="1"/>
  <c r="Z241" i="19"/>
  <c r="K261" i="19" s="1"/>
  <c r="R241" i="19"/>
  <c r="C261" i="19" s="1"/>
  <c r="AO241" i="19"/>
  <c r="Z261" i="19" s="1"/>
  <c r="AG241" i="19"/>
  <c r="R261" i="19" s="1"/>
  <c r="Y241" i="19"/>
  <c r="J261" i="19" s="1"/>
  <c r="Q241" i="19"/>
  <c r="B261" i="19" s="1"/>
  <c r="AK241" i="19"/>
  <c r="V261" i="19" s="1"/>
  <c r="AC241" i="19"/>
  <c r="N261" i="19" s="1"/>
  <c r="U241" i="19"/>
  <c r="F261" i="19" s="1"/>
  <c r="AM241" i="19"/>
  <c r="X261" i="19" s="1"/>
  <c r="S234" i="19"/>
  <c r="D254" i="19" s="1"/>
  <c r="AA234" i="19"/>
  <c r="L254" i="19" s="1"/>
  <c r="AI234" i="19"/>
  <c r="T254" i="19" s="1"/>
  <c r="AQ234" i="19"/>
  <c r="AB254" i="19" s="1"/>
  <c r="R236" i="19"/>
  <c r="C256" i="19" s="1"/>
  <c r="Z236" i="19"/>
  <c r="K256" i="19" s="1"/>
  <c r="AH236" i="19"/>
  <c r="S256" i="19" s="1"/>
  <c r="AP236" i="19"/>
  <c r="AA256" i="19" s="1"/>
  <c r="Q237" i="19"/>
  <c r="B257" i="19" s="1"/>
  <c r="Y237" i="19"/>
  <c r="J257" i="19" s="1"/>
  <c r="AG237" i="19"/>
  <c r="R257" i="19" s="1"/>
  <c r="AO237" i="19"/>
  <c r="Z257" i="19" s="1"/>
  <c r="X238" i="19"/>
  <c r="I258" i="19" s="1"/>
  <c r="AF238" i="19"/>
  <c r="Q258" i="19" s="1"/>
  <c r="AN238" i="19"/>
  <c r="Y258" i="19" s="1"/>
  <c r="U227" i="19"/>
  <c r="F247" i="19" s="1"/>
  <c r="AC227" i="19"/>
  <c r="N247" i="19" s="1"/>
  <c r="AK227" i="19"/>
  <c r="V247" i="19" s="1"/>
  <c r="X232" i="19"/>
  <c r="I252" i="19" s="1"/>
  <c r="AF232" i="19"/>
  <c r="Q252" i="19" s="1"/>
  <c r="AN232" i="19"/>
  <c r="Y252" i="19" s="1"/>
  <c r="W233" i="19"/>
  <c r="H253" i="19" s="1"/>
  <c r="AE233" i="19"/>
  <c r="P253" i="19" s="1"/>
  <c r="AM233" i="19"/>
  <c r="X253" i="19" s="1"/>
  <c r="V234" i="19"/>
  <c r="G254" i="19" s="1"/>
  <c r="AD234" i="19"/>
  <c r="O254" i="19" s="1"/>
  <c r="AL234" i="19"/>
  <c r="W254" i="19" s="1"/>
  <c r="U236" i="19"/>
  <c r="F256" i="19" s="1"/>
  <c r="AC236" i="19"/>
  <c r="N256" i="19" s="1"/>
  <c r="AK236" i="19"/>
  <c r="V256" i="19" s="1"/>
  <c r="T237" i="19"/>
  <c r="E257" i="19" s="1"/>
  <c r="AB237" i="19"/>
  <c r="M257" i="19" s="1"/>
  <c r="AJ237" i="19"/>
  <c r="U257" i="19" s="1"/>
  <c r="AR237" i="19"/>
  <c r="AC257" i="19" s="1"/>
  <c r="S238" i="19"/>
  <c r="D258" i="19" s="1"/>
  <c r="AA238" i="19"/>
  <c r="L258" i="19" s="1"/>
  <c r="AI238" i="19"/>
  <c r="T258" i="19" s="1"/>
  <c r="AQ238" i="19"/>
  <c r="AB258" i="19" s="1"/>
  <c r="X241" i="19"/>
  <c r="I261" i="19" s="1"/>
  <c r="AF241" i="19"/>
  <c r="Q261" i="19" s="1"/>
  <c r="AN241" i="19"/>
  <c r="Y261" i="19" s="1"/>
  <c r="A276" i="19"/>
  <c r="AL334" i="19"/>
  <c r="W354" i="19" s="1"/>
  <c r="AF335" i="19"/>
  <c r="Q355" i="19" s="1"/>
  <c r="AO337" i="19"/>
  <c r="Z357" i="19" s="1"/>
  <c r="AG337" i="19"/>
  <c r="R357" i="19" s="1"/>
  <c r="Y337" i="19"/>
  <c r="J357" i="19" s="1"/>
  <c r="Q337" i="19"/>
  <c r="B357" i="19" s="1"/>
  <c r="AM337" i="19"/>
  <c r="X357" i="19" s="1"/>
  <c r="AE337" i="19"/>
  <c r="P357" i="19" s="1"/>
  <c r="W337" i="19"/>
  <c r="H357" i="19" s="1"/>
  <c r="AL337" i="19"/>
  <c r="W357" i="19" s="1"/>
  <c r="AI345" i="19"/>
  <c r="T365" i="19" s="1"/>
  <c r="W345" i="19"/>
  <c r="H365" i="19" s="1"/>
  <c r="AQ345" i="19"/>
  <c r="AB365" i="19" s="1"/>
  <c r="AE345" i="19"/>
  <c r="P365" i="19" s="1"/>
  <c r="Q345" i="19"/>
  <c r="B365" i="19" s="1"/>
  <c r="AN345" i="19"/>
  <c r="Y365" i="19" s="1"/>
  <c r="AA345" i="19"/>
  <c r="L365" i="19" s="1"/>
  <c r="X233" i="19"/>
  <c r="I253" i="19" s="1"/>
  <c r="AF233" i="19"/>
  <c r="Q253" i="19" s="1"/>
  <c r="AN233" i="19"/>
  <c r="Y253" i="19" s="1"/>
  <c r="W234" i="19"/>
  <c r="H254" i="19" s="1"/>
  <c r="AE234" i="19"/>
  <c r="P254" i="19" s="1"/>
  <c r="AM234" i="19"/>
  <c r="X254" i="19" s="1"/>
  <c r="V236" i="19"/>
  <c r="G256" i="19" s="1"/>
  <c r="AD236" i="19"/>
  <c r="O256" i="19" s="1"/>
  <c r="U237" i="19"/>
  <c r="F257" i="19" s="1"/>
  <c r="AC237" i="19"/>
  <c r="N257" i="19" s="1"/>
  <c r="AK237" i="19"/>
  <c r="V257" i="19" s="1"/>
  <c r="T238" i="19"/>
  <c r="E258" i="19" s="1"/>
  <c r="AB238" i="19"/>
  <c r="M258" i="19" s="1"/>
  <c r="AJ238" i="19"/>
  <c r="U258" i="19" s="1"/>
  <c r="AR238" i="19"/>
  <c r="AC258" i="19" s="1"/>
  <c r="A281" i="19"/>
  <c r="AR346" i="19"/>
  <c r="AC366" i="19" s="1"/>
  <c r="AJ346" i="19"/>
  <c r="U366" i="19" s="1"/>
  <c r="AB346" i="19"/>
  <c r="M366" i="19" s="1"/>
  <c r="T346" i="19"/>
  <c r="E366" i="19" s="1"/>
  <c r="AQ346" i="19"/>
  <c r="AB366" i="19" s="1"/>
  <c r="AI346" i="19"/>
  <c r="T366" i="19" s="1"/>
  <c r="AA346" i="19"/>
  <c r="L366" i="19" s="1"/>
  <c r="S346" i="19"/>
  <c r="D366" i="19" s="1"/>
  <c r="AO346" i="19"/>
  <c r="Z366" i="19" s="1"/>
  <c r="AG346" i="19"/>
  <c r="R366" i="19" s="1"/>
  <c r="Y346" i="19"/>
  <c r="J366" i="19" s="1"/>
  <c r="Q346" i="19"/>
  <c r="B366" i="19" s="1"/>
  <c r="AM346" i="19"/>
  <c r="X366" i="19" s="1"/>
  <c r="Z346" i="19"/>
  <c r="K366" i="19" s="1"/>
  <c r="AL346" i="19"/>
  <c r="W366" i="19" s="1"/>
  <c r="X346" i="19"/>
  <c r="I366" i="19" s="1"/>
  <c r="AK346" i="19"/>
  <c r="V366" i="19" s="1"/>
  <c r="W346" i="19"/>
  <c r="H366" i="19" s="1"/>
  <c r="AH346" i="19"/>
  <c r="S366" i="19" s="1"/>
  <c r="V346" i="19"/>
  <c r="G366" i="19" s="1"/>
  <c r="AF346" i="19"/>
  <c r="Q366" i="19" s="1"/>
  <c r="U346" i="19"/>
  <c r="F366" i="19" s="1"/>
  <c r="AE346" i="19"/>
  <c r="P366" i="19" s="1"/>
  <c r="R346" i="19"/>
  <c r="C366" i="19" s="1"/>
  <c r="AN346" i="19"/>
  <c r="Y366" i="19" s="1"/>
  <c r="AC346" i="19"/>
  <c r="N366" i="19" s="1"/>
  <c r="A389" i="19"/>
  <c r="A401" i="19"/>
  <c r="X234" i="19"/>
  <c r="I254" i="19" s="1"/>
  <c r="AF234" i="19"/>
  <c r="Q254" i="19" s="1"/>
  <c r="AN234" i="19"/>
  <c r="Y254" i="19" s="1"/>
  <c r="W236" i="19"/>
  <c r="H256" i="19" s="1"/>
  <c r="AE236" i="19"/>
  <c r="P256" i="19" s="1"/>
  <c r="V237" i="19"/>
  <c r="G257" i="19" s="1"/>
  <c r="AD237" i="19"/>
  <c r="O257" i="19" s="1"/>
  <c r="AL237" i="19"/>
  <c r="W257" i="19" s="1"/>
  <c r="AK238" i="19"/>
  <c r="V258" i="19" s="1"/>
  <c r="AJ349" i="19"/>
  <c r="W349" i="19"/>
  <c r="AI349" i="19"/>
  <c r="U349" i="19"/>
  <c r="AH349" i="19"/>
  <c r="T349" i="19"/>
  <c r="AR349" i="19"/>
  <c r="AE349" i="19"/>
  <c r="S349" i="19"/>
  <c r="AQ349" i="19"/>
  <c r="AC349" i="19"/>
  <c r="R349" i="19"/>
  <c r="AP349" i="19"/>
  <c r="AB349" i="19"/>
  <c r="AK349" i="19"/>
  <c r="Z349" i="19"/>
  <c r="X227" i="19"/>
  <c r="I247" i="19" s="1"/>
  <c r="AF227" i="19"/>
  <c r="Q247" i="19" s="1"/>
  <c r="AN227" i="19"/>
  <c r="Y247" i="19" s="1"/>
  <c r="R233" i="19"/>
  <c r="C253" i="19" s="1"/>
  <c r="Z233" i="19"/>
  <c r="K253" i="19" s="1"/>
  <c r="AH233" i="19"/>
  <c r="S253" i="19" s="1"/>
  <c r="AP233" i="19"/>
  <c r="AA253" i="19" s="1"/>
  <c r="Q234" i="19"/>
  <c r="B254" i="19" s="1"/>
  <c r="Y234" i="19"/>
  <c r="J254" i="19" s="1"/>
  <c r="AG234" i="19"/>
  <c r="R254" i="19" s="1"/>
  <c r="AO234" i="19"/>
  <c r="Z254" i="19" s="1"/>
  <c r="X236" i="19"/>
  <c r="I256" i="19" s="1"/>
  <c r="AF236" i="19"/>
  <c r="Q256" i="19" s="1"/>
  <c r="AN236" i="19"/>
  <c r="Y256" i="19" s="1"/>
  <c r="W237" i="19"/>
  <c r="H257" i="19" s="1"/>
  <c r="AE237" i="19"/>
  <c r="P257" i="19" s="1"/>
  <c r="V238" i="19"/>
  <c r="G258" i="19" s="1"/>
  <c r="AD238" i="19"/>
  <c r="O258" i="19" s="1"/>
  <c r="AL238" i="19"/>
  <c r="W258" i="19" s="1"/>
  <c r="S241" i="19"/>
  <c r="D261" i="19" s="1"/>
  <c r="AA241" i="19"/>
  <c r="L261" i="19" s="1"/>
  <c r="AI241" i="19"/>
  <c r="T261" i="19" s="1"/>
  <c r="AQ241" i="19"/>
  <c r="AB261" i="19" s="1"/>
  <c r="T337" i="19"/>
  <c r="E357" i="19" s="1"/>
  <c r="Y345" i="19"/>
  <c r="J365" i="19" s="1"/>
  <c r="AP346" i="19"/>
  <c r="AA366" i="19" s="1"/>
  <c r="Q227" i="19"/>
  <c r="B247" i="19" s="1"/>
  <c r="Y227" i="19"/>
  <c r="J247" i="19" s="1"/>
  <c r="AG227" i="19"/>
  <c r="R247" i="19" s="1"/>
  <c r="X228" i="19"/>
  <c r="I248" i="19" s="1"/>
  <c r="AF228" i="19"/>
  <c r="Q248" i="19" s="1"/>
  <c r="T232" i="19"/>
  <c r="E252" i="19" s="1"/>
  <c r="AB232" i="19"/>
  <c r="M252" i="19" s="1"/>
  <c r="AJ232" i="19"/>
  <c r="U252" i="19" s="1"/>
  <c r="S233" i="19"/>
  <c r="D253" i="19" s="1"/>
  <c r="AA233" i="19"/>
  <c r="L253" i="19" s="1"/>
  <c r="AI233" i="19"/>
  <c r="T253" i="19" s="1"/>
  <c r="R234" i="19"/>
  <c r="C254" i="19" s="1"/>
  <c r="Z234" i="19"/>
  <c r="K254" i="19" s="1"/>
  <c r="AH234" i="19"/>
  <c r="S254" i="19" s="1"/>
  <c r="Q236" i="19"/>
  <c r="B256" i="19" s="1"/>
  <c r="Y236" i="19"/>
  <c r="J256" i="19" s="1"/>
  <c r="AG236" i="19"/>
  <c r="R256" i="19" s="1"/>
  <c r="X237" i="19"/>
  <c r="I257" i="19" s="1"/>
  <c r="AF237" i="19"/>
  <c r="Q257" i="19" s="1"/>
  <c r="W238" i="19"/>
  <c r="H258" i="19" s="1"/>
  <c r="AE238" i="19"/>
  <c r="P258" i="19" s="1"/>
  <c r="T241" i="19"/>
  <c r="E261" i="19" s="1"/>
  <c r="AB241" i="19"/>
  <c r="M261" i="19" s="1"/>
  <c r="AJ241" i="19"/>
  <c r="U261" i="19" s="1"/>
  <c r="AK335" i="19"/>
  <c r="V355" i="19" s="1"/>
  <c r="AC335" i="19"/>
  <c r="N355" i="19" s="1"/>
  <c r="U335" i="19"/>
  <c r="F355" i="19" s="1"/>
  <c r="AR335" i="19"/>
  <c r="AC355" i="19" s="1"/>
  <c r="AJ335" i="19"/>
  <c r="U355" i="19" s="1"/>
  <c r="AB335" i="19"/>
  <c r="M355" i="19" s="1"/>
  <c r="T335" i="19"/>
  <c r="E355" i="19" s="1"/>
  <c r="AQ335" i="19"/>
  <c r="AB355" i="19" s="1"/>
  <c r="AI335" i="19"/>
  <c r="T355" i="19" s="1"/>
  <c r="AA335" i="19"/>
  <c r="L355" i="19" s="1"/>
  <c r="S335" i="19"/>
  <c r="D355" i="19" s="1"/>
  <c r="AP335" i="19"/>
  <c r="AA355" i="19" s="1"/>
  <c r="AH335" i="19"/>
  <c r="S355" i="19" s="1"/>
  <c r="Z335" i="19"/>
  <c r="K355" i="19" s="1"/>
  <c r="R335" i="19"/>
  <c r="C355" i="19" s="1"/>
  <c r="AO335" i="19"/>
  <c r="Z355" i="19" s="1"/>
  <c r="AG335" i="19"/>
  <c r="R355" i="19" s="1"/>
  <c r="Y335" i="19"/>
  <c r="J355" i="19" s="1"/>
  <c r="Q335" i="19"/>
  <c r="B355" i="19" s="1"/>
  <c r="AM335" i="19"/>
  <c r="X355" i="19" s="1"/>
  <c r="AE335" i="19"/>
  <c r="P355" i="19" s="1"/>
  <c r="W335" i="19"/>
  <c r="H355" i="19" s="1"/>
  <c r="V337" i="19"/>
  <c r="G357" i="19" s="1"/>
  <c r="AM345" i="19"/>
  <c r="X365" i="19" s="1"/>
  <c r="AA349" i="19"/>
  <c r="X334" i="19"/>
  <c r="I354" i="19" s="1"/>
  <c r="AF334" i="19"/>
  <c r="Q354" i="19" s="1"/>
  <c r="AN334" i="19"/>
  <c r="Y354" i="19" s="1"/>
  <c r="V336" i="19"/>
  <c r="G356" i="19" s="1"/>
  <c r="AD336" i="19"/>
  <c r="O356" i="19" s="1"/>
  <c r="AL336" i="19"/>
  <c r="W356" i="19" s="1"/>
  <c r="U337" i="19"/>
  <c r="F357" i="19" s="1"/>
  <c r="AC337" i="19"/>
  <c r="N357" i="19" s="1"/>
  <c r="AK337" i="19"/>
  <c r="V357" i="19" s="1"/>
  <c r="T338" i="19"/>
  <c r="E358" i="19" s="1"/>
  <c r="AB338" i="19"/>
  <c r="M358" i="19" s="1"/>
  <c r="AJ338" i="19"/>
  <c r="U358" i="19" s="1"/>
  <c r="AR338" i="19"/>
  <c r="AC358" i="19" s="1"/>
  <c r="S339" i="19"/>
  <c r="D359" i="19" s="1"/>
  <c r="AA339" i="19"/>
  <c r="L359" i="19" s="1"/>
  <c r="AI339" i="19"/>
  <c r="T359" i="19" s="1"/>
  <c r="AQ339" i="19"/>
  <c r="AB359" i="19" s="1"/>
  <c r="R340" i="19"/>
  <c r="C360" i="19" s="1"/>
  <c r="Z340" i="19"/>
  <c r="K360" i="19" s="1"/>
  <c r="AH340" i="19"/>
  <c r="S360" i="19" s="1"/>
  <c r="AP340" i="19"/>
  <c r="AA360" i="19" s="1"/>
  <c r="Q341" i="19"/>
  <c r="B361" i="19" s="1"/>
  <c r="Y341" i="19"/>
  <c r="J361" i="19" s="1"/>
  <c r="AH341" i="19"/>
  <c r="S361" i="19" s="1"/>
  <c r="AQ341" i="19"/>
  <c r="AB361" i="19" s="1"/>
  <c r="R342" i="19"/>
  <c r="C362" i="19" s="1"/>
  <c r="AA342" i="19"/>
  <c r="L362" i="19" s="1"/>
  <c r="AJ342" i="19"/>
  <c r="U362" i="19" s="1"/>
  <c r="W343" i="19"/>
  <c r="H363" i="19" s="1"/>
  <c r="AH343" i="19"/>
  <c r="S363" i="19" s="1"/>
  <c r="X345" i="19"/>
  <c r="I365" i="19" s="1"/>
  <c r="T347" i="19"/>
  <c r="E367" i="19" s="1"/>
  <c r="AE347" i="19"/>
  <c r="P367" i="19" s="1"/>
  <c r="V348" i="19"/>
  <c r="AJ348" i="19"/>
  <c r="AL349" i="19"/>
  <c r="Z350" i="19"/>
  <c r="K370" i="19" s="1"/>
  <c r="AL350" i="19"/>
  <c r="W370" i="19" s="1"/>
  <c r="X336" i="19"/>
  <c r="I356" i="19" s="1"/>
  <c r="AF336" i="19"/>
  <c r="Q356" i="19" s="1"/>
  <c r="AN336" i="19"/>
  <c r="Y356" i="19" s="1"/>
  <c r="V338" i="19"/>
  <c r="G358" i="19" s="1"/>
  <c r="AD338" i="19"/>
  <c r="O358" i="19" s="1"/>
  <c r="AL338" i="19"/>
  <c r="W358" i="19" s="1"/>
  <c r="U339" i="19"/>
  <c r="F359" i="19" s="1"/>
  <c r="AC339" i="19"/>
  <c r="N359" i="19" s="1"/>
  <c r="AK339" i="19"/>
  <c r="V359" i="19" s="1"/>
  <c r="T340" i="19"/>
  <c r="E360" i="19" s="1"/>
  <c r="AB340" i="19"/>
  <c r="M360" i="19" s="1"/>
  <c r="AJ340" i="19"/>
  <c r="U360" i="19" s="1"/>
  <c r="AR340" i="19"/>
  <c r="AC360" i="19" s="1"/>
  <c r="S341" i="19"/>
  <c r="D361" i="19" s="1"/>
  <c r="AA341" i="19"/>
  <c r="L361" i="19" s="1"/>
  <c r="AJ341" i="19"/>
  <c r="U361" i="19" s="1"/>
  <c r="T342" i="19"/>
  <c r="E362" i="19" s="1"/>
  <c r="AC342" i="19"/>
  <c r="N362" i="19" s="1"/>
  <c r="AL342" i="19"/>
  <c r="W362" i="19" s="1"/>
  <c r="Y343" i="19"/>
  <c r="J363" i="19" s="1"/>
  <c r="AM343" i="19"/>
  <c r="X363" i="19" s="1"/>
  <c r="V347" i="19"/>
  <c r="G367" i="19" s="1"/>
  <c r="AJ347" i="19"/>
  <c r="U367" i="19" s="1"/>
  <c r="AA348" i="19"/>
  <c r="AL348" i="19"/>
  <c r="AO349" i="19"/>
  <c r="Q350" i="19"/>
  <c r="B370" i="19" s="1"/>
  <c r="AB350" i="19"/>
  <c r="M370" i="19" s="1"/>
  <c r="AP350" i="19"/>
  <c r="AA370" i="19" s="1"/>
  <c r="AA334" i="19"/>
  <c r="L354" i="19" s="1"/>
  <c r="AI334" i="19"/>
  <c r="T354" i="19" s="1"/>
  <c r="AQ334" i="19"/>
  <c r="AB354" i="19" s="1"/>
  <c r="Q336" i="19"/>
  <c r="B356" i="19" s="1"/>
  <c r="Y336" i="19"/>
  <c r="J356" i="19" s="1"/>
  <c r="AG336" i="19"/>
  <c r="R356" i="19" s="1"/>
  <c r="AO336" i="19"/>
  <c r="Z356" i="19" s="1"/>
  <c r="X337" i="19"/>
  <c r="I357" i="19" s="1"/>
  <c r="AF337" i="19"/>
  <c r="Q357" i="19" s="1"/>
  <c r="AN337" i="19"/>
  <c r="Y357" i="19" s="1"/>
  <c r="W338" i="19"/>
  <c r="H358" i="19" s="1"/>
  <c r="AE338" i="19"/>
  <c r="P358" i="19" s="1"/>
  <c r="AM338" i="19"/>
  <c r="X358" i="19" s="1"/>
  <c r="V339" i="19"/>
  <c r="G359" i="19" s="1"/>
  <c r="AD339" i="19"/>
  <c r="O359" i="19" s="1"/>
  <c r="U340" i="19"/>
  <c r="F360" i="19" s="1"/>
  <c r="AC340" i="19"/>
  <c r="N360" i="19" s="1"/>
  <c r="AK340" i="19"/>
  <c r="V360" i="19" s="1"/>
  <c r="T341" i="19"/>
  <c r="E361" i="19" s="1"/>
  <c r="AB341" i="19"/>
  <c r="M361" i="19" s="1"/>
  <c r="AK341" i="19"/>
  <c r="V361" i="19" s="1"/>
  <c r="U342" i="19"/>
  <c r="F362" i="19" s="1"/>
  <c r="AD342" i="19"/>
  <c r="O362" i="19" s="1"/>
  <c r="AN342" i="19"/>
  <c r="Y362" i="19" s="1"/>
  <c r="Z343" i="19"/>
  <c r="K363" i="19" s="1"/>
  <c r="AK345" i="19"/>
  <c r="V365" i="19" s="1"/>
  <c r="AC345" i="19"/>
  <c r="N365" i="19" s="1"/>
  <c r="U345" i="19"/>
  <c r="F365" i="19" s="1"/>
  <c r="AR345" i="19"/>
  <c r="AC365" i="19" s="1"/>
  <c r="AJ345" i="19"/>
  <c r="U365" i="19" s="1"/>
  <c r="AB345" i="19"/>
  <c r="M365" i="19" s="1"/>
  <c r="T345" i="19"/>
  <c r="E365" i="19" s="1"/>
  <c r="AP345" i="19"/>
  <c r="AA365" i="19" s="1"/>
  <c r="AH345" i="19"/>
  <c r="S365" i="19" s="1"/>
  <c r="Z345" i="19"/>
  <c r="K365" i="19" s="1"/>
  <c r="R345" i="19"/>
  <c r="C365" i="19" s="1"/>
  <c r="AD345" i="19"/>
  <c r="O365" i="19" s="1"/>
  <c r="AO345" i="19"/>
  <c r="Z365" i="19" s="1"/>
  <c r="W347" i="19"/>
  <c r="H367" i="19" s="1"/>
  <c r="AK347" i="19"/>
  <c r="V367" i="19" s="1"/>
  <c r="AB348" i="19"/>
  <c r="R350" i="19"/>
  <c r="C370" i="19" s="1"/>
  <c r="AD350" i="19"/>
  <c r="O370" i="19" s="1"/>
  <c r="AQ350" i="19"/>
  <c r="AB370" i="19" s="1"/>
  <c r="A399" i="19"/>
  <c r="A387" i="19"/>
  <c r="X338" i="19"/>
  <c r="I358" i="19" s="1"/>
  <c r="AF338" i="19"/>
  <c r="Q358" i="19" s="1"/>
  <c r="AN338" i="19"/>
  <c r="Y358" i="19" s="1"/>
  <c r="W339" i="19"/>
  <c r="H359" i="19" s="1"/>
  <c r="AE339" i="19"/>
  <c r="P359" i="19" s="1"/>
  <c r="V340" i="19"/>
  <c r="G360" i="19" s="1"/>
  <c r="AD340" i="19"/>
  <c r="O360" i="19" s="1"/>
  <c r="AL340" i="19"/>
  <c r="W360" i="19" s="1"/>
  <c r="U341" i="19"/>
  <c r="F361" i="19" s="1"/>
  <c r="AC341" i="19"/>
  <c r="N361" i="19" s="1"/>
  <c r="AL341" i="19"/>
  <c r="W361" i="19" s="1"/>
  <c r="V342" i="19"/>
  <c r="G362" i="19" s="1"/>
  <c r="AF342" i="19"/>
  <c r="Q362" i="19" s="1"/>
  <c r="AO342" i="19"/>
  <c r="Z362" i="19" s="1"/>
  <c r="AL343" i="19"/>
  <c r="W363" i="19" s="1"/>
  <c r="AD343" i="19"/>
  <c r="O363" i="19" s="1"/>
  <c r="V343" i="19"/>
  <c r="G363" i="19" s="1"/>
  <c r="AK343" i="19"/>
  <c r="V363" i="19" s="1"/>
  <c r="AC343" i="19"/>
  <c r="N363" i="19" s="1"/>
  <c r="U343" i="19"/>
  <c r="F363" i="19" s="1"/>
  <c r="AQ343" i="19"/>
  <c r="AB363" i="19" s="1"/>
  <c r="AI343" i="19"/>
  <c r="T363" i="19" s="1"/>
  <c r="AA343" i="19"/>
  <c r="L363" i="19" s="1"/>
  <c r="S343" i="19"/>
  <c r="D363" i="19" s="1"/>
  <c r="AB343" i="19"/>
  <c r="M363" i="19" s="1"/>
  <c r="AO343" i="19"/>
  <c r="Z363" i="19" s="1"/>
  <c r="Y347" i="19"/>
  <c r="J367" i="19" s="1"/>
  <c r="AL347" i="19"/>
  <c r="W367" i="19" s="1"/>
  <c r="AP348" i="19"/>
  <c r="AH348" i="19"/>
  <c r="Z348" i="19"/>
  <c r="R348" i="19"/>
  <c r="AO348" i="19"/>
  <c r="AG348" i="19"/>
  <c r="Y348" i="19"/>
  <c r="Q348" i="19"/>
  <c r="AM348" i="19"/>
  <c r="AE348" i="19"/>
  <c r="W348" i="19"/>
  <c r="AC348" i="19"/>
  <c r="AQ348" i="19"/>
  <c r="S350" i="19"/>
  <c r="D370" i="19" s="1"/>
  <c r="AG350" i="19"/>
  <c r="R370" i="19" s="1"/>
  <c r="AR350" i="19"/>
  <c r="AC370" i="19" s="1"/>
  <c r="U334" i="19"/>
  <c r="F354" i="19" s="1"/>
  <c r="AC334" i="19"/>
  <c r="N354" i="19" s="1"/>
  <c r="AK334" i="19"/>
  <c r="V354" i="19" s="1"/>
  <c r="S336" i="19"/>
  <c r="D356" i="19" s="1"/>
  <c r="AA336" i="19"/>
  <c r="L356" i="19" s="1"/>
  <c r="AI336" i="19"/>
  <c r="T356" i="19" s="1"/>
  <c r="AQ336" i="19"/>
  <c r="AB356" i="19" s="1"/>
  <c r="R337" i="19"/>
  <c r="C357" i="19" s="1"/>
  <c r="Z337" i="19"/>
  <c r="K357" i="19" s="1"/>
  <c r="AH337" i="19"/>
  <c r="S357" i="19" s="1"/>
  <c r="AP337" i="19"/>
  <c r="AA357" i="19" s="1"/>
  <c r="Q338" i="19"/>
  <c r="B358" i="19" s="1"/>
  <c r="Y338" i="19"/>
  <c r="J358" i="19" s="1"/>
  <c r="AG338" i="19"/>
  <c r="R358" i="19" s="1"/>
  <c r="AO338" i="19"/>
  <c r="Z358" i="19" s="1"/>
  <c r="X339" i="19"/>
  <c r="I359" i="19" s="1"/>
  <c r="AF339" i="19"/>
  <c r="Q359" i="19" s="1"/>
  <c r="AN339" i="19"/>
  <c r="Y359" i="19" s="1"/>
  <c r="W340" i="19"/>
  <c r="H360" i="19" s="1"/>
  <c r="AE340" i="19"/>
  <c r="P360" i="19" s="1"/>
  <c r="V341" i="19"/>
  <c r="G361" i="19" s="1"/>
  <c r="AD341" i="19"/>
  <c r="O361" i="19" s="1"/>
  <c r="AM341" i="19"/>
  <c r="X361" i="19" s="1"/>
  <c r="X342" i="19"/>
  <c r="I362" i="19" s="1"/>
  <c r="AG342" i="19"/>
  <c r="R362" i="19" s="1"/>
  <c r="Q343" i="19"/>
  <c r="B363" i="19" s="1"/>
  <c r="AE343" i="19"/>
  <c r="P363" i="19" s="1"/>
  <c r="AP343" i="19"/>
  <c r="AA363" i="19" s="1"/>
  <c r="S345" i="19"/>
  <c r="D365" i="19" s="1"/>
  <c r="AF345" i="19"/>
  <c r="Q365" i="19" s="1"/>
  <c r="AB347" i="19"/>
  <c r="M367" i="19" s="1"/>
  <c r="AM347" i="19"/>
  <c r="X367" i="19" s="1"/>
  <c r="S348" i="19"/>
  <c r="AD348" i="19"/>
  <c r="AR348" i="19"/>
  <c r="T350" i="19"/>
  <c r="E370" i="19" s="1"/>
  <c r="AH350" i="19"/>
  <c r="S370" i="19" s="1"/>
  <c r="V334" i="19"/>
  <c r="G354" i="19" s="1"/>
  <c r="AD334" i="19"/>
  <c r="O354" i="19" s="1"/>
  <c r="T336" i="19"/>
  <c r="E356" i="19" s="1"/>
  <c r="AB336" i="19"/>
  <c r="M356" i="19" s="1"/>
  <c r="AJ336" i="19"/>
  <c r="U356" i="19" s="1"/>
  <c r="S337" i="19"/>
  <c r="D357" i="19" s="1"/>
  <c r="AA337" i="19"/>
  <c r="L357" i="19" s="1"/>
  <c r="AI337" i="19"/>
  <c r="T357" i="19" s="1"/>
  <c r="R338" i="19"/>
  <c r="C358" i="19" s="1"/>
  <c r="Z338" i="19"/>
  <c r="K358" i="19" s="1"/>
  <c r="AH338" i="19"/>
  <c r="S358" i="19" s="1"/>
  <c r="Q339" i="19"/>
  <c r="B359" i="19" s="1"/>
  <c r="Y339" i="19"/>
  <c r="J359" i="19" s="1"/>
  <c r="AG339" i="19"/>
  <c r="R359" i="19" s="1"/>
  <c r="X340" i="19"/>
  <c r="I360" i="19" s="1"/>
  <c r="AF340" i="19"/>
  <c r="Q360" i="19" s="1"/>
  <c r="W341" i="19"/>
  <c r="H361" i="19" s="1"/>
  <c r="AE341" i="19"/>
  <c r="P361" i="19" s="1"/>
  <c r="AM342" i="19"/>
  <c r="X362" i="19" s="1"/>
  <c r="AE342" i="19"/>
  <c r="P362" i="19" s="1"/>
  <c r="W342" i="19"/>
  <c r="H362" i="19" s="1"/>
  <c r="Y342" i="19"/>
  <c r="J362" i="19" s="1"/>
  <c r="AH342" i="19"/>
  <c r="S362" i="19" s="1"/>
  <c r="AQ342" i="19"/>
  <c r="AB362" i="19" s="1"/>
  <c r="R343" i="19"/>
  <c r="C363" i="19" s="1"/>
  <c r="AF343" i="19"/>
  <c r="Q363" i="19" s="1"/>
  <c r="AR343" i="19"/>
  <c r="AC363" i="19" s="1"/>
  <c r="V345" i="19"/>
  <c r="G365" i="19" s="1"/>
  <c r="AG345" i="19"/>
  <c r="R365" i="19" s="1"/>
  <c r="AQ347" i="19"/>
  <c r="AB367" i="19" s="1"/>
  <c r="AC347" i="19"/>
  <c r="N367" i="19" s="1"/>
  <c r="T348" i="19"/>
  <c r="AF348" i="19"/>
  <c r="V350" i="19"/>
  <c r="G370" i="19" s="1"/>
  <c r="AN341" i="19"/>
  <c r="Y361" i="19" s="1"/>
  <c r="AF341" i="19"/>
  <c r="Q361" i="19" s="1"/>
  <c r="X341" i="19"/>
  <c r="I361" i="19" s="1"/>
  <c r="AG341" i="19"/>
  <c r="R361" i="19" s="1"/>
  <c r="AP341" i="19"/>
  <c r="AA361" i="19" s="1"/>
  <c r="AM350" i="19"/>
  <c r="X370" i="19" s="1"/>
  <c r="AE350" i="19"/>
  <c r="P370" i="19" s="1"/>
  <c r="W350" i="19"/>
  <c r="H370" i="19" s="1"/>
  <c r="AK350" i="19"/>
  <c r="V370" i="19" s="1"/>
  <c r="AC350" i="19"/>
  <c r="N370" i="19" s="1"/>
  <c r="U350" i="19"/>
  <c r="F370" i="19" s="1"/>
  <c r="Y350" i="19"/>
  <c r="J370" i="19" s="1"/>
  <c r="AJ350" i="19"/>
  <c r="U370" i="19" s="1"/>
  <c r="A398" i="19"/>
  <c r="A386" i="19"/>
  <c r="X347" i="19"/>
  <c r="I367" i="19" s="1"/>
  <c r="AF347" i="19"/>
  <c r="Q367" i="19" s="1"/>
  <c r="AN347" i="19"/>
  <c r="Y367" i="19" s="1"/>
  <c r="V349" i="19"/>
  <c r="AD349" i="19"/>
  <c r="R347" i="19"/>
  <c r="C367" i="19" s="1"/>
  <c r="Z347" i="19"/>
  <c r="K367" i="19" s="1"/>
  <c r="AH347" i="19"/>
  <c r="S367" i="19" s="1"/>
  <c r="AP347" i="19"/>
  <c r="AA367" i="19" s="1"/>
  <c r="X349" i="19"/>
  <c r="AF349" i="19"/>
  <c r="AN349" i="19"/>
  <c r="A385" i="19"/>
  <c r="AQ446" i="19"/>
  <c r="AB466" i="19" s="1"/>
  <c r="AH446" i="19"/>
  <c r="S466" i="19" s="1"/>
  <c r="Y446" i="19"/>
  <c r="J466" i="19" s="1"/>
  <c r="Q446" i="19"/>
  <c r="B466" i="19" s="1"/>
  <c r="AK446" i="19"/>
  <c r="V466" i="19" s="1"/>
  <c r="T446" i="19"/>
  <c r="E466" i="19" s="1"/>
  <c r="AI446" i="19"/>
  <c r="T466" i="19" s="1"/>
  <c r="R446" i="19"/>
  <c r="C466" i="19" s="1"/>
  <c r="AE446" i="19"/>
  <c r="P466" i="19" s="1"/>
  <c r="AD446" i="19"/>
  <c r="O466" i="19" s="1"/>
  <c r="AR446" i="19"/>
  <c r="AC466" i="19" s="1"/>
  <c r="Z446" i="19"/>
  <c r="K466" i="19" s="1"/>
  <c r="AN446" i="19"/>
  <c r="Y466" i="19" s="1"/>
  <c r="W446" i="19"/>
  <c r="H466" i="19" s="1"/>
  <c r="AM446" i="19"/>
  <c r="X466" i="19" s="1"/>
  <c r="AB446" i="19"/>
  <c r="M466" i="19" s="1"/>
  <c r="V446" i="19"/>
  <c r="G466" i="19" s="1"/>
  <c r="S347" i="19"/>
  <c r="D367" i="19" s="1"/>
  <c r="AA347" i="19"/>
  <c r="L367" i="19" s="1"/>
  <c r="AI347" i="19"/>
  <c r="T367" i="19" s="1"/>
  <c r="Q349" i="19"/>
  <c r="Y349" i="19"/>
  <c r="AG349" i="19"/>
  <c r="X350" i="19"/>
  <c r="I370" i="19" s="1"/>
  <c r="AF350" i="19"/>
  <c r="Q370" i="19" s="1"/>
  <c r="A403" i="19"/>
  <c r="A391" i="19"/>
  <c r="A400" i="19"/>
  <c r="A388" i="19"/>
  <c r="W439" i="19"/>
  <c r="H459" i="19" s="1"/>
  <c r="AA439" i="19"/>
  <c r="L459" i="19" s="1"/>
  <c r="AN442" i="19"/>
  <c r="Y462" i="19" s="1"/>
  <c r="X442" i="19"/>
  <c r="I462" i="19" s="1"/>
  <c r="AM444" i="19"/>
  <c r="X464" i="19" s="1"/>
  <c r="AE444" i="19"/>
  <c r="P464" i="19" s="1"/>
  <c r="W444" i="19"/>
  <c r="H464" i="19" s="1"/>
  <c r="AK444" i="19"/>
  <c r="V464" i="19" s="1"/>
  <c r="AC444" i="19"/>
  <c r="N464" i="19" s="1"/>
  <c r="U444" i="19"/>
  <c r="F464" i="19" s="1"/>
  <c r="AQ444" i="19"/>
  <c r="AB464" i="19" s="1"/>
  <c r="AI444" i="19"/>
  <c r="T464" i="19" s="1"/>
  <c r="AA444" i="19"/>
  <c r="L464" i="19" s="1"/>
  <c r="S444" i="19"/>
  <c r="D464" i="19" s="1"/>
  <c r="AP444" i="19"/>
  <c r="AA464" i="19" s="1"/>
  <c r="AH444" i="19"/>
  <c r="S464" i="19" s="1"/>
  <c r="Z444" i="19"/>
  <c r="K464" i="19" s="1"/>
  <c r="R444" i="19"/>
  <c r="C464" i="19" s="1"/>
  <c r="AD444" i="19"/>
  <c r="O464" i="19" s="1"/>
  <c r="AR444" i="19"/>
  <c r="AC464" i="19" s="1"/>
  <c r="AB444" i="19"/>
  <c r="M464" i="19" s="1"/>
  <c r="AO444" i="19"/>
  <c r="Z464" i="19" s="1"/>
  <c r="Y444" i="19"/>
  <c r="J464" i="19" s="1"/>
  <c r="AN444" i="19"/>
  <c r="Y464" i="19" s="1"/>
  <c r="X444" i="19"/>
  <c r="I464" i="19" s="1"/>
  <c r="AJ444" i="19"/>
  <c r="U464" i="19" s="1"/>
  <c r="T444" i="19"/>
  <c r="E464" i="19" s="1"/>
  <c r="AG444" i="19"/>
  <c r="R464" i="19" s="1"/>
  <c r="Q444" i="19"/>
  <c r="B464" i="19" s="1"/>
  <c r="AL445" i="19"/>
  <c r="W465" i="19" s="1"/>
  <c r="AD445" i="19"/>
  <c r="O465" i="19" s="1"/>
  <c r="V445" i="19"/>
  <c r="G465" i="19" s="1"/>
  <c r="AR445" i="19"/>
  <c r="AC465" i="19" s="1"/>
  <c r="AJ445" i="19"/>
  <c r="U465" i="19" s="1"/>
  <c r="AB445" i="19"/>
  <c r="M465" i="19" s="1"/>
  <c r="T445" i="19"/>
  <c r="E465" i="19" s="1"/>
  <c r="AP445" i="19"/>
  <c r="AA465" i="19" s="1"/>
  <c r="AH445" i="19"/>
  <c r="S465" i="19" s="1"/>
  <c r="Z445" i="19"/>
  <c r="K465" i="19" s="1"/>
  <c r="R445" i="19"/>
  <c r="C465" i="19" s="1"/>
  <c r="AO445" i="19"/>
  <c r="Z465" i="19" s="1"/>
  <c r="AG445" i="19"/>
  <c r="R465" i="19" s="1"/>
  <c r="Y445" i="19"/>
  <c r="J465" i="19" s="1"/>
  <c r="Q445" i="19"/>
  <c r="B465" i="19" s="1"/>
  <c r="AN445" i="19"/>
  <c r="Y465" i="19" s="1"/>
  <c r="X445" i="19"/>
  <c r="I465" i="19" s="1"/>
  <c r="AM445" i="19"/>
  <c r="X465" i="19" s="1"/>
  <c r="W445" i="19"/>
  <c r="H465" i="19" s="1"/>
  <c r="AK445" i="19"/>
  <c r="V465" i="19" s="1"/>
  <c r="U445" i="19"/>
  <c r="F465" i="19" s="1"/>
  <c r="AI445" i="19"/>
  <c r="T465" i="19" s="1"/>
  <c r="S445" i="19"/>
  <c r="D465" i="19" s="1"/>
  <c r="AE445" i="19"/>
  <c r="P465" i="19" s="1"/>
  <c r="AC445" i="19"/>
  <c r="N465" i="19" s="1"/>
  <c r="AM448" i="19"/>
  <c r="X468" i="19" s="1"/>
  <c r="AE448" i="19"/>
  <c r="P468" i="19" s="1"/>
  <c r="W448" i="19"/>
  <c r="H468" i="19" s="1"/>
  <c r="AL448" i="19"/>
  <c r="W468" i="19" s="1"/>
  <c r="AD448" i="19"/>
  <c r="O468" i="19" s="1"/>
  <c r="V448" i="19"/>
  <c r="G468" i="19" s="1"/>
  <c r="AK448" i="19"/>
  <c r="V468" i="19" s="1"/>
  <c r="AA448" i="19"/>
  <c r="L468" i="19" s="1"/>
  <c r="Q448" i="19"/>
  <c r="B468" i="19" s="1"/>
  <c r="AI448" i="19"/>
  <c r="T468" i="19" s="1"/>
  <c r="Y448" i="19"/>
  <c r="J468" i="19" s="1"/>
  <c r="AQ448" i="19"/>
  <c r="AB468" i="19" s="1"/>
  <c r="AG448" i="19"/>
  <c r="R468" i="19" s="1"/>
  <c r="U448" i="19"/>
  <c r="F468" i="19" s="1"/>
  <c r="AP448" i="19"/>
  <c r="AA468" i="19" s="1"/>
  <c r="AF448" i="19"/>
  <c r="Q468" i="19" s="1"/>
  <c r="T448" i="19"/>
  <c r="E468" i="19" s="1"/>
  <c r="AH448" i="19"/>
  <c r="S468" i="19" s="1"/>
  <c r="AC448" i="19"/>
  <c r="N468" i="19" s="1"/>
  <c r="AB448" i="19"/>
  <c r="M468" i="19" s="1"/>
  <c r="Z448" i="19"/>
  <c r="K468" i="19" s="1"/>
  <c r="AO448" i="19"/>
  <c r="Z468" i="19" s="1"/>
  <c r="S448" i="19"/>
  <c r="D468" i="19" s="1"/>
  <c r="AN448" i="19"/>
  <c r="Y468" i="19" s="1"/>
  <c r="R448" i="19"/>
  <c r="C468" i="19" s="1"/>
  <c r="AL450" i="19"/>
  <c r="W470" i="19" s="1"/>
  <c r="AD450" i="19"/>
  <c r="O470" i="19" s="1"/>
  <c r="V450" i="19"/>
  <c r="G470" i="19" s="1"/>
  <c r="AK450" i="19"/>
  <c r="V470" i="19" s="1"/>
  <c r="AC450" i="19"/>
  <c r="N470" i="19" s="1"/>
  <c r="U450" i="19"/>
  <c r="F470" i="19" s="1"/>
  <c r="AR450" i="19"/>
  <c r="AC470" i="19" s="1"/>
  <c r="AH450" i="19"/>
  <c r="S470" i="19" s="1"/>
  <c r="X450" i="19"/>
  <c r="I470" i="19" s="1"/>
  <c r="AP450" i="19"/>
  <c r="AA470" i="19" s="1"/>
  <c r="AF450" i="19"/>
  <c r="Q470" i="19" s="1"/>
  <c r="T450" i="19"/>
  <c r="E470" i="19" s="1"/>
  <c r="AN450" i="19"/>
  <c r="Y470" i="19" s="1"/>
  <c r="AB450" i="19"/>
  <c r="M470" i="19" s="1"/>
  <c r="R450" i="19"/>
  <c r="C470" i="19" s="1"/>
  <c r="AM450" i="19"/>
  <c r="X470" i="19" s="1"/>
  <c r="AA450" i="19"/>
  <c r="L470" i="19" s="1"/>
  <c r="Q450" i="19"/>
  <c r="B470" i="19" s="1"/>
  <c r="AI450" i="19"/>
  <c r="T470" i="19" s="1"/>
  <c r="AG450" i="19"/>
  <c r="R470" i="19" s="1"/>
  <c r="AE450" i="19"/>
  <c r="P470" i="19" s="1"/>
  <c r="Z450" i="19"/>
  <c r="K470" i="19" s="1"/>
  <c r="AQ450" i="19"/>
  <c r="AB470" i="19" s="1"/>
  <c r="W450" i="19"/>
  <c r="H470" i="19" s="1"/>
  <c r="AO450" i="19"/>
  <c r="Z470" i="19" s="1"/>
  <c r="S450" i="19"/>
  <c r="D470" i="19" s="1"/>
  <c r="X448" i="19"/>
  <c r="I468" i="19" s="1"/>
  <c r="Y450" i="19"/>
  <c r="J470" i="19" s="1"/>
  <c r="AN439" i="19"/>
  <c r="Y459" i="19" s="1"/>
  <c r="R442" i="19"/>
  <c r="C462" i="19" s="1"/>
  <c r="AL444" i="19"/>
  <c r="W464" i="19" s="1"/>
  <c r="AQ445" i="19"/>
  <c r="AB465" i="19" s="1"/>
  <c r="AJ448" i="19"/>
  <c r="U468" i="19" s="1"/>
  <c r="AJ450" i="19"/>
  <c r="U470" i="19" s="1"/>
  <c r="AA442" i="19"/>
  <c r="L462" i="19" s="1"/>
  <c r="AR448" i="19"/>
  <c r="AC468" i="19" s="1"/>
  <c r="AR439" i="19"/>
  <c r="AC459" i="19" s="1"/>
  <c r="AJ439" i="19"/>
  <c r="U459" i="19" s="1"/>
  <c r="AB439" i="19"/>
  <c r="M459" i="19" s="1"/>
  <c r="T439" i="19"/>
  <c r="E459" i="19" s="1"/>
  <c r="AP439" i="19"/>
  <c r="AA459" i="19" s="1"/>
  <c r="AH439" i="19"/>
  <c r="S459" i="19" s="1"/>
  <c r="Z439" i="19"/>
  <c r="K459" i="19" s="1"/>
  <c r="R439" i="19"/>
  <c r="C459" i="19" s="1"/>
  <c r="AM439" i="19"/>
  <c r="X459" i="19" s="1"/>
  <c r="AE439" i="19"/>
  <c r="P459" i="19" s="1"/>
  <c r="AO439" i="19"/>
  <c r="Z459" i="19" s="1"/>
  <c r="AC439" i="19"/>
  <c r="N459" i="19" s="1"/>
  <c r="Q439" i="19"/>
  <c r="B459" i="19" s="1"/>
  <c r="AL439" i="19"/>
  <c r="W459" i="19" s="1"/>
  <c r="Y439" i="19"/>
  <c r="J459" i="19" s="1"/>
  <c r="AK439" i="19"/>
  <c r="V459" i="19" s="1"/>
  <c r="X439" i="19"/>
  <c r="I459" i="19" s="1"/>
  <c r="AG439" i="19"/>
  <c r="R459" i="19" s="1"/>
  <c r="V439" i="19"/>
  <c r="G459" i="19" s="1"/>
  <c r="AF439" i="19"/>
  <c r="Q459" i="19" s="1"/>
  <c r="U439" i="19"/>
  <c r="F459" i="19" s="1"/>
  <c r="W440" i="19"/>
  <c r="H460" i="19" s="1"/>
  <c r="AP441" i="19"/>
  <c r="AA461" i="19" s="1"/>
  <c r="AH441" i="19"/>
  <c r="S461" i="19" s="1"/>
  <c r="Z441" i="19"/>
  <c r="K461" i="19" s="1"/>
  <c r="R441" i="19"/>
  <c r="C461" i="19" s="1"/>
  <c r="AK441" i="19"/>
  <c r="V461" i="19" s="1"/>
  <c r="AC441" i="19"/>
  <c r="N461" i="19" s="1"/>
  <c r="U441" i="19"/>
  <c r="F461" i="19" s="1"/>
  <c r="Y441" i="19"/>
  <c r="J461" i="19" s="1"/>
  <c r="AL441" i="19"/>
  <c r="W461" i="19" s="1"/>
  <c r="W443" i="19"/>
  <c r="H463" i="19" s="1"/>
  <c r="U447" i="19"/>
  <c r="F467" i="19" s="1"/>
  <c r="AO447" i="19"/>
  <c r="Z467" i="19" s="1"/>
  <c r="AA441" i="19"/>
  <c r="L461" i="19" s="1"/>
  <c r="AM441" i="19"/>
  <c r="X461" i="19" s="1"/>
  <c r="AO442" i="19"/>
  <c r="Z462" i="19" s="1"/>
  <c r="AG442" i="19"/>
  <c r="R462" i="19" s="1"/>
  <c r="Y442" i="19"/>
  <c r="J462" i="19" s="1"/>
  <c r="Q442" i="19"/>
  <c r="B462" i="19" s="1"/>
  <c r="AM442" i="19"/>
  <c r="X462" i="19" s="1"/>
  <c r="AE442" i="19"/>
  <c r="P462" i="19" s="1"/>
  <c r="W442" i="19"/>
  <c r="H462" i="19" s="1"/>
  <c r="AK442" i="19"/>
  <c r="V462" i="19" s="1"/>
  <c r="AC442" i="19"/>
  <c r="N462" i="19" s="1"/>
  <c r="U442" i="19"/>
  <c r="F462" i="19" s="1"/>
  <c r="AR442" i="19"/>
  <c r="AC462" i="19" s="1"/>
  <c r="AJ442" i="19"/>
  <c r="U462" i="19" s="1"/>
  <c r="AB442" i="19"/>
  <c r="M462" i="19" s="1"/>
  <c r="T442" i="19"/>
  <c r="E462" i="19" s="1"/>
  <c r="AF442" i="19"/>
  <c r="Q462" i="19" s="1"/>
  <c r="W447" i="19"/>
  <c r="H467" i="19" s="1"/>
  <c r="AQ447" i="19"/>
  <c r="AB467" i="19" s="1"/>
  <c r="A491" i="19"/>
  <c r="A503" i="19"/>
  <c r="AB440" i="19"/>
  <c r="M460" i="19" s="1"/>
  <c r="Q441" i="19"/>
  <c r="B461" i="19" s="1"/>
  <c r="AD441" i="19"/>
  <c r="O461" i="19" s="1"/>
  <c r="AQ441" i="19"/>
  <c r="AB461" i="19" s="1"/>
  <c r="S442" i="19"/>
  <c r="D462" i="19" s="1"/>
  <c r="AI442" i="19"/>
  <c r="T462" i="19" s="1"/>
  <c r="AR443" i="19"/>
  <c r="AC463" i="19" s="1"/>
  <c r="AJ443" i="19"/>
  <c r="U463" i="19" s="1"/>
  <c r="AB443" i="19"/>
  <c r="M463" i="19" s="1"/>
  <c r="T443" i="19"/>
  <c r="E463" i="19" s="1"/>
  <c r="AQ443" i="19"/>
  <c r="AB463" i="19" s="1"/>
  <c r="AI443" i="19"/>
  <c r="T463" i="19" s="1"/>
  <c r="AA443" i="19"/>
  <c r="L463" i="19" s="1"/>
  <c r="S443" i="19"/>
  <c r="D463" i="19" s="1"/>
  <c r="AC443" i="19"/>
  <c r="N463" i="19" s="1"/>
  <c r="AB447" i="19"/>
  <c r="M467" i="19" s="1"/>
  <c r="AQ440" i="19"/>
  <c r="AB460" i="19" s="1"/>
  <c r="AI440" i="19"/>
  <c r="T460" i="19" s="1"/>
  <c r="AA440" i="19"/>
  <c r="L460" i="19" s="1"/>
  <c r="S440" i="19"/>
  <c r="D460" i="19" s="1"/>
  <c r="AO440" i="19"/>
  <c r="Z460" i="19" s="1"/>
  <c r="AG440" i="19"/>
  <c r="R460" i="19" s="1"/>
  <c r="Y440" i="19"/>
  <c r="J460" i="19" s="1"/>
  <c r="Q440" i="19"/>
  <c r="B460" i="19" s="1"/>
  <c r="AL440" i="19"/>
  <c r="W460" i="19" s="1"/>
  <c r="AD440" i="19"/>
  <c r="O460" i="19" s="1"/>
  <c r="V440" i="19"/>
  <c r="G460" i="19" s="1"/>
  <c r="AC440" i="19"/>
  <c r="N460" i="19" s="1"/>
  <c r="AP440" i="19"/>
  <c r="AA460" i="19" s="1"/>
  <c r="S441" i="19"/>
  <c r="D461" i="19" s="1"/>
  <c r="AE441" i="19"/>
  <c r="P461" i="19" s="1"/>
  <c r="V442" i="19"/>
  <c r="G462" i="19" s="1"/>
  <c r="AL442" i="19"/>
  <c r="W462" i="19" s="1"/>
  <c r="AN443" i="19"/>
  <c r="Y463" i="19" s="1"/>
  <c r="AE443" i="19"/>
  <c r="P463" i="19" s="1"/>
  <c r="AL447" i="19"/>
  <c r="W467" i="19" s="1"/>
  <c r="AJ447" i="19"/>
  <c r="U467" i="19" s="1"/>
  <c r="AA447" i="19"/>
  <c r="L467" i="19" s="1"/>
  <c r="R447" i="19"/>
  <c r="C467" i="19" s="1"/>
  <c r="AI447" i="19"/>
  <c r="T467" i="19" s="1"/>
  <c r="Z447" i="19"/>
  <c r="K467" i="19" s="1"/>
  <c r="Q447" i="19"/>
  <c r="B467" i="19" s="1"/>
  <c r="AG447" i="19"/>
  <c r="R467" i="19" s="1"/>
  <c r="T440" i="19"/>
  <c r="E460" i="19" s="1"/>
  <c r="AF440" i="19"/>
  <c r="Q460" i="19" s="1"/>
  <c r="V441" i="19"/>
  <c r="G461" i="19" s="1"/>
  <c r="AI441" i="19"/>
  <c r="T461" i="19" s="1"/>
  <c r="Z442" i="19"/>
  <c r="K462" i="19" s="1"/>
  <c r="AP442" i="19"/>
  <c r="AA462" i="19" s="1"/>
  <c r="R443" i="19"/>
  <c r="C463" i="19" s="1"/>
  <c r="AH443" i="19"/>
  <c r="S463" i="19" s="1"/>
  <c r="AN447" i="19"/>
  <c r="Y467" i="19" s="1"/>
  <c r="AH447" i="19"/>
  <c r="S467" i="19" s="1"/>
  <c r="AK451" i="19"/>
  <c r="V471" i="19" s="1"/>
  <c r="AC451" i="19"/>
  <c r="N471" i="19" s="1"/>
  <c r="U451" i="19"/>
  <c r="F471" i="19" s="1"/>
  <c r="AR451" i="19"/>
  <c r="AC471" i="19" s="1"/>
  <c r="AJ451" i="19"/>
  <c r="U471" i="19" s="1"/>
  <c r="AB451" i="19"/>
  <c r="M471" i="19" s="1"/>
  <c r="T451" i="19"/>
  <c r="E471" i="19" s="1"/>
  <c r="AP451" i="19"/>
  <c r="AA471" i="19" s="1"/>
  <c r="AH451" i="19"/>
  <c r="S471" i="19" s="1"/>
  <c r="AO451" i="19"/>
  <c r="Z471" i="19" s="1"/>
  <c r="AG451" i="19"/>
  <c r="R471" i="19" s="1"/>
  <c r="Y451" i="19"/>
  <c r="J471" i="19" s="1"/>
  <c r="AM451" i="19"/>
  <c r="X471" i="19" s="1"/>
  <c r="AE451" i="19"/>
  <c r="P471" i="19" s="1"/>
  <c r="W451" i="19"/>
  <c r="H471" i="19" s="1"/>
  <c r="AL451" i="19"/>
  <c r="W471" i="19" s="1"/>
  <c r="S451" i="19"/>
  <c r="D471" i="19" s="1"/>
  <c r="AF451" i="19"/>
  <c r="Q471" i="19" s="1"/>
  <c r="Q451" i="19"/>
  <c r="B471" i="19" s="1"/>
  <c r="AA451" i="19"/>
  <c r="L471" i="19" s="1"/>
  <c r="Z451" i="19"/>
  <c r="K471" i="19" s="1"/>
  <c r="AO446" i="19"/>
  <c r="Z466" i="19" s="1"/>
  <c r="AG446" i="19"/>
  <c r="R466" i="19" s="1"/>
  <c r="X446" i="19"/>
  <c r="I466" i="19" s="1"/>
  <c r="AF446" i="19"/>
  <c r="Q466" i="19" s="1"/>
  <c r="AP446" i="19"/>
  <c r="AA466" i="19" s="1"/>
  <c r="A506" i="19"/>
  <c r="A494" i="19"/>
  <c r="A496" i="19"/>
  <c r="A508" i="19"/>
  <c r="X441" i="19"/>
  <c r="I461" i="19" s="1"/>
  <c r="AF441" i="19"/>
  <c r="Q461" i="19" s="1"/>
  <c r="V443" i="19"/>
  <c r="G463" i="19" s="1"/>
  <c r="AD443" i="19"/>
  <c r="O463" i="19" s="1"/>
  <c r="AL443" i="19"/>
  <c r="W463" i="19" s="1"/>
  <c r="S446" i="19"/>
  <c r="D466" i="19" s="1"/>
  <c r="AA446" i="19"/>
  <c r="L466" i="19" s="1"/>
  <c r="AJ446" i="19"/>
  <c r="U466" i="19" s="1"/>
  <c r="T447" i="19"/>
  <c r="E467" i="19" s="1"/>
  <c r="AC447" i="19"/>
  <c r="N467" i="19" s="1"/>
  <c r="AH452" i="19"/>
  <c r="S472" i="19" s="1"/>
  <c r="X443" i="19"/>
  <c r="I463" i="19" s="1"/>
  <c r="AF443" i="19"/>
  <c r="Q463" i="19" s="1"/>
  <c r="U446" i="19"/>
  <c r="F466" i="19" s="1"/>
  <c r="AC446" i="19"/>
  <c r="N466" i="19" s="1"/>
  <c r="AL446" i="19"/>
  <c r="W466" i="19" s="1"/>
  <c r="AM447" i="19"/>
  <c r="X467" i="19" s="1"/>
  <c r="V447" i="19"/>
  <c r="G467" i="19" s="1"/>
  <c r="AE447" i="19"/>
  <c r="P467" i="19" s="1"/>
  <c r="AP447" i="19"/>
  <c r="AA467" i="19" s="1"/>
  <c r="V452" i="19"/>
  <c r="G472" i="19" s="1"/>
  <c r="AD452" i="19"/>
  <c r="O472" i="19" s="1"/>
  <c r="AL452" i="19"/>
  <c r="W472" i="19" s="1"/>
  <c r="U453" i="19"/>
  <c r="AC453" i="19"/>
  <c r="AK453" i="19"/>
  <c r="T454" i="19"/>
  <c r="AB454" i="19"/>
  <c r="AJ454" i="19"/>
  <c r="AR454" i="19"/>
  <c r="S455" i="19"/>
  <c r="D475" i="19" s="1"/>
  <c r="AA455" i="19"/>
  <c r="L475" i="19" s="1"/>
  <c r="AI455" i="19"/>
  <c r="T475" i="19" s="1"/>
  <c r="AQ455" i="19"/>
  <c r="AB475" i="19" s="1"/>
  <c r="V453" i="19"/>
  <c r="AD453" i="19"/>
  <c r="AL453" i="19"/>
  <c r="U454" i="19"/>
  <c r="AC454" i="19"/>
  <c r="AK454" i="19"/>
  <c r="T455" i="19"/>
  <c r="E475" i="19" s="1"/>
  <c r="AB455" i="19"/>
  <c r="M475" i="19" s="1"/>
  <c r="AJ455" i="19"/>
  <c r="U475" i="19" s="1"/>
  <c r="AR455" i="19"/>
  <c r="AC475" i="19" s="1"/>
  <c r="A505" i="19"/>
  <c r="A493" i="19"/>
  <c r="X452" i="19"/>
  <c r="I472" i="19" s="1"/>
  <c r="AF452" i="19"/>
  <c r="Q472" i="19" s="1"/>
  <c r="AN452" i="19"/>
  <c r="Y472" i="19" s="1"/>
  <c r="W453" i="19"/>
  <c r="AE453" i="19"/>
  <c r="AM453" i="19"/>
  <c r="V454" i="19"/>
  <c r="AD454" i="19"/>
  <c r="AL454" i="19"/>
  <c r="U455" i="19"/>
  <c r="F475" i="19" s="1"/>
  <c r="AC455" i="19"/>
  <c r="N475" i="19" s="1"/>
  <c r="AK455" i="19"/>
  <c r="V475" i="19" s="1"/>
  <c r="A502" i="19"/>
  <c r="A490" i="19"/>
  <c r="Y452" i="19"/>
  <c r="J472" i="19" s="1"/>
  <c r="AG452" i="19"/>
  <c r="R472" i="19" s="1"/>
  <c r="AO452" i="19"/>
  <c r="Z472" i="19" s="1"/>
  <c r="X453" i="19"/>
  <c r="AF453" i="19"/>
  <c r="AN453" i="19"/>
  <c r="W454" i="19"/>
  <c r="AE454" i="19"/>
  <c r="AM454" i="19"/>
  <c r="AD455" i="19"/>
  <c r="O475" i="19" s="1"/>
  <c r="AL455" i="19"/>
  <c r="W475" i="19" s="1"/>
  <c r="A509" i="19"/>
  <c r="A497" i="19"/>
  <c r="Y453" i="19"/>
  <c r="AG453" i="19"/>
  <c r="X454" i="19"/>
  <c r="AF454" i="19"/>
  <c r="AN454" i="19"/>
  <c r="W455" i="19"/>
  <c r="H475" i="19" s="1"/>
  <c r="AE455" i="19"/>
  <c r="P475" i="19" s="1"/>
  <c r="A504" i="19"/>
  <c r="A492" i="19"/>
  <c r="S452" i="19"/>
  <c r="D472" i="19" s="1"/>
  <c r="AA452" i="19"/>
  <c r="L472" i="19" s="1"/>
  <c r="AI452" i="19"/>
  <c r="T472" i="19" s="1"/>
  <c r="AQ452" i="19"/>
  <c r="AB472" i="19" s="1"/>
  <c r="R453" i="19"/>
  <c r="Z453" i="19"/>
  <c r="AH453" i="19"/>
  <c r="AP453" i="19"/>
  <c r="Q454" i="19"/>
  <c r="Y454" i="19"/>
  <c r="AG454" i="19"/>
  <c r="AO454" i="19"/>
  <c r="X455" i="19"/>
  <c r="I475" i="19" s="1"/>
  <c r="AF455" i="19"/>
  <c r="Q475" i="19" s="1"/>
  <c r="AN455" i="19"/>
  <c r="Y475" i="19" s="1"/>
  <c r="X447" i="19"/>
  <c r="I467" i="19" s="1"/>
  <c r="AF447" i="19"/>
  <c r="Q467" i="19" s="1"/>
  <c r="T452" i="19"/>
  <c r="E472" i="19" s="1"/>
  <c r="AB452" i="19"/>
  <c r="M472" i="19" s="1"/>
  <c r="AJ452" i="19"/>
  <c r="U472" i="19" s="1"/>
  <c r="S453" i="19"/>
  <c r="AA453" i="19"/>
  <c r="AI453" i="19"/>
  <c r="R454" i="19"/>
  <c r="Z454" i="19"/>
  <c r="AH454" i="19"/>
  <c r="Q455" i="19"/>
  <c r="B475" i="19" s="1"/>
  <c r="Y455" i="19"/>
  <c r="J475" i="19" s="1"/>
  <c r="AG455" i="19"/>
  <c r="R475" i="19" s="1"/>
  <c r="A507" i="19"/>
  <c r="A495" i="19"/>
  <c r="T46" i="21" l="1"/>
  <c r="T152" i="21"/>
  <c r="T259" i="21"/>
  <c r="T369" i="21"/>
  <c r="T473" i="21"/>
  <c r="T45" i="21"/>
  <c r="W473" i="20"/>
  <c r="D71" i="26"/>
  <c r="D83" i="26" s="1"/>
  <c r="Z165" i="26"/>
  <c r="AA177" i="26"/>
  <c r="Z394" i="26"/>
  <c r="J273" i="25"/>
  <c r="W394" i="25"/>
  <c r="W406" i="25" s="1"/>
  <c r="G71" i="25"/>
  <c r="G83" i="25" s="1"/>
  <c r="X59" i="24"/>
  <c r="N165" i="24"/>
  <c r="Y394" i="24"/>
  <c r="Y406" i="24" s="1"/>
  <c r="C285" i="24"/>
  <c r="L285" i="24"/>
  <c r="L297" i="24" s="1"/>
  <c r="Z394" i="24"/>
  <c r="AB285" i="24"/>
  <c r="AB297" i="24" s="1"/>
  <c r="U59" i="26"/>
  <c r="P394" i="25"/>
  <c r="P406" i="25" s="1"/>
  <c r="E285" i="25"/>
  <c r="E297" i="25" s="1"/>
  <c r="N382" i="26"/>
  <c r="X512" i="20"/>
  <c r="X486" i="20"/>
  <c r="S512" i="19"/>
  <c r="S486" i="19"/>
  <c r="G512" i="19"/>
  <c r="G486" i="19"/>
  <c r="B512" i="19"/>
  <c r="BC16" i="33" s="1"/>
  <c r="B486" i="19"/>
  <c r="C486" i="20"/>
  <c r="C512" i="20"/>
  <c r="N512" i="20"/>
  <c r="N486" i="20"/>
  <c r="AC512" i="19"/>
  <c r="FI16" i="33" s="1"/>
  <c r="AC486" i="19"/>
  <c r="R512" i="20"/>
  <c r="R486" i="20"/>
  <c r="O512" i="20"/>
  <c r="O486" i="20"/>
  <c r="M512" i="20"/>
  <c r="DG16" i="33" s="1"/>
  <c r="M486" i="20"/>
  <c r="W512" i="20"/>
  <c r="W486" i="20"/>
  <c r="U512" i="19"/>
  <c r="U486" i="19"/>
  <c r="J512" i="20"/>
  <c r="J486" i="20"/>
  <c r="G486" i="20"/>
  <c r="G512" i="20"/>
  <c r="Y512" i="19"/>
  <c r="Y486" i="19"/>
  <c r="V486" i="19"/>
  <c r="V512" i="19"/>
  <c r="M486" i="19"/>
  <c r="M512" i="19"/>
  <c r="DF16" i="33" s="1"/>
  <c r="AB512" i="19"/>
  <c r="AB486" i="19"/>
  <c r="B512" i="20"/>
  <c r="BD16" i="33" s="1"/>
  <c r="B486" i="20"/>
  <c r="F486" i="20"/>
  <c r="F512" i="20"/>
  <c r="V486" i="20"/>
  <c r="V512" i="20"/>
  <c r="K512" i="19"/>
  <c r="K486" i="19"/>
  <c r="AA512" i="19"/>
  <c r="AA486" i="19"/>
  <c r="X486" i="19"/>
  <c r="X512" i="19"/>
  <c r="O512" i="19"/>
  <c r="O486" i="19"/>
  <c r="D512" i="20"/>
  <c r="D486" i="20"/>
  <c r="C512" i="19"/>
  <c r="C486" i="19"/>
  <c r="Z512" i="20"/>
  <c r="Z486" i="20"/>
  <c r="Q512" i="19"/>
  <c r="Q486" i="19"/>
  <c r="N486" i="19"/>
  <c r="N512" i="19"/>
  <c r="E512" i="19"/>
  <c r="E486" i="19"/>
  <c r="T512" i="19"/>
  <c r="T486" i="19"/>
  <c r="AA512" i="20"/>
  <c r="AA486" i="20"/>
  <c r="Y512" i="20"/>
  <c r="Y486" i="20"/>
  <c r="U486" i="20"/>
  <c r="U512" i="20"/>
  <c r="P512" i="20"/>
  <c r="P486" i="20"/>
  <c r="Z486" i="19"/>
  <c r="Z512" i="19"/>
  <c r="AB512" i="20"/>
  <c r="AB486" i="20"/>
  <c r="R512" i="19"/>
  <c r="R486" i="19"/>
  <c r="I512" i="19"/>
  <c r="I486" i="19"/>
  <c r="P512" i="19"/>
  <c r="P486" i="19"/>
  <c r="F512" i="19"/>
  <c r="F486" i="19"/>
  <c r="L512" i="19"/>
  <c r="L486" i="19"/>
  <c r="T512" i="20"/>
  <c r="T486" i="20"/>
  <c r="S512" i="20"/>
  <c r="S486" i="20"/>
  <c r="Q486" i="20"/>
  <c r="Q512" i="20"/>
  <c r="H512" i="20"/>
  <c r="H486" i="20"/>
  <c r="AC512" i="20"/>
  <c r="FJ16" i="33" s="1"/>
  <c r="AC486" i="20"/>
  <c r="J512" i="19"/>
  <c r="J486" i="19"/>
  <c r="H486" i="19"/>
  <c r="H512" i="19"/>
  <c r="W512" i="19"/>
  <c r="W486" i="19"/>
  <c r="D486" i="19"/>
  <c r="D512" i="19"/>
  <c r="L512" i="20"/>
  <c r="L486" i="20"/>
  <c r="K512" i="20"/>
  <c r="K486" i="20"/>
  <c r="I512" i="20"/>
  <c r="I486" i="20"/>
  <c r="E512" i="20"/>
  <c r="E486" i="20"/>
  <c r="I381" i="20"/>
  <c r="I407" i="20"/>
  <c r="Q407" i="19"/>
  <c r="Q381" i="19"/>
  <c r="U407" i="19"/>
  <c r="U381" i="19"/>
  <c r="E407" i="19"/>
  <c r="E381" i="19"/>
  <c r="M381" i="19"/>
  <c r="M407" i="19"/>
  <c r="DC16" i="33" s="1"/>
  <c r="M407" i="20"/>
  <c r="DD16" i="33" s="1"/>
  <c r="M381" i="20"/>
  <c r="N407" i="20"/>
  <c r="N381" i="20"/>
  <c r="F407" i="19"/>
  <c r="F381" i="19"/>
  <c r="AB407" i="19"/>
  <c r="AB381" i="19"/>
  <c r="Q381" i="20"/>
  <c r="Q407" i="20"/>
  <c r="G407" i="20"/>
  <c r="G381" i="20"/>
  <c r="X381" i="20"/>
  <c r="X407" i="20"/>
  <c r="K407" i="20"/>
  <c r="K381" i="20"/>
  <c r="V407" i="20"/>
  <c r="V381" i="20"/>
  <c r="N381" i="19"/>
  <c r="N407" i="19"/>
  <c r="O407" i="19"/>
  <c r="O381" i="19"/>
  <c r="AA381" i="20"/>
  <c r="AA407" i="20"/>
  <c r="O381" i="20"/>
  <c r="O407" i="20"/>
  <c r="J407" i="20"/>
  <c r="J381" i="20"/>
  <c r="U407" i="20"/>
  <c r="U381" i="20"/>
  <c r="E407" i="20"/>
  <c r="E381" i="20"/>
  <c r="V381" i="19"/>
  <c r="V407" i="19"/>
  <c r="AC407" i="19"/>
  <c r="FF16" i="33" s="1"/>
  <c r="AC381" i="19"/>
  <c r="C407" i="19"/>
  <c r="C381" i="19"/>
  <c r="H407" i="20"/>
  <c r="H381" i="20"/>
  <c r="W407" i="20"/>
  <c r="W381" i="20"/>
  <c r="L407" i="19"/>
  <c r="L381" i="19"/>
  <c r="Y381" i="20"/>
  <c r="Y407" i="20"/>
  <c r="T381" i="19"/>
  <c r="T407" i="19"/>
  <c r="Z407" i="19"/>
  <c r="Z381" i="19"/>
  <c r="H407" i="19"/>
  <c r="H381" i="19"/>
  <c r="G407" i="19"/>
  <c r="G381" i="19"/>
  <c r="R381" i="19"/>
  <c r="R407" i="19"/>
  <c r="W407" i="19"/>
  <c r="W381" i="19"/>
  <c r="R407" i="20"/>
  <c r="R381" i="20"/>
  <c r="Z381" i="20"/>
  <c r="Z407" i="20"/>
  <c r="J407" i="19"/>
  <c r="J381" i="19"/>
  <c r="B407" i="19"/>
  <c r="AZ16" i="33" s="1"/>
  <c r="B381" i="19"/>
  <c r="Y381" i="19"/>
  <c r="Y407" i="19"/>
  <c r="P381" i="19"/>
  <c r="P407" i="19"/>
  <c r="D407" i="19"/>
  <c r="D381" i="19"/>
  <c r="K407" i="19"/>
  <c r="K381" i="19"/>
  <c r="T381" i="20"/>
  <c r="T407" i="20"/>
  <c r="S407" i="20"/>
  <c r="S381" i="20"/>
  <c r="P381" i="20"/>
  <c r="P407" i="20"/>
  <c r="AB407" i="20"/>
  <c r="AB381" i="20"/>
  <c r="L407" i="20"/>
  <c r="L381" i="20"/>
  <c r="I407" i="19"/>
  <c r="I381" i="19"/>
  <c r="X407" i="19"/>
  <c r="X381" i="19"/>
  <c r="S407" i="19"/>
  <c r="S381" i="19"/>
  <c r="AA381" i="19"/>
  <c r="AA407" i="19"/>
  <c r="D381" i="20"/>
  <c r="D407" i="20"/>
  <c r="C381" i="20"/>
  <c r="C407" i="20"/>
  <c r="B407" i="20"/>
  <c r="BA16" i="33" s="1"/>
  <c r="B381" i="20"/>
  <c r="AC381" i="20"/>
  <c r="AC407" i="20"/>
  <c r="FG16" i="33" s="1"/>
  <c r="F381" i="20"/>
  <c r="F407" i="20"/>
  <c r="T298" i="19"/>
  <c r="T272" i="19"/>
  <c r="N298" i="19"/>
  <c r="N272" i="19"/>
  <c r="S298" i="19"/>
  <c r="S272" i="19"/>
  <c r="AA298" i="20"/>
  <c r="AA272" i="20"/>
  <c r="R298" i="20"/>
  <c r="R272" i="20"/>
  <c r="L298" i="19"/>
  <c r="L272" i="19"/>
  <c r="V298" i="19"/>
  <c r="V272" i="19"/>
  <c r="AA298" i="19"/>
  <c r="AA272" i="19"/>
  <c r="AC298" i="19"/>
  <c r="FC16" i="33" s="1"/>
  <c r="AC272" i="19"/>
  <c r="S298" i="20"/>
  <c r="S272" i="20"/>
  <c r="J298" i="20"/>
  <c r="J272" i="20"/>
  <c r="X272" i="20"/>
  <c r="X298" i="20"/>
  <c r="W272" i="20"/>
  <c r="W298" i="20"/>
  <c r="D298" i="19"/>
  <c r="D272" i="19"/>
  <c r="B298" i="19"/>
  <c r="AW16" i="33" s="1"/>
  <c r="B272" i="19"/>
  <c r="K298" i="20"/>
  <c r="K272" i="20"/>
  <c r="B298" i="20"/>
  <c r="AX16" i="33" s="1"/>
  <c r="B272" i="20"/>
  <c r="Y272" i="20"/>
  <c r="Y298" i="20"/>
  <c r="AC298" i="20"/>
  <c r="FD16" i="33" s="1"/>
  <c r="AC272" i="20"/>
  <c r="E298" i="20"/>
  <c r="E272" i="20"/>
  <c r="H298" i="20"/>
  <c r="H272" i="20"/>
  <c r="J298" i="19"/>
  <c r="J272" i="19"/>
  <c r="C298" i="20"/>
  <c r="C272" i="20"/>
  <c r="Q298" i="20"/>
  <c r="Q272" i="20"/>
  <c r="V298" i="20"/>
  <c r="V272" i="20"/>
  <c r="AB272" i="20"/>
  <c r="AB298" i="20"/>
  <c r="G298" i="20"/>
  <c r="G272" i="20"/>
  <c r="U298" i="20"/>
  <c r="U272" i="20"/>
  <c r="O272" i="20"/>
  <c r="O298" i="20"/>
  <c r="U298" i="19"/>
  <c r="U272" i="19"/>
  <c r="R272" i="19"/>
  <c r="R298" i="19"/>
  <c r="G298" i="19"/>
  <c r="G272" i="19"/>
  <c r="O272" i="19"/>
  <c r="O298" i="19"/>
  <c r="I272" i="20"/>
  <c r="I298" i="20"/>
  <c r="N298" i="20"/>
  <c r="N272" i="20"/>
  <c r="P272" i="20"/>
  <c r="P298" i="20"/>
  <c r="M298" i="19"/>
  <c r="CZ16" i="33" s="1"/>
  <c r="M272" i="19"/>
  <c r="Y298" i="19"/>
  <c r="Y272" i="19"/>
  <c r="Z298" i="19"/>
  <c r="Z272" i="19"/>
  <c r="P298" i="19"/>
  <c r="P272" i="19"/>
  <c r="T298" i="20"/>
  <c r="T272" i="20"/>
  <c r="F298" i="20"/>
  <c r="F272" i="20"/>
  <c r="M272" i="20"/>
  <c r="M298" i="20"/>
  <c r="DA16" i="33" s="1"/>
  <c r="H272" i="19"/>
  <c r="H298" i="19"/>
  <c r="E298" i="19"/>
  <c r="E272" i="19"/>
  <c r="Q298" i="19"/>
  <c r="Q272" i="19"/>
  <c r="X272" i="19"/>
  <c r="X298" i="19"/>
  <c r="C272" i="19"/>
  <c r="C298" i="19"/>
  <c r="W298" i="19"/>
  <c r="W272" i="19"/>
  <c r="L298" i="20"/>
  <c r="L272" i="20"/>
  <c r="AB272" i="19"/>
  <c r="AB298" i="19"/>
  <c r="I298" i="19"/>
  <c r="I272" i="19"/>
  <c r="F298" i="19"/>
  <c r="F272" i="19"/>
  <c r="K298" i="19"/>
  <c r="K272" i="19"/>
  <c r="D272" i="20"/>
  <c r="D298" i="20"/>
  <c r="Z298" i="20"/>
  <c r="Z272" i="20"/>
  <c r="AA190" i="19"/>
  <c r="AA164" i="19"/>
  <c r="X190" i="19"/>
  <c r="X164" i="19"/>
  <c r="G190" i="20"/>
  <c r="G164" i="20"/>
  <c r="B190" i="20"/>
  <c r="AU16" i="33" s="1"/>
  <c r="B164" i="20"/>
  <c r="Z164" i="20"/>
  <c r="Z190" i="20"/>
  <c r="L190" i="20"/>
  <c r="L164" i="20"/>
  <c r="T190" i="20"/>
  <c r="T164" i="20"/>
  <c r="J190" i="19"/>
  <c r="J164" i="19"/>
  <c r="D190" i="19"/>
  <c r="D164" i="19"/>
  <c r="P190" i="19"/>
  <c r="P164" i="19"/>
  <c r="U190" i="19"/>
  <c r="U164" i="19"/>
  <c r="K164" i="19"/>
  <c r="K190" i="19"/>
  <c r="Q164" i="19"/>
  <c r="Q190" i="19"/>
  <c r="H190" i="19"/>
  <c r="H164" i="19"/>
  <c r="O164" i="19"/>
  <c r="O190" i="19"/>
  <c r="X190" i="20"/>
  <c r="X164" i="20"/>
  <c r="R164" i="20"/>
  <c r="R190" i="20"/>
  <c r="AB164" i="20"/>
  <c r="AB190" i="20"/>
  <c r="W190" i="19"/>
  <c r="W164" i="19"/>
  <c r="F164" i="19"/>
  <c r="F190" i="19"/>
  <c r="M164" i="19"/>
  <c r="M190" i="19"/>
  <c r="CW16" i="33" s="1"/>
  <c r="C190" i="19"/>
  <c r="C164" i="19"/>
  <c r="I190" i="19"/>
  <c r="I164" i="19"/>
  <c r="G190" i="19"/>
  <c r="G164" i="19"/>
  <c r="E190" i="20"/>
  <c r="E164" i="20"/>
  <c r="C190" i="20"/>
  <c r="C164" i="20"/>
  <c r="R190" i="19"/>
  <c r="R164" i="19"/>
  <c r="H190" i="20"/>
  <c r="H164" i="20"/>
  <c r="E190" i="19"/>
  <c r="E164" i="19"/>
  <c r="AB190" i="19"/>
  <c r="AB164" i="19"/>
  <c r="I164" i="20"/>
  <c r="I190" i="20"/>
  <c r="O164" i="20"/>
  <c r="O190" i="20"/>
  <c r="K190" i="20"/>
  <c r="K164" i="20"/>
  <c r="Z190" i="19"/>
  <c r="Z164" i="19"/>
  <c r="N190" i="19"/>
  <c r="N164" i="19"/>
  <c r="AC190" i="19"/>
  <c r="EZ16" i="33" s="1"/>
  <c r="AC164" i="19"/>
  <c r="N190" i="20"/>
  <c r="N164" i="20"/>
  <c r="T190" i="19"/>
  <c r="T164" i="19"/>
  <c r="AC190" i="20"/>
  <c r="FA16" i="33" s="1"/>
  <c r="AC164" i="20"/>
  <c r="U190" i="20"/>
  <c r="U164" i="20"/>
  <c r="Y190" i="20"/>
  <c r="Y164" i="20"/>
  <c r="S190" i="20"/>
  <c r="S164" i="20"/>
  <c r="B164" i="19"/>
  <c r="B190" i="19"/>
  <c r="AT16" i="33" s="1"/>
  <c r="L190" i="19"/>
  <c r="L164" i="19"/>
  <c r="M164" i="20"/>
  <c r="M190" i="20"/>
  <c r="CX16" i="33" s="1"/>
  <c r="S164" i="19"/>
  <c r="S190" i="19"/>
  <c r="J190" i="20"/>
  <c r="J164" i="20"/>
  <c r="F190" i="20"/>
  <c r="F164" i="20"/>
  <c r="AA190" i="20"/>
  <c r="AA164" i="20"/>
  <c r="V190" i="19"/>
  <c r="V164" i="19"/>
  <c r="Y190" i="19"/>
  <c r="Y164" i="19"/>
  <c r="W164" i="20"/>
  <c r="W190" i="20"/>
  <c r="V190" i="20"/>
  <c r="V164" i="20"/>
  <c r="P190" i="20"/>
  <c r="P164" i="20"/>
  <c r="D190" i="20"/>
  <c r="D164" i="20"/>
  <c r="Q190" i="20"/>
  <c r="Q164" i="20"/>
  <c r="Q84" i="19"/>
  <c r="Q58" i="19"/>
  <c r="AB84" i="19"/>
  <c r="AB58" i="19"/>
  <c r="AA84" i="20"/>
  <c r="AA58" i="20"/>
  <c r="Z58" i="20"/>
  <c r="Z84" i="20"/>
  <c r="F84" i="20"/>
  <c r="F58" i="20"/>
  <c r="AB84" i="20"/>
  <c r="AB58" i="20"/>
  <c r="I84" i="19"/>
  <c r="I58" i="19"/>
  <c r="O58" i="19"/>
  <c r="O84" i="19"/>
  <c r="T58" i="19"/>
  <c r="T84" i="19"/>
  <c r="S84" i="20"/>
  <c r="S58" i="20"/>
  <c r="R58" i="20"/>
  <c r="R84" i="20"/>
  <c r="AC58" i="20"/>
  <c r="AC84" i="20"/>
  <c r="EX16" i="33" s="1"/>
  <c r="AA84" i="19"/>
  <c r="AA58" i="19"/>
  <c r="L84" i="19"/>
  <c r="L58" i="19"/>
  <c r="K84" i="20"/>
  <c r="K58" i="20"/>
  <c r="J58" i="20"/>
  <c r="J84" i="20"/>
  <c r="H84" i="20"/>
  <c r="H58" i="20"/>
  <c r="L84" i="20"/>
  <c r="L58" i="20"/>
  <c r="D84" i="20"/>
  <c r="D58" i="20"/>
  <c r="V84" i="19"/>
  <c r="V58" i="19"/>
  <c r="D84" i="19"/>
  <c r="D58" i="19"/>
  <c r="U84" i="20"/>
  <c r="U58" i="20"/>
  <c r="C84" i="20"/>
  <c r="C58" i="20"/>
  <c r="B58" i="20"/>
  <c r="B84" i="20"/>
  <c r="AR16" i="33" s="1"/>
  <c r="U84" i="19"/>
  <c r="U58" i="19"/>
  <c r="Y84" i="19"/>
  <c r="Y58" i="19"/>
  <c r="Z58" i="19"/>
  <c r="Z84" i="19"/>
  <c r="X84" i="19"/>
  <c r="X58" i="19"/>
  <c r="N58" i="19"/>
  <c r="N84" i="19"/>
  <c r="M84" i="20"/>
  <c r="CU16" i="33" s="1"/>
  <c r="M58" i="20"/>
  <c r="Q84" i="20"/>
  <c r="Q58" i="20"/>
  <c r="Y84" i="20"/>
  <c r="Y58" i="20"/>
  <c r="S84" i="19"/>
  <c r="S58" i="19"/>
  <c r="R58" i="19"/>
  <c r="R84" i="19"/>
  <c r="P84" i="19"/>
  <c r="P58" i="19"/>
  <c r="F84" i="19"/>
  <c r="F58" i="19"/>
  <c r="E58" i="20"/>
  <c r="E84" i="20"/>
  <c r="I84" i="20"/>
  <c r="I58" i="20"/>
  <c r="X58" i="20"/>
  <c r="X84" i="20"/>
  <c r="W84" i="20"/>
  <c r="W58" i="20"/>
  <c r="P58" i="20"/>
  <c r="P84" i="20"/>
  <c r="T84" i="20"/>
  <c r="T58" i="20"/>
  <c r="K58" i="19"/>
  <c r="K84" i="19"/>
  <c r="J58" i="19"/>
  <c r="J84" i="19"/>
  <c r="H58" i="19"/>
  <c r="H84" i="19"/>
  <c r="W84" i="19"/>
  <c r="W58" i="19"/>
  <c r="O84" i="20"/>
  <c r="O58" i="20"/>
  <c r="V58" i="20"/>
  <c r="V84" i="20"/>
  <c r="M58" i="19"/>
  <c r="M84" i="19"/>
  <c r="CT16" i="33" s="1"/>
  <c r="G58" i="19"/>
  <c r="G84" i="19"/>
  <c r="C84" i="19"/>
  <c r="C58" i="19"/>
  <c r="B84" i="19"/>
  <c r="AQ16" i="33" s="1"/>
  <c r="B58" i="19"/>
  <c r="G84" i="20"/>
  <c r="G58" i="20"/>
  <c r="N58" i="20"/>
  <c r="N84" i="20"/>
  <c r="AC84" i="19"/>
  <c r="EW16" i="33" s="1"/>
  <c r="AC58" i="19"/>
  <c r="E84" i="19"/>
  <c r="E58" i="19"/>
  <c r="AB512" i="21"/>
  <c r="AB486" i="21"/>
  <c r="M512" i="21"/>
  <c r="CP16" i="33" s="1"/>
  <c r="M486" i="21"/>
  <c r="Z486" i="22"/>
  <c r="Z512" i="22"/>
  <c r="C512" i="22"/>
  <c r="C486" i="22"/>
  <c r="AC512" i="22"/>
  <c r="ET16" i="33" s="1"/>
  <c r="AC486" i="22"/>
  <c r="R512" i="23"/>
  <c r="R486" i="23"/>
  <c r="Q512" i="23"/>
  <c r="Q486" i="23"/>
  <c r="L486" i="23"/>
  <c r="L512" i="23"/>
  <c r="G512" i="23"/>
  <c r="G486" i="23"/>
  <c r="K512" i="23"/>
  <c r="K486" i="23"/>
  <c r="K512" i="22"/>
  <c r="K486" i="22"/>
  <c r="E512" i="21"/>
  <c r="E486" i="21"/>
  <c r="S512" i="23"/>
  <c r="S486" i="23"/>
  <c r="H512" i="21"/>
  <c r="H486" i="21"/>
  <c r="X512" i="21"/>
  <c r="X486" i="21"/>
  <c r="N512" i="22"/>
  <c r="N486" i="22"/>
  <c r="D512" i="23"/>
  <c r="D486" i="23"/>
  <c r="C512" i="23"/>
  <c r="C486" i="23"/>
  <c r="AA512" i="23"/>
  <c r="AA486" i="23"/>
  <c r="E512" i="23"/>
  <c r="E486" i="23"/>
  <c r="O486" i="23"/>
  <c r="O512" i="23"/>
  <c r="Y486" i="23"/>
  <c r="Y512" i="23"/>
  <c r="J512" i="21"/>
  <c r="J486" i="21"/>
  <c r="S512" i="21"/>
  <c r="S486" i="21"/>
  <c r="W512" i="22"/>
  <c r="W486" i="22"/>
  <c r="T512" i="23"/>
  <c r="T486" i="23"/>
  <c r="P512" i="23"/>
  <c r="P486" i="23"/>
  <c r="M512" i="23"/>
  <c r="CR16" i="33" s="1"/>
  <c r="M486" i="23"/>
  <c r="W512" i="23"/>
  <c r="W486" i="23"/>
  <c r="F486" i="22"/>
  <c r="F512" i="22"/>
  <c r="AA512" i="21"/>
  <c r="AA486" i="21"/>
  <c r="N512" i="21"/>
  <c r="N486" i="21"/>
  <c r="AC512" i="21"/>
  <c r="ES16" i="33" s="1"/>
  <c r="AC486" i="21"/>
  <c r="T486" i="22"/>
  <c r="T512" i="22"/>
  <c r="V486" i="22"/>
  <c r="V512" i="22"/>
  <c r="I486" i="23"/>
  <c r="I512" i="23"/>
  <c r="B512" i="23"/>
  <c r="AO16" i="33" s="1"/>
  <c r="B486" i="23"/>
  <c r="U512" i="23"/>
  <c r="U486" i="23"/>
  <c r="AB486" i="22"/>
  <c r="AB512" i="22"/>
  <c r="U512" i="21"/>
  <c r="U486" i="21"/>
  <c r="P512" i="21"/>
  <c r="P486" i="21"/>
  <c r="W512" i="21"/>
  <c r="W486" i="21"/>
  <c r="B512" i="21"/>
  <c r="AM16" i="33" s="1"/>
  <c r="B486" i="21"/>
  <c r="K512" i="21"/>
  <c r="K486" i="21"/>
  <c r="H486" i="22"/>
  <c r="H512" i="22"/>
  <c r="L512" i="22"/>
  <c r="L486" i="22"/>
  <c r="AC512" i="23"/>
  <c r="EU16" i="33" s="1"/>
  <c r="AC486" i="23"/>
  <c r="P512" i="22"/>
  <c r="P486" i="22"/>
  <c r="Y512" i="21"/>
  <c r="Y486" i="21"/>
  <c r="Q512" i="21"/>
  <c r="Q486" i="21"/>
  <c r="O512" i="21"/>
  <c r="O486" i="21"/>
  <c r="T512" i="21"/>
  <c r="T486" i="21"/>
  <c r="L486" i="21"/>
  <c r="L512" i="21"/>
  <c r="D512" i="21"/>
  <c r="D486" i="21"/>
  <c r="B486" i="22"/>
  <c r="B512" i="22"/>
  <c r="AN16" i="33" s="1"/>
  <c r="Y486" i="22"/>
  <c r="Y512" i="22"/>
  <c r="AA512" i="22"/>
  <c r="AA486" i="22"/>
  <c r="F512" i="23"/>
  <c r="F486" i="23"/>
  <c r="X486" i="23"/>
  <c r="X512" i="23"/>
  <c r="S512" i="22"/>
  <c r="S486" i="22"/>
  <c r="H512" i="23"/>
  <c r="H486" i="23"/>
  <c r="E512" i="22"/>
  <c r="E486" i="22"/>
  <c r="Z512" i="21"/>
  <c r="Z486" i="21"/>
  <c r="I512" i="21"/>
  <c r="I486" i="21"/>
  <c r="G486" i="21"/>
  <c r="G512" i="21"/>
  <c r="F512" i="21"/>
  <c r="F486" i="21"/>
  <c r="V512" i="21"/>
  <c r="V486" i="21"/>
  <c r="Q512" i="22"/>
  <c r="Q486" i="22"/>
  <c r="J512" i="22"/>
  <c r="J486" i="22"/>
  <c r="N486" i="23"/>
  <c r="N512" i="23"/>
  <c r="D486" i="22"/>
  <c r="D512" i="22"/>
  <c r="G512" i="22"/>
  <c r="G486" i="22"/>
  <c r="J486" i="23"/>
  <c r="J512" i="23"/>
  <c r="R512" i="21"/>
  <c r="R486" i="21"/>
  <c r="C512" i="21"/>
  <c r="C486" i="21"/>
  <c r="I486" i="22"/>
  <c r="I512" i="22"/>
  <c r="R486" i="22"/>
  <c r="R512" i="22"/>
  <c r="M512" i="22"/>
  <c r="CQ16" i="33" s="1"/>
  <c r="M486" i="22"/>
  <c r="AB512" i="23"/>
  <c r="AB486" i="23"/>
  <c r="Z486" i="23"/>
  <c r="Z512" i="23"/>
  <c r="V486" i="23"/>
  <c r="V512" i="23"/>
  <c r="O486" i="22"/>
  <c r="O512" i="22"/>
  <c r="X512" i="22"/>
  <c r="X486" i="22"/>
  <c r="U512" i="22"/>
  <c r="U486" i="22"/>
  <c r="AC407" i="21"/>
  <c r="EO16" i="33" s="1"/>
  <c r="AC381" i="21"/>
  <c r="AB407" i="21"/>
  <c r="AB381" i="21"/>
  <c r="Y407" i="21"/>
  <c r="Y381" i="21"/>
  <c r="I407" i="22"/>
  <c r="I381" i="22"/>
  <c r="X407" i="22"/>
  <c r="X381" i="22"/>
  <c r="B407" i="23"/>
  <c r="AK16" i="33" s="1"/>
  <c r="B381" i="23"/>
  <c r="T381" i="23"/>
  <c r="T407" i="23"/>
  <c r="AC381" i="23"/>
  <c r="AC407" i="23"/>
  <c r="EQ16" i="33" s="1"/>
  <c r="L407" i="22"/>
  <c r="L381" i="22"/>
  <c r="E381" i="22"/>
  <c r="E407" i="22"/>
  <c r="F407" i="21"/>
  <c r="F381" i="21"/>
  <c r="R407" i="21"/>
  <c r="R381" i="21"/>
  <c r="O381" i="21"/>
  <c r="O407" i="21"/>
  <c r="S407" i="22"/>
  <c r="S381" i="22"/>
  <c r="Q407" i="23"/>
  <c r="Q381" i="23"/>
  <c r="AB381" i="23"/>
  <c r="AB407" i="23"/>
  <c r="J381" i="23"/>
  <c r="J407" i="23"/>
  <c r="D407" i="21"/>
  <c r="D381" i="21"/>
  <c r="N381" i="21"/>
  <c r="N407" i="21"/>
  <c r="H407" i="21"/>
  <c r="H381" i="21"/>
  <c r="C407" i="21"/>
  <c r="C381" i="21"/>
  <c r="Z381" i="21"/>
  <c r="Z407" i="21"/>
  <c r="AC381" i="22"/>
  <c r="AC407" i="22"/>
  <c r="EP16" i="33" s="1"/>
  <c r="C407" i="23"/>
  <c r="C381" i="23"/>
  <c r="G381" i="23"/>
  <c r="G407" i="23"/>
  <c r="Z407" i="23"/>
  <c r="Z381" i="23"/>
  <c r="M381" i="23"/>
  <c r="M407" i="23"/>
  <c r="CN16" i="33" s="1"/>
  <c r="Q381" i="22"/>
  <c r="Q407" i="22"/>
  <c r="V381" i="22"/>
  <c r="V407" i="22"/>
  <c r="W407" i="21"/>
  <c r="W381" i="21"/>
  <c r="V407" i="21"/>
  <c r="V381" i="21"/>
  <c r="I407" i="21"/>
  <c r="I381" i="21"/>
  <c r="AA381" i="21"/>
  <c r="AA407" i="21"/>
  <c r="J381" i="21"/>
  <c r="J407" i="21"/>
  <c r="AB407" i="22"/>
  <c r="AB381" i="22"/>
  <c r="G381" i="22"/>
  <c r="G407" i="22"/>
  <c r="K407" i="23"/>
  <c r="K381" i="23"/>
  <c r="O381" i="23"/>
  <c r="O407" i="23"/>
  <c r="F407" i="23"/>
  <c r="F381" i="23"/>
  <c r="Y381" i="23"/>
  <c r="Y407" i="23"/>
  <c r="V407" i="23"/>
  <c r="V381" i="23"/>
  <c r="Y407" i="22"/>
  <c r="Y381" i="22"/>
  <c r="K381" i="21"/>
  <c r="K407" i="21"/>
  <c r="Q381" i="21"/>
  <c r="Q407" i="21"/>
  <c r="X407" i="21"/>
  <c r="X381" i="21"/>
  <c r="T381" i="21"/>
  <c r="T407" i="21"/>
  <c r="U407" i="22"/>
  <c r="U381" i="22"/>
  <c r="M381" i="22"/>
  <c r="M407" i="22"/>
  <c r="CM16" i="33" s="1"/>
  <c r="O381" i="22"/>
  <c r="O407" i="22"/>
  <c r="S381" i="23"/>
  <c r="S407" i="23"/>
  <c r="W381" i="23"/>
  <c r="W407" i="23"/>
  <c r="E407" i="23"/>
  <c r="E381" i="23"/>
  <c r="N407" i="23"/>
  <c r="N381" i="23"/>
  <c r="K407" i="22"/>
  <c r="K381" i="22"/>
  <c r="E381" i="21"/>
  <c r="E407" i="21"/>
  <c r="G407" i="21"/>
  <c r="G381" i="21"/>
  <c r="L407" i="21"/>
  <c r="L381" i="21"/>
  <c r="F381" i="22"/>
  <c r="F407" i="22"/>
  <c r="D407" i="22"/>
  <c r="D381" i="22"/>
  <c r="W407" i="22"/>
  <c r="W381" i="22"/>
  <c r="AA407" i="23"/>
  <c r="AA381" i="23"/>
  <c r="H381" i="23"/>
  <c r="H407" i="23"/>
  <c r="B407" i="22"/>
  <c r="AJ16" i="33" s="1"/>
  <c r="B381" i="22"/>
  <c r="P407" i="21"/>
  <c r="P381" i="21"/>
  <c r="M407" i="21"/>
  <c r="CL16" i="33" s="1"/>
  <c r="M381" i="21"/>
  <c r="B407" i="21"/>
  <c r="AI16" i="33" s="1"/>
  <c r="B381" i="21"/>
  <c r="N407" i="22"/>
  <c r="N381" i="22"/>
  <c r="H407" i="22"/>
  <c r="H381" i="22"/>
  <c r="D407" i="23"/>
  <c r="D381" i="23"/>
  <c r="P407" i="23"/>
  <c r="P381" i="23"/>
  <c r="AA381" i="22"/>
  <c r="AA407" i="22"/>
  <c r="T381" i="22"/>
  <c r="T407" i="22"/>
  <c r="U407" i="23"/>
  <c r="U381" i="23"/>
  <c r="U407" i="21"/>
  <c r="U381" i="21"/>
  <c r="S407" i="21"/>
  <c r="S381" i="21"/>
  <c r="Z381" i="22"/>
  <c r="Z407" i="22"/>
  <c r="P407" i="22"/>
  <c r="P381" i="22"/>
  <c r="R407" i="23"/>
  <c r="R381" i="23"/>
  <c r="L407" i="23"/>
  <c r="L381" i="23"/>
  <c r="X381" i="23"/>
  <c r="X407" i="23"/>
  <c r="I407" i="23"/>
  <c r="I381" i="23"/>
  <c r="J407" i="22"/>
  <c r="J381" i="22"/>
  <c r="C407" i="22"/>
  <c r="C381" i="22"/>
  <c r="R407" i="22"/>
  <c r="R381" i="22"/>
  <c r="I272" i="21"/>
  <c r="I298" i="21"/>
  <c r="H298" i="21"/>
  <c r="H272" i="21"/>
  <c r="U272" i="21"/>
  <c r="U298" i="21"/>
  <c r="D272" i="21"/>
  <c r="D298" i="21"/>
  <c r="J272" i="22"/>
  <c r="J298" i="22"/>
  <c r="U298" i="22"/>
  <c r="U272" i="22"/>
  <c r="R298" i="23"/>
  <c r="R272" i="23"/>
  <c r="H298" i="23"/>
  <c r="H272" i="23"/>
  <c r="H272" i="22"/>
  <c r="H298" i="22"/>
  <c r="J298" i="21"/>
  <c r="J272" i="21"/>
  <c r="Y298" i="21"/>
  <c r="Y272" i="21"/>
  <c r="L272" i="21"/>
  <c r="L298" i="21"/>
  <c r="N272" i="21"/>
  <c r="N298" i="21"/>
  <c r="R272" i="22"/>
  <c r="R298" i="22"/>
  <c r="I298" i="22"/>
  <c r="I272" i="22"/>
  <c r="Z272" i="23"/>
  <c r="Z298" i="23"/>
  <c r="G298" i="23"/>
  <c r="G272" i="23"/>
  <c r="Y298" i="23"/>
  <c r="Y272" i="23"/>
  <c r="P298" i="23"/>
  <c r="P272" i="23"/>
  <c r="L298" i="22"/>
  <c r="L272" i="22"/>
  <c r="AB298" i="21"/>
  <c r="AB272" i="21"/>
  <c r="Z272" i="21"/>
  <c r="Z298" i="21"/>
  <c r="K272" i="21"/>
  <c r="K298" i="21"/>
  <c r="Z298" i="22"/>
  <c r="Z272" i="22"/>
  <c r="P298" i="22"/>
  <c r="P272" i="22"/>
  <c r="D272" i="23"/>
  <c r="D298" i="23"/>
  <c r="I298" i="23"/>
  <c r="I272" i="23"/>
  <c r="S272" i="23"/>
  <c r="S298" i="23"/>
  <c r="Q298" i="22"/>
  <c r="Q272" i="22"/>
  <c r="Y298" i="22"/>
  <c r="Y272" i="22"/>
  <c r="O298" i="21"/>
  <c r="O272" i="21"/>
  <c r="C298" i="22"/>
  <c r="C272" i="22"/>
  <c r="D298" i="22"/>
  <c r="D272" i="22"/>
  <c r="X298" i="23"/>
  <c r="X272" i="23"/>
  <c r="L298" i="23"/>
  <c r="L272" i="23"/>
  <c r="AA298" i="23"/>
  <c r="AA272" i="23"/>
  <c r="U272" i="23"/>
  <c r="U298" i="23"/>
  <c r="AA272" i="21"/>
  <c r="AA298" i="21"/>
  <c r="V298" i="22"/>
  <c r="V272" i="22"/>
  <c r="E298" i="22"/>
  <c r="E272" i="22"/>
  <c r="S272" i="21"/>
  <c r="S298" i="21"/>
  <c r="AC298" i="21"/>
  <c r="EK16" i="33" s="1"/>
  <c r="AC272" i="21"/>
  <c r="K272" i="22"/>
  <c r="K298" i="22"/>
  <c r="N272" i="23"/>
  <c r="N298" i="23"/>
  <c r="W298" i="23"/>
  <c r="W272" i="23"/>
  <c r="T298" i="23"/>
  <c r="T272" i="23"/>
  <c r="Q272" i="23"/>
  <c r="Q298" i="23"/>
  <c r="K298" i="23"/>
  <c r="K272" i="23"/>
  <c r="T272" i="22"/>
  <c r="T298" i="22"/>
  <c r="R298" i="21"/>
  <c r="R272" i="21"/>
  <c r="F298" i="21"/>
  <c r="F272" i="21"/>
  <c r="C298" i="21"/>
  <c r="C272" i="21"/>
  <c r="E298" i="21"/>
  <c r="E272" i="21"/>
  <c r="W298" i="22"/>
  <c r="W272" i="22"/>
  <c r="S298" i="22"/>
  <c r="S272" i="22"/>
  <c r="C272" i="23"/>
  <c r="C298" i="23"/>
  <c r="M298" i="23"/>
  <c r="CJ16" i="33" s="1"/>
  <c r="M272" i="23"/>
  <c r="AB272" i="23"/>
  <c r="AB298" i="23"/>
  <c r="E298" i="23"/>
  <c r="E272" i="23"/>
  <c r="AB298" i="22"/>
  <c r="AB272" i="22"/>
  <c r="F272" i="23"/>
  <c r="F298" i="23"/>
  <c r="F298" i="22"/>
  <c r="F272" i="22"/>
  <c r="X298" i="21"/>
  <c r="X272" i="21"/>
  <c r="T272" i="21"/>
  <c r="T298" i="21"/>
  <c r="M298" i="21"/>
  <c r="CH16" i="33" s="1"/>
  <c r="M272" i="21"/>
  <c r="M272" i="22"/>
  <c r="M298" i="22"/>
  <c r="CI16" i="33" s="1"/>
  <c r="AA298" i="22"/>
  <c r="AA272" i="22"/>
  <c r="AC298" i="22"/>
  <c r="EL16" i="33" s="1"/>
  <c r="AC272" i="22"/>
  <c r="B298" i="23"/>
  <c r="AG16" i="33" s="1"/>
  <c r="B272" i="23"/>
  <c r="AC272" i="23"/>
  <c r="AC298" i="23"/>
  <c r="EM16" i="33" s="1"/>
  <c r="G298" i="22"/>
  <c r="G272" i="22"/>
  <c r="X272" i="22"/>
  <c r="X298" i="22"/>
  <c r="Q272" i="21"/>
  <c r="Q298" i="21"/>
  <c r="P298" i="21"/>
  <c r="P272" i="21"/>
  <c r="V272" i="21"/>
  <c r="V298" i="21"/>
  <c r="G272" i="21"/>
  <c r="G298" i="21"/>
  <c r="W298" i="21"/>
  <c r="W272" i="21"/>
  <c r="B272" i="22"/>
  <c r="B298" i="22"/>
  <c r="AF16" i="33" s="1"/>
  <c r="N272" i="22"/>
  <c r="N298" i="22"/>
  <c r="O298" i="22"/>
  <c r="O272" i="22"/>
  <c r="J272" i="23"/>
  <c r="J298" i="23"/>
  <c r="O272" i="23"/>
  <c r="O298" i="23"/>
  <c r="V298" i="23"/>
  <c r="V272" i="23"/>
  <c r="B298" i="21"/>
  <c r="AE16" i="33" s="1"/>
  <c r="B272" i="21"/>
  <c r="T190" i="21"/>
  <c r="T164" i="21"/>
  <c r="W190" i="21"/>
  <c r="W164" i="21"/>
  <c r="E190" i="21"/>
  <c r="E164" i="21"/>
  <c r="I58" i="21"/>
  <c r="I84" i="21"/>
  <c r="D84" i="21"/>
  <c r="D58" i="21"/>
  <c r="R84" i="21"/>
  <c r="R58" i="21"/>
  <c r="U58" i="21"/>
  <c r="U84" i="21"/>
  <c r="I190" i="22"/>
  <c r="I164" i="22"/>
  <c r="H164" i="22"/>
  <c r="H190" i="22"/>
  <c r="AB190" i="22"/>
  <c r="AB164" i="22"/>
  <c r="G84" i="22"/>
  <c r="G58" i="22"/>
  <c r="X190" i="22"/>
  <c r="X164" i="22"/>
  <c r="S58" i="22"/>
  <c r="S84" i="22"/>
  <c r="V164" i="23"/>
  <c r="V190" i="23"/>
  <c r="B164" i="23"/>
  <c r="B190" i="23"/>
  <c r="AC16" i="33" s="1"/>
  <c r="AB164" i="23"/>
  <c r="AB190" i="23"/>
  <c r="S58" i="23"/>
  <c r="S84" i="23"/>
  <c r="V58" i="23"/>
  <c r="V84" i="23"/>
  <c r="W58" i="23"/>
  <c r="W84" i="23"/>
  <c r="B58" i="23"/>
  <c r="B84" i="23"/>
  <c r="Y16" i="33" s="1"/>
  <c r="X84" i="22"/>
  <c r="X58" i="22"/>
  <c r="N84" i="22"/>
  <c r="N58" i="22"/>
  <c r="J84" i="22"/>
  <c r="J58" i="22"/>
  <c r="Z190" i="21"/>
  <c r="Z164" i="21"/>
  <c r="X190" i="21"/>
  <c r="X164" i="21"/>
  <c r="J190" i="21"/>
  <c r="J164" i="21"/>
  <c r="O84" i="21"/>
  <c r="O58" i="21"/>
  <c r="AC190" i="21"/>
  <c r="EG16" i="33" s="1"/>
  <c r="AC164" i="21"/>
  <c r="L190" i="21"/>
  <c r="L164" i="21"/>
  <c r="O190" i="21"/>
  <c r="O164" i="21"/>
  <c r="Z58" i="21"/>
  <c r="Z84" i="21"/>
  <c r="AC84" i="21"/>
  <c r="EC16" i="33" s="1"/>
  <c r="AC58" i="21"/>
  <c r="P190" i="22"/>
  <c r="P164" i="22"/>
  <c r="K164" i="22"/>
  <c r="K190" i="22"/>
  <c r="E164" i="22"/>
  <c r="E190" i="22"/>
  <c r="K84" i="22"/>
  <c r="K58" i="22"/>
  <c r="Y164" i="23"/>
  <c r="Y190" i="23"/>
  <c r="G164" i="23"/>
  <c r="G190" i="23"/>
  <c r="L164" i="23"/>
  <c r="L190" i="23"/>
  <c r="P164" i="23"/>
  <c r="P190" i="23"/>
  <c r="I58" i="23"/>
  <c r="I84" i="23"/>
  <c r="H58" i="23"/>
  <c r="H84" i="23"/>
  <c r="G58" i="23"/>
  <c r="G84" i="23"/>
  <c r="Q58" i="23"/>
  <c r="Q84" i="23"/>
  <c r="U58" i="22"/>
  <c r="U84" i="22"/>
  <c r="O58" i="23"/>
  <c r="O84" i="23"/>
  <c r="W84" i="22"/>
  <c r="W58" i="22"/>
  <c r="U190" i="21"/>
  <c r="U164" i="21"/>
  <c r="M84" i="22"/>
  <c r="CA16" i="33" s="1"/>
  <c r="M58" i="22"/>
  <c r="E84" i="22"/>
  <c r="E58" i="22"/>
  <c r="D164" i="21"/>
  <c r="D190" i="21"/>
  <c r="Y190" i="21"/>
  <c r="Y164" i="21"/>
  <c r="G190" i="21"/>
  <c r="G164" i="21"/>
  <c r="R190" i="21"/>
  <c r="R164" i="21"/>
  <c r="W84" i="21"/>
  <c r="W58" i="21"/>
  <c r="C84" i="21"/>
  <c r="C58" i="21"/>
  <c r="H84" i="21"/>
  <c r="H58" i="21"/>
  <c r="AB84" i="21"/>
  <c r="AB58" i="21"/>
  <c r="F164" i="22"/>
  <c r="F190" i="22"/>
  <c r="W190" i="22"/>
  <c r="W164" i="22"/>
  <c r="P84" i="22"/>
  <c r="P58" i="22"/>
  <c r="O190" i="22"/>
  <c r="O164" i="22"/>
  <c r="C58" i="22"/>
  <c r="C84" i="22"/>
  <c r="M164" i="23"/>
  <c r="M190" i="23"/>
  <c r="CF16" i="33" s="1"/>
  <c r="O164" i="23"/>
  <c r="O190" i="23"/>
  <c r="X164" i="23"/>
  <c r="X190" i="23"/>
  <c r="T164" i="23"/>
  <c r="T190" i="23"/>
  <c r="P58" i="23"/>
  <c r="P84" i="23"/>
  <c r="Y58" i="23"/>
  <c r="Y84" i="23"/>
  <c r="C58" i="23"/>
  <c r="C84" i="23"/>
  <c r="AB58" i="23"/>
  <c r="AB84" i="23"/>
  <c r="AA58" i="22"/>
  <c r="AA84" i="22"/>
  <c r="H190" i="21"/>
  <c r="H164" i="21"/>
  <c r="AA190" i="21"/>
  <c r="AA164" i="21"/>
  <c r="Q190" i="21"/>
  <c r="Q164" i="21"/>
  <c r="B164" i="21"/>
  <c r="B190" i="21"/>
  <c r="AA16" i="33" s="1"/>
  <c r="G84" i="21"/>
  <c r="G58" i="21"/>
  <c r="K84" i="21"/>
  <c r="K58" i="21"/>
  <c r="P84" i="21"/>
  <c r="P58" i="21"/>
  <c r="N84" i="21"/>
  <c r="N58" i="21"/>
  <c r="L84" i="21"/>
  <c r="L58" i="21"/>
  <c r="M190" i="22"/>
  <c r="CE16" i="33" s="1"/>
  <c r="M164" i="22"/>
  <c r="Z164" i="22"/>
  <c r="Z190" i="22"/>
  <c r="H58" i="22"/>
  <c r="H84" i="22"/>
  <c r="AA190" i="22"/>
  <c r="AA164" i="22"/>
  <c r="C164" i="23"/>
  <c r="C190" i="23"/>
  <c r="W164" i="23"/>
  <c r="W190" i="23"/>
  <c r="S164" i="23"/>
  <c r="S190" i="23"/>
  <c r="E164" i="23"/>
  <c r="E190" i="23"/>
  <c r="X58" i="23"/>
  <c r="X84" i="23"/>
  <c r="J58" i="23"/>
  <c r="J84" i="23"/>
  <c r="E58" i="23"/>
  <c r="E84" i="23"/>
  <c r="V58" i="22"/>
  <c r="V84" i="22"/>
  <c r="B58" i="22"/>
  <c r="B84" i="22"/>
  <c r="X16" i="33" s="1"/>
  <c r="S190" i="21"/>
  <c r="S164" i="21"/>
  <c r="I190" i="21"/>
  <c r="I164" i="21"/>
  <c r="S58" i="21"/>
  <c r="S84" i="21"/>
  <c r="X84" i="21"/>
  <c r="X58" i="21"/>
  <c r="R164" i="22"/>
  <c r="R190" i="22"/>
  <c r="C190" i="22"/>
  <c r="C164" i="22"/>
  <c r="L190" i="22"/>
  <c r="L164" i="22"/>
  <c r="G190" i="22"/>
  <c r="G164" i="22"/>
  <c r="AB84" i="22"/>
  <c r="AB58" i="22"/>
  <c r="Y84" i="22"/>
  <c r="Y58" i="22"/>
  <c r="U164" i="23"/>
  <c r="U190" i="23"/>
  <c r="I164" i="23"/>
  <c r="I190" i="23"/>
  <c r="Q164" i="23"/>
  <c r="Q190" i="23"/>
  <c r="U58" i="23"/>
  <c r="U84" i="23"/>
  <c r="T58" i="23"/>
  <c r="T84" i="23"/>
  <c r="AC84" i="22"/>
  <c r="ED16" i="33" s="1"/>
  <c r="AC58" i="22"/>
  <c r="AB190" i="21"/>
  <c r="AB164" i="21"/>
  <c r="K190" i="21"/>
  <c r="K164" i="21"/>
  <c r="N190" i="21"/>
  <c r="N164" i="21"/>
  <c r="V84" i="21"/>
  <c r="V58" i="21"/>
  <c r="Q84" i="21"/>
  <c r="Q58" i="21"/>
  <c r="AA84" i="21"/>
  <c r="AA58" i="21"/>
  <c r="J164" i="22"/>
  <c r="J190" i="22"/>
  <c r="V190" i="22"/>
  <c r="V164" i="22"/>
  <c r="S190" i="22"/>
  <c r="S164" i="22"/>
  <c r="T84" i="22"/>
  <c r="T58" i="22"/>
  <c r="Q58" i="22"/>
  <c r="Q84" i="22"/>
  <c r="K164" i="23"/>
  <c r="K190" i="23"/>
  <c r="AA164" i="23"/>
  <c r="AA190" i="23"/>
  <c r="K58" i="23"/>
  <c r="K84" i="23"/>
  <c r="U164" i="22"/>
  <c r="U190" i="22"/>
  <c r="T164" i="22"/>
  <c r="T190" i="22"/>
  <c r="F84" i="22"/>
  <c r="F58" i="22"/>
  <c r="M164" i="21"/>
  <c r="M190" i="21"/>
  <c r="CD16" i="33" s="1"/>
  <c r="AA58" i="23"/>
  <c r="AA84" i="23"/>
  <c r="C190" i="21"/>
  <c r="C164" i="21"/>
  <c r="F84" i="21"/>
  <c r="F58" i="21"/>
  <c r="B84" i="21"/>
  <c r="W16" i="33" s="1"/>
  <c r="B58" i="21"/>
  <c r="E84" i="21"/>
  <c r="E58" i="21"/>
  <c r="B190" i="22"/>
  <c r="AB16" i="33" s="1"/>
  <c r="B164" i="22"/>
  <c r="Y190" i="22"/>
  <c r="Y164" i="22"/>
  <c r="D164" i="22"/>
  <c r="D190" i="22"/>
  <c r="AC164" i="22"/>
  <c r="AC190" i="22"/>
  <c r="EH16" i="33" s="1"/>
  <c r="L84" i="22"/>
  <c r="L58" i="22"/>
  <c r="I84" i="22"/>
  <c r="I58" i="22"/>
  <c r="F164" i="23"/>
  <c r="F190" i="23"/>
  <c r="AC164" i="23"/>
  <c r="AC190" i="23"/>
  <c r="EI16" i="33" s="1"/>
  <c r="H164" i="23"/>
  <c r="H190" i="23"/>
  <c r="D164" i="23"/>
  <c r="D190" i="23"/>
  <c r="F58" i="23"/>
  <c r="F84" i="23"/>
  <c r="L58" i="23"/>
  <c r="L84" i="23"/>
  <c r="R58" i="23"/>
  <c r="R84" i="23"/>
  <c r="D58" i="23"/>
  <c r="D84" i="23"/>
  <c r="V190" i="21"/>
  <c r="V164" i="21"/>
  <c r="Y58" i="21"/>
  <c r="Y84" i="21"/>
  <c r="T84" i="21"/>
  <c r="T58" i="21"/>
  <c r="J58" i="21"/>
  <c r="J84" i="21"/>
  <c r="M84" i="21"/>
  <c r="BZ16" i="33" s="1"/>
  <c r="M58" i="21"/>
  <c r="Q190" i="22"/>
  <c r="Q164" i="22"/>
  <c r="O58" i="22"/>
  <c r="O84" i="22"/>
  <c r="N164" i="22"/>
  <c r="N190" i="22"/>
  <c r="D84" i="22"/>
  <c r="D58" i="22"/>
  <c r="N164" i="23"/>
  <c r="N190" i="23"/>
  <c r="R164" i="23"/>
  <c r="R190" i="23"/>
  <c r="AC58" i="23"/>
  <c r="AC84" i="23"/>
  <c r="EE16" i="33" s="1"/>
  <c r="N58" i="23"/>
  <c r="N84" i="23"/>
  <c r="M58" i="23"/>
  <c r="M84" i="23"/>
  <c r="CB16" i="33" s="1"/>
  <c r="Z58" i="23"/>
  <c r="Z84" i="23"/>
  <c r="R58" i="22"/>
  <c r="R84" i="22"/>
  <c r="Z164" i="23"/>
  <c r="Z190" i="23"/>
  <c r="P190" i="21"/>
  <c r="P164" i="21"/>
  <c r="F190" i="21"/>
  <c r="F164" i="21"/>
  <c r="J164" i="23"/>
  <c r="J190" i="23"/>
  <c r="Z58" i="22"/>
  <c r="Z84" i="22"/>
  <c r="G382" i="25"/>
  <c r="G394" i="26"/>
  <c r="G406" i="26" s="1"/>
  <c r="Y382" i="24"/>
  <c r="Y382" i="25"/>
  <c r="Z382" i="26"/>
  <c r="AC382" i="26"/>
  <c r="Q382" i="26"/>
  <c r="Z273" i="25"/>
  <c r="Q285" i="25"/>
  <c r="Q297" i="25" s="1"/>
  <c r="G273" i="24"/>
  <c r="U285" i="24"/>
  <c r="U297" i="24" s="1"/>
  <c r="I285" i="24"/>
  <c r="G285" i="24"/>
  <c r="O285" i="24"/>
  <c r="O297" i="24" s="1"/>
  <c r="F285" i="25"/>
  <c r="AB285" i="26"/>
  <c r="AB297" i="26" s="1"/>
  <c r="AB273" i="24"/>
  <c r="AA285" i="26"/>
  <c r="AA297" i="26" s="1"/>
  <c r="R285" i="26"/>
  <c r="R297" i="26" s="1"/>
  <c r="N177" i="24"/>
  <c r="N189" i="24" s="1"/>
  <c r="Q165" i="24"/>
  <c r="I165" i="25"/>
  <c r="G165" i="25"/>
  <c r="E177" i="25"/>
  <c r="E189" i="25" s="1"/>
  <c r="V165" i="24"/>
  <c r="Q177" i="24"/>
  <c r="S177" i="25"/>
  <c r="S189" i="25" s="1"/>
  <c r="K177" i="25"/>
  <c r="K189" i="25" s="1"/>
  <c r="C177" i="25"/>
  <c r="C189" i="25" s="1"/>
  <c r="R177" i="24"/>
  <c r="R189" i="24" s="1"/>
  <c r="J165" i="24"/>
  <c r="U165" i="26"/>
  <c r="V71" i="26"/>
  <c r="V83" i="26" s="1"/>
  <c r="N59" i="26"/>
  <c r="B59" i="26"/>
  <c r="E71" i="24"/>
  <c r="Q59" i="24"/>
  <c r="G59" i="25"/>
  <c r="M71" i="24"/>
  <c r="M83" i="24" s="1"/>
  <c r="BG15" i="33" s="1"/>
  <c r="AA59" i="26"/>
  <c r="L71" i="26"/>
  <c r="L83" i="26" s="1"/>
  <c r="C59" i="26"/>
  <c r="I273" i="26"/>
  <c r="O273" i="26"/>
  <c r="N394" i="26"/>
  <c r="N406" i="26" s="1"/>
  <c r="Q71" i="26"/>
  <c r="Q83" i="26" s="1"/>
  <c r="B165" i="26"/>
  <c r="R273" i="26"/>
  <c r="Q177" i="26"/>
  <c r="Q189" i="26" s="1"/>
  <c r="V59" i="26"/>
  <c r="T273" i="26"/>
  <c r="AB382" i="26"/>
  <c r="E382" i="26"/>
  <c r="AC285" i="26"/>
  <c r="AC297" i="26" s="1"/>
  <c r="DV15" i="33" s="1"/>
  <c r="M394" i="26"/>
  <c r="M406" i="26" s="1"/>
  <c r="BX15" i="33" s="1"/>
  <c r="AC71" i="26"/>
  <c r="AC83" i="26" s="1"/>
  <c r="DL15" i="33" s="1"/>
  <c r="W177" i="26"/>
  <c r="W189" i="26" s="1"/>
  <c r="P285" i="26"/>
  <c r="P297" i="26" s="1"/>
  <c r="E285" i="26"/>
  <c r="E297" i="26" s="1"/>
  <c r="U382" i="26"/>
  <c r="M177" i="26"/>
  <c r="M189" i="26" s="1"/>
  <c r="BN15" i="33" s="1"/>
  <c r="L165" i="26"/>
  <c r="G59" i="26"/>
  <c r="E165" i="26"/>
  <c r="W394" i="26"/>
  <c r="W406" i="26" s="1"/>
  <c r="V382" i="26"/>
  <c r="Z71" i="26"/>
  <c r="Z83" i="26" s="1"/>
  <c r="U71" i="26"/>
  <c r="U83" i="26" s="1"/>
  <c r="N177" i="26"/>
  <c r="N189" i="26" s="1"/>
  <c r="V285" i="26"/>
  <c r="V297" i="26" s="1"/>
  <c r="AC394" i="26"/>
  <c r="AC406" i="26" s="1"/>
  <c r="EA15" i="33" s="1"/>
  <c r="E59" i="26"/>
  <c r="Y59" i="26"/>
  <c r="B71" i="26"/>
  <c r="B83" i="26" s="1"/>
  <c r="F15" i="33" s="1"/>
  <c r="J382" i="26"/>
  <c r="J59" i="26"/>
  <c r="I177" i="26"/>
  <c r="I189" i="26" s="1"/>
  <c r="J285" i="26"/>
  <c r="J297" i="26" s="1"/>
  <c r="H59" i="26"/>
  <c r="T71" i="26"/>
  <c r="T83" i="26" s="1"/>
  <c r="C165" i="26"/>
  <c r="Y177" i="26"/>
  <c r="Y189" i="26" s="1"/>
  <c r="AC177" i="26"/>
  <c r="AC189" i="26" s="1"/>
  <c r="DQ15" i="33" s="1"/>
  <c r="S382" i="26"/>
  <c r="W71" i="26"/>
  <c r="W83" i="26" s="1"/>
  <c r="E273" i="26"/>
  <c r="W285" i="26"/>
  <c r="W297" i="26" s="1"/>
  <c r="M285" i="26"/>
  <c r="M297" i="26" s="1"/>
  <c r="BS15" i="33" s="1"/>
  <c r="F273" i="26"/>
  <c r="R394" i="26"/>
  <c r="R406" i="26" s="1"/>
  <c r="F71" i="26"/>
  <c r="F83" i="26" s="1"/>
  <c r="P394" i="26"/>
  <c r="P406" i="26" s="1"/>
  <c r="C394" i="26"/>
  <c r="C406" i="26" s="1"/>
  <c r="D285" i="26"/>
  <c r="D297" i="26" s="1"/>
  <c r="B273" i="26"/>
  <c r="S71" i="26"/>
  <c r="S83" i="26" s="1"/>
  <c r="AA71" i="26"/>
  <c r="AA83" i="26" s="1"/>
  <c r="I71" i="26"/>
  <c r="I83" i="26" s="1"/>
  <c r="I285" i="26"/>
  <c r="I297" i="26" s="1"/>
  <c r="L382" i="26"/>
  <c r="L394" i="26"/>
  <c r="L406" i="26" s="1"/>
  <c r="M71" i="26"/>
  <c r="M83" i="26" s="1"/>
  <c r="BI15" i="33" s="1"/>
  <c r="G177" i="26"/>
  <c r="G189" i="26" s="1"/>
  <c r="N165" i="26"/>
  <c r="V273" i="26"/>
  <c r="Z285" i="26"/>
  <c r="Z297" i="26" s="1"/>
  <c r="B177" i="26"/>
  <c r="B189" i="26" s="1"/>
  <c r="K15" i="33" s="1"/>
  <c r="K59" i="26"/>
  <c r="V165" i="26"/>
  <c r="D59" i="26"/>
  <c r="Y273" i="26"/>
  <c r="D382" i="26"/>
  <c r="O71" i="26"/>
  <c r="O83" i="26" s="1"/>
  <c r="K177" i="26"/>
  <c r="K189" i="26" s="1"/>
  <c r="F165" i="26"/>
  <c r="O382" i="26"/>
  <c r="M165" i="26"/>
  <c r="I394" i="26"/>
  <c r="I406" i="26" s="1"/>
  <c r="C273" i="26"/>
  <c r="AA382" i="26"/>
  <c r="K382" i="26"/>
  <c r="V394" i="26"/>
  <c r="V406" i="26" s="1"/>
  <c r="B285" i="26"/>
  <c r="B297" i="26" s="1"/>
  <c r="P15" i="33" s="1"/>
  <c r="Q59" i="26"/>
  <c r="Y71" i="26"/>
  <c r="Y83" i="26" s="1"/>
  <c r="S165" i="26"/>
  <c r="Z177" i="26"/>
  <c r="Z189" i="26" s="1"/>
  <c r="U273" i="26"/>
  <c r="H273" i="26"/>
  <c r="L59" i="26"/>
  <c r="J273" i="26"/>
  <c r="E394" i="26"/>
  <c r="E406" i="26" s="1"/>
  <c r="H71" i="26"/>
  <c r="H83" i="26" s="1"/>
  <c r="R71" i="26"/>
  <c r="R83" i="26" s="1"/>
  <c r="P165" i="26"/>
  <c r="P71" i="26"/>
  <c r="P83" i="26" s="1"/>
  <c r="H177" i="26"/>
  <c r="H189" i="26" s="1"/>
  <c r="S273" i="26"/>
  <c r="Q273" i="26"/>
  <c r="U394" i="26"/>
  <c r="U406" i="26" s="1"/>
  <c r="M273" i="26"/>
  <c r="I382" i="26"/>
  <c r="R382" i="26"/>
  <c r="K273" i="26"/>
  <c r="P382" i="26"/>
  <c r="G71" i="26"/>
  <c r="G83" i="26" s="1"/>
  <c r="X177" i="26"/>
  <c r="X189" i="26" s="1"/>
  <c r="G382" i="26"/>
  <c r="B394" i="26"/>
  <c r="B406" i="26" s="1"/>
  <c r="U15" i="33" s="1"/>
  <c r="O177" i="26"/>
  <c r="O189" i="26" s="1"/>
  <c r="AA165" i="26"/>
  <c r="O285" i="26"/>
  <c r="O297" i="26" s="1"/>
  <c r="M59" i="26"/>
  <c r="G165" i="26"/>
  <c r="J165" i="26"/>
  <c r="N273" i="26"/>
  <c r="T285" i="26"/>
  <c r="T297" i="26" s="1"/>
  <c r="AB273" i="26"/>
  <c r="C71" i="26"/>
  <c r="C83" i="26" s="1"/>
  <c r="AC59" i="26"/>
  <c r="AB71" i="26"/>
  <c r="AB83" i="26" s="1"/>
  <c r="K285" i="26"/>
  <c r="K297" i="26" s="1"/>
  <c r="X165" i="26"/>
  <c r="B382" i="26"/>
  <c r="I59" i="26"/>
  <c r="U177" i="26"/>
  <c r="U189" i="26" s="1"/>
  <c r="AA273" i="26"/>
  <c r="S177" i="26"/>
  <c r="S189" i="26" s="1"/>
  <c r="Z273" i="26"/>
  <c r="N285" i="26"/>
  <c r="N297" i="26" s="1"/>
  <c r="Q394" i="26"/>
  <c r="Q406" i="26" s="1"/>
  <c r="U285" i="26"/>
  <c r="U297" i="26" s="1"/>
  <c r="J394" i="26"/>
  <c r="J406" i="26" s="1"/>
  <c r="K71" i="26"/>
  <c r="K83" i="26" s="1"/>
  <c r="Q165" i="26"/>
  <c r="J71" i="26"/>
  <c r="J83" i="26" s="1"/>
  <c r="I165" i="26"/>
  <c r="X59" i="26"/>
  <c r="X71" i="26"/>
  <c r="X83" i="26" s="1"/>
  <c r="R59" i="26"/>
  <c r="P177" i="26"/>
  <c r="P189" i="26" s="1"/>
  <c r="R177" i="26"/>
  <c r="R189" i="26" s="1"/>
  <c r="H165" i="26"/>
  <c r="AC165" i="26"/>
  <c r="S285" i="26"/>
  <c r="S297" i="26" s="1"/>
  <c r="S394" i="26"/>
  <c r="S406" i="26" s="1"/>
  <c r="F382" i="26"/>
  <c r="F394" i="26"/>
  <c r="F406" i="26" s="1"/>
  <c r="F177" i="26"/>
  <c r="F189" i="26" s="1"/>
  <c r="P273" i="26"/>
  <c r="AB177" i="26"/>
  <c r="AB189" i="26" s="1"/>
  <c r="T394" i="26"/>
  <c r="T406" i="26" s="1"/>
  <c r="F59" i="26"/>
  <c r="T165" i="26"/>
  <c r="E177" i="26"/>
  <c r="E189" i="26" s="1"/>
  <c r="X382" i="26"/>
  <c r="X394" i="26"/>
  <c r="X406" i="26" s="1"/>
  <c r="X273" i="26"/>
  <c r="O165" i="26"/>
  <c r="J177" i="26"/>
  <c r="J189" i="26" s="1"/>
  <c r="E71" i="26"/>
  <c r="N71" i="26"/>
  <c r="N83" i="26" s="1"/>
  <c r="H285" i="26"/>
  <c r="H297" i="26" s="1"/>
  <c r="AB394" i="26"/>
  <c r="S59" i="26"/>
  <c r="V177" i="26"/>
  <c r="V189" i="26" s="1"/>
  <c r="L285" i="26"/>
  <c r="L297" i="26" s="1"/>
  <c r="P59" i="26"/>
  <c r="C177" i="26"/>
  <c r="C189" i="26" s="1"/>
  <c r="Y165" i="26"/>
  <c r="M382" i="26"/>
  <c r="W59" i="26"/>
  <c r="Q285" i="26"/>
  <c r="Q297" i="26" s="1"/>
  <c r="O394" i="26"/>
  <c r="O406" i="26" s="1"/>
  <c r="AB165" i="26"/>
  <c r="F285" i="26"/>
  <c r="F297" i="26" s="1"/>
  <c r="T177" i="26"/>
  <c r="T189" i="26" s="1"/>
  <c r="G273" i="26"/>
  <c r="H382" i="26"/>
  <c r="H394" i="26"/>
  <c r="H406" i="26" s="1"/>
  <c r="L177" i="26"/>
  <c r="L189" i="26" s="1"/>
  <c r="Y394" i="26"/>
  <c r="Y406" i="26" s="1"/>
  <c r="X285" i="26"/>
  <c r="X297" i="26" s="1"/>
  <c r="AA394" i="26"/>
  <c r="AA406" i="26" s="1"/>
  <c r="D273" i="26"/>
  <c r="D177" i="26"/>
  <c r="D189" i="26" s="1"/>
  <c r="D165" i="26"/>
  <c r="R165" i="26"/>
  <c r="L273" i="26"/>
  <c r="T59" i="26"/>
  <c r="AC273" i="26"/>
  <c r="Y285" i="26"/>
  <c r="Y297" i="26" s="1"/>
  <c r="D394" i="26"/>
  <c r="D406" i="26" s="1"/>
  <c r="O59" i="26"/>
  <c r="AB59" i="26"/>
  <c r="W165" i="26"/>
  <c r="K165" i="26"/>
  <c r="W273" i="26"/>
  <c r="T382" i="26"/>
  <c r="G285" i="26"/>
  <c r="G297" i="26" s="1"/>
  <c r="C285" i="26"/>
  <c r="C297" i="26" s="1"/>
  <c r="Y382" i="26"/>
  <c r="C382" i="26"/>
  <c r="K394" i="26"/>
  <c r="K406" i="26" s="1"/>
  <c r="W382" i="26"/>
  <c r="Z59" i="26"/>
  <c r="I394" i="25"/>
  <c r="I406" i="25" s="1"/>
  <c r="AA273" i="25"/>
  <c r="Y273" i="25"/>
  <c r="D71" i="25"/>
  <c r="D83" i="25" s="1"/>
  <c r="V165" i="25"/>
  <c r="AB382" i="25"/>
  <c r="AA71" i="25"/>
  <c r="AA83" i="25" s="1"/>
  <c r="J165" i="25"/>
  <c r="O165" i="25"/>
  <c r="M382" i="25"/>
  <c r="P273" i="25"/>
  <c r="P285" i="25"/>
  <c r="P297" i="25" s="1"/>
  <c r="C59" i="25"/>
  <c r="U71" i="25"/>
  <c r="U83" i="25" s="1"/>
  <c r="C273" i="25"/>
  <c r="D285" i="25"/>
  <c r="D297" i="25" s="1"/>
  <c r="D273" i="25"/>
  <c r="AC394" i="25"/>
  <c r="AC406" i="25" s="1"/>
  <c r="DZ15" i="33" s="1"/>
  <c r="N394" i="25"/>
  <c r="N406" i="25" s="1"/>
  <c r="R71" i="25"/>
  <c r="R83" i="25" s="1"/>
  <c r="Y165" i="25"/>
  <c r="S394" i="25"/>
  <c r="S406" i="25" s="1"/>
  <c r="E273" i="25"/>
  <c r="B285" i="25"/>
  <c r="B297" i="25" s="1"/>
  <c r="O15" i="33" s="1"/>
  <c r="L59" i="25"/>
  <c r="W59" i="25"/>
  <c r="R177" i="25"/>
  <c r="R189" i="25" s="1"/>
  <c r="F273" i="25"/>
  <c r="W177" i="25"/>
  <c r="W189" i="25" s="1"/>
  <c r="W165" i="25"/>
  <c r="AB394" i="25"/>
  <c r="AB406" i="25" s="1"/>
  <c r="N285" i="25"/>
  <c r="N297" i="25" s="1"/>
  <c r="AA165" i="25"/>
  <c r="AA177" i="25"/>
  <c r="AA189" i="25" s="1"/>
  <c r="K273" i="25"/>
  <c r="O177" i="25"/>
  <c r="O189" i="25" s="1"/>
  <c r="S165" i="25"/>
  <c r="L382" i="25"/>
  <c r="I59" i="25"/>
  <c r="P165" i="25"/>
  <c r="P177" i="25"/>
  <c r="P189" i="25" s="1"/>
  <c r="T177" i="25"/>
  <c r="T189" i="25" s="1"/>
  <c r="E382" i="25"/>
  <c r="U59" i="25"/>
  <c r="H273" i="25"/>
  <c r="S71" i="25"/>
  <c r="S83" i="25" s="1"/>
  <c r="C285" i="25"/>
  <c r="C297" i="25" s="1"/>
  <c r="F394" i="25"/>
  <c r="F406" i="25" s="1"/>
  <c r="O382" i="25"/>
  <c r="H71" i="25"/>
  <c r="H83" i="25" s="1"/>
  <c r="V273" i="25"/>
  <c r="T59" i="25"/>
  <c r="Q165" i="25"/>
  <c r="D394" i="25"/>
  <c r="D406" i="25" s="1"/>
  <c r="AB165" i="25"/>
  <c r="AA394" i="25"/>
  <c r="AA406" i="25" s="1"/>
  <c r="AC59" i="25"/>
  <c r="AC71" i="25"/>
  <c r="AC83" i="25" s="1"/>
  <c r="DK15" i="33" s="1"/>
  <c r="Y59" i="25"/>
  <c r="T382" i="25"/>
  <c r="M394" i="25"/>
  <c r="M406" i="25" s="1"/>
  <c r="BW15" i="33" s="1"/>
  <c r="Q71" i="25"/>
  <c r="Q83" i="25" s="1"/>
  <c r="L394" i="25"/>
  <c r="L406" i="25" s="1"/>
  <c r="M71" i="25"/>
  <c r="M83" i="25" s="1"/>
  <c r="BH15" i="33" s="1"/>
  <c r="T165" i="25"/>
  <c r="E59" i="25"/>
  <c r="C71" i="25"/>
  <c r="C83" i="25" s="1"/>
  <c r="X59" i="25"/>
  <c r="U165" i="25"/>
  <c r="H285" i="25"/>
  <c r="H297" i="25" s="1"/>
  <c r="R285" i="25"/>
  <c r="R297" i="25" s="1"/>
  <c r="I285" i="25"/>
  <c r="I297" i="25" s="1"/>
  <c r="V382" i="25"/>
  <c r="O273" i="25"/>
  <c r="Y177" i="25"/>
  <c r="Y189" i="25" s="1"/>
  <c r="R382" i="25"/>
  <c r="AB71" i="25"/>
  <c r="AB83" i="25" s="1"/>
  <c r="Z71" i="25"/>
  <c r="Z83" i="25" s="1"/>
  <c r="M285" i="25"/>
  <c r="M297" i="25" s="1"/>
  <c r="BR15" i="33" s="1"/>
  <c r="P382" i="25"/>
  <c r="V59" i="25"/>
  <c r="V71" i="25"/>
  <c r="V83" i="25" s="1"/>
  <c r="N165" i="25"/>
  <c r="U382" i="25"/>
  <c r="I177" i="25"/>
  <c r="I189" i="25" s="1"/>
  <c r="AA285" i="25"/>
  <c r="AA297" i="25" s="1"/>
  <c r="Y285" i="25"/>
  <c r="Y297" i="25" s="1"/>
  <c r="C382" i="25"/>
  <c r="D59" i="25"/>
  <c r="B71" i="25"/>
  <c r="B83" i="25" s="1"/>
  <c r="E15" i="33" s="1"/>
  <c r="Y71" i="25"/>
  <c r="Y83" i="25" s="1"/>
  <c r="J177" i="25"/>
  <c r="J189" i="25" s="1"/>
  <c r="X285" i="25"/>
  <c r="X297" i="25" s="1"/>
  <c r="B177" i="25"/>
  <c r="B189" i="25" s="1"/>
  <c r="J15" i="33" s="1"/>
  <c r="K71" i="25"/>
  <c r="K83" i="25" s="1"/>
  <c r="Z285" i="25"/>
  <c r="Z297" i="25" s="1"/>
  <c r="H165" i="25"/>
  <c r="D177" i="25"/>
  <c r="D189" i="25" s="1"/>
  <c r="S285" i="25"/>
  <c r="S297" i="25" s="1"/>
  <c r="K382" i="25"/>
  <c r="O394" i="25"/>
  <c r="O406" i="25" s="1"/>
  <c r="AC382" i="25"/>
  <c r="W273" i="25"/>
  <c r="B382" i="25"/>
  <c r="Q177" i="25"/>
  <c r="Q189" i="25" s="1"/>
  <c r="Z59" i="25"/>
  <c r="J285" i="25"/>
  <c r="J297" i="25" s="1"/>
  <c r="I382" i="25"/>
  <c r="J59" i="25"/>
  <c r="W71" i="25"/>
  <c r="W83" i="25" s="1"/>
  <c r="AB285" i="25"/>
  <c r="AB297" i="25" s="1"/>
  <c r="G394" i="25"/>
  <c r="G406" i="25" s="1"/>
  <c r="H382" i="25"/>
  <c r="F59" i="25"/>
  <c r="O59" i="25"/>
  <c r="R165" i="25"/>
  <c r="Z394" i="25"/>
  <c r="Z406" i="25" s="1"/>
  <c r="K285" i="25"/>
  <c r="K297" i="25" s="1"/>
  <c r="B165" i="25"/>
  <c r="K165" i="25"/>
  <c r="E394" i="25"/>
  <c r="E406" i="25" s="1"/>
  <c r="X71" i="25"/>
  <c r="X83" i="25" s="1"/>
  <c r="M177" i="25"/>
  <c r="M189" i="25" s="1"/>
  <c r="BM15" i="33" s="1"/>
  <c r="U285" i="25"/>
  <c r="U297" i="25" s="1"/>
  <c r="AC165" i="25"/>
  <c r="S59" i="25"/>
  <c r="X165" i="25"/>
  <c r="AC285" i="25"/>
  <c r="AC297" i="25" s="1"/>
  <c r="DU15" i="33" s="1"/>
  <c r="V394" i="25"/>
  <c r="V406" i="25" s="1"/>
  <c r="J382" i="25"/>
  <c r="AA382" i="25"/>
  <c r="Q382" i="25"/>
  <c r="R394" i="25"/>
  <c r="R406" i="25" s="1"/>
  <c r="P59" i="25"/>
  <c r="Z165" i="25"/>
  <c r="N71" i="25"/>
  <c r="N83" i="25" s="1"/>
  <c r="AB273" i="25"/>
  <c r="B59" i="25"/>
  <c r="Y394" i="25"/>
  <c r="AA59" i="25"/>
  <c r="N273" i="25"/>
  <c r="X273" i="25"/>
  <c r="T394" i="25"/>
  <c r="T406" i="25" s="1"/>
  <c r="X394" i="25"/>
  <c r="X406" i="25" s="1"/>
  <c r="I71" i="25"/>
  <c r="E71" i="25"/>
  <c r="E83" i="25" s="1"/>
  <c r="D165" i="25"/>
  <c r="U177" i="25"/>
  <c r="U189" i="25" s="1"/>
  <c r="F177" i="25"/>
  <c r="F189" i="25" s="1"/>
  <c r="T273" i="25"/>
  <c r="K394" i="25"/>
  <c r="K406" i="25" s="1"/>
  <c r="F382" i="25"/>
  <c r="L165" i="25"/>
  <c r="V285" i="25"/>
  <c r="V297" i="25" s="1"/>
  <c r="G273" i="25"/>
  <c r="AB59" i="25"/>
  <c r="M273" i="25"/>
  <c r="Z177" i="25"/>
  <c r="Z189" i="25" s="1"/>
  <c r="L71" i="25"/>
  <c r="L83" i="25" s="1"/>
  <c r="F71" i="25"/>
  <c r="F83" i="25" s="1"/>
  <c r="Z382" i="25"/>
  <c r="X382" i="25"/>
  <c r="M59" i="25"/>
  <c r="R273" i="25"/>
  <c r="X177" i="25"/>
  <c r="X189" i="25" s="1"/>
  <c r="T285" i="25"/>
  <c r="T297" i="25" s="1"/>
  <c r="W285" i="25"/>
  <c r="W297" i="25" s="1"/>
  <c r="B394" i="25"/>
  <c r="B406" i="25" s="1"/>
  <c r="T15" i="33" s="1"/>
  <c r="R59" i="25"/>
  <c r="O285" i="25"/>
  <c r="O297" i="25" s="1"/>
  <c r="J394" i="25"/>
  <c r="J406" i="25" s="1"/>
  <c r="AB177" i="25"/>
  <c r="AB189" i="25" s="1"/>
  <c r="P71" i="25"/>
  <c r="E165" i="25"/>
  <c r="W382" i="25"/>
  <c r="S382" i="25"/>
  <c r="B273" i="25"/>
  <c r="N177" i="25"/>
  <c r="N189" i="25" s="1"/>
  <c r="U394" i="25"/>
  <c r="U406" i="25" s="1"/>
  <c r="N59" i="25"/>
  <c r="J71" i="25"/>
  <c r="C394" i="25"/>
  <c r="C406" i="25" s="1"/>
  <c r="H394" i="25"/>
  <c r="H406" i="25" s="1"/>
  <c r="O71" i="25"/>
  <c r="O83" i="25" s="1"/>
  <c r="V177" i="25"/>
  <c r="V189" i="25" s="1"/>
  <c r="Q273" i="25"/>
  <c r="Q59" i="25"/>
  <c r="G177" i="25"/>
  <c r="G189" i="25" s="1"/>
  <c r="C165" i="25"/>
  <c r="K59" i="25"/>
  <c r="M165" i="25"/>
  <c r="H177" i="25"/>
  <c r="H189" i="25" s="1"/>
  <c r="U273" i="25"/>
  <c r="AC177" i="25"/>
  <c r="AC189" i="25" s="1"/>
  <c r="DP15" i="33" s="1"/>
  <c r="S273" i="25"/>
  <c r="F165" i="25"/>
  <c r="I273" i="25"/>
  <c r="AC273" i="25"/>
  <c r="L285" i="25"/>
  <c r="L297" i="25" s="1"/>
  <c r="L273" i="25"/>
  <c r="N382" i="25"/>
  <c r="H59" i="25"/>
  <c r="L177" i="25"/>
  <c r="L189" i="25" s="1"/>
  <c r="T71" i="25"/>
  <c r="T83" i="25" s="1"/>
  <c r="D382" i="25"/>
  <c r="G285" i="25"/>
  <c r="G297" i="25" s="1"/>
  <c r="Q394" i="25"/>
  <c r="Q406" i="25" s="1"/>
  <c r="D382" i="24"/>
  <c r="D59" i="24"/>
  <c r="E59" i="24"/>
  <c r="Q285" i="24"/>
  <c r="Q297" i="24" s="1"/>
  <c r="Z177" i="24"/>
  <c r="Z189" i="24" s="1"/>
  <c r="I394" i="24"/>
  <c r="I406" i="24" s="1"/>
  <c r="N382" i="24"/>
  <c r="S71" i="24"/>
  <c r="S83" i="24" s="1"/>
  <c r="AB394" i="24"/>
  <c r="AB406" i="24" s="1"/>
  <c r="P382" i="24"/>
  <c r="L59" i="24"/>
  <c r="B165" i="24"/>
  <c r="J382" i="24"/>
  <c r="G382" i="24"/>
  <c r="F382" i="24"/>
  <c r="M177" i="24"/>
  <c r="M189" i="24" s="1"/>
  <c r="BL15" i="33" s="1"/>
  <c r="W71" i="24"/>
  <c r="W83" i="24" s="1"/>
  <c r="Y71" i="24"/>
  <c r="Y83" i="24" s="1"/>
  <c r="U394" i="24"/>
  <c r="U406" i="24" s="1"/>
  <c r="M394" i="24"/>
  <c r="M406" i="24" s="1"/>
  <c r="BV15" i="33" s="1"/>
  <c r="K165" i="24"/>
  <c r="L382" i="24"/>
  <c r="X71" i="24"/>
  <c r="X83" i="24" s="1"/>
  <c r="Z382" i="24"/>
  <c r="AA71" i="24"/>
  <c r="AA83" i="24" s="1"/>
  <c r="R285" i="24"/>
  <c r="R297" i="24" s="1"/>
  <c r="W394" i="24"/>
  <c r="W406" i="24" s="1"/>
  <c r="B71" i="24"/>
  <c r="B83" i="24" s="1"/>
  <c r="D15" i="33" s="1"/>
  <c r="Q273" i="24"/>
  <c r="T71" i="24"/>
  <c r="T83" i="24" s="1"/>
  <c r="Z165" i="24"/>
  <c r="I382" i="24"/>
  <c r="N394" i="24"/>
  <c r="N406" i="24" s="1"/>
  <c r="O165" i="24"/>
  <c r="O71" i="24"/>
  <c r="O83" i="24" s="1"/>
  <c r="AC71" i="24"/>
  <c r="AC83" i="24" s="1"/>
  <c r="DJ15" i="33" s="1"/>
  <c r="B273" i="24"/>
  <c r="B285" i="24"/>
  <c r="B297" i="24" s="1"/>
  <c r="N15" i="33" s="1"/>
  <c r="P394" i="24"/>
  <c r="P406" i="24" s="1"/>
  <c r="Y165" i="24"/>
  <c r="R71" i="24"/>
  <c r="R83" i="24" s="1"/>
  <c r="K59" i="24"/>
  <c r="F59" i="24"/>
  <c r="C177" i="24"/>
  <c r="C189" i="24" s="1"/>
  <c r="J285" i="24"/>
  <c r="J297" i="24" s="1"/>
  <c r="Z285" i="24"/>
  <c r="Z297" i="24" s="1"/>
  <c r="T177" i="24"/>
  <c r="T189" i="24" s="1"/>
  <c r="AA394" i="24"/>
  <c r="AA406" i="24" s="1"/>
  <c r="S285" i="24"/>
  <c r="S297" i="24" s="1"/>
  <c r="V177" i="24"/>
  <c r="V189" i="24" s="1"/>
  <c r="D71" i="24"/>
  <c r="D83" i="24" s="1"/>
  <c r="M273" i="24"/>
  <c r="W165" i="24"/>
  <c r="L177" i="24"/>
  <c r="L189" i="24" s="1"/>
  <c r="H59" i="24"/>
  <c r="R165" i="24"/>
  <c r="E177" i="24"/>
  <c r="E189" i="24" s="1"/>
  <c r="B394" i="24"/>
  <c r="B406" i="24" s="1"/>
  <c r="S15" i="33" s="1"/>
  <c r="Z71" i="24"/>
  <c r="Z83" i="24" s="1"/>
  <c r="V71" i="24"/>
  <c r="V83" i="24" s="1"/>
  <c r="J273" i="24"/>
  <c r="T382" i="24"/>
  <c r="M165" i="24"/>
  <c r="T165" i="24"/>
  <c r="U382" i="24"/>
  <c r="O382" i="24"/>
  <c r="U59" i="24"/>
  <c r="AA165" i="24"/>
  <c r="AA285" i="24"/>
  <c r="AA297" i="24" s="1"/>
  <c r="AC394" i="24"/>
  <c r="AC406" i="24" s="1"/>
  <c r="DY15" i="33" s="1"/>
  <c r="P71" i="24"/>
  <c r="P83" i="24" s="1"/>
  <c r="V285" i="24"/>
  <c r="V297" i="24" s="1"/>
  <c r="N285" i="24"/>
  <c r="N297" i="24" s="1"/>
  <c r="M285" i="24"/>
  <c r="M297" i="24" s="1"/>
  <c r="BQ15" i="33" s="1"/>
  <c r="S382" i="24"/>
  <c r="C382" i="24"/>
  <c r="J59" i="24"/>
  <c r="X273" i="24"/>
  <c r="AC273" i="24"/>
  <c r="AC285" i="24"/>
  <c r="AC297" i="24" s="1"/>
  <c r="DT15" i="33" s="1"/>
  <c r="H71" i="24"/>
  <c r="H83" i="24" s="1"/>
  <c r="L273" i="24"/>
  <c r="X382" i="24"/>
  <c r="X394" i="24"/>
  <c r="X406" i="24" s="1"/>
  <c r="S165" i="24"/>
  <c r="C59" i="24"/>
  <c r="W273" i="24"/>
  <c r="N71" i="24"/>
  <c r="N83" i="24" s="1"/>
  <c r="I165" i="24"/>
  <c r="AB71" i="24"/>
  <c r="AB83" i="24" s="1"/>
  <c r="K285" i="24"/>
  <c r="K297" i="24" s="1"/>
  <c r="T394" i="24"/>
  <c r="T406" i="24" s="1"/>
  <c r="I59" i="24"/>
  <c r="AC177" i="24"/>
  <c r="AC189" i="24" s="1"/>
  <c r="DO15" i="33" s="1"/>
  <c r="F285" i="24"/>
  <c r="F297" i="24" s="1"/>
  <c r="Q394" i="24"/>
  <c r="Q406" i="24" s="1"/>
  <c r="G165" i="24"/>
  <c r="H285" i="24"/>
  <c r="H297" i="24" s="1"/>
  <c r="H273" i="24"/>
  <c r="K177" i="24"/>
  <c r="K189" i="24" s="1"/>
  <c r="D273" i="24"/>
  <c r="R273" i="24"/>
  <c r="M59" i="24"/>
  <c r="K71" i="24"/>
  <c r="K83" i="24" s="1"/>
  <c r="B177" i="24"/>
  <c r="B189" i="24" s="1"/>
  <c r="I15" i="33" s="1"/>
  <c r="J394" i="24"/>
  <c r="J406" i="24" s="1"/>
  <c r="V59" i="24"/>
  <c r="K273" i="24"/>
  <c r="G394" i="24"/>
  <c r="G406" i="24" s="1"/>
  <c r="AB177" i="24"/>
  <c r="AB189" i="24" s="1"/>
  <c r="T285" i="24"/>
  <c r="T297" i="24" s="1"/>
  <c r="P165" i="24"/>
  <c r="Y273" i="24"/>
  <c r="D165" i="24"/>
  <c r="U71" i="24"/>
  <c r="U83" i="24" s="1"/>
  <c r="AA177" i="24"/>
  <c r="AA189" i="24" s="1"/>
  <c r="V273" i="24"/>
  <c r="R394" i="24"/>
  <c r="I273" i="24"/>
  <c r="S394" i="24"/>
  <c r="C394" i="24"/>
  <c r="W382" i="24"/>
  <c r="J71" i="24"/>
  <c r="J83" i="24" s="1"/>
  <c r="C273" i="24"/>
  <c r="U273" i="24"/>
  <c r="X285" i="24"/>
  <c r="X297" i="24" s="1"/>
  <c r="E165" i="24"/>
  <c r="O177" i="24"/>
  <c r="O189" i="24" s="1"/>
  <c r="O59" i="24"/>
  <c r="S59" i="24"/>
  <c r="S177" i="24"/>
  <c r="S189" i="24" s="1"/>
  <c r="E394" i="24"/>
  <c r="E406" i="24" s="1"/>
  <c r="V394" i="24"/>
  <c r="V406" i="24" s="1"/>
  <c r="L71" i="24"/>
  <c r="L83" i="24" s="1"/>
  <c r="C71" i="24"/>
  <c r="C83" i="24" s="1"/>
  <c r="Y177" i="24"/>
  <c r="Y189" i="24" s="1"/>
  <c r="H382" i="24"/>
  <c r="N59" i="24"/>
  <c r="I177" i="24"/>
  <c r="I189" i="24" s="1"/>
  <c r="F177" i="24"/>
  <c r="F189" i="24" s="1"/>
  <c r="AB165" i="24"/>
  <c r="I71" i="24"/>
  <c r="I83" i="24" s="1"/>
  <c r="P285" i="24"/>
  <c r="P297" i="24" s="1"/>
  <c r="AA273" i="24"/>
  <c r="K382" i="24"/>
  <c r="H177" i="24"/>
  <c r="H189" i="24" s="1"/>
  <c r="E273" i="24"/>
  <c r="E285" i="24"/>
  <c r="E297" i="24" s="1"/>
  <c r="AA59" i="24"/>
  <c r="N273" i="24"/>
  <c r="B59" i="24"/>
  <c r="Q71" i="24"/>
  <c r="Q83" i="24" s="1"/>
  <c r="T59" i="24"/>
  <c r="L165" i="24"/>
  <c r="B382" i="24"/>
  <c r="G59" i="24"/>
  <c r="AC59" i="24"/>
  <c r="J177" i="24"/>
  <c r="J189" i="24" s="1"/>
  <c r="AB382" i="24"/>
  <c r="V382" i="24"/>
  <c r="Z59" i="24"/>
  <c r="R59" i="24"/>
  <c r="H394" i="24"/>
  <c r="H406" i="24" s="1"/>
  <c r="F71" i="24"/>
  <c r="F83" i="24" s="1"/>
  <c r="AB59" i="24"/>
  <c r="U165" i="24"/>
  <c r="U177" i="24"/>
  <c r="U189" i="24" s="1"/>
  <c r="T273" i="24"/>
  <c r="P177" i="24"/>
  <c r="P189" i="24" s="1"/>
  <c r="D177" i="24"/>
  <c r="D189" i="24" s="1"/>
  <c r="P273" i="24"/>
  <c r="G177" i="24"/>
  <c r="G189" i="24" s="1"/>
  <c r="S273" i="24"/>
  <c r="M382" i="24"/>
  <c r="L394" i="24"/>
  <c r="L406" i="24" s="1"/>
  <c r="P59" i="24"/>
  <c r="D394" i="24"/>
  <c r="D406" i="24" s="1"/>
  <c r="R382" i="24"/>
  <c r="W177" i="24"/>
  <c r="W189" i="24" s="1"/>
  <c r="G71" i="24"/>
  <c r="G83" i="24" s="1"/>
  <c r="E382" i="24"/>
  <c r="W285" i="24"/>
  <c r="W297" i="24" s="1"/>
  <c r="X177" i="24"/>
  <c r="X189" i="24" s="1"/>
  <c r="X165" i="24"/>
  <c r="F394" i="24"/>
  <c r="F406" i="24" s="1"/>
  <c r="C165" i="24"/>
  <c r="O273" i="24"/>
  <c r="F165" i="24"/>
  <c r="Z273" i="24"/>
  <c r="AA382" i="24"/>
  <c r="AC165" i="24"/>
  <c r="W59" i="24"/>
  <c r="F273" i="24"/>
  <c r="Y285" i="24"/>
  <c r="Y297" i="24" s="1"/>
  <c r="Y59" i="24"/>
  <c r="O394" i="24"/>
  <c r="O406" i="24" s="1"/>
  <c r="Q382" i="24"/>
  <c r="AC382" i="24"/>
  <c r="K394" i="24"/>
  <c r="K406" i="24" s="1"/>
  <c r="H165" i="24"/>
  <c r="D285" i="24"/>
  <c r="D297" i="24" s="1"/>
  <c r="B46" i="22"/>
  <c r="B45" i="19"/>
  <c r="B46" i="20"/>
  <c r="B369" i="19"/>
  <c r="O368" i="21"/>
  <c r="T260" i="21"/>
  <c r="F45" i="21"/>
  <c r="W151" i="21"/>
  <c r="W259" i="20"/>
  <c r="L368" i="21"/>
  <c r="K260" i="23"/>
  <c r="T474" i="21"/>
  <c r="V45" i="21"/>
  <c r="T151" i="21"/>
  <c r="W368" i="20"/>
  <c r="W474" i="20"/>
  <c r="W369" i="20"/>
  <c r="W260" i="20"/>
  <c r="W151" i="20"/>
  <c r="W152" i="20"/>
  <c r="W46" i="20"/>
  <c r="X260" i="19"/>
  <c r="N473" i="20"/>
  <c r="K151" i="20"/>
  <c r="W45" i="20"/>
  <c r="R368" i="21"/>
  <c r="K152" i="20"/>
  <c r="AA46" i="19"/>
  <c r="R369" i="21"/>
  <c r="Z151" i="22"/>
  <c r="N368" i="21"/>
  <c r="F46" i="19"/>
  <c r="T281" i="19"/>
  <c r="AC172" i="21"/>
  <c r="R474" i="21"/>
  <c r="M369" i="21"/>
  <c r="I474" i="21"/>
  <c r="V473" i="22"/>
  <c r="G270" i="19"/>
  <c r="Q260" i="19"/>
  <c r="P151" i="21"/>
  <c r="K369" i="20"/>
  <c r="K368" i="20"/>
  <c r="O368" i="20"/>
  <c r="K473" i="20"/>
  <c r="K259" i="20"/>
  <c r="G45" i="19"/>
  <c r="N474" i="20"/>
  <c r="K474" i="20"/>
  <c r="K260" i="20"/>
  <c r="Z473" i="19"/>
  <c r="Y474" i="19"/>
  <c r="O473" i="20"/>
  <c r="B260" i="21"/>
  <c r="Q369" i="19"/>
  <c r="Q152" i="19"/>
  <c r="W368" i="22"/>
  <c r="T473" i="20"/>
  <c r="M474" i="21"/>
  <c r="M473" i="21"/>
  <c r="I260" i="21"/>
  <c r="U151" i="23"/>
  <c r="U473" i="23"/>
  <c r="P369" i="22"/>
  <c r="S368" i="20"/>
  <c r="U474" i="19"/>
  <c r="O259" i="22"/>
  <c r="I152" i="23"/>
  <c r="U368" i="23"/>
  <c r="M260" i="21"/>
  <c r="AA46" i="23"/>
  <c r="I152" i="21"/>
  <c r="M151" i="21"/>
  <c r="M152" i="21"/>
  <c r="P368" i="22"/>
  <c r="I151" i="21"/>
  <c r="X484" i="22"/>
  <c r="U259" i="21"/>
  <c r="C473" i="22"/>
  <c r="G473" i="22"/>
  <c r="K151" i="23"/>
  <c r="C259" i="22"/>
  <c r="K474" i="23"/>
  <c r="U368" i="21"/>
  <c r="C474" i="22"/>
  <c r="C151" i="22"/>
  <c r="K152" i="23"/>
  <c r="R473" i="21"/>
  <c r="U369" i="21"/>
  <c r="G260" i="22"/>
  <c r="K369" i="23"/>
  <c r="K259" i="23"/>
  <c r="AB474" i="20"/>
  <c r="E369" i="21"/>
  <c r="U259" i="23"/>
  <c r="AA259" i="19"/>
  <c r="U260" i="23"/>
  <c r="X368" i="23"/>
  <c r="U369" i="23"/>
  <c r="U152" i="23"/>
  <c r="AA369" i="22"/>
  <c r="T152" i="19"/>
  <c r="Q369" i="22"/>
  <c r="Q368" i="22"/>
  <c r="T474" i="22"/>
  <c r="T473" i="19"/>
  <c r="H473" i="20"/>
  <c r="C368" i="20"/>
  <c r="B45" i="22"/>
  <c r="O369" i="19"/>
  <c r="C473" i="20"/>
  <c r="Y46" i="21"/>
  <c r="T473" i="22"/>
  <c r="P260" i="22"/>
  <c r="T368" i="21"/>
  <c r="H369" i="20"/>
  <c r="H368" i="20"/>
  <c r="T151" i="22"/>
  <c r="O473" i="19"/>
  <c r="C474" i="20"/>
  <c r="L68" i="20"/>
  <c r="AA473" i="22"/>
  <c r="V369" i="22"/>
  <c r="AA259" i="22"/>
  <c r="V260" i="22"/>
  <c r="AA151" i="22"/>
  <c r="X45" i="22"/>
  <c r="U474" i="23"/>
  <c r="AB45" i="20"/>
  <c r="S45" i="20"/>
  <c r="AA474" i="22"/>
  <c r="V368" i="22"/>
  <c r="D151" i="19"/>
  <c r="V474" i="22"/>
  <c r="V259" i="22"/>
  <c r="Y473" i="19"/>
  <c r="Y259" i="21"/>
  <c r="O46" i="21"/>
  <c r="Z494" i="21"/>
  <c r="V152" i="22"/>
  <c r="AA152" i="22"/>
  <c r="AA368" i="22"/>
  <c r="AA260" i="22"/>
  <c r="V260" i="23"/>
  <c r="N152" i="19"/>
  <c r="S369" i="20"/>
  <c r="F151" i="20"/>
  <c r="S151" i="20"/>
  <c r="K259" i="22"/>
  <c r="X260" i="22"/>
  <c r="N259" i="19"/>
  <c r="S259" i="20"/>
  <c r="V45" i="22"/>
  <c r="AB259" i="23"/>
  <c r="S260" i="20"/>
  <c r="X473" i="22"/>
  <c r="K260" i="22"/>
  <c r="N45" i="22"/>
  <c r="S473" i="20"/>
  <c r="S46" i="20"/>
  <c r="L473" i="21"/>
  <c r="F473" i="20"/>
  <c r="F46" i="20"/>
  <c r="X369" i="22"/>
  <c r="K368" i="22"/>
  <c r="K151" i="22"/>
  <c r="X152" i="22"/>
  <c r="C159" i="22"/>
  <c r="S474" i="20"/>
  <c r="K403" i="20"/>
  <c r="X474" i="22"/>
  <c r="T260" i="23"/>
  <c r="Y368" i="23"/>
  <c r="AA369" i="19"/>
  <c r="W151" i="19"/>
  <c r="Y474" i="21"/>
  <c r="B390" i="21"/>
  <c r="Y473" i="21"/>
  <c r="Y368" i="21"/>
  <c r="X474" i="19"/>
  <c r="Y260" i="21"/>
  <c r="Y151" i="21"/>
  <c r="AA474" i="19"/>
  <c r="AA152" i="19"/>
  <c r="Y152" i="21"/>
  <c r="U151" i="21"/>
  <c r="Y369" i="21"/>
  <c r="AA151" i="19"/>
  <c r="AA473" i="19"/>
  <c r="AA368" i="19"/>
  <c r="AA260" i="19"/>
  <c r="S151" i="19"/>
  <c r="AB473" i="20"/>
  <c r="N368" i="19"/>
  <c r="Q151" i="19"/>
  <c r="AB53" i="19"/>
  <c r="AB152" i="20"/>
  <c r="I369" i="22"/>
  <c r="I368" i="22"/>
  <c r="AB259" i="20"/>
  <c r="AB46" i="20"/>
  <c r="Q474" i="19"/>
  <c r="AB260" i="20"/>
  <c r="I474" i="22"/>
  <c r="D151" i="22"/>
  <c r="Q368" i="19"/>
  <c r="F368" i="19"/>
  <c r="N369" i="19"/>
  <c r="N260" i="19"/>
  <c r="O282" i="19"/>
  <c r="N473" i="19"/>
  <c r="Q259" i="19"/>
  <c r="Q473" i="19"/>
  <c r="N474" i="19"/>
  <c r="AB151" i="20"/>
  <c r="D369" i="22"/>
  <c r="Z174" i="23"/>
  <c r="X368" i="22"/>
  <c r="G151" i="21"/>
  <c r="D368" i="21"/>
  <c r="D369" i="21"/>
  <c r="D474" i="21"/>
  <c r="M45" i="22"/>
  <c r="M369" i="22"/>
  <c r="M152" i="22"/>
  <c r="M473" i="22"/>
  <c r="G46" i="21"/>
  <c r="G474" i="21"/>
  <c r="I369" i="19"/>
  <c r="E56" i="19"/>
  <c r="J45" i="20"/>
  <c r="M46" i="20"/>
  <c r="G473" i="21"/>
  <c r="H368" i="21"/>
  <c r="M474" i="22"/>
  <c r="E368" i="22"/>
  <c r="Z368" i="22"/>
  <c r="M259" i="22"/>
  <c r="L56" i="20"/>
  <c r="G369" i="21"/>
  <c r="AC151" i="21"/>
  <c r="M151" i="22"/>
  <c r="H474" i="23"/>
  <c r="I473" i="19"/>
  <c r="G260" i="21"/>
  <c r="M474" i="23"/>
  <c r="X56" i="20"/>
  <c r="D473" i="21"/>
  <c r="H152" i="21"/>
  <c r="C369" i="20"/>
  <c r="G368" i="21"/>
  <c r="S474" i="22"/>
  <c r="H369" i="23"/>
  <c r="H474" i="21"/>
  <c r="AC390" i="21"/>
  <c r="T259" i="23"/>
  <c r="F369" i="22"/>
  <c r="M260" i="22"/>
  <c r="N151" i="19"/>
  <c r="S152" i="20"/>
  <c r="M46" i="22"/>
  <c r="P270" i="19"/>
  <c r="AC152" i="23"/>
  <c r="AC473" i="23"/>
  <c r="J45" i="22"/>
  <c r="J46" i="22"/>
  <c r="Z390" i="19"/>
  <c r="F259" i="21"/>
  <c r="J368" i="22"/>
  <c r="J259" i="22"/>
  <c r="AC368" i="23"/>
  <c r="AA260" i="23"/>
  <c r="P259" i="21"/>
  <c r="P152" i="21"/>
  <c r="AC369" i="23"/>
  <c r="X260" i="23"/>
  <c r="X151" i="23"/>
  <c r="J45" i="19"/>
  <c r="W474" i="21"/>
  <c r="P473" i="21"/>
  <c r="W369" i="21"/>
  <c r="F260" i="21"/>
  <c r="J260" i="22"/>
  <c r="AC151" i="23"/>
  <c r="J473" i="22"/>
  <c r="J474" i="22"/>
  <c r="X473" i="23"/>
  <c r="M46" i="19"/>
  <c r="K369" i="21"/>
  <c r="K259" i="21"/>
  <c r="W259" i="21"/>
  <c r="L260" i="22"/>
  <c r="J152" i="22"/>
  <c r="W473" i="21"/>
  <c r="F369" i="21"/>
  <c r="W368" i="21"/>
  <c r="F151" i="21"/>
  <c r="X369" i="23"/>
  <c r="X259" i="23"/>
  <c r="P45" i="19"/>
  <c r="P474" i="21"/>
  <c r="W260" i="21"/>
  <c r="J369" i="22"/>
  <c r="X474" i="23"/>
  <c r="K368" i="23"/>
  <c r="J152" i="19"/>
  <c r="F474" i="21"/>
  <c r="F473" i="21"/>
  <c r="P368" i="21"/>
  <c r="F368" i="21"/>
  <c r="F152" i="21"/>
  <c r="J151" i="22"/>
  <c r="O473" i="23"/>
  <c r="X152" i="23"/>
  <c r="J474" i="20"/>
  <c r="J473" i="20"/>
  <c r="J369" i="20"/>
  <c r="V151" i="20"/>
  <c r="N474" i="22"/>
  <c r="AA368" i="23"/>
  <c r="AA368" i="20"/>
  <c r="G368" i="20"/>
  <c r="H151" i="22"/>
  <c r="AA369" i="23"/>
  <c r="AA152" i="23"/>
  <c r="I368" i="20"/>
  <c r="H369" i="22"/>
  <c r="N369" i="22"/>
  <c r="AA151" i="23"/>
  <c r="AA474" i="21"/>
  <c r="V474" i="21"/>
  <c r="AA474" i="23"/>
  <c r="J368" i="20"/>
  <c r="V473" i="21"/>
  <c r="V151" i="21"/>
  <c r="X496" i="22"/>
  <c r="N368" i="22"/>
  <c r="N259" i="22"/>
  <c r="N152" i="22"/>
  <c r="T474" i="23"/>
  <c r="C260" i="23"/>
  <c r="AA259" i="23"/>
  <c r="N260" i="22"/>
  <c r="N151" i="22"/>
  <c r="T369" i="23"/>
  <c r="R45" i="20"/>
  <c r="V369" i="21"/>
  <c r="N473" i="22"/>
  <c r="S152" i="23"/>
  <c r="V46" i="22"/>
  <c r="M259" i="21"/>
  <c r="X508" i="22"/>
  <c r="M368" i="21"/>
  <c r="E45" i="22"/>
  <c r="E473" i="22"/>
  <c r="W474" i="22"/>
  <c r="K391" i="20"/>
  <c r="K379" i="20"/>
  <c r="Y260" i="23"/>
  <c r="AB46" i="21"/>
  <c r="AB259" i="21"/>
  <c r="AB369" i="21"/>
  <c r="O151" i="21"/>
  <c r="O45" i="21"/>
  <c r="S473" i="23"/>
  <c r="S474" i="23"/>
  <c r="F45" i="22"/>
  <c r="F368" i="22"/>
  <c r="F259" i="22"/>
  <c r="F473" i="22"/>
  <c r="Z260" i="22"/>
  <c r="Z473" i="22"/>
  <c r="Z369" i="22"/>
  <c r="AB368" i="21"/>
  <c r="M474" i="20"/>
  <c r="L259" i="21"/>
  <c r="O260" i="21"/>
  <c r="O152" i="21"/>
  <c r="E474" i="22"/>
  <c r="Z259" i="22"/>
  <c r="E260" i="22"/>
  <c r="E151" i="22"/>
  <c r="B152" i="22"/>
  <c r="AB152" i="21"/>
  <c r="D46" i="21"/>
  <c r="B259" i="22"/>
  <c r="F260" i="22"/>
  <c r="W294" i="20"/>
  <c r="M152" i="20"/>
  <c r="E473" i="21"/>
  <c r="N369" i="21"/>
  <c r="F474" i="22"/>
  <c r="P389" i="22"/>
  <c r="F151" i="22"/>
  <c r="Z152" i="22"/>
  <c r="L45" i="23"/>
  <c r="D56" i="20"/>
  <c r="AB474" i="21"/>
  <c r="O474" i="21"/>
  <c r="L474" i="21"/>
  <c r="L369" i="21"/>
  <c r="B259" i="21"/>
  <c r="AB151" i="21"/>
  <c r="Z474" i="22"/>
  <c r="W151" i="22"/>
  <c r="F152" i="22"/>
  <c r="S151" i="23"/>
  <c r="M152" i="23"/>
  <c r="M473" i="20"/>
  <c r="B260" i="20"/>
  <c r="N473" i="21"/>
  <c r="L151" i="21"/>
  <c r="H151" i="21"/>
  <c r="W473" i="22"/>
  <c r="W369" i="22"/>
  <c r="E259" i="22"/>
  <c r="AB151" i="22"/>
  <c r="S260" i="23"/>
  <c r="G474" i="20"/>
  <c r="G473" i="20"/>
  <c r="AB473" i="21"/>
  <c r="O369" i="21"/>
  <c r="AB260" i="21"/>
  <c r="U172" i="21"/>
  <c r="E369" i="22"/>
  <c r="G270" i="22"/>
  <c r="P473" i="20"/>
  <c r="N474" i="21"/>
  <c r="O473" i="21"/>
  <c r="O259" i="21"/>
  <c r="N260" i="21"/>
  <c r="D45" i="21"/>
  <c r="W259" i="22"/>
  <c r="S259" i="23"/>
  <c r="E46" i="22"/>
  <c r="P369" i="21"/>
  <c r="T46" i="23"/>
  <c r="AA46" i="22"/>
  <c r="L46" i="21"/>
  <c r="N46" i="21"/>
  <c r="M46" i="21"/>
  <c r="F473" i="19"/>
  <c r="F474" i="19"/>
  <c r="P368" i="19"/>
  <c r="P369" i="19"/>
  <c r="F152" i="19"/>
  <c r="F259" i="19"/>
  <c r="AB259" i="19"/>
  <c r="P474" i="19"/>
  <c r="J368" i="23"/>
  <c r="P473" i="19"/>
  <c r="S369" i="23"/>
  <c r="E46" i="23"/>
  <c r="E259" i="23"/>
  <c r="E473" i="23"/>
  <c r="E45" i="23"/>
  <c r="E474" i="23"/>
  <c r="D45" i="23"/>
  <c r="D473" i="23"/>
  <c r="V369" i="19"/>
  <c r="V368" i="19"/>
  <c r="E152" i="23"/>
  <c r="E151" i="23"/>
  <c r="V260" i="19"/>
  <c r="G66" i="19"/>
  <c r="Z260" i="20"/>
  <c r="L260" i="21"/>
  <c r="B474" i="22"/>
  <c r="B369" i="22"/>
  <c r="D369" i="23"/>
  <c r="Y151" i="23"/>
  <c r="Y152" i="23"/>
  <c r="R473" i="19"/>
  <c r="O368" i="22"/>
  <c r="B260" i="22"/>
  <c r="E260" i="23"/>
  <c r="K46" i="20"/>
  <c r="Y474" i="23"/>
  <c r="P56" i="20"/>
  <c r="B368" i="22"/>
  <c r="Y473" i="23"/>
  <c r="D259" i="23"/>
  <c r="V474" i="19"/>
  <c r="V473" i="19"/>
  <c r="R481" i="19"/>
  <c r="W45" i="21"/>
  <c r="D474" i="23"/>
  <c r="N474" i="23"/>
  <c r="E369" i="23"/>
  <c r="Y369" i="23"/>
  <c r="E368" i="23"/>
  <c r="Y259" i="23"/>
  <c r="L152" i="21"/>
  <c r="B473" i="22"/>
  <c r="B151" i="22"/>
  <c r="C183" i="22"/>
  <c r="Q368" i="23"/>
  <c r="J368" i="21"/>
  <c r="Q473" i="23"/>
  <c r="Q260" i="23"/>
  <c r="S45" i="23"/>
  <c r="D46" i="23"/>
  <c r="K152" i="19"/>
  <c r="K259" i="19"/>
  <c r="K369" i="19"/>
  <c r="C45" i="23"/>
  <c r="C151" i="23"/>
  <c r="C473" i="23"/>
  <c r="S152" i="21"/>
  <c r="B259" i="19"/>
  <c r="B473" i="19"/>
  <c r="S45" i="21"/>
  <c r="S368" i="21"/>
  <c r="S369" i="21"/>
  <c r="K473" i="19"/>
  <c r="P260" i="19"/>
  <c r="C260" i="20"/>
  <c r="C46" i="20"/>
  <c r="K496" i="22"/>
  <c r="X151" i="22"/>
  <c r="C369" i="23"/>
  <c r="D152" i="23"/>
  <c r="B368" i="19"/>
  <c r="K260" i="19"/>
  <c r="S474" i="21"/>
  <c r="S473" i="21"/>
  <c r="S151" i="21"/>
  <c r="S260" i="21"/>
  <c r="C474" i="23"/>
  <c r="N45" i="19"/>
  <c r="J259" i="20"/>
  <c r="C259" i="20"/>
  <c r="X473" i="21"/>
  <c r="S259" i="21"/>
  <c r="X46" i="22"/>
  <c r="B260" i="19"/>
  <c r="F260" i="19"/>
  <c r="K151" i="19"/>
  <c r="R473" i="20"/>
  <c r="R368" i="20"/>
  <c r="V368" i="21"/>
  <c r="AA259" i="21"/>
  <c r="N259" i="21"/>
  <c r="G259" i="21"/>
  <c r="W152" i="21"/>
  <c r="D260" i="21"/>
  <c r="W46" i="21"/>
  <c r="X259" i="22"/>
  <c r="T152" i="23"/>
  <c r="AA45" i="23"/>
  <c r="B474" i="19"/>
  <c r="B151" i="19"/>
  <c r="V45" i="19"/>
  <c r="J260" i="20"/>
  <c r="G152" i="21"/>
  <c r="V260" i="21"/>
  <c r="D152" i="21"/>
  <c r="N152" i="21"/>
  <c r="C259" i="23"/>
  <c r="K474" i="19"/>
  <c r="K368" i="19"/>
  <c r="M369" i="20"/>
  <c r="R260" i="20"/>
  <c r="X474" i="21"/>
  <c r="D260" i="23"/>
  <c r="C369" i="19"/>
  <c r="F369" i="19"/>
  <c r="F151" i="19"/>
  <c r="M368" i="20"/>
  <c r="C152" i="20"/>
  <c r="C151" i="20"/>
  <c r="D259" i="21"/>
  <c r="N151" i="21"/>
  <c r="D151" i="21"/>
  <c r="T151" i="23"/>
  <c r="L474" i="19"/>
  <c r="L260" i="19"/>
  <c r="D45" i="22"/>
  <c r="L152" i="19"/>
  <c r="H46" i="22"/>
  <c r="S46" i="21"/>
  <c r="F46" i="21"/>
  <c r="Y46" i="23"/>
  <c r="B46" i="23"/>
  <c r="B369" i="23"/>
  <c r="B151" i="23"/>
  <c r="B259" i="23"/>
  <c r="B260" i="23"/>
  <c r="B368" i="23"/>
  <c r="B473" i="23"/>
  <c r="X473" i="20"/>
  <c r="X152" i="20"/>
  <c r="R491" i="19"/>
  <c r="S369" i="19"/>
  <c r="S152" i="19"/>
  <c r="X474" i="20"/>
  <c r="X45" i="20"/>
  <c r="B152" i="23"/>
  <c r="AC260" i="23"/>
  <c r="S474" i="19"/>
  <c r="X369" i="20"/>
  <c r="AB368" i="20"/>
  <c r="D151" i="23"/>
  <c r="C368" i="23"/>
  <c r="AA473" i="23"/>
  <c r="C152" i="23"/>
  <c r="S368" i="23"/>
  <c r="M368" i="22"/>
  <c r="AB369" i="20"/>
  <c r="K473" i="23"/>
  <c r="T473" i="23"/>
  <c r="T368" i="23"/>
  <c r="AC45" i="23"/>
  <c r="D368" i="23"/>
  <c r="X260" i="20"/>
  <c r="AC259" i="20"/>
  <c r="H46" i="21"/>
  <c r="AB45" i="21"/>
  <c r="J45" i="23"/>
  <c r="S473" i="19"/>
  <c r="M368" i="19"/>
  <c r="K508" i="22"/>
  <c r="S259" i="19"/>
  <c r="R152" i="19"/>
  <c r="X151" i="20"/>
  <c r="B474" i="23"/>
  <c r="Q46" i="23"/>
  <c r="S368" i="19"/>
  <c r="S260" i="19"/>
  <c r="X368" i="20"/>
  <c r="X259" i="20"/>
  <c r="AB45" i="22"/>
  <c r="AC45" i="19"/>
  <c r="AC369" i="19"/>
  <c r="AC473" i="19"/>
  <c r="L80" i="20"/>
  <c r="L369" i="20"/>
  <c r="L368" i="20"/>
  <c r="Z45" i="20"/>
  <c r="Z369" i="20"/>
  <c r="Z473" i="20"/>
  <c r="AC474" i="19"/>
  <c r="J369" i="19"/>
  <c r="Z368" i="19"/>
  <c r="L259" i="19"/>
  <c r="R259" i="19"/>
  <c r="Z151" i="19"/>
  <c r="R45" i="19"/>
  <c r="AB45" i="19"/>
  <c r="AC46" i="19"/>
  <c r="AC474" i="20"/>
  <c r="Z368" i="20"/>
  <c r="O152" i="20"/>
  <c r="J45" i="21"/>
  <c r="J152" i="21"/>
  <c r="L151" i="20"/>
  <c r="Z369" i="21"/>
  <c r="Z368" i="21"/>
  <c r="AC45" i="21"/>
  <c r="AC368" i="21"/>
  <c r="P45" i="23"/>
  <c r="P260" i="23"/>
  <c r="P368" i="23"/>
  <c r="W46" i="23"/>
  <c r="W45" i="23"/>
  <c r="W260" i="23"/>
  <c r="W368" i="23"/>
  <c r="L473" i="23"/>
  <c r="L46" i="23"/>
  <c r="L151" i="23"/>
  <c r="L259" i="23"/>
  <c r="V45" i="23"/>
  <c r="V259" i="23"/>
  <c r="V369" i="23"/>
  <c r="V151" i="23"/>
  <c r="V152" i="23"/>
  <c r="V473" i="23"/>
  <c r="V368" i="23"/>
  <c r="AC45" i="22"/>
  <c r="AC46" i="22"/>
  <c r="AC474" i="22"/>
  <c r="AC260" i="22"/>
  <c r="AC152" i="22"/>
  <c r="U45" i="22"/>
  <c r="U46" i="22"/>
  <c r="U152" i="22"/>
  <c r="U474" i="22"/>
  <c r="R45" i="22"/>
  <c r="R46" i="22"/>
  <c r="R151" i="22"/>
  <c r="R473" i="22"/>
  <c r="R259" i="22"/>
  <c r="L473" i="19"/>
  <c r="M474" i="19"/>
  <c r="L369" i="19"/>
  <c r="R260" i="19"/>
  <c r="Z259" i="19"/>
  <c r="M151" i="19"/>
  <c r="C259" i="19"/>
  <c r="L474" i="20"/>
  <c r="M151" i="20"/>
  <c r="O45" i="20"/>
  <c r="J473" i="21"/>
  <c r="Z260" i="21"/>
  <c r="I45" i="21"/>
  <c r="I368" i="21"/>
  <c r="I46" i="21"/>
  <c r="I369" i="21"/>
  <c r="Z260" i="19"/>
  <c r="R151" i="19"/>
  <c r="V151" i="19"/>
  <c r="V152" i="19"/>
  <c r="AC152" i="19"/>
  <c r="S45" i="19"/>
  <c r="Z474" i="20"/>
  <c r="M260" i="20"/>
  <c r="U151" i="20"/>
  <c r="Z259" i="20"/>
  <c r="Z152" i="20"/>
  <c r="AC473" i="21"/>
  <c r="AC369" i="21"/>
  <c r="AC259" i="21"/>
  <c r="R369" i="22"/>
  <c r="AC259" i="19"/>
  <c r="G474" i="19"/>
  <c r="G369" i="19"/>
  <c r="X368" i="19"/>
  <c r="Z369" i="19"/>
  <c r="P259" i="19"/>
  <c r="V259" i="19"/>
  <c r="L151" i="19"/>
  <c r="AC151" i="19"/>
  <c r="Z152" i="19"/>
  <c r="K45" i="19"/>
  <c r="O474" i="20"/>
  <c r="AC473" i="20"/>
  <c r="L473" i="20"/>
  <c r="O369" i="20"/>
  <c r="R369" i="20"/>
  <c r="O260" i="20"/>
  <c r="O151" i="20"/>
  <c r="D68" i="20"/>
  <c r="AC474" i="21"/>
  <c r="Z259" i="21"/>
  <c r="Z151" i="21"/>
  <c r="R260" i="22"/>
  <c r="Z474" i="19"/>
  <c r="X473" i="19"/>
  <c r="M369" i="19"/>
  <c r="G260" i="19"/>
  <c r="M260" i="19"/>
  <c r="AB151" i="19"/>
  <c r="L46" i="19"/>
  <c r="R474" i="20"/>
  <c r="O259" i="20"/>
  <c r="Z151" i="20"/>
  <c r="AC68" i="20"/>
  <c r="J151" i="21"/>
  <c r="Z46" i="21"/>
  <c r="U369" i="22"/>
  <c r="L474" i="23"/>
  <c r="P474" i="23"/>
  <c r="J260" i="19"/>
  <c r="R474" i="19"/>
  <c r="AC368" i="19"/>
  <c r="J368" i="19"/>
  <c r="L368" i="19"/>
  <c r="M259" i="19"/>
  <c r="P151" i="19"/>
  <c r="Z46" i="19"/>
  <c r="F45" i="19"/>
  <c r="R152" i="20"/>
  <c r="L259" i="20"/>
  <c r="Z473" i="21"/>
  <c r="M473" i="19"/>
  <c r="R369" i="19"/>
  <c r="R368" i="19"/>
  <c r="AC260" i="19"/>
  <c r="X152" i="19"/>
  <c r="M152" i="19"/>
  <c r="R46" i="19"/>
  <c r="Z45" i="19"/>
  <c r="Q45" i="19"/>
  <c r="M259" i="20"/>
  <c r="L260" i="20"/>
  <c r="R259" i="20"/>
  <c r="R151" i="20"/>
  <c r="X45" i="21"/>
  <c r="X259" i="21"/>
  <c r="X368" i="21"/>
  <c r="X260" i="21"/>
  <c r="W473" i="23"/>
  <c r="J259" i="21"/>
  <c r="H260" i="21"/>
  <c r="X151" i="21"/>
  <c r="U473" i="22"/>
  <c r="R368" i="22"/>
  <c r="X292" i="22"/>
  <c r="I260" i="22"/>
  <c r="R474" i="22"/>
  <c r="H45" i="23"/>
  <c r="H368" i="23"/>
  <c r="H260" i="23"/>
  <c r="W151" i="23"/>
  <c r="M46" i="23"/>
  <c r="M473" i="23"/>
  <c r="M151" i="23"/>
  <c r="M259" i="23"/>
  <c r="M260" i="23"/>
  <c r="M369" i="23"/>
  <c r="M45" i="23"/>
  <c r="V46" i="23"/>
  <c r="X369" i="21"/>
  <c r="J369" i="21"/>
  <c r="H259" i="21"/>
  <c r="C259" i="21"/>
  <c r="X152" i="21"/>
  <c r="AC473" i="22"/>
  <c r="AC369" i="22"/>
  <c r="AC368" i="22"/>
  <c r="W369" i="23"/>
  <c r="I473" i="21"/>
  <c r="H473" i="21"/>
  <c r="J474" i="21"/>
  <c r="H369" i="21"/>
  <c r="W260" i="22"/>
  <c r="I151" i="22"/>
  <c r="C158" i="22"/>
  <c r="V474" i="23"/>
  <c r="L152" i="23"/>
  <c r="Q45" i="23"/>
  <c r="Q259" i="23"/>
  <c r="C473" i="21"/>
  <c r="P402" i="21"/>
  <c r="I259" i="21"/>
  <c r="W45" i="22"/>
  <c r="W152" i="22"/>
  <c r="I45" i="23"/>
  <c r="I260" i="23"/>
  <c r="Z474" i="21"/>
  <c r="AC402" i="21"/>
  <c r="EO11" i="33" s="1"/>
  <c r="M45" i="21"/>
  <c r="U368" i="22"/>
  <c r="U259" i="22"/>
  <c r="U260" i="22"/>
  <c r="J260" i="21"/>
  <c r="AC260" i="21"/>
  <c r="C152" i="21"/>
  <c r="Z152" i="21"/>
  <c r="AC152" i="21"/>
  <c r="AC259" i="22"/>
  <c r="Z45" i="22"/>
  <c r="Z46" i="22"/>
  <c r="J151" i="23"/>
  <c r="J369" i="23"/>
  <c r="J473" i="23"/>
  <c r="J260" i="23"/>
  <c r="J474" i="23"/>
  <c r="Q152" i="23"/>
  <c r="V151" i="22"/>
  <c r="I473" i="23"/>
  <c r="G473" i="23"/>
  <c r="F474" i="23"/>
  <c r="Q369" i="23"/>
  <c r="I368" i="23"/>
  <c r="L260" i="23"/>
  <c r="AC259" i="23"/>
  <c r="O152" i="23"/>
  <c r="M185" i="23"/>
  <c r="CF11" i="33" s="1"/>
  <c r="Q474" i="23"/>
  <c r="I369" i="23"/>
  <c r="M368" i="23"/>
  <c r="J259" i="23"/>
  <c r="I259" i="23"/>
  <c r="W152" i="23"/>
  <c r="AA45" i="22"/>
  <c r="I474" i="23"/>
  <c r="Q151" i="23"/>
  <c r="P151" i="23"/>
  <c r="H152" i="23"/>
  <c r="AC46" i="23"/>
  <c r="P46" i="22"/>
  <c r="I45" i="22"/>
  <c r="H259" i="23"/>
  <c r="I151" i="23"/>
  <c r="W259" i="23"/>
  <c r="H151" i="23"/>
  <c r="P152" i="23"/>
  <c r="U45" i="23"/>
  <c r="AC151" i="22"/>
  <c r="E152" i="22"/>
  <c r="P473" i="23"/>
  <c r="O474" i="23"/>
  <c r="F152" i="23"/>
  <c r="O151" i="23"/>
  <c r="K45" i="23"/>
  <c r="X46" i="23"/>
  <c r="C46" i="23"/>
  <c r="R152" i="22"/>
  <c r="P45" i="22"/>
  <c r="K45" i="22"/>
  <c r="H473" i="23"/>
  <c r="AC474" i="23"/>
  <c r="W474" i="23"/>
  <c r="P369" i="23"/>
  <c r="L369" i="23"/>
  <c r="L368" i="23"/>
  <c r="P259" i="23"/>
  <c r="J152" i="23"/>
  <c r="H46" i="19"/>
  <c r="H259" i="19"/>
  <c r="H474" i="19"/>
  <c r="H151" i="19"/>
  <c r="B45" i="20"/>
  <c r="B152" i="20"/>
  <c r="B474" i="20"/>
  <c r="B368" i="20"/>
  <c r="B369" i="20"/>
  <c r="P151" i="20"/>
  <c r="P259" i="20"/>
  <c r="P260" i="20"/>
  <c r="E46" i="19"/>
  <c r="E151" i="19"/>
  <c r="E259" i="19"/>
  <c r="E473" i="19"/>
  <c r="E45" i="19"/>
  <c r="W45" i="19"/>
  <c r="W260" i="19"/>
  <c r="W152" i="19"/>
  <c r="W259" i="19"/>
  <c r="T45" i="20"/>
  <c r="T259" i="20"/>
  <c r="T369" i="20"/>
  <c r="T474" i="20"/>
  <c r="Y369" i="20"/>
  <c r="Y473" i="20"/>
  <c r="Y474" i="20"/>
  <c r="Y368" i="20"/>
  <c r="Y45" i="20"/>
  <c r="U46" i="20"/>
  <c r="U259" i="20"/>
  <c r="U474" i="20"/>
  <c r="U368" i="20"/>
  <c r="D474" i="20"/>
  <c r="Q260" i="20"/>
  <c r="Q473" i="20"/>
  <c r="Q474" i="20"/>
  <c r="Q369" i="20"/>
  <c r="D80" i="20"/>
  <c r="D259" i="20"/>
  <c r="D369" i="20"/>
  <c r="D473" i="20"/>
  <c r="Q259" i="20"/>
  <c r="P152" i="20"/>
  <c r="H473" i="19"/>
  <c r="C368" i="19"/>
  <c r="D369" i="19"/>
  <c r="G151" i="19"/>
  <c r="P152" i="19"/>
  <c r="C152" i="19"/>
  <c r="C46" i="19"/>
  <c r="B46" i="19"/>
  <c r="T293" i="20"/>
  <c r="Y259" i="20"/>
  <c r="D152" i="20"/>
  <c r="Y151" i="20"/>
  <c r="M45" i="20"/>
  <c r="AB80" i="20"/>
  <c r="Z506" i="21"/>
  <c r="R45" i="21"/>
  <c r="Y260" i="22"/>
  <c r="Q260" i="22"/>
  <c r="Y151" i="22"/>
  <c r="Z46" i="23"/>
  <c r="Z151" i="23"/>
  <c r="Z369" i="23"/>
  <c r="Z260" i="23"/>
  <c r="Z473" i="23"/>
  <c r="Q152" i="20"/>
  <c r="AC80" i="20"/>
  <c r="EX12" i="33" s="1"/>
  <c r="AC56" i="20"/>
  <c r="D474" i="19"/>
  <c r="AB473" i="19"/>
  <c r="H368" i="19"/>
  <c r="W368" i="19"/>
  <c r="W369" i="19"/>
  <c r="G259" i="19"/>
  <c r="X294" i="19"/>
  <c r="H152" i="19"/>
  <c r="B152" i="19"/>
  <c r="Q46" i="19"/>
  <c r="E260" i="20"/>
  <c r="G259" i="20"/>
  <c r="L152" i="20"/>
  <c r="E45" i="20"/>
  <c r="X46" i="20"/>
  <c r="R46" i="21"/>
  <c r="R151" i="21"/>
  <c r="R152" i="21"/>
  <c r="R45" i="23"/>
  <c r="R46" i="23"/>
  <c r="R368" i="23"/>
  <c r="R473" i="23"/>
  <c r="R151" i="23"/>
  <c r="R369" i="23"/>
  <c r="R474" i="23"/>
  <c r="R260" i="23"/>
  <c r="J473" i="19"/>
  <c r="W473" i="19"/>
  <c r="U368" i="19"/>
  <c r="AB260" i="19"/>
  <c r="J259" i="19"/>
  <c r="C151" i="19"/>
  <c r="G152" i="19"/>
  <c r="E152" i="19"/>
  <c r="C45" i="19"/>
  <c r="G46" i="19"/>
  <c r="P474" i="20"/>
  <c r="D368" i="20"/>
  <c r="G260" i="20"/>
  <c r="Y152" i="20"/>
  <c r="T152" i="20"/>
  <c r="G46" i="20"/>
  <c r="U369" i="20"/>
  <c r="C473" i="19"/>
  <c r="W474" i="19"/>
  <c r="AB474" i="19"/>
  <c r="G368" i="19"/>
  <c r="E369" i="19"/>
  <c r="C260" i="19"/>
  <c r="E260" i="19"/>
  <c r="J151" i="19"/>
  <c r="AB152" i="19"/>
  <c r="L45" i="19"/>
  <c r="AB46" i="19"/>
  <c r="Y45" i="19"/>
  <c r="P369" i="20"/>
  <c r="T368" i="20"/>
  <c r="U260" i="20"/>
  <c r="AC151" i="20"/>
  <c r="K45" i="20"/>
  <c r="J402" i="21"/>
  <c r="J390" i="21"/>
  <c r="Y369" i="22"/>
  <c r="Y152" i="22"/>
  <c r="Y473" i="22"/>
  <c r="Y46" i="22"/>
  <c r="D260" i="20"/>
  <c r="C474" i="19"/>
  <c r="G473" i="19"/>
  <c r="D368" i="19"/>
  <c r="U45" i="19"/>
  <c r="AC369" i="20"/>
  <c r="AC260" i="20"/>
  <c r="E152" i="20"/>
  <c r="Q151" i="22"/>
  <c r="Q474" i="22"/>
  <c r="Q152" i="22"/>
  <c r="Q259" i="22"/>
  <c r="Q46" i="22"/>
  <c r="AB46" i="23"/>
  <c r="AB151" i="23"/>
  <c r="AB473" i="23"/>
  <c r="AB45" i="23"/>
  <c r="AB260" i="23"/>
  <c r="H260" i="19"/>
  <c r="J474" i="19"/>
  <c r="E368" i="19"/>
  <c r="S46" i="19"/>
  <c r="Q368" i="20"/>
  <c r="P368" i="20"/>
  <c r="AC368" i="20"/>
  <c r="G152" i="20"/>
  <c r="Q151" i="20"/>
  <c r="U152" i="20"/>
  <c r="B473" i="20"/>
  <c r="D473" i="19"/>
  <c r="E474" i="19"/>
  <c r="AB368" i="19"/>
  <c r="AB369" i="19"/>
  <c r="H369" i="19"/>
  <c r="D260" i="19"/>
  <c r="D152" i="19"/>
  <c r="J46" i="19"/>
  <c r="U473" i="20"/>
  <c r="G369" i="20"/>
  <c r="T260" i="20"/>
  <c r="B259" i="20"/>
  <c r="G151" i="20"/>
  <c r="B151" i="20"/>
  <c r="G45" i="20"/>
  <c r="U45" i="20"/>
  <c r="V152" i="21"/>
  <c r="AA46" i="21"/>
  <c r="G45" i="21"/>
  <c r="V294" i="22"/>
  <c r="T283" i="22"/>
  <c r="W182" i="22"/>
  <c r="O45" i="22"/>
  <c r="T45" i="22"/>
  <c r="X45" i="23"/>
  <c r="P46" i="23"/>
  <c r="V259" i="21"/>
  <c r="N45" i="21"/>
  <c r="Q473" i="22"/>
  <c r="K484" i="22"/>
  <c r="F46" i="22"/>
  <c r="AB369" i="23"/>
  <c r="Z152" i="23"/>
  <c r="B45" i="23"/>
  <c r="R260" i="21"/>
  <c r="J46" i="21"/>
  <c r="X401" i="22"/>
  <c r="N46" i="22"/>
  <c r="O45" i="23"/>
  <c r="Y45" i="22"/>
  <c r="AB368" i="23"/>
  <c r="Z368" i="23"/>
  <c r="AB152" i="23"/>
  <c r="R259" i="21"/>
  <c r="AC184" i="21"/>
  <c r="EG10" i="33" s="1"/>
  <c r="V46" i="21"/>
  <c r="C45" i="21"/>
  <c r="Y368" i="22"/>
  <c r="Q45" i="22"/>
  <c r="AB474" i="23"/>
  <c r="R152" i="23"/>
  <c r="AB77" i="23"/>
  <c r="J46" i="23"/>
  <c r="H45" i="21"/>
  <c r="P45" i="21"/>
  <c r="H45" i="22"/>
  <c r="Z474" i="23"/>
  <c r="Y45" i="23"/>
  <c r="P46" i="21"/>
  <c r="P401" i="22"/>
  <c r="O46" i="22"/>
  <c r="H46" i="23"/>
  <c r="X46" i="21"/>
  <c r="Y474" i="22"/>
  <c r="Y259" i="22"/>
  <c r="R259" i="23"/>
  <c r="Z259" i="23"/>
  <c r="AB172" i="23"/>
  <c r="O46" i="23"/>
  <c r="Z45" i="23"/>
  <c r="AB50" i="23"/>
  <c r="N506" i="23"/>
  <c r="N482" i="23"/>
  <c r="N494" i="23"/>
  <c r="S494" i="23"/>
  <c r="S506" i="23"/>
  <c r="S482" i="23"/>
  <c r="M508" i="23"/>
  <c r="CR12" i="33" s="1"/>
  <c r="M496" i="23"/>
  <c r="M484" i="23"/>
  <c r="W508" i="23"/>
  <c r="W496" i="23"/>
  <c r="W484" i="23"/>
  <c r="E508" i="23"/>
  <c r="E496" i="23"/>
  <c r="E484" i="23"/>
  <c r="U377" i="23"/>
  <c r="U401" i="23"/>
  <c r="U389" i="23"/>
  <c r="R403" i="23"/>
  <c r="R391" i="23"/>
  <c r="R379" i="23"/>
  <c r="L403" i="23"/>
  <c r="L391" i="23"/>
  <c r="L379" i="23"/>
  <c r="X391" i="23"/>
  <c r="X403" i="23"/>
  <c r="X379" i="23"/>
  <c r="AC392" i="23"/>
  <c r="AC404" i="23"/>
  <c r="EQ13" i="33" s="1"/>
  <c r="AC380" i="23"/>
  <c r="AA392" i="23"/>
  <c r="AA404" i="23"/>
  <c r="AA380" i="23"/>
  <c r="B390" i="23"/>
  <c r="B402" i="23"/>
  <c r="AK11" i="33" s="1"/>
  <c r="B378" i="23"/>
  <c r="P404" i="23"/>
  <c r="P392" i="23"/>
  <c r="P380" i="23"/>
  <c r="K283" i="23"/>
  <c r="K271" i="23"/>
  <c r="K295" i="23"/>
  <c r="D295" i="23"/>
  <c r="D271" i="23"/>
  <c r="D283" i="23"/>
  <c r="T295" i="23"/>
  <c r="T271" i="23"/>
  <c r="T283" i="23"/>
  <c r="R182" i="23"/>
  <c r="R158" i="23"/>
  <c r="R169" i="23"/>
  <c r="R183" i="23"/>
  <c r="R180" i="23"/>
  <c r="R181" i="23"/>
  <c r="R171" i="23"/>
  <c r="R159" i="23"/>
  <c r="R156" i="23"/>
  <c r="R157" i="23"/>
  <c r="R168" i="23"/>
  <c r="R170" i="23"/>
  <c r="P184" i="23"/>
  <c r="P160" i="23"/>
  <c r="P172" i="23"/>
  <c r="G152" i="23"/>
  <c r="K175" i="23"/>
  <c r="K187" i="23"/>
  <c r="K163" i="23"/>
  <c r="Z182" i="23"/>
  <c r="Z158" i="23"/>
  <c r="Z169" i="23"/>
  <c r="Z159" i="23"/>
  <c r="Z183" i="23"/>
  <c r="Z157" i="23"/>
  <c r="Z181" i="23"/>
  <c r="Z171" i="23"/>
  <c r="Z168" i="23"/>
  <c r="Z156" i="23"/>
  <c r="Z170" i="23"/>
  <c r="Z180" i="23"/>
  <c r="X186" i="23"/>
  <c r="X162" i="23"/>
  <c r="X174" i="23"/>
  <c r="N170" i="23"/>
  <c r="N181" i="23"/>
  <c r="N157" i="23"/>
  <c r="N182" i="23"/>
  <c r="N183" i="23"/>
  <c r="N171" i="23"/>
  <c r="N168" i="23"/>
  <c r="N158" i="23"/>
  <c r="N180" i="23"/>
  <c r="N169" i="23"/>
  <c r="N156" i="23"/>
  <c r="N159" i="23"/>
  <c r="T77" i="23"/>
  <c r="T75" i="23"/>
  <c r="T65" i="23"/>
  <c r="T74" i="23"/>
  <c r="T64" i="23"/>
  <c r="T62" i="23"/>
  <c r="T76" i="23"/>
  <c r="T63" i="23"/>
  <c r="T51" i="23"/>
  <c r="T50" i="23"/>
  <c r="T52" i="23"/>
  <c r="T53" i="23"/>
  <c r="N46" i="23"/>
  <c r="B69" i="23"/>
  <c r="B57" i="23"/>
  <c r="B81" i="23"/>
  <c r="Y13" i="33" s="1"/>
  <c r="C74" i="23"/>
  <c r="C76" i="23"/>
  <c r="C63" i="23"/>
  <c r="C75" i="23"/>
  <c r="C51" i="23"/>
  <c r="C62" i="23"/>
  <c r="C52" i="23"/>
  <c r="C77" i="23"/>
  <c r="C64" i="23"/>
  <c r="C65" i="23"/>
  <c r="C53" i="23"/>
  <c r="C50" i="23"/>
  <c r="J79" i="23"/>
  <c r="J67" i="23"/>
  <c r="J55" i="23"/>
  <c r="J77" i="23"/>
  <c r="J75" i="23"/>
  <c r="J74" i="23"/>
  <c r="J52" i="23"/>
  <c r="J76" i="23"/>
  <c r="J64" i="23"/>
  <c r="J51" i="23"/>
  <c r="J65" i="23"/>
  <c r="J50" i="23"/>
  <c r="J53" i="23"/>
  <c r="J63" i="23"/>
  <c r="J62" i="23"/>
  <c r="Q68" i="23"/>
  <c r="Q80" i="23"/>
  <c r="Q56" i="23"/>
  <c r="Y76" i="23"/>
  <c r="Y74" i="23"/>
  <c r="Y77" i="23"/>
  <c r="Y63" i="23"/>
  <c r="Y75" i="23"/>
  <c r="Y53" i="23"/>
  <c r="Y64" i="23"/>
  <c r="Y62" i="23"/>
  <c r="Y65" i="23"/>
  <c r="Y51" i="23"/>
  <c r="Y52" i="23"/>
  <c r="Y50" i="23"/>
  <c r="X79" i="23"/>
  <c r="X67" i="23"/>
  <c r="X55" i="23"/>
  <c r="H77" i="23"/>
  <c r="H62" i="23"/>
  <c r="H74" i="23"/>
  <c r="H65" i="23"/>
  <c r="H50" i="23"/>
  <c r="H76" i="23"/>
  <c r="H53" i="23"/>
  <c r="H75" i="23"/>
  <c r="H51" i="23"/>
  <c r="H52" i="23"/>
  <c r="H64" i="23"/>
  <c r="H63" i="23"/>
  <c r="N81" i="23"/>
  <c r="N69" i="23"/>
  <c r="N57" i="23"/>
  <c r="G67" i="23"/>
  <c r="G55" i="23"/>
  <c r="G79" i="23"/>
  <c r="M69" i="23"/>
  <c r="M57" i="23"/>
  <c r="M81" i="23"/>
  <c r="CB13" i="33" s="1"/>
  <c r="F506" i="23"/>
  <c r="F482" i="23"/>
  <c r="F494" i="23"/>
  <c r="H506" i="23"/>
  <c r="H482" i="23"/>
  <c r="H494" i="23"/>
  <c r="R493" i="23"/>
  <c r="R504" i="23"/>
  <c r="R502" i="23"/>
  <c r="R503" i="23"/>
  <c r="R505" i="23"/>
  <c r="R480" i="23"/>
  <c r="R478" i="23"/>
  <c r="R490" i="23"/>
  <c r="R479" i="23"/>
  <c r="R491" i="23"/>
  <c r="R481" i="23"/>
  <c r="R492" i="23"/>
  <c r="P509" i="23"/>
  <c r="P497" i="23"/>
  <c r="P485" i="23"/>
  <c r="F497" i="23"/>
  <c r="F485" i="23"/>
  <c r="F509" i="23"/>
  <c r="Q402" i="23"/>
  <c r="Q378" i="23"/>
  <c r="Q390" i="23"/>
  <c r="AC390" i="23"/>
  <c r="AC402" i="23"/>
  <c r="EQ11" i="33" s="1"/>
  <c r="AC378" i="23"/>
  <c r="M377" i="23"/>
  <c r="M401" i="23"/>
  <c r="CN10" i="33" s="1"/>
  <c r="M389" i="23"/>
  <c r="B403" i="23"/>
  <c r="AK12" i="33" s="1"/>
  <c r="B391" i="23"/>
  <c r="B379" i="23"/>
  <c r="W389" i="23"/>
  <c r="W401" i="23"/>
  <c r="T403" i="23"/>
  <c r="T391" i="23"/>
  <c r="T379" i="23"/>
  <c r="Z389" i="23"/>
  <c r="Z401" i="23"/>
  <c r="Z377" i="23"/>
  <c r="B404" i="23"/>
  <c r="AK13" i="33" s="1"/>
  <c r="B392" i="23"/>
  <c r="B380" i="23"/>
  <c r="F392" i="23"/>
  <c r="F380" i="23"/>
  <c r="F404" i="23"/>
  <c r="Z402" i="23"/>
  <c r="Z390" i="23"/>
  <c r="Z378" i="23"/>
  <c r="Q392" i="23"/>
  <c r="Q404" i="23"/>
  <c r="Q380" i="23"/>
  <c r="I294" i="23"/>
  <c r="I270" i="23"/>
  <c r="I282" i="23"/>
  <c r="I281" i="23"/>
  <c r="I269" i="23"/>
  <c r="I293" i="23"/>
  <c r="J295" i="23"/>
  <c r="J271" i="23"/>
  <c r="J283" i="23"/>
  <c r="J182" i="23"/>
  <c r="J158" i="23"/>
  <c r="J169" i="23"/>
  <c r="J157" i="23"/>
  <c r="J159" i="23"/>
  <c r="J183" i="23"/>
  <c r="J180" i="23"/>
  <c r="J170" i="23"/>
  <c r="J156" i="23"/>
  <c r="J181" i="23"/>
  <c r="J168" i="23"/>
  <c r="J171" i="23"/>
  <c r="AA295" i="23"/>
  <c r="AA283" i="23"/>
  <c r="AA271" i="23"/>
  <c r="N290" i="23"/>
  <c r="N266" i="23"/>
  <c r="N277" i="23"/>
  <c r="N289" i="23"/>
  <c r="N279" i="23"/>
  <c r="N267" i="23"/>
  <c r="N264" i="23"/>
  <c r="N265" i="23"/>
  <c r="N291" i="23"/>
  <c r="N288" i="23"/>
  <c r="N278" i="23"/>
  <c r="N276" i="23"/>
  <c r="H184" i="23"/>
  <c r="H160" i="23"/>
  <c r="H172" i="23"/>
  <c r="U161" i="23"/>
  <c r="U185" i="23"/>
  <c r="U173" i="23"/>
  <c r="E172" i="23"/>
  <c r="E184" i="23"/>
  <c r="E160" i="23"/>
  <c r="AB180" i="23"/>
  <c r="AB156" i="23"/>
  <c r="AB183" i="23"/>
  <c r="AB159" i="23"/>
  <c r="AB169" i="23"/>
  <c r="AB181" i="23"/>
  <c r="AB171" i="23"/>
  <c r="AB182" i="23"/>
  <c r="AB168" i="23"/>
  <c r="AB170" i="23"/>
  <c r="AB158" i="23"/>
  <c r="AB157" i="23"/>
  <c r="G45" i="23"/>
  <c r="T67" i="23"/>
  <c r="T79" i="23"/>
  <c r="T55" i="23"/>
  <c r="L77" i="23"/>
  <c r="L75" i="23"/>
  <c r="L76" i="23"/>
  <c r="L64" i="23"/>
  <c r="L62" i="23"/>
  <c r="L65" i="23"/>
  <c r="L74" i="23"/>
  <c r="L63" i="23"/>
  <c r="L51" i="23"/>
  <c r="L52" i="23"/>
  <c r="L50" i="23"/>
  <c r="L53" i="23"/>
  <c r="AA80" i="23"/>
  <c r="AA68" i="23"/>
  <c r="AA56" i="23"/>
  <c r="AA66" i="23"/>
  <c r="AA78" i="23"/>
  <c r="AA54" i="23"/>
  <c r="B77" i="23"/>
  <c r="Y9" i="33" s="1"/>
  <c r="B75" i="23"/>
  <c r="Y7" i="33" s="1"/>
  <c r="B52" i="23"/>
  <c r="B76" i="23"/>
  <c r="Y8" i="33" s="1"/>
  <c r="B64" i="23"/>
  <c r="B74" i="23"/>
  <c r="Y6" i="33" s="1"/>
  <c r="B51" i="23"/>
  <c r="B65" i="23"/>
  <c r="B62" i="23"/>
  <c r="B63" i="23"/>
  <c r="B53" i="23"/>
  <c r="B50" i="23"/>
  <c r="I68" i="23"/>
  <c r="I80" i="23"/>
  <c r="I56" i="23"/>
  <c r="P79" i="23"/>
  <c r="P67" i="23"/>
  <c r="P55" i="23"/>
  <c r="F81" i="23"/>
  <c r="F57" i="23"/>
  <c r="F69" i="23"/>
  <c r="V67" i="23"/>
  <c r="V79" i="23"/>
  <c r="V55" i="23"/>
  <c r="V505" i="23"/>
  <c r="V492" i="23"/>
  <c r="V503" i="23"/>
  <c r="V491" i="23"/>
  <c r="V502" i="23"/>
  <c r="V504" i="23"/>
  <c r="V480" i="23"/>
  <c r="V478" i="23"/>
  <c r="V479" i="23"/>
  <c r="V481" i="23"/>
  <c r="V493" i="23"/>
  <c r="V490" i="23"/>
  <c r="Z493" i="23"/>
  <c r="Z504" i="23"/>
  <c r="Z502" i="23"/>
  <c r="Z503" i="23"/>
  <c r="Z491" i="23"/>
  <c r="Z480" i="23"/>
  <c r="Z478" i="23"/>
  <c r="Z505" i="23"/>
  <c r="Z479" i="23"/>
  <c r="Z490" i="23"/>
  <c r="Z481" i="23"/>
  <c r="Z492" i="23"/>
  <c r="Z509" i="23"/>
  <c r="Z497" i="23"/>
  <c r="Z485" i="23"/>
  <c r="I402" i="23"/>
  <c r="I390" i="23"/>
  <c r="I378" i="23"/>
  <c r="AA401" i="23"/>
  <c r="AA389" i="23"/>
  <c r="H401" i="23"/>
  <c r="H389" i="23"/>
  <c r="Q391" i="23"/>
  <c r="Q379" i="23"/>
  <c r="Q403" i="23"/>
  <c r="AB403" i="23"/>
  <c r="AB391" i="23"/>
  <c r="AB379" i="23"/>
  <c r="J392" i="23"/>
  <c r="J404" i="23"/>
  <c r="J380" i="23"/>
  <c r="N404" i="23"/>
  <c r="N392" i="23"/>
  <c r="N380" i="23"/>
  <c r="K390" i="23"/>
  <c r="K378" i="23"/>
  <c r="K402" i="23"/>
  <c r="J280" i="23"/>
  <c r="J268" i="23"/>
  <c r="J292" i="23"/>
  <c r="U268" i="23"/>
  <c r="U292" i="23"/>
  <c r="U280" i="23"/>
  <c r="R292" i="23"/>
  <c r="R280" i="23"/>
  <c r="R268" i="23"/>
  <c r="AA281" i="23"/>
  <c r="AA269" i="23"/>
  <c r="AA293" i="23"/>
  <c r="B182" i="23"/>
  <c r="AC8" i="33" s="1"/>
  <c r="B158" i="23"/>
  <c r="B169" i="23"/>
  <c r="B181" i="23"/>
  <c r="AC7" i="33" s="1"/>
  <c r="B171" i="23"/>
  <c r="B183" i="23"/>
  <c r="AC9" i="33" s="1"/>
  <c r="B157" i="23"/>
  <c r="B168" i="23"/>
  <c r="B159" i="23"/>
  <c r="B156" i="23"/>
  <c r="B180" i="23"/>
  <c r="AC6" i="33" s="1"/>
  <c r="B170" i="23"/>
  <c r="O295" i="23"/>
  <c r="O283" i="23"/>
  <c r="O271" i="23"/>
  <c r="B278" i="23"/>
  <c r="B289" i="23"/>
  <c r="AG7" i="33" s="1"/>
  <c r="B265" i="23"/>
  <c r="B279" i="23"/>
  <c r="B264" i="23"/>
  <c r="B290" i="23"/>
  <c r="AG8" i="33" s="1"/>
  <c r="B291" i="23"/>
  <c r="AG9" i="33" s="1"/>
  <c r="B288" i="23"/>
  <c r="AG6" i="33" s="1"/>
  <c r="B277" i="23"/>
  <c r="B276" i="23"/>
  <c r="B267" i="23"/>
  <c r="B266" i="23"/>
  <c r="Y171" i="23"/>
  <c r="Y182" i="23"/>
  <c r="Y158" i="23"/>
  <c r="Y168" i="23"/>
  <c r="Y180" i="23"/>
  <c r="Y170" i="23"/>
  <c r="Y181" i="23"/>
  <c r="Y157" i="23"/>
  <c r="Y183" i="23"/>
  <c r="Y159" i="23"/>
  <c r="Y156" i="23"/>
  <c r="Y169" i="23"/>
  <c r="K185" i="23"/>
  <c r="K161" i="23"/>
  <c r="K173" i="23"/>
  <c r="R185" i="23"/>
  <c r="R161" i="23"/>
  <c r="R173" i="23"/>
  <c r="AA187" i="23"/>
  <c r="AA175" i="23"/>
  <c r="AA163" i="23"/>
  <c r="G151" i="23"/>
  <c r="D77" i="23"/>
  <c r="D75" i="23"/>
  <c r="D64" i="23"/>
  <c r="D74" i="23"/>
  <c r="D62" i="23"/>
  <c r="D65" i="23"/>
  <c r="D76" i="23"/>
  <c r="D63" i="23"/>
  <c r="D52" i="23"/>
  <c r="D51" i="23"/>
  <c r="D53" i="23"/>
  <c r="D50" i="23"/>
  <c r="S80" i="23"/>
  <c r="S68" i="23"/>
  <c r="S56" i="23"/>
  <c r="S66" i="23"/>
  <c r="S78" i="23"/>
  <c r="S54" i="23"/>
  <c r="Z66" i="23"/>
  <c r="Z78" i="23"/>
  <c r="Z54" i="23"/>
  <c r="W81" i="23"/>
  <c r="W69" i="23"/>
  <c r="W57" i="23"/>
  <c r="H79" i="23"/>
  <c r="H67" i="23"/>
  <c r="H55" i="23"/>
  <c r="AA81" i="23"/>
  <c r="AA69" i="23"/>
  <c r="AA57" i="23"/>
  <c r="N67" i="23"/>
  <c r="N79" i="23"/>
  <c r="N55" i="23"/>
  <c r="M78" i="23"/>
  <c r="CB10" i="33" s="1"/>
  <c r="M66" i="23"/>
  <c r="M54" i="23"/>
  <c r="W509" i="23"/>
  <c r="W497" i="23"/>
  <c r="W485" i="23"/>
  <c r="L508" i="23"/>
  <c r="L496" i="23"/>
  <c r="L484" i="23"/>
  <c r="X390" i="23"/>
  <c r="X402" i="23"/>
  <c r="X378" i="23"/>
  <c r="D401" i="23"/>
  <c r="D389" i="23"/>
  <c r="P389" i="23"/>
  <c r="P401" i="23"/>
  <c r="C391" i="23"/>
  <c r="C403" i="23"/>
  <c r="C379" i="23"/>
  <c r="G403" i="23"/>
  <c r="G391" i="23"/>
  <c r="G379" i="23"/>
  <c r="R392" i="23"/>
  <c r="R404" i="23"/>
  <c r="R380" i="23"/>
  <c r="V392" i="23"/>
  <c r="V380" i="23"/>
  <c r="V404" i="23"/>
  <c r="V390" i="23"/>
  <c r="V402" i="23"/>
  <c r="V378" i="23"/>
  <c r="Q283" i="23"/>
  <c r="Q295" i="23"/>
  <c r="Q271" i="23"/>
  <c r="W277" i="23"/>
  <c r="W288" i="23"/>
  <c r="W264" i="23"/>
  <c r="W276" i="23"/>
  <c r="W266" i="23"/>
  <c r="W279" i="23"/>
  <c r="W278" i="23"/>
  <c r="W267" i="23"/>
  <c r="W265" i="23"/>
  <c r="W291" i="23"/>
  <c r="W290" i="23"/>
  <c r="W289" i="23"/>
  <c r="U279" i="23"/>
  <c r="U290" i="23"/>
  <c r="U266" i="23"/>
  <c r="U288" i="23"/>
  <c r="U278" i="23"/>
  <c r="U291" i="23"/>
  <c r="U289" i="23"/>
  <c r="U277" i="23"/>
  <c r="U276" i="23"/>
  <c r="U267" i="23"/>
  <c r="U265" i="23"/>
  <c r="U264" i="23"/>
  <c r="I268" i="23"/>
  <c r="I292" i="23"/>
  <c r="I280" i="23"/>
  <c r="O270" i="23"/>
  <c r="O294" i="23"/>
  <c r="O282" i="23"/>
  <c r="P280" i="23"/>
  <c r="P292" i="23"/>
  <c r="P268" i="23"/>
  <c r="B281" i="23"/>
  <c r="B269" i="23"/>
  <c r="B293" i="23"/>
  <c r="AG11" i="33" s="1"/>
  <c r="E295" i="23"/>
  <c r="E271" i="23"/>
  <c r="E283" i="23"/>
  <c r="Q171" i="23"/>
  <c r="Q182" i="23"/>
  <c r="Q158" i="23"/>
  <c r="Q156" i="23"/>
  <c r="Q183" i="23"/>
  <c r="Q168" i="23"/>
  <c r="Q169" i="23"/>
  <c r="Q159" i="23"/>
  <c r="Q181" i="23"/>
  <c r="Q157" i="23"/>
  <c r="Q180" i="23"/>
  <c r="Q170" i="23"/>
  <c r="G173" i="23"/>
  <c r="G185" i="23"/>
  <c r="G161" i="23"/>
  <c r="G181" i="23"/>
  <c r="G157" i="23"/>
  <c r="G168" i="23"/>
  <c r="G156" i="23"/>
  <c r="G183" i="23"/>
  <c r="G158" i="23"/>
  <c r="G182" i="23"/>
  <c r="G169" i="23"/>
  <c r="G159" i="23"/>
  <c r="G180" i="23"/>
  <c r="G170" i="23"/>
  <c r="G171" i="23"/>
  <c r="O369" i="23"/>
  <c r="O259" i="23"/>
  <c r="O260" i="23"/>
  <c r="D67" i="23"/>
  <c r="D79" i="23"/>
  <c r="D55" i="23"/>
  <c r="F45" i="23"/>
  <c r="K80" i="23"/>
  <c r="K68" i="23"/>
  <c r="K56" i="23"/>
  <c r="K66" i="23"/>
  <c r="K78" i="23"/>
  <c r="K54" i="23"/>
  <c r="O69" i="23"/>
  <c r="O57" i="23"/>
  <c r="O81" i="23"/>
  <c r="O78" i="23"/>
  <c r="O66" i="23"/>
  <c r="O54" i="23"/>
  <c r="F67" i="23"/>
  <c r="F79" i="23"/>
  <c r="F55" i="23"/>
  <c r="E78" i="23"/>
  <c r="E66" i="23"/>
  <c r="E54" i="23"/>
  <c r="Q506" i="23"/>
  <c r="Q494" i="23"/>
  <c r="Q482" i="23"/>
  <c r="H508" i="23"/>
  <c r="H496" i="23"/>
  <c r="H484" i="23"/>
  <c r="T508" i="23"/>
  <c r="T496" i="23"/>
  <c r="T484" i="23"/>
  <c r="P390" i="23"/>
  <c r="P378" i="23"/>
  <c r="P402" i="23"/>
  <c r="X389" i="23"/>
  <c r="X401" i="23"/>
  <c r="K403" i="23"/>
  <c r="K391" i="23"/>
  <c r="K379" i="23"/>
  <c r="O403" i="23"/>
  <c r="O391" i="23"/>
  <c r="O379" i="23"/>
  <c r="U404" i="23"/>
  <c r="U380" i="23"/>
  <c r="U392" i="23"/>
  <c r="Z404" i="23"/>
  <c r="Z392" i="23"/>
  <c r="Z380" i="23"/>
  <c r="G404" i="23"/>
  <c r="G380" i="23"/>
  <c r="G392" i="23"/>
  <c r="G402" i="23"/>
  <c r="G390" i="23"/>
  <c r="G378" i="23"/>
  <c r="AC279" i="23"/>
  <c r="AC290" i="23"/>
  <c r="EM8" i="33" s="1"/>
  <c r="AC266" i="23"/>
  <c r="AC264" i="23"/>
  <c r="AC288" i="23"/>
  <c r="EM6" i="33" s="1"/>
  <c r="AC278" i="23"/>
  <c r="AC267" i="23"/>
  <c r="AC265" i="23"/>
  <c r="AC291" i="23"/>
  <c r="EM9" i="33" s="1"/>
  <c r="AC289" i="23"/>
  <c r="EM7" i="33" s="1"/>
  <c r="AC277" i="23"/>
  <c r="AC276" i="23"/>
  <c r="J278" i="23"/>
  <c r="J289" i="23"/>
  <c r="J265" i="23"/>
  <c r="J291" i="23"/>
  <c r="J279" i="23"/>
  <c r="J276" i="23"/>
  <c r="J277" i="23"/>
  <c r="J266" i="23"/>
  <c r="J267" i="23"/>
  <c r="J264" i="23"/>
  <c r="J290" i="23"/>
  <c r="J288" i="23"/>
  <c r="B283" i="23"/>
  <c r="F292" i="23"/>
  <c r="F280" i="23"/>
  <c r="F268" i="23"/>
  <c r="I171" i="23"/>
  <c r="I182" i="23"/>
  <c r="I158" i="23"/>
  <c r="I180" i="23"/>
  <c r="I170" i="23"/>
  <c r="I168" i="23"/>
  <c r="I156" i="23"/>
  <c r="I183" i="23"/>
  <c r="I159" i="23"/>
  <c r="I181" i="23"/>
  <c r="I169" i="23"/>
  <c r="I157" i="23"/>
  <c r="O173" i="23"/>
  <c r="O185" i="23"/>
  <c r="O161" i="23"/>
  <c r="J185" i="23"/>
  <c r="J161" i="23"/>
  <c r="J173" i="23"/>
  <c r="K172" i="23"/>
  <c r="K184" i="23"/>
  <c r="K160" i="23"/>
  <c r="D185" i="23"/>
  <c r="D161" i="23"/>
  <c r="D173" i="23"/>
  <c r="T180" i="23"/>
  <c r="T156" i="23"/>
  <c r="T183" i="23"/>
  <c r="T159" i="23"/>
  <c r="T157" i="23"/>
  <c r="T169" i="23"/>
  <c r="T170" i="23"/>
  <c r="T182" i="23"/>
  <c r="T171" i="23"/>
  <c r="T168" i="23"/>
  <c r="T158" i="23"/>
  <c r="T181" i="23"/>
  <c r="G474" i="23"/>
  <c r="G369" i="23"/>
  <c r="G260" i="23"/>
  <c r="G259" i="23"/>
  <c r="G368" i="23"/>
  <c r="K81" i="23"/>
  <c r="K69" i="23"/>
  <c r="K57" i="23"/>
  <c r="N45" i="23"/>
  <c r="N151" i="23"/>
  <c r="N259" i="23"/>
  <c r="N260" i="23"/>
  <c r="N152" i="23"/>
  <c r="N368" i="23"/>
  <c r="N369" i="23"/>
  <c r="N473" i="23"/>
  <c r="C80" i="23"/>
  <c r="C68" i="23"/>
  <c r="C56" i="23"/>
  <c r="C66" i="23"/>
  <c r="C78" i="23"/>
  <c r="C54" i="23"/>
  <c r="J80" i="23"/>
  <c r="J56" i="23"/>
  <c r="J68" i="23"/>
  <c r="X81" i="23"/>
  <c r="X69" i="23"/>
  <c r="X57" i="23"/>
  <c r="I67" i="23"/>
  <c r="I79" i="23"/>
  <c r="I55" i="23"/>
  <c r="P54" i="23"/>
  <c r="P78" i="23"/>
  <c r="P66" i="23"/>
  <c r="AB69" i="23"/>
  <c r="AB57" i="23"/>
  <c r="AB81" i="23"/>
  <c r="I506" i="23"/>
  <c r="I494" i="23"/>
  <c r="I482" i="23"/>
  <c r="O503" i="23"/>
  <c r="O502" i="23"/>
  <c r="O479" i="23"/>
  <c r="O505" i="23"/>
  <c r="O504" i="23"/>
  <c r="O493" i="23"/>
  <c r="O478" i="23"/>
  <c r="O490" i="23"/>
  <c r="O481" i="23"/>
  <c r="O480" i="23"/>
  <c r="O492" i="23"/>
  <c r="O491" i="23"/>
  <c r="R496" i="23"/>
  <c r="R508" i="23"/>
  <c r="R484" i="23"/>
  <c r="AB508" i="23"/>
  <c r="AB484" i="23"/>
  <c r="AB496" i="23"/>
  <c r="Y506" i="23"/>
  <c r="Y482" i="23"/>
  <c r="Y494" i="23"/>
  <c r="C509" i="23"/>
  <c r="C497" i="23"/>
  <c r="C485" i="23"/>
  <c r="T389" i="23"/>
  <c r="T401" i="23"/>
  <c r="S391" i="23"/>
  <c r="S379" i="23"/>
  <c r="S403" i="23"/>
  <c r="W403" i="23"/>
  <c r="W391" i="23"/>
  <c r="W379" i="23"/>
  <c r="L380" i="23"/>
  <c r="L392" i="23"/>
  <c r="L404" i="23"/>
  <c r="C392" i="23"/>
  <c r="C404" i="23"/>
  <c r="C380" i="23"/>
  <c r="O404" i="23"/>
  <c r="O392" i="23"/>
  <c r="O380" i="23"/>
  <c r="W390" i="23"/>
  <c r="W402" i="23"/>
  <c r="W378" i="23"/>
  <c r="R294" i="23"/>
  <c r="R270" i="23"/>
  <c r="R282" i="23"/>
  <c r="P283" i="23"/>
  <c r="P271" i="23"/>
  <c r="P295" i="23"/>
  <c r="D276" i="23"/>
  <c r="D279" i="23"/>
  <c r="D289" i="23"/>
  <c r="D277" i="23"/>
  <c r="D267" i="23"/>
  <c r="D291" i="23"/>
  <c r="D290" i="23"/>
  <c r="D288" i="23"/>
  <c r="D278" i="23"/>
  <c r="D266" i="23"/>
  <c r="D264" i="23"/>
  <c r="D265" i="23"/>
  <c r="AC295" i="23"/>
  <c r="EM13" i="33" s="1"/>
  <c r="AC271" i="23"/>
  <c r="AC283" i="23"/>
  <c r="R281" i="23"/>
  <c r="R293" i="23"/>
  <c r="R269" i="23"/>
  <c r="B292" i="23"/>
  <c r="AG10" i="33" s="1"/>
  <c r="B280" i="23"/>
  <c r="B268" i="23"/>
  <c r="W173" i="23"/>
  <c r="W185" i="23"/>
  <c r="W161" i="23"/>
  <c r="Y172" i="23"/>
  <c r="Y160" i="23"/>
  <c r="Y184" i="23"/>
  <c r="AA185" i="23"/>
  <c r="AA161" i="23"/>
  <c r="AA173" i="23"/>
  <c r="AC160" i="23"/>
  <c r="AC184" i="23"/>
  <c r="EI10" i="33" s="1"/>
  <c r="AC172" i="23"/>
  <c r="H168" i="23"/>
  <c r="H171" i="23"/>
  <c r="H183" i="23"/>
  <c r="H180" i="23"/>
  <c r="H181" i="23"/>
  <c r="H169" i="23"/>
  <c r="H159" i="23"/>
  <c r="H156" i="23"/>
  <c r="H170" i="23"/>
  <c r="H182" i="23"/>
  <c r="H158" i="23"/>
  <c r="H157" i="23"/>
  <c r="Z187" i="23"/>
  <c r="Z175" i="23"/>
  <c r="Z163" i="23"/>
  <c r="L180" i="23"/>
  <c r="L156" i="23"/>
  <c r="L183" i="23"/>
  <c r="L159" i="23"/>
  <c r="L181" i="23"/>
  <c r="L171" i="23"/>
  <c r="L169" i="23"/>
  <c r="L157" i="23"/>
  <c r="L170" i="23"/>
  <c r="L182" i="23"/>
  <c r="L158" i="23"/>
  <c r="L168" i="23"/>
  <c r="C69" i="23"/>
  <c r="C81" i="23"/>
  <c r="C57" i="23"/>
  <c r="L66" i="23"/>
  <c r="L54" i="23"/>
  <c r="L78" i="23"/>
  <c r="F473" i="23"/>
  <c r="F151" i="23"/>
  <c r="F260" i="23"/>
  <c r="F46" i="23"/>
  <c r="F259" i="23"/>
  <c r="F368" i="23"/>
  <c r="F369" i="23"/>
  <c r="Y66" i="23"/>
  <c r="Y54" i="23"/>
  <c r="Y78" i="23"/>
  <c r="W503" i="23"/>
  <c r="W502" i="23"/>
  <c r="W493" i="23"/>
  <c r="W490" i="23"/>
  <c r="W479" i="23"/>
  <c r="W492" i="23"/>
  <c r="W478" i="23"/>
  <c r="W481" i="23"/>
  <c r="W504" i="23"/>
  <c r="W505" i="23"/>
  <c r="W491" i="23"/>
  <c r="W480" i="23"/>
  <c r="AC497" i="23"/>
  <c r="AC509" i="23"/>
  <c r="EU13" i="33" s="1"/>
  <c r="AC485" i="23"/>
  <c r="Q401" i="23"/>
  <c r="Q389" i="23"/>
  <c r="Q377" i="23"/>
  <c r="AA403" i="23"/>
  <c r="AA379" i="23"/>
  <c r="AA391" i="23"/>
  <c r="H391" i="23"/>
  <c r="H403" i="23"/>
  <c r="H379" i="23"/>
  <c r="Y404" i="23"/>
  <c r="Y392" i="23"/>
  <c r="Y380" i="23"/>
  <c r="AB392" i="23"/>
  <c r="AB404" i="23"/>
  <c r="AB380" i="23"/>
  <c r="K392" i="23"/>
  <c r="K404" i="23"/>
  <c r="K380" i="23"/>
  <c r="W404" i="23"/>
  <c r="W380" i="23"/>
  <c r="W392" i="23"/>
  <c r="J294" i="23"/>
  <c r="J270" i="23"/>
  <c r="J282" i="23"/>
  <c r="Q184" i="23"/>
  <c r="Q172" i="23"/>
  <c r="Q160" i="23"/>
  <c r="W280" i="23"/>
  <c r="W292" i="23"/>
  <c r="W268" i="23"/>
  <c r="H173" i="23"/>
  <c r="H185" i="23"/>
  <c r="H161" i="23"/>
  <c r="S172" i="23"/>
  <c r="S160" i="23"/>
  <c r="S184" i="23"/>
  <c r="V170" i="23"/>
  <c r="V181" i="23"/>
  <c r="V157" i="23"/>
  <c r="V171" i="23"/>
  <c r="V169" i="23"/>
  <c r="V159" i="23"/>
  <c r="V183" i="23"/>
  <c r="V180" i="23"/>
  <c r="V168" i="23"/>
  <c r="V156" i="23"/>
  <c r="V158" i="23"/>
  <c r="V182" i="23"/>
  <c r="X168" i="23"/>
  <c r="X171" i="23"/>
  <c r="X181" i="23"/>
  <c r="X182" i="23"/>
  <c r="X183" i="23"/>
  <c r="X157" i="23"/>
  <c r="X158" i="23"/>
  <c r="X159" i="23"/>
  <c r="X156" i="23"/>
  <c r="X170" i="23"/>
  <c r="X180" i="23"/>
  <c r="X169" i="23"/>
  <c r="G46" i="23"/>
  <c r="T80" i="23"/>
  <c r="T68" i="23"/>
  <c r="T56" i="23"/>
  <c r="D78" i="23"/>
  <c r="D54" i="23"/>
  <c r="D66" i="23"/>
  <c r="S79" i="23"/>
  <c r="S55" i="23"/>
  <c r="S67" i="23"/>
  <c r="Z77" i="23"/>
  <c r="Z75" i="23"/>
  <c r="Z52" i="23"/>
  <c r="Z76" i="23"/>
  <c r="Z65" i="23"/>
  <c r="Z64" i="23"/>
  <c r="Z51" i="23"/>
  <c r="Z53" i="23"/>
  <c r="Z63" i="23"/>
  <c r="Z74" i="23"/>
  <c r="Z50" i="23"/>
  <c r="Z62" i="23"/>
  <c r="Q66" i="23"/>
  <c r="Q78" i="23"/>
  <c r="Q54" i="23"/>
  <c r="X65" i="23"/>
  <c r="X77" i="23"/>
  <c r="X62" i="23"/>
  <c r="X76" i="23"/>
  <c r="X50" i="23"/>
  <c r="X75" i="23"/>
  <c r="X53" i="23"/>
  <c r="X74" i="23"/>
  <c r="X51" i="23"/>
  <c r="X52" i="23"/>
  <c r="X64" i="23"/>
  <c r="X63" i="23"/>
  <c r="V506" i="23"/>
  <c r="V482" i="23"/>
  <c r="V494" i="23"/>
  <c r="B504" i="23"/>
  <c r="AO8" i="33" s="1"/>
  <c r="B502" i="23"/>
  <c r="AO6" i="33" s="1"/>
  <c r="B503" i="23"/>
  <c r="AO7" i="33" s="1"/>
  <c r="B490" i="23"/>
  <c r="B480" i="23"/>
  <c r="B491" i="23"/>
  <c r="B478" i="23"/>
  <c r="B492" i="23"/>
  <c r="B479" i="23"/>
  <c r="B505" i="23"/>
  <c r="AO9" i="33" s="1"/>
  <c r="B493" i="23"/>
  <c r="B481" i="23"/>
  <c r="B496" i="23"/>
  <c r="B508" i="23"/>
  <c r="AO12" i="33" s="1"/>
  <c r="B484" i="23"/>
  <c r="O508" i="23"/>
  <c r="O496" i="23"/>
  <c r="O484" i="23"/>
  <c r="I401" i="23"/>
  <c r="I389" i="23"/>
  <c r="I377" i="23"/>
  <c r="G401" i="23"/>
  <c r="G389" i="23"/>
  <c r="D403" i="23"/>
  <c r="D379" i="23"/>
  <c r="D391" i="23"/>
  <c r="P391" i="23"/>
  <c r="P403" i="23"/>
  <c r="P379" i="23"/>
  <c r="E404" i="23"/>
  <c r="E392" i="23"/>
  <c r="E380" i="23"/>
  <c r="M404" i="23"/>
  <c r="CN13" i="33" s="1"/>
  <c r="M392" i="23"/>
  <c r="M380" i="23"/>
  <c r="S392" i="23"/>
  <c r="S404" i="23"/>
  <c r="S380" i="23"/>
  <c r="R402" i="23"/>
  <c r="R390" i="23"/>
  <c r="R378" i="23"/>
  <c r="B294" i="23"/>
  <c r="AG12" i="33" s="1"/>
  <c r="B270" i="23"/>
  <c r="B282" i="23"/>
  <c r="Y294" i="23"/>
  <c r="Y270" i="23"/>
  <c r="Y282" i="23"/>
  <c r="N283" i="23"/>
  <c r="N295" i="23"/>
  <c r="N271" i="23"/>
  <c r="T276" i="23"/>
  <c r="T279" i="23"/>
  <c r="T291" i="23"/>
  <c r="T265" i="23"/>
  <c r="T290" i="23"/>
  <c r="T289" i="23"/>
  <c r="T288" i="23"/>
  <c r="T278" i="23"/>
  <c r="T277" i="23"/>
  <c r="T266" i="23"/>
  <c r="T264" i="23"/>
  <c r="T267" i="23"/>
  <c r="G277" i="23"/>
  <c r="G288" i="23"/>
  <c r="G264" i="23"/>
  <c r="G290" i="23"/>
  <c r="G278" i="23"/>
  <c r="G289" i="23"/>
  <c r="G279" i="23"/>
  <c r="G276" i="23"/>
  <c r="G267" i="23"/>
  <c r="G265" i="23"/>
  <c r="G291" i="23"/>
  <c r="G266" i="23"/>
  <c r="G283" i="23"/>
  <c r="G271" i="23"/>
  <c r="G295" i="23"/>
  <c r="F271" i="23"/>
  <c r="F283" i="23"/>
  <c r="F295" i="23"/>
  <c r="I160" i="23"/>
  <c r="I184" i="23"/>
  <c r="I172" i="23"/>
  <c r="X184" i="23"/>
  <c r="X160" i="23"/>
  <c r="X172" i="23"/>
  <c r="W175" i="23"/>
  <c r="W187" i="23"/>
  <c r="W163" i="23"/>
  <c r="P161" i="23"/>
  <c r="P185" i="23"/>
  <c r="P173" i="23"/>
  <c r="M186" i="23"/>
  <c r="CF12" i="33" s="1"/>
  <c r="M162" i="23"/>
  <c r="M174" i="23"/>
  <c r="G184" i="23"/>
  <c r="G160" i="23"/>
  <c r="G172" i="23"/>
  <c r="D180" i="23"/>
  <c r="D156" i="23"/>
  <c r="D183" i="23"/>
  <c r="D159" i="23"/>
  <c r="D182" i="23"/>
  <c r="D157" i="23"/>
  <c r="D181" i="23"/>
  <c r="D171" i="23"/>
  <c r="D168" i="23"/>
  <c r="D158" i="23"/>
  <c r="D170" i="23"/>
  <c r="D169" i="23"/>
  <c r="L80" i="23"/>
  <c r="L68" i="23"/>
  <c r="L56" i="23"/>
  <c r="Y57" i="23"/>
  <c r="Y81" i="23"/>
  <c r="Y69" i="23"/>
  <c r="R79" i="23"/>
  <c r="R67" i="23"/>
  <c r="R55" i="23"/>
  <c r="R77" i="23"/>
  <c r="R75" i="23"/>
  <c r="R65" i="23"/>
  <c r="R52" i="23"/>
  <c r="R74" i="23"/>
  <c r="R64" i="23"/>
  <c r="R51" i="23"/>
  <c r="R76" i="23"/>
  <c r="R62" i="23"/>
  <c r="R50" i="23"/>
  <c r="R53" i="23"/>
  <c r="R63" i="23"/>
  <c r="Y68" i="23"/>
  <c r="Y80" i="23"/>
  <c r="Y56" i="23"/>
  <c r="H80" i="23"/>
  <c r="H68" i="23"/>
  <c r="H56" i="23"/>
  <c r="P65" i="23"/>
  <c r="P77" i="23"/>
  <c r="P76" i="23"/>
  <c r="P62" i="23"/>
  <c r="P75" i="23"/>
  <c r="P74" i="23"/>
  <c r="P50" i="23"/>
  <c r="P53" i="23"/>
  <c r="P51" i="23"/>
  <c r="P63" i="23"/>
  <c r="P52" i="23"/>
  <c r="P64" i="23"/>
  <c r="V81" i="23"/>
  <c r="V69" i="23"/>
  <c r="V57" i="23"/>
  <c r="V75" i="23"/>
  <c r="V74" i="23"/>
  <c r="V64" i="23"/>
  <c r="V77" i="23"/>
  <c r="V62" i="23"/>
  <c r="V76" i="23"/>
  <c r="V52" i="23"/>
  <c r="V65" i="23"/>
  <c r="V63" i="23"/>
  <c r="V53" i="23"/>
  <c r="V50" i="23"/>
  <c r="V51" i="23"/>
  <c r="H495" i="23"/>
  <c r="H507" i="23"/>
  <c r="H483" i="23"/>
  <c r="B507" i="23"/>
  <c r="AO11" i="33" s="1"/>
  <c r="B495" i="23"/>
  <c r="B483" i="23"/>
  <c r="D507" i="23"/>
  <c r="D495" i="23"/>
  <c r="D483" i="23"/>
  <c r="H503" i="23"/>
  <c r="H490" i="23"/>
  <c r="H504" i="23"/>
  <c r="H505" i="23"/>
  <c r="H492" i="23"/>
  <c r="H493" i="23"/>
  <c r="H480" i="23"/>
  <c r="H478" i="23"/>
  <c r="H502" i="23"/>
  <c r="H481" i="23"/>
  <c r="H491" i="23"/>
  <c r="H479" i="23"/>
  <c r="U502" i="23"/>
  <c r="U505" i="23"/>
  <c r="U503" i="23"/>
  <c r="U504" i="23"/>
  <c r="U481" i="23"/>
  <c r="U493" i="23"/>
  <c r="U490" i="23"/>
  <c r="U479" i="23"/>
  <c r="U491" i="23"/>
  <c r="U480" i="23"/>
  <c r="U492" i="23"/>
  <c r="U478" i="23"/>
  <c r="K494" i="23"/>
  <c r="K506" i="23"/>
  <c r="K482" i="23"/>
  <c r="AA509" i="23"/>
  <c r="AA497" i="23"/>
  <c r="AA485" i="23"/>
  <c r="Y507" i="23"/>
  <c r="Y483" i="23"/>
  <c r="Y495" i="23"/>
  <c r="Z496" i="23"/>
  <c r="Z508" i="23"/>
  <c r="Z484" i="23"/>
  <c r="T402" i="23"/>
  <c r="T390" i="23"/>
  <c r="T378" i="23"/>
  <c r="O389" i="23"/>
  <c r="O401" i="23"/>
  <c r="O377" i="23"/>
  <c r="L401" i="23"/>
  <c r="L389" i="23"/>
  <c r="L377" i="23"/>
  <c r="B397" i="23"/>
  <c r="AK6" i="33" s="1"/>
  <c r="B387" i="23"/>
  <c r="B400" i="23"/>
  <c r="AK9" i="33" s="1"/>
  <c r="B385" i="23"/>
  <c r="B399" i="23"/>
  <c r="AK8" i="33" s="1"/>
  <c r="B398" i="23"/>
  <c r="AK7" i="33" s="1"/>
  <c r="B375" i="23"/>
  <c r="B373" i="23"/>
  <c r="B388" i="23"/>
  <c r="B386" i="23"/>
  <c r="B376" i="23"/>
  <c r="B374" i="23"/>
  <c r="F398" i="23"/>
  <c r="F397" i="23"/>
  <c r="F399" i="23"/>
  <c r="F400" i="23"/>
  <c r="F385" i="23"/>
  <c r="F373" i="23"/>
  <c r="F387" i="23"/>
  <c r="F375" i="23"/>
  <c r="F386" i="23"/>
  <c r="F376" i="23"/>
  <c r="F374" i="23"/>
  <c r="F388" i="23"/>
  <c r="X399" i="23"/>
  <c r="X400" i="23"/>
  <c r="X397" i="23"/>
  <c r="X387" i="23"/>
  <c r="X398" i="23"/>
  <c r="X375" i="23"/>
  <c r="X386" i="23"/>
  <c r="X374" i="23"/>
  <c r="X385" i="23"/>
  <c r="X388" i="23"/>
  <c r="X376" i="23"/>
  <c r="X373" i="23"/>
  <c r="AA390" i="23"/>
  <c r="AA378" i="23"/>
  <c r="AA402" i="23"/>
  <c r="F290" i="23"/>
  <c r="F266" i="23"/>
  <c r="F277" i="23"/>
  <c r="F267" i="23"/>
  <c r="F291" i="23"/>
  <c r="F288" i="23"/>
  <c r="F289" i="23"/>
  <c r="F278" i="23"/>
  <c r="F279" i="23"/>
  <c r="F276" i="23"/>
  <c r="F264" i="23"/>
  <c r="F265" i="23"/>
  <c r="AA289" i="23"/>
  <c r="AA265" i="23"/>
  <c r="AA276" i="23"/>
  <c r="AA290" i="23"/>
  <c r="AA264" i="23"/>
  <c r="AA267" i="23"/>
  <c r="AA266" i="23"/>
  <c r="AA291" i="23"/>
  <c r="AA288" i="23"/>
  <c r="AA279" i="23"/>
  <c r="AA278" i="23"/>
  <c r="AA277" i="23"/>
  <c r="V403" i="23"/>
  <c r="V391" i="23"/>
  <c r="V379" i="23"/>
  <c r="J403" i="23"/>
  <c r="J391" i="23"/>
  <c r="J379" i="23"/>
  <c r="AA292" i="23"/>
  <c r="AA268" i="23"/>
  <c r="AA280" i="23"/>
  <c r="X282" i="23"/>
  <c r="X270" i="23"/>
  <c r="X294" i="23"/>
  <c r="Z294" i="23"/>
  <c r="Z270" i="23"/>
  <c r="Z282" i="23"/>
  <c r="Z281" i="23"/>
  <c r="Z293" i="23"/>
  <c r="Z269" i="23"/>
  <c r="AB292" i="23"/>
  <c r="AB268" i="23"/>
  <c r="AB280" i="23"/>
  <c r="G280" i="23"/>
  <c r="G268" i="23"/>
  <c r="G292" i="23"/>
  <c r="C281" i="23"/>
  <c r="C293" i="23"/>
  <c r="C269" i="23"/>
  <c r="L295" i="23"/>
  <c r="L271" i="23"/>
  <c r="L283" i="23"/>
  <c r="I187" i="23"/>
  <c r="I163" i="23"/>
  <c r="I175" i="23"/>
  <c r="I174" i="23"/>
  <c r="I162" i="23"/>
  <c r="I186" i="23"/>
  <c r="H174" i="23"/>
  <c r="H186" i="23"/>
  <c r="H162" i="23"/>
  <c r="F172" i="23"/>
  <c r="F160" i="23"/>
  <c r="F184" i="23"/>
  <c r="D175" i="23"/>
  <c r="D187" i="23"/>
  <c r="D163" i="23"/>
  <c r="E175" i="23"/>
  <c r="E163" i="23"/>
  <c r="E187" i="23"/>
  <c r="J184" i="23"/>
  <c r="J160" i="23"/>
  <c r="J172" i="23"/>
  <c r="R172" i="23"/>
  <c r="R160" i="23"/>
  <c r="R184" i="23"/>
  <c r="F170" i="23"/>
  <c r="F181" i="23"/>
  <c r="F157" i="23"/>
  <c r="F169" i="23"/>
  <c r="F159" i="23"/>
  <c r="F183" i="23"/>
  <c r="F171" i="23"/>
  <c r="F182" i="23"/>
  <c r="F168" i="23"/>
  <c r="F156" i="23"/>
  <c r="F180" i="23"/>
  <c r="F158" i="23"/>
  <c r="AB80" i="23"/>
  <c r="AB68" i="23"/>
  <c r="AB56" i="23"/>
  <c r="J69" i="23"/>
  <c r="J81" i="23"/>
  <c r="J57" i="23"/>
  <c r="K55" i="23"/>
  <c r="K79" i="23"/>
  <c r="K67" i="23"/>
  <c r="K74" i="23"/>
  <c r="K63" i="23"/>
  <c r="K77" i="23"/>
  <c r="K76" i="23"/>
  <c r="K51" i="23"/>
  <c r="K75" i="23"/>
  <c r="K62" i="23"/>
  <c r="K52" i="23"/>
  <c r="K64" i="23"/>
  <c r="K53" i="23"/>
  <c r="K65" i="23"/>
  <c r="K50" i="23"/>
  <c r="I46" i="23"/>
  <c r="R68" i="23"/>
  <c r="R56" i="23"/>
  <c r="R80" i="23"/>
  <c r="R78" i="23"/>
  <c r="R66" i="23"/>
  <c r="R54" i="23"/>
  <c r="P81" i="23"/>
  <c r="P69" i="23"/>
  <c r="P57" i="23"/>
  <c r="G81" i="23"/>
  <c r="G69" i="23"/>
  <c r="G57" i="23"/>
  <c r="U46" i="23"/>
  <c r="G68" i="23"/>
  <c r="G80" i="23"/>
  <c r="G56" i="23"/>
  <c r="Z162" i="23"/>
  <c r="E81" i="23"/>
  <c r="E57" i="23"/>
  <c r="E69" i="23"/>
  <c r="N78" i="23"/>
  <c r="N66" i="23"/>
  <c r="N54" i="23"/>
  <c r="AC76" i="23"/>
  <c r="EE8" i="33" s="1"/>
  <c r="AC65" i="23"/>
  <c r="AC53" i="23"/>
  <c r="AC64" i="23"/>
  <c r="AC75" i="23"/>
  <c r="EE7" i="33" s="1"/>
  <c r="AC74" i="23"/>
  <c r="EE6" i="33" s="1"/>
  <c r="AC52" i="23"/>
  <c r="AC50" i="23"/>
  <c r="AC63" i="23"/>
  <c r="AC51" i="23"/>
  <c r="AC62" i="23"/>
  <c r="AC77" i="23"/>
  <c r="EE9" i="33" s="1"/>
  <c r="AB63" i="23"/>
  <c r="J507" i="23"/>
  <c r="J495" i="23"/>
  <c r="J483" i="23"/>
  <c r="L507" i="23"/>
  <c r="L483" i="23"/>
  <c r="L495" i="23"/>
  <c r="X503" i="23"/>
  <c r="X490" i="23"/>
  <c r="X493" i="23"/>
  <c r="X504" i="23"/>
  <c r="X505" i="23"/>
  <c r="X491" i="23"/>
  <c r="X480" i="23"/>
  <c r="X492" i="23"/>
  <c r="X478" i="23"/>
  <c r="X481" i="23"/>
  <c r="X502" i="23"/>
  <c r="X479" i="23"/>
  <c r="AC502" i="23"/>
  <c r="EU6" i="33" s="1"/>
  <c r="AC505" i="23"/>
  <c r="EU9" i="33" s="1"/>
  <c r="AC503" i="23"/>
  <c r="EU7" i="33" s="1"/>
  <c r="AC504" i="23"/>
  <c r="EU8" i="33" s="1"/>
  <c r="AC492" i="23"/>
  <c r="AC481" i="23"/>
  <c r="AC479" i="23"/>
  <c r="AC490" i="23"/>
  <c r="AC480" i="23"/>
  <c r="AC493" i="23"/>
  <c r="AC491" i="23"/>
  <c r="AC478" i="23"/>
  <c r="AA494" i="23"/>
  <c r="AA506" i="23"/>
  <c r="AA482" i="23"/>
  <c r="G506" i="23"/>
  <c r="G494" i="23"/>
  <c r="G482" i="23"/>
  <c r="G509" i="23"/>
  <c r="G485" i="23"/>
  <c r="G497" i="23"/>
  <c r="X509" i="23"/>
  <c r="X497" i="23"/>
  <c r="X485" i="23"/>
  <c r="D497" i="23"/>
  <c r="D509" i="23"/>
  <c r="D485" i="23"/>
  <c r="E507" i="23"/>
  <c r="E495" i="23"/>
  <c r="E483" i="23"/>
  <c r="C496" i="23"/>
  <c r="C484" i="23"/>
  <c r="C508" i="23"/>
  <c r="U390" i="23"/>
  <c r="U402" i="23"/>
  <c r="U378" i="23"/>
  <c r="L390" i="23"/>
  <c r="L402" i="23"/>
  <c r="L378" i="23"/>
  <c r="J397" i="23"/>
  <c r="J387" i="23"/>
  <c r="J399" i="23"/>
  <c r="J385" i="23"/>
  <c r="J376" i="23"/>
  <c r="J386" i="23"/>
  <c r="J388" i="23"/>
  <c r="J373" i="23"/>
  <c r="J400" i="23"/>
  <c r="J375" i="23"/>
  <c r="J398" i="23"/>
  <c r="J374" i="23"/>
  <c r="N400" i="23"/>
  <c r="N398" i="23"/>
  <c r="N399" i="23"/>
  <c r="N385" i="23"/>
  <c r="N373" i="23"/>
  <c r="N388" i="23"/>
  <c r="N375" i="23"/>
  <c r="N374" i="23"/>
  <c r="N387" i="23"/>
  <c r="N376" i="23"/>
  <c r="N397" i="23"/>
  <c r="N386" i="23"/>
  <c r="H392" i="23"/>
  <c r="H404" i="23"/>
  <c r="H380" i="23"/>
  <c r="T392" i="23"/>
  <c r="T380" i="23"/>
  <c r="T404" i="23"/>
  <c r="N391" i="23"/>
  <c r="N379" i="23"/>
  <c r="N403" i="23"/>
  <c r="M292" i="23"/>
  <c r="CJ10" i="33" s="1"/>
  <c r="M280" i="23"/>
  <c r="M268" i="23"/>
  <c r="G294" i="23"/>
  <c r="G282" i="23"/>
  <c r="G270" i="23"/>
  <c r="D294" i="23"/>
  <c r="D282" i="23"/>
  <c r="D270" i="23"/>
  <c r="G293" i="23"/>
  <c r="G269" i="23"/>
  <c r="G281" i="23"/>
  <c r="AC268" i="23"/>
  <c r="AC292" i="23"/>
  <c r="EM10" i="33" s="1"/>
  <c r="AC280" i="23"/>
  <c r="V290" i="23"/>
  <c r="V266" i="23"/>
  <c r="V277" i="23"/>
  <c r="V265" i="23"/>
  <c r="V289" i="23"/>
  <c r="V279" i="23"/>
  <c r="V288" i="23"/>
  <c r="V278" i="23"/>
  <c r="V276" i="23"/>
  <c r="V267" i="23"/>
  <c r="V264" i="23"/>
  <c r="V291" i="23"/>
  <c r="S283" i="23"/>
  <c r="S271" i="23"/>
  <c r="S295" i="23"/>
  <c r="Q280" i="23"/>
  <c r="Q268" i="23"/>
  <c r="Q292" i="23"/>
  <c r="U282" i="23"/>
  <c r="U270" i="23"/>
  <c r="U294" i="23"/>
  <c r="M295" i="23"/>
  <c r="CJ13" i="33" s="1"/>
  <c r="M271" i="23"/>
  <c r="M283" i="23"/>
  <c r="AA186" i="23"/>
  <c r="AA174" i="23"/>
  <c r="AA162" i="23"/>
  <c r="Q174" i="23"/>
  <c r="Q186" i="23"/>
  <c r="Q162" i="23"/>
  <c r="T174" i="23"/>
  <c r="T186" i="23"/>
  <c r="T162" i="23"/>
  <c r="L161" i="23"/>
  <c r="L185" i="23"/>
  <c r="L173" i="23"/>
  <c r="S162" i="23"/>
  <c r="S186" i="23"/>
  <c r="S174" i="23"/>
  <c r="P187" i="23"/>
  <c r="P163" i="23"/>
  <c r="P175" i="23"/>
  <c r="T175" i="23"/>
  <c r="T187" i="23"/>
  <c r="T163" i="23"/>
  <c r="M175" i="23"/>
  <c r="M163" i="23"/>
  <c r="M187" i="23"/>
  <c r="CF13" i="33" s="1"/>
  <c r="C169" i="23"/>
  <c r="C180" i="23"/>
  <c r="C156" i="23"/>
  <c r="C168" i="23"/>
  <c r="C158" i="23"/>
  <c r="C170" i="23"/>
  <c r="C181" i="23"/>
  <c r="C171" i="23"/>
  <c r="C157" i="23"/>
  <c r="C159" i="23"/>
  <c r="C182" i="23"/>
  <c r="C183" i="23"/>
  <c r="W181" i="23"/>
  <c r="W157" i="23"/>
  <c r="W168" i="23"/>
  <c r="W158" i="23"/>
  <c r="W182" i="23"/>
  <c r="W156" i="23"/>
  <c r="W180" i="23"/>
  <c r="W170" i="23"/>
  <c r="W171" i="23"/>
  <c r="W183" i="23"/>
  <c r="W159" i="23"/>
  <c r="W169" i="23"/>
  <c r="P68" i="23"/>
  <c r="P80" i="23"/>
  <c r="P56" i="23"/>
  <c r="C55" i="23"/>
  <c r="C79" i="23"/>
  <c r="C67" i="23"/>
  <c r="J66" i="23"/>
  <c r="J78" i="23"/>
  <c r="J54" i="23"/>
  <c r="H81" i="23"/>
  <c r="H69" i="23"/>
  <c r="H57" i="23"/>
  <c r="X80" i="23"/>
  <c r="X68" i="23"/>
  <c r="X56" i="23"/>
  <c r="H54" i="23"/>
  <c r="H78" i="23"/>
  <c r="H66" i="23"/>
  <c r="K46" i="23"/>
  <c r="V56" i="23"/>
  <c r="V80" i="23"/>
  <c r="V68" i="23"/>
  <c r="G78" i="23"/>
  <c r="G66" i="23"/>
  <c r="G54" i="23"/>
  <c r="Z186" i="23"/>
  <c r="F78" i="23"/>
  <c r="F66" i="23"/>
  <c r="F54" i="23"/>
  <c r="D69" i="23"/>
  <c r="D81" i="23"/>
  <c r="D57" i="23"/>
  <c r="M80" i="23"/>
  <c r="CB12" i="33" s="1"/>
  <c r="M68" i="23"/>
  <c r="M56" i="23"/>
  <c r="U76" i="23"/>
  <c r="U53" i="23"/>
  <c r="U74" i="23"/>
  <c r="U64" i="23"/>
  <c r="U77" i="23"/>
  <c r="U52" i="23"/>
  <c r="U75" i="23"/>
  <c r="U50" i="23"/>
  <c r="U51" i="23"/>
  <c r="U62" i="23"/>
  <c r="U63" i="23"/>
  <c r="U65" i="23"/>
  <c r="T45" i="23"/>
  <c r="AB74" i="23"/>
  <c r="R507" i="23"/>
  <c r="R495" i="23"/>
  <c r="R483" i="23"/>
  <c r="T507" i="23"/>
  <c r="T495" i="23"/>
  <c r="T483" i="23"/>
  <c r="J504" i="23"/>
  <c r="J502" i="23"/>
  <c r="J503" i="23"/>
  <c r="J480" i="23"/>
  <c r="J490" i="23"/>
  <c r="J478" i="23"/>
  <c r="J491" i="23"/>
  <c r="J479" i="23"/>
  <c r="J493" i="23"/>
  <c r="J492" i="23"/>
  <c r="J481" i="23"/>
  <c r="J505" i="23"/>
  <c r="D502" i="23"/>
  <c r="D505" i="23"/>
  <c r="D493" i="23"/>
  <c r="D478" i="23"/>
  <c r="D480" i="23"/>
  <c r="D503" i="23"/>
  <c r="D481" i="23"/>
  <c r="D492" i="23"/>
  <c r="D491" i="23"/>
  <c r="D490" i="23"/>
  <c r="D504" i="23"/>
  <c r="D479" i="23"/>
  <c r="F505" i="23"/>
  <c r="F492" i="23"/>
  <c r="F503" i="23"/>
  <c r="F491" i="23"/>
  <c r="F504" i="23"/>
  <c r="F493" i="23"/>
  <c r="F480" i="23"/>
  <c r="F490" i="23"/>
  <c r="F502" i="23"/>
  <c r="F478" i="23"/>
  <c r="F481" i="23"/>
  <c r="F479" i="23"/>
  <c r="E494" i="23"/>
  <c r="E506" i="23"/>
  <c r="E482" i="23"/>
  <c r="M494" i="23"/>
  <c r="M506" i="23"/>
  <c r="CR10" i="33" s="1"/>
  <c r="M482" i="23"/>
  <c r="O506" i="23"/>
  <c r="O494" i="23"/>
  <c r="O482" i="23"/>
  <c r="D494" i="23"/>
  <c r="D482" i="23"/>
  <c r="D506" i="23"/>
  <c r="K509" i="23"/>
  <c r="K497" i="23"/>
  <c r="K485" i="23"/>
  <c r="I509" i="23"/>
  <c r="I485" i="23"/>
  <c r="I497" i="23"/>
  <c r="L497" i="23"/>
  <c r="L509" i="23"/>
  <c r="L485" i="23"/>
  <c r="U507" i="23"/>
  <c r="U483" i="23"/>
  <c r="U495" i="23"/>
  <c r="X508" i="23"/>
  <c r="X496" i="23"/>
  <c r="X484" i="23"/>
  <c r="U508" i="23"/>
  <c r="U496" i="23"/>
  <c r="U484" i="23"/>
  <c r="I496" i="23"/>
  <c r="I508" i="23"/>
  <c r="I484" i="23"/>
  <c r="M390" i="23"/>
  <c r="M402" i="23"/>
  <c r="CN11" i="33" s="1"/>
  <c r="M378" i="23"/>
  <c r="D390" i="23"/>
  <c r="D402" i="23"/>
  <c r="D378" i="23"/>
  <c r="Y402" i="23"/>
  <c r="Y390" i="23"/>
  <c r="Y378" i="23"/>
  <c r="H402" i="23"/>
  <c r="H390" i="23"/>
  <c r="H378" i="23"/>
  <c r="Q398" i="23"/>
  <c r="Q397" i="23"/>
  <c r="Q387" i="23"/>
  <c r="Q399" i="23"/>
  <c r="Q388" i="23"/>
  <c r="Q400" i="23"/>
  <c r="Q386" i="23"/>
  <c r="Q374" i="23"/>
  <c r="Q375" i="23"/>
  <c r="Q376" i="23"/>
  <c r="Q373" i="23"/>
  <c r="Q385" i="23"/>
  <c r="R397" i="23"/>
  <c r="R387" i="23"/>
  <c r="R398" i="23"/>
  <c r="R385" i="23"/>
  <c r="R375" i="23"/>
  <c r="R376" i="23"/>
  <c r="R400" i="23"/>
  <c r="R399" i="23"/>
  <c r="R386" i="23"/>
  <c r="R373" i="23"/>
  <c r="R388" i="23"/>
  <c r="R374" i="23"/>
  <c r="V399" i="23"/>
  <c r="V400" i="23"/>
  <c r="V397" i="23"/>
  <c r="V387" i="23"/>
  <c r="V398" i="23"/>
  <c r="V385" i="23"/>
  <c r="V373" i="23"/>
  <c r="V386" i="23"/>
  <c r="V374" i="23"/>
  <c r="V375" i="23"/>
  <c r="V388" i="23"/>
  <c r="V376" i="23"/>
  <c r="S402" i="23"/>
  <c r="S390" i="23"/>
  <c r="S378" i="23"/>
  <c r="AC398" i="23"/>
  <c r="EQ7" i="33" s="1"/>
  <c r="AC388" i="23"/>
  <c r="AC386" i="23"/>
  <c r="AC397" i="23"/>
  <c r="EQ6" i="33" s="1"/>
  <c r="AC374" i="23"/>
  <c r="AC375" i="23"/>
  <c r="AC400" i="23"/>
  <c r="EQ9" i="33" s="1"/>
  <c r="AC399" i="23"/>
  <c r="EQ8" i="33" s="1"/>
  <c r="AC373" i="23"/>
  <c r="AC376" i="23"/>
  <c r="AC387" i="23"/>
  <c r="AC385" i="23"/>
  <c r="E398" i="23"/>
  <c r="E388" i="23"/>
  <c r="E386" i="23"/>
  <c r="E400" i="23"/>
  <c r="E399" i="23"/>
  <c r="E397" i="23"/>
  <c r="E373" i="23"/>
  <c r="E387" i="23"/>
  <c r="E375" i="23"/>
  <c r="E376" i="23"/>
  <c r="E374" i="23"/>
  <c r="E385" i="23"/>
  <c r="I291" i="23"/>
  <c r="I267" i="23"/>
  <c r="I278" i="23"/>
  <c r="I264" i="23"/>
  <c r="I288" i="23"/>
  <c r="I279" i="23"/>
  <c r="I276" i="23"/>
  <c r="I277" i="23"/>
  <c r="I266" i="23"/>
  <c r="I265" i="23"/>
  <c r="I289" i="23"/>
  <c r="I290" i="23"/>
  <c r="E403" i="23"/>
  <c r="E391" i="23"/>
  <c r="E379" i="23"/>
  <c r="Z391" i="23"/>
  <c r="Z403" i="23"/>
  <c r="Z379" i="23"/>
  <c r="O277" i="23"/>
  <c r="O288" i="23"/>
  <c r="O264" i="23"/>
  <c r="O276" i="23"/>
  <c r="O266" i="23"/>
  <c r="O290" i="23"/>
  <c r="O265" i="23"/>
  <c r="O291" i="23"/>
  <c r="O289" i="23"/>
  <c r="O278" i="23"/>
  <c r="O279" i="23"/>
  <c r="O267" i="23"/>
  <c r="Q294" i="23"/>
  <c r="Q270" i="23"/>
  <c r="Q282" i="23"/>
  <c r="L270" i="23"/>
  <c r="L294" i="23"/>
  <c r="L282" i="23"/>
  <c r="AB281" i="23"/>
  <c r="AB293" i="23"/>
  <c r="AB269" i="23"/>
  <c r="J281" i="23"/>
  <c r="J269" i="23"/>
  <c r="J293" i="23"/>
  <c r="O293" i="23"/>
  <c r="O269" i="23"/>
  <c r="O281" i="23"/>
  <c r="N268" i="23"/>
  <c r="N292" i="23"/>
  <c r="N280" i="23"/>
  <c r="H288" i="23"/>
  <c r="H264" i="23"/>
  <c r="H291" i="23"/>
  <c r="H267" i="23"/>
  <c r="H277" i="23"/>
  <c r="H265" i="23"/>
  <c r="H290" i="23"/>
  <c r="H279" i="23"/>
  <c r="H278" i="23"/>
  <c r="H276" i="23"/>
  <c r="H266" i="23"/>
  <c r="H289" i="23"/>
  <c r="AA270" i="23"/>
  <c r="AA294" i="23"/>
  <c r="AA282" i="23"/>
  <c r="C292" i="23"/>
  <c r="C268" i="23"/>
  <c r="C280" i="23"/>
  <c r="R163" i="23"/>
  <c r="R187" i="23"/>
  <c r="R175" i="23"/>
  <c r="E282" i="23"/>
  <c r="E270" i="23"/>
  <c r="E294" i="23"/>
  <c r="U295" i="23"/>
  <c r="U271" i="23"/>
  <c r="U283" i="23"/>
  <c r="K174" i="23"/>
  <c r="K186" i="23"/>
  <c r="K162" i="23"/>
  <c r="F186" i="23"/>
  <c r="F162" i="23"/>
  <c r="F174" i="23"/>
  <c r="Y174" i="23"/>
  <c r="Y162" i="23"/>
  <c r="Y186" i="23"/>
  <c r="I173" i="23"/>
  <c r="I185" i="23"/>
  <c r="I161" i="23"/>
  <c r="D186" i="23"/>
  <c r="D162" i="23"/>
  <c r="D174" i="23"/>
  <c r="T185" i="23"/>
  <c r="T173" i="23"/>
  <c r="T161" i="23"/>
  <c r="C162" i="23"/>
  <c r="C186" i="23"/>
  <c r="C174" i="23"/>
  <c r="U175" i="23"/>
  <c r="U187" i="23"/>
  <c r="U163" i="23"/>
  <c r="S169" i="23"/>
  <c r="S180" i="23"/>
  <c r="S156" i="23"/>
  <c r="S170" i="23"/>
  <c r="S168" i="23"/>
  <c r="S158" i="23"/>
  <c r="S182" i="23"/>
  <c r="S183" i="23"/>
  <c r="S157" i="23"/>
  <c r="S171" i="23"/>
  <c r="S159" i="23"/>
  <c r="S181" i="23"/>
  <c r="P168" i="23"/>
  <c r="P171" i="23"/>
  <c r="P169" i="23"/>
  <c r="P159" i="23"/>
  <c r="P183" i="23"/>
  <c r="P157" i="23"/>
  <c r="P181" i="23"/>
  <c r="P182" i="23"/>
  <c r="P180" i="23"/>
  <c r="P158" i="23"/>
  <c r="P156" i="23"/>
  <c r="P170" i="23"/>
  <c r="D68" i="23"/>
  <c r="D80" i="23"/>
  <c r="D56" i="23"/>
  <c r="F68" i="23"/>
  <c r="F56" i="23"/>
  <c r="F80" i="23"/>
  <c r="B80" i="23"/>
  <c r="Y12" i="33" s="1"/>
  <c r="B68" i="23"/>
  <c r="B56" i="23"/>
  <c r="B78" i="23"/>
  <c r="Y10" i="33" s="1"/>
  <c r="B66" i="23"/>
  <c r="B54" i="23"/>
  <c r="I66" i="23"/>
  <c r="I78" i="23"/>
  <c r="I54" i="23"/>
  <c r="M173" i="23"/>
  <c r="W67" i="23"/>
  <c r="W55" i="23"/>
  <c r="W79" i="23"/>
  <c r="O76" i="23"/>
  <c r="O74" i="23"/>
  <c r="O51" i="23"/>
  <c r="O65" i="23"/>
  <c r="O75" i="23"/>
  <c r="O63" i="23"/>
  <c r="O50" i="23"/>
  <c r="O64" i="23"/>
  <c r="O77" i="23"/>
  <c r="O62" i="23"/>
  <c r="O52" i="23"/>
  <c r="O53" i="23"/>
  <c r="U80" i="23"/>
  <c r="U68" i="23"/>
  <c r="U56" i="23"/>
  <c r="W76" i="23"/>
  <c r="W74" i="23"/>
  <c r="W51" i="23"/>
  <c r="W77" i="23"/>
  <c r="W65" i="23"/>
  <c r="W63" i="23"/>
  <c r="W50" i="23"/>
  <c r="W64" i="23"/>
  <c r="W62" i="23"/>
  <c r="W52" i="23"/>
  <c r="W53" i="23"/>
  <c r="W75" i="23"/>
  <c r="L69" i="23"/>
  <c r="L81" i="23"/>
  <c r="L57" i="23"/>
  <c r="N56" i="23"/>
  <c r="N80" i="23"/>
  <c r="N68" i="23"/>
  <c r="S46" i="23"/>
  <c r="E80" i="23"/>
  <c r="E68" i="23"/>
  <c r="E56" i="23"/>
  <c r="AB62" i="23"/>
  <c r="P495" i="23"/>
  <c r="P483" i="23"/>
  <c r="P507" i="23"/>
  <c r="Z507" i="23"/>
  <c r="Z495" i="23"/>
  <c r="Z483" i="23"/>
  <c r="AB507" i="23"/>
  <c r="AB495" i="23"/>
  <c r="AB483" i="23"/>
  <c r="L502" i="23"/>
  <c r="L505" i="23"/>
  <c r="L493" i="23"/>
  <c r="L503" i="23"/>
  <c r="L478" i="23"/>
  <c r="L492" i="23"/>
  <c r="L504" i="23"/>
  <c r="L480" i="23"/>
  <c r="L491" i="23"/>
  <c r="L490" i="23"/>
  <c r="L479" i="23"/>
  <c r="L481" i="23"/>
  <c r="N505" i="23"/>
  <c r="N492" i="23"/>
  <c r="N503" i="23"/>
  <c r="N491" i="23"/>
  <c r="N480" i="23"/>
  <c r="N504" i="23"/>
  <c r="N493" i="23"/>
  <c r="N478" i="23"/>
  <c r="N502" i="23"/>
  <c r="N479" i="23"/>
  <c r="N481" i="23"/>
  <c r="N490" i="23"/>
  <c r="U494" i="23"/>
  <c r="U506" i="23"/>
  <c r="U482" i="23"/>
  <c r="AC494" i="23"/>
  <c r="AC506" i="23"/>
  <c r="EU10" i="33" s="1"/>
  <c r="AC482" i="23"/>
  <c r="W506" i="23"/>
  <c r="W494" i="23"/>
  <c r="W482" i="23"/>
  <c r="L494" i="23"/>
  <c r="L506" i="23"/>
  <c r="L482" i="23"/>
  <c r="N497" i="23"/>
  <c r="N485" i="23"/>
  <c r="N509" i="23"/>
  <c r="Q509" i="23"/>
  <c r="Q485" i="23"/>
  <c r="Q497" i="23"/>
  <c r="T497" i="23"/>
  <c r="T509" i="23"/>
  <c r="T485" i="23"/>
  <c r="F495" i="23"/>
  <c r="F507" i="23"/>
  <c r="F483" i="23"/>
  <c r="D508" i="23"/>
  <c r="D496" i="23"/>
  <c r="D484" i="23"/>
  <c r="AC508" i="23"/>
  <c r="EU12" i="33" s="1"/>
  <c r="AC496" i="23"/>
  <c r="AC484" i="23"/>
  <c r="Q496" i="23"/>
  <c r="Q508" i="23"/>
  <c r="Q484" i="23"/>
  <c r="E390" i="23"/>
  <c r="E402" i="23"/>
  <c r="E378" i="23"/>
  <c r="Y401" i="23"/>
  <c r="Y389" i="23"/>
  <c r="Y377" i="23"/>
  <c r="AC389" i="23"/>
  <c r="AC401" i="23"/>
  <c r="EQ10" i="33" s="1"/>
  <c r="AC377" i="23"/>
  <c r="O368" i="23"/>
  <c r="Z397" i="23"/>
  <c r="Z387" i="23"/>
  <c r="Z385" i="23"/>
  <c r="Z374" i="23"/>
  <c r="Z400" i="23"/>
  <c r="Z399" i="23"/>
  <c r="Z398" i="23"/>
  <c r="Z375" i="23"/>
  <c r="Z388" i="23"/>
  <c r="Z376" i="23"/>
  <c r="Z373" i="23"/>
  <c r="Z386" i="23"/>
  <c r="G400" i="23"/>
  <c r="G386" i="23"/>
  <c r="G398" i="23"/>
  <c r="G397" i="23"/>
  <c r="G376" i="23"/>
  <c r="G388" i="23"/>
  <c r="G387" i="23"/>
  <c r="G375" i="23"/>
  <c r="G374" i="23"/>
  <c r="G385" i="23"/>
  <c r="G399" i="23"/>
  <c r="G373" i="23"/>
  <c r="C390" i="23"/>
  <c r="C402" i="23"/>
  <c r="C378" i="23"/>
  <c r="J402" i="23"/>
  <c r="J390" i="23"/>
  <c r="J378" i="23"/>
  <c r="I398" i="23"/>
  <c r="I399" i="23"/>
  <c r="I400" i="23"/>
  <c r="I388" i="23"/>
  <c r="I386" i="23"/>
  <c r="I397" i="23"/>
  <c r="I374" i="23"/>
  <c r="I376" i="23"/>
  <c r="I385" i="23"/>
  <c r="I373" i="23"/>
  <c r="I387" i="23"/>
  <c r="I375" i="23"/>
  <c r="D399" i="23"/>
  <c r="D400" i="23"/>
  <c r="D385" i="23"/>
  <c r="D388" i="23"/>
  <c r="D375" i="23"/>
  <c r="D397" i="23"/>
  <c r="D387" i="23"/>
  <c r="D398" i="23"/>
  <c r="D373" i="23"/>
  <c r="D386" i="23"/>
  <c r="D376" i="23"/>
  <c r="D374" i="23"/>
  <c r="Y398" i="23"/>
  <c r="Y400" i="23"/>
  <c r="Y397" i="23"/>
  <c r="Y387" i="23"/>
  <c r="Y374" i="23"/>
  <c r="Y388" i="23"/>
  <c r="Y399" i="23"/>
  <c r="Y386" i="23"/>
  <c r="Y385" i="23"/>
  <c r="Y375" i="23"/>
  <c r="Y376" i="23"/>
  <c r="Y373" i="23"/>
  <c r="Q291" i="23"/>
  <c r="Q267" i="23"/>
  <c r="Q278" i="23"/>
  <c r="Q290" i="23"/>
  <c r="Q264" i="23"/>
  <c r="Q289" i="23"/>
  <c r="Q288" i="23"/>
  <c r="Q279" i="23"/>
  <c r="Q277" i="23"/>
  <c r="Q276" i="23"/>
  <c r="Q265" i="23"/>
  <c r="Q266" i="23"/>
  <c r="X404" i="23"/>
  <c r="X392" i="23"/>
  <c r="X380" i="23"/>
  <c r="M403" i="23"/>
  <c r="CN12" i="33" s="1"/>
  <c r="M391" i="23"/>
  <c r="M379" i="23"/>
  <c r="E279" i="23"/>
  <c r="E290" i="23"/>
  <c r="E266" i="23"/>
  <c r="E276" i="23"/>
  <c r="E264" i="23"/>
  <c r="E291" i="23"/>
  <c r="E288" i="23"/>
  <c r="E289" i="23"/>
  <c r="E278" i="23"/>
  <c r="E277" i="23"/>
  <c r="E265" i="23"/>
  <c r="E267" i="23"/>
  <c r="M279" i="23"/>
  <c r="M290" i="23"/>
  <c r="CJ8" i="33" s="1"/>
  <c r="M266" i="23"/>
  <c r="M276" i="23"/>
  <c r="M267" i="23"/>
  <c r="M264" i="23"/>
  <c r="M265" i="23"/>
  <c r="M291" i="23"/>
  <c r="CJ9" i="33" s="1"/>
  <c r="M289" i="23"/>
  <c r="CJ7" i="33" s="1"/>
  <c r="M288" i="23"/>
  <c r="CJ6" i="33" s="1"/>
  <c r="M277" i="23"/>
  <c r="M278" i="23"/>
  <c r="AC282" i="23"/>
  <c r="AC294" i="23"/>
  <c r="EM12" i="33" s="1"/>
  <c r="AC270" i="23"/>
  <c r="T294" i="23"/>
  <c r="T282" i="23"/>
  <c r="T270" i="23"/>
  <c r="L269" i="23"/>
  <c r="L293" i="23"/>
  <c r="L281" i="23"/>
  <c r="T281" i="23"/>
  <c r="T269" i="23"/>
  <c r="T293" i="23"/>
  <c r="W293" i="23"/>
  <c r="W269" i="23"/>
  <c r="W281" i="23"/>
  <c r="S292" i="23"/>
  <c r="S268" i="23"/>
  <c r="S280" i="23"/>
  <c r="V280" i="23"/>
  <c r="V268" i="23"/>
  <c r="V292" i="23"/>
  <c r="Z278" i="23"/>
  <c r="Z289" i="23"/>
  <c r="Z265" i="23"/>
  <c r="Z277" i="23"/>
  <c r="Z267" i="23"/>
  <c r="Z276" i="23"/>
  <c r="Z266" i="23"/>
  <c r="Z264" i="23"/>
  <c r="Z291" i="23"/>
  <c r="Z290" i="23"/>
  <c r="Z288" i="23"/>
  <c r="Z279" i="23"/>
  <c r="H282" i="23"/>
  <c r="H270" i="23"/>
  <c r="H294" i="23"/>
  <c r="J187" i="23"/>
  <c r="J163" i="23"/>
  <c r="J175" i="23"/>
  <c r="X185" i="23"/>
  <c r="X173" i="23"/>
  <c r="X161" i="23"/>
  <c r="Y185" i="23"/>
  <c r="Y161" i="23"/>
  <c r="Y173" i="23"/>
  <c r="N186" i="23"/>
  <c r="N162" i="23"/>
  <c r="N174" i="23"/>
  <c r="E186" i="23"/>
  <c r="E162" i="23"/>
  <c r="E174" i="23"/>
  <c r="AA172" i="23"/>
  <c r="AA184" i="23"/>
  <c r="AA160" i="23"/>
  <c r="F173" i="23"/>
  <c r="F161" i="23"/>
  <c r="F185" i="23"/>
  <c r="V173" i="23"/>
  <c r="V161" i="23"/>
  <c r="V185" i="23"/>
  <c r="Q173" i="23"/>
  <c r="Q185" i="23"/>
  <c r="Q161" i="23"/>
  <c r="AB173" i="23"/>
  <c r="AB161" i="23"/>
  <c r="AB185" i="23"/>
  <c r="N172" i="23"/>
  <c r="N160" i="23"/>
  <c r="N184" i="23"/>
  <c r="H187" i="23"/>
  <c r="H163" i="23"/>
  <c r="H175" i="23"/>
  <c r="L175" i="23"/>
  <c r="L163" i="23"/>
  <c r="L187" i="23"/>
  <c r="AC175" i="23"/>
  <c r="AC187" i="23"/>
  <c r="EI13" i="33" s="1"/>
  <c r="AC163" i="23"/>
  <c r="O181" i="23"/>
  <c r="O157" i="23"/>
  <c r="O168" i="23"/>
  <c r="O182" i="23"/>
  <c r="O180" i="23"/>
  <c r="O170" i="23"/>
  <c r="O158" i="23"/>
  <c r="O169" i="23"/>
  <c r="O183" i="23"/>
  <c r="O171" i="23"/>
  <c r="O159" i="23"/>
  <c r="O156" i="23"/>
  <c r="G187" i="23"/>
  <c r="G163" i="23"/>
  <c r="G175" i="23"/>
  <c r="AA169" i="23"/>
  <c r="AA180" i="23"/>
  <c r="AA156" i="23"/>
  <c r="AA182" i="23"/>
  <c r="AA183" i="23"/>
  <c r="AA168" i="23"/>
  <c r="AA158" i="23"/>
  <c r="AA159" i="23"/>
  <c r="AA171" i="23"/>
  <c r="AA170" i="23"/>
  <c r="AA181" i="23"/>
  <c r="AA157" i="23"/>
  <c r="Z79" i="23"/>
  <c r="Z67" i="23"/>
  <c r="Z55" i="23"/>
  <c r="I76" i="23"/>
  <c r="I74" i="23"/>
  <c r="I65" i="23"/>
  <c r="I77" i="23"/>
  <c r="I63" i="23"/>
  <c r="I53" i="23"/>
  <c r="I64" i="23"/>
  <c r="I62" i="23"/>
  <c r="I50" i="23"/>
  <c r="I75" i="23"/>
  <c r="I51" i="23"/>
  <c r="I52" i="23"/>
  <c r="N75" i="23"/>
  <c r="N64" i="23"/>
  <c r="N76" i="23"/>
  <c r="N62" i="23"/>
  <c r="N52" i="23"/>
  <c r="N74" i="23"/>
  <c r="N63" i="23"/>
  <c r="N77" i="23"/>
  <c r="N53" i="23"/>
  <c r="N65" i="23"/>
  <c r="N51" i="23"/>
  <c r="N50" i="23"/>
  <c r="G76" i="23"/>
  <c r="G74" i="23"/>
  <c r="G75" i="23"/>
  <c r="G65" i="23"/>
  <c r="G77" i="23"/>
  <c r="G63" i="23"/>
  <c r="G50" i="23"/>
  <c r="G64" i="23"/>
  <c r="G52" i="23"/>
  <c r="G53" i="23"/>
  <c r="G62" i="23"/>
  <c r="G51" i="23"/>
  <c r="M76" i="23"/>
  <c r="CB8" i="33" s="1"/>
  <c r="M77" i="23"/>
  <c r="CB9" i="33" s="1"/>
  <c r="M53" i="23"/>
  <c r="M64" i="23"/>
  <c r="M75" i="23"/>
  <c r="CB7" i="33" s="1"/>
  <c r="M65" i="23"/>
  <c r="M52" i="23"/>
  <c r="M50" i="23"/>
  <c r="M63" i="23"/>
  <c r="M62" i="23"/>
  <c r="M51" i="23"/>
  <c r="M74" i="23"/>
  <c r="CB6" i="33" s="1"/>
  <c r="T69" i="23"/>
  <c r="T81" i="23"/>
  <c r="T57" i="23"/>
  <c r="U67" i="23"/>
  <c r="U79" i="23"/>
  <c r="U55" i="23"/>
  <c r="E76" i="23"/>
  <c r="E53" i="23"/>
  <c r="E75" i="23"/>
  <c r="E64" i="23"/>
  <c r="E74" i="23"/>
  <c r="E65" i="23"/>
  <c r="E77" i="23"/>
  <c r="E52" i="23"/>
  <c r="E50" i="23"/>
  <c r="E51" i="23"/>
  <c r="E63" i="23"/>
  <c r="E62" i="23"/>
  <c r="AB64" i="23"/>
  <c r="C507" i="23"/>
  <c r="C483" i="23"/>
  <c r="C495" i="23"/>
  <c r="G495" i="23"/>
  <c r="G507" i="23"/>
  <c r="G483" i="23"/>
  <c r="C504" i="23"/>
  <c r="C491" i="23"/>
  <c r="C502" i="23"/>
  <c r="C505" i="23"/>
  <c r="C490" i="23"/>
  <c r="C481" i="23"/>
  <c r="C503" i="23"/>
  <c r="C492" i="23"/>
  <c r="C479" i="23"/>
  <c r="C493" i="23"/>
  <c r="C478" i="23"/>
  <c r="C480" i="23"/>
  <c r="K504" i="23"/>
  <c r="K491" i="23"/>
  <c r="K502" i="23"/>
  <c r="K505" i="23"/>
  <c r="K490" i="23"/>
  <c r="K493" i="23"/>
  <c r="K481" i="23"/>
  <c r="K479" i="23"/>
  <c r="K492" i="23"/>
  <c r="K480" i="23"/>
  <c r="K503" i="23"/>
  <c r="K478" i="23"/>
  <c r="T502" i="23"/>
  <c r="T505" i="23"/>
  <c r="T493" i="23"/>
  <c r="T478" i="23"/>
  <c r="T503" i="23"/>
  <c r="T491" i="23"/>
  <c r="T480" i="23"/>
  <c r="T479" i="23"/>
  <c r="T504" i="23"/>
  <c r="T481" i="23"/>
  <c r="T492" i="23"/>
  <c r="T490" i="23"/>
  <c r="T494" i="23"/>
  <c r="T482" i="23"/>
  <c r="T506" i="23"/>
  <c r="O509" i="23"/>
  <c r="O497" i="23"/>
  <c r="O485" i="23"/>
  <c r="Y509" i="23"/>
  <c r="Y485" i="23"/>
  <c r="Y497" i="23"/>
  <c r="AB497" i="23"/>
  <c r="AB509" i="23"/>
  <c r="AB485" i="23"/>
  <c r="V495" i="23"/>
  <c r="V507" i="23"/>
  <c r="V483" i="23"/>
  <c r="AA496" i="23"/>
  <c r="AA508" i="23"/>
  <c r="AA484" i="23"/>
  <c r="F508" i="23"/>
  <c r="F484" i="23"/>
  <c r="F496" i="23"/>
  <c r="Y496" i="23"/>
  <c r="Y508" i="23"/>
  <c r="Y484" i="23"/>
  <c r="R401" i="23"/>
  <c r="R377" i="23"/>
  <c r="R389" i="23"/>
  <c r="C400" i="23"/>
  <c r="C388" i="23"/>
  <c r="C398" i="23"/>
  <c r="C399" i="23"/>
  <c r="C376" i="23"/>
  <c r="C397" i="23"/>
  <c r="C387" i="23"/>
  <c r="C375" i="23"/>
  <c r="C373" i="23"/>
  <c r="C386" i="23"/>
  <c r="C374" i="23"/>
  <c r="C385" i="23"/>
  <c r="O400" i="23"/>
  <c r="O386" i="23"/>
  <c r="O397" i="23"/>
  <c r="O376" i="23"/>
  <c r="O388" i="23"/>
  <c r="O385" i="23"/>
  <c r="O375" i="23"/>
  <c r="O374" i="23"/>
  <c r="O387" i="23"/>
  <c r="O399" i="23"/>
  <c r="O398" i="23"/>
  <c r="O373" i="23"/>
  <c r="Y291" i="23"/>
  <c r="Y267" i="23"/>
  <c r="Y278" i="23"/>
  <c r="Y276" i="23"/>
  <c r="Y266" i="23"/>
  <c r="Y290" i="23"/>
  <c r="Y279" i="23"/>
  <c r="Y277" i="23"/>
  <c r="Y265" i="23"/>
  <c r="Y264" i="23"/>
  <c r="Y289" i="23"/>
  <c r="Y288" i="23"/>
  <c r="I392" i="23"/>
  <c r="I380" i="23"/>
  <c r="I404" i="23"/>
  <c r="U391" i="23"/>
  <c r="U403" i="23"/>
  <c r="U379" i="23"/>
  <c r="I379" i="23"/>
  <c r="I391" i="23"/>
  <c r="I403" i="23"/>
  <c r="X283" i="23"/>
  <c r="X271" i="23"/>
  <c r="X295" i="23"/>
  <c r="M282" i="23"/>
  <c r="M270" i="23"/>
  <c r="M294" i="23"/>
  <c r="CJ12" i="33" s="1"/>
  <c r="V282" i="23"/>
  <c r="V270" i="23"/>
  <c r="V294" i="23"/>
  <c r="AB270" i="23"/>
  <c r="AB294" i="23"/>
  <c r="AB282" i="23"/>
  <c r="Z268" i="23"/>
  <c r="Z292" i="23"/>
  <c r="Z280" i="23"/>
  <c r="K281" i="23"/>
  <c r="K269" i="23"/>
  <c r="K293" i="23"/>
  <c r="K282" i="23"/>
  <c r="K270" i="23"/>
  <c r="K294" i="23"/>
  <c r="X280" i="23"/>
  <c r="X268" i="23"/>
  <c r="X292" i="23"/>
  <c r="V293" i="23"/>
  <c r="V269" i="23"/>
  <c r="V281" i="23"/>
  <c r="R271" i="23"/>
  <c r="R295" i="23"/>
  <c r="R283" i="23"/>
  <c r="B175" i="23"/>
  <c r="B163" i="23"/>
  <c r="B187" i="23"/>
  <c r="AC13" i="33" s="1"/>
  <c r="V295" i="23"/>
  <c r="V283" i="23"/>
  <c r="V271" i="23"/>
  <c r="B271" i="23"/>
  <c r="N173" i="23"/>
  <c r="N185" i="23"/>
  <c r="N161" i="23"/>
  <c r="V186" i="23"/>
  <c r="V162" i="23"/>
  <c r="V174" i="23"/>
  <c r="M160" i="23"/>
  <c r="M184" i="23"/>
  <c r="CF10" i="33" s="1"/>
  <c r="M172" i="23"/>
  <c r="C185" i="23"/>
  <c r="C161" i="23"/>
  <c r="C173" i="23"/>
  <c r="B185" i="23"/>
  <c r="AC11" i="33" s="1"/>
  <c r="B161" i="23"/>
  <c r="B173" i="23"/>
  <c r="V184" i="23"/>
  <c r="V160" i="23"/>
  <c r="V172" i="23"/>
  <c r="P186" i="23"/>
  <c r="P162" i="23"/>
  <c r="P174" i="23"/>
  <c r="X187" i="23"/>
  <c r="X163" i="23"/>
  <c r="X175" i="23"/>
  <c r="F163" i="23"/>
  <c r="F187" i="23"/>
  <c r="F175" i="23"/>
  <c r="E183" i="23"/>
  <c r="E159" i="23"/>
  <c r="E170" i="23"/>
  <c r="E182" i="23"/>
  <c r="E180" i="23"/>
  <c r="E168" i="23"/>
  <c r="E158" i="23"/>
  <c r="E171" i="23"/>
  <c r="E156" i="23"/>
  <c r="E181" i="23"/>
  <c r="E169" i="23"/>
  <c r="E157" i="23"/>
  <c r="L67" i="23"/>
  <c r="L79" i="23"/>
  <c r="L55" i="23"/>
  <c r="O79" i="23"/>
  <c r="O55" i="23"/>
  <c r="O67" i="23"/>
  <c r="Q76" i="23"/>
  <c r="Q74" i="23"/>
  <c r="Q75" i="23"/>
  <c r="Q65" i="23"/>
  <c r="Q63" i="23"/>
  <c r="Q53" i="23"/>
  <c r="Q77" i="23"/>
  <c r="Q64" i="23"/>
  <c r="Q62" i="23"/>
  <c r="Q51" i="23"/>
  <c r="Q52" i="23"/>
  <c r="Q50" i="23"/>
  <c r="AC79" i="23"/>
  <c r="EE11" i="33" s="1"/>
  <c r="AC67" i="23"/>
  <c r="AC55" i="23"/>
  <c r="F75" i="23"/>
  <c r="F64" i="23"/>
  <c r="F74" i="23"/>
  <c r="F62" i="23"/>
  <c r="F77" i="23"/>
  <c r="F52" i="23"/>
  <c r="F63" i="23"/>
  <c r="F53" i="23"/>
  <c r="F51" i="23"/>
  <c r="F65" i="23"/>
  <c r="F50" i="23"/>
  <c r="F76" i="23"/>
  <c r="AB67" i="23"/>
  <c r="AB79" i="23"/>
  <c r="AB55" i="23"/>
  <c r="M79" i="23"/>
  <c r="CB11" i="33" s="1"/>
  <c r="M67" i="23"/>
  <c r="M55" i="23"/>
  <c r="AB53" i="23"/>
  <c r="AB76" i="23"/>
  <c r="AC507" i="23"/>
  <c r="EU11" i="33" s="1"/>
  <c r="AC495" i="23"/>
  <c r="AC483" i="23"/>
  <c r="K507" i="23"/>
  <c r="K483" i="23"/>
  <c r="K495" i="23"/>
  <c r="O495" i="23"/>
  <c r="O507" i="23"/>
  <c r="O483" i="23"/>
  <c r="S504" i="23"/>
  <c r="S491" i="23"/>
  <c r="S502" i="23"/>
  <c r="S505" i="23"/>
  <c r="S490" i="23"/>
  <c r="S492" i="23"/>
  <c r="S481" i="23"/>
  <c r="S479" i="23"/>
  <c r="S503" i="23"/>
  <c r="S478" i="23"/>
  <c r="S493" i="23"/>
  <c r="S480" i="23"/>
  <c r="AA504" i="23"/>
  <c r="AA491" i="23"/>
  <c r="AA502" i="23"/>
  <c r="AA505" i="23"/>
  <c r="AA490" i="23"/>
  <c r="AA492" i="23"/>
  <c r="AA481" i="23"/>
  <c r="AA479" i="23"/>
  <c r="AA478" i="23"/>
  <c r="AA480" i="23"/>
  <c r="AA493" i="23"/>
  <c r="AA503" i="23"/>
  <c r="AB502" i="23"/>
  <c r="AB505" i="23"/>
  <c r="AB493" i="23"/>
  <c r="AB504" i="23"/>
  <c r="AB478" i="23"/>
  <c r="AB503" i="23"/>
  <c r="AB490" i="23"/>
  <c r="AB480" i="23"/>
  <c r="AB481" i="23"/>
  <c r="AB492" i="23"/>
  <c r="AB491" i="23"/>
  <c r="AB479" i="23"/>
  <c r="I493" i="23"/>
  <c r="I504" i="23"/>
  <c r="I492" i="23"/>
  <c r="I503" i="23"/>
  <c r="I505" i="23"/>
  <c r="I502" i="23"/>
  <c r="I481" i="23"/>
  <c r="I491" i="23"/>
  <c r="I479" i="23"/>
  <c r="I478" i="23"/>
  <c r="I490" i="23"/>
  <c r="I480" i="23"/>
  <c r="B506" i="23"/>
  <c r="AO10" i="33" s="1"/>
  <c r="B494" i="23"/>
  <c r="B482" i="23"/>
  <c r="P506" i="23"/>
  <c r="P482" i="23"/>
  <c r="P494" i="23"/>
  <c r="AB494" i="23"/>
  <c r="AB506" i="23"/>
  <c r="AB482" i="23"/>
  <c r="S509" i="23"/>
  <c r="S497" i="23"/>
  <c r="S485" i="23"/>
  <c r="B509" i="23"/>
  <c r="AO13" i="33" s="1"/>
  <c r="B497" i="23"/>
  <c r="B485" i="23"/>
  <c r="E497" i="23"/>
  <c r="E509" i="23"/>
  <c r="E485" i="23"/>
  <c r="N508" i="23"/>
  <c r="N484" i="23"/>
  <c r="N496" i="23"/>
  <c r="S401" i="23"/>
  <c r="S389" i="23"/>
  <c r="S377" i="23"/>
  <c r="J401" i="23"/>
  <c r="J377" i="23"/>
  <c r="J389" i="23"/>
  <c r="V401" i="23"/>
  <c r="V389" i="23"/>
  <c r="V377" i="23"/>
  <c r="T399" i="23"/>
  <c r="T385" i="23"/>
  <c r="T388" i="23"/>
  <c r="T375" i="23"/>
  <c r="T400" i="23"/>
  <c r="T397" i="23"/>
  <c r="T387" i="23"/>
  <c r="T376" i="23"/>
  <c r="T386" i="23"/>
  <c r="T373" i="23"/>
  <c r="T398" i="23"/>
  <c r="T374" i="23"/>
  <c r="K400" i="23"/>
  <c r="K399" i="23"/>
  <c r="K388" i="23"/>
  <c r="K398" i="23"/>
  <c r="K397" i="23"/>
  <c r="K376" i="23"/>
  <c r="K386" i="23"/>
  <c r="K385" i="23"/>
  <c r="K373" i="23"/>
  <c r="K375" i="23"/>
  <c r="K387" i="23"/>
  <c r="K374" i="23"/>
  <c r="W400" i="23"/>
  <c r="W386" i="23"/>
  <c r="W376" i="23"/>
  <c r="W388" i="23"/>
  <c r="W387" i="23"/>
  <c r="W374" i="23"/>
  <c r="W399" i="23"/>
  <c r="W398" i="23"/>
  <c r="W397" i="23"/>
  <c r="W385" i="23"/>
  <c r="W375" i="23"/>
  <c r="W373" i="23"/>
  <c r="O402" i="23"/>
  <c r="O378" i="23"/>
  <c r="O390" i="23"/>
  <c r="C289" i="23"/>
  <c r="C265" i="23"/>
  <c r="C276" i="23"/>
  <c r="C266" i="23"/>
  <c r="C290" i="23"/>
  <c r="C291" i="23"/>
  <c r="C288" i="23"/>
  <c r="C279" i="23"/>
  <c r="C277" i="23"/>
  <c r="C278" i="23"/>
  <c r="C267" i="23"/>
  <c r="C264" i="23"/>
  <c r="AC391" i="23"/>
  <c r="AC403" i="23"/>
  <c r="EQ12" i="33" s="1"/>
  <c r="AC379" i="23"/>
  <c r="S294" i="23"/>
  <c r="S282" i="23"/>
  <c r="S270" i="23"/>
  <c r="P294" i="23"/>
  <c r="P282" i="23"/>
  <c r="P270" i="23"/>
  <c r="W282" i="23"/>
  <c r="W270" i="23"/>
  <c r="W294" i="23"/>
  <c r="K292" i="23"/>
  <c r="K268" i="23"/>
  <c r="K280" i="23"/>
  <c r="U281" i="23"/>
  <c r="U269" i="23"/>
  <c r="U293" i="23"/>
  <c r="Q293" i="23"/>
  <c r="Q281" i="23"/>
  <c r="Q269" i="23"/>
  <c r="H281" i="23"/>
  <c r="H269" i="23"/>
  <c r="H293" i="23"/>
  <c r="D292" i="23"/>
  <c r="D268" i="23"/>
  <c r="D280" i="23"/>
  <c r="E293" i="23"/>
  <c r="E281" i="23"/>
  <c r="E269" i="23"/>
  <c r="C295" i="23"/>
  <c r="C283" i="23"/>
  <c r="C271" i="23"/>
  <c r="B295" i="23"/>
  <c r="AG13" i="33" s="1"/>
  <c r="AB186" i="23"/>
  <c r="AB162" i="23"/>
  <c r="AB174" i="23"/>
  <c r="G186" i="23"/>
  <c r="G162" i="23"/>
  <c r="G174" i="23"/>
  <c r="U186" i="23"/>
  <c r="U162" i="23"/>
  <c r="U174" i="23"/>
  <c r="B184" i="23"/>
  <c r="AC10" i="33" s="1"/>
  <c r="B160" i="23"/>
  <c r="B172" i="23"/>
  <c r="O184" i="23"/>
  <c r="O160" i="23"/>
  <c r="O172" i="23"/>
  <c r="AB175" i="23"/>
  <c r="AB163" i="23"/>
  <c r="AB187" i="23"/>
  <c r="C175" i="23"/>
  <c r="C187" i="23"/>
  <c r="C163" i="23"/>
  <c r="N175" i="23"/>
  <c r="N187" i="23"/>
  <c r="N163" i="23"/>
  <c r="R174" i="23"/>
  <c r="R186" i="23"/>
  <c r="R162" i="23"/>
  <c r="L172" i="23"/>
  <c r="L184" i="23"/>
  <c r="L160" i="23"/>
  <c r="M183" i="23"/>
  <c r="CF9" i="33" s="1"/>
  <c r="M159" i="23"/>
  <c r="M170" i="23"/>
  <c r="M168" i="23"/>
  <c r="M158" i="23"/>
  <c r="M182" i="23"/>
  <c r="CF8" i="33" s="1"/>
  <c r="M156" i="23"/>
  <c r="M180" i="23"/>
  <c r="CF6" i="33" s="1"/>
  <c r="M181" i="23"/>
  <c r="CF7" i="33" s="1"/>
  <c r="M171" i="23"/>
  <c r="M169" i="23"/>
  <c r="M157" i="23"/>
  <c r="Q57" i="23"/>
  <c r="Q81" i="23"/>
  <c r="Q69" i="23"/>
  <c r="Y79" i="23"/>
  <c r="Y67" i="23"/>
  <c r="Y55" i="23"/>
  <c r="AC81" i="23"/>
  <c r="EE13" i="33" s="1"/>
  <c r="AC69" i="23"/>
  <c r="AC57" i="23"/>
  <c r="AB184" i="23"/>
  <c r="E79" i="23"/>
  <c r="E67" i="23"/>
  <c r="E55" i="23"/>
  <c r="AB52" i="23"/>
  <c r="AB65" i="23"/>
  <c r="Q507" i="23"/>
  <c r="Q495" i="23"/>
  <c r="Q483" i="23"/>
  <c r="N495" i="23"/>
  <c r="N507" i="23"/>
  <c r="N483" i="23"/>
  <c r="M507" i="23"/>
  <c r="CR11" i="33" s="1"/>
  <c r="M495" i="23"/>
  <c r="M483" i="23"/>
  <c r="S507" i="23"/>
  <c r="S483" i="23"/>
  <c r="S495" i="23"/>
  <c r="W495" i="23"/>
  <c r="W507" i="23"/>
  <c r="W483" i="23"/>
  <c r="G503" i="23"/>
  <c r="G502" i="23"/>
  <c r="G479" i="23"/>
  <c r="G490" i="23"/>
  <c r="G505" i="23"/>
  <c r="G478" i="23"/>
  <c r="G481" i="23"/>
  <c r="G493" i="23"/>
  <c r="G492" i="23"/>
  <c r="G491" i="23"/>
  <c r="G504" i="23"/>
  <c r="G480" i="23"/>
  <c r="E502" i="23"/>
  <c r="E505" i="23"/>
  <c r="E503" i="23"/>
  <c r="E504" i="23"/>
  <c r="E491" i="23"/>
  <c r="E481" i="23"/>
  <c r="E492" i="23"/>
  <c r="E479" i="23"/>
  <c r="E493" i="23"/>
  <c r="E480" i="23"/>
  <c r="E490" i="23"/>
  <c r="E478" i="23"/>
  <c r="Q493" i="23"/>
  <c r="Q504" i="23"/>
  <c r="Q492" i="23"/>
  <c r="Q481" i="23"/>
  <c r="Q490" i="23"/>
  <c r="Q479" i="23"/>
  <c r="Q502" i="23"/>
  <c r="Q478" i="23"/>
  <c r="Q505" i="23"/>
  <c r="Q503" i="23"/>
  <c r="Q491" i="23"/>
  <c r="Q480" i="23"/>
  <c r="J494" i="23"/>
  <c r="J482" i="23"/>
  <c r="J506" i="23"/>
  <c r="R506" i="23"/>
  <c r="R494" i="23"/>
  <c r="R482" i="23"/>
  <c r="X506" i="23"/>
  <c r="X482" i="23"/>
  <c r="X494" i="23"/>
  <c r="V497" i="23"/>
  <c r="V485" i="23"/>
  <c r="V509" i="23"/>
  <c r="J509" i="23"/>
  <c r="J485" i="23"/>
  <c r="J497" i="23"/>
  <c r="M497" i="23"/>
  <c r="M509" i="23"/>
  <c r="CR13" i="33" s="1"/>
  <c r="M485" i="23"/>
  <c r="P508" i="23"/>
  <c r="P496" i="23"/>
  <c r="P484" i="23"/>
  <c r="V508" i="23"/>
  <c r="V484" i="23"/>
  <c r="V496" i="23"/>
  <c r="J496" i="23"/>
  <c r="J508" i="23"/>
  <c r="J484" i="23"/>
  <c r="K377" i="23"/>
  <c r="K401" i="23"/>
  <c r="K389" i="23"/>
  <c r="B401" i="23"/>
  <c r="AK10" i="33" s="1"/>
  <c r="B377" i="23"/>
  <c r="B389" i="23"/>
  <c r="N401" i="23"/>
  <c r="N389" i="23"/>
  <c r="N377" i="23"/>
  <c r="E401" i="23"/>
  <c r="E389" i="23"/>
  <c r="E377" i="23"/>
  <c r="S400" i="23"/>
  <c r="S398" i="23"/>
  <c r="S399" i="23"/>
  <c r="S388" i="23"/>
  <c r="S376" i="23"/>
  <c r="S387" i="23"/>
  <c r="S386" i="23"/>
  <c r="S373" i="23"/>
  <c r="S397" i="23"/>
  <c r="S385" i="23"/>
  <c r="S374" i="23"/>
  <c r="S375" i="23"/>
  <c r="H399" i="23"/>
  <c r="H398" i="23"/>
  <c r="H397" i="23"/>
  <c r="H387" i="23"/>
  <c r="H375" i="23"/>
  <c r="H374" i="23"/>
  <c r="H386" i="23"/>
  <c r="H376" i="23"/>
  <c r="H388" i="23"/>
  <c r="H385" i="23"/>
  <c r="H373" i="23"/>
  <c r="H400" i="23"/>
  <c r="F378" i="23"/>
  <c r="F402" i="23"/>
  <c r="F390" i="23"/>
  <c r="AB276" i="23"/>
  <c r="AB279" i="23"/>
  <c r="AB277" i="23"/>
  <c r="AB267" i="23"/>
  <c r="AB291" i="23"/>
  <c r="AB266" i="23"/>
  <c r="AB265" i="23"/>
  <c r="AB264" i="23"/>
  <c r="AB290" i="23"/>
  <c r="AB288" i="23"/>
  <c r="AB289" i="23"/>
  <c r="AB278" i="23"/>
  <c r="I283" i="23"/>
  <c r="I271" i="23"/>
  <c r="I295" i="23"/>
  <c r="K289" i="23"/>
  <c r="K265" i="23"/>
  <c r="K276" i="23"/>
  <c r="K288" i="23"/>
  <c r="K278" i="23"/>
  <c r="K266" i="23"/>
  <c r="K277" i="23"/>
  <c r="K267" i="23"/>
  <c r="K264" i="23"/>
  <c r="K290" i="23"/>
  <c r="K291" i="23"/>
  <c r="K279" i="23"/>
  <c r="Y403" i="23"/>
  <c r="Y379" i="23"/>
  <c r="Y391" i="23"/>
  <c r="H283" i="23"/>
  <c r="H271" i="23"/>
  <c r="H295" i="23"/>
  <c r="P293" i="23"/>
  <c r="P281" i="23"/>
  <c r="P269" i="23"/>
  <c r="AC293" i="23"/>
  <c r="EM11" i="33" s="1"/>
  <c r="AC281" i="23"/>
  <c r="AC269" i="23"/>
  <c r="C270" i="23"/>
  <c r="C294" i="23"/>
  <c r="C282" i="23"/>
  <c r="X288" i="23"/>
  <c r="X264" i="23"/>
  <c r="X291" i="23"/>
  <c r="X267" i="23"/>
  <c r="X289" i="23"/>
  <c r="X279" i="23"/>
  <c r="X278" i="23"/>
  <c r="X277" i="23"/>
  <c r="X276" i="23"/>
  <c r="X266" i="23"/>
  <c r="X265" i="23"/>
  <c r="X290" i="23"/>
  <c r="D293" i="23"/>
  <c r="D281" i="23"/>
  <c r="D269" i="23"/>
  <c r="Y269" i="23"/>
  <c r="Y293" i="23"/>
  <c r="Y281" i="23"/>
  <c r="Y280" i="23"/>
  <c r="Y268" i="23"/>
  <c r="Y292" i="23"/>
  <c r="L292" i="23"/>
  <c r="L268" i="23"/>
  <c r="L280" i="23"/>
  <c r="X269" i="23"/>
  <c r="X293" i="23"/>
  <c r="X281" i="23"/>
  <c r="F282" i="23"/>
  <c r="F270" i="23"/>
  <c r="F294" i="23"/>
  <c r="Z283" i="23"/>
  <c r="Z271" i="23"/>
  <c r="Z295" i="23"/>
  <c r="W271" i="23"/>
  <c r="W295" i="23"/>
  <c r="W283" i="23"/>
  <c r="Y187" i="23"/>
  <c r="Y163" i="23"/>
  <c r="Y175" i="23"/>
  <c r="L174" i="23"/>
  <c r="L186" i="23"/>
  <c r="L162" i="23"/>
  <c r="O162" i="23"/>
  <c r="O186" i="23"/>
  <c r="O174" i="23"/>
  <c r="AC186" i="23"/>
  <c r="EI12" i="33" s="1"/>
  <c r="AC162" i="23"/>
  <c r="AC174" i="23"/>
  <c r="S185" i="23"/>
  <c r="S161" i="23"/>
  <c r="S173" i="23"/>
  <c r="E173" i="23"/>
  <c r="E185" i="23"/>
  <c r="E161" i="23"/>
  <c r="W184" i="23"/>
  <c r="W160" i="23"/>
  <c r="W172" i="23"/>
  <c r="O175" i="23"/>
  <c r="O163" i="23"/>
  <c r="O187" i="23"/>
  <c r="V163" i="23"/>
  <c r="V187" i="23"/>
  <c r="V175" i="23"/>
  <c r="B174" i="23"/>
  <c r="B162" i="23"/>
  <c r="B186" i="23"/>
  <c r="AC12" i="33" s="1"/>
  <c r="Z172" i="23"/>
  <c r="Z184" i="23"/>
  <c r="Z160" i="23"/>
  <c r="U183" i="23"/>
  <c r="U159" i="23"/>
  <c r="U170" i="23"/>
  <c r="U180" i="23"/>
  <c r="U181" i="23"/>
  <c r="U182" i="23"/>
  <c r="U156" i="23"/>
  <c r="U157" i="23"/>
  <c r="U169" i="23"/>
  <c r="U171" i="23"/>
  <c r="U168" i="23"/>
  <c r="U158" i="23"/>
  <c r="T78" i="23"/>
  <c r="T66" i="23"/>
  <c r="T54" i="23"/>
  <c r="S81" i="23"/>
  <c r="S57" i="23"/>
  <c r="S69" i="23"/>
  <c r="W78" i="23"/>
  <c r="W66" i="23"/>
  <c r="W54" i="23"/>
  <c r="Z81" i="23"/>
  <c r="Z69" i="23"/>
  <c r="Z57" i="23"/>
  <c r="AA55" i="23"/>
  <c r="AA79" i="23"/>
  <c r="AA67" i="23"/>
  <c r="AA74" i="23"/>
  <c r="AA63" i="23"/>
  <c r="AA76" i="23"/>
  <c r="AA65" i="23"/>
  <c r="AA75" i="23"/>
  <c r="AA51" i="23"/>
  <c r="AA62" i="23"/>
  <c r="AA77" i="23"/>
  <c r="AA52" i="23"/>
  <c r="AA53" i="23"/>
  <c r="AA64" i="23"/>
  <c r="AA50" i="23"/>
  <c r="B79" i="23"/>
  <c r="Y11" i="33" s="1"/>
  <c r="B67" i="23"/>
  <c r="B55" i="23"/>
  <c r="Q79" i="23"/>
  <c r="Q67" i="23"/>
  <c r="Q55" i="23"/>
  <c r="W68" i="23"/>
  <c r="W80" i="23"/>
  <c r="W56" i="23"/>
  <c r="U81" i="23"/>
  <c r="U57" i="23"/>
  <c r="U69" i="23"/>
  <c r="U78" i="23"/>
  <c r="U66" i="23"/>
  <c r="U54" i="23"/>
  <c r="AB51" i="23"/>
  <c r="AB75" i="23"/>
  <c r="X495" i="23"/>
  <c r="X507" i="23"/>
  <c r="X483" i="23"/>
  <c r="AA507" i="23"/>
  <c r="AA483" i="23"/>
  <c r="AA495" i="23"/>
  <c r="P503" i="23"/>
  <c r="P490" i="23"/>
  <c r="P504" i="23"/>
  <c r="P505" i="23"/>
  <c r="P491" i="23"/>
  <c r="P502" i="23"/>
  <c r="P492" i="23"/>
  <c r="P480" i="23"/>
  <c r="P493" i="23"/>
  <c r="P478" i="23"/>
  <c r="P481" i="23"/>
  <c r="P479" i="23"/>
  <c r="M502" i="23"/>
  <c r="CR6" i="33" s="1"/>
  <c r="M505" i="23"/>
  <c r="CR9" i="33" s="1"/>
  <c r="M503" i="23"/>
  <c r="CR7" i="33" s="1"/>
  <c r="M504" i="23"/>
  <c r="CR8" i="33" s="1"/>
  <c r="M490" i="23"/>
  <c r="M481" i="23"/>
  <c r="M491" i="23"/>
  <c r="M479" i="23"/>
  <c r="M492" i="23"/>
  <c r="M480" i="23"/>
  <c r="M478" i="23"/>
  <c r="M493" i="23"/>
  <c r="Y493" i="23"/>
  <c r="Y504" i="23"/>
  <c r="Y492" i="23"/>
  <c r="Y503" i="23"/>
  <c r="Y481" i="23"/>
  <c r="Y505" i="23"/>
  <c r="Y502" i="23"/>
  <c r="Y479" i="23"/>
  <c r="Y478" i="23"/>
  <c r="Y491" i="23"/>
  <c r="Y490" i="23"/>
  <c r="Y480" i="23"/>
  <c r="Z506" i="23"/>
  <c r="Z494" i="23"/>
  <c r="Z482" i="23"/>
  <c r="C494" i="23"/>
  <c r="C506" i="23"/>
  <c r="C482" i="23"/>
  <c r="H509" i="23"/>
  <c r="H497" i="23"/>
  <c r="H485" i="23"/>
  <c r="R509" i="23"/>
  <c r="R497" i="23"/>
  <c r="R485" i="23"/>
  <c r="U497" i="23"/>
  <c r="U509" i="23"/>
  <c r="U485" i="23"/>
  <c r="I507" i="23"/>
  <c r="I483" i="23"/>
  <c r="I495" i="23"/>
  <c r="S496" i="23"/>
  <c r="S484" i="23"/>
  <c r="S508" i="23"/>
  <c r="K496" i="23"/>
  <c r="K484" i="23"/>
  <c r="K508" i="23"/>
  <c r="G508" i="23"/>
  <c r="G496" i="23"/>
  <c r="G484" i="23"/>
  <c r="C401" i="23"/>
  <c r="C377" i="23"/>
  <c r="C389" i="23"/>
  <c r="AB402" i="23"/>
  <c r="AB390" i="23"/>
  <c r="AB378" i="23"/>
  <c r="F401" i="23"/>
  <c r="F389" i="23"/>
  <c r="F377" i="23"/>
  <c r="AB401" i="23"/>
  <c r="AB389" i="23"/>
  <c r="AB377" i="23"/>
  <c r="AA400" i="23"/>
  <c r="AA397" i="23"/>
  <c r="AA398" i="23"/>
  <c r="AA388" i="23"/>
  <c r="AA399" i="23"/>
  <c r="AA376" i="23"/>
  <c r="AA385" i="23"/>
  <c r="AA375" i="23"/>
  <c r="AA373" i="23"/>
  <c r="AA386" i="23"/>
  <c r="AA387" i="23"/>
  <c r="AA374" i="23"/>
  <c r="P399" i="23"/>
  <c r="P397" i="23"/>
  <c r="P398" i="23"/>
  <c r="P387" i="23"/>
  <c r="P375" i="23"/>
  <c r="P388" i="23"/>
  <c r="P374" i="23"/>
  <c r="P376" i="23"/>
  <c r="P400" i="23"/>
  <c r="P386" i="23"/>
  <c r="P373" i="23"/>
  <c r="P385" i="23"/>
  <c r="M398" i="23"/>
  <c r="CN7" i="33" s="1"/>
  <c r="M388" i="23"/>
  <c r="M400" i="23"/>
  <c r="CN9" i="33" s="1"/>
  <c r="M386" i="23"/>
  <c r="M397" i="23"/>
  <c r="CN6" i="33" s="1"/>
  <c r="M385" i="23"/>
  <c r="M373" i="23"/>
  <c r="M375" i="23"/>
  <c r="M374" i="23"/>
  <c r="M387" i="23"/>
  <c r="M399" i="23"/>
  <c r="CN8" i="33" s="1"/>
  <c r="M376" i="23"/>
  <c r="L399" i="23"/>
  <c r="L385" i="23"/>
  <c r="L388" i="23"/>
  <c r="L400" i="23"/>
  <c r="L375" i="23"/>
  <c r="L387" i="23"/>
  <c r="L373" i="23"/>
  <c r="L374" i="23"/>
  <c r="L398" i="23"/>
  <c r="L397" i="23"/>
  <c r="L386" i="23"/>
  <c r="L376" i="23"/>
  <c r="N390" i="23"/>
  <c r="N378" i="23"/>
  <c r="N402" i="23"/>
  <c r="AB399" i="23"/>
  <c r="AB385" i="23"/>
  <c r="AB398" i="23"/>
  <c r="AB388" i="23"/>
  <c r="AB375" i="23"/>
  <c r="AB400" i="23"/>
  <c r="AB387" i="23"/>
  <c r="AB397" i="23"/>
  <c r="AB373" i="23"/>
  <c r="AB376" i="23"/>
  <c r="AB386" i="23"/>
  <c r="AB374" i="23"/>
  <c r="U398" i="23"/>
  <c r="U388" i="23"/>
  <c r="U399" i="23"/>
  <c r="U386" i="23"/>
  <c r="U376" i="23"/>
  <c r="U387" i="23"/>
  <c r="U373" i="23"/>
  <c r="U400" i="23"/>
  <c r="U397" i="23"/>
  <c r="U385" i="23"/>
  <c r="U374" i="23"/>
  <c r="U375" i="23"/>
  <c r="P288" i="23"/>
  <c r="P264" i="23"/>
  <c r="P291" i="23"/>
  <c r="P267" i="23"/>
  <c r="P277" i="23"/>
  <c r="P266" i="23"/>
  <c r="P290" i="23"/>
  <c r="P289" i="23"/>
  <c r="P278" i="23"/>
  <c r="P279" i="23"/>
  <c r="P276" i="23"/>
  <c r="P265" i="23"/>
  <c r="S289" i="23"/>
  <c r="S265" i="23"/>
  <c r="S276" i="23"/>
  <c r="S264" i="23"/>
  <c r="S288" i="23"/>
  <c r="S278" i="23"/>
  <c r="S291" i="23"/>
  <c r="S290" i="23"/>
  <c r="S279" i="23"/>
  <c r="S277" i="23"/>
  <c r="S267" i="23"/>
  <c r="S266" i="23"/>
  <c r="D404" i="23"/>
  <c r="D392" i="23"/>
  <c r="D380" i="23"/>
  <c r="F379" i="23"/>
  <c r="F391" i="23"/>
  <c r="F403" i="23"/>
  <c r="O280" i="23"/>
  <c r="O292" i="23"/>
  <c r="O268" i="23"/>
  <c r="M269" i="23"/>
  <c r="M293" i="23"/>
  <c r="CJ11" i="33" s="1"/>
  <c r="M281" i="23"/>
  <c r="N282" i="23"/>
  <c r="N294" i="23"/>
  <c r="N270" i="23"/>
  <c r="L276" i="23"/>
  <c r="L279" i="23"/>
  <c r="L265" i="23"/>
  <c r="L289" i="23"/>
  <c r="L278" i="23"/>
  <c r="L267" i="23"/>
  <c r="L266" i="23"/>
  <c r="L264" i="23"/>
  <c r="L290" i="23"/>
  <c r="L291" i="23"/>
  <c r="L288" i="23"/>
  <c r="L277" i="23"/>
  <c r="N293" i="23"/>
  <c r="N269" i="23"/>
  <c r="N281" i="23"/>
  <c r="H280" i="23"/>
  <c r="H268" i="23"/>
  <c r="H292" i="23"/>
  <c r="T292" i="23"/>
  <c r="T268" i="23"/>
  <c r="T280" i="23"/>
  <c r="F293" i="23"/>
  <c r="F269" i="23"/>
  <c r="F281" i="23"/>
  <c r="E280" i="23"/>
  <c r="E292" i="23"/>
  <c r="E268" i="23"/>
  <c r="S281" i="23"/>
  <c r="S293" i="23"/>
  <c r="S269" i="23"/>
  <c r="AB295" i="23"/>
  <c r="AB271" i="23"/>
  <c r="AB283" i="23"/>
  <c r="R278" i="23"/>
  <c r="R289" i="23"/>
  <c r="R265" i="23"/>
  <c r="R277" i="23"/>
  <c r="R267" i="23"/>
  <c r="R291" i="23"/>
  <c r="R290" i="23"/>
  <c r="R288" i="23"/>
  <c r="R279" i="23"/>
  <c r="R276" i="23"/>
  <c r="R266" i="23"/>
  <c r="R264" i="23"/>
  <c r="Y283" i="23"/>
  <c r="Y271" i="23"/>
  <c r="Y295" i="23"/>
  <c r="Q187" i="23"/>
  <c r="Q163" i="23"/>
  <c r="Q175" i="23"/>
  <c r="AC173" i="23"/>
  <c r="AC161" i="23"/>
  <c r="AC185" i="23"/>
  <c r="EI11" i="33" s="1"/>
  <c r="W186" i="23"/>
  <c r="W174" i="23"/>
  <c r="W162" i="23"/>
  <c r="Z185" i="23"/>
  <c r="Z161" i="23"/>
  <c r="Z173" i="23"/>
  <c r="T172" i="23"/>
  <c r="T184" i="23"/>
  <c r="T160" i="23"/>
  <c r="S187" i="23"/>
  <c r="S163" i="23"/>
  <c r="S175" i="23"/>
  <c r="J174" i="23"/>
  <c r="J186" i="23"/>
  <c r="J162" i="23"/>
  <c r="C172" i="23"/>
  <c r="C160" i="23"/>
  <c r="C184" i="23"/>
  <c r="D172" i="23"/>
  <c r="D184" i="23"/>
  <c r="D160" i="23"/>
  <c r="U184" i="23"/>
  <c r="U172" i="23"/>
  <c r="U160" i="23"/>
  <c r="K169" i="23"/>
  <c r="K180" i="23"/>
  <c r="K156" i="23"/>
  <c r="K181" i="23"/>
  <c r="K182" i="23"/>
  <c r="K170" i="23"/>
  <c r="K157" i="23"/>
  <c r="K158" i="23"/>
  <c r="K183" i="23"/>
  <c r="K171" i="23"/>
  <c r="K159" i="23"/>
  <c r="K168" i="23"/>
  <c r="AC183" i="23"/>
  <c r="EI9" i="33" s="1"/>
  <c r="AC159" i="23"/>
  <c r="AC170" i="23"/>
  <c r="AC156" i="23"/>
  <c r="AC168" i="23"/>
  <c r="AC158" i="23"/>
  <c r="AC182" i="23"/>
  <c r="EI8" i="33" s="1"/>
  <c r="AC169" i="23"/>
  <c r="AC181" i="23"/>
  <c r="EI7" i="33" s="1"/>
  <c r="AC180" i="23"/>
  <c r="EI6" i="33" s="1"/>
  <c r="AC157" i="23"/>
  <c r="AC171" i="23"/>
  <c r="I57" i="23"/>
  <c r="I81" i="23"/>
  <c r="I69" i="23"/>
  <c r="R69" i="23"/>
  <c r="R81" i="23"/>
  <c r="R57" i="23"/>
  <c r="S74" i="23"/>
  <c r="S75" i="23"/>
  <c r="S63" i="23"/>
  <c r="S77" i="23"/>
  <c r="S51" i="23"/>
  <c r="S62" i="23"/>
  <c r="S65" i="23"/>
  <c r="S52" i="23"/>
  <c r="S76" i="23"/>
  <c r="S50" i="23"/>
  <c r="S53" i="23"/>
  <c r="S64" i="23"/>
  <c r="Z80" i="23"/>
  <c r="Z68" i="23"/>
  <c r="Z56" i="23"/>
  <c r="X54" i="23"/>
  <c r="X66" i="23"/>
  <c r="X78" i="23"/>
  <c r="AB78" i="23"/>
  <c r="AB54" i="23"/>
  <c r="AB66" i="23"/>
  <c r="O68" i="23"/>
  <c r="O80" i="23"/>
  <c r="O56" i="23"/>
  <c r="V78" i="23"/>
  <c r="V66" i="23"/>
  <c r="V54" i="23"/>
  <c r="AC80" i="23"/>
  <c r="EE12" i="33" s="1"/>
  <c r="AC68" i="23"/>
  <c r="AC56" i="23"/>
  <c r="AC78" i="23"/>
  <c r="EE10" i="33" s="1"/>
  <c r="AC54" i="23"/>
  <c r="AC66" i="23"/>
  <c r="X478" i="22"/>
  <c r="X502" i="22"/>
  <c r="C169" i="22"/>
  <c r="W181" i="22"/>
  <c r="M507" i="22"/>
  <c r="CQ11" i="33" s="1"/>
  <c r="M495" i="22"/>
  <c r="Q506" i="22"/>
  <c r="Q494" i="22"/>
  <c r="Q482" i="22"/>
  <c r="H506" i="22"/>
  <c r="H494" i="22"/>
  <c r="H482" i="22"/>
  <c r="W495" i="22"/>
  <c r="W483" i="22"/>
  <c r="W507" i="22"/>
  <c r="J507" i="22"/>
  <c r="J483" i="22"/>
  <c r="J495" i="22"/>
  <c r="O506" i="22"/>
  <c r="O482" i="22"/>
  <c r="O494" i="22"/>
  <c r="D494" i="22"/>
  <c r="D482" i="22"/>
  <c r="D506" i="22"/>
  <c r="F502" i="22"/>
  <c r="F505" i="22"/>
  <c r="F492" i="22"/>
  <c r="F503" i="22"/>
  <c r="F493" i="22"/>
  <c r="F479" i="22"/>
  <c r="F480" i="22"/>
  <c r="F478" i="22"/>
  <c r="F491" i="22"/>
  <c r="F490" i="22"/>
  <c r="F504" i="22"/>
  <c r="F481" i="22"/>
  <c r="O379" i="22"/>
  <c r="O403" i="22"/>
  <c r="O391" i="22"/>
  <c r="B398" i="22"/>
  <c r="AJ7" i="33" s="1"/>
  <c r="B374" i="22"/>
  <c r="B388" i="22"/>
  <c r="B375" i="22"/>
  <c r="B385" i="22"/>
  <c r="B399" i="22"/>
  <c r="AJ8" i="33" s="1"/>
  <c r="B400" i="22"/>
  <c r="AJ9" i="33" s="1"/>
  <c r="B397" i="22"/>
  <c r="AJ6" i="33" s="1"/>
  <c r="B376" i="22"/>
  <c r="B373" i="22"/>
  <c r="B387" i="22"/>
  <c r="B386" i="22"/>
  <c r="X379" i="22"/>
  <c r="X391" i="22"/>
  <c r="X403" i="22"/>
  <c r="L401" i="22"/>
  <c r="L377" i="22"/>
  <c r="L389" i="22"/>
  <c r="I377" i="22"/>
  <c r="I401" i="22"/>
  <c r="I389" i="22"/>
  <c r="J282" i="22"/>
  <c r="J294" i="22"/>
  <c r="J270" i="22"/>
  <c r="T282" i="22"/>
  <c r="T294" i="22"/>
  <c r="T270" i="22"/>
  <c r="Q282" i="22"/>
  <c r="Q294" i="22"/>
  <c r="Q270" i="22"/>
  <c r="H175" i="22"/>
  <c r="H163" i="22"/>
  <c r="H187" i="22"/>
  <c r="O187" i="22"/>
  <c r="O175" i="22"/>
  <c r="O163" i="22"/>
  <c r="D172" i="22"/>
  <c r="D160" i="22"/>
  <c r="D184" i="22"/>
  <c r="C174" i="22"/>
  <c r="C162" i="22"/>
  <c r="C186" i="22"/>
  <c r="L79" i="22"/>
  <c r="L67" i="22"/>
  <c r="L55" i="22"/>
  <c r="D174" i="22"/>
  <c r="D186" i="22"/>
  <c r="D162" i="22"/>
  <c r="L368" i="22"/>
  <c r="L474" i="22"/>
  <c r="L46" i="22"/>
  <c r="L152" i="22"/>
  <c r="Y79" i="22"/>
  <c r="Y67" i="22"/>
  <c r="Y55" i="22"/>
  <c r="I76" i="22"/>
  <c r="I77" i="22"/>
  <c r="I65" i="22"/>
  <c r="I50" i="22"/>
  <c r="I75" i="22"/>
  <c r="I53" i="22"/>
  <c r="I63" i="22"/>
  <c r="I74" i="22"/>
  <c r="I51" i="22"/>
  <c r="I64" i="22"/>
  <c r="I52" i="22"/>
  <c r="I62" i="22"/>
  <c r="S152" i="22"/>
  <c r="S259" i="22"/>
  <c r="S369" i="22"/>
  <c r="S46" i="22"/>
  <c r="S368" i="22"/>
  <c r="X78" i="22"/>
  <c r="X54" i="22"/>
  <c r="X66" i="22"/>
  <c r="E79" i="22"/>
  <c r="E55" i="22"/>
  <c r="E67" i="22"/>
  <c r="C496" i="22"/>
  <c r="C508" i="22"/>
  <c r="C484" i="22"/>
  <c r="I506" i="22"/>
  <c r="I494" i="22"/>
  <c r="I482" i="22"/>
  <c r="H495" i="22"/>
  <c r="H507" i="22"/>
  <c r="H483" i="22"/>
  <c r="M502" i="22"/>
  <c r="CQ6" i="33" s="1"/>
  <c r="J506" i="22"/>
  <c r="J494" i="22"/>
  <c r="J482" i="22"/>
  <c r="N494" i="22"/>
  <c r="N506" i="22"/>
  <c r="N482" i="22"/>
  <c r="P492" i="22"/>
  <c r="P503" i="22"/>
  <c r="P490" i="22"/>
  <c r="P493" i="22"/>
  <c r="P504" i="22"/>
  <c r="P491" i="22"/>
  <c r="P505" i="22"/>
  <c r="P479" i="22"/>
  <c r="P502" i="22"/>
  <c r="P481" i="22"/>
  <c r="P480" i="22"/>
  <c r="P478" i="22"/>
  <c r="Q496" i="22"/>
  <c r="Q508" i="22"/>
  <c r="Q484" i="22"/>
  <c r="G508" i="22"/>
  <c r="G484" i="22"/>
  <c r="G496" i="22"/>
  <c r="Q380" i="22"/>
  <c r="Q404" i="22"/>
  <c r="Q392" i="22"/>
  <c r="D380" i="22"/>
  <c r="D404" i="22"/>
  <c r="D392" i="22"/>
  <c r="Y379" i="22"/>
  <c r="Y403" i="22"/>
  <c r="Y391" i="22"/>
  <c r="X376" i="22"/>
  <c r="X398" i="22"/>
  <c r="X374" i="22"/>
  <c r="X400" i="22"/>
  <c r="X385" i="22"/>
  <c r="X375" i="22"/>
  <c r="X397" i="22"/>
  <c r="X373" i="22"/>
  <c r="X399" i="22"/>
  <c r="X388" i="22"/>
  <c r="X387" i="22"/>
  <c r="X386" i="22"/>
  <c r="AC399" i="22"/>
  <c r="EP8" i="33" s="1"/>
  <c r="AC375" i="22"/>
  <c r="AC400" i="22"/>
  <c r="EP9" i="33" s="1"/>
  <c r="AC397" i="22"/>
  <c r="EP6" i="33" s="1"/>
  <c r="AC373" i="22"/>
  <c r="AC387" i="22"/>
  <c r="AC398" i="22"/>
  <c r="EP7" i="33" s="1"/>
  <c r="AC376" i="22"/>
  <c r="AC388" i="22"/>
  <c r="AC374" i="22"/>
  <c r="AC386" i="22"/>
  <c r="AC385" i="22"/>
  <c r="J380" i="22"/>
  <c r="J404" i="22"/>
  <c r="J392" i="22"/>
  <c r="B403" i="22"/>
  <c r="AJ12" i="33" s="1"/>
  <c r="B379" i="22"/>
  <c r="B391" i="22"/>
  <c r="O389" i="22"/>
  <c r="O401" i="22"/>
  <c r="O377" i="22"/>
  <c r="T401" i="22"/>
  <c r="T377" i="22"/>
  <c r="T389" i="22"/>
  <c r="V378" i="22"/>
  <c r="V402" i="22"/>
  <c r="V390" i="22"/>
  <c r="S390" i="22"/>
  <c r="S402" i="22"/>
  <c r="S378" i="22"/>
  <c r="R282" i="22"/>
  <c r="R294" i="22"/>
  <c r="R270" i="22"/>
  <c r="AB292" i="22"/>
  <c r="AB268" i="22"/>
  <c r="AB280" i="22"/>
  <c r="D282" i="22"/>
  <c r="D294" i="22"/>
  <c r="D270" i="22"/>
  <c r="AB282" i="22"/>
  <c r="AB294" i="22"/>
  <c r="AB270" i="22"/>
  <c r="F294" i="22"/>
  <c r="F282" i="22"/>
  <c r="F270" i="22"/>
  <c r="E294" i="22"/>
  <c r="E282" i="22"/>
  <c r="E270" i="22"/>
  <c r="Y186" i="22"/>
  <c r="Y174" i="22"/>
  <c r="Y162" i="22"/>
  <c r="L151" i="22"/>
  <c r="E175" i="22"/>
  <c r="E187" i="22"/>
  <c r="E163" i="22"/>
  <c r="H186" i="22"/>
  <c r="H162" i="22"/>
  <c r="H174" i="22"/>
  <c r="L172" i="22"/>
  <c r="L160" i="22"/>
  <c r="L184" i="22"/>
  <c r="G186" i="22"/>
  <c r="G162" i="22"/>
  <c r="G174" i="22"/>
  <c r="D67" i="22"/>
  <c r="D55" i="22"/>
  <c r="D79" i="22"/>
  <c r="X173" i="22"/>
  <c r="X161" i="22"/>
  <c r="X185" i="22"/>
  <c r="D152" i="22"/>
  <c r="D46" i="22"/>
  <c r="D368" i="22"/>
  <c r="D473" i="22"/>
  <c r="D259" i="22"/>
  <c r="Q67" i="22"/>
  <c r="Q79" i="22"/>
  <c r="Q55" i="22"/>
  <c r="K46" i="22"/>
  <c r="K152" i="22"/>
  <c r="K473" i="22"/>
  <c r="K474" i="22"/>
  <c r="K369" i="22"/>
  <c r="P78" i="22"/>
  <c r="P54" i="22"/>
  <c r="P66" i="22"/>
  <c r="S174" i="22"/>
  <c r="S186" i="22"/>
  <c r="S162" i="22"/>
  <c r="V75" i="22"/>
  <c r="V74" i="22"/>
  <c r="V64" i="22"/>
  <c r="V65" i="22"/>
  <c r="V76" i="22"/>
  <c r="V63" i="22"/>
  <c r="V50" i="22"/>
  <c r="V51" i="22"/>
  <c r="V52" i="22"/>
  <c r="V62" i="22"/>
  <c r="V77" i="22"/>
  <c r="V53" i="22"/>
  <c r="M79" i="22"/>
  <c r="CA11" i="33" s="1"/>
  <c r="M55" i="22"/>
  <c r="M67" i="22"/>
  <c r="J508" i="22"/>
  <c r="J496" i="22"/>
  <c r="J484" i="22"/>
  <c r="L473" i="22"/>
  <c r="R490" i="22"/>
  <c r="R493" i="22"/>
  <c r="R504" i="22"/>
  <c r="R491" i="22"/>
  <c r="R502" i="22"/>
  <c r="R505" i="22"/>
  <c r="R481" i="22"/>
  <c r="R492" i="22"/>
  <c r="R480" i="22"/>
  <c r="R503" i="22"/>
  <c r="R478" i="22"/>
  <c r="R479" i="22"/>
  <c r="K502" i="22"/>
  <c r="K479" i="22"/>
  <c r="K478" i="22"/>
  <c r="K503" i="22"/>
  <c r="K491" i="22"/>
  <c r="K490" i="22"/>
  <c r="Q503" i="22"/>
  <c r="Q490" i="22"/>
  <c r="Q493" i="22"/>
  <c r="Q504" i="22"/>
  <c r="Q502" i="22"/>
  <c r="Q492" i="22"/>
  <c r="Q491" i="22"/>
  <c r="Q480" i="22"/>
  <c r="Q478" i="22"/>
  <c r="Q481" i="22"/>
  <c r="Q505" i="22"/>
  <c r="Q479" i="22"/>
  <c r="P495" i="22"/>
  <c r="P507" i="22"/>
  <c r="P483" i="22"/>
  <c r="K505" i="22"/>
  <c r="K492" i="22"/>
  <c r="K481" i="22"/>
  <c r="K493" i="22"/>
  <c r="K504" i="22"/>
  <c r="K480" i="22"/>
  <c r="R506" i="22"/>
  <c r="R494" i="22"/>
  <c r="R482" i="22"/>
  <c r="V494" i="22"/>
  <c r="V506" i="22"/>
  <c r="V482" i="22"/>
  <c r="Z506" i="22"/>
  <c r="Z494" i="22"/>
  <c r="Z482" i="22"/>
  <c r="I404" i="22"/>
  <c r="I392" i="22"/>
  <c r="I380" i="22"/>
  <c r="X392" i="22"/>
  <c r="X404" i="22"/>
  <c r="X380" i="22"/>
  <c r="AC391" i="22"/>
  <c r="AC403" i="22"/>
  <c r="EP12" i="33" s="1"/>
  <c r="AC379" i="22"/>
  <c r="U402" i="22"/>
  <c r="U378" i="22"/>
  <c r="U390" i="22"/>
  <c r="D388" i="22"/>
  <c r="D386" i="22"/>
  <c r="D385" i="22"/>
  <c r="D399" i="22"/>
  <c r="D376" i="22"/>
  <c r="D400" i="22"/>
  <c r="D397" i="22"/>
  <c r="D398" i="22"/>
  <c r="D375" i="22"/>
  <c r="D387" i="22"/>
  <c r="D374" i="22"/>
  <c r="D373" i="22"/>
  <c r="K403" i="22"/>
  <c r="K391" i="22"/>
  <c r="K379" i="22"/>
  <c r="W389" i="22"/>
  <c r="W401" i="22"/>
  <c r="W377" i="22"/>
  <c r="R283" i="22"/>
  <c r="R295" i="22"/>
  <c r="R271" i="22"/>
  <c r="Z282" i="22"/>
  <c r="Z294" i="22"/>
  <c r="Z270" i="22"/>
  <c r="Q292" i="22"/>
  <c r="Q268" i="22"/>
  <c r="Q280" i="22"/>
  <c r="N294" i="22"/>
  <c r="N282" i="22"/>
  <c r="N270" i="22"/>
  <c r="Y282" i="22"/>
  <c r="Y294" i="22"/>
  <c r="Y270" i="22"/>
  <c r="Q187" i="22"/>
  <c r="Q163" i="22"/>
  <c r="Q175" i="22"/>
  <c r="Q162" i="22"/>
  <c r="Q186" i="22"/>
  <c r="Q174" i="22"/>
  <c r="W184" i="22"/>
  <c r="W160" i="22"/>
  <c r="W172" i="22"/>
  <c r="T172" i="22"/>
  <c r="T184" i="22"/>
  <c r="T160" i="22"/>
  <c r="Y187" i="22"/>
  <c r="Y163" i="22"/>
  <c r="Y175" i="22"/>
  <c r="T78" i="22"/>
  <c r="T66" i="22"/>
  <c r="T54" i="22"/>
  <c r="X186" i="22"/>
  <c r="X174" i="22"/>
  <c r="X162" i="22"/>
  <c r="AB80" i="22"/>
  <c r="AB68" i="22"/>
  <c r="AB56" i="22"/>
  <c r="I67" i="22"/>
  <c r="I79" i="22"/>
  <c r="I55" i="22"/>
  <c r="C46" i="22"/>
  <c r="C368" i="22"/>
  <c r="C369" i="22"/>
  <c r="C152" i="22"/>
  <c r="H78" i="22"/>
  <c r="H54" i="22"/>
  <c r="H66" i="22"/>
  <c r="N75" i="22"/>
  <c r="N76" i="22"/>
  <c r="N64" i="22"/>
  <c r="N77" i="22"/>
  <c r="N65" i="22"/>
  <c r="N51" i="22"/>
  <c r="N74" i="22"/>
  <c r="N52" i="22"/>
  <c r="N62" i="22"/>
  <c r="N63" i="22"/>
  <c r="N53" i="22"/>
  <c r="N50" i="22"/>
  <c r="S79" i="22"/>
  <c r="S55" i="22"/>
  <c r="S67" i="22"/>
  <c r="V57" i="22"/>
  <c r="V81" i="22"/>
  <c r="V69" i="22"/>
  <c r="D69" i="22"/>
  <c r="D81" i="22"/>
  <c r="D57" i="22"/>
  <c r="U79" i="22"/>
  <c r="U67" i="22"/>
  <c r="U55" i="22"/>
  <c r="Z509" i="22"/>
  <c r="Z485" i="22"/>
  <c r="Z497" i="22"/>
  <c r="S509" i="22"/>
  <c r="S485" i="22"/>
  <c r="S497" i="22"/>
  <c r="L369" i="22"/>
  <c r="P392" i="22"/>
  <c r="P380" i="22"/>
  <c r="P404" i="22"/>
  <c r="W404" i="22"/>
  <c r="W392" i="22"/>
  <c r="W380" i="22"/>
  <c r="I402" i="22"/>
  <c r="I378" i="22"/>
  <c r="I390" i="22"/>
  <c r="H402" i="22"/>
  <c r="H390" i="22"/>
  <c r="H378" i="22"/>
  <c r="L388" i="22"/>
  <c r="L386" i="22"/>
  <c r="L400" i="22"/>
  <c r="L398" i="22"/>
  <c r="L375" i="22"/>
  <c r="L387" i="22"/>
  <c r="L385" i="22"/>
  <c r="L373" i="22"/>
  <c r="L399" i="22"/>
  <c r="L397" i="22"/>
  <c r="L374" i="22"/>
  <c r="L376" i="22"/>
  <c r="C377" i="22"/>
  <c r="C389" i="22"/>
  <c r="C401" i="22"/>
  <c r="J400" i="22"/>
  <c r="J398" i="22"/>
  <c r="J374" i="22"/>
  <c r="J388" i="22"/>
  <c r="J397" i="22"/>
  <c r="J387" i="22"/>
  <c r="J375" i="22"/>
  <c r="J385" i="22"/>
  <c r="J386" i="22"/>
  <c r="J399" i="22"/>
  <c r="J376" i="22"/>
  <c r="J373" i="22"/>
  <c r="W379" i="22"/>
  <c r="W403" i="22"/>
  <c r="W391" i="22"/>
  <c r="J295" i="22"/>
  <c r="J283" i="22"/>
  <c r="J271" i="22"/>
  <c r="C294" i="22"/>
  <c r="C282" i="22"/>
  <c r="C270" i="22"/>
  <c r="I282" i="22"/>
  <c r="I294" i="22"/>
  <c r="I270" i="22"/>
  <c r="B268" i="22"/>
  <c r="B280" i="22"/>
  <c r="B292" i="22"/>
  <c r="AF10" i="33" s="1"/>
  <c r="Z292" i="22"/>
  <c r="Z268" i="22"/>
  <c r="Z280" i="22"/>
  <c r="G283" i="22"/>
  <c r="G295" i="22"/>
  <c r="G271" i="22"/>
  <c r="I187" i="22"/>
  <c r="I163" i="22"/>
  <c r="I175" i="22"/>
  <c r="I186" i="22"/>
  <c r="I174" i="22"/>
  <c r="I162" i="22"/>
  <c r="M172" i="22"/>
  <c r="M184" i="22"/>
  <c r="CE10" i="33" s="1"/>
  <c r="M160" i="22"/>
  <c r="AB172" i="22"/>
  <c r="AB160" i="22"/>
  <c r="AB184" i="22"/>
  <c r="I184" i="22"/>
  <c r="I160" i="22"/>
  <c r="I172" i="22"/>
  <c r="G45" i="22"/>
  <c r="L78" i="22"/>
  <c r="L66" i="22"/>
  <c r="L54" i="22"/>
  <c r="E162" i="22"/>
  <c r="E186" i="22"/>
  <c r="E174" i="22"/>
  <c r="Y66" i="22"/>
  <c r="Y78" i="22"/>
  <c r="Y54" i="22"/>
  <c r="V79" i="22"/>
  <c r="V55" i="22"/>
  <c r="V67" i="22"/>
  <c r="F75" i="22"/>
  <c r="F76" i="22"/>
  <c r="F64" i="22"/>
  <c r="F77" i="22"/>
  <c r="F65" i="22"/>
  <c r="F52" i="22"/>
  <c r="F62" i="22"/>
  <c r="F63" i="22"/>
  <c r="F53" i="22"/>
  <c r="F74" i="22"/>
  <c r="F50" i="22"/>
  <c r="F51" i="22"/>
  <c r="AB67" i="22"/>
  <c r="AB79" i="22"/>
  <c r="AB55" i="22"/>
  <c r="L69" i="22"/>
  <c r="L81" i="22"/>
  <c r="L57" i="22"/>
  <c r="AC67" i="22"/>
  <c r="AC79" i="22"/>
  <c r="ED11" i="33" s="1"/>
  <c r="AC55" i="22"/>
  <c r="Z508" i="22"/>
  <c r="Z484" i="22"/>
  <c r="Z496" i="22"/>
  <c r="B490" i="22"/>
  <c r="B493" i="22"/>
  <c r="B504" i="22"/>
  <c r="AN8" i="33" s="1"/>
  <c r="B491" i="22"/>
  <c r="B502" i="22"/>
  <c r="AN6" i="33" s="1"/>
  <c r="B505" i="22"/>
  <c r="AN9" i="33" s="1"/>
  <c r="B503" i="22"/>
  <c r="AN7" i="33" s="1"/>
  <c r="B481" i="22"/>
  <c r="B478" i="22"/>
  <c r="B492" i="22"/>
  <c r="B480" i="22"/>
  <c r="B479" i="22"/>
  <c r="U507" i="22"/>
  <c r="U483" i="22"/>
  <c r="U495" i="22"/>
  <c r="AB494" i="22"/>
  <c r="AB506" i="22"/>
  <c r="AB482" i="22"/>
  <c r="C493" i="22"/>
  <c r="C504" i="22"/>
  <c r="C491" i="22"/>
  <c r="C502" i="22"/>
  <c r="C505" i="22"/>
  <c r="C492" i="22"/>
  <c r="C478" i="22"/>
  <c r="C503" i="22"/>
  <c r="C479" i="22"/>
  <c r="C490" i="22"/>
  <c r="C480" i="22"/>
  <c r="C481" i="22"/>
  <c r="S493" i="22"/>
  <c r="S504" i="22"/>
  <c r="S491" i="22"/>
  <c r="S502" i="22"/>
  <c r="S505" i="22"/>
  <c r="S492" i="22"/>
  <c r="S478" i="22"/>
  <c r="S480" i="22"/>
  <c r="S479" i="22"/>
  <c r="S503" i="22"/>
  <c r="S490" i="22"/>
  <c r="S481" i="22"/>
  <c r="H392" i="22"/>
  <c r="H404" i="22"/>
  <c r="H380" i="22"/>
  <c r="R377" i="22"/>
  <c r="R401" i="22"/>
  <c r="R389" i="22"/>
  <c r="AB403" i="22"/>
  <c r="AB379" i="22"/>
  <c r="AB391" i="22"/>
  <c r="B283" i="22"/>
  <c r="B271" i="22"/>
  <c r="B295" i="22"/>
  <c r="AF13" i="33" s="1"/>
  <c r="I295" i="22"/>
  <c r="I283" i="22"/>
  <c r="I271" i="22"/>
  <c r="K294" i="22"/>
  <c r="K270" i="22"/>
  <c r="K282" i="22"/>
  <c r="L259" i="22"/>
  <c r="W292" i="22"/>
  <c r="W280" i="22"/>
  <c r="W268" i="22"/>
  <c r="U292" i="22"/>
  <c r="U280" i="22"/>
  <c r="U268" i="22"/>
  <c r="N280" i="22"/>
  <c r="N292" i="22"/>
  <c r="N268" i="22"/>
  <c r="R174" i="22"/>
  <c r="R186" i="22"/>
  <c r="R162" i="22"/>
  <c r="C184" i="22"/>
  <c r="C172" i="22"/>
  <c r="C160" i="22"/>
  <c r="V175" i="22"/>
  <c r="V187" i="22"/>
  <c r="V163" i="22"/>
  <c r="O369" i="22"/>
  <c r="O152" i="22"/>
  <c r="O151" i="22"/>
  <c r="O473" i="22"/>
  <c r="T68" i="22"/>
  <c r="T80" i="22"/>
  <c r="T56" i="22"/>
  <c r="D66" i="22"/>
  <c r="D78" i="22"/>
  <c r="D54" i="22"/>
  <c r="O186" i="22"/>
  <c r="O162" i="22"/>
  <c r="O174" i="22"/>
  <c r="L45" i="22"/>
  <c r="Q78" i="22"/>
  <c r="Q66" i="22"/>
  <c r="Q54" i="22"/>
  <c r="S45" i="22"/>
  <c r="P76" i="22"/>
  <c r="P64" i="22"/>
  <c r="P62" i="22"/>
  <c r="P77" i="22"/>
  <c r="P63" i="22"/>
  <c r="P74" i="22"/>
  <c r="P52" i="22"/>
  <c r="P53" i="22"/>
  <c r="P50" i="22"/>
  <c r="P75" i="22"/>
  <c r="P65" i="22"/>
  <c r="P51" i="22"/>
  <c r="N79" i="22"/>
  <c r="N55" i="22"/>
  <c r="N67" i="22"/>
  <c r="T69" i="22"/>
  <c r="T57" i="22"/>
  <c r="T81" i="22"/>
  <c r="K507" i="22"/>
  <c r="K495" i="22"/>
  <c r="K483" i="22"/>
  <c r="C494" i="22"/>
  <c r="C506" i="22"/>
  <c r="C482" i="22"/>
  <c r="AC491" i="22"/>
  <c r="AC502" i="22"/>
  <c r="ET6" i="33" s="1"/>
  <c r="AC505" i="22"/>
  <c r="ET9" i="33" s="1"/>
  <c r="AC492" i="22"/>
  <c r="AC503" i="22"/>
  <c r="ET7" i="33" s="1"/>
  <c r="AC490" i="22"/>
  <c r="AC480" i="22"/>
  <c r="AC493" i="22"/>
  <c r="AC479" i="22"/>
  <c r="AC504" i="22"/>
  <c r="ET8" i="33" s="1"/>
  <c r="AC478" i="22"/>
  <c r="AC481" i="22"/>
  <c r="P508" i="22"/>
  <c r="P484" i="22"/>
  <c r="P496" i="22"/>
  <c r="AB496" i="22"/>
  <c r="AB508" i="22"/>
  <c r="AB484" i="22"/>
  <c r="G380" i="22"/>
  <c r="G404" i="22"/>
  <c r="G392" i="22"/>
  <c r="E391" i="22"/>
  <c r="E403" i="22"/>
  <c r="E379" i="22"/>
  <c r="F401" i="22"/>
  <c r="F377" i="22"/>
  <c r="F389" i="22"/>
  <c r="Z400" i="22"/>
  <c r="Z398" i="22"/>
  <c r="Z374" i="22"/>
  <c r="Z388" i="22"/>
  <c r="Z399" i="22"/>
  <c r="Z386" i="22"/>
  <c r="Z376" i="22"/>
  <c r="Z387" i="22"/>
  <c r="Z375" i="22"/>
  <c r="Z373" i="22"/>
  <c r="Z397" i="22"/>
  <c r="Z385" i="22"/>
  <c r="T378" i="22"/>
  <c r="T402" i="22"/>
  <c r="T390" i="22"/>
  <c r="AC390" i="22"/>
  <c r="AC378" i="22"/>
  <c r="AC402" i="22"/>
  <c r="EP11" i="33" s="1"/>
  <c r="R390" i="22"/>
  <c r="R402" i="22"/>
  <c r="R378" i="22"/>
  <c r="W294" i="22"/>
  <c r="W270" i="22"/>
  <c r="W282" i="22"/>
  <c r="S270" i="22"/>
  <c r="S294" i="22"/>
  <c r="S282" i="22"/>
  <c r="K280" i="22"/>
  <c r="K292" i="22"/>
  <c r="K268" i="22"/>
  <c r="AC292" i="22"/>
  <c r="EL10" i="33" s="1"/>
  <c r="AC268" i="22"/>
  <c r="AC280" i="22"/>
  <c r="AB271" i="22"/>
  <c r="AB283" i="22"/>
  <c r="AB295" i="22"/>
  <c r="S260" i="22"/>
  <c r="J174" i="22"/>
  <c r="J162" i="22"/>
  <c r="J186" i="22"/>
  <c r="K160" i="22"/>
  <c r="K172" i="22"/>
  <c r="K184" i="22"/>
  <c r="J187" i="22"/>
  <c r="J163" i="22"/>
  <c r="J175" i="22"/>
  <c r="V183" i="22"/>
  <c r="V159" i="22"/>
  <c r="V170" i="22"/>
  <c r="V156" i="22"/>
  <c r="V182" i="22"/>
  <c r="V180" i="22"/>
  <c r="V158" i="22"/>
  <c r="V169" i="22"/>
  <c r="V157" i="22"/>
  <c r="V168" i="22"/>
  <c r="V171" i="22"/>
  <c r="V181" i="22"/>
  <c r="G369" i="22"/>
  <c r="G474" i="22"/>
  <c r="G152" i="22"/>
  <c r="G46" i="22"/>
  <c r="G259" i="22"/>
  <c r="G368" i="22"/>
  <c r="L68" i="22"/>
  <c r="L80" i="22"/>
  <c r="L56" i="22"/>
  <c r="T74" i="22"/>
  <c r="T77" i="22"/>
  <c r="T50" i="22"/>
  <c r="T75" i="22"/>
  <c r="T51" i="22"/>
  <c r="T53" i="22"/>
  <c r="T76" i="22"/>
  <c r="T63" i="22"/>
  <c r="T65" i="22"/>
  <c r="T62" i="22"/>
  <c r="T52" i="22"/>
  <c r="T64" i="22"/>
  <c r="Y80" i="22"/>
  <c r="Y68" i="22"/>
  <c r="Y56" i="22"/>
  <c r="I78" i="22"/>
  <c r="I66" i="22"/>
  <c r="I54" i="22"/>
  <c r="X55" i="22"/>
  <c r="X79" i="22"/>
  <c r="X67" i="22"/>
  <c r="H64" i="22"/>
  <c r="H74" i="22"/>
  <c r="H62" i="22"/>
  <c r="H75" i="22"/>
  <c r="H63" i="22"/>
  <c r="H53" i="22"/>
  <c r="H50" i="22"/>
  <c r="H77" i="22"/>
  <c r="H65" i="22"/>
  <c r="H76" i="22"/>
  <c r="H51" i="22"/>
  <c r="H52" i="22"/>
  <c r="F67" i="22"/>
  <c r="F79" i="22"/>
  <c r="F55" i="22"/>
  <c r="G75" i="22"/>
  <c r="G77" i="22"/>
  <c r="G51" i="22"/>
  <c r="G74" i="22"/>
  <c r="G52" i="22"/>
  <c r="G62" i="22"/>
  <c r="G63" i="22"/>
  <c r="G53" i="22"/>
  <c r="G50" i="22"/>
  <c r="G65" i="22"/>
  <c r="G76" i="22"/>
  <c r="G64" i="22"/>
  <c r="U81" i="22"/>
  <c r="U69" i="22"/>
  <c r="U57" i="22"/>
  <c r="AB81" i="22"/>
  <c r="AB69" i="22"/>
  <c r="AB57" i="22"/>
  <c r="Q81" i="22"/>
  <c r="Q57" i="22"/>
  <c r="Q69" i="22"/>
  <c r="X506" i="22"/>
  <c r="X482" i="22"/>
  <c r="X494" i="22"/>
  <c r="G495" i="22"/>
  <c r="G507" i="22"/>
  <c r="G483" i="22"/>
  <c r="M494" i="22"/>
  <c r="M506" i="22"/>
  <c r="CQ10" i="33" s="1"/>
  <c r="M482" i="22"/>
  <c r="M481" i="22"/>
  <c r="I379" i="22"/>
  <c r="I403" i="22"/>
  <c r="I391" i="22"/>
  <c r="AA385" i="22"/>
  <c r="AA399" i="22"/>
  <c r="AA375" i="22"/>
  <c r="AA386" i="22"/>
  <c r="AA376" i="22"/>
  <c r="AA373" i="22"/>
  <c r="AA374" i="22"/>
  <c r="AA397" i="22"/>
  <c r="AA388" i="22"/>
  <c r="AA387" i="22"/>
  <c r="AA400" i="22"/>
  <c r="AA398" i="22"/>
  <c r="Z389" i="22"/>
  <c r="Z401" i="22"/>
  <c r="Z377" i="22"/>
  <c r="AA377" i="22"/>
  <c r="AA401" i="22"/>
  <c r="AA389" i="22"/>
  <c r="O402" i="22"/>
  <c r="O378" i="22"/>
  <c r="O390" i="22"/>
  <c r="L378" i="22"/>
  <c r="L402" i="22"/>
  <c r="L390" i="22"/>
  <c r="M294" i="22"/>
  <c r="CI12" i="33" s="1"/>
  <c r="M282" i="22"/>
  <c r="M270" i="22"/>
  <c r="AA294" i="22"/>
  <c r="AA282" i="22"/>
  <c r="AA270" i="22"/>
  <c r="O292" i="22"/>
  <c r="O280" i="22"/>
  <c r="O268" i="22"/>
  <c r="B174" i="22"/>
  <c r="B162" i="22"/>
  <c r="B186" i="22"/>
  <c r="AB12" i="33" s="1"/>
  <c r="X187" i="22"/>
  <c r="X163" i="22"/>
  <c r="X175" i="22"/>
  <c r="S151" i="22"/>
  <c r="S184" i="22"/>
  <c r="S172" i="22"/>
  <c r="S160" i="22"/>
  <c r="C163" i="22"/>
  <c r="C187" i="22"/>
  <c r="C175" i="22"/>
  <c r="B187" i="22"/>
  <c r="AB13" i="33" s="1"/>
  <c r="B163" i="22"/>
  <c r="B175" i="22"/>
  <c r="W186" i="22"/>
  <c r="W162" i="22"/>
  <c r="W174" i="22"/>
  <c r="P474" i="22"/>
  <c r="P151" i="22"/>
  <c r="P259" i="22"/>
  <c r="P152" i="22"/>
  <c r="L74" i="22"/>
  <c r="L77" i="22"/>
  <c r="L50" i="22"/>
  <c r="L51" i="22"/>
  <c r="L65" i="22"/>
  <c r="L76" i="22"/>
  <c r="L64" i="22"/>
  <c r="L62" i="22"/>
  <c r="L52" i="22"/>
  <c r="L53" i="22"/>
  <c r="L75" i="22"/>
  <c r="L63" i="22"/>
  <c r="L174" i="22"/>
  <c r="L186" i="22"/>
  <c r="L162" i="22"/>
  <c r="AC186" i="22"/>
  <c r="EH12" i="33" s="1"/>
  <c r="AC174" i="22"/>
  <c r="AC162" i="22"/>
  <c r="AB152" i="22"/>
  <c r="AB259" i="22"/>
  <c r="AB368" i="22"/>
  <c r="AB46" i="22"/>
  <c r="AB473" i="22"/>
  <c r="AB369" i="22"/>
  <c r="AB474" i="22"/>
  <c r="Y76" i="22"/>
  <c r="Y75" i="22"/>
  <c r="Y65" i="22"/>
  <c r="Y77" i="22"/>
  <c r="Y74" i="22"/>
  <c r="Y50" i="22"/>
  <c r="Y51" i="22"/>
  <c r="Y52" i="22"/>
  <c r="Y62" i="22"/>
  <c r="Y64" i="22"/>
  <c r="Y53" i="22"/>
  <c r="Y63" i="22"/>
  <c r="C45" i="22"/>
  <c r="P55" i="22"/>
  <c r="P79" i="22"/>
  <c r="P67" i="22"/>
  <c r="I259" i="22"/>
  <c r="I473" i="22"/>
  <c r="I46" i="22"/>
  <c r="I152" i="22"/>
  <c r="V78" i="22"/>
  <c r="V66" i="22"/>
  <c r="V54" i="22"/>
  <c r="AC81" i="22"/>
  <c r="ED13" i="33" s="1"/>
  <c r="AC69" i="22"/>
  <c r="AC57" i="22"/>
  <c r="O79" i="22"/>
  <c r="O67" i="22"/>
  <c r="O55" i="22"/>
  <c r="P506" i="22"/>
  <c r="P482" i="22"/>
  <c r="P494" i="22"/>
  <c r="O495" i="22"/>
  <c r="O507" i="22"/>
  <c r="O483" i="22"/>
  <c r="X505" i="22"/>
  <c r="X492" i="22"/>
  <c r="X481" i="22"/>
  <c r="X480" i="22"/>
  <c r="X493" i="22"/>
  <c r="X504" i="22"/>
  <c r="I497" i="22"/>
  <c r="AB497" i="22"/>
  <c r="AB509" i="22"/>
  <c r="AB485" i="22"/>
  <c r="N497" i="22"/>
  <c r="N509" i="22"/>
  <c r="N485" i="22"/>
  <c r="T380" i="22"/>
  <c r="T404" i="22"/>
  <c r="T392" i="22"/>
  <c r="N401" i="22"/>
  <c r="N389" i="22"/>
  <c r="N377" i="22"/>
  <c r="D401" i="22"/>
  <c r="D389" i="22"/>
  <c r="D377" i="22"/>
  <c r="U401" i="22"/>
  <c r="U389" i="22"/>
  <c r="U377" i="22"/>
  <c r="B294" i="22"/>
  <c r="AF12" i="33" s="1"/>
  <c r="B270" i="22"/>
  <c r="B282" i="22"/>
  <c r="Y280" i="22"/>
  <c r="Y268" i="22"/>
  <c r="Y292" i="22"/>
  <c r="P175" i="22"/>
  <c r="P187" i="22"/>
  <c r="P163" i="22"/>
  <c r="AA184" i="22"/>
  <c r="AA172" i="22"/>
  <c r="AA160" i="22"/>
  <c r="AB174" i="22"/>
  <c r="AB162" i="22"/>
  <c r="AB186" i="22"/>
  <c r="M174" i="22"/>
  <c r="M162" i="22"/>
  <c r="M186" i="22"/>
  <c r="CE12" i="33" s="1"/>
  <c r="H368" i="22"/>
  <c r="H474" i="22"/>
  <c r="H260" i="22"/>
  <c r="H259" i="22"/>
  <c r="H473" i="22"/>
  <c r="H152" i="22"/>
  <c r="T79" i="22"/>
  <c r="T67" i="22"/>
  <c r="T55" i="22"/>
  <c r="D74" i="22"/>
  <c r="D77" i="22"/>
  <c r="D76" i="22"/>
  <c r="D50" i="22"/>
  <c r="D51" i="22"/>
  <c r="D64" i="22"/>
  <c r="D75" i="22"/>
  <c r="D62" i="22"/>
  <c r="D52" i="22"/>
  <c r="D53" i="22"/>
  <c r="D63" i="22"/>
  <c r="D65" i="22"/>
  <c r="V186" i="22"/>
  <c r="V162" i="22"/>
  <c r="V174" i="22"/>
  <c r="T369" i="22"/>
  <c r="T259" i="22"/>
  <c r="T152" i="22"/>
  <c r="T368" i="22"/>
  <c r="Q76" i="22"/>
  <c r="Q77" i="22"/>
  <c r="Q65" i="22"/>
  <c r="Q74" i="22"/>
  <c r="Q50" i="22"/>
  <c r="Q52" i="22"/>
  <c r="Q64" i="22"/>
  <c r="Q62" i="22"/>
  <c r="Q53" i="22"/>
  <c r="Q63" i="22"/>
  <c r="Q75" i="22"/>
  <c r="Q51" i="22"/>
  <c r="H79" i="22"/>
  <c r="H55" i="22"/>
  <c r="H67" i="22"/>
  <c r="N66" i="22"/>
  <c r="N78" i="22"/>
  <c r="N54" i="22"/>
  <c r="F81" i="22"/>
  <c r="F57" i="22"/>
  <c r="F69" i="22"/>
  <c r="G69" i="22"/>
  <c r="G81" i="22"/>
  <c r="G57" i="22"/>
  <c r="N81" i="22"/>
  <c r="N57" i="22"/>
  <c r="N69" i="22"/>
  <c r="Q509" i="22"/>
  <c r="Q485" i="22"/>
  <c r="Q497" i="22"/>
  <c r="B509" i="22"/>
  <c r="AN13" i="33" s="1"/>
  <c r="B485" i="22"/>
  <c r="B497" i="22"/>
  <c r="D496" i="22"/>
  <c r="D508" i="22"/>
  <c r="D484" i="22"/>
  <c r="O508" i="22"/>
  <c r="O484" i="22"/>
  <c r="O496" i="22"/>
  <c r="T497" i="22"/>
  <c r="T509" i="22"/>
  <c r="T485" i="22"/>
  <c r="C509" i="22"/>
  <c r="C485" i="22"/>
  <c r="C497" i="22"/>
  <c r="Y506" i="22"/>
  <c r="Y494" i="22"/>
  <c r="Y482" i="22"/>
  <c r="S507" i="22"/>
  <c r="S483" i="22"/>
  <c r="S495" i="22"/>
  <c r="E507" i="22"/>
  <c r="E495" i="22"/>
  <c r="E483" i="22"/>
  <c r="R507" i="22"/>
  <c r="R495" i="22"/>
  <c r="R483" i="22"/>
  <c r="X491" i="22"/>
  <c r="I509" i="22"/>
  <c r="F386" i="22"/>
  <c r="F376" i="22"/>
  <c r="F399" i="22"/>
  <c r="F373" i="22"/>
  <c r="F400" i="22"/>
  <c r="F387" i="22"/>
  <c r="F398" i="22"/>
  <c r="F388" i="22"/>
  <c r="F375" i="22"/>
  <c r="F374" i="22"/>
  <c r="F385" i="22"/>
  <c r="F397" i="22"/>
  <c r="M493" i="22"/>
  <c r="M491" i="22"/>
  <c r="G379" i="22"/>
  <c r="G403" i="22"/>
  <c r="G391" i="22"/>
  <c r="AC404" i="22"/>
  <c r="EP13" i="33" s="1"/>
  <c r="AC380" i="22"/>
  <c r="AC392" i="22"/>
  <c r="U404" i="22"/>
  <c r="U392" i="22"/>
  <c r="U380" i="22"/>
  <c r="N404" i="22"/>
  <c r="N392" i="22"/>
  <c r="N380" i="22"/>
  <c r="S404" i="22"/>
  <c r="S392" i="22"/>
  <c r="S380" i="22"/>
  <c r="L380" i="22"/>
  <c r="L392" i="22"/>
  <c r="L404" i="22"/>
  <c r="Q402" i="22"/>
  <c r="Q390" i="22"/>
  <c r="Q378" i="22"/>
  <c r="K377" i="22"/>
  <c r="K401" i="22"/>
  <c r="K389" i="22"/>
  <c r="B380" i="22"/>
  <c r="B392" i="22"/>
  <c r="B404" i="22"/>
  <c r="AJ13" i="33" s="1"/>
  <c r="B289" i="22"/>
  <c r="AF7" i="33" s="1"/>
  <c r="B291" i="22"/>
  <c r="AF9" i="33" s="1"/>
  <c r="B290" i="22"/>
  <c r="AF8" i="33" s="1"/>
  <c r="B265" i="22"/>
  <c r="B276" i="22"/>
  <c r="B288" i="22"/>
  <c r="AF6" i="33" s="1"/>
  <c r="B279" i="22"/>
  <c r="B267" i="22"/>
  <c r="B266" i="22"/>
  <c r="B264" i="22"/>
  <c r="B278" i="22"/>
  <c r="B277" i="22"/>
  <c r="J401" i="22"/>
  <c r="J389" i="22"/>
  <c r="J377" i="22"/>
  <c r="D280" i="22"/>
  <c r="D268" i="22"/>
  <c r="D292" i="22"/>
  <c r="L283" i="22"/>
  <c r="L295" i="22"/>
  <c r="L271" i="22"/>
  <c r="AC283" i="22"/>
  <c r="AC271" i="22"/>
  <c r="AC295" i="22"/>
  <c r="EL13" i="33" s="1"/>
  <c r="R292" i="22"/>
  <c r="R268" i="22"/>
  <c r="R280" i="22"/>
  <c r="R293" i="22"/>
  <c r="R281" i="22"/>
  <c r="R269" i="22"/>
  <c r="P281" i="22"/>
  <c r="P269" i="22"/>
  <c r="P293" i="22"/>
  <c r="B293" i="22"/>
  <c r="AF11" i="33" s="1"/>
  <c r="B281" i="22"/>
  <c r="B269" i="22"/>
  <c r="J292" i="22"/>
  <c r="J280" i="22"/>
  <c r="J268" i="22"/>
  <c r="V280" i="22"/>
  <c r="V292" i="22"/>
  <c r="V268" i="22"/>
  <c r="H295" i="22"/>
  <c r="H283" i="22"/>
  <c r="H271" i="22"/>
  <c r="H173" i="22"/>
  <c r="H185" i="22"/>
  <c r="H161" i="22"/>
  <c r="AC175" i="22"/>
  <c r="AC187" i="22"/>
  <c r="EH13" i="33" s="1"/>
  <c r="AC163" i="22"/>
  <c r="N172" i="22"/>
  <c r="N184" i="22"/>
  <c r="N160" i="22"/>
  <c r="G170" i="22"/>
  <c r="G181" i="22"/>
  <c r="G182" i="22"/>
  <c r="G183" i="22"/>
  <c r="G180" i="22"/>
  <c r="G157" i="22"/>
  <c r="G171" i="22"/>
  <c r="G168" i="22"/>
  <c r="G156" i="22"/>
  <c r="G169" i="22"/>
  <c r="G158" i="22"/>
  <c r="G159" i="22"/>
  <c r="G173" i="22"/>
  <c r="G161" i="22"/>
  <c r="G185" i="22"/>
  <c r="L294" i="22"/>
  <c r="L282" i="22"/>
  <c r="L270" i="22"/>
  <c r="F183" i="22"/>
  <c r="F159" i="22"/>
  <c r="F170" i="22"/>
  <c r="F181" i="22"/>
  <c r="F168" i="22"/>
  <c r="F182" i="22"/>
  <c r="F156" i="22"/>
  <c r="F171" i="22"/>
  <c r="F169" i="22"/>
  <c r="F180" i="22"/>
  <c r="F158" i="22"/>
  <c r="F157" i="22"/>
  <c r="G151" i="22"/>
  <c r="H184" i="22"/>
  <c r="H160" i="22"/>
  <c r="H172" i="22"/>
  <c r="Z160" i="22"/>
  <c r="Z172" i="22"/>
  <c r="Z184" i="22"/>
  <c r="X279" i="22"/>
  <c r="X291" i="22"/>
  <c r="X278" i="22"/>
  <c r="X277" i="22"/>
  <c r="X267" i="22"/>
  <c r="X289" i="22"/>
  <c r="X288" i="22"/>
  <c r="X276" i="22"/>
  <c r="X265" i="22"/>
  <c r="X290" i="22"/>
  <c r="X266" i="22"/>
  <c r="X264" i="22"/>
  <c r="M278" i="22"/>
  <c r="M290" i="22"/>
  <c r="CI8" i="33" s="1"/>
  <c r="M291" i="22"/>
  <c r="CI9" i="33" s="1"/>
  <c r="M276" i="22"/>
  <c r="M266" i="22"/>
  <c r="M277" i="22"/>
  <c r="M289" i="22"/>
  <c r="CI7" i="33" s="1"/>
  <c r="M264" i="22"/>
  <c r="M288" i="22"/>
  <c r="CI6" i="33" s="1"/>
  <c r="M279" i="22"/>
  <c r="M267" i="22"/>
  <c r="M265" i="22"/>
  <c r="AC172" i="22"/>
  <c r="AC160" i="22"/>
  <c r="AC184" i="22"/>
  <c r="EH10" i="33" s="1"/>
  <c r="G294" i="22"/>
  <c r="H80" i="22"/>
  <c r="H56" i="22"/>
  <c r="H68" i="22"/>
  <c r="K174" i="22"/>
  <c r="K186" i="22"/>
  <c r="K162" i="22"/>
  <c r="J68" i="22"/>
  <c r="J80" i="22"/>
  <c r="J56" i="22"/>
  <c r="W158" i="22"/>
  <c r="W170" i="22"/>
  <c r="C74" i="22"/>
  <c r="C75" i="22"/>
  <c r="C65" i="22"/>
  <c r="C63" i="22"/>
  <c r="C76" i="22"/>
  <c r="C64" i="22"/>
  <c r="C51" i="22"/>
  <c r="C62" i="22"/>
  <c r="C52" i="22"/>
  <c r="C77" i="22"/>
  <c r="C53" i="22"/>
  <c r="C50" i="22"/>
  <c r="AA74" i="22"/>
  <c r="AA65" i="22"/>
  <c r="AA77" i="22"/>
  <c r="AA63" i="22"/>
  <c r="AA64" i="22"/>
  <c r="AA75" i="22"/>
  <c r="AA62" i="22"/>
  <c r="AA52" i="22"/>
  <c r="AA53" i="22"/>
  <c r="AA50" i="22"/>
  <c r="AA51" i="22"/>
  <c r="AA76" i="22"/>
  <c r="C156" i="22"/>
  <c r="C182" i="22"/>
  <c r="R79" i="22"/>
  <c r="R67" i="22"/>
  <c r="R55" i="22"/>
  <c r="J69" i="22"/>
  <c r="J57" i="22"/>
  <c r="J81" i="22"/>
  <c r="D497" i="22"/>
  <c r="D509" i="22"/>
  <c r="D485" i="22"/>
  <c r="K509" i="22"/>
  <c r="K485" i="22"/>
  <c r="K497" i="22"/>
  <c r="J509" i="22"/>
  <c r="J485" i="22"/>
  <c r="J497" i="22"/>
  <c r="T496" i="22"/>
  <c r="T508" i="22"/>
  <c r="T484" i="22"/>
  <c r="I496" i="22"/>
  <c r="I484" i="22"/>
  <c r="I508" i="22"/>
  <c r="W508" i="22"/>
  <c r="W484" i="22"/>
  <c r="W496" i="22"/>
  <c r="Z490" i="22"/>
  <c r="Z493" i="22"/>
  <c r="Z504" i="22"/>
  <c r="Z491" i="22"/>
  <c r="Z502" i="22"/>
  <c r="Z505" i="22"/>
  <c r="Z481" i="22"/>
  <c r="Z479" i="22"/>
  <c r="Z503" i="22"/>
  <c r="Z478" i="22"/>
  <c r="Z492" i="22"/>
  <c r="Z480" i="22"/>
  <c r="P473" i="22"/>
  <c r="G506" i="22"/>
  <c r="G482" i="22"/>
  <c r="G494" i="22"/>
  <c r="Z507" i="22"/>
  <c r="Z495" i="22"/>
  <c r="Z483" i="22"/>
  <c r="N386" i="22"/>
  <c r="N376" i="22"/>
  <c r="N385" i="22"/>
  <c r="N375" i="22"/>
  <c r="N399" i="22"/>
  <c r="N398" i="22"/>
  <c r="N397" i="22"/>
  <c r="N388" i="22"/>
  <c r="N387" i="22"/>
  <c r="N374" i="22"/>
  <c r="N373" i="22"/>
  <c r="N400" i="22"/>
  <c r="M478" i="22"/>
  <c r="P403" i="22"/>
  <c r="P379" i="22"/>
  <c r="P391" i="22"/>
  <c r="N379" i="22"/>
  <c r="N403" i="22"/>
  <c r="N391" i="22"/>
  <c r="F403" i="22"/>
  <c r="F391" i="22"/>
  <c r="F379" i="22"/>
  <c r="R380" i="22"/>
  <c r="R404" i="22"/>
  <c r="R392" i="22"/>
  <c r="F404" i="22"/>
  <c r="F392" i="22"/>
  <c r="F380" i="22"/>
  <c r="K378" i="22"/>
  <c r="K390" i="22"/>
  <c r="K402" i="22"/>
  <c r="AB378" i="22"/>
  <c r="AB390" i="22"/>
  <c r="AB402" i="22"/>
  <c r="Y290" i="22"/>
  <c r="Y278" i="22"/>
  <c r="Y288" i="22"/>
  <c r="Y276" i="22"/>
  <c r="Y291" i="22"/>
  <c r="Y265" i="22"/>
  <c r="Y264" i="22"/>
  <c r="Y289" i="22"/>
  <c r="Y279" i="22"/>
  <c r="Y267" i="22"/>
  <c r="Y266" i="22"/>
  <c r="Y277" i="22"/>
  <c r="X295" i="22"/>
  <c r="X283" i="22"/>
  <c r="X271" i="22"/>
  <c r="F295" i="22"/>
  <c r="F271" i="22"/>
  <c r="F283" i="22"/>
  <c r="AB281" i="22"/>
  <c r="AB293" i="22"/>
  <c r="AB269" i="22"/>
  <c r="X293" i="22"/>
  <c r="X281" i="22"/>
  <c r="X269" i="22"/>
  <c r="P292" i="22"/>
  <c r="P280" i="22"/>
  <c r="P268" i="22"/>
  <c r="D260" i="22"/>
  <c r="G292" i="22"/>
  <c r="G280" i="22"/>
  <c r="G268" i="22"/>
  <c r="V281" i="22"/>
  <c r="V293" i="22"/>
  <c r="V269" i="22"/>
  <c r="H292" i="22"/>
  <c r="H280" i="22"/>
  <c r="H268" i="22"/>
  <c r="Y184" i="22"/>
  <c r="Y160" i="22"/>
  <c r="Y172" i="22"/>
  <c r="D187" i="22"/>
  <c r="D175" i="22"/>
  <c r="D163" i="22"/>
  <c r="B160" i="22"/>
  <c r="B172" i="22"/>
  <c r="B184" i="22"/>
  <c r="AB10" i="33" s="1"/>
  <c r="Y185" i="22"/>
  <c r="Y161" i="22"/>
  <c r="Y173" i="22"/>
  <c r="O173" i="22"/>
  <c r="O185" i="22"/>
  <c r="O161" i="22"/>
  <c r="U294" i="22"/>
  <c r="U282" i="22"/>
  <c r="U270" i="22"/>
  <c r="G187" i="22"/>
  <c r="G175" i="22"/>
  <c r="G163" i="22"/>
  <c r="Z187" i="22"/>
  <c r="Z163" i="22"/>
  <c r="Z175" i="22"/>
  <c r="AA182" i="22"/>
  <c r="AA158" i="22"/>
  <c r="AA169" i="22"/>
  <c r="AA168" i="22"/>
  <c r="AA171" i="22"/>
  <c r="AA157" i="22"/>
  <c r="AA159" i="22"/>
  <c r="AA156" i="22"/>
  <c r="AA183" i="22"/>
  <c r="AA181" i="22"/>
  <c r="AA180" i="22"/>
  <c r="AA170" i="22"/>
  <c r="P184" i="22"/>
  <c r="P160" i="22"/>
  <c r="P172" i="22"/>
  <c r="D291" i="22"/>
  <c r="D279" i="22"/>
  <c r="D288" i="22"/>
  <c r="D277" i="22"/>
  <c r="D290" i="22"/>
  <c r="D278" i="22"/>
  <c r="D266" i="22"/>
  <c r="D267" i="22"/>
  <c r="D276" i="22"/>
  <c r="D265" i="22"/>
  <c r="D264" i="22"/>
  <c r="D289" i="22"/>
  <c r="C288" i="22"/>
  <c r="C278" i="22"/>
  <c r="C276" i="22"/>
  <c r="C291" i="22"/>
  <c r="C277" i="22"/>
  <c r="C264" i="22"/>
  <c r="C267" i="22"/>
  <c r="C266" i="22"/>
  <c r="C265" i="22"/>
  <c r="C290" i="22"/>
  <c r="C289" i="22"/>
  <c r="C279" i="22"/>
  <c r="U278" i="22"/>
  <c r="U290" i="22"/>
  <c r="U277" i="22"/>
  <c r="U276" i="22"/>
  <c r="U266" i="22"/>
  <c r="U288" i="22"/>
  <c r="U264" i="22"/>
  <c r="U291" i="22"/>
  <c r="U265" i="22"/>
  <c r="U289" i="22"/>
  <c r="U279" i="22"/>
  <c r="U267" i="22"/>
  <c r="Q184" i="22"/>
  <c r="Q160" i="22"/>
  <c r="Q172" i="22"/>
  <c r="G282" i="22"/>
  <c r="R160" i="22"/>
  <c r="R184" i="22"/>
  <c r="R172" i="22"/>
  <c r="P80" i="22"/>
  <c r="P68" i="22"/>
  <c r="P56" i="22"/>
  <c r="S185" i="22"/>
  <c r="S161" i="22"/>
  <c r="S173" i="22"/>
  <c r="N80" i="22"/>
  <c r="N56" i="22"/>
  <c r="N68" i="22"/>
  <c r="Z81" i="22"/>
  <c r="Z69" i="22"/>
  <c r="Z57" i="22"/>
  <c r="H81" i="22"/>
  <c r="H57" i="22"/>
  <c r="H69" i="22"/>
  <c r="W183" i="22"/>
  <c r="AA78" i="22"/>
  <c r="AA54" i="22"/>
  <c r="AA66" i="22"/>
  <c r="G78" i="22"/>
  <c r="G66" i="22"/>
  <c r="G54" i="22"/>
  <c r="C181" i="22"/>
  <c r="G67" i="22"/>
  <c r="G79" i="22"/>
  <c r="G55" i="22"/>
  <c r="K79" i="22"/>
  <c r="K55" i="22"/>
  <c r="K67" i="22"/>
  <c r="Z79" i="22"/>
  <c r="Z55" i="22"/>
  <c r="Z67" i="22"/>
  <c r="E497" i="22"/>
  <c r="E509" i="22"/>
  <c r="E485" i="22"/>
  <c r="U497" i="22"/>
  <c r="U485" i="22"/>
  <c r="U509" i="22"/>
  <c r="R509" i="22"/>
  <c r="R485" i="22"/>
  <c r="R497" i="22"/>
  <c r="N508" i="22"/>
  <c r="N484" i="22"/>
  <c r="N496" i="22"/>
  <c r="F508" i="22"/>
  <c r="F484" i="22"/>
  <c r="F496" i="22"/>
  <c r="S496" i="22"/>
  <c r="S508" i="22"/>
  <c r="S484" i="22"/>
  <c r="L504" i="22"/>
  <c r="L491" i="22"/>
  <c r="L502" i="22"/>
  <c r="L505" i="22"/>
  <c r="L492" i="22"/>
  <c r="L503" i="22"/>
  <c r="L481" i="22"/>
  <c r="L493" i="22"/>
  <c r="L479" i="22"/>
  <c r="L490" i="22"/>
  <c r="L478" i="22"/>
  <c r="L480" i="22"/>
  <c r="T504" i="22"/>
  <c r="T491" i="22"/>
  <c r="T502" i="22"/>
  <c r="T505" i="22"/>
  <c r="T492" i="22"/>
  <c r="T503" i="22"/>
  <c r="T493" i="22"/>
  <c r="T481" i="22"/>
  <c r="T490" i="22"/>
  <c r="T479" i="22"/>
  <c r="T480" i="22"/>
  <c r="T478" i="22"/>
  <c r="M497" i="22"/>
  <c r="M509" i="22"/>
  <c r="CQ13" i="33" s="1"/>
  <c r="M485" i="22"/>
  <c r="Y509" i="22"/>
  <c r="Y485" i="22"/>
  <c r="Y497" i="22"/>
  <c r="L494" i="22"/>
  <c r="L482" i="22"/>
  <c r="L506" i="22"/>
  <c r="S494" i="22"/>
  <c r="S506" i="22"/>
  <c r="S482" i="22"/>
  <c r="X495" i="22"/>
  <c r="X507" i="22"/>
  <c r="X483" i="22"/>
  <c r="Y495" i="22"/>
  <c r="Y507" i="22"/>
  <c r="Y483" i="22"/>
  <c r="D507" i="22"/>
  <c r="D495" i="22"/>
  <c r="D483" i="22"/>
  <c r="V386" i="22"/>
  <c r="V376" i="22"/>
  <c r="V398" i="22"/>
  <c r="V388" i="22"/>
  <c r="V399" i="22"/>
  <c r="V400" i="22"/>
  <c r="V387" i="22"/>
  <c r="V385" i="22"/>
  <c r="V374" i="22"/>
  <c r="V373" i="22"/>
  <c r="V375" i="22"/>
  <c r="V397" i="22"/>
  <c r="M504" i="22"/>
  <c r="CQ8" i="33" s="1"/>
  <c r="Z403" i="22"/>
  <c r="Z379" i="22"/>
  <c r="Z391" i="22"/>
  <c r="G402" i="22"/>
  <c r="G390" i="22"/>
  <c r="G378" i="22"/>
  <c r="E404" i="22"/>
  <c r="E392" i="22"/>
  <c r="E380" i="22"/>
  <c r="O404" i="22"/>
  <c r="O392" i="22"/>
  <c r="O380" i="22"/>
  <c r="AB404" i="22"/>
  <c r="AB380" i="22"/>
  <c r="AB392" i="22"/>
  <c r="X402" i="22"/>
  <c r="X390" i="22"/>
  <c r="X378" i="22"/>
  <c r="W402" i="22"/>
  <c r="W378" i="22"/>
  <c r="W390" i="22"/>
  <c r="E402" i="22"/>
  <c r="E390" i="22"/>
  <c r="E378" i="22"/>
  <c r="G389" i="22"/>
  <c r="G377" i="22"/>
  <c r="G401" i="22"/>
  <c r="AB401" i="22"/>
  <c r="AB377" i="22"/>
  <c r="AB389" i="22"/>
  <c r="M401" i="22"/>
  <c r="CM10" i="33" s="1"/>
  <c r="M389" i="22"/>
  <c r="M377" i="22"/>
  <c r="Q290" i="22"/>
  <c r="Q278" i="22"/>
  <c r="Q289" i="22"/>
  <c r="Q279" i="22"/>
  <c r="Q276" i="22"/>
  <c r="Q277" i="22"/>
  <c r="Q288" i="22"/>
  <c r="Q265" i="22"/>
  <c r="Q264" i="22"/>
  <c r="Q291" i="22"/>
  <c r="Q266" i="22"/>
  <c r="Q267" i="22"/>
  <c r="Q295" i="22"/>
  <c r="Q283" i="22"/>
  <c r="Q271" i="22"/>
  <c r="D283" i="22"/>
  <c r="D295" i="22"/>
  <c r="D271" i="22"/>
  <c r="N295" i="22"/>
  <c r="N283" i="22"/>
  <c r="N271" i="22"/>
  <c r="J293" i="22"/>
  <c r="J281" i="22"/>
  <c r="J269" i="22"/>
  <c r="Y295" i="22"/>
  <c r="Y271" i="22"/>
  <c r="Y283" i="22"/>
  <c r="I293" i="22"/>
  <c r="I281" i="22"/>
  <c r="I269" i="22"/>
  <c r="O184" i="22"/>
  <c r="O160" i="22"/>
  <c r="O172" i="22"/>
  <c r="L187" i="22"/>
  <c r="L163" i="22"/>
  <c r="L175" i="22"/>
  <c r="U180" i="22"/>
  <c r="U183" i="22"/>
  <c r="U159" i="22"/>
  <c r="U182" i="22"/>
  <c r="U170" i="22"/>
  <c r="U156" i="22"/>
  <c r="U181" i="22"/>
  <c r="U158" i="22"/>
  <c r="U168" i="22"/>
  <c r="U157" i="22"/>
  <c r="U169" i="22"/>
  <c r="U171" i="22"/>
  <c r="P162" i="22"/>
  <c r="P186" i="22"/>
  <c r="P174" i="22"/>
  <c r="T271" i="22"/>
  <c r="M185" i="22"/>
  <c r="CE11" i="33" s="1"/>
  <c r="M161" i="22"/>
  <c r="M173" i="22"/>
  <c r="W173" i="22"/>
  <c r="W185" i="22"/>
  <c r="W161" i="22"/>
  <c r="L185" i="22"/>
  <c r="L161" i="22"/>
  <c r="L173" i="22"/>
  <c r="O170" i="22"/>
  <c r="O181" i="22"/>
  <c r="O180" i="22"/>
  <c r="O168" i="22"/>
  <c r="O158" i="22"/>
  <c r="O183" i="22"/>
  <c r="O156" i="22"/>
  <c r="O169" i="22"/>
  <c r="O182" i="22"/>
  <c r="O157" i="22"/>
  <c r="O171" i="22"/>
  <c r="O159" i="22"/>
  <c r="F184" i="22"/>
  <c r="F160" i="22"/>
  <c r="F172" i="22"/>
  <c r="S288" i="22"/>
  <c r="S278" i="22"/>
  <c r="S279" i="22"/>
  <c r="S276" i="22"/>
  <c r="S289" i="22"/>
  <c r="S291" i="22"/>
  <c r="S266" i="22"/>
  <c r="S290" i="22"/>
  <c r="S277" i="22"/>
  <c r="S267" i="22"/>
  <c r="S265" i="22"/>
  <c r="S264" i="22"/>
  <c r="O288" i="22"/>
  <c r="O290" i="22"/>
  <c r="O291" i="22"/>
  <c r="O277" i="22"/>
  <c r="O264" i="22"/>
  <c r="O278" i="22"/>
  <c r="O267" i="22"/>
  <c r="O289" i="22"/>
  <c r="O279" i="22"/>
  <c r="O265" i="22"/>
  <c r="O276" i="22"/>
  <c r="O266" i="22"/>
  <c r="AC278" i="22"/>
  <c r="AC290" i="22"/>
  <c r="EL8" i="33" s="1"/>
  <c r="AC291" i="22"/>
  <c r="EL9" i="33" s="1"/>
  <c r="AC276" i="22"/>
  <c r="AC266" i="22"/>
  <c r="AC289" i="22"/>
  <c r="EL7" i="33" s="1"/>
  <c r="AC279" i="22"/>
  <c r="AC267" i="22"/>
  <c r="AC265" i="22"/>
  <c r="AC264" i="22"/>
  <c r="AC288" i="22"/>
  <c r="EL6" i="33" s="1"/>
  <c r="AC277" i="22"/>
  <c r="G172" i="22"/>
  <c r="G184" i="22"/>
  <c r="G160" i="22"/>
  <c r="X80" i="22"/>
  <c r="X68" i="22"/>
  <c r="X56" i="22"/>
  <c r="AA174" i="22"/>
  <c r="AA162" i="22"/>
  <c r="AA186" i="22"/>
  <c r="C80" i="22"/>
  <c r="C56" i="22"/>
  <c r="C68" i="22"/>
  <c r="O69" i="22"/>
  <c r="O81" i="22"/>
  <c r="O57" i="22"/>
  <c r="V80" i="22"/>
  <c r="V56" i="22"/>
  <c r="V68" i="22"/>
  <c r="P81" i="22"/>
  <c r="P69" i="22"/>
  <c r="P57" i="22"/>
  <c r="W156" i="22"/>
  <c r="R76" i="22"/>
  <c r="R74" i="22"/>
  <c r="R52" i="22"/>
  <c r="R75" i="22"/>
  <c r="R53" i="22"/>
  <c r="R77" i="22"/>
  <c r="R64" i="22"/>
  <c r="R62" i="22"/>
  <c r="R63" i="22"/>
  <c r="R50" i="22"/>
  <c r="R51" i="22"/>
  <c r="R65" i="22"/>
  <c r="F66" i="22"/>
  <c r="F78" i="22"/>
  <c r="F54" i="22"/>
  <c r="K66" i="22"/>
  <c r="K54" i="22"/>
  <c r="K78" i="22"/>
  <c r="O78" i="22"/>
  <c r="O66" i="22"/>
  <c r="O54" i="22"/>
  <c r="C157" i="22"/>
  <c r="L497" i="22"/>
  <c r="L485" i="22"/>
  <c r="L509" i="22"/>
  <c r="U491" i="22"/>
  <c r="U502" i="22"/>
  <c r="U505" i="22"/>
  <c r="U492" i="22"/>
  <c r="U503" i="22"/>
  <c r="U490" i="22"/>
  <c r="U504" i="22"/>
  <c r="U481" i="22"/>
  <c r="U480" i="22"/>
  <c r="U479" i="22"/>
  <c r="U478" i="22"/>
  <c r="U493" i="22"/>
  <c r="L496" i="22"/>
  <c r="L508" i="22"/>
  <c r="L484" i="22"/>
  <c r="V508" i="22"/>
  <c r="V484" i="22"/>
  <c r="V496" i="22"/>
  <c r="E508" i="22"/>
  <c r="E496" i="22"/>
  <c r="E484" i="22"/>
  <c r="D504" i="22"/>
  <c r="D491" i="22"/>
  <c r="D502" i="22"/>
  <c r="D505" i="22"/>
  <c r="D492" i="22"/>
  <c r="D503" i="22"/>
  <c r="D490" i="22"/>
  <c r="D481" i="22"/>
  <c r="D479" i="22"/>
  <c r="D480" i="22"/>
  <c r="D493" i="22"/>
  <c r="D478" i="22"/>
  <c r="W505" i="22"/>
  <c r="W492" i="22"/>
  <c r="W503" i="22"/>
  <c r="W490" i="22"/>
  <c r="W493" i="22"/>
  <c r="W504" i="22"/>
  <c r="W480" i="22"/>
  <c r="W478" i="22"/>
  <c r="W481" i="22"/>
  <c r="W479" i="22"/>
  <c r="W502" i="22"/>
  <c r="W491" i="22"/>
  <c r="AB504" i="22"/>
  <c r="AB491" i="22"/>
  <c r="AB502" i="22"/>
  <c r="AB505" i="22"/>
  <c r="AB492" i="22"/>
  <c r="AB503" i="22"/>
  <c r="AB481" i="22"/>
  <c r="AB479" i="22"/>
  <c r="AB480" i="22"/>
  <c r="AB490" i="22"/>
  <c r="AB493" i="22"/>
  <c r="AB478" i="22"/>
  <c r="O497" i="22"/>
  <c r="O509" i="22"/>
  <c r="O485" i="22"/>
  <c r="AA509" i="22"/>
  <c r="AA485" i="22"/>
  <c r="AA497" i="22"/>
  <c r="AC494" i="22"/>
  <c r="AC506" i="22"/>
  <c r="ET10" i="33" s="1"/>
  <c r="AC482" i="22"/>
  <c r="E494" i="22"/>
  <c r="E506" i="22"/>
  <c r="E482" i="22"/>
  <c r="W506" i="22"/>
  <c r="W494" i="22"/>
  <c r="W482" i="22"/>
  <c r="F495" i="22"/>
  <c r="F483" i="22"/>
  <c r="F507" i="22"/>
  <c r="L507" i="22"/>
  <c r="L495" i="22"/>
  <c r="L483" i="22"/>
  <c r="B506" i="22"/>
  <c r="AN10" i="33" s="1"/>
  <c r="B494" i="22"/>
  <c r="B482" i="22"/>
  <c r="X479" i="22"/>
  <c r="X490" i="22"/>
  <c r="H376" i="22"/>
  <c r="H398" i="22"/>
  <c r="H374" i="22"/>
  <c r="H373" i="22"/>
  <c r="H400" i="22"/>
  <c r="H387" i="22"/>
  <c r="H399" i="22"/>
  <c r="H397" i="22"/>
  <c r="H385" i="22"/>
  <c r="H375" i="22"/>
  <c r="H388" i="22"/>
  <c r="H386" i="22"/>
  <c r="G397" i="22"/>
  <c r="G373" i="22"/>
  <c r="G400" i="22"/>
  <c r="G387" i="22"/>
  <c r="G386" i="22"/>
  <c r="G398" i="22"/>
  <c r="G388" i="22"/>
  <c r="G375" i="22"/>
  <c r="G374" i="22"/>
  <c r="G385" i="22"/>
  <c r="G399" i="22"/>
  <c r="G376" i="22"/>
  <c r="M490" i="22"/>
  <c r="D379" i="22"/>
  <c r="D403" i="22"/>
  <c r="D391" i="22"/>
  <c r="H403" i="22"/>
  <c r="H391" i="22"/>
  <c r="H379" i="22"/>
  <c r="Y392" i="22"/>
  <c r="Y380" i="22"/>
  <c r="Y404" i="22"/>
  <c r="V404" i="22"/>
  <c r="V392" i="22"/>
  <c r="V380" i="22"/>
  <c r="J390" i="22"/>
  <c r="J402" i="22"/>
  <c r="J378" i="22"/>
  <c r="F378" i="22"/>
  <c r="F390" i="22"/>
  <c r="F402" i="22"/>
  <c r="M402" i="22"/>
  <c r="CM11" i="33" s="1"/>
  <c r="M378" i="22"/>
  <c r="M390" i="22"/>
  <c r="S385" i="22"/>
  <c r="S400" i="22"/>
  <c r="S399" i="22"/>
  <c r="S375" i="22"/>
  <c r="S397" i="22"/>
  <c r="S387" i="22"/>
  <c r="S398" i="22"/>
  <c r="S386" i="22"/>
  <c r="S376" i="22"/>
  <c r="S373" i="22"/>
  <c r="S388" i="22"/>
  <c r="S374" i="22"/>
  <c r="I290" i="22"/>
  <c r="I278" i="22"/>
  <c r="I276" i="22"/>
  <c r="I288" i="22"/>
  <c r="I289" i="22"/>
  <c r="I279" i="22"/>
  <c r="I265" i="22"/>
  <c r="I291" i="22"/>
  <c r="I266" i="22"/>
  <c r="I264" i="22"/>
  <c r="I277" i="22"/>
  <c r="I267" i="22"/>
  <c r="S293" i="22"/>
  <c r="S281" i="22"/>
  <c r="S269" i="22"/>
  <c r="P295" i="22"/>
  <c r="P283" i="22"/>
  <c r="P271" i="22"/>
  <c r="V295" i="22"/>
  <c r="V271" i="22"/>
  <c r="V283" i="22"/>
  <c r="T293" i="22"/>
  <c r="T269" i="22"/>
  <c r="T281" i="22"/>
  <c r="T260" i="22"/>
  <c r="AA280" i="22"/>
  <c r="AA292" i="22"/>
  <c r="AA268" i="22"/>
  <c r="I280" i="22"/>
  <c r="I292" i="22"/>
  <c r="I268" i="22"/>
  <c r="E172" i="22"/>
  <c r="E184" i="22"/>
  <c r="E160" i="22"/>
  <c r="T163" i="22"/>
  <c r="T187" i="22"/>
  <c r="T175" i="22"/>
  <c r="K182" i="22"/>
  <c r="K158" i="22"/>
  <c r="K169" i="22"/>
  <c r="K180" i="22"/>
  <c r="K170" i="22"/>
  <c r="K181" i="22"/>
  <c r="K157" i="22"/>
  <c r="K159" i="22"/>
  <c r="K183" i="22"/>
  <c r="K168" i="22"/>
  <c r="K171" i="22"/>
  <c r="K156" i="22"/>
  <c r="F186" i="22"/>
  <c r="F162" i="22"/>
  <c r="F174" i="22"/>
  <c r="T169" i="22"/>
  <c r="T180" i="22"/>
  <c r="T183" i="22"/>
  <c r="T170" i="22"/>
  <c r="T159" i="22"/>
  <c r="T157" i="22"/>
  <c r="T182" i="22"/>
  <c r="T181" i="22"/>
  <c r="T171" i="22"/>
  <c r="T168" i="22"/>
  <c r="T158" i="22"/>
  <c r="T156" i="22"/>
  <c r="T295" i="22"/>
  <c r="C185" i="22"/>
  <c r="C161" i="22"/>
  <c r="C173" i="22"/>
  <c r="B161" i="22"/>
  <c r="B185" i="22"/>
  <c r="AB11" i="33" s="1"/>
  <c r="B173" i="22"/>
  <c r="F175" i="22"/>
  <c r="F187" i="22"/>
  <c r="F163" i="22"/>
  <c r="E180" i="22"/>
  <c r="E183" i="22"/>
  <c r="E159" i="22"/>
  <c r="E168" i="22"/>
  <c r="E158" i="22"/>
  <c r="E171" i="22"/>
  <c r="E170" i="22"/>
  <c r="E182" i="22"/>
  <c r="E181" i="22"/>
  <c r="E169" i="22"/>
  <c r="E156" i="22"/>
  <c r="E157" i="22"/>
  <c r="Y168" i="22"/>
  <c r="Y171" i="22"/>
  <c r="Y180" i="22"/>
  <c r="Y158" i="22"/>
  <c r="Y183" i="22"/>
  <c r="Y181" i="22"/>
  <c r="Y169" i="22"/>
  <c r="Y170" i="22"/>
  <c r="Y182" i="22"/>
  <c r="Y157" i="22"/>
  <c r="Y159" i="22"/>
  <c r="Y156" i="22"/>
  <c r="K288" i="22"/>
  <c r="K279" i="22"/>
  <c r="K276" i="22"/>
  <c r="K290" i="22"/>
  <c r="K266" i="22"/>
  <c r="K289" i="22"/>
  <c r="K278" i="22"/>
  <c r="K277" i="22"/>
  <c r="K291" i="22"/>
  <c r="K264" i="22"/>
  <c r="K265" i="22"/>
  <c r="K267" i="22"/>
  <c r="H279" i="22"/>
  <c r="H291" i="22"/>
  <c r="H278" i="22"/>
  <c r="H277" i="22"/>
  <c r="H267" i="22"/>
  <c r="H289" i="22"/>
  <c r="H290" i="22"/>
  <c r="H265" i="22"/>
  <c r="H264" i="22"/>
  <c r="H288" i="22"/>
  <c r="H276" i="22"/>
  <c r="H266" i="22"/>
  <c r="F289" i="22"/>
  <c r="F279" i="22"/>
  <c r="F288" i="22"/>
  <c r="F278" i="22"/>
  <c r="F277" i="22"/>
  <c r="F264" i="22"/>
  <c r="F290" i="22"/>
  <c r="F265" i="22"/>
  <c r="F276" i="22"/>
  <c r="F267" i="22"/>
  <c r="F266" i="22"/>
  <c r="F291" i="22"/>
  <c r="Z171" i="22"/>
  <c r="Z182" i="22"/>
  <c r="Z158" i="22"/>
  <c r="Z181" i="22"/>
  <c r="Z180" i="22"/>
  <c r="Z168" i="22"/>
  <c r="Z157" i="22"/>
  <c r="Z183" i="22"/>
  <c r="Z169" i="22"/>
  <c r="Z170" i="22"/>
  <c r="Z159" i="22"/>
  <c r="Z156" i="22"/>
  <c r="U186" i="22"/>
  <c r="U162" i="22"/>
  <c r="U174" i="22"/>
  <c r="E69" i="22"/>
  <c r="E81" i="22"/>
  <c r="E57" i="22"/>
  <c r="K80" i="22"/>
  <c r="K56" i="22"/>
  <c r="K68" i="22"/>
  <c r="X81" i="22"/>
  <c r="X69" i="22"/>
  <c r="X57" i="22"/>
  <c r="W159" i="22"/>
  <c r="K74" i="22"/>
  <c r="K65" i="22"/>
  <c r="K75" i="22"/>
  <c r="K63" i="22"/>
  <c r="K76" i="22"/>
  <c r="K64" i="22"/>
  <c r="K50" i="22"/>
  <c r="K77" i="22"/>
  <c r="K51" i="22"/>
  <c r="K62" i="22"/>
  <c r="K52" i="22"/>
  <c r="K53" i="22"/>
  <c r="E77" i="22"/>
  <c r="E53" i="22"/>
  <c r="E74" i="22"/>
  <c r="E62" i="22"/>
  <c r="E64" i="22"/>
  <c r="E75" i="22"/>
  <c r="E52" i="22"/>
  <c r="E63" i="22"/>
  <c r="E50" i="22"/>
  <c r="E65" i="22"/>
  <c r="E76" i="22"/>
  <c r="E51" i="22"/>
  <c r="AC77" i="22"/>
  <c r="ED9" i="33" s="1"/>
  <c r="AC63" i="22"/>
  <c r="AC53" i="22"/>
  <c r="AC74" i="22"/>
  <c r="ED6" i="33" s="1"/>
  <c r="AC62" i="22"/>
  <c r="AC75" i="22"/>
  <c r="ED7" i="33" s="1"/>
  <c r="AC64" i="22"/>
  <c r="AC50" i="22"/>
  <c r="AC51" i="22"/>
  <c r="AC76" i="22"/>
  <c r="ED8" i="33" s="1"/>
  <c r="AC65" i="22"/>
  <c r="AC52" i="22"/>
  <c r="AB74" i="22"/>
  <c r="AB77" i="22"/>
  <c r="AB76" i="22"/>
  <c r="AB50" i="22"/>
  <c r="AB75" i="22"/>
  <c r="AB51" i="22"/>
  <c r="AB65" i="22"/>
  <c r="AB62" i="22"/>
  <c r="AB52" i="22"/>
  <c r="AB64" i="22"/>
  <c r="AB53" i="22"/>
  <c r="AB63" i="22"/>
  <c r="U54" i="22"/>
  <c r="U66" i="22"/>
  <c r="U78" i="22"/>
  <c r="W78" i="22"/>
  <c r="W54" i="22"/>
  <c r="W66" i="22"/>
  <c r="W46" i="22"/>
  <c r="V497" i="22"/>
  <c r="V509" i="22"/>
  <c r="V485" i="22"/>
  <c r="V502" i="22"/>
  <c r="V505" i="22"/>
  <c r="V492" i="22"/>
  <c r="V503" i="22"/>
  <c r="V493" i="22"/>
  <c r="V479" i="22"/>
  <c r="V481" i="22"/>
  <c r="V478" i="22"/>
  <c r="V480" i="22"/>
  <c r="V490" i="22"/>
  <c r="V504" i="22"/>
  <c r="V491" i="22"/>
  <c r="B496" i="22"/>
  <c r="B484" i="22"/>
  <c r="B508" i="22"/>
  <c r="AN12" i="33" s="1"/>
  <c r="M508" i="22"/>
  <c r="CQ12" i="33" s="1"/>
  <c r="M496" i="22"/>
  <c r="M484" i="22"/>
  <c r="N502" i="22"/>
  <c r="N505" i="22"/>
  <c r="N492" i="22"/>
  <c r="N503" i="22"/>
  <c r="N493" i="22"/>
  <c r="N479" i="22"/>
  <c r="N491" i="22"/>
  <c r="N490" i="22"/>
  <c r="N504" i="22"/>
  <c r="N478" i="22"/>
  <c r="N481" i="22"/>
  <c r="N480" i="22"/>
  <c r="H492" i="22"/>
  <c r="H503" i="22"/>
  <c r="H490" i="22"/>
  <c r="H493" i="22"/>
  <c r="H504" i="22"/>
  <c r="H491" i="22"/>
  <c r="H505" i="22"/>
  <c r="H480" i="22"/>
  <c r="H481" i="22"/>
  <c r="H478" i="22"/>
  <c r="H479" i="22"/>
  <c r="H502" i="22"/>
  <c r="AC497" i="22"/>
  <c r="AC485" i="22"/>
  <c r="AC509" i="22"/>
  <c r="ET13" i="33" s="1"/>
  <c r="I495" i="22"/>
  <c r="I507" i="22"/>
  <c r="I483" i="22"/>
  <c r="T507" i="22"/>
  <c r="T483" i="22"/>
  <c r="T495" i="22"/>
  <c r="X503" i="22"/>
  <c r="T388" i="22"/>
  <c r="T386" i="22"/>
  <c r="T397" i="22"/>
  <c r="T387" i="22"/>
  <c r="T374" i="22"/>
  <c r="T400" i="22"/>
  <c r="T399" i="22"/>
  <c r="T385" i="22"/>
  <c r="T376" i="22"/>
  <c r="T373" i="22"/>
  <c r="T375" i="22"/>
  <c r="T398" i="22"/>
  <c r="R400" i="22"/>
  <c r="R398" i="22"/>
  <c r="R374" i="22"/>
  <c r="R388" i="22"/>
  <c r="R373" i="22"/>
  <c r="R399" i="22"/>
  <c r="R397" i="22"/>
  <c r="R386" i="22"/>
  <c r="R385" i="22"/>
  <c r="R376" i="22"/>
  <c r="R375" i="22"/>
  <c r="R387" i="22"/>
  <c r="O397" i="22"/>
  <c r="O373" i="22"/>
  <c r="O387" i="22"/>
  <c r="O399" i="22"/>
  <c r="O376" i="22"/>
  <c r="O398" i="22"/>
  <c r="O400" i="22"/>
  <c r="O374" i="22"/>
  <c r="O386" i="22"/>
  <c r="O385" i="22"/>
  <c r="O388" i="22"/>
  <c r="O375" i="22"/>
  <c r="M503" i="22"/>
  <c r="CQ7" i="33" s="1"/>
  <c r="T403" i="22"/>
  <c r="T391" i="22"/>
  <c r="T379" i="22"/>
  <c r="R403" i="22"/>
  <c r="R391" i="22"/>
  <c r="R379" i="22"/>
  <c r="K404" i="22"/>
  <c r="K380" i="22"/>
  <c r="K392" i="22"/>
  <c r="Y402" i="22"/>
  <c r="Y378" i="22"/>
  <c r="Y390" i="22"/>
  <c r="P402" i="22"/>
  <c r="P390" i="22"/>
  <c r="P378" i="22"/>
  <c r="M280" i="22"/>
  <c r="M292" i="22"/>
  <c r="CI10" i="33" s="1"/>
  <c r="M268" i="22"/>
  <c r="V391" i="22"/>
  <c r="V403" i="22"/>
  <c r="V379" i="22"/>
  <c r="AC401" i="22"/>
  <c r="EP10" i="33" s="1"/>
  <c r="AC389" i="22"/>
  <c r="AC377" i="22"/>
  <c r="D281" i="22"/>
  <c r="D293" i="22"/>
  <c r="D269" i="22"/>
  <c r="Z295" i="22"/>
  <c r="Z271" i="22"/>
  <c r="Z283" i="22"/>
  <c r="G281" i="22"/>
  <c r="G293" i="22"/>
  <c r="G269" i="22"/>
  <c r="AA269" i="22"/>
  <c r="AA293" i="22"/>
  <c r="AA281" i="22"/>
  <c r="AB260" i="22"/>
  <c r="W283" i="22"/>
  <c r="W295" i="22"/>
  <c r="W271" i="22"/>
  <c r="W175" i="22"/>
  <c r="W163" i="22"/>
  <c r="W187" i="22"/>
  <c r="L169" i="22"/>
  <c r="L180" i="22"/>
  <c r="L183" i="22"/>
  <c r="L182" i="22"/>
  <c r="L156" i="22"/>
  <c r="L171" i="22"/>
  <c r="L170" i="22"/>
  <c r="L181" i="22"/>
  <c r="L157" i="22"/>
  <c r="L168" i="22"/>
  <c r="L158" i="22"/>
  <c r="L159" i="22"/>
  <c r="AB175" i="22"/>
  <c r="AB163" i="22"/>
  <c r="AB187" i="22"/>
  <c r="AA185" i="22"/>
  <c r="AA161" i="22"/>
  <c r="AA173" i="22"/>
  <c r="AC293" i="22"/>
  <c r="EL11" i="33" s="1"/>
  <c r="AC269" i="22"/>
  <c r="AC281" i="22"/>
  <c r="Z185" i="22"/>
  <c r="Z161" i="22"/>
  <c r="Z173" i="22"/>
  <c r="J171" i="22"/>
  <c r="J182" i="22"/>
  <c r="J158" i="22"/>
  <c r="J183" i="22"/>
  <c r="J180" i="22"/>
  <c r="J169" i="22"/>
  <c r="J156" i="22"/>
  <c r="J168" i="22"/>
  <c r="J170" i="22"/>
  <c r="J159" i="22"/>
  <c r="J157" i="22"/>
  <c r="J181" i="22"/>
  <c r="Z174" i="22"/>
  <c r="Z162" i="22"/>
  <c r="Z186" i="22"/>
  <c r="V184" i="22"/>
  <c r="V172" i="22"/>
  <c r="V160" i="22"/>
  <c r="X280" i="22"/>
  <c r="O282" i="22"/>
  <c r="O294" i="22"/>
  <c r="O270" i="22"/>
  <c r="U172" i="22"/>
  <c r="U160" i="22"/>
  <c r="U184" i="22"/>
  <c r="K293" i="22"/>
  <c r="K281" i="22"/>
  <c r="K269" i="22"/>
  <c r="T291" i="22"/>
  <c r="T279" i="22"/>
  <c r="T290" i="22"/>
  <c r="T288" i="22"/>
  <c r="T289" i="22"/>
  <c r="T266" i="22"/>
  <c r="T277" i="22"/>
  <c r="T265" i="22"/>
  <c r="T278" i="22"/>
  <c r="T267" i="22"/>
  <c r="T264" i="22"/>
  <c r="T276" i="22"/>
  <c r="G288" i="22"/>
  <c r="G289" i="22"/>
  <c r="G291" i="22"/>
  <c r="G264" i="22"/>
  <c r="G279" i="22"/>
  <c r="G267" i="22"/>
  <c r="G266" i="22"/>
  <c r="G265" i="22"/>
  <c r="G290" i="22"/>
  <c r="G278" i="22"/>
  <c r="G277" i="22"/>
  <c r="G276" i="22"/>
  <c r="N289" i="22"/>
  <c r="N277" i="22"/>
  <c r="N288" i="22"/>
  <c r="N278" i="22"/>
  <c r="N291" i="22"/>
  <c r="N264" i="22"/>
  <c r="N267" i="22"/>
  <c r="N276" i="22"/>
  <c r="N279" i="22"/>
  <c r="N290" i="22"/>
  <c r="N265" i="22"/>
  <c r="N266" i="22"/>
  <c r="N183" i="22"/>
  <c r="N159" i="22"/>
  <c r="N170" i="22"/>
  <c r="N181" i="22"/>
  <c r="N171" i="22"/>
  <c r="N169" i="22"/>
  <c r="N168" i="22"/>
  <c r="N182" i="22"/>
  <c r="N180" i="22"/>
  <c r="N158" i="22"/>
  <c r="N156" i="22"/>
  <c r="N157" i="22"/>
  <c r="E80" i="22"/>
  <c r="E68" i="22"/>
  <c r="E56" i="22"/>
  <c r="I185" i="22"/>
  <c r="I173" i="22"/>
  <c r="I161" i="22"/>
  <c r="Z80" i="22"/>
  <c r="Z68" i="22"/>
  <c r="Z56" i="22"/>
  <c r="W80" i="22"/>
  <c r="W68" i="22"/>
  <c r="W56" i="22"/>
  <c r="N175" i="22"/>
  <c r="N187" i="22"/>
  <c r="N163" i="22"/>
  <c r="W69" i="22"/>
  <c r="W81" i="22"/>
  <c r="W57" i="22"/>
  <c r="C69" i="22"/>
  <c r="C81" i="22"/>
  <c r="C57" i="22"/>
  <c r="U151" i="22"/>
  <c r="W171" i="22"/>
  <c r="AB66" i="22"/>
  <c r="AB78" i="22"/>
  <c r="AB54" i="22"/>
  <c r="B78" i="22"/>
  <c r="X10" i="33" s="1"/>
  <c r="B54" i="22"/>
  <c r="B66" i="22"/>
  <c r="C168" i="22"/>
  <c r="W79" i="22"/>
  <c r="W67" i="22"/>
  <c r="W55" i="22"/>
  <c r="R81" i="22"/>
  <c r="R69" i="22"/>
  <c r="R57" i="22"/>
  <c r="J490" i="22"/>
  <c r="J493" i="22"/>
  <c r="J504" i="22"/>
  <c r="J491" i="22"/>
  <c r="J502" i="22"/>
  <c r="J505" i="22"/>
  <c r="J503" i="22"/>
  <c r="J481" i="22"/>
  <c r="J479" i="22"/>
  <c r="J478" i="22"/>
  <c r="J480" i="22"/>
  <c r="J492" i="22"/>
  <c r="H509" i="22"/>
  <c r="H497" i="22"/>
  <c r="H485" i="22"/>
  <c r="O474" i="22"/>
  <c r="U508" i="22"/>
  <c r="U496" i="22"/>
  <c r="U484" i="22"/>
  <c r="AA493" i="22"/>
  <c r="AA504" i="22"/>
  <c r="AA491" i="22"/>
  <c r="AA502" i="22"/>
  <c r="AA505" i="22"/>
  <c r="AA492" i="22"/>
  <c r="AA490" i="22"/>
  <c r="AA478" i="22"/>
  <c r="AA479" i="22"/>
  <c r="AA480" i="22"/>
  <c r="AA481" i="22"/>
  <c r="AA503" i="22"/>
  <c r="G505" i="22"/>
  <c r="G492" i="22"/>
  <c r="G503" i="22"/>
  <c r="G490" i="22"/>
  <c r="G493" i="22"/>
  <c r="G504" i="22"/>
  <c r="G502" i="22"/>
  <c r="G480" i="22"/>
  <c r="G479" i="22"/>
  <c r="G491" i="22"/>
  <c r="G481" i="22"/>
  <c r="G478" i="22"/>
  <c r="D474" i="22"/>
  <c r="G497" i="22"/>
  <c r="G509" i="22"/>
  <c r="G485" i="22"/>
  <c r="F497" i="22"/>
  <c r="F509" i="22"/>
  <c r="F485" i="22"/>
  <c r="AC507" i="22"/>
  <c r="ET11" i="33" s="1"/>
  <c r="AC483" i="22"/>
  <c r="AC495" i="22"/>
  <c r="AA507" i="22"/>
  <c r="AA483" i="22"/>
  <c r="AA495" i="22"/>
  <c r="AB507" i="22"/>
  <c r="AB483" i="22"/>
  <c r="AB495" i="22"/>
  <c r="E399" i="22"/>
  <c r="E375" i="22"/>
  <c r="E397" i="22"/>
  <c r="E373" i="22"/>
  <c r="E376" i="22"/>
  <c r="E386" i="22"/>
  <c r="E398" i="22"/>
  <c r="E400" i="22"/>
  <c r="E385" i="22"/>
  <c r="E374" i="22"/>
  <c r="E388" i="22"/>
  <c r="E387" i="22"/>
  <c r="M391" i="22"/>
  <c r="M379" i="22"/>
  <c r="M403" i="22"/>
  <c r="CM12" i="33" s="1"/>
  <c r="AB388" i="22"/>
  <c r="AB386" i="22"/>
  <c r="AB373" i="22"/>
  <c r="AB400" i="22"/>
  <c r="AB385" i="22"/>
  <c r="AB397" i="22"/>
  <c r="AB399" i="22"/>
  <c r="AB398" i="22"/>
  <c r="AB387" i="22"/>
  <c r="AB374" i="22"/>
  <c r="AB375" i="22"/>
  <c r="AB376" i="22"/>
  <c r="W397" i="22"/>
  <c r="W373" i="22"/>
  <c r="W387" i="22"/>
  <c r="W398" i="22"/>
  <c r="W388" i="22"/>
  <c r="W400" i="22"/>
  <c r="W385" i="22"/>
  <c r="W375" i="22"/>
  <c r="W386" i="22"/>
  <c r="W399" i="22"/>
  <c r="W374" i="22"/>
  <c r="W376" i="22"/>
  <c r="L379" i="22"/>
  <c r="L403" i="22"/>
  <c r="L391" i="22"/>
  <c r="M480" i="22"/>
  <c r="M492" i="22"/>
  <c r="C403" i="22"/>
  <c r="C391" i="22"/>
  <c r="C379" i="22"/>
  <c r="AA403" i="22"/>
  <c r="AA391" i="22"/>
  <c r="AA379" i="22"/>
  <c r="AA380" i="22"/>
  <c r="AA404" i="22"/>
  <c r="AA392" i="22"/>
  <c r="N378" i="22"/>
  <c r="N402" i="22"/>
  <c r="N390" i="22"/>
  <c r="Z390" i="22"/>
  <c r="Z402" i="22"/>
  <c r="Z378" i="22"/>
  <c r="E292" i="22"/>
  <c r="E268" i="22"/>
  <c r="E280" i="22"/>
  <c r="E401" i="22"/>
  <c r="E389" i="22"/>
  <c r="E377" i="22"/>
  <c r="Q377" i="22"/>
  <c r="Q401" i="22"/>
  <c r="Q389" i="22"/>
  <c r="Z277" i="22"/>
  <c r="Z289" i="22"/>
  <c r="Z290" i="22"/>
  <c r="Z291" i="22"/>
  <c r="Z265" i="22"/>
  <c r="Z288" i="22"/>
  <c r="Z278" i="22"/>
  <c r="Z276" i="22"/>
  <c r="Z279" i="22"/>
  <c r="Z267" i="22"/>
  <c r="Z264" i="22"/>
  <c r="Z266" i="22"/>
  <c r="S280" i="22"/>
  <c r="S292" i="22"/>
  <c r="S268" i="22"/>
  <c r="E295" i="22"/>
  <c r="E271" i="22"/>
  <c r="E283" i="22"/>
  <c r="O295" i="22"/>
  <c r="O283" i="22"/>
  <c r="O271" i="22"/>
  <c r="O281" i="22"/>
  <c r="O293" i="22"/>
  <c r="O269" i="22"/>
  <c r="X389" i="22"/>
  <c r="AA295" i="22"/>
  <c r="AA271" i="22"/>
  <c r="AA283" i="22"/>
  <c r="M293" i="22"/>
  <c r="CI11" i="33" s="1"/>
  <c r="M281" i="22"/>
  <c r="M269" i="22"/>
  <c r="C260" i="22"/>
  <c r="C295" i="22"/>
  <c r="C271" i="22"/>
  <c r="C283" i="22"/>
  <c r="X181" i="22"/>
  <c r="X168" i="22"/>
  <c r="X183" i="22"/>
  <c r="X171" i="22"/>
  <c r="X157" i="22"/>
  <c r="X182" i="22"/>
  <c r="X158" i="22"/>
  <c r="X159" i="22"/>
  <c r="X156" i="22"/>
  <c r="X170" i="22"/>
  <c r="X169" i="22"/>
  <c r="X180" i="22"/>
  <c r="K175" i="22"/>
  <c r="K163" i="22"/>
  <c r="K187" i="22"/>
  <c r="B171" i="22"/>
  <c r="B182" i="22"/>
  <c r="AB8" i="33" s="1"/>
  <c r="B158" i="22"/>
  <c r="B183" i="22"/>
  <c r="AB9" i="33" s="1"/>
  <c r="B157" i="22"/>
  <c r="B156" i="22"/>
  <c r="B168" i="22"/>
  <c r="B169" i="22"/>
  <c r="B181" i="22"/>
  <c r="AB7" i="33" s="1"/>
  <c r="B170" i="22"/>
  <c r="B159" i="22"/>
  <c r="B180" i="22"/>
  <c r="AB6" i="33" s="1"/>
  <c r="Q173" i="22"/>
  <c r="Q185" i="22"/>
  <c r="Q161" i="22"/>
  <c r="P173" i="22"/>
  <c r="P185" i="22"/>
  <c r="P161" i="22"/>
  <c r="J184" i="22"/>
  <c r="J172" i="22"/>
  <c r="J160" i="22"/>
  <c r="F185" i="22"/>
  <c r="F173" i="22"/>
  <c r="F161" i="22"/>
  <c r="AC294" i="22"/>
  <c r="EL12" i="33" s="1"/>
  <c r="AC282" i="22"/>
  <c r="AC270" i="22"/>
  <c r="V270" i="22"/>
  <c r="Y281" i="22"/>
  <c r="Y293" i="22"/>
  <c r="Y269" i="22"/>
  <c r="L291" i="22"/>
  <c r="L279" i="22"/>
  <c r="L277" i="22"/>
  <c r="L289" i="22"/>
  <c r="L290" i="22"/>
  <c r="L266" i="22"/>
  <c r="L278" i="22"/>
  <c r="L267" i="22"/>
  <c r="L288" i="22"/>
  <c r="L276" i="22"/>
  <c r="L265" i="22"/>
  <c r="L264" i="22"/>
  <c r="V289" i="22"/>
  <c r="V277" i="22"/>
  <c r="V279" i="22"/>
  <c r="V290" i="22"/>
  <c r="V264" i="22"/>
  <c r="V291" i="22"/>
  <c r="V267" i="22"/>
  <c r="V266" i="22"/>
  <c r="V265" i="22"/>
  <c r="V276" i="22"/>
  <c r="V288" i="22"/>
  <c r="V278" i="22"/>
  <c r="D169" i="22"/>
  <c r="D180" i="22"/>
  <c r="D181" i="22"/>
  <c r="D171" i="22"/>
  <c r="D156" i="22"/>
  <c r="D159" i="22"/>
  <c r="D183" i="22"/>
  <c r="D170" i="22"/>
  <c r="D158" i="22"/>
  <c r="D157" i="22"/>
  <c r="D182" i="22"/>
  <c r="D168" i="22"/>
  <c r="M80" i="22"/>
  <c r="CA12" i="33" s="1"/>
  <c r="M68" i="22"/>
  <c r="M56" i="22"/>
  <c r="R80" i="22"/>
  <c r="R68" i="22"/>
  <c r="R56" i="22"/>
  <c r="AA56" i="22"/>
  <c r="AA68" i="22"/>
  <c r="AA80" i="22"/>
  <c r="O80" i="22"/>
  <c r="O68" i="22"/>
  <c r="O56" i="22"/>
  <c r="M69" i="22"/>
  <c r="M81" i="22"/>
  <c r="CA13" i="33" s="1"/>
  <c r="M57" i="22"/>
  <c r="K81" i="22"/>
  <c r="K57" i="22"/>
  <c r="K69" i="22"/>
  <c r="W168" i="22"/>
  <c r="W169" i="22"/>
  <c r="B76" i="22"/>
  <c r="X8" i="33" s="1"/>
  <c r="B52" i="22"/>
  <c r="B77" i="22"/>
  <c r="X9" i="33" s="1"/>
  <c r="B53" i="22"/>
  <c r="B65" i="22"/>
  <c r="B51" i="22"/>
  <c r="B64" i="22"/>
  <c r="B75" i="22"/>
  <c r="X7" i="33" s="1"/>
  <c r="B62" i="22"/>
  <c r="B74" i="22"/>
  <c r="X6" i="33" s="1"/>
  <c r="B63" i="22"/>
  <c r="B50" i="22"/>
  <c r="Z76" i="22"/>
  <c r="Z52" i="22"/>
  <c r="Z77" i="22"/>
  <c r="Z53" i="22"/>
  <c r="Z65" i="22"/>
  <c r="Z75" i="22"/>
  <c r="Z62" i="22"/>
  <c r="Z64" i="22"/>
  <c r="Z74" i="22"/>
  <c r="Z63" i="22"/>
  <c r="Z50" i="22"/>
  <c r="Z51" i="22"/>
  <c r="S74" i="22"/>
  <c r="S77" i="22"/>
  <c r="S65" i="22"/>
  <c r="S63" i="22"/>
  <c r="S64" i="22"/>
  <c r="S53" i="22"/>
  <c r="S76" i="22"/>
  <c r="S50" i="22"/>
  <c r="S75" i="22"/>
  <c r="S51" i="22"/>
  <c r="S62" i="22"/>
  <c r="S52" i="22"/>
  <c r="O75" i="22"/>
  <c r="O51" i="22"/>
  <c r="O77" i="22"/>
  <c r="O74" i="22"/>
  <c r="O52" i="22"/>
  <c r="O65" i="22"/>
  <c r="O64" i="22"/>
  <c r="O62" i="22"/>
  <c r="O76" i="22"/>
  <c r="O63" i="22"/>
  <c r="O53" i="22"/>
  <c r="O50" i="22"/>
  <c r="J78" i="22"/>
  <c r="J66" i="22"/>
  <c r="J54" i="22"/>
  <c r="C171" i="22"/>
  <c r="C180" i="22"/>
  <c r="C79" i="22"/>
  <c r="C55" i="22"/>
  <c r="C67" i="22"/>
  <c r="AA79" i="22"/>
  <c r="AA55" i="22"/>
  <c r="AA67" i="22"/>
  <c r="P509" i="22"/>
  <c r="P485" i="22"/>
  <c r="P497" i="22"/>
  <c r="H508" i="22"/>
  <c r="H484" i="22"/>
  <c r="H496" i="22"/>
  <c r="AC508" i="22"/>
  <c r="ET12" i="33" s="1"/>
  <c r="AC496" i="22"/>
  <c r="AC484" i="22"/>
  <c r="E491" i="22"/>
  <c r="E502" i="22"/>
  <c r="E505" i="22"/>
  <c r="E492" i="22"/>
  <c r="E503" i="22"/>
  <c r="E490" i="22"/>
  <c r="E504" i="22"/>
  <c r="E479" i="22"/>
  <c r="E481" i="22"/>
  <c r="E493" i="22"/>
  <c r="E478" i="22"/>
  <c r="E480" i="22"/>
  <c r="Y503" i="22"/>
  <c r="Y490" i="22"/>
  <c r="Y493" i="22"/>
  <c r="Y504" i="22"/>
  <c r="Y502" i="22"/>
  <c r="Y480" i="22"/>
  <c r="Y478" i="22"/>
  <c r="Y492" i="22"/>
  <c r="Y505" i="22"/>
  <c r="Y479" i="22"/>
  <c r="Y491" i="22"/>
  <c r="Y481" i="22"/>
  <c r="Y496" i="22"/>
  <c r="Y508" i="22"/>
  <c r="Y484" i="22"/>
  <c r="U494" i="22"/>
  <c r="U506" i="22"/>
  <c r="U482" i="22"/>
  <c r="F494" i="22"/>
  <c r="F506" i="22"/>
  <c r="F482" i="22"/>
  <c r="C507" i="22"/>
  <c r="C483" i="22"/>
  <c r="C495" i="22"/>
  <c r="V495" i="22"/>
  <c r="V507" i="22"/>
  <c r="V483" i="22"/>
  <c r="B507" i="22"/>
  <c r="AN11" i="33" s="1"/>
  <c r="B483" i="22"/>
  <c r="B495" i="22"/>
  <c r="W497" i="22"/>
  <c r="W509" i="22"/>
  <c r="W485" i="22"/>
  <c r="Q400" i="22"/>
  <c r="Q387" i="22"/>
  <c r="Q385" i="22"/>
  <c r="Q386" i="22"/>
  <c r="Q376" i="22"/>
  <c r="Q373" i="22"/>
  <c r="Q399" i="22"/>
  <c r="Q398" i="22"/>
  <c r="Q397" i="22"/>
  <c r="Q388" i="22"/>
  <c r="Q375" i="22"/>
  <c r="Q374" i="22"/>
  <c r="K400" i="22"/>
  <c r="K385" i="22"/>
  <c r="K399" i="22"/>
  <c r="K375" i="22"/>
  <c r="K374" i="22"/>
  <c r="K388" i="22"/>
  <c r="K386" i="22"/>
  <c r="K376" i="22"/>
  <c r="K387" i="22"/>
  <c r="K398" i="22"/>
  <c r="K373" i="22"/>
  <c r="K397" i="22"/>
  <c r="P376" i="22"/>
  <c r="P398" i="22"/>
  <c r="P374" i="22"/>
  <c r="P399" i="22"/>
  <c r="P386" i="22"/>
  <c r="P400" i="22"/>
  <c r="P397" i="22"/>
  <c r="P375" i="22"/>
  <c r="P385" i="22"/>
  <c r="P373" i="22"/>
  <c r="P387" i="22"/>
  <c r="P388" i="22"/>
  <c r="M479" i="22"/>
  <c r="M505" i="22"/>
  <c r="CQ9" i="33" s="1"/>
  <c r="M399" i="22"/>
  <c r="CM8" i="33" s="1"/>
  <c r="M375" i="22"/>
  <c r="M397" i="22"/>
  <c r="CM6" i="33" s="1"/>
  <c r="M373" i="22"/>
  <c r="M398" i="22"/>
  <c r="CM7" i="33" s="1"/>
  <c r="M388" i="22"/>
  <c r="M385" i="22"/>
  <c r="M374" i="22"/>
  <c r="M386" i="22"/>
  <c r="M400" i="22"/>
  <c r="CM9" i="33" s="1"/>
  <c r="M387" i="22"/>
  <c r="M376" i="22"/>
  <c r="J403" i="22"/>
  <c r="J391" i="22"/>
  <c r="J379" i="22"/>
  <c r="C392" i="22"/>
  <c r="C380" i="22"/>
  <c r="C404" i="22"/>
  <c r="Z380" i="22"/>
  <c r="Z404" i="22"/>
  <c r="Z392" i="22"/>
  <c r="AA402" i="22"/>
  <c r="AA378" i="22"/>
  <c r="AA390" i="22"/>
  <c r="D378" i="22"/>
  <c r="D402" i="22"/>
  <c r="D390" i="22"/>
  <c r="Y400" i="22"/>
  <c r="Y387" i="22"/>
  <c r="Y385" i="22"/>
  <c r="Y399" i="22"/>
  <c r="Y388" i="22"/>
  <c r="Y386" i="22"/>
  <c r="Y376" i="22"/>
  <c r="Y398" i="22"/>
  <c r="Y375" i="22"/>
  <c r="Y397" i="22"/>
  <c r="Y374" i="22"/>
  <c r="Y373" i="22"/>
  <c r="V401" i="22"/>
  <c r="V377" i="22"/>
  <c r="V389" i="22"/>
  <c r="R289" i="22"/>
  <c r="R291" i="22"/>
  <c r="R265" i="22"/>
  <c r="R279" i="22"/>
  <c r="R276" i="22"/>
  <c r="R277" i="22"/>
  <c r="R290" i="22"/>
  <c r="R278" i="22"/>
  <c r="R266" i="22"/>
  <c r="R267" i="22"/>
  <c r="R264" i="22"/>
  <c r="R288" i="22"/>
  <c r="S377" i="22"/>
  <c r="S401" i="22"/>
  <c r="S389" i="22"/>
  <c r="Y377" i="22"/>
  <c r="Y401" i="22"/>
  <c r="Y389" i="22"/>
  <c r="T280" i="22"/>
  <c r="T268" i="22"/>
  <c r="T292" i="22"/>
  <c r="F292" i="22"/>
  <c r="F268" i="22"/>
  <c r="F280" i="22"/>
  <c r="M283" i="22"/>
  <c r="M271" i="22"/>
  <c r="M295" i="22"/>
  <c r="CI13" i="33" s="1"/>
  <c r="Q281" i="22"/>
  <c r="Q269" i="22"/>
  <c r="Q293" i="22"/>
  <c r="W281" i="22"/>
  <c r="W293" i="22"/>
  <c r="W269" i="22"/>
  <c r="K271" i="22"/>
  <c r="K295" i="22"/>
  <c r="K283" i="22"/>
  <c r="Z293" i="22"/>
  <c r="Z281" i="22"/>
  <c r="Z269" i="22"/>
  <c r="O260" i="22"/>
  <c r="C280" i="22"/>
  <c r="C292" i="22"/>
  <c r="C268" i="22"/>
  <c r="Q168" i="22"/>
  <c r="Q171" i="22"/>
  <c r="Q182" i="22"/>
  <c r="Q159" i="22"/>
  <c r="Q170" i="22"/>
  <c r="Q157" i="22"/>
  <c r="Q183" i="22"/>
  <c r="Q169" i="22"/>
  <c r="Q158" i="22"/>
  <c r="Q180" i="22"/>
  <c r="Q156" i="22"/>
  <c r="Q181" i="22"/>
  <c r="U293" i="22"/>
  <c r="U269" i="22"/>
  <c r="U281" i="22"/>
  <c r="P181" i="22"/>
  <c r="P168" i="22"/>
  <c r="P157" i="22"/>
  <c r="P171" i="22"/>
  <c r="P159" i="22"/>
  <c r="P180" i="22"/>
  <c r="P169" i="22"/>
  <c r="P158" i="22"/>
  <c r="P183" i="22"/>
  <c r="P170" i="22"/>
  <c r="P156" i="22"/>
  <c r="P182" i="22"/>
  <c r="AB185" i="22"/>
  <c r="AB161" i="22"/>
  <c r="AB173" i="22"/>
  <c r="M175" i="22"/>
  <c r="M163" i="22"/>
  <c r="M187" i="22"/>
  <c r="CE13" i="33" s="1"/>
  <c r="E185" i="22"/>
  <c r="E173" i="22"/>
  <c r="E161" i="22"/>
  <c r="D185" i="22"/>
  <c r="D161" i="22"/>
  <c r="D173" i="22"/>
  <c r="AC180" i="22"/>
  <c r="EH6" i="33" s="1"/>
  <c r="AC183" i="22"/>
  <c r="EH9" i="33" s="1"/>
  <c r="AC159" i="22"/>
  <c r="AC182" i="22"/>
  <c r="EH8" i="33" s="1"/>
  <c r="AC156" i="22"/>
  <c r="AC171" i="22"/>
  <c r="AC157" i="22"/>
  <c r="AC170" i="22"/>
  <c r="AC181" i="22"/>
  <c r="EH7" i="33" s="1"/>
  <c r="AC169" i="22"/>
  <c r="AC158" i="22"/>
  <c r="AC168" i="22"/>
  <c r="N161" i="22"/>
  <c r="N173" i="22"/>
  <c r="N185" i="22"/>
  <c r="H270" i="22"/>
  <c r="H294" i="22"/>
  <c r="H282" i="22"/>
  <c r="AB169" i="22"/>
  <c r="AB180" i="22"/>
  <c r="AB181" i="22"/>
  <c r="AB159" i="22"/>
  <c r="AB168" i="22"/>
  <c r="AB156" i="22"/>
  <c r="AB170" i="22"/>
  <c r="AB182" i="22"/>
  <c r="AB158" i="22"/>
  <c r="AB171" i="22"/>
  <c r="AB183" i="22"/>
  <c r="AB157" i="22"/>
  <c r="P279" i="22"/>
  <c r="P291" i="22"/>
  <c r="P278" i="22"/>
  <c r="P267" i="22"/>
  <c r="P288" i="22"/>
  <c r="P290" i="22"/>
  <c r="P289" i="22"/>
  <c r="P276" i="22"/>
  <c r="P265" i="22"/>
  <c r="P277" i="22"/>
  <c r="P266" i="22"/>
  <c r="P264" i="22"/>
  <c r="U185" i="22"/>
  <c r="U161" i="22"/>
  <c r="U173" i="22"/>
  <c r="V282" i="22"/>
  <c r="AB291" i="22"/>
  <c r="AB279" i="22"/>
  <c r="AB289" i="22"/>
  <c r="AB288" i="22"/>
  <c r="AB266" i="22"/>
  <c r="AB265" i="22"/>
  <c r="AB267" i="22"/>
  <c r="AB278" i="22"/>
  <c r="AB290" i="22"/>
  <c r="AB277" i="22"/>
  <c r="AB276" i="22"/>
  <c r="AB264" i="22"/>
  <c r="W288" i="22"/>
  <c r="W291" i="22"/>
  <c r="W289" i="22"/>
  <c r="W290" i="22"/>
  <c r="W264" i="22"/>
  <c r="W277" i="22"/>
  <c r="W267" i="22"/>
  <c r="W266" i="22"/>
  <c r="W279" i="22"/>
  <c r="W276" i="22"/>
  <c r="W278" i="22"/>
  <c r="W265" i="22"/>
  <c r="AA288" i="22"/>
  <c r="AA279" i="22"/>
  <c r="AA277" i="22"/>
  <c r="AA278" i="22"/>
  <c r="AA276" i="22"/>
  <c r="AA264" i="22"/>
  <c r="AA290" i="22"/>
  <c r="AA291" i="22"/>
  <c r="AA266" i="22"/>
  <c r="AA289" i="22"/>
  <c r="AA267" i="22"/>
  <c r="AA265" i="22"/>
  <c r="T185" i="22"/>
  <c r="T161" i="22"/>
  <c r="T173" i="22"/>
  <c r="S56" i="22"/>
  <c r="S80" i="22"/>
  <c r="S68" i="22"/>
  <c r="U80" i="22"/>
  <c r="U68" i="22"/>
  <c r="U56" i="22"/>
  <c r="G68" i="22"/>
  <c r="G56" i="22"/>
  <c r="G80" i="22"/>
  <c r="AC173" i="22"/>
  <c r="AC161" i="22"/>
  <c r="AC185" i="22"/>
  <c r="EH11" i="33" s="1"/>
  <c r="Q80" i="22"/>
  <c r="Q68" i="22"/>
  <c r="Q56" i="22"/>
  <c r="D68" i="22"/>
  <c r="D80" i="22"/>
  <c r="D56" i="22"/>
  <c r="N186" i="22"/>
  <c r="N162" i="22"/>
  <c r="N174" i="22"/>
  <c r="B68" i="22"/>
  <c r="B80" i="22"/>
  <c r="X12" i="33" s="1"/>
  <c r="B56" i="22"/>
  <c r="B69" i="22"/>
  <c r="B81" i="22"/>
  <c r="X13" i="33" s="1"/>
  <c r="B57" i="22"/>
  <c r="S81" i="22"/>
  <c r="S69" i="22"/>
  <c r="S57" i="22"/>
  <c r="W180" i="22"/>
  <c r="M77" i="22"/>
  <c r="CA9" i="33" s="1"/>
  <c r="M75" i="22"/>
  <c r="CA7" i="33" s="1"/>
  <c r="M53" i="22"/>
  <c r="M76" i="22"/>
  <c r="CA8" i="33" s="1"/>
  <c r="M62" i="22"/>
  <c r="M65" i="22"/>
  <c r="M51" i="22"/>
  <c r="M74" i="22"/>
  <c r="CA6" i="33" s="1"/>
  <c r="M64" i="22"/>
  <c r="M52" i="22"/>
  <c r="M63" i="22"/>
  <c r="M50" i="22"/>
  <c r="J76" i="22"/>
  <c r="J74" i="22"/>
  <c r="J52" i="22"/>
  <c r="J75" i="22"/>
  <c r="J53" i="22"/>
  <c r="J63" i="22"/>
  <c r="J50" i="22"/>
  <c r="J77" i="22"/>
  <c r="J65" i="22"/>
  <c r="J51" i="22"/>
  <c r="J64" i="22"/>
  <c r="J62" i="22"/>
  <c r="W75" i="22"/>
  <c r="W51" i="22"/>
  <c r="W76" i="22"/>
  <c r="W52" i="22"/>
  <c r="W65" i="22"/>
  <c r="W62" i="22"/>
  <c r="W64" i="22"/>
  <c r="W77" i="22"/>
  <c r="W74" i="22"/>
  <c r="W53" i="22"/>
  <c r="W63" i="22"/>
  <c r="W50" i="22"/>
  <c r="S78" i="22"/>
  <c r="S66" i="22"/>
  <c r="S54" i="22"/>
  <c r="C78" i="22"/>
  <c r="C66" i="22"/>
  <c r="C54" i="22"/>
  <c r="R78" i="22"/>
  <c r="R66" i="22"/>
  <c r="R54" i="22"/>
  <c r="C170" i="22"/>
  <c r="B79" i="22"/>
  <c r="X11" i="33" s="1"/>
  <c r="B55" i="22"/>
  <c r="B67" i="22"/>
  <c r="I81" i="22"/>
  <c r="I57" i="22"/>
  <c r="I69" i="22"/>
  <c r="S473" i="22"/>
  <c r="X509" i="22"/>
  <c r="X497" i="22"/>
  <c r="X485" i="22"/>
  <c r="R496" i="22"/>
  <c r="R484" i="22"/>
  <c r="R508" i="22"/>
  <c r="O505" i="22"/>
  <c r="O492" i="22"/>
  <c r="O503" i="22"/>
  <c r="O490" i="22"/>
  <c r="O493" i="22"/>
  <c r="O504" i="22"/>
  <c r="O480" i="22"/>
  <c r="O491" i="22"/>
  <c r="O479" i="22"/>
  <c r="O478" i="22"/>
  <c r="O502" i="22"/>
  <c r="O481" i="22"/>
  <c r="I503" i="22"/>
  <c r="I490" i="22"/>
  <c r="I493" i="22"/>
  <c r="I504" i="22"/>
  <c r="I502" i="22"/>
  <c r="I480" i="22"/>
  <c r="I492" i="22"/>
  <c r="I478" i="22"/>
  <c r="I491" i="22"/>
  <c r="I481" i="22"/>
  <c r="I479" i="22"/>
  <c r="I505" i="22"/>
  <c r="AA496" i="22"/>
  <c r="AA508" i="22"/>
  <c r="AA484" i="22"/>
  <c r="T494" i="22"/>
  <c r="T482" i="22"/>
  <c r="T506" i="22"/>
  <c r="AA494" i="22"/>
  <c r="AA482" i="22"/>
  <c r="AA506" i="22"/>
  <c r="K494" i="22"/>
  <c r="K506" i="22"/>
  <c r="K482" i="22"/>
  <c r="N495" i="22"/>
  <c r="N507" i="22"/>
  <c r="N483" i="22"/>
  <c r="Q495" i="22"/>
  <c r="Q507" i="22"/>
  <c r="Q483" i="22"/>
  <c r="I485" i="22"/>
  <c r="C385" i="22"/>
  <c r="C399" i="22"/>
  <c r="C375" i="22"/>
  <c r="C398" i="22"/>
  <c r="C400" i="22"/>
  <c r="C397" i="22"/>
  <c r="C387" i="22"/>
  <c r="C388" i="22"/>
  <c r="C386" i="22"/>
  <c r="C374" i="22"/>
  <c r="C376" i="22"/>
  <c r="C373" i="22"/>
  <c r="U400" i="22"/>
  <c r="U399" i="22"/>
  <c r="U375" i="22"/>
  <c r="U397" i="22"/>
  <c r="U373" i="22"/>
  <c r="U374" i="22"/>
  <c r="U398" i="22"/>
  <c r="U388" i="22"/>
  <c r="U387" i="22"/>
  <c r="U385" i="22"/>
  <c r="U376" i="22"/>
  <c r="U386" i="22"/>
  <c r="I400" i="22"/>
  <c r="I387" i="22"/>
  <c r="I385" i="22"/>
  <c r="I397" i="22"/>
  <c r="I374" i="22"/>
  <c r="I388" i="22"/>
  <c r="I386" i="22"/>
  <c r="I373" i="22"/>
  <c r="I398" i="22"/>
  <c r="I399" i="22"/>
  <c r="I376" i="22"/>
  <c r="I375" i="22"/>
  <c r="U391" i="22"/>
  <c r="U403" i="22"/>
  <c r="U379" i="22"/>
  <c r="Q379" i="22"/>
  <c r="Q391" i="22"/>
  <c r="Q403" i="22"/>
  <c r="M404" i="22"/>
  <c r="CM13" i="33" s="1"/>
  <c r="M392" i="22"/>
  <c r="M380" i="22"/>
  <c r="C402" i="22"/>
  <c r="C378" i="22"/>
  <c r="C390" i="22"/>
  <c r="B390" i="22"/>
  <c r="B402" i="22"/>
  <c r="AJ11" i="33" s="1"/>
  <c r="B378" i="22"/>
  <c r="S403" i="22"/>
  <c r="S391" i="22"/>
  <c r="S379" i="22"/>
  <c r="J289" i="22"/>
  <c r="J290" i="22"/>
  <c r="J265" i="22"/>
  <c r="J276" i="22"/>
  <c r="J278" i="22"/>
  <c r="J288" i="22"/>
  <c r="J279" i="22"/>
  <c r="J277" i="22"/>
  <c r="J291" i="22"/>
  <c r="J267" i="22"/>
  <c r="J266" i="22"/>
  <c r="J264" i="22"/>
  <c r="H377" i="22"/>
  <c r="H401" i="22"/>
  <c r="H389" i="22"/>
  <c r="B401" i="22"/>
  <c r="AJ10" i="33" s="1"/>
  <c r="B389" i="22"/>
  <c r="B377" i="22"/>
  <c r="L280" i="22"/>
  <c r="L292" i="22"/>
  <c r="L268" i="22"/>
  <c r="U295" i="22"/>
  <c r="U283" i="22"/>
  <c r="U271" i="22"/>
  <c r="C293" i="22"/>
  <c r="C281" i="22"/>
  <c r="C269" i="22"/>
  <c r="F281" i="22"/>
  <c r="F293" i="22"/>
  <c r="F269" i="22"/>
  <c r="H293" i="22"/>
  <c r="H281" i="22"/>
  <c r="H269" i="22"/>
  <c r="N281" i="22"/>
  <c r="N293" i="22"/>
  <c r="N269" i="22"/>
  <c r="L281" i="22"/>
  <c r="L293" i="22"/>
  <c r="L269" i="22"/>
  <c r="S295" i="22"/>
  <c r="S283" i="22"/>
  <c r="S271" i="22"/>
  <c r="I168" i="22"/>
  <c r="I171" i="22"/>
  <c r="I182" i="22"/>
  <c r="I183" i="22"/>
  <c r="I170" i="22"/>
  <c r="I159" i="22"/>
  <c r="I181" i="22"/>
  <c r="I158" i="22"/>
  <c r="I157" i="22"/>
  <c r="I169" i="22"/>
  <c r="I156" i="22"/>
  <c r="I180" i="22"/>
  <c r="E269" i="22"/>
  <c r="E281" i="22"/>
  <c r="E293" i="22"/>
  <c r="H181" i="22"/>
  <c r="H168" i="22"/>
  <c r="H169" i="22"/>
  <c r="H159" i="22"/>
  <c r="H157" i="22"/>
  <c r="H180" i="22"/>
  <c r="H158" i="22"/>
  <c r="H182" i="22"/>
  <c r="H183" i="22"/>
  <c r="H170" i="22"/>
  <c r="H171" i="22"/>
  <c r="H156" i="22"/>
  <c r="R185" i="22"/>
  <c r="R161" i="22"/>
  <c r="R173" i="22"/>
  <c r="U175" i="22"/>
  <c r="U187" i="22"/>
  <c r="U163" i="22"/>
  <c r="X184" i="22"/>
  <c r="X160" i="22"/>
  <c r="X172" i="22"/>
  <c r="S187" i="22"/>
  <c r="S175" i="22"/>
  <c r="S163" i="22"/>
  <c r="R187" i="22"/>
  <c r="R163" i="22"/>
  <c r="R175" i="22"/>
  <c r="S182" i="22"/>
  <c r="S158" i="22"/>
  <c r="S169" i="22"/>
  <c r="S168" i="22"/>
  <c r="S183" i="22"/>
  <c r="S156" i="22"/>
  <c r="S180" i="22"/>
  <c r="S171" i="22"/>
  <c r="S170" i="22"/>
  <c r="S157" i="22"/>
  <c r="S159" i="22"/>
  <c r="S181" i="22"/>
  <c r="V173" i="22"/>
  <c r="V161" i="22"/>
  <c r="V185" i="22"/>
  <c r="X294" i="22"/>
  <c r="X270" i="22"/>
  <c r="X282" i="22"/>
  <c r="P294" i="22"/>
  <c r="P282" i="22"/>
  <c r="P270" i="22"/>
  <c r="AA163" i="22"/>
  <c r="AA187" i="22"/>
  <c r="AA175" i="22"/>
  <c r="R171" i="22"/>
  <c r="R182" i="22"/>
  <c r="R158" i="22"/>
  <c r="R181" i="22"/>
  <c r="R169" i="22"/>
  <c r="R159" i="22"/>
  <c r="R170" i="22"/>
  <c r="R157" i="22"/>
  <c r="R183" i="22"/>
  <c r="R156" i="22"/>
  <c r="R168" i="22"/>
  <c r="R180" i="22"/>
  <c r="K185" i="22"/>
  <c r="K161" i="22"/>
  <c r="K173" i="22"/>
  <c r="E278" i="22"/>
  <c r="E290" i="22"/>
  <c r="E276" i="22"/>
  <c r="E291" i="22"/>
  <c r="E266" i="22"/>
  <c r="E288" i="22"/>
  <c r="E277" i="22"/>
  <c r="E279" i="22"/>
  <c r="E264" i="22"/>
  <c r="E267" i="22"/>
  <c r="E265" i="22"/>
  <c r="E289" i="22"/>
  <c r="J173" i="22"/>
  <c r="J161" i="22"/>
  <c r="J185" i="22"/>
  <c r="I80" i="22"/>
  <c r="I68" i="22"/>
  <c r="I56" i="22"/>
  <c r="AC80" i="22"/>
  <c r="ED12" i="33" s="1"/>
  <c r="AC56" i="22"/>
  <c r="AC68" i="22"/>
  <c r="M180" i="22"/>
  <c r="CE6" i="33" s="1"/>
  <c r="M183" i="22"/>
  <c r="CE9" i="33" s="1"/>
  <c r="M159" i="22"/>
  <c r="M156" i="22"/>
  <c r="M158" i="22"/>
  <c r="M171" i="22"/>
  <c r="M168" i="22"/>
  <c r="M181" i="22"/>
  <c r="CE7" i="33" s="1"/>
  <c r="M157" i="22"/>
  <c r="M182" i="22"/>
  <c r="CE8" i="33" s="1"/>
  <c r="M169" i="22"/>
  <c r="M170" i="22"/>
  <c r="F80" i="22"/>
  <c r="F56" i="22"/>
  <c r="F68" i="22"/>
  <c r="T186" i="22"/>
  <c r="T162" i="22"/>
  <c r="T174" i="22"/>
  <c r="AA81" i="22"/>
  <c r="AA69" i="22"/>
  <c r="AA57" i="22"/>
  <c r="W157" i="22"/>
  <c r="X64" i="22"/>
  <c r="X76" i="22"/>
  <c r="X62" i="22"/>
  <c r="X77" i="22"/>
  <c r="X63" i="22"/>
  <c r="X51" i="22"/>
  <c r="X65" i="22"/>
  <c r="X75" i="22"/>
  <c r="X52" i="22"/>
  <c r="X74" i="22"/>
  <c r="X53" i="22"/>
  <c r="X50" i="22"/>
  <c r="U77" i="22"/>
  <c r="U63" i="22"/>
  <c r="U75" i="22"/>
  <c r="U53" i="22"/>
  <c r="U76" i="22"/>
  <c r="U62" i="22"/>
  <c r="U50" i="22"/>
  <c r="U51" i="22"/>
  <c r="U65" i="22"/>
  <c r="U52" i="22"/>
  <c r="U64" i="22"/>
  <c r="U74" i="22"/>
  <c r="E78" i="22"/>
  <c r="E54" i="22"/>
  <c r="E66" i="22"/>
  <c r="AC78" i="22"/>
  <c r="ED10" i="33" s="1"/>
  <c r="AC54" i="22"/>
  <c r="AC66" i="22"/>
  <c r="M54" i="22"/>
  <c r="M78" i="22"/>
  <c r="CA10" i="33" s="1"/>
  <c r="M66" i="22"/>
  <c r="Z78" i="22"/>
  <c r="Z54" i="22"/>
  <c r="Z66" i="22"/>
  <c r="J79" i="22"/>
  <c r="J55" i="22"/>
  <c r="J67" i="22"/>
  <c r="Y81" i="22"/>
  <c r="Y57" i="22"/>
  <c r="Y69" i="22"/>
  <c r="J271" i="21"/>
  <c r="R295" i="21"/>
  <c r="R283" i="21"/>
  <c r="M390" i="21"/>
  <c r="M265" i="21"/>
  <c r="M264" i="21"/>
  <c r="I485" i="21"/>
  <c r="I509" i="21"/>
  <c r="I497" i="21"/>
  <c r="H497" i="21"/>
  <c r="H509" i="21"/>
  <c r="H485" i="21"/>
  <c r="AC503" i="21"/>
  <c r="ES7" i="33" s="1"/>
  <c r="AC504" i="21"/>
  <c r="ES8" i="33" s="1"/>
  <c r="AC479" i="21"/>
  <c r="AC490" i="21"/>
  <c r="AC491" i="21"/>
  <c r="AC493" i="21"/>
  <c r="AC481" i="21"/>
  <c r="AC480" i="21"/>
  <c r="AC478" i="21"/>
  <c r="AC505" i="21"/>
  <c r="ES9" i="33" s="1"/>
  <c r="AC502" i="21"/>
  <c r="ES6" i="33" s="1"/>
  <c r="AC492" i="21"/>
  <c r="G493" i="21"/>
  <c r="G502" i="21"/>
  <c r="G503" i="21"/>
  <c r="G504" i="21"/>
  <c r="G481" i="21"/>
  <c r="G505" i="21"/>
  <c r="G492" i="21"/>
  <c r="G480" i="21"/>
  <c r="G479" i="21"/>
  <c r="G490" i="21"/>
  <c r="G478" i="21"/>
  <c r="G491" i="21"/>
  <c r="K505" i="21"/>
  <c r="K490" i="21"/>
  <c r="K481" i="21"/>
  <c r="K491" i="21"/>
  <c r="K479" i="21"/>
  <c r="K492" i="21"/>
  <c r="K493" i="21"/>
  <c r="K503" i="21"/>
  <c r="K478" i="21"/>
  <c r="K504" i="21"/>
  <c r="K480" i="21"/>
  <c r="K502" i="21"/>
  <c r="O402" i="21"/>
  <c r="O378" i="21"/>
  <c r="O390" i="21"/>
  <c r="T392" i="21"/>
  <c r="T404" i="21"/>
  <c r="T380" i="21"/>
  <c r="U401" i="21"/>
  <c r="U389" i="21"/>
  <c r="U377" i="21"/>
  <c r="B293" i="21"/>
  <c r="AE11" i="33" s="1"/>
  <c r="B269" i="21"/>
  <c r="B281" i="21"/>
  <c r="C392" i="21"/>
  <c r="C380" i="21"/>
  <c r="C404" i="21"/>
  <c r="AA392" i="21"/>
  <c r="AA380" i="21"/>
  <c r="AA404" i="21"/>
  <c r="W399" i="21"/>
  <c r="W385" i="21"/>
  <c r="W388" i="21"/>
  <c r="W376" i="21"/>
  <c r="W398" i="21"/>
  <c r="W397" i="21"/>
  <c r="W386" i="21"/>
  <c r="W375" i="21"/>
  <c r="W400" i="21"/>
  <c r="W387" i="21"/>
  <c r="W373" i="21"/>
  <c r="W374" i="21"/>
  <c r="M266" i="21"/>
  <c r="M278" i="21"/>
  <c r="M291" i="21"/>
  <c r="CH9" i="33" s="1"/>
  <c r="M290" i="21"/>
  <c r="CH8" i="33" s="1"/>
  <c r="M267" i="21"/>
  <c r="M279" i="21"/>
  <c r="H295" i="21"/>
  <c r="H271" i="21"/>
  <c r="H283" i="21"/>
  <c r="R175" i="21"/>
  <c r="R187" i="21"/>
  <c r="R163" i="21"/>
  <c r="AA160" i="21"/>
  <c r="AA184" i="21"/>
  <c r="AA172" i="21"/>
  <c r="D184" i="21"/>
  <c r="D160" i="21"/>
  <c r="D172" i="21"/>
  <c r="I69" i="21"/>
  <c r="I81" i="21"/>
  <c r="I57" i="21"/>
  <c r="C260" i="21"/>
  <c r="C474" i="21"/>
  <c r="C369" i="21"/>
  <c r="C368" i="21"/>
  <c r="C151" i="21"/>
  <c r="F68" i="21"/>
  <c r="F80" i="21"/>
  <c r="F56" i="21"/>
  <c r="Z66" i="21"/>
  <c r="Z78" i="21"/>
  <c r="Z54" i="21"/>
  <c r="B494" i="21"/>
  <c r="B506" i="21"/>
  <c r="AM10" i="33" s="1"/>
  <c r="B482" i="21"/>
  <c r="AB509" i="21"/>
  <c r="AB485" i="21"/>
  <c r="AB497" i="21"/>
  <c r="P497" i="21"/>
  <c r="P485" i="21"/>
  <c r="P509" i="21"/>
  <c r="D492" i="21"/>
  <c r="D493" i="21"/>
  <c r="D502" i="21"/>
  <c r="D503" i="21"/>
  <c r="D480" i="21"/>
  <c r="D481" i="21"/>
  <c r="D505" i="21"/>
  <c r="D490" i="21"/>
  <c r="D479" i="21"/>
  <c r="D491" i="21"/>
  <c r="D478" i="21"/>
  <c r="D504" i="21"/>
  <c r="O493" i="21"/>
  <c r="O502" i="21"/>
  <c r="O505" i="21"/>
  <c r="O503" i="21"/>
  <c r="O481" i="21"/>
  <c r="O504" i="21"/>
  <c r="O491" i="21"/>
  <c r="O480" i="21"/>
  <c r="O492" i="21"/>
  <c r="O479" i="21"/>
  <c r="O478" i="21"/>
  <c r="O490" i="21"/>
  <c r="S505" i="21"/>
  <c r="S490" i="21"/>
  <c r="S493" i="21"/>
  <c r="S481" i="21"/>
  <c r="S479" i="21"/>
  <c r="S491" i="21"/>
  <c r="S504" i="21"/>
  <c r="S480" i="21"/>
  <c r="S492" i="21"/>
  <c r="S502" i="21"/>
  <c r="S478" i="21"/>
  <c r="S503" i="21"/>
  <c r="W402" i="21"/>
  <c r="W390" i="21"/>
  <c r="W378" i="21"/>
  <c r="AB392" i="21"/>
  <c r="AB380" i="21"/>
  <c r="AB404" i="21"/>
  <c r="X294" i="21"/>
  <c r="X270" i="21"/>
  <c r="X282" i="21"/>
  <c r="D376" i="21"/>
  <c r="D387" i="21"/>
  <c r="D400" i="21"/>
  <c r="D375" i="21"/>
  <c r="D388" i="21"/>
  <c r="D399" i="21"/>
  <c r="D374" i="21"/>
  <c r="D397" i="21"/>
  <c r="D398" i="21"/>
  <c r="D385" i="21"/>
  <c r="D373" i="21"/>
  <c r="D386" i="21"/>
  <c r="C282" i="21"/>
  <c r="C270" i="21"/>
  <c r="C294" i="21"/>
  <c r="Z175" i="21"/>
  <c r="Z163" i="21"/>
  <c r="Z187" i="21"/>
  <c r="R184" i="21"/>
  <c r="R172" i="21"/>
  <c r="R160" i="21"/>
  <c r="X185" i="21"/>
  <c r="X161" i="21"/>
  <c r="X173" i="21"/>
  <c r="L173" i="21"/>
  <c r="L185" i="21"/>
  <c r="L161" i="21"/>
  <c r="K473" i="21"/>
  <c r="K368" i="21"/>
  <c r="K45" i="21"/>
  <c r="K152" i="21"/>
  <c r="K474" i="21"/>
  <c r="AB80" i="21"/>
  <c r="AB56" i="21"/>
  <c r="AB68" i="21"/>
  <c r="W79" i="21"/>
  <c r="W55" i="21"/>
  <c r="W67" i="21"/>
  <c r="U67" i="21"/>
  <c r="U55" i="21"/>
  <c r="U79" i="21"/>
  <c r="M81" i="21"/>
  <c r="BZ13" i="33" s="1"/>
  <c r="M57" i="21"/>
  <c r="M69" i="21"/>
  <c r="O57" i="21"/>
  <c r="O69" i="21"/>
  <c r="O81" i="21"/>
  <c r="H67" i="21"/>
  <c r="H79" i="21"/>
  <c r="H55" i="21"/>
  <c r="C497" i="21"/>
  <c r="C485" i="21"/>
  <c r="C509" i="21"/>
  <c r="AC497" i="21"/>
  <c r="AC509" i="21"/>
  <c r="ES13" i="33" s="1"/>
  <c r="AC485" i="21"/>
  <c r="X497" i="21"/>
  <c r="X509" i="21"/>
  <c r="X485" i="21"/>
  <c r="W493" i="21"/>
  <c r="W502" i="21"/>
  <c r="W504" i="21"/>
  <c r="W505" i="21"/>
  <c r="W481" i="21"/>
  <c r="W492" i="21"/>
  <c r="W479" i="21"/>
  <c r="W478" i="21"/>
  <c r="W503" i="21"/>
  <c r="W490" i="21"/>
  <c r="W480" i="21"/>
  <c r="W491" i="21"/>
  <c r="AA505" i="21"/>
  <c r="AA490" i="21"/>
  <c r="AA492" i="21"/>
  <c r="AA481" i="21"/>
  <c r="AA493" i="21"/>
  <c r="AA479" i="21"/>
  <c r="AA502" i="21"/>
  <c r="AA478" i="21"/>
  <c r="AA503" i="21"/>
  <c r="AA480" i="21"/>
  <c r="AA504" i="21"/>
  <c r="AA491" i="21"/>
  <c r="D508" i="21"/>
  <c r="D484" i="21"/>
  <c r="D496" i="21"/>
  <c r="S484" i="21"/>
  <c r="S508" i="21"/>
  <c r="S496" i="21"/>
  <c r="G377" i="21"/>
  <c r="G401" i="21"/>
  <c r="G389" i="21"/>
  <c r="P270" i="21"/>
  <c r="P282" i="21"/>
  <c r="P294" i="21"/>
  <c r="N374" i="21"/>
  <c r="N398" i="21"/>
  <c r="N385" i="21"/>
  <c r="N400" i="21"/>
  <c r="N397" i="21"/>
  <c r="N373" i="21"/>
  <c r="N376" i="21"/>
  <c r="N386" i="21"/>
  <c r="N387" i="21"/>
  <c r="N399" i="21"/>
  <c r="N388" i="21"/>
  <c r="N375" i="21"/>
  <c r="X283" i="21"/>
  <c r="X295" i="21"/>
  <c r="X271" i="21"/>
  <c r="I295" i="21"/>
  <c r="I271" i="21"/>
  <c r="I283" i="21"/>
  <c r="V291" i="21"/>
  <c r="V267" i="21"/>
  <c r="V278" i="21"/>
  <c r="V288" i="21"/>
  <c r="V289" i="21"/>
  <c r="V279" i="21"/>
  <c r="V264" i="21"/>
  <c r="V277" i="21"/>
  <c r="V266" i="21"/>
  <c r="V265" i="21"/>
  <c r="V276" i="21"/>
  <c r="V290" i="21"/>
  <c r="AB277" i="21"/>
  <c r="AB288" i="21"/>
  <c r="AB264" i="21"/>
  <c r="AB290" i="21"/>
  <c r="AB291" i="21"/>
  <c r="AB279" i="21"/>
  <c r="AB289" i="21"/>
  <c r="AB276" i="21"/>
  <c r="AB266" i="21"/>
  <c r="AB265" i="21"/>
  <c r="AB278" i="21"/>
  <c r="AB267" i="21"/>
  <c r="M270" i="21"/>
  <c r="M282" i="21"/>
  <c r="M294" i="21"/>
  <c r="CH12" i="33" s="1"/>
  <c r="O187" i="21"/>
  <c r="O175" i="21"/>
  <c r="O163" i="21"/>
  <c r="I172" i="21"/>
  <c r="I184" i="21"/>
  <c r="I160" i="21"/>
  <c r="M187" i="21"/>
  <c r="CD13" i="33" s="1"/>
  <c r="M163" i="21"/>
  <c r="M175" i="21"/>
  <c r="E173" i="21"/>
  <c r="E161" i="21"/>
  <c r="E185" i="21"/>
  <c r="H169" i="21"/>
  <c r="H180" i="21"/>
  <c r="H156" i="21"/>
  <c r="H157" i="21"/>
  <c r="H159" i="21"/>
  <c r="H171" i="21"/>
  <c r="H170" i="21"/>
  <c r="H168" i="21"/>
  <c r="H181" i="21"/>
  <c r="H158" i="21"/>
  <c r="H183" i="21"/>
  <c r="H182" i="21"/>
  <c r="L181" i="21"/>
  <c r="L157" i="21"/>
  <c r="L168" i="21"/>
  <c r="L183" i="21"/>
  <c r="L159" i="21"/>
  <c r="L158" i="21"/>
  <c r="L156" i="21"/>
  <c r="L180" i="21"/>
  <c r="L169" i="21"/>
  <c r="L182" i="21"/>
  <c r="L171" i="21"/>
  <c r="L170" i="21"/>
  <c r="C46" i="21"/>
  <c r="C67" i="21"/>
  <c r="C79" i="21"/>
  <c r="C55" i="21"/>
  <c r="M66" i="21"/>
  <c r="M78" i="21"/>
  <c r="BZ10" i="33" s="1"/>
  <c r="M54" i="21"/>
  <c r="U68" i="21"/>
  <c r="U80" i="21"/>
  <c r="U56" i="21"/>
  <c r="I507" i="21"/>
  <c r="I483" i="21"/>
  <c r="I495" i="21"/>
  <c r="M497" i="21"/>
  <c r="M485" i="21"/>
  <c r="M509" i="21"/>
  <c r="CP13" i="33" s="1"/>
  <c r="J497" i="21"/>
  <c r="J509" i="21"/>
  <c r="J485" i="21"/>
  <c r="B502" i="21"/>
  <c r="AM6" i="33" s="1"/>
  <c r="B503" i="21"/>
  <c r="AM7" i="33" s="1"/>
  <c r="B504" i="21"/>
  <c r="AM8" i="33" s="1"/>
  <c r="B478" i="21"/>
  <c r="B505" i="21"/>
  <c r="AM9" i="33" s="1"/>
  <c r="B491" i="21"/>
  <c r="B481" i="21"/>
  <c r="B492" i="21"/>
  <c r="B480" i="21"/>
  <c r="B493" i="21"/>
  <c r="B490" i="21"/>
  <c r="B479" i="21"/>
  <c r="N507" i="21"/>
  <c r="N483" i="21"/>
  <c r="N495" i="21"/>
  <c r="U495" i="21"/>
  <c r="U507" i="21"/>
  <c r="U483" i="21"/>
  <c r="M392" i="21"/>
  <c r="M404" i="21"/>
  <c r="CL13" i="33" s="1"/>
  <c r="M380" i="21"/>
  <c r="O377" i="21"/>
  <c r="O389" i="21"/>
  <c r="O401" i="21"/>
  <c r="H294" i="21"/>
  <c r="H270" i="21"/>
  <c r="H282" i="21"/>
  <c r="F404" i="21"/>
  <c r="F380" i="21"/>
  <c r="F392" i="21"/>
  <c r="D402" i="21"/>
  <c r="D378" i="21"/>
  <c r="D390" i="21"/>
  <c r="Z400" i="21"/>
  <c r="Z386" i="21"/>
  <c r="Z397" i="21"/>
  <c r="Z373" i="21"/>
  <c r="Z385" i="21"/>
  <c r="Z375" i="21"/>
  <c r="Z399" i="21"/>
  <c r="Z388" i="21"/>
  <c r="Z376" i="21"/>
  <c r="Z398" i="21"/>
  <c r="Z374" i="21"/>
  <c r="Z387" i="21"/>
  <c r="W294" i="21"/>
  <c r="W270" i="21"/>
  <c r="W282" i="21"/>
  <c r="AB294" i="21"/>
  <c r="AB270" i="21"/>
  <c r="AB282" i="21"/>
  <c r="K184" i="21"/>
  <c r="K172" i="21"/>
  <c r="Q163" i="21"/>
  <c r="Q175" i="21"/>
  <c r="Q187" i="21"/>
  <c r="F187" i="21"/>
  <c r="F163" i="21"/>
  <c r="F175" i="21"/>
  <c r="K163" i="21"/>
  <c r="K187" i="21"/>
  <c r="K175" i="21"/>
  <c r="V174" i="21"/>
  <c r="V162" i="21"/>
  <c r="V186" i="21"/>
  <c r="E184" i="21"/>
  <c r="E160" i="21"/>
  <c r="E172" i="21"/>
  <c r="W292" i="21"/>
  <c r="W268" i="21"/>
  <c r="W280" i="21"/>
  <c r="F280" i="21"/>
  <c r="F268" i="21"/>
  <c r="F292" i="21"/>
  <c r="R280" i="21"/>
  <c r="R292" i="21"/>
  <c r="R268" i="21"/>
  <c r="X69" i="21"/>
  <c r="X57" i="21"/>
  <c r="X81" i="21"/>
  <c r="Q259" i="21"/>
  <c r="Q46" i="21"/>
  <c r="Q368" i="21"/>
  <c r="Q474" i="21"/>
  <c r="Q151" i="21"/>
  <c r="Q152" i="21"/>
  <c r="Q473" i="21"/>
  <c r="AA152" i="21"/>
  <c r="AA151" i="21"/>
  <c r="AA368" i="21"/>
  <c r="AA369" i="21"/>
  <c r="AA473" i="21"/>
  <c r="D78" i="21"/>
  <c r="D66" i="21"/>
  <c r="D54" i="21"/>
  <c r="O79" i="21"/>
  <c r="O55" i="21"/>
  <c r="O67" i="21"/>
  <c r="K46" i="21"/>
  <c r="P483" i="21"/>
  <c r="P507" i="21"/>
  <c r="P495" i="21"/>
  <c r="Y485" i="21"/>
  <c r="Y509" i="21"/>
  <c r="Y497" i="21"/>
  <c r="T509" i="21"/>
  <c r="T485" i="21"/>
  <c r="T497" i="21"/>
  <c r="U503" i="21"/>
  <c r="U504" i="21"/>
  <c r="U490" i="21"/>
  <c r="U479" i="21"/>
  <c r="U491" i="21"/>
  <c r="U505" i="21"/>
  <c r="U492" i="21"/>
  <c r="U502" i="21"/>
  <c r="U478" i="21"/>
  <c r="U493" i="21"/>
  <c r="U481" i="21"/>
  <c r="U480" i="21"/>
  <c r="J502" i="21"/>
  <c r="J503" i="21"/>
  <c r="J490" i="21"/>
  <c r="J478" i="21"/>
  <c r="J504" i="21"/>
  <c r="J505" i="21"/>
  <c r="J479" i="21"/>
  <c r="J493" i="21"/>
  <c r="J491" i="21"/>
  <c r="J481" i="21"/>
  <c r="J492" i="21"/>
  <c r="J480" i="21"/>
  <c r="L402" i="21"/>
  <c r="L390" i="21"/>
  <c r="L378" i="21"/>
  <c r="F390" i="21"/>
  <c r="F402" i="21"/>
  <c r="F378" i="21"/>
  <c r="U404" i="21"/>
  <c r="U380" i="21"/>
  <c r="U392" i="21"/>
  <c r="W377" i="21"/>
  <c r="W401" i="21"/>
  <c r="W389" i="21"/>
  <c r="Q294" i="21"/>
  <c r="Q270" i="21"/>
  <c r="Q282" i="21"/>
  <c r="AA403" i="21"/>
  <c r="AA379" i="21"/>
  <c r="AA391" i="21"/>
  <c r="P380" i="21"/>
  <c r="P404" i="21"/>
  <c r="P392" i="21"/>
  <c r="AA400" i="21"/>
  <c r="AA397" i="21"/>
  <c r="AA373" i="21"/>
  <c r="AA399" i="21"/>
  <c r="AA376" i="21"/>
  <c r="AA388" i="21"/>
  <c r="AA385" i="21"/>
  <c r="AA374" i="21"/>
  <c r="AA375" i="21"/>
  <c r="AA398" i="21"/>
  <c r="AA386" i="21"/>
  <c r="AA387" i="21"/>
  <c r="K295" i="21"/>
  <c r="K283" i="21"/>
  <c r="K271" i="21"/>
  <c r="Y295" i="21"/>
  <c r="Y271" i="21"/>
  <c r="Y283" i="21"/>
  <c r="E294" i="21"/>
  <c r="E282" i="21"/>
  <c r="E270" i="21"/>
  <c r="I174" i="21"/>
  <c r="I186" i="21"/>
  <c r="I162" i="21"/>
  <c r="W163" i="21"/>
  <c r="W187" i="21"/>
  <c r="W175" i="21"/>
  <c r="M162" i="21"/>
  <c r="M174" i="21"/>
  <c r="M186" i="21"/>
  <c r="CD12" i="33" s="1"/>
  <c r="L162" i="21"/>
  <c r="L174" i="21"/>
  <c r="L186" i="21"/>
  <c r="V172" i="21"/>
  <c r="V160" i="21"/>
  <c r="V184" i="21"/>
  <c r="H187" i="21"/>
  <c r="H163" i="21"/>
  <c r="H175" i="21"/>
  <c r="H68" i="21"/>
  <c r="H56" i="21"/>
  <c r="H80" i="21"/>
  <c r="B46" i="21"/>
  <c r="B368" i="21"/>
  <c r="B45" i="21"/>
  <c r="B152" i="21"/>
  <c r="B474" i="21"/>
  <c r="B473" i="21"/>
  <c r="B151" i="21"/>
  <c r="E474" i="21"/>
  <c r="E152" i="21"/>
  <c r="E151" i="21"/>
  <c r="E45" i="21"/>
  <c r="E368" i="21"/>
  <c r="S81" i="21"/>
  <c r="S57" i="21"/>
  <c r="S69" i="21"/>
  <c r="D79" i="21"/>
  <c r="D55" i="21"/>
  <c r="D67" i="21"/>
  <c r="L78" i="21"/>
  <c r="L54" i="21"/>
  <c r="L66" i="21"/>
  <c r="B80" i="21"/>
  <c r="W12" i="33" s="1"/>
  <c r="B56" i="21"/>
  <c r="B68" i="21"/>
  <c r="K67" i="21"/>
  <c r="K79" i="21"/>
  <c r="K55" i="21"/>
  <c r="R495" i="21"/>
  <c r="R507" i="21"/>
  <c r="R483" i="21"/>
  <c r="D509" i="21"/>
  <c r="D485" i="21"/>
  <c r="D497" i="21"/>
  <c r="F509" i="21"/>
  <c r="F497" i="21"/>
  <c r="F485" i="21"/>
  <c r="L492" i="21"/>
  <c r="L493" i="21"/>
  <c r="L504" i="21"/>
  <c r="L502" i="21"/>
  <c r="L480" i="21"/>
  <c r="L503" i="21"/>
  <c r="L490" i="21"/>
  <c r="L478" i="21"/>
  <c r="L491" i="21"/>
  <c r="L481" i="21"/>
  <c r="L479" i="21"/>
  <c r="L505" i="21"/>
  <c r="F490" i="21"/>
  <c r="F491" i="21"/>
  <c r="F502" i="21"/>
  <c r="F492" i="21"/>
  <c r="F493" i="21"/>
  <c r="F480" i="21"/>
  <c r="F478" i="21"/>
  <c r="F505" i="21"/>
  <c r="F479" i="21"/>
  <c r="F503" i="21"/>
  <c r="F504" i="21"/>
  <c r="F481" i="21"/>
  <c r="AA484" i="21"/>
  <c r="AA496" i="21"/>
  <c r="AA508" i="21"/>
  <c r="L508" i="21"/>
  <c r="L484" i="21"/>
  <c r="L496" i="21"/>
  <c r="Q375" i="21"/>
  <c r="Q399" i="21"/>
  <c r="Q386" i="21"/>
  <c r="Q374" i="21"/>
  <c r="Q388" i="21"/>
  <c r="Q373" i="21"/>
  <c r="Q400" i="21"/>
  <c r="Q387" i="21"/>
  <c r="Q397" i="21"/>
  <c r="Q398" i="21"/>
  <c r="Q385" i="21"/>
  <c r="Q376" i="21"/>
  <c r="H389" i="21"/>
  <c r="H401" i="21"/>
  <c r="H377" i="21"/>
  <c r="I282" i="21"/>
  <c r="I294" i="21"/>
  <c r="I270" i="21"/>
  <c r="K400" i="21"/>
  <c r="K397" i="21"/>
  <c r="K373" i="21"/>
  <c r="K376" i="21"/>
  <c r="K399" i="21"/>
  <c r="K388" i="21"/>
  <c r="K386" i="21"/>
  <c r="K375" i="21"/>
  <c r="K385" i="21"/>
  <c r="K398" i="21"/>
  <c r="K374" i="21"/>
  <c r="K387" i="21"/>
  <c r="G271" i="21"/>
  <c r="G295" i="21"/>
  <c r="G283" i="21"/>
  <c r="AC288" i="21"/>
  <c r="EK6" i="33" s="1"/>
  <c r="AC264" i="21"/>
  <c r="AC291" i="21"/>
  <c r="EK9" i="33" s="1"/>
  <c r="AC267" i="21"/>
  <c r="AC277" i="21"/>
  <c r="AC278" i="21"/>
  <c r="AC276" i="21"/>
  <c r="AC289" i="21"/>
  <c r="EK7" i="33" s="1"/>
  <c r="AC290" i="21"/>
  <c r="EK8" i="33" s="1"/>
  <c r="AC265" i="21"/>
  <c r="AC266" i="21"/>
  <c r="AC279" i="21"/>
  <c r="S290" i="21"/>
  <c r="S266" i="21"/>
  <c r="S277" i="21"/>
  <c r="S291" i="21"/>
  <c r="S288" i="21"/>
  <c r="S278" i="21"/>
  <c r="S265" i="21"/>
  <c r="S279" i="21"/>
  <c r="S276" i="21"/>
  <c r="S289" i="21"/>
  <c r="S267" i="21"/>
  <c r="S264" i="21"/>
  <c r="N294" i="21"/>
  <c r="N270" i="21"/>
  <c r="N282" i="21"/>
  <c r="V187" i="21"/>
  <c r="V163" i="21"/>
  <c r="V175" i="21"/>
  <c r="AA187" i="21"/>
  <c r="AA175" i="21"/>
  <c r="AA163" i="21"/>
  <c r="AA67" i="21"/>
  <c r="AA79" i="21"/>
  <c r="AA55" i="21"/>
  <c r="Z64" i="21"/>
  <c r="Z75" i="21"/>
  <c r="Z51" i="21"/>
  <c r="Z65" i="21"/>
  <c r="Z76" i="21"/>
  <c r="Z77" i="21"/>
  <c r="Z62" i="21"/>
  <c r="Z52" i="21"/>
  <c r="Z53" i="21"/>
  <c r="Z50" i="21"/>
  <c r="Z74" i="21"/>
  <c r="Z63" i="21"/>
  <c r="O496" i="21"/>
  <c r="O508" i="21"/>
  <c r="O484" i="21"/>
  <c r="Z495" i="21"/>
  <c r="Z483" i="21"/>
  <c r="Z507" i="21"/>
  <c r="E497" i="21"/>
  <c r="E509" i="21"/>
  <c r="E485" i="21"/>
  <c r="O509" i="21"/>
  <c r="O485" i="21"/>
  <c r="O497" i="21"/>
  <c r="N485" i="21"/>
  <c r="N509" i="21"/>
  <c r="N497" i="21"/>
  <c r="AB492" i="21"/>
  <c r="AB493" i="21"/>
  <c r="AB502" i="21"/>
  <c r="AB503" i="21"/>
  <c r="AB504" i="21"/>
  <c r="AB480" i="21"/>
  <c r="AB490" i="21"/>
  <c r="AB481" i="21"/>
  <c r="AB491" i="21"/>
  <c r="AB479" i="21"/>
  <c r="AB478" i="21"/>
  <c r="AB505" i="21"/>
  <c r="N490" i="21"/>
  <c r="N491" i="21"/>
  <c r="N502" i="21"/>
  <c r="N492" i="21"/>
  <c r="N480" i="21"/>
  <c r="N493" i="21"/>
  <c r="N478" i="21"/>
  <c r="N503" i="21"/>
  <c r="N481" i="21"/>
  <c r="N504" i="21"/>
  <c r="N505" i="21"/>
  <c r="N479" i="21"/>
  <c r="Z502" i="21"/>
  <c r="Z503" i="21"/>
  <c r="Z505" i="21"/>
  <c r="Z478" i="21"/>
  <c r="Z490" i="21"/>
  <c r="Z493" i="21"/>
  <c r="Z481" i="21"/>
  <c r="Z480" i="21"/>
  <c r="Z504" i="21"/>
  <c r="Z491" i="21"/>
  <c r="Z492" i="21"/>
  <c r="Z479" i="21"/>
  <c r="U496" i="21"/>
  <c r="U508" i="21"/>
  <c r="U484" i="21"/>
  <c r="F484" i="21"/>
  <c r="F508" i="21"/>
  <c r="F496" i="21"/>
  <c r="V484" i="21"/>
  <c r="V508" i="21"/>
  <c r="V496" i="21"/>
  <c r="I400" i="21"/>
  <c r="I375" i="21"/>
  <c r="I386" i="21"/>
  <c r="I398" i="21"/>
  <c r="I374" i="21"/>
  <c r="I387" i="21"/>
  <c r="I376" i="21"/>
  <c r="I397" i="21"/>
  <c r="I388" i="21"/>
  <c r="I385" i="21"/>
  <c r="I373" i="21"/>
  <c r="I399" i="21"/>
  <c r="X399" i="21"/>
  <c r="X388" i="21"/>
  <c r="X398" i="21"/>
  <c r="X375" i="21"/>
  <c r="X400" i="21"/>
  <c r="X387" i="21"/>
  <c r="X397" i="21"/>
  <c r="X386" i="21"/>
  <c r="X385" i="21"/>
  <c r="X376" i="21"/>
  <c r="X373" i="21"/>
  <c r="X374" i="21"/>
  <c r="R378" i="21"/>
  <c r="R390" i="21"/>
  <c r="R402" i="21"/>
  <c r="J404" i="21"/>
  <c r="J392" i="21"/>
  <c r="J380" i="21"/>
  <c r="C400" i="21"/>
  <c r="C397" i="21"/>
  <c r="C373" i="21"/>
  <c r="C376" i="21"/>
  <c r="C388" i="21"/>
  <c r="C385" i="21"/>
  <c r="C374" i="21"/>
  <c r="C387" i="21"/>
  <c r="C399" i="21"/>
  <c r="C375" i="21"/>
  <c r="C398" i="21"/>
  <c r="C386" i="21"/>
  <c r="O283" i="21"/>
  <c r="O295" i="21"/>
  <c r="O271" i="21"/>
  <c r="L293" i="21"/>
  <c r="L269" i="21"/>
  <c r="L281" i="21"/>
  <c r="O278" i="21"/>
  <c r="O289" i="21"/>
  <c r="O265" i="21"/>
  <c r="O290" i="21"/>
  <c r="O276" i="21"/>
  <c r="O291" i="21"/>
  <c r="O288" i="21"/>
  <c r="O264" i="21"/>
  <c r="O277" i="21"/>
  <c r="O267" i="21"/>
  <c r="O279" i="21"/>
  <c r="O266" i="21"/>
  <c r="AA290" i="21"/>
  <c r="AA266" i="21"/>
  <c r="AA277" i="21"/>
  <c r="AA267" i="21"/>
  <c r="AA264" i="21"/>
  <c r="AA278" i="21"/>
  <c r="AA265" i="21"/>
  <c r="AA291" i="21"/>
  <c r="AA288" i="21"/>
  <c r="AA279" i="21"/>
  <c r="AA276" i="21"/>
  <c r="AA289" i="21"/>
  <c r="Z282" i="21"/>
  <c r="Z270" i="21"/>
  <c r="Z294" i="21"/>
  <c r="M276" i="21"/>
  <c r="B175" i="21"/>
  <c r="B187" i="21"/>
  <c r="AA13" i="33" s="1"/>
  <c r="B163" i="21"/>
  <c r="X162" i="21"/>
  <c r="X186" i="21"/>
  <c r="X174" i="21"/>
  <c r="Y292" i="21"/>
  <c r="Y268" i="21"/>
  <c r="Y280" i="21"/>
  <c r="T280" i="21"/>
  <c r="T268" i="21"/>
  <c r="T292" i="21"/>
  <c r="K292" i="21"/>
  <c r="K280" i="21"/>
  <c r="K268" i="21"/>
  <c r="L81" i="21"/>
  <c r="L57" i="21"/>
  <c r="L69" i="21"/>
  <c r="V171" i="21"/>
  <c r="V182" i="21"/>
  <c r="V158" i="21"/>
  <c r="V181" i="21"/>
  <c r="V183" i="21"/>
  <c r="V170" i="21"/>
  <c r="V169" i="21"/>
  <c r="V168" i="21"/>
  <c r="V159" i="21"/>
  <c r="V156" i="21"/>
  <c r="V180" i="21"/>
  <c r="V157" i="21"/>
  <c r="Y69" i="21"/>
  <c r="Y81" i="21"/>
  <c r="Y57" i="21"/>
  <c r="U45" i="21"/>
  <c r="U473" i="21"/>
  <c r="U474" i="21"/>
  <c r="U152" i="21"/>
  <c r="U46" i="21"/>
  <c r="N76" i="21"/>
  <c r="N63" i="21"/>
  <c r="N77" i="21"/>
  <c r="N53" i="21"/>
  <c r="N64" i="21"/>
  <c r="N62" i="21"/>
  <c r="N50" i="21"/>
  <c r="N75" i="21"/>
  <c r="N52" i="21"/>
  <c r="N74" i="21"/>
  <c r="N51" i="21"/>
  <c r="N65" i="21"/>
  <c r="N78" i="21"/>
  <c r="N54" i="21"/>
  <c r="N66" i="21"/>
  <c r="E46" i="21"/>
  <c r="X68" i="21"/>
  <c r="X80" i="21"/>
  <c r="X56" i="21"/>
  <c r="Q508" i="21"/>
  <c r="Q484" i="21"/>
  <c r="Q496" i="21"/>
  <c r="R494" i="21"/>
  <c r="R506" i="21"/>
  <c r="R482" i="21"/>
  <c r="AA497" i="21"/>
  <c r="AA509" i="21"/>
  <c r="AA485" i="21"/>
  <c r="M503" i="21"/>
  <c r="CP7" i="33" s="1"/>
  <c r="M504" i="21"/>
  <c r="CP8" i="33" s="1"/>
  <c r="M491" i="21"/>
  <c r="M479" i="21"/>
  <c r="M505" i="21"/>
  <c r="CP9" i="33" s="1"/>
  <c r="M490" i="21"/>
  <c r="M478" i="21"/>
  <c r="M481" i="21"/>
  <c r="M480" i="21"/>
  <c r="M492" i="21"/>
  <c r="M502" i="21"/>
  <c r="CP6" i="33" s="1"/>
  <c r="M493" i="21"/>
  <c r="C505" i="21"/>
  <c r="C490" i="21"/>
  <c r="C491" i="21"/>
  <c r="C481" i="21"/>
  <c r="C492" i="21"/>
  <c r="C479" i="21"/>
  <c r="C493" i="21"/>
  <c r="C504" i="21"/>
  <c r="C480" i="21"/>
  <c r="C502" i="21"/>
  <c r="C503" i="21"/>
  <c r="C478" i="21"/>
  <c r="J496" i="21"/>
  <c r="J484" i="21"/>
  <c r="J508" i="21"/>
  <c r="C508" i="21"/>
  <c r="C496" i="21"/>
  <c r="C484" i="21"/>
  <c r="P506" i="21"/>
  <c r="C495" i="21"/>
  <c r="C483" i="21"/>
  <c r="C507" i="21"/>
  <c r="G483" i="21"/>
  <c r="G507" i="21"/>
  <c r="G495" i="21"/>
  <c r="L392" i="21"/>
  <c r="L404" i="21"/>
  <c r="L380" i="21"/>
  <c r="H402" i="21"/>
  <c r="H390" i="21"/>
  <c r="H378" i="21"/>
  <c r="S392" i="21"/>
  <c r="S380" i="21"/>
  <c r="S404" i="21"/>
  <c r="M387" i="21"/>
  <c r="M374" i="21"/>
  <c r="M386" i="21"/>
  <c r="M375" i="21"/>
  <c r="M385" i="21"/>
  <c r="M398" i="21"/>
  <c r="CL7" i="33" s="1"/>
  <c r="M376" i="21"/>
  <c r="M373" i="21"/>
  <c r="M400" i="21"/>
  <c r="CL9" i="33" s="1"/>
  <c r="M399" i="21"/>
  <c r="CL8" i="33" s="1"/>
  <c r="M397" i="21"/>
  <c r="CL6" i="33" s="1"/>
  <c r="M388" i="21"/>
  <c r="D277" i="21"/>
  <c r="D288" i="21"/>
  <c r="D264" i="21"/>
  <c r="D276" i="21"/>
  <c r="D266" i="21"/>
  <c r="D267" i="21"/>
  <c r="D289" i="21"/>
  <c r="D278" i="21"/>
  <c r="D279" i="21"/>
  <c r="D290" i="21"/>
  <c r="D291" i="21"/>
  <c r="D265" i="21"/>
  <c r="T294" i="21"/>
  <c r="T270" i="21"/>
  <c r="T282" i="21"/>
  <c r="M288" i="21"/>
  <c r="CH6" i="33" s="1"/>
  <c r="J175" i="21"/>
  <c r="J163" i="21"/>
  <c r="J187" i="21"/>
  <c r="Q172" i="21"/>
  <c r="Q160" i="21"/>
  <c r="Q184" i="21"/>
  <c r="F174" i="21"/>
  <c r="F162" i="21"/>
  <c r="F186" i="21"/>
  <c r="AC280" i="21"/>
  <c r="AC268" i="21"/>
  <c r="AC292" i="21"/>
  <c r="EK10" i="33" s="1"/>
  <c r="W174" i="21"/>
  <c r="W162" i="21"/>
  <c r="W186" i="21"/>
  <c r="T181" i="21"/>
  <c r="T157" i="21"/>
  <c r="T168" i="21"/>
  <c r="T171" i="21"/>
  <c r="T169" i="21"/>
  <c r="T159" i="21"/>
  <c r="T183" i="21"/>
  <c r="T182" i="21"/>
  <c r="T180" i="21"/>
  <c r="T170" i="21"/>
  <c r="T156" i="21"/>
  <c r="T158" i="21"/>
  <c r="F171" i="21"/>
  <c r="F182" i="21"/>
  <c r="F158" i="21"/>
  <c r="F183" i="21"/>
  <c r="F181" i="21"/>
  <c r="F180" i="21"/>
  <c r="F170" i="21"/>
  <c r="F169" i="21"/>
  <c r="F168" i="21"/>
  <c r="F157" i="21"/>
  <c r="F156" i="21"/>
  <c r="F159" i="21"/>
  <c r="D81" i="21"/>
  <c r="D57" i="21"/>
  <c r="D69" i="21"/>
  <c r="Q69" i="21"/>
  <c r="Q81" i="21"/>
  <c r="Q57" i="21"/>
  <c r="U81" i="21"/>
  <c r="U57" i="21"/>
  <c r="U69" i="21"/>
  <c r="Q45" i="21"/>
  <c r="AA45" i="21"/>
  <c r="P80" i="21"/>
  <c r="P68" i="21"/>
  <c r="P56" i="21"/>
  <c r="C78" i="21"/>
  <c r="C54" i="21"/>
  <c r="C66" i="21"/>
  <c r="M65" i="21"/>
  <c r="M76" i="21"/>
  <c r="BZ8" i="33" s="1"/>
  <c r="M52" i="21"/>
  <c r="M74" i="21"/>
  <c r="BZ6" i="33" s="1"/>
  <c r="M50" i="21"/>
  <c r="M77" i="21"/>
  <c r="BZ9" i="33" s="1"/>
  <c r="M51" i="21"/>
  <c r="M75" i="21"/>
  <c r="BZ7" i="33" s="1"/>
  <c r="M63" i="21"/>
  <c r="M64" i="21"/>
  <c r="M62" i="21"/>
  <c r="M53" i="21"/>
  <c r="D56" i="21"/>
  <c r="D80" i="21"/>
  <c r="D68" i="21"/>
  <c r="W495" i="21"/>
  <c r="W483" i="21"/>
  <c r="W507" i="21"/>
  <c r="AB507" i="21"/>
  <c r="AB495" i="21"/>
  <c r="AB483" i="21"/>
  <c r="L495" i="21"/>
  <c r="L507" i="21"/>
  <c r="L483" i="21"/>
  <c r="E495" i="21"/>
  <c r="E507" i="21"/>
  <c r="E483" i="21"/>
  <c r="I494" i="21"/>
  <c r="I506" i="21"/>
  <c r="I482" i="21"/>
  <c r="U482" i="21"/>
  <c r="U506" i="21"/>
  <c r="U494" i="21"/>
  <c r="W496" i="21"/>
  <c r="W508" i="21"/>
  <c r="W484" i="21"/>
  <c r="I508" i="21"/>
  <c r="I484" i="21"/>
  <c r="I496" i="21"/>
  <c r="T508" i="21"/>
  <c r="T484" i="21"/>
  <c r="T496" i="21"/>
  <c r="P391" i="21"/>
  <c r="P379" i="21"/>
  <c r="P403" i="21"/>
  <c r="Y392" i="21"/>
  <c r="Y380" i="21"/>
  <c r="Y404" i="21"/>
  <c r="B403" i="21"/>
  <c r="AI12" i="33" s="1"/>
  <c r="B391" i="21"/>
  <c r="B379" i="21"/>
  <c r="O403" i="21"/>
  <c r="O391" i="21"/>
  <c r="O379" i="21"/>
  <c r="L509" i="21"/>
  <c r="L485" i="21"/>
  <c r="L497" i="21"/>
  <c r="U497" i="21"/>
  <c r="U509" i="21"/>
  <c r="U485" i="21"/>
  <c r="X504" i="21"/>
  <c r="X505" i="21"/>
  <c r="X491" i="21"/>
  <c r="X480" i="21"/>
  <c r="X492" i="21"/>
  <c r="X478" i="21"/>
  <c r="X502" i="21"/>
  <c r="X493" i="21"/>
  <c r="X503" i="21"/>
  <c r="X490" i="21"/>
  <c r="X481" i="21"/>
  <c r="X479" i="21"/>
  <c r="C378" i="21"/>
  <c r="C390" i="21"/>
  <c r="C402" i="21"/>
  <c r="U379" i="21"/>
  <c r="U391" i="21"/>
  <c r="U403" i="21"/>
  <c r="B402" i="21"/>
  <c r="AI11" i="33" s="1"/>
  <c r="T403" i="21"/>
  <c r="T379" i="21"/>
  <c r="T391" i="21"/>
  <c r="N404" i="21"/>
  <c r="N380" i="21"/>
  <c r="N392" i="21"/>
  <c r="X380" i="21"/>
  <c r="X404" i="21"/>
  <c r="X392" i="21"/>
  <c r="K293" i="21"/>
  <c r="K269" i="21"/>
  <c r="K281" i="21"/>
  <c r="V269" i="21"/>
  <c r="V293" i="21"/>
  <c r="V281" i="21"/>
  <c r="Z389" i="21"/>
  <c r="Z377" i="21"/>
  <c r="Z401" i="21"/>
  <c r="P401" i="21"/>
  <c r="P389" i="21"/>
  <c r="P377" i="21"/>
  <c r="J279" i="21"/>
  <c r="J290" i="21"/>
  <c r="J266" i="21"/>
  <c r="J288" i="21"/>
  <c r="J278" i="21"/>
  <c r="J265" i="21"/>
  <c r="J291" i="21"/>
  <c r="J289" i="21"/>
  <c r="J267" i="21"/>
  <c r="J264" i="21"/>
  <c r="J276" i="21"/>
  <c r="J277" i="21"/>
  <c r="AB293" i="21"/>
  <c r="AB269" i="21"/>
  <c r="AB281" i="21"/>
  <c r="T277" i="21"/>
  <c r="T288" i="21"/>
  <c r="T264" i="21"/>
  <c r="T278" i="21"/>
  <c r="T265" i="21"/>
  <c r="T279" i="21"/>
  <c r="T276" i="21"/>
  <c r="T267" i="21"/>
  <c r="T290" i="21"/>
  <c r="T289" i="21"/>
  <c r="T266" i="21"/>
  <c r="T291" i="21"/>
  <c r="U288" i="21"/>
  <c r="U264" i="21"/>
  <c r="U291" i="21"/>
  <c r="U267" i="21"/>
  <c r="U265" i="21"/>
  <c r="U278" i="21"/>
  <c r="U276" i="21"/>
  <c r="U277" i="21"/>
  <c r="U266" i="21"/>
  <c r="U279" i="21"/>
  <c r="U289" i="21"/>
  <c r="U290" i="21"/>
  <c r="F283" i="21"/>
  <c r="F271" i="21"/>
  <c r="F295" i="21"/>
  <c r="S271" i="21"/>
  <c r="S283" i="21"/>
  <c r="S295" i="21"/>
  <c r="E283" i="21"/>
  <c r="E271" i="21"/>
  <c r="E295" i="21"/>
  <c r="AC185" i="21"/>
  <c r="EG11" i="33" s="1"/>
  <c r="AC173" i="21"/>
  <c r="AC161" i="21"/>
  <c r="Z173" i="21"/>
  <c r="Z161" i="21"/>
  <c r="Z185" i="21"/>
  <c r="J282" i="21"/>
  <c r="J294" i="21"/>
  <c r="J270" i="21"/>
  <c r="J295" i="21"/>
  <c r="L282" i="21"/>
  <c r="L294" i="21"/>
  <c r="L270" i="21"/>
  <c r="O294" i="21"/>
  <c r="O270" i="21"/>
  <c r="O282" i="21"/>
  <c r="P399" i="21"/>
  <c r="P388" i="21"/>
  <c r="P375" i="21"/>
  <c r="P387" i="21"/>
  <c r="P400" i="21"/>
  <c r="P385" i="21"/>
  <c r="P374" i="21"/>
  <c r="P386" i="21"/>
  <c r="P397" i="21"/>
  <c r="P398" i="21"/>
  <c r="P376" i="21"/>
  <c r="P373" i="21"/>
  <c r="H399" i="21"/>
  <c r="H388" i="21"/>
  <c r="H400" i="21"/>
  <c r="H375" i="21"/>
  <c r="H387" i="21"/>
  <c r="H398" i="21"/>
  <c r="H376" i="21"/>
  <c r="H385" i="21"/>
  <c r="H386" i="21"/>
  <c r="H373" i="21"/>
  <c r="H374" i="21"/>
  <c r="H397" i="21"/>
  <c r="O399" i="21"/>
  <c r="O398" i="21"/>
  <c r="O385" i="21"/>
  <c r="O388" i="21"/>
  <c r="O376" i="21"/>
  <c r="O400" i="21"/>
  <c r="O374" i="21"/>
  <c r="O373" i="21"/>
  <c r="O386" i="21"/>
  <c r="O387" i="21"/>
  <c r="O397" i="21"/>
  <c r="O375" i="21"/>
  <c r="AC398" i="21"/>
  <c r="EO7" i="33" s="1"/>
  <c r="AC387" i="21"/>
  <c r="AC374" i="21"/>
  <c r="AC386" i="21"/>
  <c r="AC399" i="21"/>
  <c r="EO8" i="33" s="1"/>
  <c r="AC388" i="21"/>
  <c r="AC385" i="21"/>
  <c r="AC376" i="21"/>
  <c r="AC373" i="21"/>
  <c r="AC400" i="21"/>
  <c r="EO9" i="33" s="1"/>
  <c r="AC397" i="21"/>
  <c r="EO6" i="33" s="1"/>
  <c r="AC375" i="21"/>
  <c r="V292" i="21"/>
  <c r="V268" i="21"/>
  <c r="V280" i="21"/>
  <c r="E280" i="21"/>
  <c r="E268" i="21"/>
  <c r="E292" i="21"/>
  <c r="N174" i="21"/>
  <c r="N186" i="21"/>
  <c r="N162" i="21"/>
  <c r="K151" i="21"/>
  <c r="U173" i="21"/>
  <c r="U161" i="21"/>
  <c r="U185" i="21"/>
  <c r="I180" i="21"/>
  <c r="I156" i="21"/>
  <c r="I183" i="21"/>
  <c r="I159" i="21"/>
  <c r="I182" i="21"/>
  <c r="I171" i="21"/>
  <c r="I170" i="21"/>
  <c r="I169" i="21"/>
  <c r="I168" i="21"/>
  <c r="I158" i="21"/>
  <c r="I157" i="21"/>
  <c r="I181" i="21"/>
  <c r="X169" i="21"/>
  <c r="X180" i="21"/>
  <c r="X156" i="21"/>
  <c r="X159" i="21"/>
  <c r="X157" i="21"/>
  <c r="X171" i="21"/>
  <c r="X170" i="21"/>
  <c r="X168" i="21"/>
  <c r="X158" i="21"/>
  <c r="X183" i="21"/>
  <c r="X181" i="21"/>
  <c r="X182" i="21"/>
  <c r="AB181" i="21"/>
  <c r="AB157" i="21"/>
  <c r="AB168" i="21"/>
  <c r="AB183" i="21"/>
  <c r="AB159" i="21"/>
  <c r="AB158" i="21"/>
  <c r="AB156" i="21"/>
  <c r="AB182" i="21"/>
  <c r="AB171" i="21"/>
  <c r="AB170" i="21"/>
  <c r="AB180" i="21"/>
  <c r="AB169" i="21"/>
  <c r="Y186" i="21"/>
  <c r="Y174" i="21"/>
  <c r="Y162" i="21"/>
  <c r="J186" i="21"/>
  <c r="J162" i="21"/>
  <c r="J174" i="21"/>
  <c r="U186" i="21"/>
  <c r="U174" i="21"/>
  <c r="U162" i="21"/>
  <c r="B184" i="21"/>
  <c r="AA10" i="33" s="1"/>
  <c r="B172" i="21"/>
  <c r="B160" i="21"/>
  <c r="Z160" i="21"/>
  <c r="Z184" i="21"/>
  <c r="Z172" i="21"/>
  <c r="O184" i="21"/>
  <c r="O160" i="21"/>
  <c r="O172" i="21"/>
  <c r="G175" i="21"/>
  <c r="G163" i="21"/>
  <c r="G187" i="21"/>
  <c r="D173" i="21"/>
  <c r="D161" i="21"/>
  <c r="D185" i="21"/>
  <c r="AB184" i="21"/>
  <c r="AB160" i="21"/>
  <c r="AB172" i="21"/>
  <c r="AB79" i="21"/>
  <c r="AB55" i="21"/>
  <c r="AB67" i="21"/>
  <c r="B64" i="21"/>
  <c r="B75" i="21"/>
  <c r="W7" i="33" s="1"/>
  <c r="B51" i="21"/>
  <c r="B65" i="21"/>
  <c r="B76" i="21"/>
  <c r="W8" i="33" s="1"/>
  <c r="B77" i="21"/>
  <c r="W9" i="33" s="1"/>
  <c r="B53" i="21"/>
  <c r="B74" i="21"/>
  <c r="W6" i="33" s="1"/>
  <c r="B63" i="21"/>
  <c r="B52" i="21"/>
  <c r="B50" i="21"/>
  <c r="B62" i="21"/>
  <c r="K68" i="21"/>
  <c r="K80" i="21"/>
  <c r="K56" i="21"/>
  <c r="X67" i="21"/>
  <c r="X79" i="21"/>
  <c r="X55" i="21"/>
  <c r="U184" i="21"/>
  <c r="E68" i="21"/>
  <c r="E80" i="21"/>
  <c r="E56" i="21"/>
  <c r="N187" i="21"/>
  <c r="N163" i="21"/>
  <c r="N175" i="21"/>
  <c r="AC65" i="21"/>
  <c r="AC76" i="21"/>
  <c r="EC8" i="33" s="1"/>
  <c r="AC52" i="21"/>
  <c r="AC74" i="21"/>
  <c r="EC6" i="33" s="1"/>
  <c r="AC50" i="21"/>
  <c r="AC77" i="21"/>
  <c r="EC9" i="33" s="1"/>
  <c r="AC53" i="21"/>
  <c r="AC75" i="21"/>
  <c r="EC7" i="33" s="1"/>
  <c r="AC63" i="21"/>
  <c r="AC51" i="21"/>
  <c r="AC64" i="21"/>
  <c r="AC62" i="21"/>
  <c r="T79" i="21"/>
  <c r="T55" i="21"/>
  <c r="T67" i="21"/>
  <c r="D62" i="21"/>
  <c r="D65" i="21"/>
  <c r="D63" i="21"/>
  <c r="D74" i="21"/>
  <c r="D75" i="21"/>
  <c r="D76" i="21"/>
  <c r="D53" i="21"/>
  <c r="D50" i="21"/>
  <c r="D77" i="21"/>
  <c r="D52" i="21"/>
  <c r="D64" i="21"/>
  <c r="D51" i="21"/>
  <c r="H69" i="21"/>
  <c r="H81" i="21"/>
  <c r="H57" i="21"/>
  <c r="T81" i="21"/>
  <c r="T57" i="21"/>
  <c r="T69" i="21"/>
  <c r="Y79" i="21"/>
  <c r="Y67" i="21"/>
  <c r="Y55" i="21"/>
  <c r="Z80" i="21"/>
  <c r="Z56" i="21"/>
  <c r="Z68" i="21"/>
  <c r="P66" i="21"/>
  <c r="P78" i="21"/>
  <c r="P54" i="21"/>
  <c r="I77" i="21"/>
  <c r="I64" i="21"/>
  <c r="I62" i="21"/>
  <c r="I65" i="21"/>
  <c r="I74" i="21"/>
  <c r="I52" i="21"/>
  <c r="I53" i="21"/>
  <c r="I75" i="21"/>
  <c r="I51" i="21"/>
  <c r="I63" i="21"/>
  <c r="I76" i="21"/>
  <c r="I50" i="21"/>
  <c r="X74" i="21"/>
  <c r="X77" i="21"/>
  <c r="X53" i="21"/>
  <c r="X75" i="21"/>
  <c r="X51" i="21"/>
  <c r="X65" i="21"/>
  <c r="X76" i="21"/>
  <c r="X52" i="21"/>
  <c r="X63" i="21"/>
  <c r="X62" i="21"/>
  <c r="X64" i="21"/>
  <c r="X50" i="21"/>
  <c r="G80" i="21"/>
  <c r="G56" i="21"/>
  <c r="G68" i="21"/>
  <c r="F78" i="21"/>
  <c r="F66" i="21"/>
  <c r="F54" i="21"/>
  <c r="X66" i="21"/>
  <c r="X78" i="21"/>
  <c r="X54" i="21"/>
  <c r="W66" i="21"/>
  <c r="W78" i="21"/>
  <c r="W54" i="21"/>
  <c r="Q494" i="21"/>
  <c r="Q482" i="21"/>
  <c r="Q506" i="21"/>
  <c r="J379" i="21"/>
  <c r="J391" i="21"/>
  <c r="J403" i="21"/>
  <c r="W403" i="21"/>
  <c r="W379" i="21"/>
  <c r="W391" i="21"/>
  <c r="V485" i="21"/>
  <c r="V509" i="21"/>
  <c r="V497" i="21"/>
  <c r="Z497" i="21"/>
  <c r="Z509" i="21"/>
  <c r="Z485" i="21"/>
  <c r="G509" i="21"/>
  <c r="G485" i="21"/>
  <c r="G497" i="21"/>
  <c r="T492" i="21"/>
  <c r="T493" i="21"/>
  <c r="T503" i="21"/>
  <c r="T504" i="21"/>
  <c r="T480" i="21"/>
  <c r="T505" i="21"/>
  <c r="T479" i="21"/>
  <c r="T502" i="21"/>
  <c r="T478" i="21"/>
  <c r="T490" i="21"/>
  <c r="T481" i="21"/>
  <c r="T491" i="21"/>
  <c r="R502" i="21"/>
  <c r="R503" i="21"/>
  <c r="R478" i="21"/>
  <c r="R490" i="21"/>
  <c r="R504" i="21"/>
  <c r="R491" i="21"/>
  <c r="R480" i="21"/>
  <c r="R505" i="21"/>
  <c r="R492" i="21"/>
  <c r="R479" i="21"/>
  <c r="R493" i="21"/>
  <c r="R481" i="21"/>
  <c r="E402" i="21"/>
  <c r="E390" i="21"/>
  <c r="E378" i="21"/>
  <c r="K402" i="21"/>
  <c r="K390" i="21"/>
  <c r="K378" i="21"/>
  <c r="Y293" i="21"/>
  <c r="Y281" i="21"/>
  <c r="Y269" i="21"/>
  <c r="L403" i="21"/>
  <c r="L379" i="21"/>
  <c r="L391" i="21"/>
  <c r="H403" i="21"/>
  <c r="H391" i="21"/>
  <c r="H379" i="21"/>
  <c r="AC379" i="21"/>
  <c r="AC403" i="21"/>
  <c r="EO12" i="33" s="1"/>
  <c r="AC391" i="21"/>
  <c r="O404" i="21"/>
  <c r="O380" i="21"/>
  <c r="O392" i="21"/>
  <c r="G404" i="21"/>
  <c r="G380" i="21"/>
  <c r="G392" i="21"/>
  <c r="B401" i="21"/>
  <c r="AI10" i="33" s="1"/>
  <c r="B389" i="21"/>
  <c r="B377" i="21"/>
  <c r="K389" i="21"/>
  <c r="K401" i="21"/>
  <c r="K377" i="21"/>
  <c r="J389" i="21"/>
  <c r="J377" i="21"/>
  <c r="J401" i="21"/>
  <c r="X401" i="21"/>
  <c r="X389" i="21"/>
  <c r="X377" i="21"/>
  <c r="G281" i="21"/>
  <c r="G269" i="21"/>
  <c r="G293" i="21"/>
  <c r="I276" i="21"/>
  <c r="I279" i="21"/>
  <c r="I291" i="21"/>
  <c r="I288" i="21"/>
  <c r="I278" i="21"/>
  <c r="I290" i="21"/>
  <c r="I266" i="21"/>
  <c r="I267" i="21"/>
  <c r="I265" i="21"/>
  <c r="I264" i="21"/>
  <c r="I289" i="21"/>
  <c r="I277" i="21"/>
  <c r="P271" i="21"/>
  <c r="P283" i="21"/>
  <c r="P295" i="21"/>
  <c r="AA295" i="21"/>
  <c r="AA271" i="21"/>
  <c r="AA283" i="21"/>
  <c r="N291" i="21"/>
  <c r="N267" i="21"/>
  <c r="N278" i="21"/>
  <c r="N276" i="21"/>
  <c r="N266" i="21"/>
  <c r="N279" i="21"/>
  <c r="N277" i="21"/>
  <c r="N264" i="21"/>
  <c r="N290" i="21"/>
  <c r="N289" i="21"/>
  <c r="N265" i="21"/>
  <c r="N288" i="21"/>
  <c r="G278" i="21"/>
  <c r="G289" i="21"/>
  <c r="G265" i="21"/>
  <c r="G277" i="21"/>
  <c r="G267" i="21"/>
  <c r="G264" i="21"/>
  <c r="G276" i="21"/>
  <c r="G266" i="21"/>
  <c r="G291" i="21"/>
  <c r="G288" i="21"/>
  <c r="G290" i="21"/>
  <c r="G279" i="21"/>
  <c r="W295" i="21"/>
  <c r="W283" i="21"/>
  <c r="W271" i="21"/>
  <c r="E259" i="21"/>
  <c r="S173" i="21"/>
  <c r="S185" i="21"/>
  <c r="S161" i="21"/>
  <c r="C290" i="21"/>
  <c r="C266" i="21"/>
  <c r="C277" i="21"/>
  <c r="C289" i="21"/>
  <c r="C279" i="21"/>
  <c r="C276" i="21"/>
  <c r="C288" i="21"/>
  <c r="C278" i="21"/>
  <c r="C267" i="21"/>
  <c r="C291" i="21"/>
  <c r="C265" i="21"/>
  <c r="C264" i="21"/>
  <c r="P185" i="21"/>
  <c r="P161" i="21"/>
  <c r="P173" i="21"/>
  <c r="B282" i="21"/>
  <c r="B270" i="21"/>
  <c r="B294" i="21"/>
  <c r="AE12" i="33" s="1"/>
  <c r="R282" i="21"/>
  <c r="R294" i="21"/>
  <c r="R270" i="21"/>
  <c r="AC270" i="21"/>
  <c r="AC294" i="21"/>
  <c r="EK12" i="33" s="1"/>
  <c r="AC282" i="21"/>
  <c r="R400" i="21"/>
  <c r="R399" i="21"/>
  <c r="R386" i="21"/>
  <c r="R397" i="21"/>
  <c r="R373" i="21"/>
  <c r="R398" i="21"/>
  <c r="R385" i="21"/>
  <c r="R388" i="21"/>
  <c r="R387" i="21"/>
  <c r="R374" i="21"/>
  <c r="R375" i="21"/>
  <c r="R376" i="21"/>
  <c r="F399" i="21"/>
  <c r="F398" i="21"/>
  <c r="F374" i="21"/>
  <c r="F385" i="21"/>
  <c r="F397" i="21"/>
  <c r="F373" i="21"/>
  <c r="F375" i="21"/>
  <c r="F388" i="21"/>
  <c r="F376" i="21"/>
  <c r="F386" i="21"/>
  <c r="F400" i="21"/>
  <c r="F387" i="21"/>
  <c r="AA293" i="21"/>
  <c r="AA269" i="21"/>
  <c r="AA281" i="21"/>
  <c r="D280" i="21"/>
  <c r="D268" i="21"/>
  <c r="D292" i="21"/>
  <c r="Q292" i="21"/>
  <c r="Q268" i="21"/>
  <c r="Q280" i="21"/>
  <c r="Z280" i="21"/>
  <c r="Z268" i="21"/>
  <c r="Z292" i="21"/>
  <c r="V185" i="21"/>
  <c r="V173" i="21"/>
  <c r="V161" i="21"/>
  <c r="M185" i="21"/>
  <c r="CD11" i="33" s="1"/>
  <c r="M173" i="21"/>
  <c r="M161" i="21"/>
  <c r="E187" i="21"/>
  <c r="E163" i="21"/>
  <c r="E175" i="21"/>
  <c r="U168" i="21"/>
  <c r="U171" i="21"/>
  <c r="U158" i="21"/>
  <c r="U156" i="21"/>
  <c r="U181" i="21"/>
  <c r="U180" i="21"/>
  <c r="U170" i="21"/>
  <c r="U169" i="21"/>
  <c r="U157" i="21"/>
  <c r="U182" i="21"/>
  <c r="U159" i="21"/>
  <c r="U183" i="21"/>
  <c r="C170" i="21"/>
  <c r="C181" i="21"/>
  <c r="C157" i="21"/>
  <c r="C182" i="21"/>
  <c r="C180" i="21"/>
  <c r="C183" i="21"/>
  <c r="C171" i="21"/>
  <c r="C168" i="21"/>
  <c r="C156" i="21"/>
  <c r="C169" i="21"/>
  <c r="C158" i="21"/>
  <c r="C159" i="21"/>
  <c r="K260" i="21"/>
  <c r="G174" i="21"/>
  <c r="G162" i="21"/>
  <c r="G186" i="21"/>
  <c r="AC174" i="21"/>
  <c r="AC162" i="21"/>
  <c r="AC186" i="21"/>
  <c r="EG12" i="33" s="1"/>
  <c r="L184" i="21"/>
  <c r="L160" i="21"/>
  <c r="L172" i="21"/>
  <c r="W172" i="21"/>
  <c r="W160" i="21"/>
  <c r="W184" i="21"/>
  <c r="U187" i="21"/>
  <c r="U163" i="21"/>
  <c r="U175" i="21"/>
  <c r="N161" i="21"/>
  <c r="N185" i="21"/>
  <c r="N173" i="21"/>
  <c r="O182" i="21"/>
  <c r="O158" i="21"/>
  <c r="O169" i="21"/>
  <c r="O156" i="21"/>
  <c r="O157" i="21"/>
  <c r="O183" i="21"/>
  <c r="O181" i="21"/>
  <c r="O180" i="21"/>
  <c r="O171" i="21"/>
  <c r="O170" i="21"/>
  <c r="O168" i="21"/>
  <c r="O159" i="21"/>
  <c r="Y45" i="21"/>
  <c r="R67" i="21"/>
  <c r="R55" i="21"/>
  <c r="R79" i="21"/>
  <c r="S68" i="21"/>
  <c r="S80" i="21"/>
  <c r="S56" i="21"/>
  <c r="K78" i="21"/>
  <c r="K54" i="21"/>
  <c r="K66" i="21"/>
  <c r="M79" i="21"/>
  <c r="BZ11" i="33" s="1"/>
  <c r="M55" i="21"/>
  <c r="M67" i="21"/>
  <c r="W185" i="21"/>
  <c r="W161" i="21"/>
  <c r="W173" i="21"/>
  <c r="W80" i="21"/>
  <c r="W56" i="21"/>
  <c r="W68" i="21"/>
  <c r="U65" i="21"/>
  <c r="U76" i="21"/>
  <c r="U52" i="21"/>
  <c r="U74" i="21"/>
  <c r="U50" i="21"/>
  <c r="U77" i="21"/>
  <c r="U64" i="21"/>
  <c r="U51" i="21"/>
  <c r="U75" i="21"/>
  <c r="U63" i="21"/>
  <c r="U53" i="21"/>
  <c r="U62" i="21"/>
  <c r="J67" i="21"/>
  <c r="J79" i="21"/>
  <c r="J55" i="21"/>
  <c r="R81" i="21"/>
  <c r="R57" i="21"/>
  <c r="R69" i="21"/>
  <c r="AB81" i="21"/>
  <c r="AB57" i="21"/>
  <c r="AB69" i="21"/>
  <c r="AA75" i="21"/>
  <c r="AA62" i="21"/>
  <c r="AA76" i="21"/>
  <c r="AA52" i="21"/>
  <c r="AA63" i="21"/>
  <c r="AA53" i="21"/>
  <c r="AA50" i="21"/>
  <c r="AA64" i="21"/>
  <c r="AA65" i="21"/>
  <c r="AA74" i="21"/>
  <c r="AA51" i="21"/>
  <c r="AA77" i="21"/>
  <c r="H74" i="21"/>
  <c r="H77" i="21"/>
  <c r="H53" i="21"/>
  <c r="H75" i="21"/>
  <c r="H51" i="21"/>
  <c r="H76" i="21"/>
  <c r="H65" i="21"/>
  <c r="H62" i="21"/>
  <c r="H50" i="21"/>
  <c r="H52" i="21"/>
  <c r="H64" i="21"/>
  <c r="H63" i="21"/>
  <c r="L79" i="21"/>
  <c r="L55" i="21"/>
  <c r="L67" i="21"/>
  <c r="S67" i="21"/>
  <c r="S79" i="21"/>
  <c r="S55" i="21"/>
  <c r="Q507" i="21"/>
  <c r="Q483" i="21"/>
  <c r="Q495" i="21"/>
  <c r="T495" i="21"/>
  <c r="T483" i="21"/>
  <c r="T507" i="21"/>
  <c r="R496" i="21"/>
  <c r="R508" i="21"/>
  <c r="R484" i="21"/>
  <c r="J494" i="21"/>
  <c r="J482" i="21"/>
  <c r="J506" i="21"/>
  <c r="AC495" i="21"/>
  <c r="AC483" i="21"/>
  <c r="AC507" i="21"/>
  <c r="ES11" i="33" s="1"/>
  <c r="M506" i="21"/>
  <c r="CP10" i="33" s="1"/>
  <c r="M482" i="21"/>
  <c r="M494" i="21"/>
  <c r="Y482" i="21"/>
  <c r="Y506" i="21"/>
  <c r="Y494" i="21"/>
  <c r="AA483" i="21"/>
  <c r="AA507" i="21"/>
  <c r="AA495" i="21"/>
  <c r="F506" i="21"/>
  <c r="F482" i="21"/>
  <c r="F494" i="21"/>
  <c r="H507" i="21"/>
  <c r="H483" i="21"/>
  <c r="H495" i="21"/>
  <c r="Y508" i="21"/>
  <c r="Y484" i="21"/>
  <c r="Y496" i="21"/>
  <c r="X496" i="21"/>
  <c r="X508" i="21"/>
  <c r="X484" i="21"/>
  <c r="E392" i="21"/>
  <c r="E380" i="21"/>
  <c r="E404" i="21"/>
  <c r="R403" i="21"/>
  <c r="R391" i="21"/>
  <c r="R379" i="21"/>
  <c r="P494" i="21"/>
  <c r="Q402" i="21"/>
  <c r="Q378" i="21"/>
  <c r="Q390" i="21"/>
  <c r="S390" i="21"/>
  <c r="S378" i="21"/>
  <c r="S402" i="21"/>
  <c r="Q281" i="21"/>
  <c r="Q293" i="21"/>
  <c r="Q269" i="21"/>
  <c r="X391" i="21"/>
  <c r="X379" i="21"/>
  <c r="X403" i="21"/>
  <c r="X281" i="21"/>
  <c r="X293" i="21"/>
  <c r="X269" i="21"/>
  <c r="E293" i="21"/>
  <c r="E269" i="21"/>
  <c r="E281" i="21"/>
  <c r="R389" i="21"/>
  <c r="R377" i="21"/>
  <c r="R401" i="21"/>
  <c r="AA389" i="21"/>
  <c r="AA401" i="21"/>
  <c r="AA377" i="21"/>
  <c r="V401" i="21"/>
  <c r="V377" i="21"/>
  <c r="V389" i="21"/>
  <c r="I389" i="21"/>
  <c r="I401" i="21"/>
  <c r="I377" i="21"/>
  <c r="S282" i="21"/>
  <c r="S270" i="21"/>
  <c r="S294" i="21"/>
  <c r="S293" i="21"/>
  <c r="S269" i="21"/>
  <c r="S281" i="21"/>
  <c r="Z295" i="21"/>
  <c r="Z271" i="21"/>
  <c r="Z283" i="21"/>
  <c r="D283" i="21"/>
  <c r="D271" i="21"/>
  <c r="D295" i="21"/>
  <c r="B279" i="21"/>
  <c r="B290" i="21"/>
  <c r="AE8" i="33" s="1"/>
  <c r="B266" i="21"/>
  <c r="B289" i="21"/>
  <c r="AE7" i="33" s="1"/>
  <c r="B267" i="21"/>
  <c r="B291" i="21"/>
  <c r="AE9" i="33" s="1"/>
  <c r="B288" i="21"/>
  <c r="AE6" i="33" s="1"/>
  <c r="B277" i="21"/>
  <c r="B276" i="21"/>
  <c r="B265" i="21"/>
  <c r="B264" i="21"/>
  <c r="B278" i="21"/>
  <c r="Z279" i="21"/>
  <c r="Z290" i="21"/>
  <c r="Z266" i="21"/>
  <c r="Z276" i="21"/>
  <c r="Z277" i="21"/>
  <c r="Z267" i="21"/>
  <c r="Z289" i="21"/>
  <c r="Z264" i="21"/>
  <c r="Z265" i="21"/>
  <c r="Z291" i="21"/>
  <c r="Z278" i="21"/>
  <c r="Z288" i="21"/>
  <c r="B295" i="21"/>
  <c r="AE13" i="33" s="1"/>
  <c r="B271" i="21"/>
  <c r="B283" i="21"/>
  <c r="H281" i="21"/>
  <c r="H293" i="21"/>
  <c r="H269" i="21"/>
  <c r="G185" i="21"/>
  <c r="G161" i="21"/>
  <c r="G173" i="21"/>
  <c r="I161" i="21"/>
  <c r="I173" i="21"/>
  <c r="I185" i="21"/>
  <c r="F173" i="21"/>
  <c r="F185" i="21"/>
  <c r="F161" i="21"/>
  <c r="J400" i="21"/>
  <c r="J386" i="21"/>
  <c r="J397" i="21"/>
  <c r="J373" i="21"/>
  <c r="J385" i="21"/>
  <c r="J399" i="21"/>
  <c r="J388" i="21"/>
  <c r="J398" i="21"/>
  <c r="J376" i="21"/>
  <c r="J374" i="21"/>
  <c r="J387" i="21"/>
  <c r="J375" i="21"/>
  <c r="C293" i="21"/>
  <c r="C269" i="21"/>
  <c r="C281" i="21"/>
  <c r="H292" i="21"/>
  <c r="H268" i="21"/>
  <c r="H280" i="21"/>
  <c r="C280" i="21"/>
  <c r="C268" i="21"/>
  <c r="C292" i="21"/>
  <c r="S184" i="21"/>
  <c r="S172" i="21"/>
  <c r="S160" i="21"/>
  <c r="K186" i="21"/>
  <c r="K162" i="21"/>
  <c r="K174" i="21"/>
  <c r="J183" i="21"/>
  <c r="J159" i="21"/>
  <c r="J170" i="21"/>
  <c r="J181" i="21"/>
  <c r="J171" i="21"/>
  <c r="J169" i="21"/>
  <c r="J168" i="21"/>
  <c r="J158" i="21"/>
  <c r="J157" i="21"/>
  <c r="J156" i="21"/>
  <c r="J180" i="21"/>
  <c r="J182" i="21"/>
  <c r="K170" i="21"/>
  <c r="K181" i="21"/>
  <c r="K157" i="21"/>
  <c r="K168" i="21"/>
  <c r="K158" i="21"/>
  <c r="K156" i="21"/>
  <c r="K169" i="21"/>
  <c r="K159" i="21"/>
  <c r="K183" i="21"/>
  <c r="K182" i="21"/>
  <c r="K180" i="21"/>
  <c r="K171" i="21"/>
  <c r="Q162" i="21"/>
  <c r="Q186" i="21"/>
  <c r="Q174" i="21"/>
  <c r="D186" i="21"/>
  <c r="D174" i="21"/>
  <c r="D162" i="21"/>
  <c r="X172" i="21"/>
  <c r="X160" i="21"/>
  <c r="X184" i="21"/>
  <c r="G268" i="21"/>
  <c r="G292" i="21"/>
  <c r="G280" i="21"/>
  <c r="M289" i="21"/>
  <c r="CH7" i="33" s="1"/>
  <c r="AB173" i="21"/>
  <c r="AB185" i="21"/>
  <c r="AB161" i="21"/>
  <c r="Z183" i="21"/>
  <c r="Z159" i="21"/>
  <c r="Z170" i="21"/>
  <c r="Z169" i="21"/>
  <c r="Z181" i="21"/>
  <c r="Z171" i="21"/>
  <c r="Z158" i="21"/>
  <c r="Z157" i="21"/>
  <c r="Z156" i="21"/>
  <c r="Z182" i="21"/>
  <c r="Z180" i="21"/>
  <c r="Z168" i="21"/>
  <c r="E168" i="21"/>
  <c r="E171" i="21"/>
  <c r="E156" i="21"/>
  <c r="E158" i="21"/>
  <c r="E183" i="21"/>
  <c r="E182" i="21"/>
  <c r="E181" i="21"/>
  <c r="E180" i="21"/>
  <c r="E170" i="21"/>
  <c r="E169" i="21"/>
  <c r="E159" i="21"/>
  <c r="E157" i="21"/>
  <c r="G79" i="21"/>
  <c r="G55" i="21"/>
  <c r="G67" i="21"/>
  <c r="AA68" i="21"/>
  <c r="AA80" i="21"/>
  <c r="AA56" i="21"/>
  <c r="S78" i="21"/>
  <c r="S54" i="21"/>
  <c r="S66" i="21"/>
  <c r="D163" i="21"/>
  <c r="D175" i="21"/>
  <c r="D187" i="21"/>
  <c r="M68" i="21"/>
  <c r="M80" i="21"/>
  <c r="BZ12" i="33" s="1"/>
  <c r="M56" i="21"/>
  <c r="AB78" i="21"/>
  <c r="AB54" i="21"/>
  <c r="AB66" i="21"/>
  <c r="J81" i="21"/>
  <c r="J57" i="21"/>
  <c r="J69" i="21"/>
  <c r="C69" i="21"/>
  <c r="C81" i="21"/>
  <c r="C57" i="21"/>
  <c r="AC81" i="21"/>
  <c r="EC13" i="33" s="1"/>
  <c r="AC57" i="21"/>
  <c r="AC69" i="21"/>
  <c r="F69" i="21"/>
  <c r="F81" i="21"/>
  <c r="F57" i="21"/>
  <c r="R80" i="21"/>
  <c r="R56" i="21"/>
  <c r="R68" i="21"/>
  <c r="K75" i="21"/>
  <c r="K62" i="21"/>
  <c r="K76" i="21"/>
  <c r="K52" i="21"/>
  <c r="K51" i="21"/>
  <c r="K77" i="21"/>
  <c r="K63" i="21"/>
  <c r="K64" i="21"/>
  <c r="K74" i="21"/>
  <c r="K65" i="21"/>
  <c r="K53" i="21"/>
  <c r="K50" i="21"/>
  <c r="B81" i="21"/>
  <c r="W13" i="33" s="1"/>
  <c r="B57" i="21"/>
  <c r="B69" i="21"/>
  <c r="I78" i="21"/>
  <c r="I54" i="21"/>
  <c r="I66" i="21"/>
  <c r="Q77" i="21"/>
  <c r="Q64" i="21"/>
  <c r="Q62" i="21"/>
  <c r="Q65" i="21"/>
  <c r="Q74" i="21"/>
  <c r="Q51" i="21"/>
  <c r="Q53" i="21"/>
  <c r="Q50" i="21"/>
  <c r="Q75" i="21"/>
  <c r="Q63" i="21"/>
  <c r="Q76" i="21"/>
  <c r="Q52" i="21"/>
  <c r="W494" i="21"/>
  <c r="W482" i="21"/>
  <c r="W506" i="21"/>
  <c r="M496" i="21"/>
  <c r="M484" i="21"/>
  <c r="M508" i="21"/>
  <c r="CP12" i="33" s="1"/>
  <c r="AB508" i="21"/>
  <c r="AB484" i="21"/>
  <c r="AB496" i="21"/>
  <c r="C403" i="21"/>
  <c r="C391" i="21"/>
  <c r="C379" i="21"/>
  <c r="B404" i="21"/>
  <c r="AI13" i="33" s="1"/>
  <c r="B392" i="21"/>
  <c r="B380" i="21"/>
  <c r="X506" i="21"/>
  <c r="X482" i="21"/>
  <c r="X494" i="21"/>
  <c r="F507" i="21"/>
  <c r="F495" i="21"/>
  <c r="F483" i="21"/>
  <c r="C506" i="21"/>
  <c r="C482" i="21"/>
  <c r="C494" i="21"/>
  <c r="O494" i="21"/>
  <c r="O506" i="21"/>
  <c r="O482" i="21"/>
  <c r="E496" i="21"/>
  <c r="E508" i="21"/>
  <c r="E484" i="21"/>
  <c r="B496" i="21"/>
  <c r="B508" i="21"/>
  <c r="AM12" i="33" s="1"/>
  <c r="B484" i="21"/>
  <c r="R404" i="21"/>
  <c r="R392" i="21"/>
  <c r="R380" i="21"/>
  <c r="H380" i="21"/>
  <c r="H392" i="21"/>
  <c r="H404" i="21"/>
  <c r="Z391" i="21"/>
  <c r="Z379" i="21"/>
  <c r="Z403" i="21"/>
  <c r="W509" i="21"/>
  <c r="W485" i="21"/>
  <c r="W497" i="21"/>
  <c r="V404" i="21"/>
  <c r="V392" i="21"/>
  <c r="V380" i="21"/>
  <c r="U390" i="21"/>
  <c r="U378" i="21"/>
  <c r="U402" i="21"/>
  <c r="AA402" i="21"/>
  <c r="AA378" i="21"/>
  <c r="AA390" i="21"/>
  <c r="I281" i="21"/>
  <c r="I269" i="21"/>
  <c r="I293" i="21"/>
  <c r="M269" i="21"/>
  <c r="M293" i="21"/>
  <c r="CH11" i="33" s="1"/>
  <c r="M281" i="21"/>
  <c r="C389" i="21"/>
  <c r="C401" i="21"/>
  <c r="C377" i="21"/>
  <c r="M401" i="21"/>
  <c r="CL10" i="33" s="1"/>
  <c r="M389" i="21"/>
  <c r="M377" i="21"/>
  <c r="D401" i="21"/>
  <c r="D377" i="21"/>
  <c r="D389" i="21"/>
  <c r="Q401" i="21"/>
  <c r="Q377" i="21"/>
  <c r="Q389" i="21"/>
  <c r="K290" i="21"/>
  <c r="K266" i="21"/>
  <c r="K277" i="21"/>
  <c r="K265" i="21"/>
  <c r="K288" i="21"/>
  <c r="K264" i="21"/>
  <c r="K267" i="21"/>
  <c r="K291" i="21"/>
  <c r="K289" i="21"/>
  <c r="K279" i="21"/>
  <c r="K278" i="21"/>
  <c r="K276" i="21"/>
  <c r="P390" i="21"/>
  <c r="L283" i="21"/>
  <c r="L295" i="21"/>
  <c r="L271" i="21"/>
  <c r="E288" i="21"/>
  <c r="E264" i="21"/>
  <c r="E291" i="21"/>
  <c r="E267" i="21"/>
  <c r="E290" i="21"/>
  <c r="E266" i="21"/>
  <c r="E265" i="21"/>
  <c r="E278" i="21"/>
  <c r="E279" i="21"/>
  <c r="E277" i="21"/>
  <c r="E276" i="21"/>
  <c r="E289" i="21"/>
  <c r="W278" i="21"/>
  <c r="W289" i="21"/>
  <c r="W265" i="21"/>
  <c r="W279" i="21"/>
  <c r="W276" i="21"/>
  <c r="W266" i="21"/>
  <c r="W290" i="21"/>
  <c r="W267" i="21"/>
  <c r="W288" i="21"/>
  <c r="W264" i="21"/>
  <c r="W291" i="21"/>
  <c r="W277" i="21"/>
  <c r="Q185" i="21"/>
  <c r="Q173" i="21"/>
  <c r="Q161" i="21"/>
  <c r="V294" i="21"/>
  <c r="V270" i="21"/>
  <c r="V282" i="21"/>
  <c r="S400" i="21"/>
  <c r="S397" i="21"/>
  <c r="S373" i="21"/>
  <c r="S376" i="21"/>
  <c r="S388" i="21"/>
  <c r="S387" i="21"/>
  <c r="S374" i="21"/>
  <c r="S375" i="21"/>
  <c r="S399" i="21"/>
  <c r="S398" i="21"/>
  <c r="S385" i="21"/>
  <c r="S386" i="21"/>
  <c r="AB398" i="21"/>
  <c r="AB399" i="21"/>
  <c r="AB376" i="21"/>
  <c r="AB387" i="21"/>
  <c r="AB375" i="21"/>
  <c r="AB385" i="21"/>
  <c r="AB374" i="21"/>
  <c r="AB373" i="21"/>
  <c r="AB386" i="21"/>
  <c r="AB400" i="21"/>
  <c r="AB397" i="21"/>
  <c r="AB388" i="21"/>
  <c r="V374" i="21"/>
  <c r="V385" i="21"/>
  <c r="V397" i="21"/>
  <c r="V373" i="21"/>
  <c r="V387" i="21"/>
  <c r="V376" i="21"/>
  <c r="V398" i="21"/>
  <c r="V400" i="21"/>
  <c r="V375" i="21"/>
  <c r="V399" i="21"/>
  <c r="V388" i="21"/>
  <c r="V386" i="21"/>
  <c r="O281" i="21"/>
  <c r="O293" i="21"/>
  <c r="O269" i="21"/>
  <c r="L280" i="21"/>
  <c r="L292" i="21"/>
  <c r="L268" i="21"/>
  <c r="R183" i="21"/>
  <c r="R159" i="21"/>
  <c r="R170" i="21"/>
  <c r="R157" i="21"/>
  <c r="R182" i="21"/>
  <c r="R181" i="21"/>
  <c r="R180" i="21"/>
  <c r="R171" i="21"/>
  <c r="R169" i="21"/>
  <c r="R158" i="21"/>
  <c r="R168" i="21"/>
  <c r="R156" i="21"/>
  <c r="K173" i="21"/>
  <c r="K161" i="21"/>
  <c r="K185" i="21"/>
  <c r="H185" i="21"/>
  <c r="H161" i="21"/>
  <c r="H173" i="21"/>
  <c r="S170" i="21"/>
  <c r="S181" i="21"/>
  <c r="S157" i="21"/>
  <c r="S180" i="21"/>
  <c r="S182" i="21"/>
  <c r="S183" i="21"/>
  <c r="S171" i="21"/>
  <c r="S169" i="21"/>
  <c r="S168" i="21"/>
  <c r="S159" i="21"/>
  <c r="S158" i="21"/>
  <c r="S156" i="21"/>
  <c r="P260" i="21"/>
  <c r="AA186" i="21"/>
  <c r="AA162" i="21"/>
  <c r="AA174" i="21"/>
  <c r="C172" i="21"/>
  <c r="C184" i="21"/>
  <c r="C160" i="21"/>
  <c r="L175" i="21"/>
  <c r="L187" i="21"/>
  <c r="L163" i="21"/>
  <c r="O280" i="21"/>
  <c r="O268" i="21"/>
  <c r="O292" i="21"/>
  <c r="M277" i="21"/>
  <c r="Y78" i="21"/>
  <c r="Y54" i="21"/>
  <c r="Y66" i="21"/>
  <c r="F79" i="21"/>
  <c r="F55" i="21"/>
  <c r="F67" i="21"/>
  <c r="AA78" i="21"/>
  <c r="AA54" i="21"/>
  <c r="AA66" i="21"/>
  <c r="J78" i="21"/>
  <c r="J66" i="21"/>
  <c r="J54" i="21"/>
  <c r="E65" i="21"/>
  <c r="E76" i="21"/>
  <c r="E52" i="21"/>
  <c r="E74" i="21"/>
  <c r="E50" i="21"/>
  <c r="E77" i="21"/>
  <c r="E64" i="21"/>
  <c r="E63" i="21"/>
  <c r="E53" i="21"/>
  <c r="E62" i="21"/>
  <c r="E75" i="21"/>
  <c r="E51" i="21"/>
  <c r="Q78" i="21"/>
  <c r="Q54" i="21"/>
  <c r="Q66" i="21"/>
  <c r="N69" i="21"/>
  <c r="N81" i="21"/>
  <c r="N57" i="21"/>
  <c r="AC67" i="21"/>
  <c r="AC55" i="21"/>
  <c r="AC79" i="21"/>
  <c r="EC11" i="33" s="1"/>
  <c r="C75" i="21"/>
  <c r="C62" i="21"/>
  <c r="C76" i="21"/>
  <c r="C52" i="21"/>
  <c r="C50" i="21"/>
  <c r="C51" i="21"/>
  <c r="C64" i="21"/>
  <c r="C65" i="21"/>
  <c r="C53" i="21"/>
  <c r="C77" i="21"/>
  <c r="C63" i="21"/>
  <c r="C74" i="21"/>
  <c r="AA69" i="21"/>
  <c r="AA57" i="21"/>
  <c r="AA81" i="21"/>
  <c r="N68" i="21"/>
  <c r="N80" i="21"/>
  <c r="N56" i="21"/>
  <c r="V76" i="21"/>
  <c r="V63" i="21"/>
  <c r="V77" i="21"/>
  <c r="V53" i="21"/>
  <c r="V64" i="21"/>
  <c r="V75" i="21"/>
  <c r="V74" i="21"/>
  <c r="V62" i="21"/>
  <c r="V65" i="21"/>
  <c r="V50" i="21"/>
  <c r="V52" i="21"/>
  <c r="V51" i="21"/>
  <c r="S75" i="21"/>
  <c r="S62" i="21"/>
  <c r="S76" i="21"/>
  <c r="S52" i="21"/>
  <c r="S63" i="21"/>
  <c r="S53" i="21"/>
  <c r="S77" i="21"/>
  <c r="S74" i="21"/>
  <c r="S64" i="21"/>
  <c r="S65" i="21"/>
  <c r="S51" i="21"/>
  <c r="S50" i="21"/>
  <c r="K507" i="21"/>
  <c r="K495" i="21"/>
  <c r="K483" i="21"/>
  <c r="G496" i="21"/>
  <c r="G484" i="21"/>
  <c r="G508" i="21"/>
  <c r="T494" i="21"/>
  <c r="T482" i="21"/>
  <c r="T506" i="21"/>
  <c r="J495" i="21"/>
  <c r="J483" i="21"/>
  <c r="J507" i="21"/>
  <c r="N506" i="21"/>
  <c r="N482" i="21"/>
  <c r="N494" i="21"/>
  <c r="K506" i="21"/>
  <c r="K482" i="21"/>
  <c r="K494" i="21"/>
  <c r="AB482" i="21"/>
  <c r="AB494" i="21"/>
  <c r="AB506" i="21"/>
  <c r="V506" i="21"/>
  <c r="V494" i="21"/>
  <c r="V482" i="21"/>
  <c r="Z496" i="21"/>
  <c r="Z484" i="21"/>
  <c r="Z508" i="21"/>
  <c r="P496" i="21"/>
  <c r="P484" i="21"/>
  <c r="P508" i="21"/>
  <c r="K484" i="21"/>
  <c r="K508" i="21"/>
  <c r="K496" i="21"/>
  <c r="H496" i="21"/>
  <c r="H484" i="21"/>
  <c r="H508" i="21"/>
  <c r="Z404" i="21"/>
  <c r="Z392" i="21"/>
  <c r="Z380" i="21"/>
  <c r="F391" i="21"/>
  <c r="F379" i="21"/>
  <c r="F403" i="21"/>
  <c r="I491" i="21"/>
  <c r="I492" i="21"/>
  <c r="I503" i="21"/>
  <c r="I493" i="21"/>
  <c r="I481" i="21"/>
  <c r="I479" i="21"/>
  <c r="I502" i="21"/>
  <c r="I490" i="21"/>
  <c r="I478" i="21"/>
  <c r="I504" i="21"/>
  <c r="I505" i="21"/>
  <c r="I480" i="21"/>
  <c r="R281" i="21"/>
  <c r="R269" i="21"/>
  <c r="R293" i="21"/>
  <c r="Q260" i="21"/>
  <c r="I391" i="21"/>
  <c r="I379" i="21"/>
  <c r="I403" i="21"/>
  <c r="K403" i="21"/>
  <c r="K379" i="21"/>
  <c r="K391" i="21"/>
  <c r="U283" i="21"/>
  <c r="U295" i="21"/>
  <c r="U271" i="21"/>
  <c r="U269" i="21"/>
  <c r="U281" i="21"/>
  <c r="U293" i="21"/>
  <c r="S389" i="21"/>
  <c r="S377" i="21"/>
  <c r="S401" i="21"/>
  <c r="AC401" i="21"/>
  <c r="EO10" i="33" s="1"/>
  <c r="AC377" i="21"/>
  <c r="AC389" i="21"/>
  <c r="L401" i="21"/>
  <c r="L389" i="21"/>
  <c r="L377" i="21"/>
  <c r="Y389" i="21"/>
  <c r="Y377" i="21"/>
  <c r="Y401" i="21"/>
  <c r="Q295" i="21"/>
  <c r="Q271" i="21"/>
  <c r="Q283" i="21"/>
  <c r="T295" i="21"/>
  <c r="T271" i="21"/>
  <c r="T283" i="21"/>
  <c r="M402" i="21"/>
  <c r="CL11" i="33" s="1"/>
  <c r="Q276" i="21"/>
  <c r="Q279" i="21"/>
  <c r="Q277" i="21"/>
  <c r="Q267" i="21"/>
  <c r="Q264" i="21"/>
  <c r="Q266" i="21"/>
  <c r="Q290" i="21"/>
  <c r="Q288" i="21"/>
  <c r="Q289" i="21"/>
  <c r="Q278" i="21"/>
  <c r="Q291" i="21"/>
  <c r="Q265" i="21"/>
  <c r="H289" i="21"/>
  <c r="H265" i="21"/>
  <c r="H276" i="21"/>
  <c r="H264" i="21"/>
  <c r="H291" i="21"/>
  <c r="H277" i="21"/>
  <c r="H266" i="21"/>
  <c r="H267" i="21"/>
  <c r="H290" i="21"/>
  <c r="H279" i="21"/>
  <c r="H278" i="21"/>
  <c r="H288" i="21"/>
  <c r="Y161" i="21"/>
  <c r="Y185" i="21"/>
  <c r="Y173" i="21"/>
  <c r="F294" i="21"/>
  <c r="F270" i="21"/>
  <c r="F282" i="21"/>
  <c r="Y398" i="21"/>
  <c r="Y375" i="21"/>
  <c r="Y386" i="21"/>
  <c r="Y374" i="21"/>
  <c r="Y397" i="21"/>
  <c r="Y399" i="21"/>
  <c r="Y388" i="21"/>
  <c r="Y385" i="21"/>
  <c r="Y376" i="21"/>
  <c r="Y373" i="21"/>
  <c r="Y400" i="21"/>
  <c r="Y387" i="21"/>
  <c r="AB280" i="21"/>
  <c r="AB292" i="21"/>
  <c r="AB268" i="21"/>
  <c r="D293" i="21"/>
  <c r="D269" i="21"/>
  <c r="D281" i="21"/>
  <c r="I292" i="21"/>
  <c r="I268" i="21"/>
  <c r="I280" i="21"/>
  <c r="S268" i="21"/>
  <c r="S280" i="21"/>
  <c r="S292" i="21"/>
  <c r="H172" i="21"/>
  <c r="H160" i="21"/>
  <c r="H184" i="21"/>
  <c r="M168" i="21"/>
  <c r="M171" i="21"/>
  <c r="M182" i="21"/>
  <c r="CD8" i="33" s="1"/>
  <c r="M180" i="21"/>
  <c r="CD6" i="33" s="1"/>
  <c r="M170" i="21"/>
  <c r="M159" i="21"/>
  <c r="M158" i="21"/>
  <c r="M157" i="21"/>
  <c r="M156" i="21"/>
  <c r="M181" i="21"/>
  <c r="CD7" i="33" s="1"/>
  <c r="M169" i="21"/>
  <c r="M183" i="21"/>
  <c r="CD9" i="33" s="1"/>
  <c r="AA170" i="21"/>
  <c r="AA181" i="21"/>
  <c r="AA157" i="21"/>
  <c r="AA156" i="21"/>
  <c r="AA168" i="21"/>
  <c r="AA158" i="21"/>
  <c r="AA159" i="21"/>
  <c r="AA180" i="21"/>
  <c r="AA169" i="21"/>
  <c r="AA182" i="21"/>
  <c r="AA171" i="21"/>
  <c r="AA183" i="21"/>
  <c r="AA260" i="21"/>
  <c r="B186" i="21"/>
  <c r="AA12" i="33" s="1"/>
  <c r="B162" i="21"/>
  <c r="B174" i="21"/>
  <c r="H174" i="21"/>
  <c r="H162" i="21"/>
  <c r="H186" i="21"/>
  <c r="T174" i="21"/>
  <c r="T162" i="21"/>
  <c r="T186" i="21"/>
  <c r="M184" i="21"/>
  <c r="CD10" i="33" s="1"/>
  <c r="M160" i="21"/>
  <c r="M172" i="21"/>
  <c r="F184" i="21"/>
  <c r="F172" i="21"/>
  <c r="F160" i="21"/>
  <c r="P163" i="21"/>
  <c r="P175" i="21"/>
  <c r="P187" i="21"/>
  <c r="O185" i="21"/>
  <c r="O161" i="21"/>
  <c r="O173" i="21"/>
  <c r="O66" i="21"/>
  <c r="O54" i="21"/>
  <c r="O78" i="21"/>
  <c r="I80" i="21"/>
  <c r="I56" i="21"/>
  <c r="I68" i="21"/>
  <c r="N79" i="21"/>
  <c r="N55" i="21"/>
  <c r="N67" i="21"/>
  <c r="AC187" i="21"/>
  <c r="EG13" i="33" s="1"/>
  <c r="AC163" i="21"/>
  <c r="AC175" i="21"/>
  <c r="B66" i="21"/>
  <c r="B78" i="21"/>
  <c r="W10" i="33" s="1"/>
  <c r="B54" i="21"/>
  <c r="G66" i="21"/>
  <c r="G78" i="21"/>
  <c r="G54" i="21"/>
  <c r="K69" i="21"/>
  <c r="K81" i="21"/>
  <c r="K57" i="21"/>
  <c r="V69" i="21"/>
  <c r="V81" i="21"/>
  <c r="V57" i="21"/>
  <c r="I55" i="21"/>
  <c r="I67" i="21"/>
  <c r="I79" i="21"/>
  <c r="G57" i="21"/>
  <c r="G81" i="21"/>
  <c r="G69" i="21"/>
  <c r="Z45" i="21"/>
  <c r="Z67" i="21"/>
  <c r="Z55" i="21"/>
  <c r="Z79" i="21"/>
  <c r="J80" i="21"/>
  <c r="J56" i="21"/>
  <c r="J68" i="21"/>
  <c r="F76" i="21"/>
  <c r="F63" i="21"/>
  <c r="F77" i="21"/>
  <c r="F53" i="21"/>
  <c r="F64" i="21"/>
  <c r="F51" i="21"/>
  <c r="F52" i="21"/>
  <c r="F65" i="21"/>
  <c r="F62" i="21"/>
  <c r="F75" i="21"/>
  <c r="F50" i="21"/>
  <c r="F74" i="21"/>
  <c r="V78" i="21"/>
  <c r="V54" i="21"/>
  <c r="V66" i="21"/>
  <c r="H506" i="21"/>
  <c r="H482" i="21"/>
  <c r="H494" i="21"/>
  <c r="AC506" i="21"/>
  <c r="ES10" i="33" s="1"/>
  <c r="AC494" i="21"/>
  <c r="AC482" i="21"/>
  <c r="L494" i="21"/>
  <c r="L482" i="21"/>
  <c r="L506" i="21"/>
  <c r="N508" i="21"/>
  <c r="N484" i="21"/>
  <c r="N496" i="21"/>
  <c r="W404" i="21"/>
  <c r="W380" i="21"/>
  <c r="W392" i="21"/>
  <c r="AC392" i="21"/>
  <c r="AC380" i="21"/>
  <c r="AC404" i="21"/>
  <c r="EO13" i="33" s="1"/>
  <c r="M379" i="21"/>
  <c r="M403" i="21"/>
  <c r="CL12" i="33" s="1"/>
  <c r="M391" i="21"/>
  <c r="N403" i="21"/>
  <c r="N379" i="21"/>
  <c r="N391" i="21"/>
  <c r="B485" i="21"/>
  <c r="B509" i="21"/>
  <c r="AM13" i="33" s="1"/>
  <c r="B497" i="21"/>
  <c r="R497" i="21"/>
  <c r="R485" i="21"/>
  <c r="R509" i="21"/>
  <c r="S497" i="21"/>
  <c r="S485" i="21"/>
  <c r="S509" i="21"/>
  <c r="Q509" i="21"/>
  <c r="Q485" i="21"/>
  <c r="Q497" i="21"/>
  <c r="B495" i="21"/>
  <c r="B507" i="21"/>
  <c r="AM11" i="33" s="1"/>
  <c r="B483" i="21"/>
  <c r="E503" i="21"/>
  <c r="E504" i="21"/>
  <c r="E505" i="21"/>
  <c r="E479" i="21"/>
  <c r="E490" i="21"/>
  <c r="E492" i="21"/>
  <c r="E480" i="21"/>
  <c r="E502" i="21"/>
  <c r="E493" i="21"/>
  <c r="E481" i="21"/>
  <c r="E478" i="21"/>
  <c r="E491" i="21"/>
  <c r="V490" i="21"/>
  <c r="V491" i="21"/>
  <c r="V480" i="21"/>
  <c r="V502" i="21"/>
  <c r="V492" i="21"/>
  <c r="V478" i="21"/>
  <c r="V505" i="21"/>
  <c r="V479" i="21"/>
  <c r="V493" i="21"/>
  <c r="V481" i="21"/>
  <c r="V503" i="21"/>
  <c r="V504" i="21"/>
  <c r="Y402" i="21"/>
  <c r="Y378" i="21"/>
  <c r="Y390" i="21"/>
  <c r="J269" i="21"/>
  <c r="J293" i="21"/>
  <c r="J281" i="21"/>
  <c r="X402" i="21"/>
  <c r="X390" i="21"/>
  <c r="X378" i="21"/>
  <c r="G402" i="21"/>
  <c r="G378" i="21"/>
  <c r="G390" i="21"/>
  <c r="Y391" i="21"/>
  <c r="Y379" i="21"/>
  <c r="Y403" i="21"/>
  <c r="S403" i="21"/>
  <c r="S391" i="21"/>
  <c r="S379" i="21"/>
  <c r="D392" i="21"/>
  <c r="D404" i="21"/>
  <c r="D380" i="21"/>
  <c r="D403" i="21"/>
  <c r="D379" i="21"/>
  <c r="D391" i="21"/>
  <c r="AC281" i="21"/>
  <c r="AC293" i="21"/>
  <c r="EK11" i="33" s="1"/>
  <c r="AC269" i="21"/>
  <c r="E401" i="21"/>
  <c r="E377" i="21"/>
  <c r="E389" i="21"/>
  <c r="N401" i="21"/>
  <c r="N377" i="21"/>
  <c r="N389" i="21"/>
  <c r="T401" i="21"/>
  <c r="T377" i="21"/>
  <c r="T389" i="21"/>
  <c r="AC283" i="21"/>
  <c r="AC271" i="21"/>
  <c r="AC295" i="21"/>
  <c r="EK13" i="33" s="1"/>
  <c r="AB271" i="21"/>
  <c r="AB295" i="21"/>
  <c r="AB283" i="21"/>
  <c r="P289" i="21"/>
  <c r="P265" i="21"/>
  <c r="P276" i="21"/>
  <c r="P290" i="21"/>
  <c r="P277" i="21"/>
  <c r="P267" i="21"/>
  <c r="P291" i="21"/>
  <c r="P288" i="21"/>
  <c r="P279" i="21"/>
  <c r="P278" i="21"/>
  <c r="P266" i="21"/>
  <c r="P264" i="21"/>
  <c r="K282" i="21"/>
  <c r="K294" i="21"/>
  <c r="K270" i="21"/>
  <c r="B185" i="21"/>
  <c r="AA11" i="33" s="1"/>
  <c r="B173" i="21"/>
  <c r="B161" i="21"/>
  <c r="AA282" i="21"/>
  <c r="AA294" i="21"/>
  <c r="AA270" i="21"/>
  <c r="D270" i="21"/>
  <c r="D282" i="21"/>
  <c r="D294" i="21"/>
  <c r="Y270" i="21"/>
  <c r="Y282" i="21"/>
  <c r="Y294" i="21"/>
  <c r="T398" i="21"/>
  <c r="T376" i="21"/>
  <c r="T400" i="21"/>
  <c r="T387" i="21"/>
  <c r="T375" i="21"/>
  <c r="T373" i="21"/>
  <c r="T374" i="21"/>
  <c r="T397" i="21"/>
  <c r="T399" i="21"/>
  <c r="T388" i="21"/>
  <c r="T385" i="21"/>
  <c r="T386" i="21"/>
  <c r="L398" i="21"/>
  <c r="L376" i="21"/>
  <c r="L387" i="21"/>
  <c r="L375" i="21"/>
  <c r="L399" i="21"/>
  <c r="L397" i="21"/>
  <c r="L386" i="21"/>
  <c r="L373" i="21"/>
  <c r="L374" i="21"/>
  <c r="L400" i="21"/>
  <c r="L388" i="21"/>
  <c r="L385" i="21"/>
  <c r="E387" i="21"/>
  <c r="E399" i="21"/>
  <c r="E398" i="21"/>
  <c r="E374" i="21"/>
  <c r="E386" i="21"/>
  <c r="E388" i="21"/>
  <c r="E373" i="21"/>
  <c r="E397" i="21"/>
  <c r="E375" i="21"/>
  <c r="E385" i="21"/>
  <c r="E376" i="21"/>
  <c r="E400" i="21"/>
  <c r="Y276" i="21"/>
  <c r="Y279" i="21"/>
  <c r="Y289" i="21"/>
  <c r="Y290" i="21"/>
  <c r="Y288" i="21"/>
  <c r="Y266" i="21"/>
  <c r="Y264" i="21"/>
  <c r="Y265" i="21"/>
  <c r="Y278" i="21"/>
  <c r="Y277" i="21"/>
  <c r="Y267" i="21"/>
  <c r="Y291" i="21"/>
  <c r="T293" i="21"/>
  <c r="T269" i="21"/>
  <c r="T281" i="21"/>
  <c r="N292" i="21"/>
  <c r="N280" i="21"/>
  <c r="N268" i="21"/>
  <c r="U280" i="21"/>
  <c r="U292" i="21"/>
  <c r="U268" i="21"/>
  <c r="AA280" i="21"/>
  <c r="AA292" i="21"/>
  <c r="AA268" i="21"/>
  <c r="P169" i="21"/>
  <c r="P180" i="21"/>
  <c r="P156" i="21"/>
  <c r="P183" i="21"/>
  <c r="P181" i="21"/>
  <c r="P171" i="21"/>
  <c r="P182" i="21"/>
  <c r="P168" i="21"/>
  <c r="P157" i="21"/>
  <c r="P170" i="21"/>
  <c r="P158" i="21"/>
  <c r="P159" i="21"/>
  <c r="G182" i="21"/>
  <c r="G158" i="21"/>
  <c r="G169" i="21"/>
  <c r="G180" i="21"/>
  <c r="G170" i="21"/>
  <c r="G168" i="21"/>
  <c r="G181" i="21"/>
  <c r="G171" i="21"/>
  <c r="G159" i="21"/>
  <c r="G183" i="21"/>
  <c r="G156" i="21"/>
  <c r="G157" i="21"/>
  <c r="W182" i="21"/>
  <c r="W158" i="21"/>
  <c r="W169" i="21"/>
  <c r="W168" i="21"/>
  <c r="W180" i="21"/>
  <c r="W170" i="21"/>
  <c r="W171" i="21"/>
  <c r="W159" i="21"/>
  <c r="W157" i="21"/>
  <c r="W156" i="21"/>
  <c r="W181" i="21"/>
  <c r="W183" i="21"/>
  <c r="D181" i="21"/>
  <c r="D157" i="21"/>
  <c r="D168" i="21"/>
  <c r="D169" i="21"/>
  <c r="D159" i="21"/>
  <c r="D171" i="21"/>
  <c r="D183" i="21"/>
  <c r="D182" i="21"/>
  <c r="D180" i="21"/>
  <c r="D158" i="21"/>
  <c r="D156" i="21"/>
  <c r="D170" i="21"/>
  <c r="P292" i="21"/>
  <c r="P268" i="21"/>
  <c r="P280" i="21"/>
  <c r="C173" i="21"/>
  <c r="C185" i="21"/>
  <c r="C161" i="21"/>
  <c r="R186" i="21"/>
  <c r="R162" i="21"/>
  <c r="R174" i="21"/>
  <c r="AB186" i="21"/>
  <c r="AB162" i="21"/>
  <c r="AB174" i="21"/>
  <c r="Y172" i="21"/>
  <c r="Y184" i="21"/>
  <c r="Y160" i="21"/>
  <c r="N160" i="21"/>
  <c r="N184" i="21"/>
  <c r="N172" i="21"/>
  <c r="AB187" i="21"/>
  <c r="AB175" i="21"/>
  <c r="AB163" i="21"/>
  <c r="C187" i="21"/>
  <c r="C175" i="21"/>
  <c r="C163" i="21"/>
  <c r="X187" i="21"/>
  <c r="X163" i="21"/>
  <c r="X175" i="21"/>
  <c r="AA173" i="21"/>
  <c r="AA161" i="21"/>
  <c r="AA185" i="21"/>
  <c r="E66" i="21"/>
  <c r="E78" i="21"/>
  <c r="E54" i="21"/>
  <c r="Q80" i="21"/>
  <c r="Q56" i="21"/>
  <c r="Q68" i="21"/>
  <c r="V79" i="21"/>
  <c r="V55" i="21"/>
  <c r="V67" i="21"/>
  <c r="U66" i="21"/>
  <c r="U78" i="21"/>
  <c r="U54" i="21"/>
  <c r="P186" i="21"/>
  <c r="P162" i="21"/>
  <c r="P174" i="21"/>
  <c r="Z186" i="21"/>
  <c r="Z162" i="21"/>
  <c r="Z174" i="21"/>
  <c r="W63" i="21"/>
  <c r="W74" i="21"/>
  <c r="W50" i="21"/>
  <c r="W64" i="21"/>
  <c r="W75" i="21"/>
  <c r="W76" i="21"/>
  <c r="W53" i="21"/>
  <c r="W51" i="21"/>
  <c r="W65" i="21"/>
  <c r="W52" i="21"/>
  <c r="W77" i="21"/>
  <c r="W62" i="21"/>
  <c r="T173" i="21"/>
  <c r="T161" i="21"/>
  <c r="T185" i="21"/>
  <c r="AB62" i="21"/>
  <c r="AB65" i="21"/>
  <c r="AB63" i="21"/>
  <c r="AB74" i="21"/>
  <c r="AB75" i="21"/>
  <c r="AB77" i="21"/>
  <c r="AB64" i="21"/>
  <c r="AB51" i="21"/>
  <c r="AB76" i="21"/>
  <c r="AB50" i="21"/>
  <c r="AB52" i="21"/>
  <c r="AB53" i="21"/>
  <c r="E81" i="21"/>
  <c r="E57" i="21"/>
  <c r="E69" i="21"/>
  <c r="W57" i="21"/>
  <c r="W69" i="21"/>
  <c r="W81" i="21"/>
  <c r="T78" i="21"/>
  <c r="T54" i="21"/>
  <c r="T66" i="21"/>
  <c r="X483" i="21"/>
  <c r="X507" i="21"/>
  <c r="X495" i="21"/>
  <c r="Y507" i="21"/>
  <c r="Y483" i="21"/>
  <c r="Y495" i="21"/>
  <c r="AA506" i="21"/>
  <c r="AA494" i="21"/>
  <c r="AA482" i="21"/>
  <c r="E506" i="21"/>
  <c r="E494" i="21"/>
  <c r="E482" i="21"/>
  <c r="K404" i="21"/>
  <c r="K392" i="21"/>
  <c r="K380" i="21"/>
  <c r="I380" i="21"/>
  <c r="I392" i="21"/>
  <c r="I404" i="21"/>
  <c r="V403" i="21"/>
  <c r="V391" i="21"/>
  <c r="V379" i="21"/>
  <c r="Q491" i="21"/>
  <c r="Q492" i="21"/>
  <c r="Q502" i="21"/>
  <c r="Q503" i="21"/>
  <c r="Q493" i="21"/>
  <c r="Q481" i="21"/>
  <c r="Q479" i="21"/>
  <c r="Q504" i="21"/>
  <c r="Q480" i="21"/>
  <c r="Q505" i="21"/>
  <c r="Q478" i="21"/>
  <c r="Q490" i="21"/>
  <c r="H504" i="21"/>
  <c r="H505" i="21"/>
  <c r="H480" i="21"/>
  <c r="H490" i="21"/>
  <c r="H478" i="21"/>
  <c r="H491" i="21"/>
  <c r="H502" i="21"/>
  <c r="H479" i="21"/>
  <c r="H493" i="21"/>
  <c r="H503" i="21"/>
  <c r="H481" i="21"/>
  <c r="H492" i="21"/>
  <c r="B369" i="21"/>
  <c r="N390" i="21"/>
  <c r="N402" i="21"/>
  <c r="N378" i="21"/>
  <c r="O495" i="21"/>
  <c r="O507" i="21"/>
  <c r="O483" i="21"/>
  <c r="I402" i="21"/>
  <c r="I378" i="21"/>
  <c r="I390" i="21"/>
  <c r="T402" i="21"/>
  <c r="T378" i="21"/>
  <c r="T390" i="21"/>
  <c r="E379" i="21"/>
  <c r="E403" i="21"/>
  <c r="E391" i="21"/>
  <c r="F281" i="21"/>
  <c r="F269" i="21"/>
  <c r="F293" i="21"/>
  <c r="AB389" i="21"/>
  <c r="AB377" i="21"/>
  <c r="AB401" i="21"/>
  <c r="V283" i="21"/>
  <c r="V295" i="21"/>
  <c r="V271" i="21"/>
  <c r="C283" i="21"/>
  <c r="C271" i="21"/>
  <c r="C295" i="21"/>
  <c r="F291" i="21"/>
  <c r="F267" i="21"/>
  <c r="F278" i="21"/>
  <c r="F290" i="21"/>
  <c r="F277" i="21"/>
  <c r="F264" i="21"/>
  <c r="F279" i="21"/>
  <c r="F276" i="21"/>
  <c r="F266" i="21"/>
  <c r="F265" i="21"/>
  <c r="F289" i="21"/>
  <c r="F288" i="21"/>
  <c r="X289" i="21"/>
  <c r="X265" i="21"/>
  <c r="X276" i="21"/>
  <c r="X266" i="21"/>
  <c r="X291" i="21"/>
  <c r="X267" i="21"/>
  <c r="X264" i="21"/>
  <c r="X279" i="21"/>
  <c r="X278" i="21"/>
  <c r="X277" i="21"/>
  <c r="X290" i="21"/>
  <c r="X288" i="21"/>
  <c r="J161" i="21"/>
  <c r="J173" i="21"/>
  <c r="J185" i="21"/>
  <c r="R271" i="21"/>
  <c r="J283" i="21"/>
  <c r="G294" i="21"/>
  <c r="G270" i="21"/>
  <c r="G282" i="21"/>
  <c r="Z281" i="21"/>
  <c r="Z293" i="21"/>
  <c r="Z269" i="21"/>
  <c r="G399" i="21"/>
  <c r="G385" i="21"/>
  <c r="G388" i="21"/>
  <c r="G376" i="21"/>
  <c r="G373" i="21"/>
  <c r="G398" i="21"/>
  <c r="G387" i="21"/>
  <c r="G397" i="21"/>
  <c r="G375" i="21"/>
  <c r="G386" i="21"/>
  <c r="G400" i="21"/>
  <c r="G374" i="21"/>
  <c r="M280" i="21"/>
  <c r="M292" i="21"/>
  <c r="CH10" i="33" s="1"/>
  <c r="M268" i="21"/>
  <c r="B292" i="21"/>
  <c r="AE10" i="33" s="1"/>
  <c r="B280" i="21"/>
  <c r="B268" i="21"/>
  <c r="S175" i="21"/>
  <c r="S163" i="21"/>
  <c r="S187" i="21"/>
  <c r="Q180" i="21"/>
  <c r="Q156" i="21"/>
  <c r="Q183" i="21"/>
  <c r="Q159" i="21"/>
  <c r="Q170" i="21"/>
  <c r="Q168" i="21"/>
  <c r="Q158" i="21"/>
  <c r="Q182" i="21"/>
  <c r="Q181" i="21"/>
  <c r="Q169" i="21"/>
  <c r="Q157" i="21"/>
  <c r="Q171" i="21"/>
  <c r="B183" i="21"/>
  <c r="AA9" i="33" s="1"/>
  <c r="B159" i="21"/>
  <c r="B170" i="21"/>
  <c r="B157" i="21"/>
  <c r="B156" i="21"/>
  <c r="B182" i="21"/>
  <c r="AA8" i="33" s="1"/>
  <c r="B181" i="21"/>
  <c r="AA7" i="33" s="1"/>
  <c r="B180" i="21"/>
  <c r="AA6" i="33" s="1"/>
  <c r="B169" i="21"/>
  <c r="B168" i="21"/>
  <c r="B171" i="21"/>
  <c r="B158" i="21"/>
  <c r="E260" i="21"/>
  <c r="C186" i="21"/>
  <c r="C162" i="21"/>
  <c r="C174" i="21"/>
  <c r="E186" i="21"/>
  <c r="E174" i="21"/>
  <c r="E162" i="21"/>
  <c r="J172" i="21"/>
  <c r="J160" i="21"/>
  <c r="J184" i="21"/>
  <c r="X292" i="21"/>
  <c r="X268" i="21"/>
  <c r="X280" i="21"/>
  <c r="Y180" i="21"/>
  <c r="Y156" i="21"/>
  <c r="Y183" i="21"/>
  <c r="Y159" i="21"/>
  <c r="Y182" i="21"/>
  <c r="Y169" i="21"/>
  <c r="Y168" i="21"/>
  <c r="Y158" i="21"/>
  <c r="Y157" i="21"/>
  <c r="Y181" i="21"/>
  <c r="Y170" i="21"/>
  <c r="Y171" i="21"/>
  <c r="AC46" i="21"/>
  <c r="T80" i="21"/>
  <c r="T68" i="21"/>
  <c r="T56" i="21"/>
  <c r="R64" i="21"/>
  <c r="R75" i="21"/>
  <c r="R51" i="21"/>
  <c r="R65" i="21"/>
  <c r="R76" i="21"/>
  <c r="R77" i="21"/>
  <c r="R63" i="21"/>
  <c r="R74" i="21"/>
  <c r="R62" i="21"/>
  <c r="R50" i="21"/>
  <c r="R53" i="21"/>
  <c r="R52" i="21"/>
  <c r="Y80" i="21"/>
  <c r="Y56" i="21"/>
  <c r="Y68" i="21"/>
  <c r="AC66" i="21"/>
  <c r="AC78" i="21"/>
  <c r="EC10" i="33" s="1"/>
  <c r="AC54" i="21"/>
  <c r="O63" i="21"/>
  <c r="O74" i="21"/>
  <c r="O50" i="21"/>
  <c r="O64" i="21"/>
  <c r="O75" i="21"/>
  <c r="O76" i="21"/>
  <c r="O65" i="21"/>
  <c r="O77" i="21"/>
  <c r="O53" i="21"/>
  <c r="O51" i="21"/>
  <c r="O62" i="21"/>
  <c r="O52" i="21"/>
  <c r="R66" i="21"/>
  <c r="R54" i="21"/>
  <c r="R78" i="21"/>
  <c r="V68" i="21"/>
  <c r="V80" i="21"/>
  <c r="V56" i="21"/>
  <c r="T62" i="21"/>
  <c r="T65" i="21"/>
  <c r="T63" i="21"/>
  <c r="T74" i="21"/>
  <c r="T75" i="21"/>
  <c r="T52" i="21"/>
  <c r="T77" i="21"/>
  <c r="T50" i="21"/>
  <c r="T76" i="21"/>
  <c r="T51" i="21"/>
  <c r="T64" i="21"/>
  <c r="T53" i="21"/>
  <c r="P69" i="21"/>
  <c r="P81" i="21"/>
  <c r="P57" i="21"/>
  <c r="Q55" i="21"/>
  <c r="Q79" i="21"/>
  <c r="Q67" i="21"/>
  <c r="B67" i="21"/>
  <c r="B79" i="21"/>
  <c r="W11" i="33" s="1"/>
  <c r="B55" i="21"/>
  <c r="L45" i="21"/>
  <c r="P74" i="21"/>
  <c r="P77" i="21"/>
  <c r="P53" i="21"/>
  <c r="P75" i="21"/>
  <c r="P51" i="21"/>
  <c r="P76" i="21"/>
  <c r="P52" i="21"/>
  <c r="P63" i="21"/>
  <c r="P64" i="21"/>
  <c r="P62" i="21"/>
  <c r="P65" i="21"/>
  <c r="P50" i="21"/>
  <c r="D482" i="21"/>
  <c r="D506" i="21"/>
  <c r="D494" i="21"/>
  <c r="V507" i="21"/>
  <c r="V483" i="21"/>
  <c r="V495" i="21"/>
  <c r="S506" i="21"/>
  <c r="S482" i="21"/>
  <c r="S494" i="21"/>
  <c r="S483" i="21"/>
  <c r="S507" i="21"/>
  <c r="S495" i="21"/>
  <c r="AC496" i="21"/>
  <c r="AC484" i="21"/>
  <c r="AC508" i="21"/>
  <c r="ES12" i="33" s="1"/>
  <c r="G494" i="21"/>
  <c r="G506" i="21"/>
  <c r="G482" i="21"/>
  <c r="D495" i="21"/>
  <c r="D483" i="21"/>
  <c r="D507" i="21"/>
  <c r="M495" i="21"/>
  <c r="M483" i="21"/>
  <c r="M507" i="21"/>
  <c r="CP11" i="33" s="1"/>
  <c r="AB403" i="21"/>
  <c r="AB379" i="21"/>
  <c r="AB391" i="21"/>
  <c r="Q392" i="21"/>
  <c r="Q380" i="21"/>
  <c r="Q404" i="21"/>
  <c r="G403" i="21"/>
  <c r="G391" i="21"/>
  <c r="G379" i="21"/>
  <c r="K497" i="21"/>
  <c r="K485" i="21"/>
  <c r="K509" i="21"/>
  <c r="Y491" i="21"/>
  <c r="Y492" i="21"/>
  <c r="Y502" i="21"/>
  <c r="Y481" i="21"/>
  <c r="Y503" i="21"/>
  <c r="Y493" i="21"/>
  <c r="Y479" i="21"/>
  <c r="Y505" i="21"/>
  <c r="Y478" i="21"/>
  <c r="Y490" i="21"/>
  <c r="Y480" i="21"/>
  <c r="Y504" i="21"/>
  <c r="P504" i="21"/>
  <c r="P505" i="21"/>
  <c r="P492" i="21"/>
  <c r="P480" i="21"/>
  <c r="P478" i="21"/>
  <c r="P490" i="21"/>
  <c r="P481" i="21"/>
  <c r="P491" i="21"/>
  <c r="P479" i="21"/>
  <c r="P502" i="21"/>
  <c r="P503" i="21"/>
  <c r="P493" i="21"/>
  <c r="V390" i="21"/>
  <c r="V378" i="21"/>
  <c r="V402" i="21"/>
  <c r="Q369" i="21"/>
  <c r="AB402" i="21"/>
  <c r="AB378" i="21"/>
  <c r="AB390" i="21"/>
  <c r="Q391" i="21"/>
  <c r="Q403" i="21"/>
  <c r="Q379" i="21"/>
  <c r="Z378" i="21"/>
  <c r="Z402" i="21"/>
  <c r="Z390" i="21"/>
  <c r="W281" i="21"/>
  <c r="W269" i="21"/>
  <c r="W293" i="21"/>
  <c r="N293" i="21"/>
  <c r="N281" i="21"/>
  <c r="N269" i="21"/>
  <c r="F401" i="21"/>
  <c r="F377" i="21"/>
  <c r="F389" i="21"/>
  <c r="P281" i="21"/>
  <c r="P269" i="21"/>
  <c r="P293" i="21"/>
  <c r="L277" i="21"/>
  <c r="L288" i="21"/>
  <c r="L264" i="21"/>
  <c r="L289" i="21"/>
  <c r="L279" i="21"/>
  <c r="L265" i="21"/>
  <c r="L291" i="21"/>
  <c r="L266" i="21"/>
  <c r="L290" i="21"/>
  <c r="L278" i="21"/>
  <c r="L276" i="21"/>
  <c r="L267" i="21"/>
  <c r="M283" i="21"/>
  <c r="M295" i="21"/>
  <c r="CH13" i="33" s="1"/>
  <c r="M271" i="21"/>
  <c r="N283" i="21"/>
  <c r="N271" i="21"/>
  <c r="N295" i="21"/>
  <c r="R279" i="21"/>
  <c r="R290" i="21"/>
  <c r="R266" i="21"/>
  <c r="R264" i="21"/>
  <c r="R291" i="21"/>
  <c r="R267" i="21"/>
  <c r="R289" i="21"/>
  <c r="R278" i="21"/>
  <c r="R277" i="21"/>
  <c r="R288" i="21"/>
  <c r="R276" i="21"/>
  <c r="R265" i="21"/>
  <c r="R185" i="21"/>
  <c r="R173" i="21"/>
  <c r="R161" i="21"/>
  <c r="U282" i="21"/>
  <c r="U294" i="21"/>
  <c r="U270" i="21"/>
  <c r="B400" i="21"/>
  <c r="AI9" i="33" s="1"/>
  <c r="B386" i="21"/>
  <c r="B397" i="21"/>
  <c r="AI6" i="33" s="1"/>
  <c r="B373" i="21"/>
  <c r="B385" i="21"/>
  <c r="B374" i="21"/>
  <c r="B387" i="21"/>
  <c r="B399" i="21"/>
  <c r="AI8" i="33" s="1"/>
  <c r="B388" i="21"/>
  <c r="B375" i="21"/>
  <c r="B398" i="21"/>
  <c r="AI7" i="33" s="1"/>
  <c r="B376" i="21"/>
  <c r="U398" i="21"/>
  <c r="U400" i="21"/>
  <c r="U387" i="21"/>
  <c r="U374" i="21"/>
  <c r="U399" i="21"/>
  <c r="U386" i="21"/>
  <c r="U376" i="21"/>
  <c r="U397" i="21"/>
  <c r="U375" i="21"/>
  <c r="U388" i="21"/>
  <c r="U385" i="21"/>
  <c r="U373" i="21"/>
  <c r="J268" i="21"/>
  <c r="J292" i="21"/>
  <c r="J280" i="21"/>
  <c r="I175" i="21"/>
  <c r="I163" i="21"/>
  <c r="I187" i="21"/>
  <c r="AC168" i="21"/>
  <c r="AC171" i="21"/>
  <c r="AC180" i="21"/>
  <c r="EG6" i="33" s="1"/>
  <c r="AC170" i="21"/>
  <c r="AC182" i="21"/>
  <c r="EG8" i="33" s="1"/>
  <c r="AC157" i="21"/>
  <c r="AC156" i="21"/>
  <c r="AC183" i="21"/>
  <c r="EG9" i="33" s="1"/>
  <c r="AC169" i="21"/>
  <c r="AC158" i="21"/>
  <c r="AC159" i="21"/>
  <c r="AC181" i="21"/>
  <c r="EG7" i="33" s="1"/>
  <c r="N171" i="21"/>
  <c r="N182" i="21"/>
  <c r="N158" i="21"/>
  <c r="N169" i="21"/>
  <c r="N159" i="21"/>
  <c r="N157" i="21"/>
  <c r="N156" i="21"/>
  <c r="N183" i="21"/>
  <c r="N180" i="21"/>
  <c r="N168" i="21"/>
  <c r="N181" i="21"/>
  <c r="N170" i="21"/>
  <c r="U260" i="21"/>
  <c r="O174" i="21"/>
  <c r="O186" i="21"/>
  <c r="O162" i="21"/>
  <c r="S186" i="21"/>
  <c r="S162" i="21"/>
  <c r="S174" i="21"/>
  <c r="T184" i="21"/>
  <c r="T160" i="21"/>
  <c r="T172" i="21"/>
  <c r="P172" i="21"/>
  <c r="P184" i="21"/>
  <c r="P160" i="21"/>
  <c r="G160" i="21"/>
  <c r="G172" i="21"/>
  <c r="G184" i="21"/>
  <c r="T163" i="21"/>
  <c r="T175" i="21"/>
  <c r="T187" i="21"/>
  <c r="Y175" i="21"/>
  <c r="Y163" i="21"/>
  <c r="Y187" i="21"/>
  <c r="J64" i="21"/>
  <c r="J75" i="21"/>
  <c r="J51" i="21"/>
  <c r="J65" i="21"/>
  <c r="J76" i="21"/>
  <c r="J77" i="21"/>
  <c r="J74" i="21"/>
  <c r="J63" i="21"/>
  <c r="J50" i="21"/>
  <c r="J52" i="21"/>
  <c r="J62" i="21"/>
  <c r="J53" i="21"/>
  <c r="C68" i="21"/>
  <c r="C80" i="21"/>
  <c r="C56" i="21"/>
  <c r="P67" i="21"/>
  <c r="P79" i="21"/>
  <c r="P55" i="21"/>
  <c r="O80" i="21"/>
  <c r="O56" i="21"/>
  <c r="O68" i="21"/>
  <c r="G63" i="21"/>
  <c r="G74" i="21"/>
  <c r="G50" i="21"/>
  <c r="G64" i="21"/>
  <c r="G75" i="21"/>
  <c r="G76" i="21"/>
  <c r="G77" i="21"/>
  <c r="G52" i="21"/>
  <c r="G51" i="21"/>
  <c r="G65" i="21"/>
  <c r="G62" i="21"/>
  <c r="G53" i="21"/>
  <c r="H66" i="21"/>
  <c r="H78" i="21"/>
  <c r="H54" i="21"/>
  <c r="L80" i="21"/>
  <c r="L68" i="21"/>
  <c r="L56" i="21"/>
  <c r="L62" i="21"/>
  <c r="L65" i="21"/>
  <c r="L63" i="21"/>
  <c r="L74" i="21"/>
  <c r="L75" i="21"/>
  <c r="L64" i="21"/>
  <c r="L53" i="21"/>
  <c r="L77" i="21"/>
  <c r="L52" i="21"/>
  <c r="L51" i="21"/>
  <c r="L76" i="21"/>
  <c r="L50" i="21"/>
  <c r="Z81" i="21"/>
  <c r="Z57" i="21"/>
  <c r="Z69" i="21"/>
  <c r="E67" i="21"/>
  <c r="E79" i="21"/>
  <c r="E55" i="21"/>
  <c r="Y77" i="21"/>
  <c r="Y64" i="21"/>
  <c r="Y62" i="21"/>
  <c r="Y65" i="21"/>
  <c r="Y74" i="21"/>
  <c r="Y63" i="21"/>
  <c r="Y50" i="21"/>
  <c r="Y76" i="21"/>
  <c r="Y53" i="21"/>
  <c r="Y52" i="21"/>
  <c r="Y51" i="21"/>
  <c r="Y75" i="21"/>
  <c r="AC68" i="21"/>
  <c r="AC80" i="21"/>
  <c r="EC12" i="33" s="1"/>
  <c r="AC56" i="21"/>
  <c r="AA369" i="20"/>
  <c r="AA473" i="20"/>
  <c r="AA259" i="20"/>
  <c r="AA45" i="20"/>
  <c r="V260" i="20"/>
  <c r="V473" i="20"/>
  <c r="V369" i="20"/>
  <c r="V259" i="20"/>
  <c r="V368" i="20"/>
  <c r="P68" i="20"/>
  <c r="O506" i="20"/>
  <c r="O494" i="20"/>
  <c r="N45" i="20"/>
  <c r="N151" i="20"/>
  <c r="N259" i="20"/>
  <c r="N369" i="20"/>
  <c r="N152" i="20"/>
  <c r="N260" i="20"/>
  <c r="D46" i="19"/>
  <c r="X46" i="19"/>
  <c r="AA151" i="20"/>
  <c r="T46" i="20"/>
  <c r="R480" i="19"/>
  <c r="X282" i="19"/>
  <c r="K46" i="19"/>
  <c r="P46" i="19"/>
  <c r="V474" i="20"/>
  <c r="N46" i="20"/>
  <c r="L46" i="20"/>
  <c r="J46" i="20"/>
  <c r="M45" i="19"/>
  <c r="AA45" i="19"/>
  <c r="V387" i="20"/>
  <c r="AA260" i="20"/>
  <c r="D46" i="20"/>
  <c r="D45" i="20"/>
  <c r="Q45" i="20"/>
  <c r="H282" i="19"/>
  <c r="W46" i="19"/>
  <c r="N368" i="20"/>
  <c r="AC45" i="20"/>
  <c r="AA46" i="20"/>
  <c r="AA474" i="20"/>
  <c r="T80" i="20"/>
  <c r="AB68" i="20"/>
  <c r="Y260" i="20"/>
  <c r="X259" i="19"/>
  <c r="V152" i="20"/>
  <c r="I170" i="20"/>
  <c r="T184" i="20"/>
  <c r="AB56" i="20"/>
  <c r="D45" i="19"/>
  <c r="AA152" i="20"/>
  <c r="AC152" i="20"/>
  <c r="J152" i="20"/>
  <c r="Y46" i="20"/>
  <c r="Q46" i="20"/>
  <c r="X80" i="20"/>
  <c r="C45" i="20"/>
  <c r="V46" i="19"/>
  <c r="J151" i="20"/>
  <c r="S69" i="20"/>
  <c r="L45" i="20"/>
  <c r="Z46" i="20"/>
  <c r="P46" i="20"/>
  <c r="P45" i="20"/>
  <c r="X68" i="20"/>
  <c r="Y182" i="20"/>
  <c r="AB265" i="20"/>
  <c r="I180" i="20"/>
  <c r="V46" i="20"/>
  <c r="AA57" i="20"/>
  <c r="G77" i="20"/>
  <c r="G65" i="20"/>
  <c r="O46" i="20"/>
  <c r="C69" i="20"/>
  <c r="G81" i="20"/>
  <c r="K69" i="20"/>
  <c r="G63" i="20"/>
  <c r="G62" i="20"/>
  <c r="G50" i="20"/>
  <c r="Q494" i="20"/>
  <c r="Q506" i="20"/>
  <c r="Q482" i="20"/>
  <c r="H508" i="20"/>
  <c r="H496" i="20"/>
  <c r="H484" i="20"/>
  <c r="B509" i="20"/>
  <c r="BD13" i="33" s="1"/>
  <c r="B497" i="20"/>
  <c r="B485" i="20"/>
  <c r="F509" i="20"/>
  <c r="F497" i="20"/>
  <c r="F485" i="20"/>
  <c r="E505" i="20"/>
  <c r="E493" i="20"/>
  <c r="E492" i="20"/>
  <c r="E479" i="20"/>
  <c r="E490" i="20"/>
  <c r="E480" i="20"/>
  <c r="E503" i="20"/>
  <c r="E502" i="20"/>
  <c r="E481" i="20"/>
  <c r="E491" i="20"/>
  <c r="E504" i="20"/>
  <c r="E478" i="20"/>
  <c r="Y493" i="20"/>
  <c r="Y505" i="20"/>
  <c r="Y503" i="20"/>
  <c r="Y479" i="20"/>
  <c r="Y492" i="20"/>
  <c r="Y478" i="20"/>
  <c r="Y504" i="20"/>
  <c r="Y490" i="20"/>
  <c r="Y502" i="20"/>
  <c r="Y481" i="20"/>
  <c r="Y491" i="20"/>
  <c r="Y480" i="20"/>
  <c r="E497" i="20"/>
  <c r="E509" i="20"/>
  <c r="E485" i="20"/>
  <c r="B295" i="20"/>
  <c r="AX13" i="33" s="1"/>
  <c r="B271" i="20"/>
  <c r="B283" i="20"/>
  <c r="J294" i="20"/>
  <c r="J270" i="20"/>
  <c r="J282" i="20"/>
  <c r="Y282" i="20"/>
  <c r="Y270" i="20"/>
  <c r="Y294" i="20"/>
  <c r="J292" i="20"/>
  <c r="J268" i="20"/>
  <c r="J280" i="20"/>
  <c r="Y187" i="20"/>
  <c r="Y175" i="20"/>
  <c r="Y163" i="20"/>
  <c r="C187" i="20"/>
  <c r="C163" i="20"/>
  <c r="C175" i="20"/>
  <c r="F79" i="20"/>
  <c r="F67" i="20"/>
  <c r="F55" i="20"/>
  <c r="X57" i="20"/>
  <c r="X81" i="20"/>
  <c r="X69" i="20"/>
  <c r="B55" i="20"/>
  <c r="B79" i="20"/>
  <c r="AR11" i="33" s="1"/>
  <c r="B67" i="20"/>
  <c r="H46" i="20"/>
  <c r="O80" i="20"/>
  <c r="O56" i="20"/>
  <c r="O68" i="20"/>
  <c r="D496" i="20"/>
  <c r="D508" i="20"/>
  <c r="D484" i="20"/>
  <c r="P484" i="20"/>
  <c r="P508" i="20"/>
  <c r="P496" i="20"/>
  <c r="F482" i="20"/>
  <c r="F494" i="20"/>
  <c r="F506" i="20"/>
  <c r="K378" i="20"/>
  <c r="K402" i="20"/>
  <c r="K390" i="20"/>
  <c r="C401" i="20"/>
  <c r="C389" i="20"/>
  <c r="C377" i="20"/>
  <c r="AB398" i="20"/>
  <c r="AB386" i="20"/>
  <c r="AB400" i="20"/>
  <c r="AB373" i="20"/>
  <c r="AB399" i="20"/>
  <c r="AB387" i="20"/>
  <c r="AB397" i="20"/>
  <c r="AB388" i="20"/>
  <c r="AB385" i="20"/>
  <c r="AB376" i="20"/>
  <c r="AB375" i="20"/>
  <c r="AB374" i="20"/>
  <c r="B282" i="20"/>
  <c r="B270" i="20"/>
  <c r="B294" i="20"/>
  <c r="AX12" i="33" s="1"/>
  <c r="AA282" i="20"/>
  <c r="AA294" i="20"/>
  <c r="AA270" i="20"/>
  <c r="K290" i="20"/>
  <c r="K291" i="20"/>
  <c r="K279" i="20"/>
  <c r="K277" i="20"/>
  <c r="K265" i="20"/>
  <c r="K276" i="20"/>
  <c r="K288" i="20"/>
  <c r="K266" i="20"/>
  <c r="K289" i="20"/>
  <c r="K267" i="20"/>
  <c r="K278" i="20"/>
  <c r="K264" i="20"/>
  <c r="O293" i="20"/>
  <c r="O269" i="20"/>
  <c r="O281" i="20"/>
  <c r="G280" i="20"/>
  <c r="G268" i="20"/>
  <c r="G292" i="20"/>
  <c r="R292" i="20"/>
  <c r="R280" i="20"/>
  <c r="R268" i="20"/>
  <c r="T268" i="20"/>
  <c r="T292" i="20"/>
  <c r="T280" i="20"/>
  <c r="AC186" i="20"/>
  <c r="FA12" i="33" s="1"/>
  <c r="AC174" i="20"/>
  <c r="AC162" i="20"/>
  <c r="M186" i="20"/>
  <c r="CX12" i="33" s="1"/>
  <c r="M174" i="20"/>
  <c r="M162" i="20"/>
  <c r="C185" i="20"/>
  <c r="C173" i="20"/>
  <c r="C161" i="20"/>
  <c r="T174" i="20"/>
  <c r="T186" i="20"/>
  <c r="T162" i="20"/>
  <c r="T69" i="20"/>
  <c r="T81" i="20"/>
  <c r="T57" i="20"/>
  <c r="O54" i="20"/>
  <c r="O66" i="20"/>
  <c r="O78" i="20"/>
  <c r="AB79" i="20"/>
  <c r="AB55" i="20"/>
  <c r="AB67" i="20"/>
  <c r="R68" i="20"/>
  <c r="R80" i="20"/>
  <c r="R56" i="20"/>
  <c r="T66" i="20"/>
  <c r="T54" i="20"/>
  <c r="T78" i="20"/>
  <c r="G506" i="20"/>
  <c r="G494" i="20"/>
  <c r="Q507" i="20"/>
  <c r="Q495" i="20"/>
  <c r="Q483" i="20"/>
  <c r="U507" i="20"/>
  <c r="U495" i="20"/>
  <c r="U483" i="20"/>
  <c r="X401" i="20"/>
  <c r="X377" i="20"/>
  <c r="X389" i="20"/>
  <c r="F492" i="20"/>
  <c r="F504" i="20"/>
  <c r="F502" i="20"/>
  <c r="F478" i="20"/>
  <c r="F493" i="20"/>
  <c r="F491" i="20"/>
  <c r="F490" i="20"/>
  <c r="F503" i="20"/>
  <c r="F481" i="20"/>
  <c r="F505" i="20"/>
  <c r="F480" i="20"/>
  <c r="F479" i="20"/>
  <c r="R504" i="20"/>
  <c r="R492" i="20"/>
  <c r="R478" i="20"/>
  <c r="R491" i="20"/>
  <c r="R481" i="20"/>
  <c r="R505" i="20"/>
  <c r="R503" i="20"/>
  <c r="R502" i="20"/>
  <c r="R493" i="20"/>
  <c r="R479" i="20"/>
  <c r="R480" i="20"/>
  <c r="R490" i="20"/>
  <c r="K507" i="20"/>
  <c r="K495" i="20"/>
  <c r="K483" i="20"/>
  <c r="M401" i="20"/>
  <c r="DD10" i="33" s="1"/>
  <c r="M389" i="20"/>
  <c r="M377" i="20"/>
  <c r="F401" i="20"/>
  <c r="F389" i="20"/>
  <c r="F377" i="20"/>
  <c r="D282" i="20"/>
  <c r="D270" i="20"/>
  <c r="D294" i="20"/>
  <c r="L282" i="20"/>
  <c r="L294" i="20"/>
  <c r="L270" i="20"/>
  <c r="E292" i="20"/>
  <c r="E280" i="20"/>
  <c r="E268" i="20"/>
  <c r="E175" i="20"/>
  <c r="E187" i="20"/>
  <c r="E163" i="20"/>
  <c r="F180" i="20"/>
  <c r="F181" i="20"/>
  <c r="F168" i="20"/>
  <c r="F182" i="20"/>
  <c r="F158" i="20"/>
  <c r="F169" i="20"/>
  <c r="F157" i="20"/>
  <c r="F170" i="20"/>
  <c r="F159" i="20"/>
  <c r="F183" i="20"/>
  <c r="F171" i="20"/>
  <c r="F156" i="20"/>
  <c r="S187" i="20"/>
  <c r="S163" i="20"/>
  <c r="S175" i="20"/>
  <c r="W185" i="20"/>
  <c r="W161" i="20"/>
  <c r="W173" i="20"/>
  <c r="U185" i="20"/>
  <c r="U161" i="20"/>
  <c r="U173" i="20"/>
  <c r="G175" i="20"/>
  <c r="G187" i="20"/>
  <c r="G163" i="20"/>
  <c r="O185" i="20"/>
  <c r="O161" i="20"/>
  <c r="O173" i="20"/>
  <c r="L81" i="20"/>
  <c r="L69" i="20"/>
  <c r="L57" i="20"/>
  <c r="R81" i="20"/>
  <c r="R57" i="20"/>
  <c r="R69" i="20"/>
  <c r="T79" i="20"/>
  <c r="T67" i="20"/>
  <c r="T55" i="20"/>
  <c r="Y79" i="20"/>
  <c r="Y55" i="20"/>
  <c r="Y67" i="20"/>
  <c r="I260" i="20"/>
  <c r="I152" i="20"/>
  <c r="I473" i="20"/>
  <c r="I369" i="20"/>
  <c r="I45" i="20"/>
  <c r="I474" i="20"/>
  <c r="W55" i="20"/>
  <c r="W79" i="20"/>
  <c r="W67" i="20"/>
  <c r="I63" i="20"/>
  <c r="I75" i="20"/>
  <c r="I65" i="20"/>
  <c r="I51" i="20"/>
  <c r="I62" i="20"/>
  <c r="I76" i="20"/>
  <c r="I77" i="20"/>
  <c r="I50" i="20"/>
  <c r="I74" i="20"/>
  <c r="I53" i="20"/>
  <c r="I52" i="20"/>
  <c r="I64" i="20"/>
  <c r="H152" i="20"/>
  <c r="H45" i="20"/>
  <c r="H259" i="20"/>
  <c r="H474" i="20"/>
  <c r="H260" i="20"/>
  <c r="N62" i="20"/>
  <c r="N74" i="20"/>
  <c r="N63" i="20"/>
  <c r="N50" i="20"/>
  <c r="N53" i="20"/>
  <c r="N75" i="20"/>
  <c r="N65" i="20"/>
  <c r="N76" i="20"/>
  <c r="N64" i="20"/>
  <c r="N51" i="20"/>
  <c r="N52" i="20"/>
  <c r="N77" i="20"/>
  <c r="T508" i="20"/>
  <c r="T496" i="20"/>
  <c r="T484" i="20"/>
  <c r="AB494" i="20"/>
  <c r="AB506" i="20"/>
  <c r="AB482" i="20"/>
  <c r="V494" i="20"/>
  <c r="V482" i="20"/>
  <c r="V506" i="20"/>
  <c r="P377" i="20"/>
  <c r="P389" i="20"/>
  <c r="P401" i="20"/>
  <c r="O390" i="20"/>
  <c r="O378" i="20"/>
  <c r="O402" i="20"/>
  <c r="I493" i="20"/>
  <c r="I505" i="20"/>
  <c r="I503" i="20"/>
  <c r="I479" i="20"/>
  <c r="I502" i="20"/>
  <c r="I478" i="20"/>
  <c r="I491" i="20"/>
  <c r="I490" i="20"/>
  <c r="I492" i="20"/>
  <c r="I481" i="20"/>
  <c r="I504" i="20"/>
  <c r="I480" i="20"/>
  <c r="W401" i="20"/>
  <c r="W389" i="20"/>
  <c r="W377" i="20"/>
  <c r="Z400" i="20"/>
  <c r="Z388" i="20"/>
  <c r="Z375" i="20"/>
  <c r="Z385" i="20"/>
  <c r="Z386" i="20"/>
  <c r="Z376" i="20"/>
  <c r="Z387" i="20"/>
  <c r="Z398" i="20"/>
  <c r="Z397" i="20"/>
  <c r="Z373" i="20"/>
  <c r="Z399" i="20"/>
  <c r="Z374" i="20"/>
  <c r="Z295" i="20"/>
  <c r="Z283" i="20"/>
  <c r="Z271" i="20"/>
  <c r="U293" i="20"/>
  <c r="U281" i="20"/>
  <c r="U269" i="20"/>
  <c r="AB290" i="20"/>
  <c r="T295" i="20"/>
  <c r="T283" i="20"/>
  <c r="T271" i="20"/>
  <c r="T282" i="20"/>
  <c r="T294" i="20"/>
  <c r="T270" i="20"/>
  <c r="G282" i="20"/>
  <c r="G294" i="20"/>
  <c r="G270" i="20"/>
  <c r="W280" i="20"/>
  <c r="W292" i="20"/>
  <c r="W268" i="20"/>
  <c r="C292" i="20"/>
  <c r="C268" i="20"/>
  <c r="C280" i="20"/>
  <c r="F280" i="20"/>
  <c r="F292" i="20"/>
  <c r="F268" i="20"/>
  <c r="AA185" i="20"/>
  <c r="AA173" i="20"/>
  <c r="AA161" i="20"/>
  <c r="N180" i="20"/>
  <c r="N181" i="20"/>
  <c r="N168" i="20"/>
  <c r="N182" i="20"/>
  <c r="N158" i="20"/>
  <c r="N169" i="20"/>
  <c r="N170" i="20"/>
  <c r="N171" i="20"/>
  <c r="N157" i="20"/>
  <c r="N183" i="20"/>
  <c r="N159" i="20"/>
  <c r="N156" i="20"/>
  <c r="M175" i="20"/>
  <c r="M187" i="20"/>
  <c r="CX13" i="33" s="1"/>
  <c r="M163" i="20"/>
  <c r="AA187" i="20"/>
  <c r="AA163" i="20"/>
  <c r="AA175" i="20"/>
  <c r="AA171" i="20"/>
  <c r="AA180" i="20"/>
  <c r="AA183" i="20"/>
  <c r="AA181" i="20"/>
  <c r="AA157" i="20"/>
  <c r="AA168" i="20"/>
  <c r="AA169" i="20"/>
  <c r="AA170" i="20"/>
  <c r="AA158" i="20"/>
  <c r="AA156" i="20"/>
  <c r="AA182" i="20"/>
  <c r="AA159" i="20"/>
  <c r="N185" i="20"/>
  <c r="X186" i="20"/>
  <c r="X162" i="20"/>
  <c r="X174" i="20"/>
  <c r="C186" i="20"/>
  <c r="C162" i="20"/>
  <c r="C174" i="20"/>
  <c r="D57" i="20"/>
  <c r="D69" i="20"/>
  <c r="D81" i="20"/>
  <c r="L79" i="20"/>
  <c r="L55" i="20"/>
  <c r="L67" i="20"/>
  <c r="P79" i="20"/>
  <c r="P67" i="20"/>
  <c r="P55" i="20"/>
  <c r="E474" i="20"/>
  <c r="E369" i="20"/>
  <c r="E368" i="20"/>
  <c r="E259" i="20"/>
  <c r="E46" i="20"/>
  <c r="E473" i="20"/>
  <c r="E151" i="20"/>
  <c r="V62" i="20"/>
  <c r="V74" i="20"/>
  <c r="V50" i="20"/>
  <c r="V76" i="20"/>
  <c r="V53" i="20"/>
  <c r="V77" i="20"/>
  <c r="V64" i="20"/>
  <c r="V75" i="20"/>
  <c r="V63" i="20"/>
  <c r="V52" i="20"/>
  <c r="V65" i="20"/>
  <c r="V51" i="20"/>
  <c r="E507" i="20"/>
  <c r="E483" i="20"/>
  <c r="E495" i="20"/>
  <c r="Q496" i="20"/>
  <c r="Q484" i="20"/>
  <c r="Q508" i="20"/>
  <c r="AB496" i="20"/>
  <c r="AB484" i="20"/>
  <c r="AB508" i="20"/>
  <c r="Q377" i="20"/>
  <c r="Q389" i="20"/>
  <c r="Q401" i="20"/>
  <c r="H377" i="20"/>
  <c r="H401" i="20"/>
  <c r="H389" i="20"/>
  <c r="L485" i="20"/>
  <c r="L509" i="20"/>
  <c r="L497" i="20"/>
  <c r="C485" i="20"/>
  <c r="C497" i="20"/>
  <c r="C509" i="20"/>
  <c r="O497" i="20"/>
  <c r="O509" i="20"/>
  <c r="O485" i="20"/>
  <c r="V492" i="20"/>
  <c r="V504" i="20"/>
  <c r="V502" i="20"/>
  <c r="V478" i="20"/>
  <c r="V505" i="20"/>
  <c r="V503" i="20"/>
  <c r="V493" i="20"/>
  <c r="V491" i="20"/>
  <c r="V490" i="20"/>
  <c r="V479" i="20"/>
  <c r="V481" i="20"/>
  <c r="V480" i="20"/>
  <c r="U497" i="20"/>
  <c r="U509" i="20"/>
  <c r="U485" i="20"/>
  <c r="W390" i="20"/>
  <c r="W378" i="20"/>
  <c r="W402" i="20"/>
  <c r="J402" i="20"/>
  <c r="J378" i="20"/>
  <c r="J390" i="20"/>
  <c r="V374" i="20"/>
  <c r="V373" i="20"/>
  <c r="V398" i="20"/>
  <c r="V385" i="20"/>
  <c r="V397" i="20"/>
  <c r="V386" i="20"/>
  <c r="C295" i="20"/>
  <c r="C271" i="20"/>
  <c r="C283" i="20"/>
  <c r="M293" i="20"/>
  <c r="DA11" i="33" s="1"/>
  <c r="M269" i="20"/>
  <c r="M281" i="20"/>
  <c r="O291" i="20"/>
  <c r="O288" i="20"/>
  <c r="O289" i="20"/>
  <c r="O264" i="20"/>
  <c r="O279" i="20"/>
  <c r="O267" i="20"/>
  <c r="O278" i="20"/>
  <c r="O290" i="20"/>
  <c r="O276" i="20"/>
  <c r="O277" i="20"/>
  <c r="O265" i="20"/>
  <c r="O266" i="20"/>
  <c r="E397" i="20"/>
  <c r="E373" i="20"/>
  <c r="E376" i="20"/>
  <c r="E385" i="20"/>
  <c r="E399" i="20"/>
  <c r="E375" i="20"/>
  <c r="E374" i="20"/>
  <c r="E400" i="20"/>
  <c r="E387" i="20"/>
  <c r="E398" i="20"/>
  <c r="E388" i="20"/>
  <c r="E386" i="20"/>
  <c r="AC293" i="20"/>
  <c r="FD11" i="33" s="1"/>
  <c r="I289" i="20"/>
  <c r="I290" i="20"/>
  <c r="I291" i="20"/>
  <c r="I267" i="20"/>
  <c r="I278" i="20"/>
  <c r="I277" i="20"/>
  <c r="I265" i="20"/>
  <c r="I276" i="20"/>
  <c r="I279" i="20"/>
  <c r="I288" i="20"/>
  <c r="I266" i="20"/>
  <c r="I264" i="20"/>
  <c r="H280" i="20"/>
  <c r="H292" i="20"/>
  <c r="H268" i="20"/>
  <c r="K268" i="20"/>
  <c r="K280" i="20"/>
  <c r="K292" i="20"/>
  <c r="N292" i="20"/>
  <c r="N280" i="20"/>
  <c r="N268" i="20"/>
  <c r="V180" i="20"/>
  <c r="V181" i="20"/>
  <c r="V168" i="20"/>
  <c r="V182" i="20"/>
  <c r="V158" i="20"/>
  <c r="V169" i="20"/>
  <c r="V159" i="20"/>
  <c r="V183" i="20"/>
  <c r="V170" i="20"/>
  <c r="V157" i="20"/>
  <c r="V171" i="20"/>
  <c r="V156" i="20"/>
  <c r="B187" i="20"/>
  <c r="AU13" i="33" s="1"/>
  <c r="B175" i="20"/>
  <c r="B163" i="20"/>
  <c r="D173" i="20"/>
  <c r="D161" i="20"/>
  <c r="D185" i="20"/>
  <c r="R168" i="20"/>
  <c r="R182" i="20"/>
  <c r="R180" i="20"/>
  <c r="R170" i="20"/>
  <c r="R181" i="20"/>
  <c r="R157" i="20"/>
  <c r="R183" i="20"/>
  <c r="R159" i="20"/>
  <c r="R169" i="20"/>
  <c r="R171" i="20"/>
  <c r="R156" i="20"/>
  <c r="R158" i="20"/>
  <c r="E186" i="20"/>
  <c r="E174" i="20"/>
  <c r="E162" i="20"/>
  <c r="B81" i="20"/>
  <c r="AR13" i="33" s="1"/>
  <c r="B57" i="20"/>
  <c r="B69" i="20"/>
  <c r="D79" i="20"/>
  <c r="D67" i="20"/>
  <c r="D55" i="20"/>
  <c r="AA79" i="20"/>
  <c r="AA67" i="20"/>
  <c r="AA55" i="20"/>
  <c r="I80" i="20"/>
  <c r="I68" i="20"/>
  <c r="I56" i="20"/>
  <c r="V81" i="20"/>
  <c r="V69" i="20"/>
  <c r="V57" i="20"/>
  <c r="H79" i="20"/>
  <c r="H55" i="20"/>
  <c r="H67" i="20"/>
  <c r="U69" i="20"/>
  <c r="U81" i="20"/>
  <c r="U57" i="20"/>
  <c r="G55" i="20"/>
  <c r="G79" i="20"/>
  <c r="G67" i="20"/>
  <c r="E75" i="20"/>
  <c r="E63" i="20"/>
  <c r="E77" i="20"/>
  <c r="E74" i="20"/>
  <c r="E64" i="20"/>
  <c r="E50" i="20"/>
  <c r="E65" i="20"/>
  <c r="E62" i="20"/>
  <c r="E53" i="20"/>
  <c r="E76" i="20"/>
  <c r="E51" i="20"/>
  <c r="E52" i="20"/>
  <c r="C508" i="20"/>
  <c r="C496" i="20"/>
  <c r="C484" i="20"/>
  <c r="G496" i="20"/>
  <c r="G484" i="20"/>
  <c r="G508" i="20"/>
  <c r="E494" i="20"/>
  <c r="E482" i="20"/>
  <c r="E506" i="20"/>
  <c r="J482" i="20"/>
  <c r="J494" i="20"/>
  <c r="J506" i="20"/>
  <c r="I377" i="20"/>
  <c r="I401" i="20"/>
  <c r="I389" i="20"/>
  <c r="K491" i="20"/>
  <c r="K503" i="20"/>
  <c r="K481" i="20"/>
  <c r="K502" i="20"/>
  <c r="K492" i="20"/>
  <c r="K493" i="20"/>
  <c r="K505" i="20"/>
  <c r="K504" i="20"/>
  <c r="K478" i="20"/>
  <c r="K480" i="20"/>
  <c r="K490" i="20"/>
  <c r="K479" i="20"/>
  <c r="H402" i="20"/>
  <c r="H390" i="20"/>
  <c r="H378" i="20"/>
  <c r="K295" i="20"/>
  <c r="K271" i="20"/>
  <c r="K283" i="20"/>
  <c r="E293" i="20"/>
  <c r="E269" i="20"/>
  <c r="E281" i="20"/>
  <c r="G291" i="20"/>
  <c r="G289" i="20"/>
  <c r="G279" i="20"/>
  <c r="G264" i="20"/>
  <c r="G290" i="20"/>
  <c r="G278" i="20"/>
  <c r="G267" i="20"/>
  <c r="G288" i="20"/>
  <c r="G266" i="20"/>
  <c r="G265" i="20"/>
  <c r="G276" i="20"/>
  <c r="G277" i="20"/>
  <c r="F269" i="20"/>
  <c r="F293" i="20"/>
  <c r="F281" i="20"/>
  <c r="Y169" i="20"/>
  <c r="Y157" i="20"/>
  <c r="Y181" i="20"/>
  <c r="P280" i="20"/>
  <c r="P292" i="20"/>
  <c r="P268" i="20"/>
  <c r="S268" i="20"/>
  <c r="S292" i="20"/>
  <c r="S280" i="20"/>
  <c r="V280" i="20"/>
  <c r="V292" i="20"/>
  <c r="V268" i="20"/>
  <c r="G185" i="20"/>
  <c r="G161" i="20"/>
  <c r="G173" i="20"/>
  <c r="L161" i="20"/>
  <c r="L185" i="20"/>
  <c r="L173" i="20"/>
  <c r="S186" i="20"/>
  <c r="S174" i="20"/>
  <c r="S162" i="20"/>
  <c r="M68" i="20"/>
  <c r="M80" i="20"/>
  <c r="CU12" i="33" s="1"/>
  <c r="M56" i="20"/>
  <c r="Y57" i="20"/>
  <c r="Y81" i="20"/>
  <c r="Y69" i="20"/>
  <c r="S55" i="20"/>
  <c r="S79" i="20"/>
  <c r="S67" i="20"/>
  <c r="I79" i="20"/>
  <c r="I55" i="20"/>
  <c r="I67" i="20"/>
  <c r="P507" i="20"/>
  <c r="P483" i="20"/>
  <c r="P495" i="20"/>
  <c r="R400" i="20"/>
  <c r="R388" i="20"/>
  <c r="R375" i="20"/>
  <c r="R398" i="20"/>
  <c r="R373" i="20"/>
  <c r="R386" i="20"/>
  <c r="R385" i="20"/>
  <c r="R376" i="20"/>
  <c r="R399" i="20"/>
  <c r="R374" i="20"/>
  <c r="R397" i="20"/>
  <c r="R387" i="20"/>
  <c r="Q397" i="20"/>
  <c r="Q385" i="20"/>
  <c r="Q388" i="20"/>
  <c r="Q400" i="20"/>
  <c r="Q386" i="20"/>
  <c r="Q376" i="20"/>
  <c r="Q398" i="20"/>
  <c r="Q373" i="20"/>
  <c r="Q387" i="20"/>
  <c r="Q375" i="20"/>
  <c r="Q399" i="20"/>
  <c r="Q374" i="20"/>
  <c r="H490" i="20"/>
  <c r="H502" i="20"/>
  <c r="H493" i="20"/>
  <c r="H480" i="20"/>
  <c r="H491" i="20"/>
  <c r="H504" i="20"/>
  <c r="H503" i="20"/>
  <c r="H481" i="20"/>
  <c r="H492" i="20"/>
  <c r="H478" i="20"/>
  <c r="H505" i="20"/>
  <c r="H479" i="20"/>
  <c r="D502" i="20"/>
  <c r="D490" i="20"/>
  <c r="D505" i="20"/>
  <c r="D503" i="20"/>
  <c r="D480" i="20"/>
  <c r="D504" i="20"/>
  <c r="D493" i="20"/>
  <c r="D492" i="20"/>
  <c r="D478" i="20"/>
  <c r="D479" i="20"/>
  <c r="D481" i="20"/>
  <c r="D491" i="20"/>
  <c r="S491" i="20"/>
  <c r="S503" i="20"/>
  <c r="S493" i="20"/>
  <c r="S481" i="20"/>
  <c r="S504" i="20"/>
  <c r="S502" i="20"/>
  <c r="S492" i="20"/>
  <c r="S490" i="20"/>
  <c r="S505" i="20"/>
  <c r="S479" i="20"/>
  <c r="S478" i="20"/>
  <c r="S480" i="20"/>
  <c r="F507" i="20"/>
  <c r="F495" i="20"/>
  <c r="F483" i="20"/>
  <c r="P490" i="20"/>
  <c r="P502" i="20"/>
  <c r="P492" i="20"/>
  <c r="P480" i="20"/>
  <c r="P481" i="20"/>
  <c r="P505" i="20"/>
  <c r="P504" i="20"/>
  <c r="P503" i="20"/>
  <c r="P491" i="20"/>
  <c r="P493" i="20"/>
  <c r="P479" i="20"/>
  <c r="P478" i="20"/>
  <c r="P402" i="20"/>
  <c r="P390" i="20"/>
  <c r="P378" i="20"/>
  <c r="Z401" i="20"/>
  <c r="Z389" i="20"/>
  <c r="Z377" i="20"/>
  <c r="W283" i="20"/>
  <c r="W295" i="20"/>
  <c r="W271" i="20"/>
  <c r="Q283" i="20"/>
  <c r="Q295" i="20"/>
  <c r="Q271" i="20"/>
  <c r="P294" i="20"/>
  <c r="P282" i="20"/>
  <c r="P270" i="20"/>
  <c r="L293" i="20"/>
  <c r="L269" i="20"/>
  <c r="L281" i="20"/>
  <c r="Y292" i="20"/>
  <c r="Y280" i="20"/>
  <c r="Y268" i="20"/>
  <c r="N163" i="20"/>
  <c r="N187" i="20"/>
  <c r="N175" i="20"/>
  <c r="U292" i="20"/>
  <c r="U268" i="20"/>
  <c r="U280" i="20"/>
  <c r="T173" i="20"/>
  <c r="T185" i="20"/>
  <c r="T161" i="20"/>
  <c r="Y180" i="20"/>
  <c r="Y168" i="20"/>
  <c r="Y156" i="20"/>
  <c r="S171" i="20"/>
  <c r="S180" i="20"/>
  <c r="S183" i="20"/>
  <c r="S181" i="20"/>
  <c r="S157" i="20"/>
  <c r="S168" i="20"/>
  <c r="S158" i="20"/>
  <c r="S182" i="20"/>
  <c r="S159" i="20"/>
  <c r="S169" i="20"/>
  <c r="S156" i="20"/>
  <c r="S170" i="20"/>
  <c r="E56" i="20"/>
  <c r="E80" i="20"/>
  <c r="E68" i="20"/>
  <c r="S80" i="20"/>
  <c r="S68" i="20"/>
  <c r="S56" i="20"/>
  <c r="U78" i="20"/>
  <c r="U66" i="20"/>
  <c r="U54" i="20"/>
  <c r="K67" i="20"/>
  <c r="K79" i="20"/>
  <c r="K55" i="20"/>
  <c r="R55" i="20"/>
  <c r="R67" i="20"/>
  <c r="R79" i="20"/>
  <c r="I46" i="20"/>
  <c r="F81" i="20"/>
  <c r="F69" i="20"/>
  <c r="F57" i="20"/>
  <c r="Q78" i="20"/>
  <c r="Q54" i="20"/>
  <c r="Q66" i="20"/>
  <c r="P78" i="20"/>
  <c r="P66" i="20"/>
  <c r="P54" i="20"/>
  <c r="G52" i="20"/>
  <c r="G64" i="20"/>
  <c r="H483" i="20"/>
  <c r="H507" i="20"/>
  <c r="H495" i="20"/>
  <c r="R496" i="20"/>
  <c r="R508" i="20"/>
  <c r="R484" i="20"/>
  <c r="S508" i="20"/>
  <c r="S496" i="20"/>
  <c r="S484" i="20"/>
  <c r="W496" i="20"/>
  <c r="W508" i="20"/>
  <c r="W484" i="20"/>
  <c r="U506" i="20"/>
  <c r="U482" i="20"/>
  <c r="U494" i="20"/>
  <c r="AA509" i="20"/>
  <c r="AA485" i="20"/>
  <c r="AA497" i="20"/>
  <c r="X485" i="20"/>
  <c r="X509" i="20"/>
  <c r="X497" i="20"/>
  <c r="X402" i="20"/>
  <c r="X390" i="20"/>
  <c r="X378" i="20"/>
  <c r="F404" i="20"/>
  <c r="F392" i="20"/>
  <c r="F380" i="20"/>
  <c r="M295" i="20"/>
  <c r="DA13" i="33" s="1"/>
  <c r="M283" i="20"/>
  <c r="M271" i="20"/>
  <c r="AA295" i="20"/>
  <c r="AA283" i="20"/>
  <c r="AA271" i="20"/>
  <c r="V294" i="20"/>
  <c r="V270" i="20"/>
  <c r="V282" i="20"/>
  <c r="K282" i="20"/>
  <c r="K294" i="20"/>
  <c r="K270" i="20"/>
  <c r="G283" i="20"/>
  <c r="G295" i="20"/>
  <c r="G271" i="20"/>
  <c r="F294" i="20"/>
  <c r="F282" i="20"/>
  <c r="F270" i="20"/>
  <c r="D295" i="20"/>
  <c r="D271" i="20"/>
  <c r="D283" i="20"/>
  <c r="B292" i="20"/>
  <c r="AX10" i="33" s="1"/>
  <c r="B268" i="20"/>
  <c r="B280" i="20"/>
  <c r="D292" i="20"/>
  <c r="D268" i="20"/>
  <c r="D280" i="20"/>
  <c r="X170" i="20"/>
  <c r="X182" i="20"/>
  <c r="X180" i="20"/>
  <c r="X156" i="20"/>
  <c r="X183" i="20"/>
  <c r="X159" i="20"/>
  <c r="X168" i="20"/>
  <c r="X169" i="20"/>
  <c r="X157" i="20"/>
  <c r="X171" i="20"/>
  <c r="X181" i="20"/>
  <c r="X158" i="20"/>
  <c r="W183" i="20"/>
  <c r="W181" i="20"/>
  <c r="W171" i="20"/>
  <c r="W169" i="20"/>
  <c r="W180" i="20"/>
  <c r="W156" i="20"/>
  <c r="W182" i="20"/>
  <c r="W170" i="20"/>
  <c r="W157" i="20"/>
  <c r="W158" i="20"/>
  <c r="W159" i="20"/>
  <c r="W168" i="20"/>
  <c r="I292" i="20"/>
  <c r="I268" i="20"/>
  <c r="I280" i="20"/>
  <c r="Q174" i="20"/>
  <c r="Q186" i="20"/>
  <c r="Q162" i="20"/>
  <c r="N67" i="20"/>
  <c r="N79" i="20"/>
  <c r="N55" i="20"/>
  <c r="I81" i="20"/>
  <c r="I69" i="20"/>
  <c r="I57" i="20"/>
  <c r="C79" i="20"/>
  <c r="C67" i="20"/>
  <c r="C55" i="20"/>
  <c r="W80" i="20"/>
  <c r="W68" i="20"/>
  <c r="W56" i="20"/>
  <c r="F368" i="20"/>
  <c r="F369" i="20"/>
  <c r="F259" i="20"/>
  <c r="F474" i="20"/>
  <c r="F45" i="20"/>
  <c r="F152" i="20"/>
  <c r="F260" i="20"/>
  <c r="J496" i="20"/>
  <c r="J508" i="20"/>
  <c r="J484" i="20"/>
  <c r="AB483" i="20"/>
  <c r="AB507" i="20"/>
  <c r="AB495" i="20"/>
  <c r="Y494" i="20"/>
  <c r="Y506" i="20"/>
  <c r="Y482" i="20"/>
  <c r="Z482" i="20"/>
  <c r="Z494" i="20"/>
  <c r="Z506" i="20"/>
  <c r="O508" i="20"/>
  <c r="O484" i="20"/>
  <c r="O496" i="20"/>
  <c r="Z496" i="20"/>
  <c r="Z508" i="20"/>
  <c r="Z484" i="20"/>
  <c r="C507" i="20"/>
  <c r="C495" i="20"/>
  <c r="C483" i="20"/>
  <c r="U505" i="20"/>
  <c r="U493" i="20"/>
  <c r="U490" i="20"/>
  <c r="U479" i="20"/>
  <c r="U492" i="20"/>
  <c r="U504" i="20"/>
  <c r="U491" i="20"/>
  <c r="U480" i="20"/>
  <c r="U481" i="20"/>
  <c r="U502" i="20"/>
  <c r="U478" i="20"/>
  <c r="U503" i="20"/>
  <c r="N485" i="20"/>
  <c r="N509" i="20"/>
  <c r="N497" i="20"/>
  <c r="C404" i="20"/>
  <c r="C392" i="20"/>
  <c r="C380" i="20"/>
  <c r="H403" i="20"/>
  <c r="H391" i="20"/>
  <c r="H379" i="20"/>
  <c r="H374" i="20"/>
  <c r="H385" i="20"/>
  <c r="H373" i="20"/>
  <c r="H376" i="20"/>
  <c r="H400" i="20"/>
  <c r="H397" i="20"/>
  <c r="H388" i="20"/>
  <c r="H387" i="20"/>
  <c r="H398" i="20"/>
  <c r="H386" i="20"/>
  <c r="H399" i="20"/>
  <c r="H375" i="20"/>
  <c r="C378" i="20"/>
  <c r="C402" i="20"/>
  <c r="C390" i="20"/>
  <c r="B404" i="20"/>
  <c r="BA13" i="33" s="1"/>
  <c r="B380" i="20"/>
  <c r="B392" i="20"/>
  <c r="U392" i="20"/>
  <c r="U404" i="20"/>
  <c r="U380" i="20"/>
  <c r="Y402" i="20"/>
  <c r="Y390" i="20"/>
  <c r="Y378" i="20"/>
  <c r="F402" i="20"/>
  <c r="F390" i="20"/>
  <c r="F378" i="20"/>
  <c r="L403" i="20"/>
  <c r="L391" i="20"/>
  <c r="L379" i="20"/>
  <c r="AA403" i="20"/>
  <c r="AA391" i="20"/>
  <c r="AA379" i="20"/>
  <c r="O403" i="20"/>
  <c r="O379" i="20"/>
  <c r="O391" i="20"/>
  <c r="J295" i="20"/>
  <c r="J283" i="20"/>
  <c r="J271" i="20"/>
  <c r="AA293" i="20"/>
  <c r="AA281" i="20"/>
  <c r="AA269" i="20"/>
  <c r="P281" i="20"/>
  <c r="P293" i="20"/>
  <c r="P269" i="20"/>
  <c r="H289" i="20"/>
  <c r="H290" i="20"/>
  <c r="H278" i="20"/>
  <c r="H279" i="20"/>
  <c r="H264" i="20"/>
  <c r="H267" i="20"/>
  <c r="H277" i="20"/>
  <c r="H265" i="20"/>
  <c r="H266" i="20"/>
  <c r="H276" i="20"/>
  <c r="H291" i="20"/>
  <c r="H288" i="20"/>
  <c r="R289" i="20"/>
  <c r="R290" i="20"/>
  <c r="R276" i="20"/>
  <c r="R288" i="20"/>
  <c r="R278" i="20"/>
  <c r="R265" i="20"/>
  <c r="R277" i="20"/>
  <c r="R264" i="20"/>
  <c r="R266" i="20"/>
  <c r="R291" i="20"/>
  <c r="R279" i="20"/>
  <c r="R267" i="20"/>
  <c r="U294" i="20"/>
  <c r="U282" i="20"/>
  <c r="U270" i="20"/>
  <c r="Y283" i="20"/>
  <c r="Y295" i="20"/>
  <c r="Y271" i="20"/>
  <c r="AC283" i="20"/>
  <c r="AC271" i="20"/>
  <c r="AC295" i="20"/>
  <c r="FD13" i="33" s="1"/>
  <c r="D290" i="20"/>
  <c r="D276" i="20"/>
  <c r="D289" i="20"/>
  <c r="D266" i="20"/>
  <c r="D291" i="20"/>
  <c r="D277" i="20"/>
  <c r="D288" i="20"/>
  <c r="D279" i="20"/>
  <c r="D265" i="20"/>
  <c r="D267" i="20"/>
  <c r="D264" i="20"/>
  <c r="D278" i="20"/>
  <c r="E282" i="20"/>
  <c r="E294" i="20"/>
  <c r="E270" i="20"/>
  <c r="E160" i="20"/>
  <c r="E184" i="20"/>
  <c r="E172" i="20"/>
  <c r="K187" i="20"/>
  <c r="K163" i="20"/>
  <c r="K175" i="20"/>
  <c r="F187" i="20"/>
  <c r="F163" i="20"/>
  <c r="F175" i="20"/>
  <c r="I187" i="20"/>
  <c r="I175" i="20"/>
  <c r="I163" i="20"/>
  <c r="Y173" i="20"/>
  <c r="Y185" i="20"/>
  <c r="Y161" i="20"/>
  <c r="R187" i="20"/>
  <c r="R175" i="20"/>
  <c r="R163" i="20"/>
  <c r="M280" i="20"/>
  <c r="M268" i="20"/>
  <c r="M292" i="20"/>
  <c r="DA10" i="33" s="1"/>
  <c r="J281" i="20"/>
  <c r="J293" i="20"/>
  <c r="J269" i="20"/>
  <c r="M169" i="20"/>
  <c r="M183" i="20"/>
  <c r="CX9" i="33" s="1"/>
  <c r="M181" i="20"/>
  <c r="CX7" i="33" s="1"/>
  <c r="M171" i="20"/>
  <c r="M182" i="20"/>
  <c r="CX8" i="33" s="1"/>
  <c r="M158" i="20"/>
  <c r="M156" i="20"/>
  <c r="M180" i="20"/>
  <c r="CX6" i="33" s="1"/>
  <c r="M157" i="20"/>
  <c r="M168" i="20"/>
  <c r="M159" i="20"/>
  <c r="M170" i="20"/>
  <c r="T175" i="20"/>
  <c r="T187" i="20"/>
  <c r="T163" i="20"/>
  <c r="Z168" i="20"/>
  <c r="Z182" i="20"/>
  <c r="Z180" i="20"/>
  <c r="Z170" i="20"/>
  <c r="Z181" i="20"/>
  <c r="Z157" i="20"/>
  <c r="Z183" i="20"/>
  <c r="Z171" i="20"/>
  <c r="Z158" i="20"/>
  <c r="Z159" i="20"/>
  <c r="Z156" i="20"/>
  <c r="Z169" i="20"/>
  <c r="AC270" i="20"/>
  <c r="R174" i="20"/>
  <c r="R186" i="20"/>
  <c r="R162" i="20"/>
  <c r="AB174" i="20"/>
  <c r="AB186" i="20"/>
  <c r="AB162" i="20"/>
  <c r="F185" i="20"/>
  <c r="F161" i="20"/>
  <c r="F173" i="20"/>
  <c r="B185" i="20"/>
  <c r="AU11" i="33" s="1"/>
  <c r="B173" i="20"/>
  <c r="B161" i="20"/>
  <c r="I157" i="20"/>
  <c r="I159" i="20"/>
  <c r="AB276" i="20"/>
  <c r="P184" i="20"/>
  <c r="P172" i="20"/>
  <c r="P160" i="20"/>
  <c r="G184" i="20"/>
  <c r="G172" i="20"/>
  <c r="G160" i="20"/>
  <c r="N81" i="20"/>
  <c r="N57" i="20"/>
  <c r="N69" i="20"/>
  <c r="M78" i="20"/>
  <c r="CU10" i="33" s="1"/>
  <c r="M54" i="20"/>
  <c r="M66" i="20"/>
  <c r="J56" i="20"/>
  <c r="J68" i="20"/>
  <c r="J80" i="20"/>
  <c r="X76" i="20"/>
  <c r="X64" i="20"/>
  <c r="X63" i="20"/>
  <c r="X51" i="20"/>
  <c r="X74" i="20"/>
  <c r="X75" i="20"/>
  <c r="X65" i="20"/>
  <c r="X53" i="20"/>
  <c r="X52" i="20"/>
  <c r="X77" i="20"/>
  <c r="X62" i="20"/>
  <c r="X50" i="20"/>
  <c r="Y158" i="20"/>
  <c r="N68" i="20"/>
  <c r="N80" i="20"/>
  <c r="N56" i="20"/>
  <c r="AA81" i="20"/>
  <c r="G51" i="20"/>
  <c r="G53" i="20"/>
  <c r="C57" i="20"/>
  <c r="U67" i="20"/>
  <c r="U79" i="20"/>
  <c r="U55" i="20"/>
  <c r="V45" i="20"/>
  <c r="W506" i="20"/>
  <c r="W482" i="20"/>
  <c r="W494" i="20"/>
  <c r="P506" i="20"/>
  <c r="P494" i="20"/>
  <c r="P482" i="20"/>
  <c r="AA507" i="20"/>
  <c r="AA483" i="20"/>
  <c r="AA495" i="20"/>
  <c r="F508" i="20"/>
  <c r="F484" i="20"/>
  <c r="F496" i="20"/>
  <c r="M483" i="20"/>
  <c r="M507" i="20"/>
  <c r="DG11" i="33" s="1"/>
  <c r="M495" i="20"/>
  <c r="X483" i="20"/>
  <c r="X495" i="20"/>
  <c r="X507" i="20"/>
  <c r="R506" i="20"/>
  <c r="R482" i="20"/>
  <c r="R494" i="20"/>
  <c r="C506" i="20"/>
  <c r="C494" i="20"/>
  <c r="C482" i="20"/>
  <c r="E484" i="20"/>
  <c r="E508" i="20"/>
  <c r="E496" i="20"/>
  <c r="Z504" i="20"/>
  <c r="Z492" i="20"/>
  <c r="Z505" i="20"/>
  <c r="Z478" i="20"/>
  <c r="Z490" i="20"/>
  <c r="Z493" i="20"/>
  <c r="Z491" i="20"/>
  <c r="Z480" i="20"/>
  <c r="Z481" i="20"/>
  <c r="Z503" i="20"/>
  <c r="Z502" i="20"/>
  <c r="Z479" i="20"/>
  <c r="AC392" i="20"/>
  <c r="AC380" i="20"/>
  <c r="AC404" i="20"/>
  <c r="FG13" i="33" s="1"/>
  <c r="T497" i="20"/>
  <c r="T485" i="20"/>
  <c r="T509" i="20"/>
  <c r="V509" i="20"/>
  <c r="V497" i="20"/>
  <c r="V485" i="20"/>
  <c r="K404" i="20"/>
  <c r="K392" i="20"/>
  <c r="K380" i="20"/>
  <c r="U391" i="20"/>
  <c r="U403" i="20"/>
  <c r="U379" i="20"/>
  <c r="P403" i="20"/>
  <c r="P379" i="20"/>
  <c r="P391" i="20"/>
  <c r="AA400" i="20"/>
  <c r="AA375" i="20"/>
  <c r="AA386" i="20"/>
  <c r="AA376" i="20"/>
  <c r="AA399" i="20"/>
  <c r="AA373" i="20"/>
  <c r="AA387" i="20"/>
  <c r="AA398" i="20"/>
  <c r="AA397" i="20"/>
  <c r="AA388" i="20"/>
  <c r="AA385" i="20"/>
  <c r="AA374" i="20"/>
  <c r="P399" i="20"/>
  <c r="P400" i="20"/>
  <c r="P374" i="20"/>
  <c r="P385" i="20"/>
  <c r="P386" i="20"/>
  <c r="P376" i="20"/>
  <c r="P397" i="20"/>
  <c r="P388" i="20"/>
  <c r="P398" i="20"/>
  <c r="P387" i="20"/>
  <c r="P375" i="20"/>
  <c r="P373" i="20"/>
  <c r="Z402" i="20"/>
  <c r="Z390" i="20"/>
  <c r="Z378" i="20"/>
  <c r="B390" i="20"/>
  <c r="B402" i="20"/>
  <c r="BA11" i="33" s="1"/>
  <c r="B378" i="20"/>
  <c r="N390" i="20"/>
  <c r="N378" i="20"/>
  <c r="N402" i="20"/>
  <c r="X293" i="20"/>
  <c r="X281" i="20"/>
  <c r="X269" i="20"/>
  <c r="P289" i="20"/>
  <c r="P278" i="20"/>
  <c r="P290" i="20"/>
  <c r="P264" i="20"/>
  <c r="P291" i="20"/>
  <c r="P279" i="20"/>
  <c r="P267" i="20"/>
  <c r="P288" i="20"/>
  <c r="P265" i="20"/>
  <c r="P266" i="20"/>
  <c r="P277" i="20"/>
  <c r="P276" i="20"/>
  <c r="Z276" i="20"/>
  <c r="Z290" i="20"/>
  <c r="Z279" i="20"/>
  <c r="Z265" i="20"/>
  <c r="Z278" i="20"/>
  <c r="Z277" i="20"/>
  <c r="Z264" i="20"/>
  <c r="Z266" i="20"/>
  <c r="Z291" i="20"/>
  <c r="Z288" i="20"/>
  <c r="Z267" i="20"/>
  <c r="Z289" i="20"/>
  <c r="F283" i="20"/>
  <c r="F271" i="20"/>
  <c r="F295" i="20"/>
  <c r="N397" i="20"/>
  <c r="N376" i="20"/>
  <c r="N400" i="20"/>
  <c r="N387" i="20"/>
  <c r="N399" i="20"/>
  <c r="N385" i="20"/>
  <c r="N375" i="20"/>
  <c r="N388" i="20"/>
  <c r="N386" i="20"/>
  <c r="N398" i="20"/>
  <c r="N374" i="20"/>
  <c r="N373" i="20"/>
  <c r="R294" i="20"/>
  <c r="R270" i="20"/>
  <c r="R282" i="20"/>
  <c r="R293" i="20"/>
  <c r="R281" i="20"/>
  <c r="R269" i="20"/>
  <c r="T182" i="20"/>
  <c r="T180" i="20"/>
  <c r="T183" i="20"/>
  <c r="T170" i="20"/>
  <c r="T168" i="20"/>
  <c r="T171" i="20"/>
  <c r="T181" i="20"/>
  <c r="T159" i="20"/>
  <c r="T169" i="20"/>
  <c r="T156" i="20"/>
  <c r="T157" i="20"/>
  <c r="T158" i="20"/>
  <c r="H187" i="20"/>
  <c r="H175" i="20"/>
  <c r="H163" i="20"/>
  <c r="Z187" i="20"/>
  <c r="Z163" i="20"/>
  <c r="Z175" i="20"/>
  <c r="V400" i="20"/>
  <c r="V376" i="20"/>
  <c r="D182" i="20"/>
  <c r="D180" i="20"/>
  <c r="D183" i="20"/>
  <c r="D170" i="20"/>
  <c r="D168" i="20"/>
  <c r="D171" i="20"/>
  <c r="D157" i="20"/>
  <c r="D169" i="20"/>
  <c r="D158" i="20"/>
  <c r="D181" i="20"/>
  <c r="D159" i="20"/>
  <c r="D156" i="20"/>
  <c r="C171" i="20"/>
  <c r="C180" i="20"/>
  <c r="C183" i="20"/>
  <c r="C181" i="20"/>
  <c r="C157" i="20"/>
  <c r="C168" i="20"/>
  <c r="C156" i="20"/>
  <c r="C169" i="20"/>
  <c r="C158" i="20"/>
  <c r="C182" i="20"/>
  <c r="C170" i="20"/>
  <c r="C159" i="20"/>
  <c r="P187" i="20"/>
  <c r="P175" i="20"/>
  <c r="P163" i="20"/>
  <c r="AC282" i="20"/>
  <c r="D151" i="20"/>
  <c r="Z185" i="20"/>
  <c r="Z173" i="20"/>
  <c r="Z161" i="20"/>
  <c r="R185" i="20"/>
  <c r="R173" i="20"/>
  <c r="R161" i="20"/>
  <c r="I183" i="20"/>
  <c r="AB288" i="20"/>
  <c r="T151" i="20"/>
  <c r="W184" i="20"/>
  <c r="W172" i="20"/>
  <c r="W160" i="20"/>
  <c r="Q172" i="20"/>
  <c r="Q184" i="20"/>
  <c r="Q160" i="20"/>
  <c r="E78" i="20"/>
  <c r="E66" i="20"/>
  <c r="E54" i="20"/>
  <c r="B80" i="20"/>
  <c r="AR12" i="33" s="1"/>
  <c r="B68" i="20"/>
  <c r="B56" i="20"/>
  <c r="Y80" i="20"/>
  <c r="Y68" i="20"/>
  <c r="Y56" i="20"/>
  <c r="P76" i="20"/>
  <c r="P64" i="20"/>
  <c r="P77" i="20"/>
  <c r="P74" i="20"/>
  <c r="P51" i="20"/>
  <c r="P75" i="20"/>
  <c r="P65" i="20"/>
  <c r="P62" i="20"/>
  <c r="P52" i="20"/>
  <c r="P50" i="20"/>
  <c r="P63" i="20"/>
  <c r="P53" i="20"/>
  <c r="G80" i="20"/>
  <c r="G68" i="20"/>
  <c r="G56" i="20"/>
  <c r="F62" i="20"/>
  <c r="F74" i="20"/>
  <c r="F64" i="20"/>
  <c r="F50" i="20"/>
  <c r="F53" i="20"/>
  <c r="F75" i="20"/>
  <c r="F76" i="20"/>
  <c r="F51" i="20"/>
  <c r="F77" i="20"/>
  <c r="F65" i="20"/>
  <c r="F52" i="20"/>
  <c r="F63" i="20"/>
  <c r="N173" i="20"/>
  <c r="Y171" i="20"/>
  <c r="F80" i="20"/>
  <c r="F68" i="20"/>
  <c r="F56" i="20"/>
  <c r="AA69" i="20"/>
  <c r="G75" i="20"/>
  <c r="G74" i="20"/>
  <c r="C81" i="20"/>
  <c r="AC67" i="20"/>
  <c r="AC79" i="20"/>
  <c r="EX11" i="33" s="1"/>
  <c r="AC55" i="20"/>
  <c r="T172" i="20"/>
  <c r="N78" i="20"/>
  <c r="N66" i="20"/>
  <c r="N54" i="20"/>
  <c r="I496" i="20"/>
  <c r="I484" i="20"/>
  <c r="I508" i="20"/>
  <c r="X490" i="20"/>
  <c r="X502" i="20"/>
  <c r="X491" i="20"/>
  <c r="X480" i="20"/>
  <c r="X493" i="20"/>
  <c r="X481" i="20"/>
  <c r="X505" i="20"/>
  <c r="X479" i="20"/>
  <c r="X478" i="20"/>
  <c r="X503" i="20"/>
  <c r="X492" i="20"/>
  <c r="X504" i="20"/>
  <c r="AB509" i="20"/>
  <c r="AB485" i="20"/>
  <c r="AB497" i="20"/>
  <c r="S404" i="20"/>
  <c r="S380" i="20"/>
  <c r="S392" i="20"/>
  <c r="G403" i="20"/>
  <c r="G379" i="20"/>
  <c r="G391" i="20"/>
  <c r="X403" i="20"/>
  <c r="X391" i="20"/>
  <c r="X379" i="20"/>
  <c r="X399" i="20"/>
  <c r="X374" i="20"/>
  <c r="X385" i="20"/>
  <c r="X397" i="20"/>
  <c r="X375" i="20"/>
  <c r="X373" i="20"/>
  <c r="X388" i="20"/>
  <c r="X386" i="20"/>
  <c r="X400" i="20"/>
  <c r="X387" i="20"/>
  <c r="X398" i="20"/>
  <c r="X376" i="20"/>
  <c r="AA378" i="20"/>
  <c r="AA402" i="20"/>
  <c r="AA390" i="20"/>
  <c r="V402" i="20"/>
  <c r="V378" i="20"/>
  <c r="V390" i="20"/>
  <c r="B391" i="20"/>
  <c r="B379" i="20"/>
  <c r="B403" i="20"/>
  <c r="BA12" i="33" s="1"/>
  <c r="R391" i="20"/>
  <c r="R403" i="20"/>
  <c r="R379" i="20"/>
  <c r="E401" i="20"/>
  <c r="E389" i="20"/>
  <c r="E377" i="20"/>
  <c r="Y401" i="20"/>
  <c r="Y377" i="20"/>
  <c r="Y389" i="20"/>
  <c r="T389" i="20"/>
  <c r="T401" i="20"/>
  <c r="T377" i="20"/>
  <c r="K401" i="20"/>
  <c r="K389" i="20"/>
  <c r="K377" i="20"/>
  <c r="X295" i="20"/>
  <c r="X271" i="20"/>
  <c r="X283" i="20"/>
  <c r="N269" i="20"/>
  <c r="N293" i="20"/>
  <c r="N281" i="20"/>
  <c r="I281" i="20"/>
  <c r="I293" i="20"/>
  <c r="I269" i="20"/>
  <c r="M398" i="20"/>
  <c r="DD7" i="33" s="1"/>
  <c r="M373" i="20"/>
  <c r="M397" i="20"/>
  <c r="DD6" i="33" s="1"/>
  <c r="M376" i="20"/>
  <c r="M388" i="20"/>
  <c r="M400" i="20"/>
  <c r="DD9" i="33" s="1"/>
  <c r="M399" i="20"/>
  <c r="DD8" i="33" s="1"/>
  <c r="M385" i="20"/>
  <c r="M375" i="20"/>
  <c r="M387" i="20"/>
  <c r="M386" i="20"/>
  <c r="M374" i="20"/>
  <c r="X289" i="20"/>
  <c r="X291" i="20"/>
  <c r="X288" i="20"/>
  <c r="X278" i="20"/>
  <c r="X264" i="20"/>
  <c r="X267" i="20"/>
  <c r="X290" i="20"/>
  <c r="X279" i="20"/>
  <c r="X265" i="20"/>
  <c r="X276" i="20"/>
  <c r="X266" i="20"/>
  <c r="X277" i="20"/>
  <c r="C290" i="20"/>
  <c r="C288" i="20"/>
  <c r="C279" i="20"/>
  <c r="C289" i="20"/>
  <c r="C265" i="20"/>
  <c r="C276" i="20"/>
  <c r="C266" i="20"/>
  <c r="C278" i="20"/>
  <c r="C267" i="20"/>
  <c r="C291" i="20"/>
  <c r="C277" i="20"/>
  <c r="C264" i="20"/>
  <c r="P295" i="20"/>
  <c r="P283" i="20"/>
  <c r="P271" i="20"/>
  <c r="L283" i="20"/>
  <c r="L271" i="20"/>
  <c r="L295" i="20"/>
  <c r="N283" i="20"/>
  <c r="N295" i="20"/>
  <c r="N271" i="20"/>
  <c r="R404" i="20"/>
  <c r="R380" i="20"/>
  <c r="R392" i="20"/>
  <c r="N282" i="20"/>
  <c r="N294" i="20"/>
  <c r="N270" i="20"/>
  <c r="Z270" i="20"/>
  <c r="Z282" i="20"/>
  <c r="Z294" i="20"/>
  <c r="AB282" i="20"/>
  <c r="AB294" i="20"/>
  <c r="AB270" i="20"/>
  <c r="X185" i="20"/>
  <c r="X173" i="20"/>
  <c r="X161" i="20"/>
  <c r="L182" i="20"/>
  <c r="L180" i="20"/>
  <c r="L183" i="20"/>
  <c r="L170" i="20"/>
  <c r="L168" i="20"/>
  <c r="L171" i="20"/>
  <c r="L159" i="20"/>
  <c r="L181" i="20"/>
  <c r="L157" i="20"/>
  <c r="L169" i="20"/>
  <c r="L158" i="20"/>
  <c r="L156" i="20"/>
  <c r="V187" i="20"/>
  <c r="V175" i="20"/>
  <c r="V163" i="20"/>
  <c r="H170" i="20"/>
  <c r="H182" i="20"/>
  <c r="H180" i="20"/>
  <c r="H156" i="20"/>
  <c r="H183" i="20"/>
  <c r="H159" i="20"/>
  <c r="H168" i="20"/>
  <c r="H169" i="20"/>
  <c r="H181" i="20"/>
  <c r="H171" i="20"/>
  <c r="H157" i="20"/>
  <c r="H158" i="20"/>
  <c r="AC169" i="20"/>
  <c r="AC183" i="20"/>
  <c r="FA9" i="33" s="1"/>
  <c r="AC181" i="20"/>
  <c r="FA7" i="33" s="1"/>
  <c r="AC171" i="20"/>
  <c r="AC182" i="20"/>
  <c r="FA8" i="33" s="1"/>
  <c r="AC158" i="20"/>
  <c r="AC159" i="20"/>
  <c r="AC156" i="20"/>
  <c r="AC180" i="20"/>
  <c r="FA6" i="33" s="1"/>
  <c r="AC168" i="20"/>
  <c r="AC157" i="20"/>
  <c r="AC170" i="20"/>
  <c r="Z292" i="20"/>
  <c r="Z280" i="20"/>
  <c r="Z268" i="20"/>
  <c r="AA292" i="20"/>
  <c r="AA280" i="20"/>
  <c r="AA268" i="20"/>
  <c r="AC268" i="20"/>
  <c r="AC280" i="20"/>
  <c r="AC292" i="20"/>
  <c r="FD10" i="33" s="1"/>
  <c r="F288" i="20"/>
  <c r="F291" i="20"/>
  <c r="F289" i="20"/>
  <c r="F290" i="20"/>
  <c r="F266" i="20"/>
  <c r="F279" i="20"/>
  <c r="F264" i="20"/>
  <c r="F278" i="20"/>
  <c r="F267" i="20"/>
  <c r="F276" i="20"/>
  <c r="F265" i="20"/>
  <c r="F277" i="20"/>
  <c r="K171" i="20"/>
  <c r="K180" i="20"/>
  <c r="K183" i="20"/>
  <c r="K181" i="20"/>
  <c r="K157" i="20"/>
  <c r="K168" i="20"/>
  <c r="K169" i="20"/>
  <c r="K170" i="20"/>
  <c r="K156" i="20"/>
  <c r="K182" i="20"/>
  <c r="K158" i="20"/>
  <c r="K159" i="20"/>
  <c r="AC294" i="20"/>
  <c r="FD12" i="33" s="1"/>
  <c r="I186" i="20"/>
  <c r="I162" i="20"/>
  <c r="I174" i="20"/>
  <c r="O186" i="20"/>
  <c r="O174" i="20"/>
  <c r="O162" i="20"/>
  <c r="K162" i="20"/>
  <c r="K186" i="20"/>
  <c r="K174" i="20"/>
  <c r="J185" i="20"/>
  <c r="J173" i="20"/>
  <c r="J161" i="20"/>
  <c r="AB185" i="20"/>
  <c r="AB173" i="20"/>
  <c r="AB161" i="20"/>
  <c r="V185" i="20"/>
  <c r="V161" i="20"/>
  <c r="V173" i="20"/>
  <c r="I168" i="20"/>
  <c r="I169" i="20"/>
  <c r="AB266" i="20"/>
  <c r="AC175" i="20"/>
  <c r="AC187" i="20"/>
  <c r="FA13" i="33" s="1"/>
  <c r="AC163" i="20"/>
  <c r="B184" i="20"/>
  <c r="AU10" i="33" s="1"/>
  <c r="B172" i="20"/>
  <c r="B160" i="20"/>
  <c r="AA184" i="20"/>
  <c r="AA160" i="20"/>
  <c r="AA172" i="20"/>
  <c r="G54" i="20"/>
  <c r="G66" i="20"/>
  <c r="G78" i="20"/>
  <c r="AA80" i="20"/>
  <c r="AA68" i="20"/>
  <c r="AA56" i="20"/>
  <c r="Z74" i="20"/>
  <c r="Z77" i="20"/>
  <c r="Z62" i="20"/>
  <c r="Z64" i="20"/>
  <c r="Z65" i="20"/>
  <c r="Z53" i="20"/>
  <c r="Z75" i="20"/>
  <c r="Z63" i="20"/>
  <c r="Z51" i="20"/>
  <c r="Z76" i="20"/>
  <c r="Z50" i="20"/>
  <c r="Z52" i="20"/>
  <c r="AC57" i="20"/>
  <c r="AC81" i="20"/>
  <c r="EX13" i="33" s="1"/>
  <c r="AC69" i="20"/>
  <c r="AB78" i="20"/>
  <c r="AB66" i="20"/>
  <c r="AB54" i="20"/>
  <c r="Q68" i="20"/>
  <c r="Q80" i="20"/>
  <c r="Q56" i="20"/>
  <c r="H76" i="20"/>
  <c r="H64" i="20"/>
  <c r="H75" i="20"/>
  <c r="H65" i="20"/>
  <c r="H51" i="20"/>
  <c r="H63" i="20"/>
  <c r="H74" i="20"/>
  <c r="H62" i="20"/>
  <c r="H53" i="20"/>
  <c r="H52" i="20"/>
  <c r="H50" i="20"/>
  <c r="H77" i="20"/>
  <c r="Y78" i="20"/>
  <c r="Y54" i="20"/>
  <c r="Y66" i="20"/>
  <c r="X78" i="20"/>
  <c r="X66" i="20"/>
  <c r="X54" i="20"/>
  <c r="G69" i="20"/>
  <c r="S57" i="20"/>
  <c r="R46" i="20"/>
  <c r="X79" i="20"/>
  <c r="X67" i="20"/>
  <c r="X55" i="20"/>
  <c r="V78" i="20"/>
  <c r="V66" i="20"/>
  <c r="V54" i="20"/>
  <c r="C77" i="20"/>
  <c r="C65" i="20"/>
  <c r="C63" i="20"/>
  <c r="C52" i="20"/>
  <c r="C74" i="20"/>
  <c r="C75" i="20"/>
  <c r="C51" i="20"/>
  <c r="C50" i="20"/>
  <c r="C62" i="20"/>
  <c r="C76" i="20"/>
  <c r="C53" i="20"/>
  <c r="C64" i="20"/>
  <c r="B66" i="20"/>
  <c r="B78" i="20"/>
  <c r="AR10" i="33" s="1"/>
  <c r="B54" i="20"/>
  <c r="I483" i="20"/>
  <c r="I495" i="20"/>
  <c r="I507" i="20"/>
  <c r="M506" i="20"/>
  <c r="DG10" i="33" s="1"/>
  <c r="M482" i="20"/>
  <c r="M494" i="20"/>
  <c r="N508" i="20"/>
  <c r="N484" i="20"/>
  <c r="N496" i="20"/>
  <c r="M508" i="20"/>
  <c r="DG12" i="33" s="1"/>
  <c r="M484" i="20"/>
  <c r="M496" i="20"/>
  <c r="C491" i="20"/>
  <c r="C503" i="20"/>
  <c r="C481" i="20"/>
  <c r="C493" i="20"/>
  <c r="C505" i="20"/>
  <c r="C504" i="20"/>
  <c r="C502" i="20"/>
  <c r="C479" i="20"/>
  <c r="C492" i="20"/>
  <c r="C478" i="20"/>
  <c r="C490" i="20"/>
  <c r="C480" i="20"/>
  <c r="Z404" i="20"/>
  <c r="Z380" i="20"/>
  <c r="Z392" i="20"/>
  <c r="C403" i="20"/>
  <c r="C391" i="20"/>
  <c r="C379" i="20"/>
  <c r="F376" i="20"/>
  <c r="F387" i="20"/>
  <c r="F398" i="20"/>
  <c r="F386" i="20"/>
  <c r="F399" i="20"/>
  <c r="F375" i="20"/>
  <c r="F374" i="20"/>
  <c r="F373" i="20"/>
  <c r="F400" i="20"/>
  <c r="F397" i="20"/>
  <c r="F388" i="20"/>
  <c r="F385" i="20"/>
  <c r="J404" i="20"/>
  <c r="J380" i="20"/>
  <c r="J392" i="20"/>
  <c r="Q402" i="20"/>
  <c r="Q378" i="20"/>
  <c r="Q390" i="20"/>
  <c r="X392" i="20"/>
  <c r="X404" i="20"/>
  <c r="X380" i="20"/>
  <c r="L378" i="20"/>
  <c r="L390" i="20"/>
  <c r="L402" i="20"/>
  <c r="AB389" i="20"/>
  <c r="AB401" i="20"/>
  <c r="AB377" i="20"/>
  <c r="X506" i="20"/>
  <c r="X494" i="20"/>
  <c r="X482" i="20"/>
  <c r="V495" i="20"/>
  <c r="V507" i="20"/>
  <c r="V483" i="20"/>
  <c r="S482" i="20"/>
  <c r="S494" i="20"/>
  <c r="S506" i="20"/>
  <c r="U484" i="20"/>
  <c r="U496" i="20"/>
  <c r="U508" i="20"/>
  <c r="AC505" i="20"/>
  <c r="FJ9" i="33" s="1"/>
  <c r="AC493" i="20"/>
  <c r="AC479" i="20"/>
  <c r="AC491" i="20"/>
  <c r="AC481" i="20"/>
  <c r="AC504" i="20"/>
  <c r="FJ8" i="33" s="1"/>
  <c r="AC503" i="20"/>
  <c r="FJ7" i="33" s="1"/>
  <c r="AC492" i="20"/>
  <c r="AC480" i="20"/>
  <c r="AC490" i="20"/>
  <c r="AC502" i="20"/>
  <c r="FJ6" i="33" s="1"/>
  <c r="AC478" i="20"/>
  <c r="G404" i="20"/>
  <c r="G380" i="20"/>
  <c r="G392" i="20"/>
  <c r="B400" i="20"/>
  <c r="BA9" i="33" s="1"/>
  <c r="B399" i="20"/>
  <c r="BA8" i="33" s="1"/>
  <c r="B388" i="20"/>
  <c r="B398" i="20"/>
  <c r="BA7" i="33" s="1"/>
  <c r="B375" i="20"/>
  <c r="B386" i="20"/>
  <c r="B387" i="20"/>
  <c r="B385" i="20"/>
  <c r="B376" i="20"/>
  <c r="B373" i="20"/>
  <c r="B374" i="20"/>
  <c r="B397" i="20"/>
  <c r="BA6" i="33" s="1"/>
  <c r="P380" i="20"/>
  <c r="P392" i="20"/>
  <c r="P404" i="20"/>
  <c r="AA404" i="20"/>
  <c r="AA392" i="20"/>
  <c r="AA380" i="20"/>
  <c r="T403" i="20"/>
  <c r="T391" i="20"/>
  <c r="T379" i="20"/>
  <c r="M379" i="20"/>
  <c r="M391" i="20"/>
  <c r="M403" i="20"/>
  <c r="DD12" i="33" s="1"/>
  <c r="I403" i="20"/>
  <c r="I391" i="20"/>
  <c r="I379" i="20"/>
  <c r="R390" i="20"/>
  <c r="R378" i="20"/>
  <c r="R402" i="20"/>
  <c r="N404" i="20"/>
  <c r="N392" i="20"/>
  <c r="N380" i="20"/>
  <c r="AB403" i="20"/>
  <c r="AB391" i="20"/>
  <c r="AB379" i="20"/>
  <c r="O389" i="20"/>
  <c r="O377" i="20"/>
  <c r="O401" i="20"/>
  <c r="S401" i="20"/>
  <c r="S377" i="20"/>
  <c r="S389" i="20"/>
  <c r="V269" i="20"/>
  <c r="V293" i="20"/>
  <c r="V281" i="20"/>
  <c r="Q293" i="20"/>
  <c r="Q281" i="20"/>
  <c r="Q269" i="20"/>
  <c r="V283" i="20"/>
  <c r="V271" i="20"/>
  <c r="V295" i="20"/>
  <c r="C294" i="20"/>
  <c r="C282" i="20"/>
  <c r="C270" i="20"/>
  <c r="P161" i="20"/>
  <c r="P173" i="20"/>
  <c r="P185" i="20"/>
  <c r="Q181" i="20"/>
  <c r="Q182" i="20"/>
  <c r="Q169" i="20"/>
  <c r="Q183" i="20"/>
  <c r="Q159" i="20"/>
  <c r="Q170" i="20"/>
  <c r="Q180" i="20"/>
  <c r="Q171" i="20"/>
  <c r="Q158" i="20"/>
  <c r="Q168" i="20"/>
  <c r="Q156" i="20"/>
  <c r="Q157" i="20"/>
  <c r="U186" i="20"/>
  <c r="U174" i="20"/>
  <c r="U162" i="20"/>
  <c r="Y174" i="20"/>
  <c r="Y186" i="20"/>
  <c r="Y162" i="20"/>
  <c r="I156" i="20"/>
  <c r="I182" i="20"/>
  <c r="AB291" i="20"/>
  <c r="L184" i="20"/>
  <c r="L160" i="20"/>
  <c r="L172" i="20"/>
  <c r="H184" i="20"/>
  <c r="H172" i="20"/>
  <c r="H160" i="20"/>
  <c r="T64" i="20"/>
  <c r="T76" i="20"/>
  <c r="T75" i="20"/>
  <c r="T65" i="20"/>
  <c r="T52" i="20"/>
  <c r="T62" i="20"/>
  <c r="T63" i="20"/>
  <c r="T53" i="20"/>
  <c r="T51" i="20"/>
  <c r="T50" i="20"/>
  <c r="T74" i="20"/>
  <c r="T77" i="20"/>
  <c r="R74" i="20"/>
  <c r="R77" i="20"/>
  <c r="R62" i="20"/>
  <c r="R65" i="20"/>
  <c r="R63" i="20"/>
  <c r="R53" i="20"/>
  <c r="R76" i="20"/>
  <c r="R51" i="20"/>
  <c r="R64" i="20"/>
  <c r="R75" i="20"/>
  <c r="R50" i="20"/>
  <c r="R52" i="20"/>
  <c r="W81" i="20"/>
  <c r="W57" i="20"/>
  <c r="W69" i="20"/>
  <c r="Z81" i="20"/>
  <c r="Z69" i="20"/>
  <c r="Z57" i="20"/>
  <c r="Y170" i="20"/>
  <c r="F78" i="20"/>
  <c r="F66" i="20"/>
  <c r="F54" i="20"/>
  <c r="G57" i="20"/>
  <c r="G76" i="20"/>
  <c r="S81" i="20"/>
  <c r="AC46" i="20"/>
  <c r="K77" i="20"/>
  <c r="K65" i="20"/>
  <c r="K62" i="20"/>
  <c r="K76" i="20"/>
  <c r="K52" i="20"/>
  <c r="K74" i="20"/>
  <c r="K53" i="20"/>
  <c r="K64" i="20"/>
  <c r="K51" i="20"/>
  <c r="K75" i="20"/>
  <c r="K63" i="20"/>
  <c r="K50" i="20"/>
  <c r="J66" i="20"/>
  <c r="J78" i="20"/>
  <c r="J54" i="20"/>
  <c r="N495" i="20"/>
  <c r="N483" i="20"/>
  <c r="N507" i="20"/>
  <c r="K484" i="20"/>
  <c r="K508" i="20"/>
  <c r="K496" i="20"/>
  <c r="G503" i="20"/>
  <c r="G491" i="20"/>
  <c r="G504" i="20"/>
  <c r="G481" i="20"/>
  <c r="G505" i="20"/>
  <c r="G493" i="20"/>
  <c r="G478" i="20"/>
  <c r="G492" i="20"/>
  <c r="G490" i="20"/>
  <c r="G479" i="20"/>
  <c r="G480" i="20"/>
  <c r="G502" i="20"/>
  <c r="J400" i="20"/>
  <c r="J388" i="20"/>
  <c r="J399" i="20"/>
  <c r="J375" i="20"/>
  <c r="J387" i="20"/>
  <c r="J397" i="20"/>
  <c r="J374" i="20"/>
  <c r="J373" i="20"/>
  <c r="J398" i="20"/>
  <c r="J386" i="20"/>
  <c r="J385" i="20"/>
  <c r="J376" i="20"/>
  <c r="G497" i="20"/>
  <c r="G485" i="20"/>
  <c r="G509" i="20"/>
  <c r="B506" i="20"/>
  <c r="BD10" i="33" s="1"/>
  <c r="B482" i="20"/>
  <c r="B494" i="20"/>
  <c r="G495" i="20"/>
  <c r="G507" i="20"/>
  <c r="G483" i="20"/>
  <c r="Y495" i="20"/>
  <c r="Y483" i="20"/>
  <c r="Y507" i="20"/>
  <c r="AA494" i="20"/>
  <c r="AA506" i="20"/>
  <c r="AA482" i="20"/>
  <c r="AC506" i="20"/>
  <c r="FJ10" i="33" s="1"/>
  <c r="AC482" i="20"/>
  <c r="AC494" i="20"/>
  <c r="V508" i="20"/>
  <c r="V484" i="20"/>
  <c r="V496" i="20"/>
  <c r="Y496" i="20"/>
  <c r="Y508" i="20"/>
  <c r="Y484" i="20"/>
  <c r="AA484" i="20"/>
  <c r="AA508" i="20"/>
  <c r="AA496" i="20"/>
  <c r="AC508" i="20"/>
  <c r="FJ12" i="33" s="1"/>
  <c r="AC496" i="20"/>
  <c r="AC484" i="20"/>
  <c r="L502" i="20"/>
  <c r="L490" i="20"/>
  <c r="L504" i="20"/>
  <c r="L480" i="20"/>
  <c r="L492" i="20"/>
  <c r="L491" i="20"/>
  <c r="L479" i="20"/>
  <c r="L503" i="20"/>
  <c r="L478" i="20"/>
  <c r="L493" i="20"/>
  <c r="L505" i="20"/>
  <c r="L481" i="20"/>
  <c r="AB502" i="20"/>
  <c r="AB490" i="20"/>
  <c r="AB504" i="20"/>
  <c r="AB480" i="20"/>
  <c r="AB478" i="20"/>
  <c r="AB505" i="20"/>
  <c r="AB479" i="20"/>
  <c r="AB493" i="20"/>
  <c r="AB481" i="20"/>
  <c r="AB491" i="20"/>
  <c r="AB503" i="20"/>
  <c r="AB492" i="20"/>
  <c r="Q493" i="20"/>
  <c r="Q505" i="20"/>
  <c r="Q502" i="20"/>
  <c r="Q504" i="20"/>
  <c r="Q479" i="20"/>
  <c r="Q478" i="20"/>
  <c r="Q503" i="20"/>
  <c r="Q490" i="20"/>
  <c r="Q480" i="20"/>
  <c r="Q491" i="20"/>
  <c r="Q481" i="20"/>
  <c r="Q492" i="20"/>
  <c r="K509" i="20"/>
  <c r="K497" i="20"/>
  <c r="K485" i="20"/>
  <c r="J497" i="20"/>
  <c r="J485" i="20"/>
  <c r="J509" i="20"/>
  <c r="M497" i="20"/>
  <c r="M509" i="20"/>
  <c r="DG13" i="33" s="1"/>
  <c r="M485" i="20"/>
  <c r="W497" i="20"/>
  <c r="W485" i="20"/>
  <c r="W509" i="20"/>
  <c r="D380" i="20"/>
  <c r="D404" i="20"/>
  <c r="D392" i="20"/>
  <c r="L398" i="20"/>
  <c r="L386" i="20"/>
  <c r="L373" i="20"/>
  <c r="L388" i="20"/>
  <c r="L400" i="20"/>
  <c r="L397" i="20"/>
  <c r="L387" i="20"/>
  <c r="L385" i="20"/>
  <c r="L376" i="20"/>
  <c r="L399" i="20"/>
  <c r="L375" i="20"/>
  <c r="L374" i="20"/>
  <c r="F403" i="20"/>
  <c r="F379" i="20"/>
  <c r="F391" i="20"/>
  <c r="W403" i="20"/>
  <c r="W379" i="20"/>
  <c r="W391" i="20"/>
  <c r="Q403" i="20"/>
  <c r="Q379" i="20"/>
  <c r="Q391" i="20"/>
  <c r="D378" i="20"/>
  <c r="D390" i="20"/>
  <c r="D402" i="20"/>
  <c r="O404" i="20"/>
  <c r="O392" i="20"/>
  <c r="O380" i="20"/>
  <c r="V404" i="20"/>
  <c r="V392" i="20"/>
  <c r="V380" i="20"/>
  <c r="AB402" i="20"/>
  <c r="AB378" i="20"/>
  <c r="AB390" i="20"/>
  <c r="E402" i="20"/>
  <c r="E378" i="20"/>
  <c r="E390" i="20"/>
  <c r="N401" i="20"/>
  <c r="N389" i="20"/>
  <c r="N377" i="20"/>
  <c r="AC401" i="20"/>
  <c r="FG10" i="33" s="1"/>
  <c r="AC389" i="20"/>
  <c r="AC377" i="20"/>
  <c r="U401" i="20"/>
  <c r="U389" i="20"/>
  <c r="U377" i="20"/>
  <c r="AA389" i="20"/>
  <c r="AA401" i="20"/>
  <c r="AA377" i="20"/>
  <c r="G293" i="20"/>
  <c r="G269" i="20"/>
  <c r="G281" i="20"/>
  <c r="Y281" i="20"/>
  <c r="Y293" i="20"/>
  <c r="Y269" i="20"/>
  <c r="U399" i="20"/>
  <c r="U373" i="20"/>
  <c r="U398" i="20"/>
  <c r="U376" i="20"/>
  <c r="U374" i="20"/>
  <c r="U397" i="20"/>
  <c r="U375" i="20"/>
  <c r="U388" i="20"/>
  <c r="U387" i="20"/>
  <c r="U385" i="20"/>
  <c r="U400" i="20"/>
  <c r="U386" i="20"/>
  <c r="C400" i="20"/>
  <c r="C398" i="20"/>
  <c r="C375" i="20"/>
  <c r="C386" i="20"/>
  <c r="C399" i="20"/>
  <c r="C388" i="20"/>
  <c r="C385" i="20"/>
  <c r="C387" i="20"/>
  <c r="C376" i="20"/>
  <c r="C373" i="20"/>
  <c r="C374" i="20"/>
  <c r="C397" i="20"/>
  <c r="S400" i="20"/>
  <c r="S375" i="20"/>
  <c r="S386" i="20"/>
  <c r="S387" i="20"/>
  <c r="S398" i="20"/>
  <c r="S385" i="20"/>
  <c r="S376" i="20"/>
  <c r="S399" i="20"/>
  <c r="S374" i="20"/>
  <c r="S373" i="20"/>
  <c r="S397" i="20"/>
  <c r="S388" i="20"/>
  <c r="E288" i="20"/>
  <c r="E289" i="20"/>
  <c r="E277" i="20"/>
  <c r="E266" i="20"/>
  <c r="E290" i="20"/>
  <c r="E279" i="20"/>
  <c r="E264" i="20"/>
  <c r="E265" i="20"/>
  <c r="E291" i="20"/>
  <c r="E276" i="20"/>
  <c r="E278" i="20"/>
  <c r="E267" i="20"/>
  <c r="Q289" i="20"/>
  <c r="Q291" i="20"/>
  <c r="Q279" i="20"/>
  <c r="Q267" i="20"/>
  <c r="Q288" i="20"/>
  <c r="Q278" i="20"/>
  <c r="Q265" i="20"/>
  <c r="Q277" i="20"/>
  <c r="Q264" i="20"/>
  <c r="Q290" i="20"/>
  <c r="Q276" i="20"/>
  <c r="Q266" i="20"/>
  <c r="S290" i="20"/>
  <c r="S279" i="20"/>
  <c r="S291" i="20"/>
  <c r="S278" i="20"/>
  <c r="S265" i="20"/>
  <c r="S277" i="20"/>
  <c r="S289" i="20"/>
  <c r="S276" i="20"/>
  <c r="S266" i="20"/>
  <c r="S267" i="20"/>
  <c r="S288" i="20"/>
  <c r="S264" i="20"/>
  <c r="AB283" i="20"/>
  <c r="AB295" i="20"/>
  <c r="AB271" i="20"/>
  <c r="H283" i="20"/>
  <c r="H271" i="20"/>
  <c r="H295" i="20"/>
  <c r="Q173" i="20"/>
  <c r="Q185" i="20"/>
  <c r="Q161" i="20"/>
  <c r="O294" i="20"/>
  <c r="O282" i="20"/>
  <c r="O270" i="20"/>
  <c r="I270" i="20"/>
  <c r="I294" i="20"/>
  <c r="I282" i="20"/>
  <c r="H161" i="20"/>
  <c r="H185" i="20"/>
  <c r="H173" i="20"/>
  <c r="O175" i="20"/>
  <c r="O187" i="20"/>
  <c r="O163" i="20"/>
  <c r="I151" i="20"/>
  <c r="G183" i="20"/>
  <c r="G181" i="20"/>
  <c r="G171" i="20"/>
  <c r="G169" i="20"/>
  <c r="G180" i="20"/>
  <c r="G156" i="20"/>
  <c r="G158" i="20"/>
  <c r="G170" i="20"/>
  <c r="G159" i="20"/>
  <c r="G182" i="20"/>
  <c r="G157" i="20"/>
  <c r="G168" i="20"/>
  <c r="O183" i="20"/>
  <c r="O181" i="20"/>
  <c r="O171" i="20"/>
  <c r="O169" i="20"/>
  <c r="O180" i="20"/>
  <c r="O156" i="20"/>
  <c r="O182" i="20"/>
  <c r="O158" i="20"/>
  <c r="O168" i="20"/>
  <c r="O170" i="20"/>
  <c r="O159" i="20"/>
  <c r="O157" i="20"/>
  <c r="Q187" i="20"/>
  <c r="Q175" i="20"/>
  <c r="Q163" i="20"/>
  <c r="O292" i="20"/>
  <c r="O280" i="20"/>
  <c r="O268" i="20"/>
  <c r="L292" i="20"/>
  <c r="L268" i="20"/>
  <c r="L280" i="20"/>
  <c r="X187" i="20"/>
  <c r="X175" i="20"/>
  <c r="X163" i="20"/>
  <c r="E169" i="20"/>
  <c r="E183" i="20"/>
  <c r="E181" i="20"/>
  <c r="E171" i="20"/>
  <c r="E182" i="20"/>
  <c r="E158" i="20"/>
  <c r="E168" i="20"/>
  <c r="E180" i="20"/>
  <c r="E170" i="20"/>
  <c r="E156" i="20"/>
  <c r="E159" i="20"/>
  <c r="E157" i="20"/>
  <c r="AC281" i="20"/>
  <c r="J186" i="20"/>
  <c r="J162" i="20"/>
  <c r="J174" i="20"/>
  <c r="F186" i="20"/>
  <c r="F174" i="20"/>
  <c r="F162" i="20"/>
  <c r="AA186" i="20"/>
  <c r="AA162" i="20"/>
  <c r="AA174" i="20"/>
  <c r="S185" i="20"/>
  <c r="S173" i="20"/>
  <c r="S161" i="20"/>
  <c r="M185" i="20"/>
  <c r="CX11" i="33" s="1"/>
  <c r="M173" i="20"/>
  <c r="M161" i="20"/>
  <c r="I171" i="20"/>
  <c r="I181" i="20"/>
  <c r="AB264" i="20"/>
  <c r="AB277" i="20"/>
  <c r="X184" i="20"/>
  <c r="X172" i="20"/>
  <c r="X160" i="20"/>
  <c r="R184" i="20"/>
  <c r="R172" i="20"/>
  <c r="R160" i="20"/>
  <c r="P81" i="20"/>
  <c r="P69" i="20"/>
  <c r="P57" i="20"/>
  <c r="L64" i="20"/>
  <c r="L76" i="20"/>
  <c r="L52" i="20"/>
  <c r="L63" i="20"/>
  <c r="L51" i="20"/>
  <c r="L77" i="20"/>
  <c r="L74" i="20"/>
  <c r="L53" i="20"/>
  <c r="L65" i="20"/>
  <c r="L62" i="20"/>
  <c r="L75" i="20"/>
  <c r="L50" i="20"/>
  <c r="K80" i="20"/>
  <c r="K56" i="20"/>
  <c r="K68" i="20"/>
  <c r="J74" i="20"/>
  <c r="J77" i="20"/>
  <c r="J62" i="20"/>
  <c r="J75" i="20"/>
  <c r="J63" i="20"/>
  <c r="J64" i="20"/>
  <c r="J53" i="20"/>
  <c r="J50" i="20"/>
  <c r="J65" i="20"/>
  <c r="J76" i="20"/>
  <c r="J52" i="20"/>
  <c r="J51" i="20"/>
  <c r="M57" i="20"/>
  <c r="M81" i="20"/>
  <c r="CU13" i="33" s="1"/>
  <c r="M69" i="20"/>
  <c r="L66" i="20"/>
  <c r="L78" i="20"/>
  <c r="L54" i="20"/>
  <c r="AA54" i="20"/>
  <c r="AA66" i="20"/>
  <c r="AA78" i="20"/>
  <c r="O81" i="20"/>
  <c r="O57" i="20"/>
  <c r="O69" i="20"/>
  <c r="G174" i="20"/>
  <c r="G162" i="20"/>
  <c r="G186" i="20"/>
  <c r="I78" i="20"/>
  <c r="I54" i="20"/>
  <c r="I66" i="20"/>
  <c r="J184" i="20"/>
  <c r="J172" i="20"/>
  <c r="J160" i="20"/>
  <c r="Y159" i="20"/>
  <c r="H66" i="20"/>
  <c r="H78" i="20"/>
  <c r="H54" i="20"/>
  <c r="K57" i="20"/>
  <c r="P80" i="20"/>
  <c r="V79" i="20"/>
  <c r="V67" i="20"/>
  <c r="V55" i="20"/>
  <c r="J67" i="20"/>
  <c r="J55" i="20"/>
  <c r="J79" i="20"/>
  <c r="AA77" i="20"/>
  <c r="AA65" i="20"/>
  <c r="AA64" i="20"/>
  <c r="AA74" i="20"/>
  <c r="AA52" i="20"/>
  <c r="AA75" i="20"/>
  <c r="AA76" i="20"/>
  <c r="AA53" i="20"/>
  <c r="AA63" i="20"/>
  <c r="AA51" i="20"/>
  <c r="AA62" i="20"/>
  <c r="AA50" i="20"/>
  <c r="R66" i="20"/>
  <c r="R78" i="20"/>
  <c r="R54" i="20"/>
  <c r="K494" i="20"/>
  <c r="K482" i="20"/>
  <c r="K506" i="20"/>
  <c r="W503" i="20"/>
  <c r="W491" i="20"/>
  <c r="W504" i="20"/>
  <c r="W481" i="20"/>
  <c r="W502" i="20"/>
  <c r="W479" i="20"/>
  <c r="W492" i="20"/>
  <c r="W490" i="20"/>
  <c r="W480" i="20"/>
  <c r="W478" i="20"/>
  <c r="W505" i="20"/>
  <c r="W493" i="20"/>
  <c r="Q380" i="20"/>
  <c r="Q404" i="20"/>
  <c r="Q392" i="20"/>
  <c r="I509" i="20"/>
  <c r="I485" i="20"/>
  <c r="I497" i="20"/>
  <c r="D495" i="20"/>
  <c r="D507" i="20"/>
  <c r="D483" i="20"/>
  <c r="O495" i="20"/>
  <c r="O507" i="20"/>
  <c r="O483" i="20"/>
  <c r="J507" i="20"/>
  <c r="J495" i="20"/>
  <c r="J483" i="20"/>
  <c r="D494" i="20"/>
  <c r="D506" i="20"/>
  <c r="D482" i="20"/>
  <c r="X508" i="20"/>
  <c r="X496" i="20"/>
  <c r="X484" i="20"/>
  <c r="B496" i="20"/>
  <c r="B508" i="20"/>
  <c r="BD12" i="33" s="1"/>
  <c r="B484" i="20"/>
  <c r="M505" i="20"/>
  <c r="DG9" i="33" s="1"/>
  <c r="M493" i="20"/>
  <c r="M491" i="20"/>
  <c r="M479" i="20"/>
  <c r="M490" i="20"/>
  <c r="M480" i="20"/>
  <c r="M481" i="20"/>
  <c r="M502" i="20"/>
  <c r="DG6" i="33" s="1"/>
  <c r="M504" i="20"/>
  <c r="DG8" i="33" s="1"/>
  <c r="M492" i="20"/>
  <c r="M478" i="20"/>
  <c r="M503" i="20"/>
  <c r="DG7" i="33" s="1"/>
  <c r="AA491" i="20"/>
  <c r="AA503" i="20"/>
  <c r="AA502" i="20"/>
  <c r="AA492" i="20"/>
  <c r="AA481" i="20"/>
  <c r="AA490" i="20"/>
  <c r="AA478" i="20"/>
  <c r="AA480" i="20"/>
  <c r="AA504" i="20"/>
  <c r="AA505" i="20"/>
  <c r="AA479" i="20"/>
  <c r="AA493" i="20"/>
  <c r="Q509" i="20"/>
  <c r="Q485" i="20"/>
  <c r="Q497" i="20"/>
  <c r="R497" i="20"/>
  <c r="R509" i="20"/>
  <c r="R485" i="20"/>
  <c r="H485" i="20"/>
  <c r="H497" i="20"/>
  <c r="H509" i="20"/>
  <c r="L404" i="20"/>
  <c r="L392" i="20"/>
  <c r="L380" i="20"/>
  <c r="I397" i="20"/>
  <c r="I385" i="20"/>
  <c r="I388" i="20"/>
  <c r="I387" i="20"/>
  <c r="I374" i="20"/>
  <c r="I373" i="20"/>
  <c r="I400" i="20"/>
  <c r="I398" i="20"/>
  <c r="I386" i="20"/>
  <c r="I399" i="20"/>
  <c r="I375" i="20"/>
  <c r="I376" i="20"/>
  <c r="Y397" i="20"/>
  <c r="Y385" i="20"/>
  <c r="Y388" i="20"/>
  <c r="Y399" i="20"/>
  <c r="Y374" i="20"/>
  <c r="Y386" i="20"/>
  <c r="Y400" i="20"/>
  <c r="Y387" i="20"/>
  <c r="Y398" i="20"/>
  <c r="Y376" i="20"/>
  <c r="Y375" i="20"/>
  <c r="Y373" i="20"/>
  <c r="D403" i="20"/>
  <c r="D379" i="20"/>
  <c r="D391" i="20"/>
  <c r="Y403" i="20"/>
  <c r="Y379" i="20"/>
  <c r="Y391" i="20"/>
  <c r="G399" i="20"/>
  <c r="G400" i="20"/>
  <c r="G387" i="20"/>
  <c r="G374" i="20"/>
  <c r="G398" i="20"/>
  <c r="G386" i="20"/>
  <c r="G376" i="20"/>
  <c r="G373" i="20"/>
  <c r="G375" i="20"/>
  <c r="G397" i="20"/>
  <c r="G388" i="20"/>
  <c r="G385" i="20"/>
  <c r="W404" i="20"/>
  <c r="W392" i="20"/>
  <c r="W380" i="20"/>
  <c r="Y404" i="20"/>
  <c r="Y380" i="20"/>
  <c r="Y392" i="20"/>
  <c r="G402" i="20"/>
  <c r="G390" i="20"/>
  <c r="G378" i="20"/>
  <c r="M402" i="20"/>
  <c r="DD11" i="33" s="1"/>
  <c r="M378" i="20"/>
  <c r="M390" i="20"/>
  <c r="AC403" i="20"/>
  <c r="FG12" i="33" s="1"/>
  <c r="AC391" i="20"/>
  <c r="AC379" i="20"/>
  <c r="S403" i="20"/>
  <c r="S391" i="20"/>
  <c r="S379" i="20"/>
  <c r="D389" i="20"/>
  <c r="D401" i="20"/>
  <c r="D377" i="20"/>
  <c r="B401" i="20"/>
  <c r="BA10" i="33" s="1"/>
  <c r="B377" i="20"/>
  <c r="B389" i="20"/>
  <c r="B281" i="20"/>
  <c r="B293" i="20"/>
  <c r="AX11" i="33" s="1"/>
  <c r="B269" i="20"/>
  <c r="S295" i="20"/>
  <c r="S271" i="20"/>
  <c r="S283" i="20"/>
  <c r="C293" i="20"/>
  <c r="C281" i="20"/>
  <c r="C269" i="20"/>
  <c r="AC400" i="20"/>
  <c r="FG9" i="33" s="1"/>
  <c r="AC373" i="20"/>
  <c r="AC376" i="20"/>
  <c r="AC386" i="20"/>
  <c r="AC398" i="20"/>
  <c r="FG7" i="33" s="1"/>
  <c r="AC387" i="20"/>
  <c r="AC397" i="20"/>
  <c r="FG6" i="33" s="1"/>
  <c r="AC388" i="20"/>
  <c r="AC385" i="20"/>
  <c r="AC375" i="20"/>
  <c r="AC374" i="20"/>
  <c r="AC399" i="20"/>
  <c r="FG8" i="33" s="1"/>
  <c r="M288" i="20"/>
  <c r="DA6" i="33" s="1"/>
  <c r="M277" i="20"/>
  <c r="M289" i="20"/>
  <c r="DA7" i="33" s="1"/>
  <c r="M290" i="20"/>
  <c r="DA8" i="33" s="1"/>
  <c r="M276" i="20"/>
  <c r="M266" i="20"/>
  <c r="M291" i="20"/>
  <c r="DA9" i="33" s="1"/>
  <c r="M264" i="20"/>
  <c r="M265" i="20"/>
  <c r="M279" i="20"/>
  <c r="M278" i="20"/>
  <c r="M267" i="20"/>
  <c r="Y289" i="20"/>
  <c r="Y288" i="20"/>
  <c r="Y267" i="20"/>
  <c r="Y290" i="20"/>
  <c r="Y279" i="20"/>
  <c r="Y265" i="20"/>
  <c r="Y278" i="20"/>
  <c r="Y291" i="20"/>
  <c r="Y277" i="20"/>
  <c r="Y264" i="20"/>
  <c r="Y276" i="20"/>
  <c r="Y266" i="20"/>
  <c r="AA290" i="20"/>
  <c r="AA289" i="20"/>
  <c r="AA279" i="20"/>
  <c r="AA265" i="20"/>
  <c r="AA278" i="20"/>
  <c r="AA277" i="20"/>
  <c r="AA291" i="20"/>
  <c r="AA266" i="20"/>
  <c r="AA267" i="20"/>
  <c r="AA276" i="20"/>
  <c r="AA288" i="20"/>
  <c r="AA264" i="20"/>
  <c r="E283" i="20"/>
  <c r="E295" i="20"/>
  <c r="E271" i="20"/>
  <c r="O283" i="20"/>
  <c r="O271" i="20"/>
  <c r="O295" i="20"/>
  <c r="AB293" i="20"/>
  <c r="AB281" i="20"/>
  <c r="AB269" i="20"/>
  <c r="I173" i="20"/>
  <c r="I185" i="20"/>
  <c r="I161" i="20"/>
  <c r="Z281" i="20"/>
  <c r="Z293" i="20"/>
  <c r="Z269" i="20"/>
  <c r="Q270" i="20"/>
  <c r="Q294" i="20"/>
  <c r="Q282" i="20"/>
  <c r="S282" i="20"/>
  <c r="S294" i="20"/>
  <c r="S270" i="20"/>
  <c r="AC184" i="20"/>
  <c r="FA10" i="33" s="1"/>
  <c r="AC172" i="20"/>
  <c r="AC160" i="20"/>
  <c r="W175" i="20"/>
  <c r="W187" i="20"/>
  <c r="W163" i="20"/>
  <c r="D175" i="20"/>
  <c r="D187" i="20"/>
  <c r="D163" i="20"/>
  <c r="W270" i="20"/>
  <c r="V399" i="20"/>
  <c r="Q292" i="20"/>
  <c r="Q280" i="20"/>
  <c r="Q268" i="20"/>
  <c r="M294" i="20"/>
  <c r="DA12" i="33" s="1"/>
  <c r="M282" i="20"/>
  <c r="M270" i="20"/>
  <c r="L175" i="20"/>
  <c r="L187" i="20"/>
  <c r="L163" i="20"/>
  <c r="B168" i="20"/>
  <c r="B182" i="20"/>
  <c r="AU8" i="33" s="1"/>
  <c r="B180" i="20"/>
  <c r="AU6" i="33" s="1"/>
  <c r="B170" i="20"/>
  <c r="B181" i="20"/>
  <c r="AU7" i="33" s="1"/>
  <c r="B157" i="20"/>
  <c r="B159" i="20"/>
  <c r="B169" i="20"/>
  <c r="B183" i="20"/>
  <c r="AU9" i="33" s="1"/>
  <c r="B171" i="20"/>
  <c r="B158" i="20"/>
  <c r="B156" i="20"/>
  <c r="V186" i="20"/>
  <c r="V174" i="20"/>
  <c r="V162" i="20"/>
  <c r="P186" i="20"/>
  <c r="P162" i="20"/>
  <c r="P174" i="20"/>
  <c r="D174" i="20"/>
  <c r="D186" i="20"/>
  <c r="D162" i="20"/>
  <c r="AC185" i="20"/>
  <c r="FA11" i="33" s="1"/>
  <c r="AC161" i="20"/>
  <c r="AC173" i="20"/>
  <c r="AB267" i="20"/>
  <c r="AB278" i="20"/>
  <c r="Z184" i="20"/>
  <c r="Z172" i="20"/>
  <c r="Z160" i="20"/>
  <c r="C184" i="20"/>
  <c r="C160" i="20"/>
  <c r="C172" i="20"/>
  <c r="AB184" i="20"/>
  <c r="AB160" i="20"/>
  <c r="AB172" i="20"/>
  <c r="H57" i="20"/>
  <c r="H81" i="20"/>
  <c r="H69" i="20"/>
  <c r="D64" i="20"/>
  <c r="D76" i="20"/>
  <c r="D52" i="20"/>
  <c r="D77" i="20"/>
  <c r="D62" i="20"/>
  <c r="D51" i="20"/>
  <c r="D75" i="20"/>
  <c r="D63" i="20"/>
  <c r="D74" i="20"/>
  <c r="D50" i="20"/>
  <c r="D65" i="20"/>
  <c r="D53" i="20"/>
  <c r="C80" i="20"/>
  <c r="C68" i="20"/>
  <c r="C56" i="20"/>
  <c r="B74" i="20"/>
  <c r="AR6" i="33" s="1"/>
  <c r="B62" i="20"/>
  <c r="B76" i="20"/>
  <c r="AR8" i="33" s="1"/>
  <c r="B63" i="20"/>
  <c r="B64" i="20"/>
  <c r="B65" i="20"/>
  <c r="B53" i="20"/>
  <c r="B52" i="20"/>
  <c r="B75" i="20"/>
  <c r="AR7" i="33" s="1"/>
  <c r="B77" i="20"/>
  <c r="AR9" i="33" s="1"/>
  <c r="B51" i="20"/>
  <c r="B50" i="20"/>
  <c r="E81" i="20"/>
  <c r="E69" i="20"/>
  <c r="E57" i="20"/>
  <c r="D78" i="20"/>
  <c r="D54" i="20"/>
  <c r="D66" i="20"/>
  <c r="S78" i="20"/>
  <c r="S66" i="20"/>
  <c r="S54" i="20"/>
  <c r="H68" i="20"/>
  <c r="H80" i="20"/>
  <c r="H56" i="20"/>
  <c r="W186" i="20"/>
  <c r="W162" i="20"/>
  <c r="W174" i="20"/>
  <c r="J81" i="20"/>
  <c r="J69" i="20"/>
  <c r="J57" i="20"/>
  <c r="Y183" i="20"/>
  <c r="Q69" i="20"/>
  <c r="Q81" i="20"/>
  <c r="Q57" i="20"/>
  <c r="AC75" i="20"/>
  <c r="EX7" i="33" s="1"/>
  <c r="AC63" i="20"/>
  <c r="AC77" i="20"/>
  <c r="EX9" i="33" s="1"/>
  <c r="AC65" i="20"/>
  <c r="AC50" i="20"/>
  <c r="AC52" i="20"/>
  <c r="AC74" i="20"/>
  <c r="EX6" i="33" s="1"/>
  <c r="AC51" i="20"/>
  <c r="AC62" i="20"/>
  <c r="AC76" i="20"/>
  <c r="EX8" i="33" s="1"/>
  <c r="AC64" i="20"/>
  <c r="AC53" i="20"/>
  <c r="AB81" i="20"/>
  <c r="AB69" i="20"/>
  <c r="AB57" i="20"/>
  <c r="K81" i="20"/>
  <c r="S77" i="20"/>
  <c r="S65" i="20"/>
  <c r="S75" i="20"/>
  <c r="S52" i="20"/>
  <c r="S76" i="20"/>
  <c r="S51" i="20"/>
  <c r="S50" i="20"/>
  <c r="S63" i="20"/>
  <c r="S53" i="20"/>
  <c r="S74" i="20"/>
  <c r="S64" i="20"/>
  <c r="S62" i="20"/>
  <c r="Z66" i="20"/>
  <c r="Z78" i="20"/>
  <c r="Z54" i="20"/>
  <c r="T68" i="20"/>
  <c r="AC483" i="20"/>
  <c r="AC507" i="20"/>
  <c r="FJ11" i="33" s="1"/>
  <c r="AC495" i="20"/>
  <c r="L483" i="20"/>
  <c r="L495" i="20"/>
  <c r="L507" i="20"/>
  <c r="W495" i="20"/>
  <c r="W507" i="20"/>
  <c r="W483" i="20"/>
  <c r="R483" i="20"/>
  <c r="R495" i="20"/>
  <c r="R507" i="20"/>
  <c r="I494" i="20"/>
  <c r="I506" i="20"/>
  <c r="I482" i="20"/>
  <c r="L494" i="20"/>
  <c r="L506" i="20"/>
  <c r="L482" i="20"/>
  <c r="N482" i="20"/>
  <c r="N506" i="20"/>
  <c r="N494" i="20"/>
  <c r="S507" i="20"/>
  <c r="S483" i="20"/>
  <c r="S495" i="20"/>
  <c r="O503" i="20"/>
  <c r="O491" i="20"/>
  <c r="O505" i="20"/>
  <c r="O490" i="20"/>
  <c r="O481" i="20"/>
  <c r="O480" i="20"/>
  <c r="O504" i="20"/>
  <c r="O502" i="20"/>
  <c r="O478" i="20"/>
  <c r="O493" i="20"/>
  <c r="O492" i="20"/>
  <c r="O479" i="20"/>
  <c r="N492" i="20"/>
  <c r="N504" i="20"/>
  <c r="N503" i="20"/>
  <c r="N493" i="20"/>
  <c r="N478" i="20"/>
  <c r="N505" i="20"/>
  <c r="N480" i="20"/>
  <c r="N490" i="20"/>
  <c r="N502" i="20"/>
  <c r="N479" i="20"/>
  <c r="N491" i="20"/>
  <c r="N481" i="20"/>
  <c r="B504" i="20"/>
  <c r="BD8" i="33" s="1"/>
  <c r="B492" i="20"/>
  <c r="B491" i="20"/>
  <c r="B478" i="20"/>
  <c r="B479" i="20"/>
  <c r="B480" i="20"/>
  <c r="B505" i="20"/>
  <c r="BD9" i="33" s="1"/>
  <c r="B503" i="20"/>
  <c r="BD7" i="33" s="1"/>
  <c r="B502" i="20"/>
  <c r="BD6" i="33" s="1"/>
  <c r="B481" i="20"/>
  <c r="B490" i="20"/>
  <c r="B493" i="20"/>
  <c r="S485" i="20"/>
  <c r="S509" i="20"/>
  <c r="S497" i="20"/>
  <c r="Z497" i="20"/>
  <c r="Z509" i="20"/>
  <c r="Z485" i="20"/>
  <c r="AC497" i="20"/>
  <c r="AC509" i="20"/>
  <c r="FJ13" i="33" s="1"/>
  <c r="AC485" i="20"/>
  <c r="P509" i="20"/>
  <c r="P497" i="20"/>
  <c r="P485" i="20"/>
  <c r="T380" i="20"/>
  <c r="T404" i="20"/>
  <c r="T392" i="20"/>
  <c r="K400" i="20"/>
  <c r="K399" i="20"/>
  <c r="K375" i="20"/>
  <c r="K398" i="20"/>
  <c r="K386" i="20"/>
  <c r="K397" i="20"/>
  <c r="K374" i="20"/>
  <c r="K388" i="20"/>
  <c r="K387" i="20"/>
  <c r="K385" i="20"/>
  <c r="K376" i="20"/>
  <c r="K373" i="20"/>
  <c r="N379" i="20"/>
  <c r="N391" i="20"/>
  <c r="N403" i="20"/>
  <c r="O399" i="20"/>
  <c r="O400" i="20"/>
  <c r="O387" i="20"/>
  <c r="O374" i="20"/>
  <c r="O397" i="20"/>
  <c r="O388" i="20"/>
  <c r="O386" i="20"/>
  <c r="O398" i="20"/>
  <c r="O385" i="20"/>
  <c r="O376" i="20"/>
  <c r="O375" i="20"/>
  <c r="O373" i="20"/>
  <c r="I404" i="20"/>
  <c r="I380" i="20"/>
  <c r="I392" i="20"/>
  <c r="E392" i="20"/>
  <c r="E404" i="20"/>
  <c r="E380" i="20"/>
  <c r="T378" i="20"/>
  <c r="T402" i="20"/>
  <c r="T390" i="20"/>
  <c r="S378" i="20"/>
  <c r="S390" i="20"/>
  <c r="S402" i="20"/>
  <c r="U402" i="20"/>
  <c r="U390" i="20"/>
  <c r="U378" i="20"/>
  <c r="J391" i="20"/>
  <c r="J403" i="20"/>
  <c r="J379" i="20"/>
  <c r="E379" i="20"/>
  <c r="E403" i="20"/>
  <c r="E391" i="20"/>
  <c r="V403" i="20"/>
  <c r="V379" i="20"/>
  <c r="V391" i="20"/>
  <c r="H404" i="20"/>
  <c r="H392" i="20"/>
  <c r="H380" i="20"/>
  <c r="V401" i="20"/>
  <c r="V389" i="20"/>
  <c r="V377" i="20"/>
  <c r="J401" i="20"/>
  <c r="J377" i="20"/>
  <c r="J389" i="20"/>
  <c r="T290" i="20"/>
  <c r="T288" i="20"/>
  <c r="T277" i="20"/>
  <c r="T289" i="20"/>
  <c r="T276" i="20"/>
  <c r="T266" i="20"/>
  <c r="T291" i="20"/>
  <c r="T279" i="20"/>
  <c r="T278" i="20"/>
  <c r="T267" i="20"/>
  <c r="T264" i="20"/>
  <c r="T265" i="20"/>
  <c r="K281" i="20"/>
  <c r="K293" i="20"/>
  <c r="K269" i="20"/>
  <c r="W269" i="20"/>
  <c r="W293" i="20"/>
  <c r="W281" i="20"/>
  <c r="D398" i="20"/>
  <c r="D400" i="20"/>
  <c r="D386" i="20"/>
  <c r="D397" i="20"/>
  <c r="D373" i="20"/>
  <c r="D385" i="20"/>
  <c r="D375" i="20"/>
  <c r="D376" i="20"/>
  <c r="D388" i="20"/>
  <c r="D399" i="20"/>
  <c r="D374" i="20"/>
  <c r="D387" i="20"/>
  <c r="R295" i="20"/>
  <c r="R283" i="20"/>
  <c r="R271" i="20"/>
  <c r="U288" i="20"/>
  <c r="U290" i="20"/>
  <c r="U291" i="20"/>
  <c r="U277" i="20"/>
  <c r="U289" i="20"/>
  <c r="U276" i="20"/>
  <c r="U266" i="20"/>
  <c r="U264" i="20"/>
  <c r="U278" i="20"/>
  <c r="U265" i="20"/>
  <c r="U279" i="20"/>
  <c r="U267" i="20"/>
  <c r="B291" i="20"/>
  <c r="AX9" i="33" s="1"/>
  <c r="B288" i="20"/>
  <c r="AX6" i="33" s="1"/>
  <c r="B276" i="20"/>
  <c r="B277" i="20"/>
  <c r="B265" i="20"/>
  <c r="B289" i="20"/>
  <c r="AX7" i="33" s="1"/>
  <c r="B264" i="20"/>
  <c r="B279" i="20"/>
  <c r="B290" i="20"/>
  <c r="AX8" i="33" s="1"/>
  <c r="B278" i="20"/>
  <c r="B267" i="20"/>
  <c r="B266" i="20"/>
  <c r="I295" i="20"/>
  <c r="I283" i="20"/>
  <c r="I271" i="20"/>
  <c r="N172" i="20"/>
  <c r="N184" i="20"/>
  <c r="N160" i="20"/>
  <c r="D293" i="20"/>
  <c r="D269" i="20"/>
  <c r="D281" i="20"/>
  <c r="U184" i="20"/>
  <c r="U160" i="20"/>
  <c r="U172" i="20"/>
  <c r="I259" i="20"/>
  <c r="H151" i="20"/>
  <c r="U169" i="20"/>
  <c r="U183" i="20"/>
  <c r="U181" i="20"/>
  <c r="U171" i="20"/>
  <c r="U182" i="20"/>
  <c r="U158" i="20"/>
  <c r="U168" i="20"/>
  <c r="U156" i="20"/>
  <c r="U170" i="20"/>
  <c r="U180" i="20"/>
  <c r="U159" i="20"/>
  <c r="U157" i="20"/>
  <c r="W282" i="20"/>
  <c r="AB182" i="20"/>
  <c r="AB180" i="20"/>
  <c r="AB183" i="20"/>
  <c r="AB170" i="20"/>
  <c r="AB168" i="20"/>
  <c r="AB171" i="20"/>
  <c r="AB157" i="20"/>
  <c r="AB159" i="20"/>
  <c r="AB181" i="20"/>
  <c r="AB169" i="20"/>
  <c r="AB156" i="20"/>
  <c r="AB158" i="20"/>
  <c r="V172" i="20"/>
  <c r="V184" i="20"/>
  <c r="V160" i="20"/>
  <c r="V388" i="20"/>
  <c r="X292" i="20"/>
  <c r="X268" i="20"/>
  <c r="X280" i="20"/>
  <c r="AB280" i="20"/>
  <c r="AB268" i="20"/>
  <c r="AB292" i="20"/>
  <c r="J168" i="20"/>
  <c r="J182" i="20"/>
  <c r="J180" i="20"/>
  <c r="J170" i="20"/>
  <c r="J181" i="20"/>
  <c r="J157" i="20"/>
  <c r="J159" i="20"/>
  <c r="J171" i="20"/>
  <c r="J156" i="20"/>
  <c r="J183" i="20"/>
  <c r="J158" i="20"/>
  <c r="J169" i="20"/>
  <c r="B186" i="20"/>
  <c r="AU12" i="33" s="1"/>
  <c r="B162" i="20"/>
  <c r="B174" i="20"/>
  <c r="Z174" i="20"/>
  <c r="Z186" i="20"/>
  <c r="Z162" i="20"/>
  <c r="L174" i="20"/>
  <c r="L186" i="20"/>
  <c r="L162" i="20"/>
  <c r="K185" i="20"/>
  <c r="K173" i="20"/>
  <c r="K161" i="20"/>
  <c r="E185" i="20"/>
  <c r="E173" i="20"/>
  <c r="E161" i="20"/>
  <c r="T281" i="20"/>
  <c r="I158" i="20"/>
  <c r="AB279" i="20"/>
  <c r="AB289" i="20"/>
  <c r="D184" i="20"/>
  <c r="D160" i="20"/>
  <c r="D172" i="20"/>
  <c r="O184" i="20"/>
  <c r="O172" i="20"/>
  <c r="O160" i="20"/>
  <c r="I160" i="20"/>
  <c r="I184" i="20"/>
  <c r="I172" i="20"/>
  <c r="U56" i="20"/>
  <c r="U68" i="20"/>
  <c r="U80" i="20"/>
  <c r="AC78" i="20"/>
  <c r="EX10" i="33" s="1"/>
  <c r="AC66" i="20"/>
  <c r="AC54" i="20"/>
  <c r="Z56" i="20"/>
  <c r="Z68" i="20"/>
  <c r="Z80" i="20"/>
  <c r="Y63" i="20"/>
  <c r="Y75" i="20"/>
  <c r="Y51" i="20"/>
  <c r="Y77" i="20"/>
  <c r="Y62" i="20"/>
  <c r="Y50" i="20"/>
  <c r="Y52" i="20"/>
  <c r="Y74" i="20"/>
  <c r="Y65" i="20"/>
  <c r="Y76" i="20"/>
  <c r="Y64" i="20"/>
  <c r="Y53" i="20"/>
  <c r="K66" i="20"/>
  <c r="K78" i="20"/>
  <c r="K54" i="20"/>
  <c r="U75" i="20"/>
  <c r="U63" i="20"/>
  <c r="U62" i="20"/>
  <c r="U50" i="20"/>
  <c r="U74" i="20"/>
  <c r="U64" i="20"/>
  <c r="U53" i="20"/>
  <c r="U77" i="20"/>
  <c r="U52" i="20"/>
  <c r="U65" i="20"/>
  <c r="U76" i="20"/>
  <c r="U51" i="20"/>
  <c r="W66" i="20"/>
  <c r="W54" i="20"/>
  <c r="W78" i="20"/>
  <c r="W65" i="20"/>
  <c r="W77" i="20"/>
  <c r="W76" i="20"/>
  <c r="W53" i="20"/>
  <c r="W63" i="20"/>
  <c r="W64" i="20"/>
  <c r="W52" i="20"/>
  <c r="W50" i="20"/>
  <c r="W74" i="20"/>
  <c r="W51" i="20"/>
  <c r="W62" i="20"/>
  <c r="W75" i="20"/>
  <c r="E67" i="20"/>
  <c r="E79" i="20"/>
  <c r="E55" i="20"/>
  <c r="O67" i="20"/>
  <c r="O79" i="20"/>
  <c r="O55" i="20"/>
  <c r="Z67" i="20"/>
  <c r="Z55" i="20"/>
  <c r="Z79" i="20"/>
  <c r="T56" i="20"/>
  <c r="L496" i="20"/>
  <c r="L508" i="20"/>
  <c r="L484" i="20"/>
  <c r="B507" i="20"/>
  <c r="BD11" i="33" s="1"/>
  <c r="B495" i="20"/>
  <c r="B483" i="20"/>
  <c r="H506" i="20"/>
  <c r="H494" i="20"/>
  <c r="H482" i="20"/>
  <c r="T495" i="20"/>
  <c r="T507" i="20"/>
  <c r="T483" i="20"/>
  <c r="Z507" i="20"/>
  <c r="Z495" i="20"/>
  <c r="Z483" i="20"/>
  <c r="T494" i="20"/>
  <c r="T506" i="20"/>
  <c r="T482" i="20"/>
  <c r="T502" i="20"/>
  <c r="T490" i="20"/>
  <c r="T503" i="20"/>
  <c r="T505" i="20"/>
  <c r="T480" i="20"/>
  <c r="T478" i="20"/>
  <c r="T479" i="20"/>
  <c r="T493" i="20"/>
  <c r="T492" i="20"/>
  <c r="T491" i="20"/>
  <c r="T481" i="20"/>
  <c r="T504" i="20"/>
  <c r="J504" i="20"/>
  <c r="J492" i="20"/>
  <c r="J490" i="20"/>
  <c r="J478" i="20"/>
  <c r="J505" i="20"/>
  <c r="J479" i="20"/>
  <c r="J480" i="20"/>
  <c r="J481" i="20"/>
  <c r="J493" i="20"/>
  <c r="J502" i="20"/>
  <c r="J503" i="20"/>
  <c r="J491" i="20"/>
  <c r="Y509" i="20"/>
  <c r="Y485" i="20"/>
  <c r="Y497" i="20"/>
  <c r="D497" i="20"/>
  <c r="D509" i="20"/>
  <c r="D485" i="20"/>
  <c r="AB404" i="20"/>
  <c r="AB380" i="20"/>
  <c r="AB392" i="20"/>
  <c r="Z391" i="20"/>
  <c r="Z379" i="20"/>
  <c r="Z403" i="20"/>
  <c r="W399" i="20"/>
  <c r="W400" i="20"/>
  <c r="W397" i="20"/>
  <c r="W387" i="20"/>
  <c r="W374" i="20"/>
  <c r="W388" i="20"/>
  <c r="W385" i="20"/>
  <c r="W375" i="20"/>
  <c r="W373" i="20"/>
  <c r="W386" i="20"/>
  <c r="W398" i="20"/>
  <c r="W376" i="20"/>
  <c r="M392" i="20"/>
  <c r="M404" i="20"/>
  <c r="DD13" i="33" s="1"/>
  <c r="M380" i="20"/>
  <c r="I402" i="20"/>
  <c r="I390" i="20"/>
  <c r="I378" i="20"/>
  <c r="AC402" i="20"/>
  <c r="FG11" i="33" s="1"/>
  <c r="AC390" i="20"/>
  <c r="AC378" i="20"/>
  <c r="L401" i="20"/>
  <c r="L389" i="20"/>
  <c r="L377" i="20"/>
  <c r="G377" i="20"/>
  <c r="G401" i="20"/>
  <c r="G389" i="20"/>
  <c r="R401" i="20"/>
  <c r="R377" i="20"/>
  <c r="R389" i="20"/>
  <c r="X294" i="20"/>
  <c r="X282" i="20"/>
  <c r="X270" i="20"/>
  <c r="S281" i="20"/>
  <c r="S269" i="20"/>
  <c r="S293" i="20"/>
  <c r="H293" i="20"/>
  <c r="H281" i="20"/>
  <c r="H269" i="20"/>
  <c r="T398" i="20"/>
  <c r="T386" i="20"/>
  <c r="T399" i="20"/>
  <c r="T373" i="20"/>
  <c r="T387" i="20"/>
  <c r="T374" i="20"/>
  <c r="T400" i="20"/>
  <c r="T376" i="20"/>
  <c r="T375" i="20"/>
  <c r="T397" i="20"/>
  <c r="T388" i="20"/>
  <c r="T385" i="20"/>
  <c r="N288" i="20"/>
  <c r="N291" i="20"/>
  <c r="N266" i="20"/>
  <c r="N264" i="20"/>
  <c r="N279" i="20"/>
  <c r="N267" i="20"/>
  <c r="N277" i="20"/>
  <c r="N289" i="20"/>
  <c r="N265" i="20"/>
  <c r="N290" i="20"/>
  <c r="N278" i="20"/>
  <c r="N276" i="20"/>
  <c r="AC288" i="20"/>
  <c r="FD6" i="33" s="1"/>
  <c r="AC277" i="20"/>
  <c r="AC291" i="20"/>
  <c r="FD9" i="33" s="1"/>
  <c r="AC290" i="20"/>
  <c r="FD8" i="33" s="1"/>
  <c r="AC266" i="20"/>
  <c r="AC276" i="20"/>
  <c r="AC264" i="20"/>
  <c r="AC289" i="20"/>
  <c r="FD7" i="33" s="1"/>
  <c r="AC279" i="20"/>
  <c r="AC265" i="20"/>
  <c r="AC267" i="20"/>
  <c r="AC278" i="20"/>
  <c r="J276" i="20"/>
  <c r="J288" i="20"/>
  <c r="J278" i="20"/>
  <c r="J290" i="20"/>
  <c r="J277" i="20"/>
  <c r="J265" i="20"/>
  <c r="J291" i="20"/>
  <c r="J279" i="20"/>
  <c r="J264" i="20"/>
  <c r="J289" i="20"/>
  <c r="J267" i="20"/>
  <c r="J266" i="20"/>
  <c r="U295" i="20"/>
  <c r="U271" i="20"/>
  <c r="U283" i="20"/>
  <c r="H294" i="20"/>
  <c r="H270" i="20"/>
  <c r="H282" i="20"/>
  <c r="W291" i="20"/>
  <c r="W289" i="20"/>
  <c r="W264" i="20"/>
  <c r="W267" i="20"/>
  <c r="W290" i="20"/>
  <c r="W279" i="20"/>
  <c r="W288" i="20"/>
  <c r="W277" i="20"/>
  <c r="W276" i="20"/>
  <c r="W266" i="20"/>
  <c r="W265" i="20"/>
  <c r="W278" i="20"/>
  <c r="F172" i="20"/>
  <c r="F184" i="20"/>
  <c r="F160" i="20"/>
  <c r="V288" i="20"/>
  <c r="V291" i="20"/>
  <c r="V289" i="20"/>
  <c r="V276" i="20"/>
  <c r="V266" i="20"/>
  <c r="V264" i="20"/>
  <c r="V267" i="20"/>
  <c r="V290" i="20"/>
  <c r="V278" i="20"/>
  <c r="V277" i="20"/>
  <c r="V265" i="20"/>
  <c r="V279" i="20"/>
  <c r="M160" i="20"/>
  <c r="M172" i="20"/>
  <c r="M184" i="20"/>
  <c r="CX10" i="33" s="1"/>
  <c r="U175" i="20"/>
  <c r="U187" i="20"/>
  <c r="U163" i="20"/>
  <c r="L290" i="20"/>
  <c r="L291" i="20"/>
  <c r="L288" i="20"/>
  <c r="L276" i="20"/>
  <c r="L266" i="20"/>
  <c r="L278" i="20"/>
  <c r="L289" i="20"/>
  <c r="L279" i="20"/>
  <c r="L267" i="20"/>
  <c r="L264" i="20"/>
  <c r="L277" i="20"/>
  <c r="L265" i="20"/>
  <c r="AB175" i="20"/>
  <c r="AB187" i="20"/>
  <c r="AB163" i="20"/>
  <c r="P170" i="20"/>
  <c r="P182" i="20"/>
  <c r="P180" i="20"/>
  <c r="P156" i="20"/>
  <c r="P183" i="20"/>
  <c r="P159" i="20"/>
  <c r="P157" i="20"/>
  <c r="P181" i="20"/>
  <c r="P158" i="20"/>
  <c r="P168" i="20"/>
  <c r="P169" i="20"/>
  <c r="P171" i="20"/>
  <c r="J175" i="20"/>
  <c r="J163" i="20"/>
  <c r="J187" i="20"/>
  <c r="V375" i="20"/>
  <c r="N186" i="20"/>
  <c r="N174" i="20"/>
  <c r="N162" i="20"/>
  <c r="H186" i="20"/>
  <c r="H162" i="20"/>
  <c r="H174" i="20"/>
  <c r="K184" i="20"/>
  <c r="K160" i="20"/>
  <c r="K172" i="20"/>
  <c r="Y160" i="20"/>
  <c r="Y184" i="20"/>
  <c r="Y172" i="20"/>
  <c r="S184" i="20"/>
  <c r="S160" i="20"/>
  <c r="S172" i="20"/>
  <c r="Q63" i="20"/>
  <c r="Q75" i="20"/>
  <c r="Q77" i="20"/>
  <c r="Q74" i="20"/>
  <c r="Q64" i="20"/>
  <c r="Q51" i="20"/>
  <c r="Q62" i="20"/>
  <c r="Q76" i="20"/>
  <c r="Q50" i="20"/>
  <c r="Q53" i="20"/>
  <c r="Q65" i="20"/>
  <c r="Q52" i="20"/>
  <c r="C78" i="20"/>
  <c r="C66" i="20"/>
  <c r="C54" i="20"/>
  <c r="Q79" i="20"/>
  <c r="Q55" i="20"/>
  <c r="Q67" i="20"/>
  <c r="V56" i="20"/>
  <c r="V80" i="20"/>
  <c r="V68" i="20"/>
  <c r="M75" i="20"/>
  <c r="CU7" i="33" s="1"/>
  <c r="M63" i="20"/>
  <c r="M76" i="20"/>
  <c r="CU8" i="33" s="1"/>
  <c r="M50" i="20"/>
  <c r="M77" i="20"/>
  <c r="CU9" i="33" s="1"/>
  <c r="M74" i="20"/>
  <c r="CU6" i="33" s="1"/>
  <c r="M64" i="20"/>
  <c r="M65" i="20"/>
  <c r="M52" i="20"/>
  <c r="M51" i="20"/>
  <c r="M62" i="20"/>
  <c r="M53" i="20"/>
  <c r="AB64" i="20"/>
  <c r="AB76" i="20"/>
  <c r="AB74" i="20"/>
  <c r="AB52" i="20"/>
  <c r="AB62" i="20"/>
  <c r="AB53" i="20"/>
  <c r="AB63" i="20"/>
  <c r="AB51" i="20"/>
  <c r="AB77" i="20"/>
  <c r="AB65" i="20"/>
  <c r="AB50" i="20"/>
  <c r="AB75" i="20"/>
  <c r="O65" i="20"/>
  <c r="O77" i="20"/>
  <c r="O53" i="20"/>
  <c r="O64" i="20"/>
  <c r="O62" i="20"/>
  <c r="O52" i="20"/>
  <c r="O76" i="20"/>
  <c r="O51" i="20"/>
  <c r="O75" i="20"/>
  <c r="O50" i="20"/>
  <c r="O63" i="20"/>
  <c r="O74" i="20"/>
  <c r="M67" i="20"/>
  <c r="M79" i="20"/>
  <c r="CU11" i="33" s="1"/>
  <c r="M55" i="20"/>
  <c r="K497" i="19"/>
  <c r="K485" i="19"/>
  <c r="K509" i="19"/>
  <c r="J506" i="19"/>
  <c r="J494" i="19"/>
  <c r="J482" i="19"/>
  <c r="O404" i="19"/>
  <c r="O392" i="19"/>
  <c r="O380" i="19"/>
  <c r="G509" i="19"/>
  <c r="G497" i="19"/>
  <c r="G485" i="19"/>
  <c r="Q496" i="19"/>
  <c r="Q508" i="19"/>
  <c r="Q484" i="19"/>
  <c r="R509" i="19"/>
  <c r="R497" i="19"/>
  <c r="R485" i="19"/>
  <c r="Z507" i="19"/>
  <c r="Z483" i="19"/>
  <c r="Z495" i="19"/>
  <c r="AC495" i="19"/>
  <c r="AC507" i="19"/>
  <c r="FI11" i="33" s="1"/>
  <c r="AC483" i="19"/>
  <c r="H404" i="19"/>
  <c r="H392" i="19"/>
  <c r="H380" i="19"/>
  <c r="J401" i="19"/>
  <c r="J389" i="19"/>
  <c r="J377" i="19"/>
  <c r="Y389" i="19"/>
  <c r="Y401" i="19"/>
  <c r="Y377" i="19"/>
  <c r="W402" i="19"/>
  <c r="W390" i="19"/>
  <c r="W378" i="19"/>
  <c r="G401" i="19"/>
  <c r="G389" i="19"/>
  <c r="G377" i="19"/>
  <c r="W404" i="19"/>
  <c r="W392" i="19"/>
  <c r="W380" i="19"/>
  <c r="W400" i="19"/>
  <c r="W374" i="19"/>
  <c r="W399" i="19"/>
  <c r="W388" i="19"/>
  <c r="W397" i="19"/>
  <c r="W386" i="19"/>
  <c r="W398" i="19"/>
  <c r="W385" i="19"/>
  <c r="W387" i="19"/>
  <c r="W375" i="19"/>
  <c r="W373" i="19"/>
  <c r="W376" i="19"/>
  <c r="S403" i="19"/>
  <c r="S391" i="19"/>
  <c r="S379" i="19"/>
  <c r="T401" i="19"/>
  <c r="T389" i="19"/>
  <c r="T377" i="19"/>
  <c r="Q294" i="19"/>
  <c r="Q270" i="19"/>
  <c r="Q282" i="19"/>
  <c r="AA292" i="19"/>
  <c r="AA280" i="19"/>
  <c r="AA268" i="19"/>
  <c r="G280" i="19"/>
  <c r="G268" i="19"/>
  <c r="G292" i="19"/>
  <c r="O279" i="19"/>
  <c r="O290" i="19"/>
  <c r="O266" i="19"/>
  <c r="O288" i="19"/>
  <c r="O291" i="19"/>
  <c r="O289" i="19"/>
  <c r="O278" i="19"/>
  <c r="O264" i="19"/>
  <c r="O265" i="19"/>
  <c r="O267" i="19"/>
  <c r="O276" i="19"/>
  <c r="O277" i="19"/>
  <c r="F294" i="19"/>
  <c r="F270" i="19"/>
  <c r="F282" i="19"/>
  <c r="S294" i="19"/>
  <c r="S270" i="19"/>
  <c r="S282" i="19"/>
  <c r="X185" i="19"/>
  <c r="X161" i="19"/>
  <c r="X173" i="19"/>
  <c r="W174" i="19"/>
  <c r="W186" i="19"/>
  <c r="W162" i="19"/>
  <c r="K185" i="19"/>
  <c r="K161" i="19"/>
  <c r="K173" i="19"/>
  <c r="O187" i="19"/>
  <c r="O175" i="19"/>
  <c r="O163" i="19"/>
  <c r="AC183" i="19"/>
  <c r="EZ9" i="33" s="1"/>
  <c r="AC159" i="19"/>
  <c r="AC170" i="19"/>
  <c r="AC181" i="19"/>
  <c r="EZ7" i="33" s="1"/>
  <c r="AC168" i="19"/>
  <c r="AC182" i="19"/>
  <c r="EZ8" i="33" s="1"/>
  <c r="AC156" i="19"/>
  <c r="AC169" i="19"/>
  <c r="AC157" i="19"/>
  <c r="AC171" i="19"/>
  <c r="AC158" i="19"/>
  <c r="AC180" i="19"/>
  <c r="EZ6" i="33" s="1"/>
  <c r="U186" i="19"/>
  <c r="U162" i="19"/>
  <c r="U174" i="19"/>
  <c r="D172" i="19"/>
  <c r="D184" i="19"/>
  <c r="D160" i="19"/>
  <c r="R68" i="19"/>
  <c r="R80" i="19"/>
  <c r="R56" i="19"/>
  <c r="R67" i="19"/>
  <c r="R55" i="19"/>
  <c r="R79" i="19"/>
  <c r="Q55" i="19"/>
  <c r="Q79" i="19"/>
  <c r="Q67" i="19"/>
  <c r="K76" i="19"/>
  <c r="K52" i="19"/>
  <c r="K63" i="19"/>
  <c r="K64" i="19"/>
  <c r="K75" i="19"/>
  <c r="K53" i="19"/>
  <c r="K62" i="19"/>
  <c r="K50" i="19"/>
  <c r="K51" i="19"/>
  <c r="K77" i="19"/>
  <c r="K74" i="19"/>
  <c r="K65" i="19"/>
  <c r="W66" i="19"/>
  <c r="W78" i="19"/>
  <c r="D56" i="19"/>
  <c r="D80" i="19"/>
  <c r="D68" i="19"/>
  <c r="C68" i="19"/>
  <c r="C80" i="19"/>
  <c r="C56" i="19"/>
  <c r="X509" i="19"/>
  <c r="X485" i="19"/>
  <c r="X497" i="19"/>
  <c r="E497" i="19"/>
  <c r="E509" i="19"/>
  <c r="E485" i="19"/>
  <c r="I496" i="19"/>
  <c r="I508" i="19"/>
  <c r="I484" i="19"/>
  <c r="Y403" i="19"/>
  <c r="Y391" i="19"/>
  <c r="Y379" i="19"/>
  <c r="P404" i="19"/>
  <c r="P392" i="19"/>
  <c r="P380" i="19"/>
  <c r="B401" i="19"/>
  <c r="AZ10" i="33" s="1"/>
  <c r="B389" i="19"/>
  <c r="B377" i="19"/>
  <c r="Q401" i="19"/>
  <c r="Q389" i="19"/>
  <c r="Q377" i="19"/>
  <c r="O402" i="19"/>
  <c r="O390" i="19"/>
  <c r="O378" i="19"/>
  <c r="Y380" i="19"/>
  <c r="Y404" i="19"/>
  <c r="Y392" i="19"/>
  <c r="J403" i="19"/>
  <c r="J391" i="19"/>
  <c r="J379" i="19"/>
  <c r="L401" i="19"/>
  <c r="L389" i="19"/>
  <c r="L377" i="19"/>
  <c r="AB293" i="19"/>
  <c r="U292" i="19"/>
  <c r="U268" i="19"/>
  <c r="U280" i="19"/>
  <c r="D280" i="19"/>
  <c r="D268" i="19"/>
  <c r="D292" i="19"/>
  <c r="O280" i="19"/>
  <c r="O292" i="19"/>
  <c r="O268" i="19"/>
  <c r="W279" i="19"/>
  <c r="W290" i="19"/>
  <c r="W266" i="19"/>
  <c r="W288" i="19"/>
  <c r="W291" i="19"/>
  <c r="W289" i="19"/>
  <c r="W265" i="19"/>
  <c r="W276" i="19"/>
  <c r="W277" i="19"/>
  <c r="W267" i="19"/>
  <c r="W264" i="19"/>
  <c r="W278" i="19"/>
  <c r="AB184" i="19"/>
  <c r="AB172" i="19"/>
  <c r="Y185" i="19"/>
  <c r="Y173" i="19"/>
  <c r="Y161" i="19"/>
  <c r="AB175" i="19"/>
  <c r="AB187" i="19"/>
  <c r="AB163" i="19"/>
  <c r="H174" i="19"/>
  <c r="H186" i="19"/>
  <c r="H162" i="19"/>
  <c r="W187" i="19"/>
  <c r="W163" i="19"/>
  <c r="W175" i="19"/>
  <c r="L175" i="19"/>
  <c r="L187" i="19"/>
  <c r="L163" i="19"/>
  <c r="U46" i="19"/>
  <c r="U152" i="19"/>
  <c r="U259" i="19"/>
  <c r="U473" i="19"/>
  <c r="U369" i="19"/>
  <c r="U151" i="19"/>
  <c r="J68" i="19"/>
  <c r="J80" i="19"/>
  <c r="J56" i="19"/>
  <c r="D66" i="19"/>
  <c r="D78" i="19"/>
  <c r="D54" i="19"/>
  <c r="W80" i="19"/>
  <c r="W56" i="19"/>
  <c r="W68" i="19"/>
  <c r="J79" i="19"/>
  <c r="J67" i="19"/>
  <c r="J55" i="19"/>
  <c r="I79" i="19"/>
  <c r="I67" i="19"/>
  <c r="I55" i="19"/>
  <c r="C76" i="19"/>
  <c r="C52" i="19"/>
  <c r="C63" i="19"/>
  <c r="C64" i="19"/>
  <c r="C75" i="19"/>
  <c r="C50" i="19"/>
  <c r="C77" i="19"/>
  <c r="C65" i="19"/>
  <c r="C74" i="19"/>
  <c r="C51" i="19"/>
  <c r="C62" i="19"/>
  <c r="C53" i="19"/>
  <c r="I45" i="19"/>
  <c r="T79" i="19"/>
  <c r="T55" i="19"/>
  <c r="T67" i="19"/>
  <c r="P174" i="19"/>
  <c r="P162" i="19"/>
  <c r="P186" i="19"/>
  <c r="AA175" i="19"/>
  <c r="AA187" i="19"/>
  <c r="AA163" i="19"/>
  <c r="B175" i="19"/>
  <c r="B163" i="19"/>
  <c r="B187" i="19"/>
  <c r="AT13" i="33" s="1"/>
  <c r="V186" i="19"/>
  <c r="V162" i="19"/>
  <c r="V174" i="19"/>
  <c r="K169" i="19"/>
  <c r="K180" i="19"/>
  <c r="K183" i="19"/>
  <c r="K170" i="19"/>
  <c r="K158" i="19"/>
  <c r="K159" i="19"/>
  <c r="K182" i="19"/>
  <c r="K171" i="19"/>
  <c r="K156" i="19"/>
  <c r="K168" i="19"/>
  <c r="K181" i="19"/>
  <c r="K157" i="19"/>
  <c r="S185" i="19"/>
  <c r="S161" i="19"/>
  <c r="S173" i="19"/>
  <c r="AA185" i="19"/>
  <c r="AA161" i="19"/>
  <c r="AA173" i="19"/>
  <c r="D175" i="19"/>
  <c r="D187" i="19"/>
  <c r="D163" i="19"/>
  <c r="K172" i="19"/>
  <c r="K184" i="19"/>
  <c r="K160" i="19"/>
  <c r="AC184" i="19"/>
  <c r="EZ10" i="33" s="1"/>
  <c r="AC160" i="19"/>
  <c r="AC172" i="19"/>
  <c r="B68" i="19"/>
  <c r="B80" i="19"/>
  <c r="AQ12" i="33" s="1"/>
  <c r="B56" i="19"/>
  <c r="G80" i="19"/>
  <c r="G56" i="19"/>
  <c r="G68" i="19"/>
  <c r="B55" i="19"/>
  <c r="B79" i="19"/>
  <c r="AQ11" i="33" s="1"/>
  <c r="B67" i="19"/>
  <c r="Z66" i="19"/>
  <c r="Z54" i="19"/>
  <c r="Z78" i="19"/>
  <c r="O80" i="19"/>
  <c r="O56" i="19"/>
  <c r="O68" i="19"/>
  <c r="O151" i="19"/>
  <c r="O260" i="19"/>
  <c r="O45" i="19"/>
  <c r="O152" i="19"/>
  <c r="O259" i="19"/>
  <c r="O368" i="19"/>
  <c r="D79" i="19"/>
  <c r="D55" i="19"/>
  <c r="D67" i="19"/>
  <c r="O503" i="19"/>
  <c r="O490" i="19"/>
  <c r="O504" i="19"/>
  <c r="O502" i="19"/>
  <c r="O479" i="19"/>
  <c r="O492" i="19"/>
  <c r="O491" i="19"/>
  <c r="O505" i="19"/>
  <c r="O493" i="19"/>
  <c r="O480" i="19"/>
  <c r="O478" i="19"/>
  <c r="O481" i="19"/>
  <c r="K507" i="19"/>
  <c r="K495" i="19"/>
  <c r="K483" i="19"/>
  <c r="H506" i="19"/>
  <c r="H494" i="19"/>
  <c r="H482" i="19"/>
  <c r="X392" i="19"/>
  <c r="X404" i="19"/>
  <c r="X380" i="19"/>
  <c r="G402" i="19"/>
  <c r="G390" i="19"/>
  <c r="G378" i="19"/>
  <c r="G400" i="19"/>
  <c r="G374" i="19"/>
  <c r="G388" i="19"/>
  <c r="G398" i="19"/>
  <c r="G397" i="19"/>
  <c r="G399" i="19"/>
  <c r="G386" i="19"/>
  <c r="G373" i="19"/>
  <c r="G385" i="19"/>
  <c r="G376" i="19"/>
  <c r="G375" i="19"/>
  <c r="G387" i="19"/>
  <c r="T295" i="19"/>
  <c r="T271" i="19"/>
  <c r="T283" i="19"/>
  <c r="L292" i="19"/>
  <c r="L280" i="19"/>
  <c r="L268" i="19"/>
  <c r="AB278" i="19"/>
  <c r="AB289" i="19"/>
  <c r="AB265" i="19"/>
  <c r="AB279" i="19"/>
  <c r="AB290" i="19"/>
  <c r="AB288" i="19"/>
  <c r="AB277" i="19"/>
  <c r="AB264" i="19"/>
  <c r="AB266" i="19"/>
  <c r="AB291" i="19"/>
  <c r="AB267" i="19"/>
  <c r="AB276" i="19"/>
  <c r="L508" i="19"/>
  <c r="L496" i="19"/>
  <c r="L484" i="19"/>
  <c r="G503" i="19"/>
  <c r="G490" i="19"/>
  <c r="G504" i="19"/>
  <c r="G502" i="19"/>
  <c r="G479" i="19"/>
  <c r="G480" i="19"/>
  <c r="G505" i="19"/>
  <c r="G492" i="19"/>
  <c r="G478" i="19"/>
  <c r="G493" i="19"/>
  <c r="G491" i="19"/>
  <c r="G481" i="19"/>
  <c r="Z496" i="19"/>
  <c r="Z508" i="19"/>
  <c r="Z484" i="19"/>
  <c r="X496" i="19"/>
  <c r="X484" i="19"/>
  <c r="X508" i="19"/>
  <c r="T508" i="19"/>
  <c r="T496" i="19"/>
  <c r="T484" i="19"/>
  <c r="P403" i="19"/>
  <c r="P391" i="19"/>
  <c r="P379" i="19"/>
  <c r="X403" i="19"/>
  <c r="X391" i="19"/>
  <c r="X379" i="19"/>
  <c r="P377" i="19"/>
  <c r="P401" i="19"/>
  <c r="P389" i="19"/>
  <c r="L295" i="19"/>
  <c r="L271" i="19"/>
  <c r="L283" i="19"/>
  <c r="L281" i="19"/>
  <c r="L293" i="19"/>
  <c r="S283" i="19"/>
  <c r="S295" i="19"/>
  <c r="S271" i="19"/>
  <c r="Z283" i="19"/>
  <c r="Z295" i="19"/>
  <c r="Z271" i="19"/>
  <c r="I185" i="19"/>
  <c r="I173" i="19"/>
  <c r="I161" i="19"/>
  <c r="C175" i="19"/>
  <c r="C187" i="19"/>
  <c r="C163" i="19"/>
  <c r="X174" i="19"/>
  <c r="X186" i="19"/>
  <c r="X162" i="19"/>
  <c r="M175" i="19"/>
  <c r="M163" i="19"/>
  <c r="M187" i="19"/>
  <c r="CW13" i="33" s="1"/>
  <c r="J175" i="19"/>
  <c r="J163" i="19"/>
  <c r="J187" i="19"/>
  <c r="J174" i="19"/>
  <c r="J186" i="19"/>
  <c r="J162" i="19"/>
  <c r="B182" i="19"/>
  <c r="AT8" i="33" s="1"/>
  <c r="B158" i="19"/>
  <c r="B169" i="19"/>
  <c r="B180" i="19"/>
  <c r="AT6" i="33" s="1"/>
  <c r="B183" i="19"/>
  <c r="AT9" i="33" s="1"/>
  <c r="B159" i="19"/>
  <c r="B171" i="19"/>
  <c r="B181" i="19"/>
  <c r="AT7" i="33" s="1"/>
  <c r="B168" i="19"/>
  <c r="B156" i="19"/>
  <c r="B157" i="19"/>
  <c r="B170" i="19"/>
  <c r="S79" i="19"/>
  <c r="S55" i="19"/>
  <c r="S67" i="19"/>
  <c r="M74" i="19"/>
  <c r="CT6" i="33" s="1"/>
  <c r="M50" i="19"/>
  <c r="M77" i="19"/>
  <c r="CT9" i="33" s="1"/>
  <c r="M53" i="19"/>
  <c r="M62" i="19"/>
  <c r="M65" i="19"/>
  <c r="M75" i="19"/>
  <c r="CT7" i="33" s="1"/>
  <c r="M76" i="19"/>
  <c r="CT8" i="33" s="1"/>
  <c r="M52" i="19"/>
  <c r="M63" i="19"/>
  <c r="M64" i="19"/>
  <c r="M51" i="19"/>
  <c r="G57" i="19"/>
  <c r="G81" i="19"/>
  <c r="G69" i="19"/>
  <c r="R78" i="19"/>
  <c r="R54" i="19"/>
  <c r="R66" i="19"/>
  <c r="X67" i="19"/>
  <c r="X79" i="19"/>
  <c r="X55" i="19"/>
  <c r="V80" i="19"/>
  <c r="V56" i="19"/>
  <c r="V68" i="19"/>
  <c r="H78" i="19"/>
  <c r="H54" i="19"/>
  <c r="H66" i="19"/>
  <c r="Q509" i="19"/>
  <c r="Q497" i="19"/>
  <c r="Q485" i="19"/>
  <c r="U508" i="19"/>
  <c r="U484" i="19"/>
  <c r="U496" i="19"/>
  <c r="X507" i="19"/>
  <c r="X495" i="19"/>
  <c r="X483" i="19"/>
  <c r="AA494" i="19"/>
  <c r="AA506" i="19"/>
  <c r="AA482" i="19"/>
  <c r="I380" i="19"/>
  <c r="I404" i="19"/>
  <c r="I392" i="19"/>
  <c r="D401" i="19"/>
  <c r="D389" i="19"/>
  <c r="D377" i="19"/>
  <c r="H292" i="19"/>
  <c r="H268" i="19"/>
  <c r="H280" i="19"/>
  <c r="W280" i="19"/>
  <c r="W292" i="19"/>
  <c r="W268" i="19"/>
  <c r="Q185" i="19"/>
  <c r="Q161" i="19"/>
  <c r="Q173" i="19"/>
  <c r="P187" i="19"/>
  <c r="P163" i="19"/>
  <c r="P175" i="19"/>
  <c r="I509" i="19"/>
  <c r="I497" i="19"/>
  <c r="I485" i="19"/>
  <c r="F508" i="19"/>
  <c r="F496" i="19"/>
  <c r="F484" i="19"/>
  <c r="D508" i="19"/>
  <c r="D496" i="19"/>
  <c r="D484" i="19"/>
  <c r="C497" i="19"/>
  <c r="C485" i="19"/>
  <c r="C509" i="19"/>
  <c r="H403" i="19"/>
  <c r="H391" i="19"/>
  <c r="H379" i="19"/>
  <c r="C398" i="19"/>
  <c r="C399" i="19"/>
  <c r="C386" i="19"/>
  <c r="C400" i="19"/>
  <c r="C387" i="19"/>
  <c r="C388" i="19"/>
  <c r="C397" i="19"/>
  <c r="C385" i="19"/>
  <c r="C375" i="19"/>
  <c r="C374" i="19"/>
  <c r="C373" i="19"/>
  <c r="C376" i="19"/>
  <c r="O403" i="19"/>
  <c r="O391" i="19"/>
  <c r="O379" i="19"/>
  <c r="R400" i="19"/>
  <c r="R375" i="19"/>
  <c r="R397" i="19"/>
  <c r="R398" i="19"/>
  <c r="R399" i="19"/>
  <c r="R386" i="19"/>
  <c r="R388" i="19"/>
  <c r="R374" i="19"/>
  <c r="R385" i="19"/>
  <c r="R376" i="19"/>
  <c r="R387" i="19"/>
  <c r="R373" i="19"/>
  <c r="G392" i="19"/>
  <c r="G404" i="19"/>
  <c r="G380" i="19"/>
  <c r="H377" i="19"/>
  <c r="H401" i="19"/>
  <c r="H389" i="19"/>
  <c r="V402" i="19"/>
  <c r="V390" i="19"/>
  <c r="V378" i="19"/>
  <c r="AC402" i="19"/>
  <c r="FF11" i="33" s="1"/>
  <c r="AC390" i="19"/>
  <c r="AC378" i="19"/>
  <c r="S378" i="19"/>
  <c r="S402" i="19"/>
  <c r="S390" i="19"/>
  <c r="U376" i="19"/>
  <c r="U399" i="19"/>
  <c r="U385" i="19"/>
  <c r="U400" i="19"/>
  <c r="U386" i="19"/>
  <c r="U398" i="19"/>
  <c r="U397" i="19"/>
  <c r="U375" i="19"/>
  <c r="U373" i="19"/>
  <c r="U387" i="19"/>
  <c r="U374" i="19"/>
  <c r="U388" i="19"/>
  <c r="D295" i="19"/>
  <c r="D271" i="19"/>
  <c r="D283" i="19"/>
  <c r="D281" i="19"/>
  <c r="D293" i="19"/>
  <c r="K283" i="19"/>
  <c r="K295" i="19"/>
  <c r="K271" i="19"/>
  <c r="I295" i="19"/>
  <c r="I271" i="19"/>
  <c r="I283" i="19"/>
  <c r="X283" i="19"/>
  <c r="X295" i="19"/>
  <c r="X271" i="19"/>
  <c r="X292" i="19"/>
  <c r="X268" i="19"/>
  <c r="X280" i="19"/>
  <c r="AB292" i="19"/>
  <c r="AB280" i="19"/>
  <c r="AB268" i="19"/>
  <c r="T173" i="19"/>
  <c r="T185" i="19"/>
  <c r="T161" i="19"/>
  <c r="I152" i="19"/>
  <c r="W173" i="19"/>
  <c r="W185" i="19"/>
  <c r="C186" i="19"/>
  <c r="C162" i="19"/>
  <c r="C174" i="19"/>
  <c r="F187" i="19"/>
  <c r="F163" i="19"/>
  <c r="F175" i="19"/>
  <c r="U173" i="19"/>
  <c r="U185" i="19"/>
  <c r="U161" i="19"/>
  <c r="J182" i="19"/>
  <c r="J158" i="19"/>
  <c r="J169" i="19"/>
  <c r="J180" i="19"/>
  <c r="J183" i="19"/>
  <c r="J159" i="19"/>
  <c r="J181" i="19"/>
  <c r="J157" i="19"/>
  <c r="J170" i="19"/>
  <c r="J171" i="19"/>
  <c r="J156" i="19"/>
  <c r="J168" i="19"/>
  <c r="T46" i="19"/>
  <c r="K79" i="19"/>
  <c r="K55" i="19"/>
  <c r="K67" i="19"/>
  <c r="E74" i="19"/>
  <c r="E50" i="19"/>
  <c r="E77" i="19"/>
  <c r="E53" i="19"/>
  <c r="E62" i="19"/>
  <c r="E65" i="19"/>
  <c r="E51" i="19"/>
  <c r="E75" i="19"/>
  <c r="E76" i="19"/>
  <c r="E64" i="19"/>
  <c r="E63" i="19"/>
  <c r="E52" i="19"/>
  <c r="Y78" i="19"/>
  <c r="Y54" i="19"/>
  <c r="Y66" i="19"/>
  <c r="F170" i="19"/>
  <c r="F181" i="19"/>
  <c r="F171" i="19"/>
  <c r="F159" i="19"/>
  <c r="F180" i="19"/>
  <c r="F168" i="19"/>
  <c r="F156" i="19"/>
  <c r="F157" i="19"/>
  <c r="F183" i="19"/>
  <c r="F158" i="19"/>
  <c r="F182" i="19"/>
  <c r="F169" i="19"/>
  <c r="AB180" i="19"/>
  <c r="AB156" i="19"/>
  <c r="AB183" i="19"/>
  <c r="AB159" i="19"/>
  <c r="AB170" i="19"/>
  <c r="AB181" i="19"/>
  <c r="AB157" i="19"/>
  <c r="AB169" i="19"/>
  <c r="AB168" i="19"/>
  <c r="AB171" i="19"/>
  <c r="AB158" i="19"/>
  <c r="AB182" i="19"/>
  <c r="X80" i="19"/>
  <c r="X68" i="19"/>
  <c r="X56" i="19"/>
  <c r="Y46" i="19"/>
  <c r="Y368" i="19"/>
  <c r="Y259" i="19"/>
  <c r="Y260" i="19"/>
  <c r="Y152" i="19"/>
  <c r="Y151" i="19"/>
  <c r="Y369" i="19"/>
  <c r="N80" i="19"/>
  <c r="N56" i="19"/>
  <c r="N68" i="19"/>
  <c r="Y62" i="19"/>
  <c r="Y65" i="19"/>
  <c r="Y74" i="19"/>
  <c r="Y77" i="19"/>
  <c r="Y50" i="19"/>
  <c r="Y52" i="19"/>
  <c r="Y75" i="19"/>
  <c r="Y76" i="19"/>
  <c r="Y63" i="19"/>
  <c r="Y51" i="19"/>
  <c r="Y64" i="19"/>
  <c r="Y53" i="19"/>
  <c r="P503" i="19"/>
  <c r="P493" i="19"/>
  <c r="P504" i="19"/>
  <c r="P491" i="19"/>
  <c r="P502" i="19"/>
  <c r="P505" i="19"/>
  <c r="P492" i="19"/>
  <c r="P480" i="19"/>
  <c r="P478" i="19"/>
  <c r="P481" i="19"/>
  <c r="P490" i="19"/>
  <c r="P479" i="19"/>
  <c r="O495" i="19"/>
  <c r="O507" i="19"/>
  <c r="O483" i="19"/>
  <c r="S398" i="19"/>
  <c r="S386" i="19"/>
  <c r="S387" i="19"/>
  <c r="S388" i="19"/>
  <c r="S400" i="19"/>
  <c r="S399" i="19"/>
  <c r="S376" i="19"/>
  <c r="S397" i="19"/>
  <c r="S374" i="19"/>
  <c r="S373" i="19"/>
  <c r="S375" i="19"/>
  <c r="S385" i="19"/>
  <c r="I401" i="19"/>
  <c r="I389" i="19"/>
  <c r="I377" i="19"/>
  <c r="Z404" i="19"/>
  <c r="Z392" i="19"/>
  <c r="Z380" i="19"/>
  <c r="P385" i="19"/>
  <c r="P386" i="19"/>
  <c r="P387" i="19"/>
  <c r="P373" i="19"/>
  <c r="P400" i="19"/>
  <c r="P399" i="19"/>
  <c r="P398" i="19"/>
  <c r="P397" i="19"/>
  <c r="P388" i="19"/>
  <c r="P376" i="19"/>
  <c r="P375" i="19"/>
  <c r="P374" i="19"/>
  <c r="Y295" i="19"/>
  <c r="Y271" i="19"/>
  <c r="Y283" i="19"/>
  <c r="B281" i="19"/>
  <c r="B269" i="19"/>
  <c r="B293" i="19"/>
  <c r="AW11" i="33" s="1"/>
  <c r="H290" i="19"/>
  <c r="H266" i="19"/>
  <c r="H277" i="19"/>
  <c r="H291" i="19"/>
  <c r="H276" i="19"/>
  <c r="H265" i="19"/>
  <c r="H278" i="19"/>
  <c r="H267" i="19"/>
  <c r="H289" i="19"/>
  <c r="H288" i="19"/>
  <c r="H264" i="19"/>
  <c r="H279" i="19"/>
  <c r="H185" i="19"/>
  <c r="H161" i="19"/>
  <c r="H173" i="19"/>
  <c r="Q504" i="19"/>
  <c r="Q502" i="19"/>
  <c r="Q505" i="19"/>
  <c r="Q492" i="19"/>
  <c r="Q491" i="19"/>
  <c r="Q480" i="19"/>
  <c r="Q503" i="19"/>
  <c r="Q493" i="19"/>
  <c r="Q478" i="19"/>
  <c r="Q481" i="19"/>
  <c r="Q490" i="19"/>
  <c r="Q479" i="19"/>
  <c r="AA403" i="19"/>
  <c r="AA391" i="19"/>
  <c r="AA379" i="19"/>
  <c r="G391" i="19"/>
  <c r="G403" i="19"/>
  <c r="G379" i="19"/>
  <c r="J375" i="19"/>
  <c r="J397" i="19"/>
  <c r="J399" i="19"/>
  <c r="J400" i="19"/>
  <c r="J387" i="19"/>
  <c r="J376" i="19"/>
  <c r="J398" i="19"/>
  <c r="J374" i="19"/>
  <c r="J373" i="19"/>
  <c r="J388" i="19"/>
  <c r="J385" i="19"/>
  <c r="J386" i="19"/>
  <c r="Y400" i="19"/>
  <c r="Y398" i="19"/>
  <c r="Y399" i="19"/>
  <c r="Y388" i="19"/>
  <c r="Y386" i="19"/>
  <c r="Y387" i="19"/>
  <c r="Y385" i="19"/>
  <c r="Y397" i="19"/>
  <c r="Y373" i="19"/>
  <c r="Y376" i="19"/>
  <c r="Y375" i="19"/>
  <c r="Y374" i="19"/>
  <c r="M403" i="19"/>
  <c r="DC12" i="33" s="1"/>
  <c r="M391" i="19"/>
  <c r="M379" i="19"/>
  <c r="U402" i="19"/>
  <c r="U390" i="19"/>
  <c r="U378" i="19"/>
  <c r="V389" i="19"/>
  <c r="V401" i="19"/>
  <c r="V377" i="19"/>
  <c r="C283" i="19"/>
  <c r="C295" i="19"/>
  <c r="C271" i="19"/>
  <c r="Z281" i="19"/>
  <c r="Z293" i="19"/>
  <c r="Z269" i="19"/>
  <c r="C292" i="19"/>
  <c r="C280" i="19"/>
  <c r="C268" i="19"/>
  <c r="F292" i="19"/>
  <c r="F268" i="19"/>
  <c r="F280" i="19"/>
  <c r="W295" i="19"/>
  <c r="W271" i="19"/>
  <c r="W283" i="19"/>
  <c r="L173" i="19"/>
  <c r="L185" i="19"/>
  <c r="L161" i="19"/>
  <c r="M186" i="19"/>
  <c r="CW12" i="33" s="1"/>
  <c r="M162" i="19"/>
  <c r="M174" i="19"/>
  <c r="K186" i="19"/>
  <c r="K162" i="19"/>
  <c r="K174" i="19"/>
  <c r="N187" i="19"/>
  <c r="N163" i="19"/>
  <c r="N175" i="19"/>
  <c r="Z175" i="19"/>
  <c r="Z187" i="19"/>
  <c r="Z163" i="19"/>
  <c r="L79" i="19"/>
  <c r="L55" i="19"/>
  <c r="L67" i="19"/>
  <c r="Q81" i="19"/>
  <c r="Q57" i="19"/>
  <c r="Q69" i="19"/>
  <c r="C79" i="19"/>
  <c r="C55" i="19"/>
  <c r="C67" i="19"/>
  <c r="T259" i="19"/>
  <c r="T368" i="19"/>
  <c r="T369" i="19"/>
  <c r="T260" i="19"/>
  <c r="T151" i="19"/>
  <c r="T474" i="19"/>
  <c r="Q80" i="19"/>
  <c r="Q56" i="19"/>
  <c r="Q68" i="19"/>
  <c r="P68" i="19"/>
  <c r="P56" i="19"/>
  <c r="P80" i="19"/>
  <c r="F80" i="19"/>
  <c r="F56" i="19"/>
  <c r="F68" i="19"/>
  <c r="AB80" i="19"/>
  <c r="AB68" i="19"/>
  <c r="AB56" i="19"/>
  <c r="M495" i="19"/>
  <c r="M507" i="19"/>
  <c r="DF11" i="33" s="1"/>
  <c r="M483" i="19"/>
  <c r="R403" i="19"/>
  <c r="R391" i="19"/>
  <c r="R379" i="19"/>
  <c r="S404" i="19"/>
  <c r="S392" i="19"/>
  <c r="S380" i="19"/>
  <c r="I402" i="19"/>
  <c r="I390" i="19"/>
  <c r="I378" i="19"/>
  <c r="P402" i="19"/>
  <c r="P378" i="19"/>
  <c r="P390" i="19"/>
  <c r="B375" i="19"/>
  <c r="B397" i="19"/>
  <c r="AZ6" i="33" s="1"/>
  <c r="B376" i="19"/>
  <c r="B388" i="19"/>
  <c r="B385" i="19"/>
  <c r="B387" i="19"/>
  <c r="B373" i="19"/>
  <c r="B374" i="19"/>
  <c r="B400" i="19"/>
  <c r="AZ9" i="33" s="1"/>
  <c r="B386" i="19"/>
  <c r="B398" i="19"/>
  <c r="AZ7" i="33" s="1"/>
  <c r="B399" i="19"/>
  <c r="AZ8" i="33" s="1"/>
  <c r="N379" i="19"/>
  <c r="N403" i="19"/>
  <c r="N391" i="19"/>
  <c r="Q400" i="19"/>
  <c r="Q398" i="19"/>
  <c r="Q388" i="19"/>
  <c r="Q386" i="19"/>
  <c r="Q397" i="19"/>
  <c r="Q387" i="19"/>
  <c r="Q399" i="19"/>
  <c r="Q385" i="19"/>
  <c r="Q375" i="19"/>
  <c r="Q376" i="19"/>
  <c r="Q374" i="19"/>
  <c r="Q373" i="19"/>
  <c r="F402" i="19"/>
  <c r="F390" i="19"/>
  <c r="F378" i="19"/>
  <c r="M402" i="19"/>
  <c r="DC11" i="33" s="1"/>
  <c r="M390" i="19"/>
  <c r="M378" i="19"/>
  <c r="N401" i="19"/>
  <c r="N389" i="19"/>
  <c r="N377" i="19"/>
  <c r="C404" i="19"/>
  <c r="C392" i="19"/>
  <c r="C380" i="19"/>
  <c r="C378" i="19"/>
  <c r="C390" i="19"/>
  <c r="C402" i="19"/>
  <c r="E376" i="19"/>
  <c r="E398" i="19"/>
  <c r="E397" i="19"/>
  <c r="E388" i="19"/>
  <c r="E374" i="19"/>
  <c r="E386" i="19"/>
  <c r="E400" i="19"/>
  <c r="E399" i="19"/>
  <c r="E375" i="19"/>
  <c r="E385" i="19"/>
  <c r="E373" i="19"/>
  <c r="E387" i="19"/>
  <c r="F293" i="19"/>
  <c r="F269" i="19"/>
  <c r="F281" i="19"/>
  <c r="K292" i="19"/>
  <c r="K268" i="19"/>
  <c r="K280" i="19"/>
  <c r="N292" i="19"/>
  <c r="N268" i="19"/>
  <c r="N280" i="19"/>
  <c r="D173" i="19"/>
  <c r="D161" i="19"/>
  <c r="D185" i="19"/>
  <c r="U295" i="19"/>
  <c r="U283" i="19"/>
  <c r="U271" i="19"/>
  <c r="G174" i="19"/>
  <c r="G186" i="19"/>
  <c r="G162" i="19"/>
  <c r="S186" i="19"/>
  <c r="S162" i="19"/>
  <c r="S174" i="19"/>
  <c r="V187" i="19"/>
  <c r="V163" i="19"/>
  <c r="V175" i="19"/>
  <c r="V173" i="19"/>
  <c r="V185" i="19"/>
  <c r="V161" i="19"/>
  <c r="Z182" i="19"/>
  <c r="Z158" i="19"/>
  <c r="Z169" i="19"/>
  <c r="Z180" i="19"/>
  <c r="Z183" i="19"/>
  <c r="Z159" i="19"/>
  <c r="Z181" i="19"/>
  <c r="Z156" i="19"/>
  <c r="Z170" i="19"/>
  <c r="Z157" i="19"/>
  <c r="Z168" i="19"/>
  <c r="Z171" i="19"/>
  <c r="X187" i="19"/>
  <c r="X163" i="19"/>
  <c r="X175" i="19"/>
  <c r="E175" i="19"/>
  <c r="E187" i="19"/>
  <c r="E163" i="19"/>
  <c r="M66" i="19"/>
  <c r="M78" i="19"/>
  <c r="CT10" i="33" s="1"/>
  <c r="M54" i="19"/>
  <c r="I81" i="19"/>
  <c r="I57" i="19"/>
  <c r="I69" i="19"/>
  <c r="I80" i="19"/>
  <c r="I68" i="19"/>
  <c r="I56" i="19"/>
  <c r="C78" i="19"/>
  <c r="C66" i="19"/>
  <c r="C54" i="19"/>
  <c r="H68" i="19"/>
  <c r="H80" i="19"/>
  <c r="H56" i="19"/>
  <c r="I46" i="19"/>
  <c r="I368" i="19"/>
  <c r="I260" i="19"/>
  <c r="I474" i="19"/>
  <c r="I151" i="19"/>
  <c r="W67" i="19"/>
  <c r="W79" i="19"/>
  <c r="W55" i="19"/>
  <c r="I62" i="19"/>
  <c r="I65" i="19"/>
  <c r="I74" i="19"/>
  <c r="I77" i="19"/>
  <c r="I53" i="19"/>
  <c r="I75" i="19"/>
  <c r="I76" i="19"/>
  <c r="I52" i="19"/>
  <c r="I63" i="19"/>
  <c r="I50" i="19"/>
  <c r="I64" i="19"/>
  <c r="I51" i="19"/>
  <c r="T56" i="19"/>
  <c r="T80" i="19"/>
  <c r="T68" i="19"/>
  <c r="AA68" i="19"/>
  <c r="AA80" i="19"/>
  <c r="AA56" i="19"/>
  <c r="P509" i="19"/>
  <c r="P485" i="19"/>
  <c r="P497" i="19"/>
  <c r="AA496" i="19"/>
  <c r="AA508" i="19"/>
  <c r="AA484" i="19"/>
  <c r="C504" i="19"/>
  <c r="C502" i="19"/>
  <c r="C505" i="19"/>
  <c r="C492" i="19"/>
  <c r="C503" i="19"/>
  <c r="C490" i="19"/>
  <c r="C493" i="19"/>
  <c r="C478" i="19"/>
  <c r="C491" i="19"/>
  <c r="C481" i="19"/>
  <c r="C479" i="19"/>
  <c r="C480" i="19"/>
  <c r="N505" i="19"/>
  <c r="N503" i="19"/>
  <c r="N493" i="19"/>
  <c r="N504" i="19"/>
  <c r="N491" i="19"/>
  <c r="N479" i="19"/>
  <c r="N492" i="19"/>
  <c r="N480" i="19"/>
  <c r="N502" i="19"/>
  <c r="N490" i="19"/>
  <c r="N478" i="19"/>
  <c r="N481" i="19"/>
  <c r="AC502" i="19"/>
  <c r="FI6" i="33" s="1"/>
  <c r="AC505" i="19"/>
  <c r="FI9" i="33" s="1"/>
  <c r="AC492" i="19"/>
  <c r="AC503" i="19"/>
  <c r="FI7" i="33" s="1"/>
  <c r="AC493" i="19"/>
  <c r="AC504" i="19"/>
  <c r="FI8" i="33" s="1"/>
  <c r="AC491" i="19"/>
  <c r="AC481" i="19"/>
  <c r="AC479" i="19"/>
  <c r="AC490" i="19"/>
  <c r="AC480" i="19"/>
  <c r="AC478" i="19"/>
  <c r="J496" i="19"/>
  <c r="J508" i="19"/>
  <c r="J484" i="19"/>
  <c r="I403" i="19"/>
  <c r="I391" i="19"/>
  <c r="I379" i="19"/>
  <c r="J392" i="19"/>
  <c r="J404" i="19"/>
  <c r="J380" i="19"/>
  <c r="R401" i="19"/>
  <c r="R389" i="19"/>
  <c r="R377" i="19"/>
  <c r="H378" i="19"/>
  <c r="H390" i="19"/>
  <c r="H402" i="19"/>
  <c r="F379" i="19"/>
  <c r="F391" i="19"/>
  <c r="F403" i="19"/>
  <c r="O389" i="19"/>
  <c r="O401" i="19"/>
  <c r="O377" i="19"/>
  <c r="F401" i="19"/>
  <c r="F389" i="19"/>
  <c r="F377" i="19"/>
  <c r="AB401" i="19"/>
  <c r="AB389" i="19"/>
  <c r="AB377" i="19"/>
  <c r="E282" i="19"/>
  <c r="E270" i="19"/>
  <c r="E294" i="19"/>
  <c r="K293" i="19"/>
  <c r="K269" i="19"/>
  <c r="K281" i="19"/>
  <c r="S292" i="19"/>
  <c r="S280" i="19"/>
  <c r="S268" i="19"/>
  <c r="O174" i="19"/>
  <c r="O186" i="19"/>
  <c r="O162" i="19"/>
  <c r="AA186" i="19"/>
  <c r="AA162" i="19"/>
  <c r="AA174" i="19"/>
  <c r="G187" i="19"/>
  <c r="G163" i="19"/>
  <c r="G175" i="19"/>
  <c r="J185" i="19"/>
  <c r="J161" i="19"/>
  <c r="J173" i="19"/>
  <c r="K175" i="19"/>
  <c r="K163" i="19"/>
  <c r="K187" i="19"/>
  <c r="Z68" i="19"/>
  <c r="Z80" i="19"/>
  <c r="Z56" i="19"/>
  <c r="T66" i="19"/>
  <c r="T78" i="19"/>
  <c r="T54" i="19"/>
  <c r="Z67" i="19"/>
  <c r="Z79" i="19"/>
  <c r="Z55" i="19"/>
  <c r="V81" i="19"/>
  <c r="V57" i="19"/>
  <c r="V69" i="19"/>
  <c r="Y67" i="19"/>
  <c r="Y79" i="19"/>
  <c r="Y55" i="19"/>
  <c r="S76" i="19"/>
  <c r="S52" i="19"/>
  <c r="S63" i="19"/>
  <c r="S64" i="19"/>
  <c r="S75" i="19"/>
  <c r="S65" i="19"/>
  <c r="S74" i="19"/>
  <c r="S53" i="19"/>
  <c r="S77" i="19"/>
  <c r="S50" i="19"/>
  <c r="S62" i="19"/>
  <c r="S51" i="19"/>
  <c r="O46" i="19"/>
  <c r="AC69" i="19"/>
  <c r="AC81" i="19"/>
  <c r="EW13" i="33" s="1"/>
  <c r="AC57" i="19"/>
  <c r="AB75" i="19"/>
  <c r="L68" i="19"/>
  <c r="L56" i="19"/>
  <c r="L80" i="19"/>
  <c r="F54" i="19"/>
  <c r="F66" i="19"/>
  <c r="F78" i="19"/>
  <c r="S68" i="19"/>
  <c r="S80" i="19"/>
  <c r="S56" i="19"/>
  <c r="K504" i="19"/>
  <c r="K502" i="19"/>
  <c r="K505" i="19"/>
  <c r="K492" i="19"/>
  <c r="K503" i="19"/>
  <c r="K490" i="19"/>
  <c r="K478" i="19"/>
  <c r="K481" i="19"/>
  <c r="K493" i="19"/>
  <c r="K491" i="19"/>
  <c r="K479" i="19"/>
  <c r="K480" i="19"/>
  <c r="U404" i="19"/>
  <c r="U392" i="19"/>
  <c r="U380" i="19"/>
  <c r="R390" i="19"/>
  <c r="R402" i="19"/>
  <c r="R378" i="19"/>
  <c r="M376" i="19"/>
  <c r="M400" i="19"/>
  <c r="DC9" i="33" s="1"/>
  <c r="M385" i="19"/>
  <c r="M387" i="19"/>
  <c r="M375" i="19"/>
  <c r="M374" i="19"/>
  <c r="M399" i="19"/>
  <c r="DC8" i="33" s="1"/>
  <c r="M398" i="19"/>
  <c r="DC7" i="33" s="1"/>
  <c r="M397" i="19"/>
  <c r="DC6" i="33" s="1"/>
  <c r="M386" i="19"/>
  <c r="M388" i="19"/>
  <c r="M373" i="19"/>
  <c r="V497" i="19"/>
  <c r="V509" i="19"/>
  <c r="V485" i="19"/>
  <c r="D507" i="19"/>
  <c r="D495" i="19"/>
  <c r="D483" i="19"/>
  <c r="S507" i="19"/>
  <c r="S495" i="19"/>
  <c r="S483" i="19"/>
  <c r="AB502" i="19"/>
  <c r="AB505" i="19"/>
  <c r="AB503" i="19"/>
  <c r="AB493" i="19"/>
  <c r="AB478" i="19"/>
  <c r="AB491" i="19"/>
  <c r="AB481" i="19"/>
  <c r="AB492" i="19"/>
  <c r="AB479" i="19"/>
  <c r="AB504" i="19"/>
  <c r="AB490" i="19"/>
  <c r="AB480" i="19"/>
  <c r="Y504" i="19"/>
  <c r="Y502" i="19"/>
  <c r="Y505" i="19"/>
  <c r="Y492" i="19"/>
  <c r="Y503" i="19"/>
  <c r="Y480" i="19"/>
  <c r="Y491" i="19"/>
  <c r="Y478" i="19"/>
  <c r="Y481" i="19"/>
  <c r="Y479" i="19"/>
  <c r="Y493" i="19"/>
  <c r="Y490" i="19"/>
  <c r="W506" i="19"/>
  <c r="W494" i="19"/>
  <c r="W482" i="19"/>
  <c r="Q506" i="19"/>
  <c r="Q494" i="19"/>
  <c r="Q482" i="19"/>
  <c r="AB506" i="19"/>
  <c r="AB482" i="19"/>
  <c r="AB494" i="19"/>
  <c r="N506" i="19"/>
  <c r="N482" i="19"/>
  <c r="N494" i="19"/>
  <c r="W508" i="19"/>
  <c r="W496" i="19"/>
  <c r="W484" i="19"/>
  <c r="P496" i="19"/>
  <c r="P508" i="19"/>
  <c r="P484" i="19"/>
  <c r="S496" i="19"/>
  <c r="S508" i="19"/>
  <c r="S484" i="19"/>
  <c r="M508" i="19"/>
  <c r="DF12" i="33" s="1"/>
  <c r="M484" i="19"/>
  <c r="M496" i="19"/>
  <c r="R478" i="19"/>
  <c r="R504" i="19"/>
  <c r="N399" i="19"/>
  <c r="N387" i="19"/>
  <c r="N400" i="19"/>
  <c r="N388" i="19"/>
  <c r="N398" i="19"/>
  <c r="N397" i="19"/>
  <c r="N374" i="19"/>
  <c r="N373" i="19"/>
  <c r="N385" i="19"/>
  <c r="N386" i="19"/>
  <c r="N376" i="19"/>
  <c r="N375" i="19"/>
  <c r="E404" i="19"/>
  <c r="E392" i="19"/>
  <c r="E380" i="19"/>
  <c r="L403" i="19"/>
  <c r="L391" i="19"/>
  <c r="L379" i="19"/>
  <c r="E403" i="19"/>
  <c r="E391" i="19"/>
  <c r="E379" i="19"/>
  <c r="D391" i="19"/>
  <c r="D403" i="19"/>
  <c r="D379" i="19"/>
  <c r="V404" i="19"/>
  <c r="V380" i="19"/>
  <c r="V392" i="19"/>
  <c r="AB392" i="19"/>
  <c r="AB380" i="19"/>
  <c r="AB404" i="19"/>
  <c r="B392" i="19"/>
  <c r="B404" i="19"/>
  <c r="AZ13" i="33" s="1"/>
  <c r="B380" i="19"/>
  <c r="Y390" i="19"/>
  <c r="Y402" i="19"/>
  <c r="Y378" i="19"/>
  <c r="T402" i="19"/>
  <c r="T390" i="19"/>
  <c r="T378" i="19"/>
  <c r="N390" i="19"/>
  <c r="N402" i="19"/>
  <c r="N378" i="19"/>
  <c r="H385" i="19"/>
  <c r="H398" i="19"/>
  <c r="H386" i="19"/>
  <c r="H399" i="19"/>
  <c r="H387" i="19"/>
  <c r="H388" i="19"/>
  <c r="H400" i="19"/>
  <c r="H375" i="19"/>
  <c r="H397" i="19"/>
  <c r="H373" i="19"/>
  <c r="H376" i="19"/>
  <c r="H374" i="19"/>
  <c r="Z375" i="19"/>
  <c r="Z400" i="19"/>
  <c r="Z397" i="19"/>
  <c r="Z398" i="19"/>
  <c r="Z399" i="19"/>
  <c r="Z388" i="19"/>
  <c r="Z386" i="19"/>
  <c r="Z373" i="19"/>
  <c r="Z387" i="19"/>
  <c r="Z376" i="19"/>
  <c r="Z385" i="19"/>
  <c r="Z374" i="19"/>
  <c r="P283" i="19"/>
  <c r="P271" i="19"/>
  <c r="P295" i="19"/>
  <c r="T278" i="19"/>
  <c r="T289" i="19"/>
  <c r="T265" i="19"/>
  <c r="T279" i="19"/>
  <c r="T290" i="19"/>
  <c r="T288" i="19"/>
  <c r="T291" i="19"/>
  <c r="T276" i="19"/>
  <c r="T277" i="19"/>
  <c r="T267" i="19"/>
  <c r="T266" i="19"/>
  <c r="T264" i="19"/>
  <c r="O295" i="19"/>
  <c r="O271" i="19"/>
  <c r="O283" i="19"/>
  <c r="I293" i="19"/>
  <c r="I269" i="19"/>
  <c r="I281" i="19"/>
  <c r="V295" i="19"/>
  <c r="V271" i="19"/>
  <c r="V283" i="19"/>
  <c r="P293" i="19"/>
  <c r="P269" i="19"/>
  <c r="P281" i="19"/>
  <c r="D259" i="19"/>
  <c r="O293" i="19"/>
  <c r="O281" i="19"/>
  <c r="O269" i="19"/>
  <c r="Y294" i="19"/>
  <c r="Y270" i="19"/>
  <c r="Y282" i="19"/>
  <c r="S293" i="19"/>
  <c r="S269" i="19"/>
  <c r="S281" i="19"/>
  <c r="V276" i="19"/>
  <c r="V279" i="19"/>
  <c r="V277" i="19"/>
  <c r="V288" i="19"/>
  <c r="V278" i="19"/>
  <c r="V291" i="19"/>
  <c r="V267" i="19"/>
  <c r="V290" i="19"/>
  <c r="V266" i="19"/>
  <c r="V264" i="19"/>
  <c r="V289" i="19"/>
  <c r="V265" i="19"/>
  <c r="I259" i="19"/>
  <c r="S389" i="19"/>
  <c r="S377" i="19"/>
  <c r="S401" i="19"/>
  <c r="E377" i="19"/>
  <c r="E401" i="19"/>
  <c r="E389" i="19"/>
  <c r="AB281" i="19"/>
  <c r="P184" i="19"/>
  <c r="P160" i="19"/>
  <c r="P172" i="19"/>
  <c r="O184" i="19"/>
  <c r="O160" i="19"/>
  <c r="O172" i="19"/>
  <c r="G294" i="19"/>
  <c r="Z280" i="19"/>
  <c r="Z292" i="19"/>
  <c r="Z268" i="19"/>
  <c r="X270" i="19"/>
  <c r="C172" i="19"/>
  <c r="C184" i="19"/>
  <c r="C160" i="19"/>
  <c r="P294" i="19"/>
  <c r="B174" i="19"/>
  <c r="B162" i="19"/>
  <c r="B186" i="19"/>
  <c r="AT12" i="33" s="1"/>
  <c r="AC186" i="19"/>
  <c r="EZ12" i="33" s="1"/>
  <c r="AC162" i="19"/>
  <c r="AC174" i="19"/>
  <c r="N170" i="19"/>
  <c r="N181" i="19"/>
  <c r="N171" i="19"/>
  <c r="N183" i="19"/>
  <c r="N169" i="19"/>
  <c r="N159" i="19"/>
  <c r="N182" i="19"/>
  <c r="N156" i="19"/>
  <c r="N168" i="19"/>
  <c r="N180" i="19"/>
  <c r="N157" i="19"/>
  <c r="N158" i="19"/>
  <c r="D180" i="19"/>
  <c r="D156" i="19"/>
  <c r="D183" i="19"/>
  <c r="D170" i="19"/>
  <c r="D181" i="19"/>
  <c r="D157" i="19"/>
  <c r="D171" i="19"/>
  <c r="D169" i="19"/>
  <c r="D159" i="19"/>
  <c r="D168" i="19"/>
  <c r="D182" i="19"/>
  <c r="D158" i="19"/>
  <c r="F69" i="19"/>
  <c r="F81" i="19"/>
  <c r="F57" i="19"/>
  <c r="B65" i="19"/>
  <c r="B76" i="19"/>
  <c r="AQ8" i="33" s="1"/>
  <c r="B52" i="19"/>
  <c r="B77" i="19"/>
  <c r="AQ9" i="33" s="1"/>
  <c r="B53" i="19"/>
  <c r="B64" i="19"/>
  <c r="B50" i="19"/>
  <c r="B74" i="19"/>
  <c r="AQ6" i="33" s="1"/>
  <c r="B51" i="19"/>
  <c r="B75" i="19"/>
  <c r="AQ7" i="33" s="1"/>
  <c r="B63" i="19"/>
  <c r="B62" i="19"/>
  <c r="O67" i="19"/>
  <c r="O79" i="19"/>
  <c r="O55" i="19"/>
  <c r="N79" i="19"/>
  <c r="N55" i="19"/>
  <c r="N67" i="19"/>
  <c r="H77" i="19"/>
  <c r="H75" i="19"/>
  <c r="H51" i="19"/>
  <c r="H62" i="19"/>
  <c r="H63" i="19"/>
  <c r="H74" i="19"/>
  <c r="H53" i="19"/>
  <c r="H76" i="19"/>
  <c r="H52" i="19"/>
  <c r="H50" i="19"/>
  <c r="H65" i="19"/>
  <c r="H64" i="19"/>
  <c r="AA81" i="19"/>
  <c r="AA69" i="19"/>
  <c r="AA57" i="19"/>
  <c r="N78" i="19"/>
  <c r="N54" i="19"/>
  <c r="N66" i="19"/>
  <c r="O78" i="19"/>
  <c r="O54" i="19"/>
  <c r="O66" i="19"/>
  <c r="E68" i="19"/>
  <c r="AB65" i="19"/>
  <c r="AB50" i="19"/>
  <c r="P507" i="19"/>
  <c r="P483" i="19"/>
  <c r="P495" i="19"/>
  <c r="F404" i="19"/>
  <c r="F380" i="19"/>
  <c r="F392" i="19"/>
  <c r="S497" i="19"/>
  <c r="S509" i="19"/>
  <c r="S485" i="19"/>
  <c r="O474" i="19"/>
  <c r="AC497" i="19"/>
  <c r="AC509" i="19"/>
  <c r="FI13" i="33" s="1"/>
  <c r="AC485" i="19"/>
  <c r="G495" i="19"/>
  <c r="G507" i="19"/>
  <c r="G483" i="19"/>
  <c r="E502" i="19"/>
  <c r="E505" i="19"/>
  <c r="E492" i="19"/>
  <c r="E503" i="19"/>
  <c r="E493" i="19"/>
  <c r="E504" i="19"/>
  <c r="E491" i="19"/>
  <c r="E481" i="19"/>
  <c r="E479" i="19"/>
  <c r="E480" i="19"/>
  <c r="E490" i="19"/>
  <c r="E478" i="19"/>
  <c r="F506" i="19"/>
  <c r="F494" i="19"/>
  <c r="F482" i="19"/>
  <c r="Z482" i="19"/>
  <c r="Z506" i="19"/>
  <c r="Z494" i="19"/>
  <c r="C494" i="19"/>
  <c r="C506" i="19"/>
  <c r="C482" i="19"/>
  <c r="V506" i="19"/>
  <c r="V494" i="19"/>
  <c r="V482" i="19"/>
  <c r="B496" i="19"/>
  <c r="B508" i="19"/>
  <c r="BC12" i="33" s="1"/>
  <c r="B484" i="19"/>
  <c r="R493" i="19"/>
  <c r="K398" i="19"/>
  <c r="K386" i="19"/>
  <c r="K399" i="19"/>
  <c r="K387" i="19"/>
  <c r="K400" i="19"/>
  <c r="K388" i="19"/>
  <c r="K376" i="19"/>
  <c r="K385" i="19"/>
  <c r="K373" i="19"/>
  <c r="K397" i="19"/>
  <c r="K375" i="19"/>
  <c r="K374" i="19"/>
  <c r="I400" i="19"/>
  <c r="I398" i="19"/>
  <c r="I388" i="19"/>
  <c r="I386" i="19"/>
  <c r="I397" i="19"/>
  <c r="I387" i="19"/>
  <c r="I399" i="19"/>
  <c r="I374" i="19"/>
  <c r="I375" i="19"/>
  <c r="I373" i="19"/>
  <c r="I385" i="19"/>
  <c r="I376" i="19"/>
  <c r="L404" i="19"/>
  <c r="L392" i="19"/>
  <c r="L380" i="19"/>
  <c r="V399" i="19"/>
  <c r="V398" i="19"/>
  <c r="V387" i="19"/>
  <c r="V385" i="19"/>
  <c r="V388" i="19"/>
  <c r="V386" i="19"/>
  <c r="V397" i="19"/>
  <c r="V400" i="19"/>
  <c r="V375" i="19"/>
  <c r="V374" i="19"/>
  <c r="V373" i="19"/>
  <c r="V376" i="19"/>
  <c r="H283" i="19"/>
  <c r="H271" i="19"/>
  <c r="H295" i="19"/>
  <c r="L278" i="19"/>
  <c r="L289" i="19"/>
  <c r="L265" i="19"/>
  <c r="L279" i="19"/>
  <c r="L290" i="19"/>
  <c r="L288" i="19"/>
  <c r="L277" i="19"/>
  <c r="L267" i="19"/>
  <c r="L266" i="19"/>
  <c r="L264" i="19"/>
  <c r="L291" i="19"/>
  <c r="L276" i="19"/>
  <c r="G295" i="19"/>
  <c r="G271" i="19"/>
  <c r="G283" i="19"/>
  <c r="AA291" i="19"/>
  <c r="AA267" i="19"/>
  <c r="AA278" i="19"/>
  <c r="AA276" i="19"/>
  <c r="AA277" i="19"/>
  <c r="AA288" i="19"/>
  <c r="AA264" i="19"/>
  <c r="AA290" i="19"/>
  <c r="AA266" i="19"/>
  <c r="AA279" i="19"/>
  <c r="AA265" i="19"/>
  <c r="AA289" i="19"/>
  <c r="AA283" i="19"/>
  <c r="AA295" i="19"/>
  <c r="AA271" i="19"/>
  <c r="N295" i="19"/>
  <c r="N271" i="19"/>
  <c r="N283" i="19"/>
  <c r="H293" i="19"/>
  <c r="H269" i="19"/>
  <c r="H281" i="19"/>
  <c r="M295" i="19"/>
  <c r="CZ13" i="33" s="1"/>
  <c r="M283" i="19"/>
  <c r="M271" i="19"/>
  <c r="G293" i="19"/>
  <c r="G281" i="19"/>
  <c r="G269" i="19"/>
  <c r="W282" i="19"/>
  <c r="W294" i="19"/>
  <c r="W270" i="19"/>
  <c r="M401" i="19"/>
  <c r="DC10" i="33" s="1"/>
  <c r="M377" i="19"/>
  <c r="M389" i="19"/>
  <c r="F276" i="19"/>
  <c r="F279" i="19"/>
  <c r="F277" i="19"/>
  <c r="F288" i="19"/>
  <c r="F278" i="19"/>
  <c r="F264" i="19"/>
  <c r="F290" i="19"/>
  <c r="F265" i="19"/>
  <c r="F291" i="19"/>
  <c r="F267" i="19"/>
  <c r="F289" i="19"/>
  <c r="F266" i="19"/>
  <c r="T293" i="19"/>
  <c r="H184" i="19"/>
  <c r="H160" i="19"/>
  <c r="H172" i="19"/>
  <c r="G184" i="19"/>
  <c r="G160" i="19"/>
  <c r="G172" i="19"/>
  <c r="G282" i="19"/>
  <c r="U184" i="19"/>
  <c r="U160" i="19"/>
  <c r="U172" i="19"/>
  <c r="P282" i="19"/>
  <c r="Y172" i="19"/>
  <c r="Y160" i="19"/>
  <c r="Y184" i="19"/>
  <c r="L172" i="19"/>
  <c r="L184" i="19"/>
  <c r="L160" i="19"/>
  <c r="AB173" i="19"/>
  <c r="AB161" i="19"/>
  <c r="AB185" i="19"/>
  <c r="R185" i="19"/>
  <c r="R161" i="19"/>
  <c r="R173" i="19"/>
  <c r="D186" i="19"/>
  <c r="D162" i="19"/>
  <c r="D174" i="19"/>
  <c r="F186" i="19"/>
  <c r="F162" i="19"/>
  <c r="F174" i="19"/>
  <c r="X151" i="19"/>
  <c r="V170" i="19"/>
  <c r="V181" i="19"/>
  <c r="V171" i="19"/>
  <c r="V182" i="19"/>
  <c r="V180" i="19"/>
  <c r="V158" i="19"/>
  <c r="V159" i="19"/>
  <c r="V169" i="19"/>
  <c r="V156" i="19"/>
  <c r="V183" i="19"/>
  <c r="V168" i="19"/>
  <c r="V157" i="19"/>
  <c r="L180" i="19"/>
  <c r="L156" i="19"/>
  <c r="L183" i="19"/>
  <c r="L170" i="19"/>
  <c r="L181" i="19"/>
  <c r="L157" i="19"/>
  <c r="L158" i="19"/>
  <c r="L159" i="19"/>
  <c r="L182" i="19"/>
  <c r="L171" i="19"/>
  <c r="L169" i="19"/>
  <c r="L168" i="19"/>
  <c r="P67" i="19"/>
  <c r="P79" i="19"/>
  <c r="P55" i="19"/>
  <c r="G67" i="19"/>
  <c r="G79" i="19"/>
  <c r="G55" i="19"/>
  <c r="T45" i="19"/>
  <c r="F79" i="19"/>
  <c r="F67" i="19"/>
  <c r="F55" i="19"/>
  <c r="T63" i="19"/>
  <c r="T74" i="19"/>
  <c r="T50" i="19"/>
  <c r="T75" i="19"/>
  <c r="T51" i="19"/>
  <c r="T62" i="19"/>
  <c r="T64" i="19"/>
  <c r="T65" i="19"/>
  <c r="T53" i="19"/>
  <c r="T77" i="19"/>
  <c r="T52" i="19"/>
  <c r="T76" i="19"/>
  <c r="S81" i="19"/>
  <c r="S69" i="19"/>
  <c r="S57" i="19"/>
  <c r="Q78" i="19"/>
  <c r="Q54" i="19"/>
  <c r="Q66" i="19"/>
  <c r="AC76" i="19"/>
  <c r="EW8" i="33" s="1"/>
  <c r="AC74" i="19"/>
  <c r="EW6" i="33" s="1"/>
  <c r="AC50" i="19"/>
  <c r="AC77" i="19"/>
  <c r="EW9" i="33" s="1"/>
  <c r="AC53" i="19"/>
  <c r="AC62" i="19"/>
  <c r="AC65" i="19"/>
  <c r="AC75" i="19"/>
  <c r="EW7" i="33" s="1"/>
  <c r="AC51" i="19"/>
  <c r="AC63" i="19"/>
  <c r="AC64" i="19"/>
  <c r="AC52" i="19"/>
  <c r="W57" i="19"/>
  <c r="W81" i="19"/>
  <c r="W69" i="19"/>
  <c r="N46" i="19"/>
  <c r="E80" i="19"/>
  <c r="AB64" i="19"/>
  <c r="AB74" i="19"/>
  <c r="V495" i="19"/>
  <c r="V507" i="19"/>
  <c r="V483" i="19"/>
  <c r="K496" i="19"/>
  <c r="K508" i="19"/>
  <c r="K484" i="19"/>
  <c r="I506" i="19"/>
  <c r="I494" i="19"/>
  <c r="I482" i="19"/>
  <c r="G508" i="19"/>
  <c r="G496" i="19"/>
  <c r="G484" i="19"/>
  <c r="L402" i="19"/>
  <c r="L390" i="19"/>
  <c r="L378" i="19"/>
  <c r="S291" i="19"/>
  <c r="S267" i="19"/>
  <c r="S278" i="19"/>
  <c r="S276" i="19"/>
  <c r="S277" i="19"/>
  <c r="S289" i="19"/>
  <c r="S265" i="19"/>
  <c r="S288" i="19"/>
  <c r="S279" i="19"/>
  <c r="S266" i="19"/>
  <c r="S264" i="19"/>
  <c r="S290" i="19"/>
  <c r="B280" i="19"/>
  <c r="B292" i="19"/>
  <c r="AW10" i="33" s="1"/>
  <c r="B268" i="19"/>
  <c r="M184" i="19"/>
  <c r="CW10" i="33" s="1"/>
  <c r="M160" i="19"/>
  <c r="M172" i="19"/>
  <c r="Z172" i="19"/>
  <c r="Z184" i="19"/>
  <c r="Z160" i="19"/>
  <c r="Q172" i="19"/>
  <c r="Q184" i="19"/>
  <c r="Q160" i="19"/>
  <c r="Z174" i="19"/>
  <c r="Z162" i="19"/>
  <c r="Z186" i="19"/>
  <c r="E173" i="19"/>
  <c r="E161" i="19"/>
  <c r="E185" i="19"/>
  <c r="P185" i="19"/>
  <c r="P161" i="19"/>
  <c r="P173" i="19"/>
  <c r="Z185" i="19"/>
  <c r="Z161" i="19"/>
  <c r="Z173" i="19"/>
  <c r="I174" i="19"/>
  <c r="I186" i="19"/>
  <c r="I162" i="19"/>
  <c r="L186" i="19"/>
  <c r="L174" i="19"/>
  <c r="L162" i="19"/>
  <c r="N186" i="19"/>
  <c r="N162" i="19"/>
  <c r="N174" i="19"/>
  <c r="R175" i="19"/>
  <c r="R187" i="19"/>
  <c r="R163" i="19"/>
  <c r="T175" i="19"/>
  <c r="T187" i="19"/>
  <c r="T163" i="19"/>
  <c r="H187" i="19"/>
  <c r="H163" i="19"/>
  <c r="H175" i="19"/>
  <c r="O173" i="19"/>
  <c r="O185" i="19"/>
  <c r="O161" i="19"/>
  <c r="G181" i="19"/>
  <c r="G157" i="19"/>
  <c r="G168" i="19"/>
  <c r="G171" i="19"/>
  <c r="G182" i="19"/>
  <c r="G158" i="19"/>
  <c r="G180" i="19"/>
  <c r="G156" i="19"/>
  <c r="G183" i="19"/>
  <c r="G170" i="19"/>
  <c r="G169" i="19"/>
  <c r="G159" i="19"/>
  <c r="R182" i="19"/>
  <c r="R158" i="19"/>
  <c r="R169" i="19"/>
  <c r="R180" i="19"/>
  <c r="R183" i="19"/>
  <c r="R159" i="19"/>
  <c r="R181" i="19"/>
  <c r="R156" i="19"/>
  <c r="R171" i="19"/>
  <c r="R168" i="19"/>
  <c r="R157" i="19"/>
  <c r="R170" i="19"/>
  <c r="T180" i="19"/>
  <c r="T156" i="19"/>
  <c r="T183" i="19"/>
  <c r="T170" i="19"/>
  <c r="T181" i="19"/>
  <c r="T157" i="19"/>
  <c r="T171" i="19"/>
  <c r="T168" i="19"/>
  <c r="T182" i="19"/>
  <c r="T158" i="19"/>
  <c r="T159" i="19"/>
  <c r="T169" i="19"/>
  <c r="G173" i="19"/>
  <c r="G161" i="19"/>
  <c r="G185" i="19"/>
  <c r="H67" i="19"/>
  <c r="H79" i="19"/>
  <c r="H55" i="19"/>
  <c r="AB66" i="19"/>
  <c r="AB78" i="19"/>
  <c r="AB54" i="19"/>
  <c r="AA78" i="19"/>
  <c r="AA54" i="19"/>
  <c r="AA66" i="19"/>
  <c r="L63" i="19"/>
  <c r="L74" i="19"/>
  <c r="L50" i="19"/>
  <c r="L75" i="19"/>
  <c r="L62" i="19"/>
  <c r="L76" i="19"/>
  <c r="L52" i="19"/>
  <c r="L64" i="19"/>
  <c r="L51" i="19"/>
  <c r="L65" i="19"/>
  <c r="L53" i="19"/>
  <c r="L77" i="19"/>
  <c r="K81" i="19"/>
  <c r="K69" i="19"/>
  <c r="K57" i="19"/>
  <c r="J66" i="19"/>
  <c r="J78" i="19"/>
  <c r="J54" i="19"/>
  <c r="I78" i="19"/>
  <c r="I54" i="19"/>
  <c r="I66" i="19"/>
  <c r="AA79" i="19"/>
  <c r="AA55" i="19"/>
  <c r="AA67" i="19"/>
  <c r="U76" i="19"/>
  <c r="U74" i="19"/>
  <c r="U50" i="19"/>
  <c r="U77" i="19"/>
  <c r="U53" i="19"/>
  <c r="U62" i="19"/>
  <c r="U65" i="19"/>
  <c r="U75" i="19"/>
  <c r="U52" i="19"/>
  <c r="U64" i="19"/>
  <c r="U63" i="19"/>
  <c r="U51" i="19"/>
  <c r="O69" i="19"/>
  <c r="O81" i="19"/>
  <c r="O57" i="19"/>
  <c r="AA76" i="19"/>
  <c r="AA52" i="19"/>
  <c r="AA63" i="19"/>
  <c r="AA64" i="19"/>
  <c r="AA75" i="19"/>
  <c r="AA77" i="19"/>
  <c r="AA62" i="19"/>
  <c r="AA51" i="19"/>
  <c r="AA74" i="19"/>
  <c r="AA65" i="19"/>
  <c r="AA53" i="19"/>
  <c r="AA50" i="19"/>
  <c r="AB79" i="19"/>
  <c r="AB55" i="19"/>
  <c r="AB67" i="19"/>
  <c r="AC68" i="19"/>
  <c r="AC56" i="19"/>
  <c r="AC80" i="19"/>
  <c r="EW12" i="33" s="1"/>
  <c r="AB76" i="19"/>
  <c r="AB63" i="19"/>
  <c r="J509" i="19"/>
  <c r="J497" i="19"/>
  <c r="J485" i="19"/>
  <c r="W503" i="19"/>
  <c r="W490" i="19"/>
  <c r="W504" i="19"/>
  <c r="W502" i="19"/>
  <c r="W479" i="19"/>
  <c r="W505" i="19"/>
  <c r="W480" i="19"/>
  <c r="W491" i="19"/>
  <c r="W492" i="19"/>
  <c r="W478" i="19"/>
  <c r="W481" i="19"/>
  <c r="W493" i="19"/>
  <c r="K494" i="19"/>
  <c r="K506" i="19"/>
  <c r="K482" i="19"/>
  <c r="N508" i="19"/>
  <c r="N496" i="19"/>
  <c r="N484" i="19"/>
  <c r="F295" i="19"/>
  <c r="F271" i="19"/>
  <c r="F283" i="19"/>
  <c r="Z288" i="19"/>
  <c r="Z264" i="19"/>
  <c r="Z291" i="19"/>
  <c r="Z267" i="19"/>
  <c r="Z289" i="19"/>
  <c r="Z290" i="19"/>
  <c r="Z266" i="19"/>
  <c r="Z277" i="19"/>
  <c r="Z278" i="19"/>
  <c r="Z279" i="19"/>
  <c r="Z265" i="19"/>
  <c r="Z276" i="19"/>
  <c r="Q295" i="19"/>
  <c r="Q271" i="19"/>
  <c r="Q283" i="19"/>
  <c r="W389" i="19"/>
  <c r="W401" i="19"/>
  <c r="W377" i="19"/>
  <c r="AC282" i="19"/>
  <c r="AC294" i="19"/>
  <c r="FC12" i="33" s="1"/>
  <c r="AC270" i="19"/>
  <c r="T292" i="19"/>
  <c r="T280" i="19"/>
  <c r="T268" i="19"/>
  <c r="AA497" i="19"/>
  <c r="AA485" i="19"/>
  <c r="AA509" i="19"/>
  <c r="T497" i="19"/>
  <c r="T509" i="19"/>
  <c r="T485" i="19"/>
  <c r="Y509" i="19"/>
  <c r="Y497" i="19"/>
  <c r="Y485" i="19"/>
  <c r="E495" i="19"/>
  <c r="E507" i="19"/>
  <c r="E483" i="19"/>
  <c r="AA507" i="19"/>
  <c r="AA495" i="19"/>
  <c r="AA483" i="19"/>
  <c r="Q507" i="19"/>
  <c r="Q483" i="19"/>
  <c r="Q495" i="19"/>
  <c r="S504" i="19"/>
  <c r="S502" i="19"/>
  <c r="S505" i="19"/>
  <c r="S492" i="19"/>
  <c r="S503" i="19"/>
  <c r="S490" i="19"/>
  <c r="S493" i="19"/>
  <c r="S478" i="19"/>
  <c r="S481" i="19"/>
  <c r="S479" i="19"/>
  <c r="S491" i="19"/>
  <c r="S480" i="19"/>
  <c r="U502" i="19"/>
  <c r="U505" i="19"/>
  <c r="U492" i="19"/>
  <c r="U503" i="19"/>
  <c r="U493" i="19"/>
  <c r="U504" i="19"/>
  <c r="U481" i="19"/>
  <c r="U490" i="19"/>
  <c r="U479" i="19"/>
  <c r="U491" i="19"/>
  <c r="U480" i="19"/>
  <c r="U478" i="19"/>
  <c r="H503" i="19"/>
  <c r="H493" i="19"/>
  <c r="H504" i="19"/>
  <c r="H502" i="19"/>
  <c r="H505" i="19"/>
  <c r="H480" i="19"/>
  <c r="H492" i="19"/>
  <c r="H490" i="19"/>
  <c r="H478" i="19"/>
  <c r="H481" i="19"/>
  <c r="H491" i="19"/>
  <c r="H479" i="19"/>
  <c r="X506" i="19"/>
  <c r="X494" i="19"/>
  <c r="X482" i="19"/>
  <c r="R494" i="19"/>
  <c r="R482" i="19"/>
  <c r="R506" i="19"/>
  <c r="T506" i="19"/>
  <c r="T494" i="19"/>
  <c r="T482" i="19"/>
  <c r="R503" i="19"/>
  <c r="U391" i="19"/>
  <c r="U403" i="19"/>
  <c r="U379" i="19"/>
  <c r="AB390" i="19"/>
  <c r="AB402" i="19"/>
  <c r="AB378" i="19"/>
  <c r="D399" i="19"/>
  <c r="D397" i="19"/>
  <c r="D373" i="19"/>
  <c r="D400" i="19"/>
  <c r="D387" i="19"/>
  <c r="D388" i="19"/>
  <c r="D398" i="19"/>
  <c r="D385" i="19"/>
  <c r="D375" i="19"/>
  <c r="D374" i="19"/>
  <c r="D386" i="19"/>
  <c r="D376" i="19"/>
  <c r="M282" i="19"/>
  <c r="M270" i="19"/>
  <c r="M294" i="19"/>
  <c r="CZ12" i="33" s="1"/>
  <c r="Z402" i="19"/>
  <c r="T294" i="19"/>
  <c r="T270" i="19"/>
  <c r="T282" i="19"/>
  <c r="K291" i="19"/>
  <c r="K267" i="19"/>
  <c r="K278" i="19"/>
  <c r="K276" i="19"/>
  <c r="K277" i="19"/>
  <c r="K290" i="19"/>
  <c r="K289" i="19"/>
  <c r="K279" i="19"/>
  <c r="K266" i="19"/>
  <c r="K264" i="19"/>
  <c r="K288" i="19"/>
  <c r="K265" i="19"/>
  <c r="AA294" i="19"/>
  <c r="AA270" i="19"/>
  <c r="AA282" i="19"/>
  <c r="R288" i="19"/>
  <c r="R264" i="19"/>
  <c r="R291" i="19"/>
  <c r="R267" i="19"/>
  <c r="R289" i="19"/>
  <c r="R290" i="19"/>
  <c r="R266" i="19"/>
  <c r="R279" i="19"/>
  <c r="R265" i="19"/>
  <c r="R276" i="19"/>
  <c r="R278" i="19"/>
  <c r="R277" i="19"/>
  <c r="Z294" i="19"/>
  <c r="Z282" i="19"/>
  <c r="Z270" i="19"/>
  <c r="Q277" i="19"/>
  <c r="Q288" i="19"/>
  <c r="Q264" i="19"/>
  <c r="Q278" i="19"/>
  <c r="Q289" i="19"/>
  <c r="Q279" i="19"/>
  <c r="Q266" i="19"/>
  <c r="Q265" i="19"/>
  <c r="Q291" i="19"/>
  <c r="Q276" i="19"/>
  <c r="Q267" i="19"/>
  <c r="Q290" i="19"/>
  <c r="V293" i="19"/>
  <c r="V281" i="19"/>
  <c r="V269" i="19"/>
  <c r="AC289" i="19"/>
  <c r="FC7" i="33" s="1"/>
  <c r="AC265" i="19"/>
  <c r="AC276" i="19"/>
  <c r="AC290" i="19"/>
  <c r="FC8" i="33" s="1"/>
  <c r="AC291" i="19"/>
  <c r="FC9" i="33" s="1"/>
  <c r="AC267" i="19"/>
  <c r="AC266" i="19"/>
  <c r="AC278" i="19"/>
  <c r="AC279" i="19"/>
  <c r="AC288" i="19"/>
  <c r="FC6" i="33" s="1"/>
  <c r="AC277" i="19"/>
  <c r="AC264" i="19"/>
  <c r="M281" i="19"/>
  <c r="M293" i="19"/>
  <c r="CZ11" i="33" s="1"/>
  <c r="M269" i="19"/>
  <c r="K401" i="19"/>
  <c r="K389" i="19"/>
  <c r="K377" i="19"/>
  <c r="AC401" i="19"/>
  <c r="FF10" i="33" s="1"/>
  <c r="AC389" i="19"/>
  <c r="AC377" i="19"/>
  <c r="B283" i="19"/>
  <c r="B271" i="19"/>
  <c r="B295" i="19"/>
  <c r="AW13" i="33" s="1"/>
  <c r="O294" i="19"/>
  <c r="I280" i="19"/>
  <c r="I268" i="19"/>
  <c r="I292" i="19"/>
  <c r="E184" i="19"/>
  <c r="E160" i="19"/>
  <c r="E172" i="19"/>
  <c r="R172" i="19"/>
  <c r="R184" i="19"/>
  <c r="R160" i="19"/>
  <c r="I172" i="19"/>
  <c r="I184" i="19"/>
  <c r="I160" i="19"/>
  <c r="M173" i="19"/>
  <c r="M185" i="19"/>
  <c r="CW11" i="33" s="1"/>
  <c r="M161" i="19"/>
  <c r="C185" i="19"/>
  <c r="C161" i="19"/>
  <c r="C173" i="19"/>
  <c r="U175" i="19"/>
  <c r="U187" i="19"/>
  <c r="U163" i="19"/>
  <c r="Q174" i="19"/>
  <c r="Q186" i="19"/>
  <c r="Q162" i="19"/>
  <c r="T186" i="19"/>
  <c r="T174" i="19"/>
  <c r="T162" i="19"/>
  <c r="Y171" i="19"/>
  <c r="Y182" i="19"/>
  <c r="Y180" i="19"/>
  <c r="Y156" i="19"/>
  <c r="Y159" i="19"/>
  <c r="Y181" i="19"/>
  <c r="Y169" i="19"/>
  <c r="Y183" i="19"/>
  <c r="Y170" i="19"/>
  <c r="Y157" i="19"/>
  <c r="Y168" i="19"/>
  <c r="Y158" i="19"/>
  <c r="O181" i="19"/>
  <c r="O157" i="19"/>
  <c r="O168" i="19"/>
  <c r="O171" i="19"/>
  <c r="O182" i="19"/>
  <c r="O158" i="19"/>
  <c r="O183" i="19"/>
  <c r="O169" i="19"/>
  <c r="O159" i="19"/>
  <c r="O170" i="19"/>
  <c r="O156" i="19"/>
  <c r="O180" i="19"/>
  <c r="U66" i="19"/>
  <c r="U78" i="19"/>
  <c r="U54" i="19"/>
  <c r="AB81" i="19"/>
  <c r="AB69" i="19"/>
  <c r="AB57" i="19"/>
  <c r="S78" i="19"/>
  <c r="S54" i="19"/>
  <c r="S66" i="19"/>
  <c r="D63" i="19"/>
  <c r="D74" i="19"/>
  <c r="D50" i="19"/>
  <c r="D75" i="19"/>
  <c r="D62" i="19"/>
  <c r="D64" i="19"/>
  <c r="D77" i="19"/>
  <c r="D65" i="19"/>
  <c r="D51" i="19"/>
  <c r="D53" i="19"/>
  <c r="D52" i="19"/>
  <c r="D76" i="19"/>
  <c r="C69" i="19"/>
  <c r="C57" i="19"/>
  <c r="C81" i="19"/>
  <c r="B66" i="19"/>
  <c r="B54" i="19"/>
  <c r="B78" i="19"/>
  <c r="AQ10" i="33" s="1"/>
  <c r="Z65" i="19"/>
  <c r="Z76" i="19"/>
  <c r="Z52" i="19"/>
  <c r="Z77" i="19"/>
  <c r="Z53" i="19"/>
  <c r="Z64" i="19"/>
  <c r="Z74" i="19"/>
  <c r="Z75" i="19"/>
  <c r="Z62" i="19"/>
  <c r="Z63" i="19"/>
  <c r="Z51" i="19"/>
  <c r="Z50" i="19"/>
  <c r="AB52" i="19"/>
  <c r="I507" i="19"/>
  <c r="I495" i="19"/>
  <c r="I483" i="19"/>
  <c r="AC391" i="19"/>
  <c r="AC403" i="19"/>
  <c r="FF12" i="33" s="1"/>
  <c r="AC379" i="19"/>
  <c r="U282" i="19"/>
  <c r="U294" i="19"/>
  <c r="U270" i="19"/>
  <c r="E295" i="19"/>
  <c r="E283" i="19"/>
  <c r="E271" i="19"/>
  <c r="I294" i="19"/>
  <c r="I282" i="19"/>
  <c r="I270" i="19"/>
  <c r="C293" i="19"/>
  <c r="C269" i="19"/>
  <c r="C281" i="19"/>
  <c r="E281" i="19"/>
  <c r="E293" i="19"/>
  <c r="E269" i="19"/>
  <c r="AA401" i="19"/>
  <c r="AA377" i="19"/>
  <c r="AA389" i="19"/>
  <c r="U401" i="19"/>
  <c r="U389" i="19"/>
  <c r="U377" i="19"/>
  <c r="P292" i="19"/>
  <c r="P268" i="19"/>
  <c r="P280" i="19"/>
  <c r="J504" i="19"/>
  <c r="J491" i="19"/>
  <c r="J502" i="19"/>
  <c r="J505" i="19"/>
  <c r="J492" i="19"/>
  <c r="J503" i="19"/>
  <c r="J480" i="19"/>
  <c r="J490" i="19"/>
  <c r="J478" i="19"/>
  <c r="J481" i="19"/>
  <c r="J493" i="19"/>
  <c r="J479" i="19"/>
  <c r="F497" i="19"/>
  <c r="F509" i="19"/>
  <c r="F485" i="19"/>
  <c r="N495" i="19"/>
  <c r="N507" i="19"/>
  <c r="N483" i="19"/>
  <c r="H507" i="19"/>
  <c r="H495" i="19"/>
  <c r="H483" i="19"/>
  <c r="Y507" i="19"/>
  <c r="Y495" i="19"/>
  <c r="Y483" i="19"/>
  <c r="AA504" i="19"/>
  <c r="AA502" i="19"/>
  <c r="AA505" i="19"/>
  <c r="AA492" i="19"/>
  <c r="AA503" i="19"/>
  <c r="AA490" i="19"/>
  <c r="AA478" i="19"/>
  <c r="AA491" i="19"/>
  <c r="AA481" i="19"/>
  <c r="AA493" i="19"/>
  <c r="AA479" i="19"/>
  <c r="AA480" i="19"/>
  <c r="G506" i="19"/>
  <c r="G494" i="19"/>
  <c r="G482" i="19"/>
  <c r="AC506" i="19"/>
  <c r="FI10" i="33" s="1"/>
  <c r="AC482" i="19"/>
  <c r="AC494" i="19"/>
  <c r="C508" i="19"/>
  <c r="C484" i="19"/>
  <c r="C496" i="19"/>
  <c r="Z504" i="19"/>
  <c r="Z491" i="19"/>
  <c r="Z502" i="19"/>
  <c r="Z505" i="19"/>
  <c r="Z492" i="19"/>
  <c r="Z503" i="19"/>
  <c r="Z480" i="19"/>
  <c r="Z478" i="19"/>
  <c r="Z481" i="19"/>
  <c r="Z493" i="19"/>
  <c r="Z479" i="19"/>
  <c r="Z490" i="19"/>
  <c r="B507" i="19"/>
  <c r="BC11" i="33" s="1"/>
  <c r="B495" i="19"/>
  <c r="B483" i="19"/>
  <c r="R492" i="19"/>
  <c r="K404" i="19"/>
  <c r="K392" i="19"/>
  <c r="K380" i="19"/>
  <c r="J402" i="19"/>
  <c r="J390" i="19"/>
  <c r="J378" i="19"/>
  <c r="D390" i="19"/>
  <c r="D402" i="19"/>
  <c r="D378" i="19"/>
  <c r="AC397" i="19"/>
  <c r="FF6" i="33" s="1"/>
  <c r="AC376" i="19"/>
  <c r="AC398" i="19"/>
  <c r="FF7" i="33" s="1"/>
  <c r="AC385" i="19"/>
  <c r="AC399" i="19"/>
  <c r="FF8" i="33" s="1"/>
  <c r="AC386" i="19"/>
  <c r="AC388" i="19"/>
  <c r="AC373" i="19"/>
  <c r="AC375" i="19"/>
  <c r="AC387" i="19"/>
  <c r="AC400" i="19"/>
  <c r="FF9" i="33" s="1"/>
  <c r="AC374" i="19"/>
  <c r="L399" i="19"/>
  <c r="L398" i="19"/>
  <c r="L397" i="19"/>
  <c r="L373" i="19"/>
  <c r="L387" i="19"/>
  <c r="L388" i="19"/>
  <c r="L385" i="19"/>
  <c r="L375" i="19"/>
  <c r="L400" i="19"/>
  <c r="L386" i="19"/>
  <c r="L376" i="19"/>
  <c r="L374" i="19"/>
  <c r="L294" i="19"/>
  <c r="L270" i="19"/>
  <c r="L282" i="19"/>
  <c r="C291" i="19"/>
  <c r="C267" i="19"/>
  <c r="C278" i="19"/>
  <c r="C276" i="19"/>
  <c r="C277" i="19"/>
  <c r="C288" i="19"/>
  <c r="C266" i="19"/>
  <c r="C290" i="19"/>
  <c r="C264" i="19"/>
  <c r="C265" i="19"/>
  <c r="C279" i="19"/>
  <c r="C289" i="19"/>
  <c r="J288" i="19"/>
  <c r="J264" i="19"/>
  <c r="J291" i="19"/>
  <c r="J267" i="19"/>
  <c r="J289" i="19"/>
  <c r="J290" i="19"/>
  <c r="J266" i="19"/>
  <c r="J277" i="19"/>
  <c r="J278" i="19"/>
  <c r="J279" i="19"/>
  <c r="J276" i="19"/>
  <c r="J265" i="19"/>
  <c r="R294" i="19"/>
  <c r="R282" i="19"/>
  <c r="R270" i="19"/>
  <c r="I277" i="19"/>
  <c r="I288" i="19"/>
  <c r="I264" i="19"/>
  <c r="I278" i="19"/>
  <c r="I289" i="19"/>
  <c r="I279" i="19"/>
  <c r="I276" i="19"/>
  <c r="I265" i="19"/>
  <c r="I290" i="19"/>
  <c r="I267" i="19"/>
  <c r="I291" i="19"/>
  <c r="I266" i="19"/>
  <c r="AB295" i="19"/>
  <c r="AB271" i="19"/>
  <c r="AB283" i="19"/>
  <c r="N293" i="19"/>
  <c r="N269" i="19"/>
  <c r="N281" i="19"/>
  <c r="V294" i="19"/>
  <c r="V270" i="19"/>
  <c r="V282" i="19"/>
  <c r="U289" i="19"/>
  <c r="U265" i="19"/>
  <c r="U276" i="19"/>
  <c r="U290" i="19"/>
  <c r="U291" i="19"/>
  <c r="U267" i="19"/>
  <c r="U288" i="19"/>
  <c r="U277" i="19"/>
  <c r="U278" i="19"/>
  <c r="U266" i="19"/>
  <c r="U279" i="19"/>
  <c r="U264" i="19"/>
  <c r="U281" i="19"/>
  <c r="U293" i="19"/>
  <c r="U269" i="19"/>
  <c r="U260" i="19"/>
  <c r="O270" i="19"/>
  <c r="J280" i="19"/>
  <c r="J292" i="19"/>
  <c r="J268" i="19"/>
  <c r="E292" i="19"/>
  <c r="E268" i="19"/>
  <c r="E280" i="19"/>
  <c r="V184" i="19"/>
  <c r="V172" i="19"/>
  <c r="V160" i="19"/>
  <c r="J172" i="19"/>
  <c r="J160" i="19"/>
  <c r="J184" i="19"/>
  <c r="Y174" i="19"/>
  <c r="Y186" i="19"/>
  <c r="Y162" i="19"/>
  <c r="AB186" i="19"/>
  <c r="AB174" i="19"/>
  <c r="AB162" i="19"/>
  <c r="W181" i="19"/>
  <c r="W157" i="19"/>
  <c r="W168" i="19"/>
  <c r="W171" i="19"/>
  <c r="W182" i="19"/>
  <c r="W158" i="19"/>
  <c r="W180" i="19"/>
  <c r="W159" i="19"/>
  <c r="W169" i="19"/>
  <c r="W156" i="19"/>
  <c r="W183" i="19"/>
  <c r="W170" i="19"/>
  <c r="C169" i="19"/>
  <c r="C180" i="19"/>
  <c r="C183" i="19"/>
  <c r="C170" i="19"/>
  <c r="C182" i="19"/>
  <c r="C158" i="19"/>
  <c r="C171" i="19"/>
  <c r="C159" i="19"/>
  <c r="C181" i="19"/>
  <c r="C168" i="19"/>
  <c r="C156" i="19"/>
  <c r="C157" i="19"/>
  <c r="E183" i="19"/>
  <c r="E159" i="19"/>
  <c r="E170" i="19"/>
  <c r="E181" i="19"/>
  <c r="E168" i="19"/>
  <c r="E182" i="19"/>
  <c r="E169" i="19"/>
  <c r="E180" i="19"/>
  <c r="E156" i="19"/>
  <c r="E157" i="19"/>
  <c r="E158" i="19"/>
  <c r="E171" i="19"/>
  <c r="U69" i="19"/>
  <c r="U81" i="19"/>
  <c r="U57" i="19"/>
  <c r="L66" i="19"/>
  <c r="L78" i="19"/>
  <c r="L54" i="19"/>
  <c r="T81" i="19"/>
  <c r="T57" i="19"/>
  <c r="T69" i="19"/>
  <c r="K78" i="19"/>
  <c r="K66" i="19"/>
  <c r="K54" i="19"/>
  <c r="X81" i="19"/>
  <c r="X69" i="19"/>
  <c r="X57" i="19"/>
  <c r="AC67" i="19"/>
  <c r="AC79" i="19"/>
  <c r="EW11" i="33" s="1"/>
  <c r="AC55" i="19"/>
  <c r="W64" i="19"/>
  <c r="W75" i="19"/>
  <c r="W51" i="19"/>
  <c r="W76" i="19"/>
  <c r="W52" i="19"/>
  <c r="W63" i="19"/>
  <c r="W65" i="19"/>
  <c r="W74" i="19"/>
  <c r="W53" i="19"/>
  <c r="W77" i="19"/>
  <c r="W50" i="19"/>
  <c r="W62" i="19"/>
  <c r="Z81" i="19"/>
  <c r="Z57" i="19"/>
  <c r="Z69" i="19"/>
  <c r="K68" i="19"/>
  <c r="K80" i="19"/>
  <c r="K56" i="19"/>
  <c r="AC66" i="19"/>
  <c r="AC78" i="19"/>
  <c r="EW10" i="33" s="1"/>
  <c r="AC54" i="19"/>
  <c r="G78" i="19"/>
  <c r="AB77" i="19"/>
  <c r="T507" i="19"/>
  <c r="T495" i="19"/>
  <c r="T483" i="19"/>
  <c r="V508" i="19"/>
  <c r="V496" i="19"/>
  <c r="V484" i="19"/>
  <c r="Z509" i="19"/>
  <c r="Z497" i="19"/>
  <c r="Z485" i="19"/>
  <c r="V379" i="19"/>
  <c r="V403" i="19"/>
  <c r="V391" i="19"/>
  <c r="X397" i="19"/>
  <c r="X385" i="19"/>
  <c r="X400" i="19"/>
  <c r="X386" i="19"/>
  <c r="X398" i="19"/>
  <c r="X387" i="19"/>
  <c r="X399" i="19"/>
  <c r="X374" i="19"/>
  <c r="X388" i="19"/>
  <c r="X373" i="19"/>
  <c r="X376" i="19"/>
  <c r="X375" i="19"/>
  <c r="C401" i="19"/>
  <c r="C389" i="19"/>
  <c r="C377" i="19"/>
  <c r="V292" i="19"/>
  <c r="V268" i="19"/>
  <c r="V280" i="19"/>
  <c r="U497" i="19"/>
  <c r="U509" i="19"/>
  <c r="U485" i="19"/>
  <c r="O509" i="19"/>
  <c r="O485" i="19"/>
  <c r="O497" i="19"/>
  <c r="C507" i="19"/>
  <c r="C495" i="19"/>
  <c r="C483" i="19"/>
  <c r="W495" i="19"/>
  <c r="W507" i="19"/>
  <c r="W483" i="19"/>
  <c r="R507" i="19"/>
  <c r="R483" i="19"/>
  <c r="R495" i="19"/>
  <c r="D502" i="19"/>
  <c r="D505" i="19"/>
  <c r="D503" i="19"/>
  <c r="D493" i="19"/>
  <c r="D504" i="19"/>
  <c r="D491" i="19"/>
  <c r="D481" i="19"/>
  <c r="D479" i="19"/>
  <c r="D492" i="19"/>
  <c r="D490" i="19"/>
  <c r="D480" i="19"/>
  <c r="D478" i="19"/>
  <c r="F505" i="19"/>
  <c r="F503" i="19"/>
  <c r="F493" i="19"/>
  <c r="F504" i="19"/>
  <c r="F491" i="19"/>
  <c r="F479" i="19"/>
  <c r="F480" i="19"/>
  <c r="F490" i="19"/>
  <c r="F492" i="19"/>
  <c r="F502" i="19"/>
  <c r="F478" i="19"/>
  <c r="F481" i="19"/>
  <c r="X503" i="19"/>
  <c r="X493" i="19"/>
  <c r="X504" i="19"/>
  <c r="X491" i="19"/>
  <c r="X502" i="19"/>
  <c r="X505" i="19"/>
  <c r="X490" i="19"/>
  <c r="X480" i="19"/>
  <c r="X492" i="19"/>
  <c r="X478" i="19"/>
  <c r="X481" i="19"/>
  <c r="X479" i="19"/>
  <c r="P506" i="19"/>
  <c r="P494" i="19"/>
  <c r="P482" i="19"/>
  <c r="B506" i="19"/>
  <c r="BC10" i="33" s="1"/>
  <c r="B494" i="19"/>
  <c r="B482" i="19"/>
  <c r="D506" i="19"/>
  <c r="D494" i="19"/>
  <c r="D482" i="19"/>
  <c r="O508" i="19"/>
  <c r="O496" i="19"/>
  <c r="O484" i="19"/>
  <c r="H496" i="19"/>
  <c r="H508" i="19"/>
  <c r="H484" i="19"/>
  <c r="R479" i="19"/>
  <c r="R505" i="19"/>
  <c r="X369" i="19"/>
  <c r="T403" i="19"/>
  <c r="T391" i="19"/>
  <c r="T379" i="19"/>
  <c r="C403" i="19"/>
  <c r="C391" i="19"/>
  <c r="C379" i="19"/>
  <c r="D404" i="19"/>
  <c r="D380" i="19"/>
  <c r="D392" i="19"/>
  <c r="M404" i="19"/>
  <c r="DC13" i="33" s="1"/>
  <c r="M392" i="19"/>
  <c r="M380" i="19"/>
  <c r="X402" i="19"/>
  <c r="X390" i="19"/>
  <c r="X378" i="19"/>
  <c r="T399" i="19"/>
  <c r="T397" i="19"/>
  <c r="T373" i="19"/>
  <c r="T398" i="19"/>
  <c r="T387" i="19"/>
  <c r="T388" i="19"/>
  <c r="T400" i="19"/>
  <c r="T386" i="19"/>
  <c r="T376" i="19"/>
  <c r="T385" i="19"/>
  <c r="T374" i="19"/>
  <c r="T375" i="19"/>
  <c r="R281" i="19"/>
  <c r="R269" i="19"/>
  <c r="R293" i="19"/>
  <c r="D294" i="19"/>
  <c r="D270" i="19"/>
  <c r="D282" i="19"/>
  <c r="K294" i="19"/>
  <c r="K270" i="19"/>
  <c r="K282" i="19"/>
  <c r="B288" i="19"/>
  <c r="AW6" i="33" s="1"/>
  <c r="B291" i="19"/>
  <c r="AW9" i="33" s="1"/>
  <c r="B267" i="19"/>
  <c r="B289" i="19"/>
  <c r="AW7" i="33" s="1"/>
  <c r="B290" i="19"/>
  <c r="AW8" i="33" s="1"/>
  <c r="B266" i="19"/>
  <c r="B279" i="19"/>
  <c r="B276" i="19"/>
  <c r="B264" i="19"/>
  <c r="B278" i="19"/>
  <c r="B265" i="19"/>
  <c r="B277" i="19"/>
  <c r="J294" i="19"/>
  <c r="J282" i="19"/>
  <c r="J270" i="19"/>
  <c r="N294" i="19"/>
  <c r="N270" i="19"/>
  <c r="N282" i="19"/>
  <c r="M289" i="19"/>
  <c r="CZ7" i="33" s="1"/>
  <c r="M265" i="19"/>
  <c r="M276" i="19"/>
  <c r="M290" i="19"/>
  <c r="CZ8" i="33" s="1"/>
  <c r="M291" i="19"/>
  <c r="CZ9" i="33" s="1"/>
  <c r="M267" i="19"/>
  <c r="M278" i="19"/>
  <c r="M279" i="19"/>
  <c r="M266" i="19"/>
  <c r="M264" i="19"/>
  <c r="M277" i="19"/>
  <c r="M288" i="19"/>
  <c r="CZ6" i="33" s="1"/>
  <c r="AC281" i="19"/>
  <c r="AC293" i="19"/>
  <c r="FC11" i="33" s="1"/>
  <c r="AC269" i="19"/>
  <c r="N276" i="19"/>
  <c r="N279" i="19"/>
  <c r="N277" i="19"/>
  <c r="N288" i="19"/>
  <c r="N278" i="19"/>
  <c r="N267" i="19"/>
  <c r="N266" i="19"/>
  <c r="N289" i="19"/>
  <c r="N264" i="19"/>
  <c r="N291" i="19"/>
  <c r="N290" i="19"/>
  <c r="N265" i="19"/>
  <c r="H270" i="19"/>
  <c r="Z401" i="19"/>
  <c r="Z389" i="19"/>
  <c r="Z377" i="19"/>
  <c r="X377" i="19"/>
  <c r="X401" i="19"/>
  <c r="X389" i="19"/>
  <c r="Q280" i="19"/>
  <c r="Q292" i="19"/>
  <c r="Q268" i="19"/>
  <c r="M292" i="19"/>
  <c r="CZ10" i="33" s="1"/>
  <c r="M268" i="19"/>
  <c r="M280" i="19"/>
  <c r="N184" i="19"/>
  <c r="N172" i="19"/>
  <c r="N160" i="19"/>
  <c r="J283" i="19"/>
  <c r="J271" i="19"/>
  <c r="J295" i="19"/>
  <c r="AA172" i="19"/>
  <c r="AA184" i="19"/>
  <c r="AA160" i="19"/>
  <c r="B172" i="19"/>
  <c r="B184" i="19"/>
  <c r="AT10" i="33" s="1"/>
  <c r="B160" i="19"/>
  <c r="I171" i="19"/>
  <c r="I182" i="19"/>
  <c r="I180" i="19"/>
  <c r="I156" i="19"/>
  <c r="I168" i="19"/>
  <c r="I181" i="19"/>
  <c r="I157" i="19"/>
  <c r="I183" i="19"/>
  <c r="I158" i="19"/>
  <c r="I170" i="19"/>
  <c r="I169" i="19"/>
  <c r="I159" i="19"/>
  <c r="R174" i="19"/>
  <c r="R186" i="19"/>
  <c r="R162" i="19"/>
  <c r="AC173" i="19"/>
  <c r="AC161" i="19"/>
  <c r="AC185" i="19"/>
  <c r="EZ11" i="33" s="1"/>
  <c r="E186" i="19"/>
  <c r="E162" i="19"/>
  <c r="E174" i="19"/>
  <c r="I187" i="19"/>
  <c r="I163" i="19"/>
  <c r="I175" i="19"/>
  <c r="H168" i="19"/>
  <c r="H171" i="19"/>
  <c r="H182" i="19"/>
  <c r="H169" i="19"/>
  <c r="H183" i="19"/>
  <c r="H181" i="19"/>
  <c r="H157" i="19"/>
  <c r="H158" i="19"/>
  <c r="H170" i="19"/>
  <c r="H159" i="19"/>
  <c r="H180" i="19"/>
  <c r="H156" i="19"/>
  <c r="M183" i="19"/>
  <c r="CW9" i="33" s="1"/>
  <c r="M159" i="19"/>
  <c r="M170" i="19"/>
  <c r="M181" i="19"/>
  <c r="CW7" i="33" s="1"/>
  <c r="M168" i="19"/>
  <c r="M182" i="19"/>
  <c r="CW8" i="33" s="1"/>
  <c r="M158" i="19"/>
  <c r="M171" i="19"/>
  <c r="M169" i="19"/>
  <c r="M156" i="19"/>
  <c r="M180" i="19"/>
  <c r="CW6" i="33" s="1"/>
  <c r="M157" i="19"/>
  <c r="E66" i="19"/>
  <c r="E78" i="19"/>
  <c r="E54" i="19"/>
  <c r="M69" i="19"/>
  <c r="M81" i="19"/>
  <c r="CT13" i="33" s="1"/>
  <c r="M57" i="19"/>
  <c r="X45" i="19"/>
  <c r="L81" i="19"/>
  <c r="L69" i="19"/>
  <c r="L57" i="19"/>
  <c r="P69" i="19"/>
  <c r="P81" i="19"/>
  <c r="P57" i="19"/>
  <c r="U67" i="19"/>
  <c r="U79" i="19"/>
  <c r="U55" i="19"/>
  <c r="O64" i="19"/>
  <c r="O75" i="19"/>
  <c r="O51" i="19"/>
  <c r="O76" i="19"/>
  <c r="O52" i="19"/>
  <c r="O63" i="19"/>
  <c r="O50" i="19"/>
  <c r="O65" i="19"/>
  <c r="O77" i="19"/>
  <c r="O74" i="19"/>
  <c r="O62" i="19"/>
  <c r="O53" i="19"/>
  <c r="R81" i="19"/>
  <c r="R57" i="19"/>
  <c r="R69" i="19"/>
  <c r="V77" i="19"/>
  <c r="V53" i="19"/>
  <c r="V64" i="19"/>
  <c r="V65" i="19"/>
  <c r="V76" i="19"/>
  <c r="V74" i="19"/>
  <c r="V75" i="19"/>
  <c r="V52" i="19"/>
  <c r="V50" i="19"/>
  <c r="V62" i="19"/>
  <c r="V63" i="19"/>
  <c r="V51" i="19"/>
  <c r="Q171" i="19"/>
  <c r="Q182" i="19"/>
  <c r="Q180" i="19"/>
  <c r="Q156" i="19"/>
  <c r="Q170" i="19"/>
  <c r="Q169" i="19"/>
  <c r="Q168" i="19"/>
  <c r="Q157" i="19"/>
  <c r="Q181" i="19"/>
  <c r="Q158" i="19"/>
  <c r="Q183" i="19"/>
  <c r="Q159" i="19"/>
  <c r="U80" i="19"/>
  <c r="U68" i="19"/>
  <c r="U56" i="19"/>
  <c r="M68" i="19"/>
  <c r="M56" i="19"/>
  <c r="M80" i="19"/>
  <c r="CT12" i="33" s="1"/>
  <c r="AB62" i="19"/>
  <c r="O506" i="19"/>
  <c r="O494" i="19"/>
  <c r="O482" i="19"/>
  <c r="B403" i="19"/>
  <c r="AZ12" i="33" s="1"/>
  <c r="B391" i="19"/>
  <c r="B379" i="19"/>
  <c r="AA378" i="19"/>
  <c r="AA402" i="19"/>
  <c r="AA390" i="19"/>
  <c r="D278" i="19"/>
  <c r="D289" i="19"/>
  <c r="D265" i="19"/>
  <c r="D279" i="19"/>
  <c r="D290" i="19"/>
  <c r="D288" i="19"/>
  <c r="D291" i="19"/>
  <c r="D266" i="19"/>
  <c r="D276" i="19"/>
  <c r="D264" i="19"/>
  <c r="D277" i="19"/>
  <c r="D267" i="19"/>
  <c r="AB497" i="19"/>
  <c r="AB509" i="19"/>
  <c r="AB485" i="19"/>
  <c r="B509" i="19"/>
  <c r="BC13" i="33" s="1"/>
  <c r="B497" i="19"/>
  <c r="B485" i="19"/>
  <c r="L507" i="19"/>
  <c r="L495" i="19"/>
  <c r="L483" i="19"/>
  <c r="F495" i="19"/>
  <c r="F507" i="19"/>
  <c r="F483" i="19"/>
  <c r="AB507" i="19"/>
  <c r="AB495" i="19"/>
  <c r="AB483" i="19"/>
  <c r="L502" i="19"/>
  <c r="L505" i="19"/>
  <c r="L503" i="19"/>
  <c r="L493" i="19"/>
  <c r="L478" i="19"/>
  <c r="L490" i="19"/>
  <c r="L481" i="19"/>
  <c r="L492" i="19"/>
  <c r="L491" i="19"/>
  <c r="L479" i="19"/>
  <c r="L480" i="19"/>
  <c r="L504" i="19"/>
  <c r="I504" i="19"/>
  <c r="I502" i="19"/>
  <c r="I505" i="19"/>
  <c r="I492" i="19"/>
  <c r="I480" i="19"/>
  <c r="I503" i="19"/>
  <c r="I490" i="19"/>
  <c r="I478" i="19"/>
  <c r="I481" i="19"/>
  <c r="I491" i="19"/>
  <c r="I493" i="19"/>
  <c r="I479" i="19"/>
  <c r="N497" i="19"/>
  <c r="N509" i="19"/>
  <c r="N485" i="19"/>
  <c r="Y506" i="19"/>
  <c r="Y494" i="19"/>
  <c r="Y482" i="19"/>
  <c r="L506" i="19"/>
  <c r="L482" i="19"/>
  <c r="L494" i="19"/>
  <c r="Y496" i="19"/>
  <c r="Y508" i="19"/>
  <c r="Y484" i="19"/>
  <c r="R496" i="19"/>
  <c r="R508" i="19"/>
  <c r="R484" i="19"/>
  <c r="AB508" i="19"/>
  <c r="AB484" i="19"/>
  <c r="AB496" i="19"/>
  <c r="E506" i="19"/>
  <c r="E494" i="19"/>
  <c r="E482" i="19"/>
  <c r="R490" i="19"/>
  <c r="R502" i="19"/>
  <c r="K403" i="19"/>
  <c r="K379" i="19"/>
  <c r="K391" i="19"/>
  <c r="Q379" i="19"/>
  <c r="Q403" i="19"/>
  <c r="Q391" i="19"/>
  <c r="Q380" i="19"/>
  <c r="Q392" i="19"/>
  <c r="Q404" i="19"/>
  <c r="T392" i="19"/>
  <c r="T404" i="19"/>
  <c r="T380" i="19"/>
  <c r="AA404" i="19"/>
  <c r="AA392" i="19"/>
  <c r="AA380" i="19"/>
  <c r="B402" i="19"/>
  <c r="AZ11" i="33" s="1"/>
  <c r="B390" i="19"/>
  <c r="B378" i="19"/>
  <c r="O400" i="19"/>
  <c r="O399" i="19"/>
  <c r="O374" i="19"/>
  <c r="O388" i="19"/>
  <c r="O398" i="19"/>
  <c r="O397" i="19"/>
  <c r="O387" i="19"/>
  <c r="O373" i="19"/>
  <c r="O385" i="19"/>
  <c r="O376" i="19"/>
  <c r="O386" i="19"/>
  <c r="O375" i="19"/>
  <c r="AB399" i="19"/>
  <c r="AB400" i="19"/>
  <c r="AB373" i="19"/>
  <c r="AB387" i="19"/>
  <c r="AB388" i="19"/>
  <c r="AB398" i="19"/>
  <c r="AB397" i="19"/>
  <c r="AB376" i="19"/>
  <c r="AB385" i="19"/>
  <c r="AB374" i="19"/>
  <c r="AB386" i="19"/>
  <c r="AB375" i="19"/>
  <c r="J281" i="19"/>
  <c r="J293" i="19"/>
  <c r="J269" i="19"/>
  <c r="Y293" i="19"/>
  <c r="Y269" i="19"/>
  <c r="Y281" i="19"/>
  <c r="C294" i="19"/>
  <c r="C270" i="19"/>
  <c r="C282" i="19"/>
  <c r="B294" i="19"/>
  <c r="AW12" i="33" s="1"/>
  <c r="B282" i="19"/>
  <c r="B270" i="19"/>
  <c r="X290" i="19"/>
  <c r="X266" i="19"/>
  <c r="X277" i="19"/>
  <c r="X291" i="19"/>
  <c r="X276" i="19"/>
  <c r="X288" i="19"/>
  <c r="X267" i="19"/>
  <c r="X264" i="19"/>
  <c r="X278" i="19"/>
  <c r="X265" i="19"/>
  <c r="X279" i="19"/>
  <c r="X289" i="19"/>
  <c r="E289" i="19"/>
  <c r="E265" i="19"/>
  <c r="E276" i="19"/>
  <c r="E290" i="19"/>
  <c r="E291" i="19"/>
  <c r="E267" i="19"/>
  <c r="E288" i="19"/>
  <c r="E264" i="19"/>
  <c r="E277" i="19"/>
  <c r="E266" i="19"/>
  <c r="E278" i="19"/>
  <c r="E279" i="19"/>
  <c r="H294" i="19"/>
  <c r="R280" i="19"/>
  <c r="R292" i="19"/>
  <c r="R268" i="19"/>
  <c r="F184" i="19"/>
  <c r="F172" i="19"/>
  <c r="F160" i="19"/>
  <c r="S172" i="19"/>
  <c r="S184" i="19"/>
  <c r="S160" i="19"/>
  <c r="T172" i="19"/>
  <c r="T160" i="19"/>
  <c r="T184" i="19"/>
  <c r="F173" i="19"/>
  <c r="F185" i="19"/>
  <c r="F161" i="19"/>
  <c r="S175" i="19"/>
  <c r="S187" i="19"/>
  <c r="S163" i="19"/>
  <c r="Q187" i="19"/>
  <c r="Q163" i="19"/>
  <c r="Q175" i="19"/>
  <c r="P168" i="19"/>
  <c r="P171" i="19"/>
  <c r="P182" i="19"/>
  <c r="P169" i="19"/>
  <c r="P183" i="19"/>
  <c r="P159" i="19"/>
  <c r="P170" i="19"/>
  <c r="P156" i="19"/>
  <c r="P180" i="19"/>
  <c r="P157" i="19"/>
  <c r="P181" i="19"/>
  <c r="P158" i="19"/>
  <c r="S169" i="19"/>
  <c r="S180" i="19"/>
  <c r="S183" i="19"/>
  <c r="S170" i="19"/>
  <c r="S171" i="19"/>
  <c r="S168" i="19"/>
  <c r="S157" i="19"/>
  <c r="S182" i="19"/>
  <c r="S181" i="19"/>
  <c r="S158" i="19"/>
  <c r="S159" i="19"/>
  <c r="S156" i="19"/>
  <c r="U183" i="19"/>
  <c r="U159" i="19"/>
  <c r="U170" i="19"/>
  <c r="U181" i="19"/>
  <c r="U168" i="19"/>
  <c r="U182" i="19"/>
  <c r="U157" i="19"/>
  <c r="U180" i="19"/>
  <c r="U158" i="19"/>
  <c r="U169" i="19"/>
  <c r="U156" i="19"/>
  <c r="U171" i="19"/>
  <c r="R65" i="19"/>
  <c r="R76" i="19"/>
  <c r="R52" i="19"/>
  <c r="R77" i="19"/>
  <c r="R53" i="19"/>
  <c r="R64" i="19"/>
  <c r="R51" i="19"/>
  <c r="R74" i="19"/>
  <c r="R75" i="19"/>
  <c r="R50" i="19"/>
  <c r="R63" i="19"/>
  <c r="R62" i="19"/>
  <c r="E69" i="19"/>
  <c r="E81" i="19"/>
  <c r="E57" i="19"/>
  <c r="Q62" i="19"/>
  <c r="Q65" i="19"/>
  <c r="Q74" i="19"/>
  <c r="Q77" i="19"/>
  <c r="Q63" i="19"/>
  <c r="Q64" i="19"/>
  <c r="Q51" i="19"/>
  <c r="Q53" i="19"/>
  <c r="Q76" i="19"/>
  <c r="Q75" i="19"/>
  <c r="Q52" i="19"/>
  <c r="Q50" i="19"/>
  <c r="D81" i="19"/>
  <c r="D57" i="19"/>
  <c r="D69" i="19"/>
  <c r="X77" i="19"/>
  <c r="X75" i="19"/>
  <c r="X51" i="19"/>
  <c r="X62" i="19"/>
  <c r="X63" i="19"/>
  <c r="X74" i="19"/>
  <c r="X53" i="19"/>
  <c r="X50" i="19"/>
  <c r="X52" i="19"/>
  <c r="X76" i="19"/>
  <c r="X65" i="19"/>
  <c r="X64" i="19"/>
  <c r="H81" i="19"/>
  <c r="H69" i="19"/>
  <c r="H57" i="19"/>
  <c r="M79" i="19"/>
  <c r="CT11" i="33" s="1"/>
  <c r="M67" i="19"/>
  <c r="M55" i="19"/>
  <c r="G64" i="19"/>
  <c r="G75" i="19"/>
  <c r="G51" i="19"/>
  <c r="G76" i="19"/>
  <c r="G52" i="19"/>
  <c r="G63" i="19"/>
  <c r="G77" i="19"/>
  <c r="G65" i="19"/>
  <c r="G74" i="19"/>
  <c r="G62" i="19"/>
  <c r="G53" i="19"/>
  <c r="G50" i="19"/>
  <c r="J81" i="19"/>
  <c r="J57" i="19"/>
  <c r="J69" i="19"/>
  <c r="N77" i="19"/>
  <c r="N53" i="19"/>
  <c r="N64" i="19"/>
  <c r="N65" i="19"/>
  <c r="N76" i="19"/>
  <c r="N62" i="19"/>
  <c r="N52" i="19"/>
  <c r="N63" i="19"/>
  <c r="N50" i="19"/>
  <c r="N51" i="19"/>
  <c r="N75" i="19"/>
  <c r="N74" i="19"/>
  <c r="X78" i="19"/>
  <c r="X54" i="19"/>
  <c r="X66" i="19"/>
  <c r="Y80" i="19"/>
  <c r="Y68" i="19"/>
  <c r="Y56" i="19"/>
  <c r="AB51" i="19"/>
  <c r="M497" i="19"/>
  <c r="M509" i="19"/>
  <c r="DF13" i="33" s="1"/>
  <c r="M485" i="19"/>
  <c r="M502" i="19"/>
  <c r="DF6" i="33" s="1"/>
  <c r="M505" i="19"/>
  <c r="DF9" i="33" s="1"/>
  <c r="M492" i="19"/>
  <c r="M503" i="19"/>
  <c r="DF7" i="33" s="1"/>
  <c r="M493" i="19"/>
  <c r="M504" i="19"/>
  <c r="DF8" i="33" s="1"/>
  <c r="M490" i="19"/>
  <c r="M481" i="19"/>
  <c r="M491" i="19"/>
  <c r="M479" i="19"/>
  <c r="M480" i="19"/>
  <c r="M478" i="19"/>
  <c r="AC508" i="19"/>
  <c r="FI12" i="33" s="1"/>
  <c r="AC484" i="19"/>
  <c r="AC496" i="19"/>
  <c r="AA398" i="19"/>
  <c r="AA386" i="19"/>
  <c r="AA397" i="19"/>
  <c r="AA387" i="19"/>
  <c r="AA399" i="19"/>
  <c r="AA388" i="19"/>
  <c r="AA400" i="19"/>
  <c r="AA375" i="19"/>
  <c r="AA385" i="19"/>
  <c r="AA374" i="19"/>
  <c r="AA373" i="19"/>
  <c r="AA376" i="19"/>
  <c r="AB294" i="19"/>
  <c r="AB270" i="19"/>
  <c r="AB282" i="19"/>
  <c r="Y277" i="19"/>
  <c r="Y288" i="19"/>
  <c r="Y264" i="19"/>
  <c r="Y278" i="19"/>
  <c r="Y289" i="19"/>
  <c r="Y279" i="19"/>
  <c r="Y291" i="19"/>
  <c r="Y276" i="19"/>
  <c r="Y267" i="19"/>
  <c r="Y290" i="19"/>
  <c r="Y266" i="19"/>
  <c r="Y265" i="19"/>
  <c r="D497" i="19"/>
  <c r="D509" i="19"/>
  <c r="D485" i="19"/>
  <c r="W509" i="19"/>
  <c r="W485" i="19"/>
  <c r="W497" i="19"/>
  <c r="B504" i="19"/>
  <c r="BC8" i="33" s="1"/>
  <c r="B491" i="19"/>
  <c r="B502" i="19"/>
  <c r="BC6" i="33" s="1"/>
  <c r="B505" i="19"/>
  <c r="BC9" i="33" s="1"/>
  <c r="B492" i="19"/>
  <c r="B503" i="19"/>
  <c r="BC7" i="33" s="1"/>
  <c r="B490" i="19"/>
  <c r="B480" i="19"/>
  <c r="B493" i="19"/>
  <c r="B478" i="19"/>
  <c r="B481" i="19"/>
  <c r="B479" i="19"/>
  <c r="L497" i="19"/>
  <c r="L509" i="19"/>
  <c r="L485" i="19"/>
  <c r="H509" i="19"/>
  <c r="H485" i="19"/>
  <c r="H497" i="19"/>
  <c r="U495" i="19"/>
  <c r="U483" i="19"/>
  <c r="U507" i="19"/>
  <c r="J507" i="19"/>
  <c r="J495" i="19"/>
  <c r="J483" i="19"/>
  <c r="T502" i="19"/>
  <c r="T505" i="19"/>
  <c r="T503" i="19"/>
  <c r="T493" i="19"/>
  <c r="T478" i="19"/>
  <c r="T481" i="19"/>
  <c r="T490" i="19"/>
  <c r="T479" i="19"/>
  <c r="T491" i="19"/>
  <c r="T480" i="19"/>
  <c r="T504" i="19"/>
  <c r="T492" i="19"/>
  <c r="V505" i="19"/>
  <c r="V503" i="19"/>
  <c r="V493" i="19"/>
  <c r="V504" i="19"/>
  <c r="V491" i="19"/>
  <c r="V490" i="19"/>
  <c r="V479" i="19"/>
  <c r="V480" i="19"/>
  <c r="V502" i="19"/>
  <c r="V478" i="19"/>
  <c r="V481" i="19"/>
  <c r="V492" i="19"/>
  <c r="M506" i="19"/>
  <c r="DF10" i="33" s="1"/>
  <c r="M482" i="19"/>
  <c r="M494" i="19"/>
  <c r="S494" i="19"/>
  <c r="S506" i="19"/>
  <c r="S482" i="19"/>
  <c r="U506" i="19"/>
  <c r="U494" i="19"/>
  <c r="U482" i="19"/>
  <c r="E508" i="19"/>
  <c r="E484" i="19"/>
  <c r="E496" i="19"/>
  <c r="Q402" i="19"/>
  <c r="Q390" i="19"/>
  <c r="Q378" i="19"/>
  <c r="R404" i="19"/>
  <c r="R392" i="19"/>
  <c r="R380" i="19"/>
  <c r="F399" i="19"/>
  <c r="F400" i="19"/>
  <c r="F387" i="19"/>
  <c r="F388" i="19"/>
  <c r="F397" i="19"/>
  <c r="F386" i="19"/>
  <c r="F373" i="19"/>
  <c r="F398" i="19"/>
  <c r="F385" i="19"/>
  <c r="F376" i="19"/>
  <c r="F375" i="19"/>
  <c r="F374" i="19"/>
  <c r="W403" i="19"/>
  <c r="W391" i="19"/>
  <c r="W379" i="19"/>
  <c r="AB391" i="19"/>
  <c r="AB379" i="19"/>
  <c r="AB403" i="19"/>
  <c r="Z403" i="19"/>
  <c r="Z391" i="19"/>
  <c r="Z379" i="19"/>
  <c r="N380" i="19"/>
  <c r="N392" i="19"/>
  <c r="N404" i="19"/>
  <c r="AC404" i="19"/>
  <c r="FF13" i="33" s="1"/>
  <c r="AC392" i="19"/>
  <c r="AC380" i="19"/>
  <c r="K378" i="19"/>
  <c r="K390" i="19"/>
  <c r="K402" i="19"/>
  <c r="E402" i="19"/>
  <c r="E390" i="19"/>
  <c r="E378" i="19"/>
  <c r="Q293" i="19"/>
  <c r="Q269" i="19"/>
  <c r="Q281" i="19"/>
  <c r="X293" i="19"/>
  <c r="X269" i="19"/>
  <c r="X281" i="19"/>
  <c r="AC295" i="19"/>
  <c r="FC13" i="33" s="1"/>
  <c r="AC283" i="19"/>
  <c r="AC271" i="19"/>
  <c r="W293" i="19"/>
  <c r="W281" i="19"/>
  <c r="W269" i="19"/>
  <c r="P290" i="19"/>
  <c r="P266" i="19"/>
  <c r="P277" i="19"/>
  <c r="P291" i="19"/>
  <c r="P276" i="19"/>
  <c r="P264" i="19"/>
  <c r="P289" i="19"/>
  <c r="P279" i="19"/>
  <c r="P265" i="19"/>
  <c r="P288" i="19"/>
  <c r="P278" i="19"/>
  <c r="P267" i="19"/>
  <c r="AA293" i="19"/>
  <c r="AA269" i="19"/>
  <c r="AA281" i="19"/>
  <c r="G279" i="19"/>
  <c r="G290" i="19"/>
  <c r="G266" i="19"/>
  <c r="G288" i="19"/>
  <c r="G291" i="19"/>
  <c r="G289" i="19"/>
  <c r="G276" i="19"/>
  <c r="G277" i="19"/>
  <c r="G265" i="19"/>
  <c r="G278" i="19"/>
  <c r="G267" i="19"/>
  <c r="G264" i="19"/>
  <c r="R283" i="19"/>
  <c r="R271" i="19"/>
  <c r="R295" i="19"/>
  <c r="W184" i="19"/>
  <c r="W160" i="19"/>
  <c r="W172" i="19"/>
  <c r="Y280" i="19"/>
  <c r="Y292" i="19"/>
  <c r="Y268" i="19"/>
  <c r="AC292" i="19"/>
  <c r="FC10" i="33" s="1"/>
  <c r="AC268" i="19"/>
  <c r="AC280" i="19"/>
  <c r="X184" i="19"/>
  <c r="X160" i="19"/>
  <c r="X172" i="19"/>
  <c r="AC175" i="19"/>
  <c r="AC163" i="19"/>
  <c r="AC187" i="19"/>
  <c r="EZ13" i="33" s="1"/>
  <c r="N173" i="19"/>
  <c r="N185" i="19"/>
  <c r="N161" i="19"/>
  <c r="B185" i="19"/>
  <c r="AT11" i="33" s="1"/>
  <c r="B161" i="19"/>
  <c r="B173" i="19"/>
  <c r="Y187" i="19"/>
  <c r="Y163" i="19"/>
  <c r="Y175" i="19"/>
  <c r="X168" i="19"/>
  <c r="X171" i="19"/>
  <c r="X182" i="19"/>
  <c r="X169" i="19"/>
  <c r="X183" i="19"/>
  <c r="X158" i="19"/>
  <c r="X159" i="19"/>
  <c r="X181" i="19"/>
  <c r="X156" i="19"/>
  <c r="X170" i="19"/>
  <c r="X157" i="19"/>
  <c r="X180" i="19"/>
  <c r="AA169" i="19"/>
  <c r="AA180" i="19"/>
  <c r="AA183" i="19"/>
  <c r="AA170" i="19"/>
  <c r="AA159" i="19"/>
  <c r="AA181" i="19"/>
  <c r="AA156" i="19"/>
  <c r="AA157" i="19"/>
  <c r="AA168" i="19"/>
  <c r="AA171" i="19"/>
  <c r="AA158" i="19"/>
  <c r="AA182" i="19"/>
  <c r="N69" i="19"/>
  <c r="N81" i="19"/>
  <c r="N57" i="19"/>
  <c r="J65" i="19"/>
  <c r="J76" i="19"/>
  <c r="J52" i="19"/>
  <c r="J77" i="19"/>
  <c r="J53" i="19"/>
  <c r="J64" i="19"/>
  <c r="J74" i="19"/>
  <c r="J75" i="19"/>
  <c r="J62" i="19"/>
  <c r="J63" i="19"/>
  <c r="J50" i="19"/>
  <c r="J51" i="19"/>
  <c r="V79" i="19"/>
  <c r="V67" i="19"/>
  <c r="V55" i="19"/>
  <c r="P77" i="19"/>
  <c r="P75" i="19"/>
  <c r="P51" i="19"/>
  <c r="P62" i="19"/>
  <c r="P63" i="19"/>
  <c r="P74" i="19"/>
  <c r="P76" i="19"/>
  <c r="P64" i="19"/>
  <c r="P65" i="19"/>
  <c r="P53" i="19"/>
  <c r="P52" i="19"/>
  <c r="P50" i="19"/>
  <c r="E55" i="19"/>
  <c r="E79" i="19"/>
  <c r="E67" i="19"/>
  <c r="B81" i="19"/>
  <c r="AQ13" i="33" s="1"/>
  <c r="B57" i="19"/>
  <c r="B69" i="19"/>
  <c r="F77" i="19"/>
  <c r="F53" i="19"/>
  <c r="F64" i="19"/>
  <c r="F65" i="19"/>
  <c r="F76" i="19"/>
  <c r="F51" i="19"/>
  <c r="F74" i="19"/>
  <c r="F75" i="19"/>
  <c r="F62" i="19"/>
  <c r="F63" i="19"/>
  <c r="F52" i="19"/>
  <c r="F50" i="19"/>
  <c r="Y81" i="19"/>
  <c r="Y57" i="19"/>
  <c r="Y69" i="19"/>
  <c r="P78" i="19"/>
  <c r="P54" i="19"/>
  <c r="P66" i="19"/>
  <c r="H45" i="19"/>
  <c r="V78" i="19"/>
  <c r="V66" i="19"/>
  <c r="V54" i="19"/>
  <c r="AT20" i="9"/>
  <c r="AZ30" i="9"/>
  <c r="AY30" i="9"/>
  <c r="AX30" i="9"/>
  <c r="AW30" i="9"/>
  <c r="AV30" i="9"/>
  <c r="AU30" i="9"/>
  <c r="AT30" i="9"/>
  <c r="AX29" i="9"/>
  <c r="AZ10" i="9"/>
  <c r="AY10" i="9"/>
  <c r="AY12" i="9"/>
  <c r="AZ12" i="9"/>
  <c r="AY22" i="9"/>
  <c r="AZ22" i="9"/>
  <c r="AY23" i="9"/>
  <c r="AZ23" i="9"/>
  <c r="AY13" i="9"/>
  <c r="AZ13" i="9"/>
  <c r="AY14" i="9"/>
  <c r="AZ14" i="9"/>
  <c r="AY31" i="9"/>
  <c r="AZ31" i="9"/>
  <c r="AY15" i="9"/>
  <c r="AZ15" i="9"/>
  <c r="AY32" i="9"/>
  <c r="AZ32" i="9"/>
  <c r="AY33" i="9"/>
  <c r="AZ33" i="9"/>
  <c r="AY16" i="9"/>
  <c r="AZ16" i="9"/>
  <c r="AY17" i="9"/>
  <c r="AZ17" i="9"/>
  <c r="AY24" i="9"/>
  <c r="AZ24" i="9"/>
  <c r="AY25" i="9"/>
  <c r="AZ25" i="9"/>
  <c r="AY26" i="9"/>
  <c r="AZ26" i="9"/>
  <c r="AY27" i="9"/>
  <c r="AZ27" i="9"/>
  <c r="AZ11" i="9"/>
  <c r="AY11" i="9"/>
  <c r="AX12" i="9"/>
  <c r="AX22" i="9"/>
  <c r="AX23" i="9"/>
  <c r="AX13" i="9"/>
  <c r="AX14" i="9"/>
  <c r="AX31" i="9"/>
  <c r="AX15" i="9"/>
  <c r="AX32" i="9"/>
  <c r="AX33" i="9"/>
  <c r="AX16" i="9"/>
  <c r="AX17" i="9"/>
  <c r="AX24" i="9"/>
  <c r="AX25" i="9"/>
  <c r="AX26" i="9"/>
  <c r="AX27" i="9"/>
  <c r="AX11" i="9"/>
  <c r="AX10" i="9"/>
  <c r="AX9" i="9"/>
  <c r="AW10" i="9"/>
  <c r="AV11" i="9"/>
  <c r="AW11" i="9"/>
  <c r="AV12" i="9"/>
  <c r="AW12" i="9"/>
  <c r="AV22" i="9"/>
  <c r="AW22" i="9"/>
  <c r="AV23" i="9"/>
  <c r="AW23" i="9"/>
  <c r="AV13" i="9"/>
  <c r="AW13" i="9"/>
  <c r="AW14" i="9"/>
  <c r="AW31" i="9"/>
  <c r="AW15" i="9"/>
  <c r="AW32" i="9"/>
  <c r="AV33" i="9"/>
  <c r="AW33" i="9"/>
  <c r="AV16" i="9"/>
  <c r="AW16" i="9"/>
  <c r="AV17" i="9"/>
  <c r="AW17" i="9"/>
  <c r="AW24" i="9"/>
  <c r="AW25" i="9"/>
  <c r="AW26" i="9"/>
  <c r="AW27" i="9"/>
  <c r="AU12" i="9"/>
  <c r="AU22" i="9"/>
  <c r="AU23" i="9"/>
  <c r="AU13" i="9"/>
  <c r="AU14" i="9"/>
  <c r="AU15" i="9"/>
  <c r="AU32" i="9"/>
  <c r="AU33" i="9"/>
  <c r="AU16" i="9"/>
  <c r="AU17" i="9"/>
  <c r="AU11" i="9"/>
  <c r="AV10" i="9"/>
  <c r="AU10" i="9"/>
  <c r="AT27" i="9"/>
  <c r="AT26" i="9"/>
  <c r="AT16" i="9"/>
  <c r="AT17" i="9"/>
  <c r="AT24" i="9"/>
  <c r="AT25" i="9"/>
  <c r="AT33" i="9"/>
  <c r="AT12" i="9"/>
  <c r="AT22" i="9"/>
  <c r="AT23" i="9"/>
  <c r="AT13" i="9"/>
  <c r="AT14" i="9"/>
  <c r="AT31" i="9"/>
  <c r="AT15" i="9"/>
  <c r="AT32" i="9"/>
  <c r="AT11" i="9"/>
  <c r="U71" i="20" l="1"/>
  <c r="AB71" i="19"/>
  <c r="I394" i="22"/>
  <c r="Q499" i="23"/>
  <c r="M394" i="23"/>
  <c r="M406" i="23" s="1"/>
  <c r="CN15" i="33" s="1"/>
  <c r="R499" i="19"/>
  <c r="R511" i="19" s="1"/>
  <c r="L273" i="20"/>
  <c r="S71" i="20"/>
  <c r="S83" i="20" s="1"/>
  <c r="D165" i="21"/>
  <c r="U394" i="23"/>
  <c r="U406" i="23" s="1"/>
  <c r="K273" i="23"/>
  <c r="K382" i="22"/>
  <c r="W382" i="22"/>
  <c r="T394" i="22"/>
  <c r="T406" i="22" s="1"/>
  <c r="P382" i="23"/>
  <c r="P487" i="23"/>
  <c r="S394" i="23"/>
  <c r="S406" i="23" s="1"/>
  <c r="K59" i="23"/>
  <c r="B499" i="19"/>
  <c r="B511" i="19" s="1"/>
  <c r="BC15" i="33" s="1"/>
  <c r="G59" i="19"/>
  <c r="R71" i="19"/>
  <c r="S165" i="19"/>
  <c r="C165" i="19"/>
  <c r="I285" i="19"/>
  <c r="AA71" i="19"/>
  <c r="AC285" i="20"/>
  <c r="AC297" i="20" s="1"/>
  <c r="FD15" i="33" s="1"/>
  <c r="N487" i="20"/>
  <c r="D59" i="20"/>
  <c r="L71" i="20"/>
  <c r="L83" i="20" s="1"/>
  <c r="U382" i="23"/>
  <c r="L394" i="23"/>
  <c r="Y487" i="23"/>
  <c r="M499" i="23"/>
  <c r="L487" i="23"/>
  <c r="B71" i="20"/>
  <c r="B83" i="20" s="1"/>
  <c r="AR15" i="33" s="1"/>
  <c r="F285" i="20"/>
  <c r="F297" i="20" s="1"/>
  <c r="R71" i="21"/>
  <c r="R83" i="21" s="1"/>
  <c r="Z394" i="19"/>
  <c r="Z406" i="19" s="1"/>
  <c r="X59" i="22"/>
  <c r="S165" i="22"/>
  <c r="W71" i="22"/>
  <c r="J59" i="19"/>
  <c r="D273" i="19"/>
  <c r="AB71" i="21"/>
  <c r="K71" i="23"/>
  <c r="K83" i="23" s="1"/>
  <c r="T487" i="19"/>
  <c r="N499" i="20"/>
  <c r="O499" i="20"/>
  <c r="O511" i="20" s="1"/>
  <c r="AA487" i="20"/>
  <c r="M487" i="20"/>
  <c r="AB487" i="20"/>
  <c r="T499" i="19"/>
  <c r="M499" i="19"/>
  <c r="I499" i="19"/>
  <c r="O487" i="20"/>
  <c r="C499" i="20"/>
  <c r="C511" i="20" s="1"/>
  <c r="W394" i="19"/>
  <c r="W406" i="19" s="1"/>
  <c r="F394" i="19"/>
  <c r="F406" i="19" s="1"/>
  <c r="V382" i="19"/>
  <c r="J394" i="20"/>
  <c r="J406" i="20" s="1"/>
  <c r="F394" i="20"/>
  <c r="H394" i="19"/>
  <c r="W382" i="19"/>
  <c r="J382" i="20"/>
  <c r="J273" i="20"/>
  <c r="X285" i="20"/>
  <c r="T273" i="19"/>
  <c r="I273" i="19"/>
  <c r="L285" i="19"/>
  <c r="L297" i="19" s="1"/>
  <c r="M273" i="20"/>
  <c r="C285" i="19"/>
  <c r="C297" i="19" s="1"/>
  <c r="K285" i="19"/>
  <c r="K297" i="19" s="1"/>
  <c r="K273" i="19"/>
  <c r="M285" i="20"/>
  <c r="O177" i="19"/>
  <c r="O189" i="19" s="1"/>
  <c r="G177" i="20"/>
  <c r="W177" i="19"/>
  <c r="W189" i="19" s="1"/>
  <c r="V165" i="19"/>
  <c r="C165" i="20"/>
  <c r="W165" i="19"/>
  <c r="C177" i="20"/>
  <c r="C189" i="20" s="1"/>
  <c r="T177" i="19"/>
  <c r="I177" i="19"/>
  <c r="R177" i="19"/>
  <c r="R189" i="19" s="1"/>
  <c r="AA165" i="20"/>
  <c r="R59" i="19"/>
  <c r="P59" i="19"/>
  <c r="D71" i="20"/>
  <c r="D83" i="20" s="1"/>
  <c r="J71" i="19"/>
  <c r="X59" i="19"/>
  <c r="AC71" i="20"/>
  <c r="AC83" i="20" s="1"/>
  <c r="EX15" i="33" s="1"/>
  <c r="P71" i="19"/>
  <c r="P83" i="19" s="1"/>
  <c r="T59" i="20"/>
  <c r="C71" i="20"/>
  <c r="C83" i="20" s="1"/>
  <c r="R71" i="20"/>
  <c r="M71" i="20"/>
  <c r="M83" i="20" s="1"/>
  <c r="CU15" i="33" s="1"/>
  <c r="J285" i="20"/>
  <c r="J487" i="20"/>
  <c r="W59" i="20"/>
  <c r="Y59" i="20"/>
  <c r="AB177" i="20"/>
  <c r="AB189" i="20" s="1"/>
  <c r="U273" i="20"/>
  <c r="AA273" i="20"/>
  <c r="E165" i="20"/>
  <c r="G165" i="20"/>
  <c r="S285" i="20"/>
  <c r="S297" i="20" s="1"/>
  <c r="T71" i="20"/>
  <c r="B382" i="20"/>
  <c r="F382" i="20"/>
  <c r="C487" i="20"/>
  <c r="H71" i="20"/>
  <c r="H83" i="20" s="1"/>
  <c r="K177" i="20"/>
  <c r="K189" i="20" s="1"/>
  <c r="C285" i="20"/>
  <c r="C297" i="20" s="1"/>
  <c r="X394" i="20"/>
  <c r="T165" i="20"/>
  <c r="N382" i="20"/>
  <c r="AA394" i="20"/>
  <c r="AA406" i="20" s="1"/>
  <c r="X59" i="20"/>
  <c r="H382" i="20"/>
  <c r="S165" i="20"/>
  <c r="R394" i="20"/>
  <c r="R177" i="20"/>
  <c r="V177" i="20"/>
  <c r="V189" i="20" s="1"/>
  <c r="I285" i="20"/>
  <c r="I297" i="20" s="1"/>
  <c r="O285" i="20"/>
  <c r="O297" i="20" s="1"/>
  <c r="N177" i="20"/>
  <c r="N189" i="20" s="1"/>
  <c r="Y499" i="20"/>
  <c r="Y511" i="20" s="1"/>
  <c r="E487" i="20"/>
  <c r="G59" i="20"/>
  <c r="O59" i="20"/>
  <c r="Q71" i="20"/>
  <c r="Q83" i="20" s="1"/>
  <c r="T394" i="20"/>
  <c r="T406" i="20" s="1"/>
  <c r="T382" i="20"/>
  <c r="J499" i="20"/>
  <c r="J511" i="20" s="1"/>
  <c r="Y71" i="20"/>
  <c r="Y83" i="20" s="1"/>
  <c r="B285" i="20"/>
  <c r="B297" i="20" s="1"/>
  <c r="AX15" i="33" s="1"/>
  <c r="D394" i="20"/>
  <c r="D406" i="20" s="1"/>
  <c r="K382" i="20"/>
  <c r="S59" i="20"/>
  <c r="G394" i="20"/>
  <c r="G406" i="20" s="1"/>
  <c r="I394" i="20"/>
  <c r="I406" i="20" s="1"/>
  <c r="W487" i="20"/>
  <c r="AA59" i="20"/>
  <c r="O177" i="20"/>
  <c r="O189" i="20" s="1"/>
  <c r="Q285" i="20"/>
  <c r="E273" i="20"/>
  <c r="C394" i="20"/>
  <c r="C406" i="20" s="1"/>
  <c r="F71" i="20"/>
  <c r="F83" i="20" s="1"/>
  <c r="P71" i="20"/>
  <c r="P83" i="20" s="1"/>
  <c r="D177" i="20"/>
  <c r="D189" i="20" s="1"/>
  <c r="X71" i="20"/>
  <c r="X83" i="20" s="1"/>
  <c r="H273" i="20"/>
  <c r="H394" i="20"/>
  <c r="H406" i="20" s="1"/>
  <c r="D499" i="20"/>
  <c r="D511" i="20" s="1"/>
  <c r="Q394" i="20"/>
  <c r="Q406" i="20" s="1"/>
  <c r="E394" i="20"/>
  <c r="E406" i="20" s="1"/>
  <c r="V394" i="20"/>
  <c r="V406" i="20" s="1"/>
  <c r="V499" i="20"/>
  <c r="Z382" i="20"/>
  <c r="N59" i="20"/>
  <c r="I71" i="20"/>
  <c r="I83" i="20" s="1"/>
  <c r="G71" i="20"/>
  <c r="AB71" i="20"/>
  <c r="L285" i="20"/>
  <c r="L297" i="20" s="1"/>
  <c r="V273" i="20"/>
  <c r="T487" i="20"/>
  <c r="AB165" i="20"/>
  <c r="U165" i="20"/>
  <c r="U285" i="20"/>
  <c r="U297" i="20" s="1"/>
  <c r="D382" i="20"/>
  <c r="O382" i="20"/>
  <c r="AA285" i="20"/>
  <c r="AA297" i="20" s="1"/>
  <c r="M499" i="20"/>
  <c r="AA71" i="20"/>
  <c r="J59" i="20"/>
  <c r="S382" i="20"/>
  <c r="U394" i="20"/>
  <c r="U406" i="20" s="1"/>
  <c r="U382" i="20"/>
  <c r="L394" i="20"/>
  <c r="L406" i="20" s="1"/>
  <c r="G499" i="20"/>
  <c r="G511" i="20" s="1"/>
  <c r="B394" i="20"/>
  <c r="Z59" i="20"/>
  <c r="Z71" i="20"/>
  <c r="Z83" i="20" s="1"/>
  <c r="C273" i="20"/>
  <c r="X487" i="20"/>
  <c r="X499" i="20"/>
  <c r="D165" i="20"/>
  <c r="Z285" i="20"/>
  <c r="Z297" i="20" s="1"/>
  <c r="D273" i="20"/>
  <c r="R273" i="20"/>
  <c r="X165" i="20"/>
  <c r="D487" i="20"/>
  <c r="R382" i="20"/>
  <c r="E71" i="20"/>
  <c r="E83" i="20" s="1"/>
  <c r="I499" i="20"/>
  <c r="I511" i="20" s="1"/>
  <c r="F165" i="20"/>
  <c r="AB394" i="20"/>
  <c r="AB406" i="20" s="1"/>
  <c r="Y487" i="20"/>
  <c r="P165" i="20"/>
  <c r="W382" i="20"/>
  <c r="U59" i="20"/>
  <c r="U177" i="20"/>
  <c r="U189" i="20" s="1"/>
  <c r="K394" i="20"/>
  <c r="K406" i="20" s="1"/>
  <c r="AC59" i="20"/>
  <c r="B165" i="20"/>
  <c r="Y382" i="20"/>
  <c r="W499" i="20"/>
  <c r="W511" i="20" s="1"/>
  <c r="AB273" i="20"/>
  <c r="E177" i="20"/>
  <c r="E189" i="20" s="1"/>
  <c r="Q273" i="20"/>
  <c r="L499" i="20"/>
  <c r="L511" i="20" s="1"/>
  <c r="F273" i="20"/>
  <c r="P285" i="20"/>
  <c r="P297" i="20" s="1"/>
  <c r="P273" i="20"/>
  <c r="P382" i="20"/>
  <c r="P394" i="20"/>
  <c r="P406" i="20" s="1"/>
  <c r="AB285" i="20"/>
  <c r="AB297" i="20" s="1"/>
  <c r="D285" i="20"/>
  <c r="D297" i="20" s="1"/>
  <c r="Y165" i="20"/>
  <c r="Q382" i="20"/>
  <c r="E382" i="20"/>
  <c r="V382" i="20"/>
  <c r="V59" i="20"/>
  <c r="AA177" i="20"/>
  <c r="AA189" i="20" s="1"/>
  <c r="F177" i="20"/>
  <c r="F189" i="20" s="1"/>
  <c r="R499" i="20"/>
  <c r="R511" i="20" s="1"/>
  <c r="K285" i="20"/>
  <c r="K297" i="20" s="1"/>
  <c r="AB59" i="20"/>
  <c r="V285" i="20"/>
  <c r="W273" i="20"/>
  <c r="T285" i="20"/>
  <c r="T297" i="20" s="1"/>
  <c r="B487" i="20"/>
  <c r="O165" i="20"/>
  <c r="S273" i="20"/>
  <c r="L487" i="20"/>
  <c r="G487" i="20"/>
  <c r="K59" i="20"/>
  <c r="H177" i="20"/>
  <c r="H189" i="20" s="1"/>
  <c r="M382" i="20"/>
  <c r="Z273" i="20"/>
  <c r="Z499" i="20"/>
  <c r="Z511" i="20" s="1"/>
  <c r="Z165" i="20"/>
  <c r="M177" i="20"/>
  <c r="M189" i="20" s="1"/>
  <c r="CX15" i="33" s="1"/>
  <c r="H285" i="20"/>
  <c r="H297" i="20" s="1"/>
  <c r="W165" i="20"/>
  <c r="Y177" i="20"/>
  <c r="Y189" i="20" s="1"/>
  <c r="P487" i="20"/>
  <c r="S487" i="20"/>
  <c r="K499" i="20"/>
  <c r="K511" i="20" s="1"/>
  <c r="E59" i="20"/>
  <c r="I273" i="20"/>
  <c r="I487" i="20"/>
  <c r="N71" i="20"/>
  <c r="N83" i="20" s="1"/>
  <c r="R487" i="20"/>
  <c r="F499" i="20"/>
  <c r="F511" i="20" s="1"/>
  <c r="P177" i="20"/>
  <c r="P189" i="20" s="1"/>
  <c r="N285" i="20"/>
  <c r="N297" i="20" s="1"/>
  <c r="N273" i="20"/>
  <c r="W394" i="20"/>
  <c r="W406" i="20" s="1"/>
  <c r="W71" i="20"/>
  <c r="W83" i="20" s="1"/>
  <c r="B273" i="20"/>
  <c r="O394" i="20"/>
  <c r="O406" i="20" s="1"/>
  <c r="B499" i="20"/>
  <c r="B511" i="20" s="1"/>
  <c r="BD15" i="33" s="1"/>
  <c r="Y285" i="20"/>
  <c r="Y297" i="20" s="1"/>
  <c r="G382" i="20"/>
  <c r="Y394" i="20"/>
  <c r="Y406" i="20" s="1"/>
  <c r="I382" i="20"/>
  <c r="AA499" i="20"/>
  <c r="AA511" i="20" s="1"/>
  <c r="L59" i="20"/>
  <c r="Q499" i="20"/>
  <c r="Q511" i="20" s="1"/>
  <c r="K71" i="20"/>
  <c r="K83" i="20" s="1"/>
  <c r="AC487" i="20"/>
  <c r="C59" i="20"/>
  <c r="H59" i="20"/>
  <c r="K165" i="20"/>
  <c r="AC177" i="20"/>
  <c r="AC189" i="20" s="1"/>
  <c r="FA15" i="33" s="1"/>
  <c r="L177" i="20"/>
  <c r="L189" i="20" s="1"/>
  <c r="X273" i="20"/>
  <c r="X382" i="20"/>
  <c r="T177" i="20"/>
  <c r="T189" i="20" s="1"/>
  <c r="AA382" i="20"/>
  <c r="Z487" i="20"/>
  <c r="U487" i="20"/>
  <c r="U499" i="20"/>
  <c r="U511" i="20" s="1"/>
  <c r="S177" i="20"/>
  <c r="S189" i="20" s="1"/>
  <c r="H487" i="20"/>
  <c r="O273" i="20"/>
  <c r="V71" i="20"/>
  <c r="V83" i="20" s="1"/>
  <c r="K273" i="20"/>
  <c r="O71" i="20"/>
  <c r="O83" i="20" s="1"/>
  <c r="W285" i="20"/>
  <c r="W297" i="20" s="1"/>
  <c r="AC273" i="20"/>
  <c r="T499" i="20"/>
  <c r="T511" i="20" s="1"/>
  <c r="J165" i="20"/>
  <c r="J177" i="20"/>
  <c r="J189" i="20" s="1"/>
  <c r="T273" i="20"/>
  <c r="B59" i="20"/>
  <c r="B177" i="20"/>
  <c r="B189" i="20" s="1"/>
  <c r="AU15" i="33" s="1"/>
  <c r="Y273" i="20"/>
  <c r="AC382" i="20"/>
  <c r="E285" i="20"/>
  <c r="E297" i="20" s="1"/>
  <c r="S394" i="20"/>
  <c r="S406" i="20" s="1"/>
  <c r="C382" i="20"/>
  <c r="I165" i="20"/>
  <c r="Q165" i="20"/>
  <c r="I177" i="20"/>
  <c r="I189" i="20" s="1"/>
  <c r="L165" i="20"/>
  <c r="M394" i="20"/>
  <c r="M406" i="20" s="1"/>
  <c r="DD15" i="33" s="1"/>
  <c r="F59" i="20"/>
  <c r="N394" i="20"/>
  <c r="N406" i="20" s="1"/>
  <c r="Z177" i="20"/>
  <c r="Z189" i="20" s="1"/>
  <c r="W177" i="20"/>
  <c r="W189" i="20" s="1"/>
  <c r="H499" i="20"/>
  <c r="H511" i="20" s="1"/>
  <c r="G273" i="20"/>
  <c r="K487" i="20"/>
  <c r="R165" i="20"/>
  <c r="V487" i="20"/>
  <c r="I59" i="20"/>
  <c r="M59" i="20"/>
  <c r="Q59" i="20"/>
  <c r="AC394" i="20"/>
  <c r="AC406" i="20" s="1"/>
  <c r="FG15" i="33" s="1"/>
  <c r="J71" i="20"/>
  <c r="J83" i="20" s="1"/>
  <c r="L382" i="20"/>
  <c r="Q487" i="20"/>
  <c r="AB499" i="20"/>
  <c r="AB511" i="20" s="1"/>
  <c r="R59" i="20"/>
  <c r="Q177" i="20"/>
  <c r="Q189" i="20" s="1"/>
  <c r="AC499" i="20"/>
  <c r="AC511" i="20" s="1"/>
  <c r="FJ15" i="33" s="1"/>
  <c r="AC165" i="20"/>
  <c r="H165" i="20"/>
  <c r="P59" i="20"/>
  <c r="M165" i="20"/>
  <c r="R285" i="20"/>
  <c r="R297" i="20" s="1"/>
  <c r="X177" i="20"/>
  <c r="X189" i="20" s="1"/>
  <c r="P499" i="20"/>
  <c r="P511" i="20" s="1"/>
  <c r="S499" i="20"/>
  <c r="S511" i="20" s="1"/>
  <c r="G285" i="20"/>
  <c r="G297" i="20" s="1"/>
  <c r="V165" i="20"/>
  <c r="N165" i="20"/>
  <c r="Z394" i="20"/>
  <c r="Z406" i="20" s="1"/>
  <c r="F487" i="20"/>
  <c r="AB382" i="20"/>
  <c r="E499" i="20"/>
  <c r="E511" i="20" s="1"/>
  <c r="X165" i="19"/>
  <c r="X177" i="19"/>
  <c r="V487" i="19"/>
  <c r="Y285" i="19"/>
  <c r="Y297" i="19" s="1"/>
  <c r="Q59" i="19"/>
  <c r="X285" i="19"/>
  <c r="X297" i="19" s="1"/>
  <c r="O394" i="19"/>
  <c r="O406" i="19" s="1"/>
  <c r="H165" i="19"/>
  <c r="I165" i="19"/>
  <c r="N273" i="19"/>
  <c r="N285" i="19"/>
  <c r="N297" i="19" s="1"/>
  <c r="F499" i="19"/>
  <c r="F511" i="19" s="1"/>
  <c r="D487" i="19"/>
  <c r="C177" i="19"/>
  <c r="C189" i="19" s="1"/>
  <c r="C273" i="19"/>
  <c r="AC394" i="19"/>
  <c r="AC406" i="19" s="1"/>
  <c r="FF15" i="33" s="1"/>
  <c r="AC273" i="19"/>
  <c r="Q273" i="19"/>
  <c r="R285" i="19"/>
  <c r="R273" i="19"/>
  <c r="H499" i="19"/>
  <c r="H511" i="19" s="1"/>
  <c r="U487" i="19"/>
  <c r="S487" i="19"/>
  <c r="Z273" i="19"/>
  <c r="L71" i="19"/>
  <c r="L83" i="19" s="1"/>
  <c r="K382" i="19"/>
  <c r="B59" i="19"/>
  <c r="Y487" i="19"/>
  <c r="E382" i="19"/>
  <c r="B394" i="19"/>
  <c r="B406" i="19" s="1"/>
  <c r="AZ15" i="33" s="1"/>
  <c r="P394" i="19"/>
  <c r="P406" i="19" s="1"/>
  <c r="E59" i="19"/>
  <c r="U382" i="19"/>
  <c r="R382" i="19"/>
  <c r="C382" i="19"/>
  <c r="B165" i="19"/>
  <c r="AB285" i="19"/>
  <c r="AB297" i="19" s="1"/>
  <c r="K165" i="19"/>
  <c r="F59" i="19"/>
  <c r="G285" i="19"/>
  <c r="G297" i="19" s="1"/>
  <c r="P273" i="19"/>
  <c r="G71" i="19"/>
  <c r="X71" i="19"/>
  <c r="E273" i="19"/>
  <c r="O382" i="19"/>
  <c r="O71" i="19"/>
  <c r="B273" i="19"/>
  <c r="E177" i="19"/>
  <c r="E189" i="19" s="1"/>
  <c r="L394" i="19"/>
  <c r="L406" i="19" s="1"/>
  <c r="Z499" i="19"/>
  <c r="J487" i="19"/>
  <c r="Z59" i="19"/>
  <c r="O165" i="19"/>
  <c r="AC285" i="19"/>
  <c r="AC297" i="19" s="1"/>
  <c r="FC15" i="33" s="1"/>
  <c r="Q285" i="19"/>
  <c r="Q297" i="19" s="1"/>
  <c r="D382" i="19"/>
  <c r="R165" i="19"/>
  <c r="V177" i="19"/>
  <c r="F273" i="19"/>
  <c r="AA273" i="19"/>
  <c r="K394" i="19"/>
  <c r="K406" i="19" s="1"/>
  <c r="E487" i="19"/>
  <c r="H71" i="19"/>
  <c r="H83" i="19" s="1"/>
  <c r="N177" i="19"/>
  <c r="N189" i="19" s="1"/>
  <c r="V273" i="19"/>
  <c r="N394" i="19"/>
  <c r="AB499" i="19"/>
  <c r="AC499" i="19"/>
  <c r="AC511" i="19" s="1"/>
  <c r="FI15" i="33" s="1"/>
  <c r="I59" i="19"/>
  <c r="Z177" i="19"/>
  <c r="Z189" i="19" s="1"/>
  <c r="E394" i="19"/>
  <c r="E406" i="19" s="1"/>
  <c r="Y382" i="19"/>
  <c r="S382" i="19"/>
  <c r="P487" i="19"/>
  <c r="Y59" i="19"/>
  <c r="M59" i="19"/>
  <c r="B177" i="19"/>
  <c r="B189" i="19" s="1"/>
  <c r="AT15" i="33" s="1"/>
  <c r="P285" i="19"/>
  <c r="P297" i="19" s="1"/>
  <c r="M487" i="19"/>
  <c r="U177" i="19"/>
  <c r="U189" i="19" s="1"/>
  <c r="AB382" i="19"/>
  <c r="Q177" i="19"/>
  <c r="B285" i="19"/>
  <c r="B297" i="19" s="1"/>
  <c r="AW15" i="33" s="1"/>
  <c r="X487" i="19"/>
  <c r="D499" i="19"/>
  <c r="D511" i="19" s="1"/>
  <c r="J285" i="19"/>
  <c r="J297" i="19" s="1"/>
  <c r="J499" i="19"/>
  <c r="J511" i="19" s="1"/>
  <c r="D71" i="19"/>
  <c r="D83" i="19" s="1"/>
  <c r="S499" i="19"/>
  <c r="S511" i="19" s="1"/>
  <c r="AA59" i="19"/>
  <c r="U59" i="19"/>
  <c r="L59" i="19"/>
  <c r="G177" i="19"/>
  <c r="G189" i="19" s="1"/>
  <c r="S285" i="19"/>
  <c r="AC71" i="19"/>
  <c r="AC83" i="19" s="1"/>
  <c r="EW15" i="33" s="1"/>
  <c r="V394" i="19"/>
  <c r="V406" i="19" s="1"/>
  <c r="I394" i="19"/>
  <c r="I406" i="19" s="1"/>
  <c r="E499" i="19"/>
  <c r="E511" i="19" s="1"/>
  <c r="N165" i="19"/>
  <c r="V285" i="19"/>
  <c r="V297" i="19" s="1"/>
  <c r="N382" i="19"/>
  <c r="S71" i="19"/>
  <c r="S83" i="19" s="1"/>
  <c r="I71" i="19"/>
  <c r="I83" i="19" s="1"/>
  <c r="Q382" i="19"/>
  <c r="H285" i="19"/>
  <c r="H297" i="19" s="1"/>
  <c r="C71" i="19"/>
  <c r="C83" i="19" s="1"/>
  <c r="AC165" i="19"/>
  <c r="N59" i="19"/>
  <c r="Q71" i="19"/>
  <c r="Q83" i="19" s="1"/>
  <c r="V71" i="19"/>
  <c r="V83" i="19" s="1"/>
  <c r="M177" i="19"/>
  <c r="M189" i="19" s="1"/>
  <c r="CW15" i="33" s="1"/>
  <c r="H177" i="19"/>
  <c r="H189" i="19" s="1"/>
  <c r="X382" i="19"/>
  <c r="X394" i="19"/>
  <c r="X406" i="19" s="1"/>
  <c r="J273" i="19"/>
  <c r="AA487" i="19"/>
  <c r="T165" i="19"/>
  <c r="S273" i="19"/>
  <c r="I382" i="19"/>
  <c r="H59" i="19"/>
  <c r="B71" i="19"/>
  <c r="R487" i="19"/>
  <c r="S59" i="19"/>
  <c r="C487" i="19"/>
  <c r="Y394" i="19"/>
  <c r="Y406" i="19" s="1"/>
  <c r="J394" i="19"/>
  <c r="J406" i="19" s="1"/>
  <c r="R394" i="19"/>
  <c r="R406" i="19" s="1"/>
  <c r="C394" i="19"/>
  <c r="C406" i="19" s="1"/>
  <c r="G499" i="19"/>
  <c r="G511" i="19" s="1"/>
  <c r="O487" i="19"/>
  <c r="F71" i="19"/>
  <c r="F83" i="19" s="1"/>
  <c r="AA177" i="19"/>
  <c r="AA189" i="19" s="1"/>
  <c r="G273" i="19"/>
  <c r="V499" i="19"/>
  <c r="V511" i="19" s="1"/>
  <c r="B487" i="19"/>
  <c r="AA382" i="19"/>
  <c r="U165" i="19"/>
  <c r="AB394" i="19"/>
  <c r="L499" i="19"/>
  <c r="D285" i="19"/>
  <c r="D297" i="19" s="1"/>
  <c r="V59" i="19"/>
  <c r="T382" i="19"/>
  <c r="W71" i="19"/>
  <c r="W83" i="19" s="1"/>
  <c r="L382" i="19"/>
  <c r="AC382" i="19"/>
  <c r="AA499" i="19"/>
  <c r="Z71" i="19"/>
  <c r="D59" i="19"/>
  <c r="Y165" i="19"/>
  <c r="D394" i="19"/>
  <c r="D406" i="19" s="1"/>
  <c r="U499" i="19"/>
  <c r="U511" i="19" s="1"/>
  <c r="T71" i="19"/>
  <c r="T83" i="19" s="1"/>
  <c r="L177" i="19"/>
  <c r="L189" i="19" s="1"/>
  <c r="AA285" i="19"/>
  <c r="AA297" i="19" s="1"/>
  <c r="D177" i="19"/>
  <c r="D189" i="19" s="1"/>
  <c r="D165" i="19"/>
  <c r="Z382" i="19"/>
  <c r="Y499" i="19"/>
  <c r="Y511" i="19" s="1"/>
  <c r="K487" i="19"/>
  <c r="N487" i="19"/>
  <c r="Z165" i="19"/>
  <c r="H273" i="19"/>
  <c r="F165" i="19"/>
  <c r="G487" i="19"/>
  <c r="AB273" i="19"/>
  <c r="O499" i="19"/>
  <c r="O511" i="19" s="1"/>
  <c r="W273" i="19"/>
  <c r="AC177" i="19"/>
  <c r="AC189" i="19" s="1"/>
  <c r="EZ15" i="33" s="1"/>
  <c r="O285" i="19"/>
  <c r="O297" i="19" s="1"/>
  <c r="F382" i="19"/>
  <c r="Y273" i="19"/>
  <c r="S177" i="19"/>
  <c r="S189" i="19" s="1"/>
  <c r="X273" i="19"/>
  <c r="L487" i="19"/>
  <c r="Q165" i="19"/>
  <c r="O59" i="19"/>
  <c r="M285" i="19"/>
  <c r="M297" i="19" s="1"/>
  <c r="CZ15" i="33" s="1"/>
  <c r="T394" i="19"/>
  <c r="T406" i="19" s="1"/>
  <c r="X499" i="19"/>
  <c r="F487" i="19"/>
  <c r="W59" i="19"/>
  <c r="E165" i="19"/>
  <c r="U273" i="19"/>
  <c r="Z487" i="19"/>
  <c r="Y177" i="19"/>
  <c r="Y189" i="19" s="1"/>
  <c r="W487" i="19"/>
  <c r="W499" i="19"/>
  <c r="W511" i="19" s="1"/>
  <c r="G165" i="19"/>
  <c r="AC59" i="19"/>
  <c r="L273" i="19"/>
  <c r="AB59" i="19"/>
  <c r="T285" i="19"/>
  <c r="T297" i="19" s="1"/>
  <c r="M382" i="19"/>
  <c r="K499" i="19"/>
  <c r="K511" i="19" s="1"/>
  <c r="N499" i="19"/>
  <c r="N511" i="19" s="1"/>
  <c r="C499" i="19"/>
  <c r="C511" i="19" s="1"/>
  <c r="J382" i="19"/>
  <c r="Q499" i="19"/>
  <c r="Q511" i="19" s="1"/>
  <c r="P382" i="19"/>
  <c r="Y71" i="19"/>
  <c r="Y83" i="19" s="1"/>
  <c r="AB165" i="19"/>
  <c r="F177" i="19"/>
  <c r="F189" i="19" s="1"/>
  <c r="E71" i="19"/>
  <c r="G394" i="19"/>
  <c r="G406" i="19" s="1"/>
  <c r="AA165" i="19"/>
  <c r="AA394" i="19"/>
  <c r="AA406" i="19" s="1"/>
  <c r="N71" i="19"/>
  <c r="N83" i="19" s="1"/>
  <c r="P177" i="19"/>
  <c r="P189" i="19" s="1"/>
  <c r="E285" i="19"/>
  <c r="E297" i="19" s="1"/>
  <c r="I487" i="19"/>
  <c r="M165" i="19"/>
  <c r="M273" i="19"/>
  <c r="U285" i="19"/>
  <c r="U297" i="19" s="1"/>
  <c r="Z285" i="19"/>
  <c r="Z297" i="19" s="1"/>
  <c r="L165" i="19"/>
  <c r="F285" i="19"/>
  <c r="F297" i="19" s="1"/>
  <c r="H382" i="19"/>
  <c r="M394" i="19"/>
  <c r="M406" i="19" s="1"/>
  <c r="DC15" i="33" s="1"/>
  <c r="Q394" i="19"/>
  <c r="B382" i="19"/>
  <c r="AB177" i="19"/>
  <c r="AB189" i="19" s="1"/>
  <c r="J177" i="19"/>
  <c r="J189" i="19" s="1"/>
  <c r="U394" i="19"/>
  <c r="U406" i="19" s="1"/>
  <c r="M71" i="19"/>
  <c r="M83" i="19" s="1"/>
  <c r="CT15" i="33" s="1"/>
  <c r="G382" i="19"/>
  <c r="K59" i="19"/>
  <c r="P165" i="19"/>
  <c r="H487" i="19"/>
  <c r="U71" i="19"/>
  <c r="U83" i="19" s="1"/>
  <c r="T59" i="19"/>
  <c r="AB487" i="19"/>
  <c r="AC487" i="19"/>
  <c r="Q487" i="19"/>
  <c r="S394" i="19"/>
  <c r="S406" i="19" s="1"/>
  <c r="P499" i="19"/>
  <c r="P511" i="19" s="1"/>
  <c r="J165" i="19"/>
  <c r="K177" i="19"/>
  <c r="K189" i="19" s="1"/>
  <c r="C59" i="19"/>
  <c r="W285" i="19"/>
  <c r="W297" i="19" s="1"/>
  <c r="K71" i="19"/>
  <c r="K83" i="19" s="1"/>
  <c r="O273" i="19"/>
  <c r="X487" i="21"/>
  <c r="AB499" i="21"/>
  <c r="F499" i="21"/>
  <c r="F511" i="21" s="1"/>
  <c r="B487" i="21"/>
  <c r="AA487" i="21"/>
  <c r="G487" i="21"/>
  <c r="O487" i="22"/>
  <c r="U499" i="22"/>
  <c r="U511" i="22" s="1"/>
  <c r="D499" i="23"/>
  <c r="C487" i="21"/>
  <c r="N487" i="21"/>
  <c r="W487" i="21"/>
  <c r="O499" i="21"/>
  <c r="O511" i="21" s="1"/>
  <c r="I499" i="22"/>
  <c r="I511" i="22" s="1"/>
  <c r="Z487" i="22"/>
  <c r="G499" i="23"/>
  <c r="G511" i="23" s="1"/>
  <c r="AB499" i="23"/>
  <c r="E382" i="21"/>
  <c r="Y394" i="21"/>
  <c r="Y406" i="21" s="1"/>
  <c r="H382" i="21"/>
  <c r="P394" i="21"/>
  <c r="P406" i="21" s="1"/>
  <c r="AA382" i="21"/>
  <c r="M394" i="21"/>
  <c r="M406" i="21" s="1"/>
  <c r="CL15" i="33" s="1"/>
  <c r="W394" i="22"/>
  <c r="H382" i="22"/>
  <c r="E394" i="22"/>
  <c r="E406" i="22" s="1"/>
  <c r="J394" i="21"/>
  <c r="J406" i="21" s="1"/>
  <c r="K382" i="23"/>
  <c r="T394" i="21"/>
  <c r="T406" i="21" s="1"/>
  <c r="V382" i="21"/>
  <c r="AB382" i="21"/>
  <c r="F382" i="21"/>
  <c r="Q394" i="21"/>
  <c r="Q406" i="21" s="1"/>
  <c r="B382" i="23"/>
  <c r="R382" i="22"/>
  <c r="AC394" i="23"/>
  <c r="AC406" i="23" s="1"/>
  <c r="EQ15" i="33" s="1"/>
  <c r="S394" i="22"/>
  <c r="S406" i="22" s="1"/>
  <c r="M382" i="23"/>
  <c r="W394" i="23"/>
  <c r="W406" i="23" s="1"/>
  <c r="T382" i="23"/>
  <c r="Y382" i="23"/>
  <c r="R273" i="21"/>
  <c r="F273" i="21"/>
  <c r="K273" i="21"/>
  <c r="T285" i="21"/>
  <c r="T297" i="21" s="1"/>
  <c r="P273" i="22"/>
  <c r="I273" i="22"/>
  <c r="AB285" i="22"/>
  <c r="AB297" i="22" s="1"/>
  <c r="R273" i="22"/>
  <c r="B273" i="22"/>
  <c r="L273" i="23"/>
  <c r="U285" i="21"/>
  <c r="U297" i="21" s="1"/>
  <c r="T285" i="22"/>
  <c r="T297" i="22" s="1"/>
  <c r="P285" i="23"/>
  <c r="P297" i="23" s="1"/>
  <c r="B177" i="21"/>
  <c r="B189" i="21" s="1"/>
  <c r="AA15" i="33" s="1"/>
  <c r="Q177" i="21"/>
  <c r="Q189" i="21" s="1"/>
  <c r="W59" i="21"/>
  <c r="S165" i="21"/>
  <c r="K59" i="21"/>
  <c r="AA71" i="21"/>
  <c r="AA83" i="21" s="1"/>
  <c r="I59" i="21"/>
  <c r="I177" i="21"/>
  <c r="I189" i="21" s="1"/>
  <c r="T165" i="21"/>
  <c r="T177" i="21"/>
  <c r="T189" i="21" s="1"/>
  <c r="Z59" i="21"/>
  <c r="Q177" i="22"/>
  <c r="L165" i="22"/>
  <c r="Y165" i="22"/>
  <c r="P177" i="21"/>
  <c r="P189" i="21" s="1"/>
  <c r="R177" i="21"/>
  <c r="R189" i="21" s="1"/>
  <c r="U177" i="23"/>
  <c r="U189" i="23" s="1"/>
  <c r="V59" i="23"/>
  <c r="T71" i="21"/>
  <c r="T83" i="21" s="1"/>
  <c r="Q165" i="21"/>
  <c r="G165" i="21"/>
  <c r="M165" i="21"/>
  <c r="E71" i="21"/>
  <c r="E83" i="21" s="1"/>
  <c r="Z165" i="21"/>
  <c r="AC165" i="22"/>
  <c r="O59" i="22"/>
  <c r="S59" i="22"/>
  <c r="O177" i="22"/>
  <c r="O189" i="22" s="1"/>
  <c r="W165" i="23"/>
  <c r="E177" i="21"/>
  <c r="E189" i="21" s="1"/>
  <c r="U177" i="21"/>
  <c r="U189" i="21" s="1"/>
  <c r="Z177" i="21"/>
  <c r="Z189" i="21" s="1"/>
  <c r="O71" i="22"/>
  <c r="O83" i="22" s="1"/>
  <c r="O59" i="21"/>
  <c r="D177" i="21"/>
  <c r="C165" i="21"/>
  <c r="L165" i="21"/>
  <c r="H165" i="21"/>
  <c r="AA165" i="23"/>
  <c r="W59" i="23"/>
  <c r="H165" i="22"/>
  <c r="I165" i="22"/>
  <c r="B177" i="22"/>
  <c r="B189" i="22" s="1"/>
  <c r="AB15" i="33" s="1"/>
  <c r="M165" i="23"/>
  <c r="G71" i="23"/>
  <c r="G83" i="23" s="1"/>
  <c r="R59" i="21"/>
  <c r="AA59" i="23"/>
  <c r="U165" i="23"/>
  <c r="F71" i="23"/>
  <c r="F83" i="23" s="1"/>
  <c r="P165" i="23"/>
  <c r="R285" i="23"/>
  <c r="P273" i="23"/>
  <c r="AB394" i="23"/>
  <c r="AB406" i="23" s="1"/>
  <c r="S382" i="23"/>
  <c r="I487" i="23"/>
  <c r="F59" i="23"/>
  <c r="C382" i="23"/>
  <c r="K487" i="23"/>
  <c r="I59" i="23"/>
  <c r="Z273" i="23"/>
  <c r="E273" i="23"/>
  <c r="N487" i="23"/>
  <c r="AC382" i="23"/>
  <c r="R394" i="23"/>
  <c r="R406" i="23" s="1"/>
  <c r="N394" i="23"/>
  <c r="N406" i="23" s="1"/>
  <c r="J382" i="23"/>
  <c r="X382" i="23"/>
  <c r="B394" i="23"/>
  <c r="G285" i="23"/>
  <c r="G297" i="23" s="1"/>
  <c r="X59" i="23"/>
  <c r="Z71" i="23"/>
  <c r="Z83" i="23" s="1"/>
  <c r="O487" i="23"/>
  <c r="G165" i="23"/>
  <c r="D71" i="23"/>
  <c r="D83" i="23" s="1"/>
  <c r="Y165" i="23"/>
  <c r="Z487" i="23"/>
  <c r="L71" i="23"/>
  <c r="L83" i="23" s="1"/>
  <c r="J165" i="23"/>
  <c r="C59" i="23"/>
  <c r="S71" i="23"/>
  <c r="S83" i="23" s="1"/>
  <c r="K177" i="23"/>
  <c r="AB382" i="23"/>
  <c r="M487" i="23"/>
  <c r="X273" i="23"/>
  <c r="H382" i="23"/>
  <c r="M177" i="23"/>
  <c r="AB487" i="23"/>
  <c r="AA487" i="23"/>
  <c r="S499" i="23"/>
  <c r="S511" i="23" s="1"/>
  <c r="Q71" i="23"/>
  <c r="O382" i="23"/>
  <c r="N59" i="23"/>
  <c r="N71" i="23"/>
  <c r="I71" i="23"/>
  <c r="I83" i="23" s="1"/>
  <c r="E285" i="23"/>
  <c r="I382" i="23"/>
  <c r="G382" i="23"/>
  <c r="O71" i="23"/>
  <c r="O83" i="23" s="1"/>
  <c r="P177" i="23"/>
  <c r="P189" i="23" s="1"/>
  <c r="S177" i="23"/>
  <c r="S189" i="23" s="1"/>
  <c r="E394" i="23"/>
  <c r="E406" i="23" s="1"/>
  <c r="V382" i="23"/>
  <c r="F499" i="23"/>
  <c r="D487" i="23"/>
  <c r="W177" i="23"/>
  <c r="W189" i="23" s="1"/>
  <c r="X499" i="23"/>
  <c r="X511" i="23" s="1"/>
  <c r="U487" i="23"/>
  <c r="H487" i="23"/>
  <c r="V71" i="23"/>
  <c r="V83" i="23" s="1"/>
  <c r="P71" i="23"/>
  <c r="P83" i="23" s="1"/>
  <c r="T273" i="23"/>
  <c r="Z59" i="23"/>
  <c r="X165" i="23"/>
  <c r="X177" i="23"/>
  <c r="X189" i="23" s="1"/>
  <c r="L177" i="23"/>
  <c r="L189" i="23" s="1"/>
  <c r="T177" i="23"/>
  <c r="T189" i="23" s="1"/>
  <c r="T165" i="23"/>
  <c r="J273" i="23"/>
  <c r="G177" i="23"/>
  <c r="G189" i="23" s="1"/>
  <c r="D59" i="23"/>
  <c r="J71" i="23"/>
  <c r="J83" i="23" s="1"/>
  <c r="N177" i="23"/>
  <c r="N189" i="23" s="1"/>
  <c r="R165" i="23"/>
  <c r="K165" i="23"/>
  <c r="L285" i="23"/>
  <c r="L297" i="23" s="1"/>
  <c r="S273" i="23"/>
  <c r="L382" i="23"/>
  <c r="X285" i="23"/>
  <c r="X297" i="23" s="1"/>
  <c r="H394" i="23"/>
  <c r="H406" i="23" s="1"/>
  <c r="E59" i="23"/>
  <c r="G59" i="23"/>
  <c r="AA177" i="23"/>
  <c r="AA189" i="23" s="1"/>
  <c r="Z285" i="23"/>
  <c r="Z297" i="23" s="1"/>
  <c r="Q273" i="23"/>
  <c r="Y394" i="23"/>
  <c r="Y406" i="23" s="1"/>
  <c r="I394" i="23"/>
  <c r="I406" i="23" s="1"/>
  <c r="L499" i="23"/>
  <c r="L511" i="23" s="1"/>
  <c r="I285" i="23"/>
  <c r="I297" i="23" s="1"/>
  <c r="V394" i="23"/>
  <c r="V406" i="23" s="1"/>
  <c r="R382" i="23"/>
  <c r="X487" i="23"/>
  <c r="F273" i="23"/>
  <c r="F382" i="23"/>
  <c r="D165" i="23"/>
  <c r="B499" i="23"/>
  <c r="B511" i="23" s="1"/>
  <c r="AO15" i="33" s="1"/>
  <c r="X71" i="23"/>
  <c r="X83" i="23" s="1"/>
  <c r="W487" i="23"/>
  <c r="D273" i="23"/>
  <c r="U273" i="23"/>
  <c r="B273" i="23"/>
  <c r="B71" i="23"/>
  <c r="B83" i="23" s="1"/>
  <c r="Y15" i="33" s="1"/>
  <c r="L59" i="23"/>
  <c r="H59" i="23"/>
  <c r="Y59" i="23"/>
  <c r="T59" i="23"/>
  <c r="AB59" i="23"/>
  <c r="S285" i="23"/>
  <c r="K285" i="23"/>
  <c r="K297" i="23" s="1"/>
  <c r="Q487" i="23"/>
  <c r="E487" i="23"/>
  <c r="E165" i="23"/>
  <c r="C499" i="23"/>
  <c r="C511" i="23" s="1"/>
  <c r="M71" i="23"/>
  <c r="O165" i="23"/>
  <c r="M273" i="23"/>
  <c r="G394" i="23"/>
  <c r="G406" i="23" s="1"/>
  <c r="W71" i="23"/>
  <c r="W83" i="23" s="1"/>
  <c r="S165" i="23"/>
  <c r="O285" i="23"/>
  <c r="O297" i="23" s="1"/>
  <c r="J487" i="23"/>
  <c r="U71" i="23"/>
  <c r="AC487" i="23"/>
  <c r="AC71" i="23"/>
  <c r="AC83" i="23" s="1"/>
  <c r="EE15" i="33" s="1"/>
  <c r="F285" i="23"/>
  <c r="F297" i="23" s="1"/>
  <c r="X394" i="23"/>
  <c r="X406" i="23" s="1"/>
  <c r="F394" i="23"/>
  <c r="F406" i="23" s="1"/>
  <c r="D177" i="23"/>
  <c r="D189" i="23" s="1"/>
  <c r="T285" i="23"/>
  <c r="T297" i="23" s="1"/>
  <c r="L165" i="23"/>
  <c r="H177" i="23"/>
  <c r="AC285" i="23"/>
  <c r="AC297" i="23" s="1"/>
  <c r="EM15" i="33" s="1"/>
  <c r="AC273" i="23"/>
  <c r="V487" i="23"/>
  <c r="AB165" i="23"/>
  <c r="N273" i="23"/>
  <c r="AC177" i="23"/>
  <c r="AC189" i="23" s="1"/>
  <c r="EI15" i="33" s="1"/>
  <c r="AA382" i="23"/>
  <c r="AA71" i="23"/>
  <c r="AA83" i="23" s="1"/>
  <c r="AB285" i="23"/>
  <c r="AB297" i="23" s="1"/>
  <c r="E499" i="23"/>
  <c r="E511" i="23" s="1"/>
  <c r="W382" i="23"/>
  <c r="K394" i="23"/>
  <c r="K406" i="23" s="1"/>
  <c r="S487" i="23"/>
  <c r="T499" i="23"/>
  <c r="T511" i="23" s="1"/>
  <c r="T487" i="23"/>
  <c r="O177" i="23"/>
  <c r="O189" i="23" s="1"/>
  <c r="D394" i="23"/>
  <c r="D406" i="23" s="1"/>
  <c r="N499" i="23"/>
  <c r="N511" i="23" s="1"/>
  <c r="O59" i="23"/>
  <c r="O273" i="23"/>
  <c r="Q394" i="23"/>
  <c r="Q406" i="23" s="1"/>
  <c r="J499" i="23"/>
  <c r="J511" i="23" s="1"/>
  <c r="C177" i="23"/>
  <c r="C189" i="23" s="1"/>
  <c r="J394" i="23"/>
  <c r="J406" i="23" s="1"/>
  <c r="AA273" i="23"/>
  <c r="V165" i="23"/>
  <c r="H165" i="23"/>
  <c r="D285" i="23"/>
  <c r="D297" i="23" s="1"/>
  <c r="I165" i="23"/>
  <c r="B165" i="23"/>
  <c r="AB177" i="23"/>
  <c r="R499" i="23"/>
  <c r="R511" i="23" s="1"/>
  <c r="J59" i="23"/>
  <c r="S59" i="23"/>
  <c r="AC165" i="23"/>
  <c r="P394" i="23"/>
  <c r="Y499" i="23"/>
  <c r="AB273" i="23"/>
  <c r="G487" i="23"/>
  <c r="C273" i="23"/>
  <c r="AA499" i="23"/>
  <c r="Y285" i="23"/>
  <c r="Y297" i="23" s="1"/>
  <c r="C394" i="23"/>
  <c r="C487" i="23"/>
  <c r="M59" i="23"/>
  <c r="M285" i="23"/>
  <c r="M297" i="23" s="1"/>
  <c r="CJ15" i="33" s="1"/>
  <c r="Q285" i="23"/>
  <c r="AB71" i="23"/>
  <c r="I273" i="23"/>
  <c r="Q382" i="23"/>
  <c r="U59" i="23"/>
  <c r="C165" i="23"/>
  <c r="V273" i="23"/>
  <c r="F165" i="23"/>
  <c r="R59" i="23"/>
  <c r="G273" i="23"/>
  <c r="V177" i="23"/>
  <c r="V189" i="23" s="1"/>
  <c r="W499" i="23"/>
  <c r="W511" i="23" s="1"/>
  <c r="I177" i="23"/>
  <c r="I189" i="23" s="1"/>
  <c r="J285" i="23"/>
  <c r="J297" i="23" s="1"/>
  <c r="Q177" i="23"/>
  <c r="Q189" i="23" s="1"/>
  <c r="U285" i="23"/>
  <c r="U297" i="23" s="1"/>
  <c r="B285" i="23"/>
  <c r="B297" i="23" s="1"/>
  <c r="AG15" i="33" s="1"/>
  <c r="Z499" i="23"/>
  <c r="Z511" i="23" s="1"/>
  <c r="R487" i="23"/>
  <c r="H71" i="23"/>
  <c r="H83" i="23" s="1"/>
  <c r="N165" i="23"/>
  <c r="Z165" i="23"/>
  <c r="R273" i="23"/>
  <c r="AA394" i="23"/>
  <c r="AA406" i="23" s="1"/>
  <c r="P499" i="23"/>
  <c r="P511" i="23" s="1"/>
  <c r="C285" i="23"/>
  <c r="C297" i="23" s="1"/>
  <c r="T394" i="23"/>
  <c r="T406" i="23" s="1"/>
  <c r="Q59" i="23"/>
  <c r="E177" i="23"/>
  <c r="E189" i="23" s="1"/>
  <c r="D382" i="23"/>
  <c r="Z382" i="23"/>
  <c r="Z394" i="23"/>
  <c r="Z406" i="23" s="1"/>
  <c r="E382" i="23"/>
  <c r="AC59" i="23"/>
  <c r="F177" i="23"/>
  <c r="F189" i="23" s="1"/>
  <c r="AA285" i="23"/>
  <c r="AA297" i="23" s="1"/>
  <c r="U499" i="23"/>
  <c r="U511" i="23" s="1"/>
  <c r="P59" i="23"/>
  <c r="R71" i="23"/>
  <c r="R83" i="23" s="1"/>
  <c r="W285" i="23"/>
  <c r="W297" i="23" s="1"/>
  <c r="B177" i="23"/>
  <c r="B189" i="23" s="1"/>
  <c r="AC15" i="33" s="1"/>
  <c r="N285" i="23"/>
  <c r="N297" i="23" s="1"/>
  <c r="J177" i="23"/>
  <c r="J189" i="23" s="1"/>
  <c r="Y71" i="23"/>
  <c r="Y83" i="23" s="1"/>
  <c r="C71" i="23"/>
  <c r="C83" i="23" s="1"/>
  <c r="T71" i="23"/>
  <c r="T83" i="23" s="1"/>
  <c r="Z177" i="23"/>
  <c r="Z189" i="23" s="1"/>
  <c r="I499" i="23"/>
  <c r="I511" i="23" s="1"/>
  <c r="Y273" i="23"/>
  <c r="O394" i="23"/>
  <c r="O406" i="23" s="1"/>
  <c r="K499" i="23"/>
  <c r="K511" i="23" s="1"/>
  <c r="E71" i="23"/>
  <c r="E83" i="23" s="1"/>
  <c r="H285" i="23"/>
  <c r="H297" i="23" s="1"/>
  <c r="H273" i="23"/>
  <c r="F487" i="23"/>
  <c r="V285" i="23"/>
  <c r="V297" i="23" s="1"/>
  <c r="N382" i="23"/>
  <c r="AC499" i="23"/>
  <c r="AC511" i="23" s="1"/>
  <c r="EU15" i="33" s="1"/>
  <c r="H499" i="23"/>
  <c r="H511" i="23" s="1"/>
  <c r="B487" i="23"/>
  <c r="O499" i="23"/>
  <c r="O511" i="23" s="1"/>
  <c r="Q165" i="23"/>
  <c r="W273" i="23"/>
  <c r="Y177" i="23"/>
  <c r="Y189" i="23" s="1"/>
  <c r="V499" i="23"/>
  <c r="V511" i="23" s="1"/>
  <c r="B59" i="23"/>
  <c r="R177" i="23"/>
  <c r="R189" i="23" s="1"/>
  <c r="H177" i="22"/>
  <c r="H189" i="22" s="1"/>
  <c r="I177" i="22"/>
  <c r="I189" i="22" s="1"/>
  <c r="U382" i="22"/>
  <c r="C394" i="22"/>
  <c r="C406" i="22" s="1"/>
  <c r="I487" i="22"/>
  <c r="O499" i="22"/>
  <c r="O511" i="22" s="1"/>
  <c r="AA285" i="22"/>
  <c r="AA297" i="22" s="1"/>
  <c r="P165" i="22"/>
  <c r="R285" i="22"/>
  <c r="R297" i="22" s="1"/>
  <c r="Y382" i="22"/>
  <c r="M394" i="22"/>
  <c r="M406" i="22" s="1"/>
  <c r="CM15" i="33" s="1"/>
  <c r="V285" i="22"/>
  <c r="V297" i="22" s="1"/>
  <c r="N499" i="22"/>
  <c r="N511" i="22" s="1"/>
  <c r="V499" i="22"/>
  <c r="V511" i="22" s="1"/>
  <c r="AB71" i="22"/>
  <c r="AB83" i="22" s="1"/>
  <c r="F285" i="22"/>
  <c r="F297" i="22" s="1"/>
  <c r="I285" i="22"/>
  <c r="I297" i="22" s="1"/>
  <c r="L499" i="22"/>
  <c r="U273" i="22"/>
  <c r="C285" i="22"/>
  <c r="C297" i="22" s="1"/>
  <c r="M487" i="22"/>
  <c r="Q71" i="22"/>
  <c r="Q83" i="22" s="1"/>
  <c r="L59" i="22"/>
  <c r="Z394" i="22"/>
  <c r="Z406" i="22" s="1"/>
  <c r="I382" i="22"/>
  <c r="AB273" i="22"/>
  <c r="P177" i="22"/>
  <c r="P189" i="22" s="1"/>
  <c r="Y394" i="22"/>
  <c r="Y406" i="22" s="1"/>
  <c r="D165" i="22"/>
  <c r="AB382" i="22"/>
  <c r="R394" i="22"/>
  <c r="H499" i="22"/>
  <c r="Z165" i="22"/>
  <c r="AB499" i="22"/>
  <c r="R71" i="22"/>
  <c r="W165" i="22"/>
  <c r="AC273" i="22"/>
  <c r="C165" i="22"/>
  <c r="M285" i="22"/>
  <c r="M297" i="22" s="1"/>
  <c r="CI15" i="33" s="1"/>
  <c r="X285" i="22"/>
  <c r="X297" i="22" s="1"/>
  <c r="F382" i="22"/>
  <c r="Y71" i="22"/>
  <c r="Y83" i="22" s="1"/>
  <c r="H71" i="22"/>
  <c r="H83" i="22" s="1"/>
  <c r="AC499" i="22"/>
  <c r="AC511" i="22" s="1"/>
  <c r="ET15" i="33" s="1"/>
  <c r="F71" i="22"/>
  <c r="F83" i="22" s="1"/>
  <c r="J382" i="22"/>
  <c r="X394" i="22"/>
  <c r="X406" i="22" s="1"/>
  <c r="U59" i="22"/>
  <c r="X71" i="22"/>
  <c r="M71" i="22"/>
  <c r="M83" i="22" s="1"/>
  <c r="CA15" i="33" s="1"/>
  <c r="Q394" i="22"/>
  <c r="Q406" i="22" s="1"/>
  <c r="B59" i="22"/>
  <c r="D177" i="22"/>
  <c r="D189" i="22" s="1"/>
  <c r="L273" i="22"/>
  <c r="X177" i="22"/>
  <c r="X189" i="22" s="1"/>
  <c r="N285" i="22"/>
  <c r="G285" i="22"/>
  <c r="G297" i="22" s="1"/>
  <c r="G273" i="22"/>
  <c r="H487" i="22"/>
  <c r="V487" i="22"/>
  <c r="K71" i="22"/>
  <c r="K83" i="22" s="1"/>
  <c r="H285" i="22"/>
  <c r="H297" i="22" s="1"/>
  <c r="K165" i="22"/>
  <c r="O273" i="22"/>
  <c r="U177" i="22"/>
  <c r="U189" i="22" s="1"/>
  <c r="Q285" i="22"/>
  <c r="Q297" i="22" s="1"/>
  <c r="T487" i="22"/>
  <c r="AA177" i="22"/>
  <c r="AA189" i="22" s="1"/>
  <c r="N382" i="22"/>
  <c r="N394" i="22"/>
  <c r="N406" i="22" s="1"/>
  <c r="C71" i="22"/>
  <c r="C83" i="22" s="1"/>
  <c r="F394" i="22"/>
  <c r="F406" i="22" s="1"/>
  <c r="AA394" i="22"/>
  <c r="AA406" i="22" s="1"/>
  <c r="V165" i="22"/>
  <c r="Z382" i="22"/>
  <c r="Q499" i="22"/>
  <c r="Q511" i="22" s="1"/>
  <c r="V59" i="22"/>
  <c r="B394" i="22"/>
  <c r="B406" i="22" s="1"/>
  <c r="AJ15" i="33" s="1"/>
  <c r="U71" i="22"/>
  <c r="U83" i="22" s="1"/>
  <c r="S177" i="22"/>
  <c r="U394" i="22"/>
  <c r="U406" i="22" s="1"/>
  <c r="W59" i="22"/>
  <c r="M59" i="22"/>
  <c r="AB165" i="22"/>
  <c r="M382" i="22"/>
  <c r="P382" i="22"/>
  <c r="S71" i="22"/>
  <c r="S83" i="22" s="1"/>
  <c r="Z71" i="22"/>
  <c r="Z83" i="22" s="1"/>
  <c r="X165" i="22"/>
  <c r="G487" i="22"/>
  <c r="G499" i="22"/>
  <c r="G511" i="22" s="1"/>
  <c r="AA487" i="22"/>
  <c r="N165" i="22"/>
  <c r="F273" i="22"/>
  <c r="T165" i="22"/>
  <c r="W499" i="22"/>
  <c r="O165" i="22"/>
  <c r="V382" i="22"/>
  <c r="U285" i="22"/>
  <c r="U297" i="22" s="1"/>
  <c r="Q59" i="22"/>
  <c r="D71" i="22"/>
  <c r="D83" i="22" s="1"/>
  <c r="L71" i="22"/>
  <c r="L83" i="22" s="1"/>
  <c r="S487" i="22"/>
  <c r="N59" i="22"/>
  <c r="Q487" i="22"/>
  <c r="R487" i="22"/>
  <c r="M177" i="22"/>
  <c r="M189" i="22" s="1"/>
  <c r="CE15" i="33" s="1"/>
  <c r="R177" i="22"/>
  <c r="R189" i="22" s="1"/>
  <c r="J59" i="22"/>
  <c r="W273" i="22"/>
  <c r="AB177" i="22"/>
  <c r="AB189" i="22" s="1"/>
  <c r="P394" i="22"/>
  <c r="P406" i="22" s="1"/>
  <c r="Y499" i="22"/>
  <c r="Y511" i="22" s="1"/>
  <c r="E499" i="22"/>
  <c r="E511" i="22" s="1"/>
  <c r="L285" i="22"/>
  <c r="L297" i="22" s="1"/>
  <c r="Z273" i="22"/>
  <c r="AA499" i="22"/>
  <c r="AA511" i="22" s="1"/>
  <c r="J487" i="22"/>
  <c r="C177" i="22"/>
  <c r="C189" i="22" s="1"/>
  <c r="N273" i="22"/>
  <c r="L177" i="22"/>
  <c r="L189" i="22" s="1"/>
  <c r="O394" i="22"/>
  <c r="O406" i="22" s="1"/>
  <c r="O382" i="22"/>
  <c r="T382" i="22"/>
  <c r="AB59" i="22"/>
  <c r="AC59" i="22"/>
  <c r="E71" i="22"/>
  <c r="E83" i="22" s="1"/>
  <c r="H273" i="22"/>
  <c r="Y177" i="22"/>
  <c r="Y189" i="22" s="1"/>
  <c r="K177" i="22"/>
  <c r="K189" i="22" s="1"/>
  <c r="M499" i="22"/>
  <c r="M511" i="22" s="1"/>
  <c r="CQ15" i="33" s="1"/>
  <c r="H394" i="22"/>
  <c r="H406" i="22" s="1"/>
  <c r="D499" i="22"/>
  <c r="D511" i="22" s="1"/>
  <c r="O285" i="22"/>
  <c r="O297" i="22" s="1"/>
  <c r="D273" i="22"/>
  <c r="Y273" i="22"/>
  <c r="AA59" i="22"/>
  <c r="Y59" i="22"/>
  <c r="G59" i="22"/>
  <c r="V177" i="22"/>
  <c r="V189" i="22" s="1"/>
  <c r="AC487" i="22"/>
  <c r="P71" i="22"/>
  <c r="P83" i="22" s="1"/>
  <c r="C499" i="22"/>
  <c r="L382" i="22"/>
  <c r="K499" i="22"/>
  <c r="K511" i="22" s="1"/>
  <c r="I71" i="22"/>
  <c r="I83" i="22" s="1"/>
  <c r="I59" i="22"/>
  <c r="F499" i="22"/>
  <c r="F511" i="22" s="1"/>
  <c r="E285" i="22"/>
  <c r="E297" i="22" s="1"/>
  <c r="R165" i="22"/>
  <c r="C382" i="22"/>
  <c r="P285" i="22"/>
  <c r="B71" i="22"/>
  <c r="B83" i="22" s="1"/>
  <c r="X15" i="33" s="1"/>
  <c r="V273" i="22"/>
  <c r="J499" i="22"/>
  <c r="J511" i="22" s="1"/>
  <c r="K59" i="22"/>
  <c r="E177" i="22"/>
  <c r="E189" i="22" s="1"/>
  <c r="T177" i="22"/>
  <c r="T189" i="22" s="1"/>
  <c r="S382" i="22"/>
  <c r="X499" i="22"/>
  <c r="X511" i="22" s="1"/>
  <c r="U487" i="22"/>
  <c r="U165" i="22"/>
  <c r="V394" i="22"/>
  <c r="V406" i="22" s="1"/>
  <c r="T499" i="22"/>
  <c r="T511" i="22" s="1"/>
  <c r="C273" i="22"/>
  <c r="M273" i="22"/>
  <c r="X273" i="22"/>
  <c r="F165" i="22"/>
  <c r="G165" i="22"/>
  <c r="AA382" i="22"/>
  <c r="H59" i="22"/>
  <c r="F59" i="22"/>
  <c r="J394" i="22"/>
  <c r="J406" i="22" s="1"/>
  <c r="L394" i="22"/>
  <c r="L406" i="22" s="1"/>
  <c r="R499" i="22"/>
  <c r="R511" i="22" s="1"/>
  <c r="AC382" i="22"/>
  <c r="P487" i="22"/>
  <c r="B382" i="22"/>
  <c r="X487" i="22"/>
  <c r="J177" i="22"/>
  <c r="J189" i="22" s="1"/>
  <c r="N487" i="22"/>
  <c r="K285" i="22"/>
  <c r="K297" i="22" s="1"/>
  <c r="E165" i="22"/>
  <c r="Q273" i="22"/>
  <c r="D285" i="22"/>
  <c r="D297" i="22" s="1"/>
  <c r="AA165" i="22"/>
  <c r="C59" i="22"/>
  <c r="G177" i="22"/>
  <c r="G189" i="22" s="1"/>
  <c r="T59" i="22"/>
  <c r="P59" i="22"/>
  <c r="N71" i="22"/>
  <c r="D382" i="22"/>
  <c r="AC394" i="22"/>
  <c r="AC406" i="22" s="1"/>
  <c r="EP15" i="33" s="1"/>
  <c r="X382" i="22"/>
  <c r="P499" i="22"/>
  <c r="P511" i="22" s="1"/>
  <c r="F487" i="22"/>
  <c r="M165" i="22"/>
  <c r="E273" i="22"/>
  <c r="J273" i="22"/>
  <c r="J285" i="22"/>
  <c r="J297" i="22" s="1"/>
  <c r="J71" i="22"/>
  <c r="J83" i="22" s="1"/>
  <c r="AA273" i="22"/>
  <c r="W285" i="22"/>
  <c r="W297" i="22" s="1"/>
  <c r="AC177" i="22"/>
  <c r="AC189" i="22" s="1"/>
  <c r="EH15" i="33" s="1"/>
  <c r="Q165" i="22"/>
  <c r="K394" i="22"/>
  <c r="K406" i="22" s="1"/>
  <c r="Q382" i="22"/>
  <c r="Y487" i="22"/>
  <c r="E487" i="22"/>
  <c r="Z59" i="22"/>
  <c r="W177" i="22"/>
  <c r="W189" i="22" s="1"/>
  <c r="B165" i="22"/>
  <c r="Z285" i="22"/>
  <c r="Z297" i="22" s="1"/>
  <c r="AB394" i="22"/>
  <c r="AB406" i="22" s="1"/>
  <c r="E382" i="22"/>
  <c r="N177" i="22"/>
  <c r="N189" i="22" s="1"/>
  <c r="T273" i="22"/>
  <c r="J165" i="22"/>
  <c r="AC71" i="22"/>
  <c r="AC83" i="22" s="1"/>
  <c r="ED15" i="33" s="1"/>
  <c r="E59" i="22"/>
  <c r="Z177" i="22"/>
  <c r="Z189" i="22" s="1"/>
  <c r="K273" i="22"/>
  <c r="G394" i="22"/>
  <c r="G406" i="22" s="1"/>
  <c r="G382" i="22"/>
  <c r="AB487" i="22"/>
  <c r="W487" i="22"/>
  <c r="D487" i="22"/>
  <c r="R59" i="22"/>
  <c r="AC285" i="22"/>
  <c r="AC297" i="22" s="1"/>
  <c r="EL15" i="33" s="1"/>
  <c r="S273" i="22"/>
  <c r="S285" i="22"/>
  <c r="S297" i="22" s="1"/>
  <c r="L487" i="22"/>
  <c r="Y285" i="22"/>
  <c r="Y297" i="22" s="1"/>
  <c r="Z499" i="22"/>
  <c r="Z511" i="22" s="1"/>
  <c r="AA71" i="22"/>
  <c r="AA83" i="22" s="1"/>
  <c r="F177" i="22"/>
  <c r="F189" i="22" s="1"/>
  <c r="B285" i="22"/>
  <c r="B297" i="22" s="1"/>
  <c r="AF15" i="33" s="1"/>
  <c r="D59" i="22"/>
  <c r="G71" i="22"/>
  <c r="G83" i="22" s="1"/>
  <c r="T71" i="22"/>
  <c r="T83" i="22" s="1"/>
  <c r="S499" i="22"/>
  <c r="S511" i="22" s="1"/>
  <c r="C487" i="22"/>
  <c r="B487" i="22"/>
  <c r="B499" i="22"/>
  <c r="B511" i="22" s="1"/>
  <c r="AN15" i="33" s="1"/>
  <c r="D394" i="22"/>
  <c r="D406" i="22" s="1"/>
  <c r="K487" i="22"/>
  <c r="V71" i="22"/>
  <c r="V83" i="22" s="1"/>
  <c r="P165" i="21"/>
  <c r="C285" i="21"/>
  <c r="C297" i="21" s="1"/>
  <c r="I394" i="21"/>
  <c r="I406" i="21" s="1"/>
  <c r="N165" i="21"/>
  <c r="R285" i="21"/>
  <c r="R297" i="21" s="1"/>
  <c r="G394" i="21"/>
  <c r="G406" i="21" s="1"/>
  <c r="H487" i="21"/>
  <c r="W165" i="21"/>
  <c r="G177" i="21"/>
  <c r="G189" i="21" s="1"/>
  <c r="T382" i="21"/>
  <c r="E487" i="21"/>
  <c r="F71" i="21"/>
  <c r="F83" i="21" s="1"/>
  <c r="Q273" i="21"/>
  <c r="S71" i="21"/>
  <c r="S83" i="21" s="1"/>
  <c r="E59" i="21"/>
  <c r="R382" i="21"/>
  <c r="N285" i="21"/>
  <c r="N297" i="21" s="1"/>
  <c r="I71" i="21"/>
  <c r="I83" i="21" s="1"/>
  <c r="AC59" i="21"/>
  <c r="AC382" i="21"/>
  <c r="U273" i="21"/>
  <c r="N59" i="21"/>
  <c r="AA273" i="21"/>
  <c r="C382" i="21"/>
  <c r="S285" i="21"/>
  <c r="S297" i="21" s="1"/>
  <c r="Q382" i="21"/>
  <c r="J499" i="21"/>
  <c r="J511" i="21" s="1"/>
  <c r="B499" i="21"/>
  <c r="B511" i="21" s="1"/>
  <c r="AM15" i="33" s="1"/>
  <c r="S487" i="21"/>
  <c r="D487" i="21"/>
  <c r="G499" i="21"/>
  <c r="G511" i="21" s="1"/>
  <c r="J487" i="21"/>
  <c r="L177" i="21"/>
  <c r="L189" i="21" s="1"/>
  <c r="Y71" i="21"/>
  <c r="Y83" i="21" s="1"/>
  <c r="U382" i="21"/>
  <c r="Y177" i="21"/>
  <c r="Y189" i="21" s="1"/>
  <c r="H499" i="21"/>
  <c r="H511" i="21" s="1"/>
  <c r="AB59" i="21"/>
  <c r="Y285" i="21"/>
  <c r="Y297" i="21" s="1"/>
  <c r="V487" i="21"/>
  <c r="R165" i="21"/>
  <c r="K285" i="21"/>
  <c r="K297" i="21" s="1"/>
  <c r="Q59" i="21"/>
  <c r="K71" i="21"/>
  <c r="K83" i="21" s="1"/>
  <c r="U59" i="21"/>
  <c r="O165" i="21"/>
  <c r="C273" i="21"/>
  <c r="G285" i="21"/>
  <c r="G297" i="21" s="1"/>
  <c r="AC71" i="21"/>
  <c r="AC83" i="21" s="1"/>
  <c r="EC15" i="33" s="1"/>
  <c r="AB165" i="21"/>
  <c r="X165" i="21"/>
  <c r="H394" i="21"/>
  <c r="H406" i="21" s="1"/>
  <c r="P382" i="21"/>
  <c r="N71" i="21"/>
  <c r="N83" i="21" s="1"/>
  <c r="V165" i="21"/>
  <c r="O273" i="21"/>
  <c r="Z499" i="21"/>
  <c r="Z511" i="21" s="1"/>
  <c r="N499" i="21"/>
  <c r="N511" i="21" s="1"/>
  <c r="K382" i="21"/>
  <c r="F487" i="21"/>
  <c r="AB285" i="21"/>
  <c r="AB297" i="21" s="1"/>
  <c r="N382" i="21"/>
  <c r="W499" i="21"/>
  <c r="W511" i="21" s="1"/>
  <c r="S499" i="21"/>
  <c r="W273" i="21"/>
  <c r="L59" i="21"/>
  <c r="J71" i="21"/>
  <c r="J83" i="21" s="1"/>
  <c r="AC177" i="21"/>
  <c r="AC189" i="21" s="1"/>
  <c r="EG15" i="33" s="1"/>
  <c r="U394" i="21"/>
  <c r="U406" i="21" s="1"/>
  <c r="L285" i="21"/>
  <c r="L297" i="21" s="1"/>
  <c r="L273" i="21"/>
  <c r="P59" i="21"/>
  <c r="X273" i="21"/>
  <c r="L382" i="21"/>
  <c r="S177" i="21"/>
  <c r="S189" i="21" s="1"/>
  <c r="E285" i="21"/>
  <c r="E297" i="21" s="1"/>
  <c r="K165" i="21"/>
  <c r="J165" i="21"/>
  <c r="Z273" i="21"/>
  <c r="AA59" i="21"/>
  <c r="U71" i="21"/>
  <c r="U83" i="21" s="1"/>
  <c r="O177" i="21"/>
  <c r="O189" i="21" s="1"/>
  <c r="G273" i="21"/>
  <c r="B71" i="21"/>
  <c r="B83" i="21" s="1"/>
  <c r="W15" i="33" s="1"/>
  <c r="AC394" i="21"/>
  <c r="AC406" i="21" s="1"/>
  <c r="EO15" i="33" s="1"/>
  <c r="O394" i="21"/>
  <c r="O406" i="21" s="1"/>
  <c r="J285" i="21"/>
  <c r="AA285" i="21"/>
  <c r="AA297" i="21" s="1"/>
  <c r="X382" i="21"/>
  <c r="Z487" i="21"/>
  <c r="Z71" i="21"/>
  <c r="Z83" i="21" s="1"/>
  <c r="V285" i="21"/>
  <c r="V297" i="21" s="1"/>
  <c r="AC499" i="21"/>
  <c r="AC511" i="21" s="1"/>
  <c r="ES15" i="33" s="1"/>
  <c r="O71" i="21"/>
  <c r="O83" i="21" s="1"/>
  <c r="Y273" i="21"/>
  <c r="AA177" i="21"/>
  <c r="AA189" i="21" s="1"/>
  <c r="M177" i="21"/>
  <c r="M189" i="21" s="1"/>
  <c r="CD15" i="33" s="1"/>
  <c r="I487" i="21"/>
  <c r="C59" i="21"/>
  <c r="E273" i="21"/>
  <c r="J382" i="21"/>
  <c r="B273" i="21"/>
  <c r="T499" i="21"/>
  <c r="T511" i="21" s="1"/>
  <c r="X59" i="21"/>
  <c r="B59" i="21"/>
  <c r="T273" i="21"/>
  <c r="J273" i="21"/>
  <c r="X499" i="21"/>
  <c r="X511" i="21" s="1"/>
  <c r="F165" i="21"/>
  <c r="V177" i="21"/>
  <c r="V189" i="21" s="1"/>
  <c r="AB487" i="21"/>
  <c r="AC273" i="21"/>
  <c r="K394" i="21"/>
  <c r="K406" i="21" s="1"/>
  <c r="AA394" i="21"/>
  <c r="AA406" i="21" s="1"/>
  <c r="D382" i="21"/>
  <c r="D499" i="21"/>
  <c r="D511" i="21" s="1"/>
  <c r="J59" i="21"/>
  <c r="AC165" i="21"/>
  <c r="B394" i="21"/>
  <c r="B406" i="21" s="1"/>
  <c r="AI15" i="33" s="1"/>
  <c r="P499" i="21"/>
  <c r="P511" i="21" s="1"/>
  <c r="Y499" i="21"/>
  <c r="P71" i="21"/>
  <c r="T59" i="21"/>
  <c r="B165" i="21"/>
  <c r="E394" i="21"/>
  <c r="E406" i="21" s="1"/>
  <c r="AA165" i="21"/>
  <c r="Q285" i="21"/>
  <c r="Q297" i="21" s="1"/>
  <c r="I499" i="21"/>
  <c r="V59" i="21"/>
  <c r="S394" i="21"/>
  <c r="S406" i="21" s="1"/>
  <c r="S382" i="21"/>
  <c r="W285" i="21"/>
  <c r="W297" i="21" s="1"/>
  <c r="K177" i="21"/>
  <c r="K189" i="21" s="1"/>
  <c r="H59" i="21"/>
  <c r="C177" i="21"/>
  <c r="C189" i="21" s="1"/>
  <c r="U165" i="21"/>
  <c r="N273" i="21"/>
  <c r="I273" i="21"/>
  <c r="T487" i="21"/>
  <c r="X177" i="21"/>
  <c r="X189" i="21" s="1"/>
  <c r="M59" i="21"/>
  <c r="M487" i="21"/>
  <c r="O285" i="21"/>
  <c r="O297" i="21" s="1"/>
  <c r="X394" i="21"/>
  <c r="L487" i="21"/>
  <c r="U499" i="21"/>
  <c r="U511" i="21" s="1"/>
  <c r="N394" i="21"/>
  <c r="N406" i="21" s="1"/>
  <c r="D394" i="21"/>
  <c r="D406" i="21" s="1"/>
  <c r="O487" i="21"/>
  <c r="K499" i="21"/>
  <c r="K511" i="21" s="1"/>
  <c r="M273" i="21"/>
  <c r="Y59" i="21"/>
  <c r="L71" i="21"/>
  <c r="L83" i="21" s="1"/>
  <c r="G71" i="21"/>
  <c r="G83" i="21" s="1"/>
  <c r="G59" i="21"/>
  <c r="N177" i="21"/>
  <c r="N189" i="21" s="1"/>
  <c r="B382" i="21"/>
  <c r="P487" i="21"/>
  <c r="Y487" i="21"/>
  <c r="G382" i="21"/>
  <c r="F285" i="21"/>
  <c r="F297" i="21" s="1"/>
  <c r="Q499" i="21"/>
  <c r="P273" i="21"/>
  <c r="Y382" i="21"/>
  <c r="H273" i="21"/>
  <c r="V394" i="21"/>
  <c r="V406" i="21" s="1"/>
  <c r="AB394" i="21"/>
  <c r="AB406" i="21" s="1"/>
  <c r="E165" i="21"/>
  <c r="J177" i="21"/>
  <c r="J189" i="21" s="1"/>
  <c r="B285" i="21"/>
  <c r="B297" i="21" s="1"/>
  <c r="AE15" i="33" s="1"/>
  <c r="H71" i="21"/>
  <c r="H83" i="21" s="1"/>
  <c r="F394" i="21"/>
  <c r="F406" i="21" s="1"/>
  <c r="I285" i="21"/>
  <c r="I297" i="21" s="1"/>
  <c r="R499" i="21"/>
  <c r="R511" i="21" s="1"/>
  <c r="X71" i="21"/>
  <c r="D71" i="21"/>
  <c r="AB177" i="21"/>
  <c r="AB189" i="21" s="1"/>
  <c r="O382" i="21"/>
  <c r="F177" i="21"/>
  <c r="F189" i="21" s="1"/>
  <c r="D285" i="21"/>
  <c r="D297" i="21" s="1"/>
  <c r="M382" i="21"/>
  <c r="C499" i="21"/>
  <c r="C511" i="21" s="1"/>
  <c r="M499" i="21"/>
  <c r="M511" i="21" s="1"/>
  <c r="CP15" i="33" s="1"/>
  <c r="M285" i="21"/>
  <c r="M297" i="21" s="1"/>
  <c r="CH15" i="33" s="1"/>
  <c r="C394" i="21"/>
  <c r="C406" i="21" s="1"/>
  <c r="S273" i="21"/>
  <c r="L499" i="21"/>
  <c r="L511" i="21" s="1"/>
  <c r="Z394" i="21"/>
  <c r="Z406" i="21" s="1"/>
  <c r="AA499" i="21"/>
  <c r="AA511" i="21" s="1"/>
  <c r="W382" i="21"/>
  <c r="K487" i="21"/>
  <c r="AC487" i="21"/>
  <c r="Y165" i="21"/>
  <c r="X285" i="21"/>
  <c r="X297" i="21" s="1"/>
  <c r="Q487" i="21"/>
  <c r="W71" i="21"/>
  <c r="W83" i="21" s="1"/>
  <c r="W177" i="21"/>
  <c r="W189" i="21" s="1"/>
  <c r="L394" i="21"/>
  <c r="P285" i="21"/>
  <c r="P297" i="21" s="1"/>
  <c r="V499" i="21"/>
  <c r="V511" i="21" s="1"/>
  <c r="E499" i="21"/>
  <c r="E511" i="21" s="1"/>
  <c r="F59" i="21"/>
  <c r="H285" i="21"/>
  <c r="H297" i="21" s="1"/>
  <c r="S59" i="21"/>
  <c r="V71" i="21"/>
  <c r="V83" i="21" s="1"/>
  <c r="C71" i="21"/>
  <c r="C83" i="21" s="1"/>
  <c r="Q71" i="21"/>
  <c r="Q83" i="21" s="1"/>
  <c r="Z285" i="21"/>
  <c r="Z297" i="21" s="1"/>
  <c r="R394" i="21"/>
  <c r="R406" i="21" s="1"/>
  <c r="R487" i="21"/>
  <c r="D59" i="21"/>
  <c r="I165" i="21"/>
  <c r="M71" i="21"/>
  <c r="M83" i="21" s="1"/>
  <c r="BZ15" i="33" s="1"/>
  <c r="D273" i="21"/>
  <c r="I382" i="21"/>
  <c r="AC285" i="21"/>
  <c r="AC297" i="21" s="1"/>
  <c r="EK15" i="33" s="1"/>
  <c r="U487" i="21"/>
  <c r="Z382" i="21"/>
  <c r="H177" i="21"/>
  <c r="H189" i="21" s="1"/>
  <c r="AB273" i="21"/>
  <c r="V273" i="21"/>
  <c r="W394" i="21"/>
  <c r="W406" i="21" s="1"/>
  <c r="Y405" i="24"/>
  <c r="Y408" i="24" s="1"/>
  <c r="AB51" i="28" s="1"/>
  <c r="J82" i="25"/>
  <c r="J83" i="25"/>
  <c r="G296" i="24"/>
  <c r="G297" i="24"/>
  <c r="I296" i="24"/>
  <c r="I297" i="24"/>
  <c r="I82" i="25"/>
  <c r="I83" i="25"/>
  <c r="AA188" i="26"/>
  <c r="AA189" i="26"/>
  <c r="C405" i="24"/>
  <c r="C406" i="24"/>
  <c r="F296" i="25"/>
  <c r="F297" i="25"/>
  <c r="Z405" i="26"/>
  <c r="Z406" i="26"/>
  <c r="C296" i="24"/>
  <c r="C297" i="24"/>
  <c r="P82" i="25"/>
  <c r="P83" i="25"/>
  <c r="S405" i="24"/>
  <c r="S406" i="24"/>
  <c r="E82" i="26"/>
  <c r="E83" i="26"/>
  <c r="AB405" i="26"/>
  <c r="AB406" i="26"/>
  <c r="Q188" i="24"/>
  <c r="Q189" i="24"/>
  <c r="Z405" i="24"/>
  <c r="Z406" i="24"/>
  <c r="Y405" i="25"/>
  <c r="Y406" i="25"/>
  <c r="E82" i="24"/>
  <c r="E83" i="24"/>
  <c r="R405" i="24"/>
  <c r="R406" i="24"/>
  <c r="U188" i="26"/>
  <c r="U191" i="26" s="1"/>
  <c r="X59" i="28" s="1"/>
  <c r="D82" i="26"/>
  <c r="D85" i="26" s="1"/>
  <c r="G57" i="28" s="1"/>
  <c r="S82" i="26"/>
  <c r="S85" i="26" s="1"/>
  <c r="V57" i="28" s="1"/>
  <c r="N82" i="26"/>
  <c r="N85" i="26" s="1"/>
  <c r="Q57" i="28" s="1"/>
  <c r="M188" i="26"/>
  <c r="AC82" i="26"/>
  <c r="AA296" i="26"/>
  <c r="AA299" i="26" s="1"/>
  <c r="AD60" i="28" s="1"/>
  <c r="Y405" i="26"/>
  <c r="Y408" i="26" s="1"/>
  <c r="AB61" i="28" s="1"/>
  <c r="F296" i="26"/>
  <c r="F299" i="26" s="1"/>
  <c r="I60" i="28" s="1"/>
  <c r="U296" i="26"/>
  <c r="U299" i="26" s="1"/>
  <c r="X60" i="28" s="1"/>
  <c r="G405" i="26"/>
  <c r="G408" i="26" s="1"/>
  <c r="J61" i="28" s="1"/>
  <c r="V405" i="26"/>
  <c r="V408" i="26" s="1"/>
  <c r="Y61" i="28" s="1"/>
  <c r="H82" i="26"/>
  <c r="H85" i="26" s="1"/>
  <c r="K57" i="28" s="1"/>
  <c r="I405" i="26"/>
  <c r="I408" i="26" s="1"/>
  <c r="L61" i="28" s="1"/>
  <c r="O82" i="26"/>
  <c r="O85" i="26" s="1"/>
  <c r="R57" i="28" s="1"/>
  <c r="L405" i="26"/>
  <c r="L408" i="26" s="1"/>
  <c r="O61" i="28" s="1"/>
  <c r="W405" i="26"/>
  <c r="W408" i="26" s="1"/>
  <c r="Z61" i="28" s="1"/>
  <c r="M296" i="26"/>
  <c r="Y188" i="26"/>
  <c r="Y191" i="26" s="1"/>
  <c r="AB59" i="28" s="1"/>
  <c r="I188" i="26"/>
  <c r="I191" i="26" s="1"/>
  <c r="L59" i="28" s="1"/>
  <c r="D188" i="26"/>
  <c r="D191" i="26" s="1"/>
  <c r="G59" i="28" s="1"/>
  <c r="C296" i="26"/>
  <c r="C299" i="26" s="1"/>
  <c r="F60" i="28" s="1"/>
  <c r="L82" i="26"/>
  <c r="L85" i="26" s="1"/>
  <c r="O57" i="28" s="1"/>
  <c r="C188" i="26"/>
  <c r="C191" i="26" s="1"/>
  <c r="F59" i="28" s="1"/>
  <c r="X405" i="26"/>
  <c r="X408" i="26" s="1"/>
  <c r="AA61" i="28" s="1"/>
  <c r="T405" i="26"/>
  <c r="T408" i="26" s="1"/>
  <c r="W61" i="28" s="1"/>
  <c r="S405" i="26"/>
  <c r="S408" i="26" s="1"/>
  <c r="V61" i="28" s="1"/>
  <c r="X82" i="26"/>
  <c r="X85" i="26" s="1"/>
  <c r="AA57" i="28" s="1"/>
  <c r="C82" i="26"/>
  <c r="C85" i="26" s="1"/>
  <c r="F57" i="28" s="1"/>
  <c r="E405" i="26"/>
  <c r="E408" i="26" s="1"/>
  <c r="H61" i="28" s="1"/>
  <c r="Z188" i="26"/>
  <c r="Z191" i="26" s="1"/>
  <c r="AC59" i="28" s="1"/>
  <c r="W296" i="26"/>
  <c r="W299" i="26" s="1"/>
  <c r="Z60" i="28" s="1"/>
  <c r="AC405" i="26"/>
  <c r="K405" i="26"/>
  <c r="K408" i="26" s="1"/>
  <c r="N61" i="28" s="1"/>
  <c r="M405" i="26"/>
  <c r="G296" i="26"/>
  <c r="G299" i="26" s="1"/>
  <c r="J60" i="28" s="1"/>
  <c r="R296" i="26"/>
  <c r="R299" i="26" s="1"/>
  <c r="U60" i="28" s="1"/>
  <c r="L188" i="26"/>
  <c r="L191" i="26" s="1"/>
  <c r="O59" i="28" s="1"/>
  <c r="AB188" i="26"/>
  <c r="AB191" i="26" s="1"/>
  <c r="AE59" i="28" s="1"/>
  <c r="S296" i="26"/>
  <c r="S299" i="26" s="1"/>
  <c r="V60" i="28" s="1"/>
  <c r="K296" i="26"/>
  <c r="K299" i="26" s="1"/>
  <c r="N60" i="28" s="1"/>
  <c r="B188" i="26"/>
  <c r="I296" i="26"/>
  <c r="I299" i="26" s="1"/>
  <c r="L60" i="28" s="1"/>
  <c r="C405" i="26"/>
  <c r="C408" i="26" s="1"/>
  <c r="F61" i="28" s="1"/>
  <c r="T82" i="26"/>
  <c r="T85" i="26" s="1"/>
  <c r="W57" i="28" s="1"/>
  <c r="V296" i="26"/>
  <c r="V299" i="26" s="1"/>
  <c r="Y60" i="28" s="1"/>
  <c r="E296" i="26"/>
  <c r="E299" i="26" s="1"/>
  <c r="H60" i="28" s="1"/>
  <c r="H405" i="26"/>
  <c r="H408" i="26" s="1"/>
  <c r="K61" i="28" s="1"/>
  <c r="O405" i="26"/>
  <c r="O408" i="26" s="1"/>
  <c r="R61" i="28" s="1"/>
  <c r="AB296" i="26"/>
  <c r="AB299" i="26" s="1"/>
  <c r="AE60" i="28" s="1"/>
  <c r="J188" i="26"/>
  <c r="J191" i="26" s="1"/>
  <c r="M59" i="28" s="1"/>
  <c r="Q405" i="26"/>
  <c r="Q408" i="26" s="1"/>
  <c r="T61" i="28" s="1"/>
  <c r="B405" i="26"/>
  <c r="T296" i="26"/>
  <c r="T299" i="26" s="1"/>
  <c r="W60" i="28" s="1"/>
  <c r="O296" i="26"/>
  <c r="O299" i="26" s="1"/>
  <c r="R60" i="28" s="1"/>
  <c r="Y82" i="26"/>
  <c r="Y85" i="26" s="1"/>
  <c r="AB57" i="28" s="1"/>
  <c r="Z296" i="26"/>
  <c r="Z299" i="26" s="1"/>
  <c r="AC60" i="28" s="1"/>
  <c r="N188" i="26"/>
  <c r="N191" i="26" s="1"/>
  <c r="Q59" i="28" s="1"/>
  <c r="P296" i="26"/>
  <c r="P299" i="26" s="1"/>
  <c r="S60" i="28" s="1"/>
  <c r="Q188" i="26"/>
  <c r="Q191" i="26" s="1"/>
  <c r="T59" i="28" s="1"/>
  <c r="Q82" i="26"/>
  <c r="Q85" i="26" s="1"/>
  <c r="T57" i="28" s="1"/>
  <c r="AA405" i="26"/>
  <c r="AA408" i="26" s="1"/>
  <c r="AD61" i="28" s="1"/>
  <c r="D405" i="26"/>
  <c r="D408" i="26" s="1"/>
  <c r="G61" i="28" s="1"/>
  <c r="Q296" i="26"/>
  <c r="Q299" i="26" s="1"/>
  <c r="T60" i="28" s="1"/>
  <c r="L296" i="26"/>
  <c r="L299" i="26" s="1"/>
  <c r="O60" i="28" s="1"/>
  <c r="H296" i="26"/>
  <c r="H299" i="26" s="1"/>
  <c r="K60" i="28" s="1"/>
  <c r="E188" i="26"/>
  <c r="E191" i="26" s="1"/>
  <c r="H59" i="28" s="1"/>
  <c r="J82" i="26"/>
  <c r="J85" i="26" s="1"/>
  <c r="M57" i="28" s="1"/>
  <c r="N296" i="26"/>
  <c r="N299" i="26" s="1"/>
  <c r="Q60" i="28" s="1"/>
  <c r="X188" i="26"/>
  <c r="X191" i="26" s="1"/>
  <c r="AA59" i="28" s="1"/>
  <c r="H188" i="26"/>
  <c r="H191" i="26" s="1"/>
  <c r="K59" i="28" s="1"/>
  <c r="D296" i="26"/>
  <c r="D299" i="26" s="1"/>
  <c r="G60" i="28" s="1"/>
  <c r="I82" i="26"/>
  <c r="I85" i="26" s="1"/>
  <c r="L57" i="28" s="1"/>
  <c r="P405" i="26"/>
  <c r="P408" i="26" s="1"/>
  <c r="S61" i="28" s="1"/>
  <c r="B82" i="26"/>
  <c r="W188" i="26"/>
  <c r="W191" i="26" s="1"/>
  <c r="Z59" i="28" s="1"/>
  <c r="N405" i="26"/>
  <c r="N408" i="26" s="1"/>
  <c r="Q61" i="28" s="1"/>
  <c r="X296" i="26"/>
  <c r="X299" i="26" s="1"/>
  <c r="AA60" i="28" s="1"/>
  <c r="Y296" i="26"/>
  <c r="Y299" i="26" s="1"/>
  <c r="AB60" i="28" s="1"/>
  <c r="V188" i="26"/>
  <c r="V191" i="26" s="1"/>
  <c r="Y59" i="28" s="1"/>
  <c r="F188" i="26"/>
  <c r="F191" i="26" s="1"/>
  <c r="I59" i="28" s="1"/>
  <c r="R188" i="26"/>
  <c r="R191" i="26" s="1"/>
  <c r="U59" i="28" s="1"/>
  <c r="O188" i="26"/>
  <c r="O191" i="26" s="1"/>
  <c r="R59" i="28" s="1"/>
  <c r="G82" i="26"/>
  <c r="G85" i="26" s="1"/>
  <c r="J57" i="28" s="1"/>
  <c r="P82" i="26"/>
  <c r="P85" i="26" s="1"/>
  <c r="S57" i="28" s="1"/>
  <c r="AA82" i="26"/>
  <c r="AA85" i="26" s="1"/>
  <c r="AD57" i="28" s="1"/>
  <c r="F82" i="26"/>
  <c r="F85" i="26" s="1"/>
  <c r="I57" i="28" s="1"/>
  <c r="W82" i="26"/>
  <c r="W85" i="26" s="1"/>
  <c r="Z57" i="28" s="1"/>
  <c r="U82" i="26"/>
  <c r="U85" i="26" s="1"/>
  <c r="X57" i="28" s="1"/>
  <c r="AC296" i="26"/>
  <c r="T188" i="26"/>
  <c r="T191" i="26" s="1"/>
  <c r="W59" i="28" s="1"/>
  <c r="P188" i="26"/>
  <c r="P191" i="26" s="1"/>
  <c r="S59" i="28" s="1"/>
  <c r="K82" i="26"/>
  <c r="K85" i="26" s="1"/>
  <c r="N57" i="28" s="1"/>
  <c r="S188" i="26"/>
  <c r="S191" i="26" s="1"/>
  <c r="V59" i="28" s="1"/>
  <c r="AB82" i="26"/>
  <c r="AB85" i="26" s="1"/>
  <c r="AE57" i="28" s="1"/>
  <c r="U405" i="26"/>
  <c r="U408" i="26" s="1"/>
  <c r="X61" i="28" s="1"/>
  <c r="V82" i="26"/>
  <c r="V85" i="26" s="1"/>
  <c r="Y57" i="28" s="1"/>
  <c r="G188" i="26"/>
  <c r="G191" i="26" s="1"/>
  <c r="J59" i="28" s="1"/>
  <c r="Z82" i="26"/>
  <c r="Z85" i="26" s="1"/>
  <c r="AC57" i="28" s="1"/>
  <c r="R405" i="26"/>
  <c r="R408" i="26" s="1"/>
  <c r="U61" i="28" s="1"/>
  <c r="F405" i="26"/>
  <c r="F408" i="26" s="1"/>
  <c r="I61" i="28" s="1"/>
  <c r="J405" i="26"/>
  <c r="J408" i="26" s="1"/>
  <c r="M61" i="28" s="1"/>
  <c r="B296" i="26"/>
  <c r="R82" i="26"/>
  <c r="R85" i="26" s="1"/>
  <c r="U57" i="28" s="1"/>
  <c r="K188" i="26"/>
  <c r="K191" i="26" s="1"/>
  <c r="N59" i="28" s="1"/>
  <c r="M82" i="26"/>
  <c r="AC188" i="26"/>
  <c r="J296" i="26"/>
  <c r="J299" i="26" s="1"/>
  <c r="M60" i="28" s="1"/>
  <c r="K405" i="25"/>
  <c r="K408" i="25" s="1"/>
  <c r="N56" i="28" s="1"/>
  <c r="U188" i="25"/>
  <c r="U191" i="25" s="1"/>
  <c r="X54" i="28" s="1"/>
  <c r="T405" i="25"/>
  <c r="T408" i="25" s="1"/>
  <c r="W56" i="28" s="1"/>
  <c r="C82" i="25"/>
  <c r="C85" i="25" s="1"/>
  <c r="F52" i="28" s="1"/>
  <c r="AA405" i="25"/>
  <c r="AA408" i="25" s="1"/>
  <c r="AD56" i="28" s="1"/>
  <c r="H82" i="25"/>
  <c r="H85" i="25" s="1"/>
  <c r="K52" i="28" s="1"/>
  <c r="P188" i="25"/>
  <c r="P191" i="25" s="1"/>
  <c r="S54" i="28" s="1"/>
  <c r="W188" i="25"/>
  <c r="W191" i="25" s="1"/>
  <c r="Z54" i="28" s="1"/>
  <c r="D296" i="25"/>
  <c r="D299" i="25" s="1"/>
  <c r="G55" i="28" s="1"/>
  <c r="G296" i="25"/>
  <c r="G299" i="25" s="1"/>
  <c r="J55" i="28" s="1"/>
  <c r="B405" i="25"/>
  <c r="X188" i="25"/>
  <c r="X191" i="25" s="1"/>
  <c r="AA54" i="28" s="1"/>
  <c r="C188" i="25"/>
  <c r="C191" i="25" s="1"/>
  <c r="F54" i="28" s="1"/>
  <c r="Z188" i="25"/>
  <c r="Z191" i="25" s="1"/>
  <c r="AC54" i="28" s="1"/>
  <c r="V405" i="25"/>
  <c r="V408" i="25" s="1"/>
  <c r="Y56" i="28" s="1"/>
  <c r="M188" i="25"/>
  <c r="W82" i="25"/>
  <c r="W85" i="25" s="1"/>
  <c r="Z52" i="28" s="1"/>
  <c r="Q82" i="25"/>
  <c r="Q85" i="25" s="1"/>
  <c r="T52" i="28" s="1"/>
  <c r="Q296" i="25"/>
  <c r="Q299" i="25" s="1"/>
  <c r="T55" i="28" s="1"/>
  <c r="AA188" i="25"/>
  <c r="AA191" i="25" s="1"/>
  <c r="AD54" i="28" s="1"/>
  <c r="R82" i="25"/>
  <c r="R85" i="25" s="1"/>
  <c r="U52" i="28" s="1"/>
  <c r="P296" i="25"/>
  <c r="P299" i="25" s="1"/>
  <c r="S55" i="28" s="1"/>
  <c r="L296" i="25"/>
  <c r="L299" i="25" s="1"/>
  <c r="O55" i="28" s="1"/>
  <c r="H188" i="25"/>
  <c r="H191" i="25" s="1"/>
  <c r="K54" i="28" s="1"/>
  <c r="V188" i="25"/>
  <c r="V191" i="25" s="1"/>
  <c r="Y54" i="28" s="1"/>
  <c r="U405" i="25"/>
  <c r="U408" i="25" s="1"/>
  <c r="X56" i="28" s="1"/>
  <c r="K188" i="25"/>
  <c r="K191" i="25" s="1"/>
  <c r="N54" i="28" s="1"/>
  <c r="P405" i="25"/>
  <c r="P408" i="25" s="1"/>
  <c r="S56" i="28" s="1"/>
  <c r="X405" i="25"/>
  <c r="X408" i="25" s="1"/>
  <c r="AA56" i="28" s="1"/>
  <c r="AC296" i="25"/>
  <c r="X82" i="25"/>
  <c r="X85" i="25" s="1"/>
  <c r="AA52" i="28" s="1"/>
  <c r="Z405" i="25"/>
  <c r="Z408" i="25" s="1"/>
  <c r="AC56" i="28" s="1"/>
  <c r="Q188" i="25"/>
  <c r="Q191" i="25" s="1"/>
  <c r="T54" i="28" s="1"/>
  <c r="B82" i="25"/>
  <c r="I296" i="25"/>
  <c r="I299" i="25" s="1"/>
  <c r="L55" i="28" s="1"/>
  <c r="M405" i="25"/>
  <c r="D405" i="25"/>
  <c r="D408" i="25" s="1"/>
  <c r="G56" i="28" s="1"/>
  <c r="R188" i="25"/>
  <c r="R191" i="25" s="1"/>
  <c r="U54" i="28" s="1"/>
  <c r="AA82" i="25"/>
  <c r="AA85" i="25" s="1"/>
  <c r="AD52" i="28" s="1"/>
  <c r="O82" i="25"/>
  <c r="O85" i="25" s="1"/>
  <c r="R52" i="28" s="1"/>
  <c r="N188" i="25"/>
  <c r="N191" i="25" s="1"/>
  <c r="Q54" i="28" s="1"/>
  <c r="AB188" i="25"/>
  <c r="AB191" i="25" s="1"/>
  <c r="AE54" i="28" s="1"/>
  <c r="W296" i="25"/>
  <c r="W299" i="25" s="1"/>
  <c r="Z55" i="28" s="1"/>
  <c r="S188" i="25"/>
  <c r="S191" i="25" s="1"/>
  <c r="V54" i="28" s="1"/>
  <c r="E405" i="25"/>
  <c r="E408" i="25" s="1"/>
  <c r="H56" i="28" s="1"/>
  <c r="S296" i="25"/>
  <c r="S299" i="25" s="1"/>
  <c r="V55" i="28" s="1"/>
  <c r="B188" i="25"/>
  <c r="V82" i="25"/>
  <c r="V85" i="25" s="1"/>
  <c r="Y52" i="28" s="1"/>
  <c r="R296" i="25"/>
  <c r="R299" i="25" s="1"/>
  <c r="U55" i="28" s="1"/>
  <c r="N296" i="25"/>
  <c r="N299" i="25" s="1"/>
  <c r="Q55" i="28" s="1"/>
  <c r="B296" i="25"/>
  <c r="N405" i="25"/>
  <c r="N408" i="25" s="1"/>
  <c r="Q56" i="28" s="1"/>
  <c r="I405" i="25"/>
  <c r="I408" i="25" s="1"/>
  <c r="L56" i="28" s="1"/>
  <c r="H405" i="25"/>
  <c r="H408" i="25" s="1"/>
  <c r="K56" i="28" s="1"/>
  <c r="J405" i="25"/>
  <c r="J408" i="25" s="1"/>
  <c r="M56" i="28" s="1"/>
  <c r="F82" i="25"/>
  <c r="F85" i="25" s="1"/>
  <c r="I52" i="28" s="1"/>
  <c r="D188" i="25"/>
  <c r="D191" i="25" s="1"/>
  <c r="G54" i="28" s="1"/>
  <c r="X296" i="25"/>
  <c r="X299" i="25" s="1"/>
  <c r="AA55" i="28" s="1"/>
  <c r="H296" i="25"/>
  <c r="H299" i="25" s="1"/>
  <c r="K55" i="28" s="1"/>
  <c r="F405" i="25"/>
  <c r="F408" i="25" s="1"/>
  <c r="I56" i="28" s="1"/>
  <c r="G82" i="25"/>
  <c r="G85" i="25" s="1"/>
  <c r="J52" i="28" s="1"/>
  <c r="AC405" i="25"/>
  <c r="W405" i="25"/>
  <c r="W408" i="25" s="1"/>
  <c r="Z56" i="28" s="1"/>
  <c r="T82" i="25"/>
  <c r="T85" i="25" s="1"/>
  <c r="W52" i="28" s="1"/>
  <c r="C405" i="25"/>
  <c r="C408" i="25" s="1"/>
  <c r="F56" i="28" s="1"/>
  <c r="E82" i="25"/>
  <c r="E85" i="25" s="1"/>
  <c r="H52" i="28" s="1"/>
  <c r="R405" i="25"/>
  <c r="R408" i="25" s="1"/>
  <c r="U56" i="28" s="1"/>
  <c r="J188" i="25"/>
  <c r="J191" i="25" s="1"/>
  <c r="M54" i="28" s="1"/>
  <c r="C296" i="25"/>
  <c r="C299" i="25" s="1"/>
  <c r="F55" i="28" s="1"/>
  <c r="S405" i="25"/>
  <c r="S408" i="25" s="1"/>
  <c r="V56" i="28" s="1"/>
  <c r="U82" i="25"/>
  <c r="U85" i="25" s="1"/>
  <c r="X52" i="28" s="1"/>
  <c r="L188" i="25"/>
  <c r="L191" i="25" s="1"/>
  <c r="O54" i="28" s="1"/>
  <c r="G188" i="25"/>
  <c r="G191" i="25" s="1"/>
  <c r="J54" i="28" s="1"/>
  <c r="O296" i="25"/>
  <c r="O299" i="25" s="1"/>
  <c r="R55" i="28" s="1"/>
  <c r="L82" i="25"/>
  <c r="L85" i="25" s="1"/>
  <c r="O52" i="28" s="1"/>
  <c r="J296" i="25"/>
  <c r="J299" i="25" s="1"/>
  <c r="M55" i="28" s="1"/>
  <c r="Y296" i="25"/>
  <c r="Y299" i="25" s="1"/>
  <c r="AB55" i="28" s="1"/>
  <c r="M296" i="25"/>
  <c r="M82" i="25"/>
  <c r="AC82" i="25"/>
  <c r="T188" i="25"/>
  <c r="T191" i="25" s="1"/>
  <c r="W54" i="28" s="1"/>
  <c r="AB405" i="25"/>
  <c r="AB408" i="25" s="1"/>
  <c r="AE56" i="28" s="1"/>
  <c r="F188" i="25"/>
  <c r="F191" i="25" s="1"/>
  <c r="I54" i="28" s="1"/>
  <c r="G405" i="25"/>
  <c r="G408" i="25" s="1"/>
  <c r="J56" i="28" s="1"/>
  <c r="O405" i="25"/>
  <c r="O408" i="25" s="1"/>
  <c r="R56" i="28" s="1"/>
  <c r="Z296" i="25"/>
  <c r="Z299" i="25" s="1"/>
  <c r="AC55" i="28" s="1"/>
  <c r="Y82" i="25"/>
  <c r="Y85" i="25" s="1"/>
  <c r="AB52" i="28" s="1"/>
  <c r="AA296" i="25"/>
  <c r="AA299" i="25" s="1"/>
  <c r="AD55" i="28" s="1"/>
  <c r="Z82" i="25"/>
  <c r="Z85" i="25" s="1"/>
  <c r="AC52" i="28" s="1"/>
  <c r="Y188" i="25"/>
  <c r="Y191" i="25" s="1"/>
  <c r="AB54" i="28" s="1"/>
  <c r="L405" i="25"/>
  <c r="L408" i="25" s="1"/>
  <c r="O56" i="28" s="1"/>
  <c r="E188" i="25"/>
  <c r="E191" i="25" s="1"/>
  <c r="H54" i="28" s="1"/>
  <c r="S82" i="25"/>
  <c r="S85" i="25" s="1"/>
  <c r="V52" i="28" s="1"/>
  <c r="O188" i="25"/>
  <c r="O191" i="25" s="1"/>
  <c r="R54" i="28" s="1"/>
  <c r="D82" i="25"/>
  <c r="D85" i="25" s="1"/>
  <c r="G52" i="28" s="1"/>
  <c r="Q405" i="25"/>
  <c r="Q408" i="25" s="1"/>
  <c r="T56" i="28" s="1"/>
  <c r="AC188" i="25"/>
  <c r="T296" i="25"/>
  <c r="T299" i="25" s="1"/>
  <c r="W55" i="28" s="1"/>
  <c r="E296" i="25"/>
  <c r="E299" i="25" s="1"/>
  <c r="H55" i="28" s="1"/>
  <c r="V296" i="25"/>
  <c r="V299" i="25" s="1"/>
  <c r="Y55" i="28" s="1"/>
  <c r="N82" i="25"/>
  <c r="N85" i="25" s="1"/>
  <c r="Q52" i="28" s="1"/>
  <c r="U296" i="25"/>
  <c r="U299" i="25" s="1"/>
  <c r="X55" i="28" s="1"/>
  <c r="K296" i="25"/>
  <c r="K299" i="25" s="1"/>
  <c r="N55" i="28" s="1"/>
  <c r="AB296" i="25"/>
  <c r="AB299" i="25" s="1"/>
  <c r="AE55" i="28" s="1"/>
  <c r="K82" i="25"/>
  <c r="K85" i="25" s="1"/>
  <c r="N52" i="28" s="1"/>
  <c r="I188" i="25"/>
  <c r="I191" i="25" s="1"/>
  <c r="L54" i="28" s="1"/>
  <c r="AB82" i="25"/>
  <c r="AB85" i="25" s="1"/>
  <c r="AE52" i="28" s="1"/>
  <c r="AB296" i="24"/>
  <c r="AB299" i="24" s="1"/>
  <c r="AE50" i="28" s="1"/>
  <c r="L296" i="24"/>
  <c r="L299" i="24" s="1"/>
  <c r="O50" i="28" s="1"/>
  <c r="Z82" i="24"/>
  <c r="Z85" i="24" s="1"/>
  <c r="AC47" i="28" s="1"/>
  <c r="B296" i="24"/>
  <c r="X82" i="24"/>
  <c r="X85" i="24" s="1"/>
  <c r="AA47" i="28" s="1"/>
  <c r="Y82" i="24"/>
  <c r="Y85" i="24" s="1"/>
  <c r="AB47" i="28" s="1"/>
  <c r="K405" i="24"/>
  <c r="K408" i="24" s="1"/>
  <c r="N51" i="28" s="1"/>
  <c r="D188" i="24"/>
  <c r="D191" i="24" s="1"/>
  <c r="G49" i="28" s="1"/>
  <c r="F82" i="24"/>
  <c r="F85" i="24" s="1"/>
  <c r="I47" i="28" s="1"/>
  <c r="Y188" i="24"/>
  <c r="Y191" i="24" s="1"/>
  <c r="AB49" i="28" s="1"/>
  <c r="J82" i="24"/>
  <c r="J85" i="24" s="1"/>
  <c r="M47" i="28" s="1"/>
  <c r="AC188" i="24"/>
  <c r="N82" i="24"/>
  <c r="N85" i="24" s="1"/>
  <c r="Q47" i="28" s="1"/>
  <c r="X405" i="24"/>
  <c r="X408" i="24" s="1"/>
  <c r="AA51" i="28" s="1"/>
  <c r="M296" i="24"/>
  <c r="AA296" i="24"/>
  <c r="AA299" i="24" s="1"/>
  <c r="AD50" i="28" s="1"/>
  <c r="N188" i="24"/>
  <c r="N191" i="24" s="1"/>
  <c r="Q49" i="28" s="1"/>
  <c r="S82" i="24"/>
  <c r="S85" i="24" s="1"/>
  <c r="V47" i="28" s="1"/>
  <c r="Q296" i="24"/>
  <c r="Q299" i="24" s="1"/>
  <c r="T50" i="28" s="1"/>
  <c r="F405" i="24"/>
  <c r="F408" i="24" s="1"/>
  <c r="I51" i="28" s="1"/>
  <c r="L405" i="24"/>
  <c r="L408" i="24" s="1"/>
  <c r="O51" i="28" s="1"/>
  <c r="P188" i="24"/>
  <c r="P191" i="24" s="1"/>
  <c r="S49" i="28" s="1"/>
  <c r="J188" i="24"/>
  <c r="J191" i="24" s="1"/>
  <c r="M49" i="28" s="1"/>
  <c r="Q82" i="24"/>
  <c r="Q85" i="24" s="1"/>
  <c r="T47" i="28" s="1"/>
  <c r="C82" i="24"/>
  <c r="C85" i="24" s="1"/>
  <c r="F47" i="28" s="1"/>
  <c r="O296" i="24"/>
  <c r="O299" i="24" s="1"/>
  <c r="R50" i="28" s="1"/>
  <c r="AA405" i="24"/>
  <c r="AA408" i="24" s="1"/>
  <c r="AD51" i="28" s="1"/>
  <c r="AC82" i="24"/>
  <c r="T82" i="24"/>
  <c r="T85" i="24" s="1"/>
  <c r="W47" i="28" s="1"/>
  <c r="W82" i="24"/>
  <c r="W85" i="24" s="1"/>
  <c r="Z47" i="28" s="1"/>
  <c r="W188" i="24"/>
  <c r="W191" i="24" s="1"/>
  <c r="Z49" i="28" s="1"/>
  <c r="H405" i="24"/>
  <c r="H408" i="24" s="1"/>
  <c r="K51" i="28" s="1"/>
  <c r="P296" i="24"/>
  <c r="P299" i="24" s="1"/>
  <c r="S50" i="28" s="1"/>
  <c r="I188" i="24"/>
  <c r="I191" i="24" s="1"/>
  <c r="L49" i="28" s="1"/>
  <c r="L82" i="24"/>
  <c r="L85" i="24" s="1"/>
  <c r="O47" i="28" s="1"/>
  <c r="G405" i="24"/>
  <c r="G408" i="24" s="1"/>
  <c r="J51" i="28" s="1"/>
  <c r="H296" i="24"/>
  <c r="H299" i="24" s="1"/>
  <c r="K50" i="28" s="1"/>
  <c r="U296" i="24"/>
  <c r="U299" i="24" s="1"/>
  <c r="X50" i="28" s="1"/>
  <c r="N296" i="24"/>
  <c r="N299" i="24" s="1"/>
  <c r="Q50" i="28" s="1"/>
  <c r="B405" i="24"/>
  <c r="D82" i="24"/>
  <c r="D85" i="24" s="1"/>
  <c r="G47" i="28" s="1"/>
  <c r="T188" i="24"/>
  <c r="T191" i="24" s="1"/>
  <c r="W49" i="28" s="1"/>
  <c r="R82" i="24"/>
  <c r="R85" i="24" s="1"/>
  <c r="U47" i="28" s="1"/>
  <c r="R296" i="24"/>
  <c r="R299" i="24" s="1"/>
  <c r="U50" i="28" s="1"/>
  <c r="M188" i="24"/>
  <c r="X188" i="24"/>
  <c r="X191" i="24" s="1"/>
  <c r="AA49" i="28" s="1"/>
  <c r="E296" i="24"/>
  <c r="E299" i="24" s="1"/>
  <c r="H50" i="28" s="1"/>
  <c r="V405" i="24"/>
  <c r="V408" i="24" s="1"/>
  <c r="Y51" i="28" s="1"/>
  <c r="O188" i="24"/>
  <c r="O191" i="24" s="1"/>
  <c r="R49" i="28" s="1"/>
  <c r="T405" i="24"/>
  <c r="T408" i="24" s="1"/>
  <c r="W51" i="28" s="1"/>
  <c r="H82" i="24"/>
  <c r="H85" i="24" s="1"/>
  <c r="K47" i="28" s="1"/>
  <c r="E188" i="24"/>
  <c r="E191" i="24" s="1"/>
  <c r="H49" i="28" s="1"/>
  <c r="V188" i="24"/>
  <c r="V191" i="24" s="1"/>
  <c r="Y49" i="28" s="1"/>
  <c r="Z296" i="24"/>
  <c r="Z299" i="24" s="1"/>
  <c r="AC50" i="28" s="1"/>
  <c r="O82" i="24"/>
  <c r="O85" i="24" s="1"/>
  <c r="R47" i="28" s="1"/>
  <c r="AA82" i="24"/>
  <c r="AA85" i="24" s="1"/>
  <c r="AD47" i="28" s="1"/>
  <c r="G82" i="24"/>
  <c r="G85" i="24" s="1"/>
  <c r="J47" i="28" s="1"/>
  <c r="I82" i="24"/>
  <c r="I85" i="24" s="1"/>
  <c r="L47" i="28" s="1"/>
  <c r="E405" i="24"/>
  <c r="E408" i="24" s="1"/>
  <c r="H51" i="28" s="1"/>
  <c r="AA188" i="24"/>
  <c r="AA191" i="24" s="1"/>
  <c r="AD49" i="28" s="1"/>
  <c r="T296" i="24"/>
  <c r="T299" i="24" s="1"/>
  <c r="W50" i="28" s="1"/>
  <c r="J296" i="24"/>
  <c r="J299" i="24" s="1"/>
  <c r="M50" i="28" s="1"/>
  <c r="M405" i="24"/>
  <c r="I405" i="24"/>
  <c r="I408" i="24" s="1"/>
  <c r="L51" i="28" s="1"/>
  <c r="O405" i="24"/>
  <c r="O408" i="24" s="1"/>
  <c r="R51" i="28" s="1"/>
  <c r="R188" i="24"/>
  <c r="R191" i="24" s="1"/>
  <c r="U49" i="28" s="1"/>
  <c r="G188" i="24"/>
  <c r="G191" i="24" s="1"/>
  <c r="J49" i="28" s="1"/>
  <c r="U188" i="24"/>
  <c r="U191" i="24" s="1"/>
  <c r="X49" i="28" s="1"/>
  <c r="S188" i="24"/>
  <c r="S191" i="24" s="1"/>
  <c r="V49" i="28" s="1"/>
  <c r="U82" i="24"/>
  <c r="U85" i="24" s="1"/>
  <c r="X47" i="28" s="1"/>
  <c r="J405" i="24"/>
  <c r="J408" i="24" s="1"/>
  <c r="M51" i="28" s="1"/>
  <c r="Q405" i="24"/>
  <c r="Q408" i="24" s="1"/>
  <c r="T51" i="28" s="1"/>
  <c r="K296" i="24"/>
  <c r="K299" i="24" s="1"/>
  <c r="N50" i="28" s="1"/>
  <c r="AC296" i="24"/>
  <c r="V296" i="24"/>
  <c r="V299" i="24" s="1"/>
  <c r="Y50" i="28" s="1"/>
  <c r="S296" i="24"/>
  <c r="S299" i="24" s="1"/>
  <c r="V50" i="28" s="1"/>
  <c r="B82" i="24"/>
  <c r="AB405" i="24"/>
  <c r="AB408" i="24" s="1"/>
  <c r="AE51" i="28" s="1"/>
  <c r="D296" i="24"/>
  <c r="D299" i="24" s="1"/>
  <c r="G50" i="28" s="1"/>
  <c r="W296" i="24"/>
  <c r="W299" i="24" s="1"/>
  <c r="Z50" i="28" s="1"/>
  <c r="D405" i="24"/>
  <c r="D408" i="24" s="1"/>
  <c r="G51" i="28" s="1"/>
  <c r="F188" i="24"/>
  <c r="F191" i="24" s="1"/>
  <c r="I49" i="28" s="1"/>
  <c r="X296" i="24"/>
  <c r="X299" i="24" s="1"/>
  <c r="AA50" i="28" s="1"/>
  <c r="B188" i="24"/>
  <c r="AB82" i="24"/>
  <c r="AB85" i="24" s="1"/>
  <c r="AE47" i="28" s="1"/>
  <c r="P82" i="24"/>
  <c r="P85" i="24" s="1"/>
  <c r="S47" i="28" s="1"/>
  <c r="AC405" i="24"/>
  <c r="V82" i="24"/>
  <c r="V85" i="24" s="1"/>
  <c r="Y47" i="28" s="1"/>
  <c r="L188" i="24"/>
  <c r="L191" i="24" s="1"/>
  <c r="O49" i="28" s="1"/>
  <c r="C188" i="24"/>
  <c r="C191" i="24" s="1"/>
  <c r="F49" i="28" s="1"/>
  <c r="P405" i="24"/>
  <c r="P408" i="24" s="1"/>
  <c r="S51" i="28" s="1"/>
  <c r="N405" i="24"/>
  <c r="N408" i="24" s="1"/>
  <c r="Q51" i="28" s="1"/>
  <c r="W405" i="24"/>
  <c r="W408" i="24" s="1"/>
  <c r="Z51" i="28" s="1"/>
  <c r="U405" i="24"/>
  <c r="U408" i="24" s="1"/>
  <c r="X51" i="28" s="1"/>
  <c r="Z188" i="24"/>
  <c r="Z191" i="24" s="1"/>
  <c r="AC49" i="28" s="1"/>
  <c r="Y296" i="24"/>
  <c r="Y299" i="24" s="1"/>
  <c r="AB50" i="28" s="1"/>
  <c r="M82" i="24"/>
  <c r="H188" i="24"/>
  <c r="H191" i="24" s="1"/>
  <c r="K49" i="28" s="1"/>
  <c r="AB188" i="24"/>
  <c r="AB191" i="24" s="1"/>
  <c r="AE49" i="28" s="1"/>
  <c r="K82" i="24"/>
  <c r="K85" i="24" s="1"/>
  <c r="N47" i="28" s="1"/>
  <c r="K188" i="24"/>
  <c r="K191" i="24" s="1"/>
  <c r="N49" i="28" s="1"/>
  <c r="F296" i="24"/>
  <c r="F299" i="24" s="1"/>
  <c r="I50" i="28" s="1"/>
  <c r="S297" i="23"/>
  <c r="M83" i="23"/>
  <c r="CB15" i="33" s="1"/>
  <c r="D511" i="23"/>
  <c r="U83" i="23"/>
  <c r="H189" i="23"/>
  <c r="Q297" i="23"/>
  <c r="AB83" i="23"/>
  <c r="AB189" i="23"/>
  <c r="Q511" i="23"/>
  <c r="M511" i="23"/>
  <c r="CR15" i="33" s="1"/>
  <c r="AB511" i="23"/>
  <c r="R297" i="23"/>
  <c r="B406" i="23"/>
  <c r="AK15" i="33" s="1"/>
  <c r="I406" i="22"/>
  <c r="N83" i="22"/>
  <c r="N297" i="22"/>
  <c r="S189" i="22"/>
  <c r="W511" i="22"/>
  <c r="X406" i="21"/>
  <c r="AB511" i="21"/>
  <c r="S511" i="21"/>
  <c r="J297" i="21"/>
  <c r="D189" i="21"/>
  <c r="G83" i="20"/>
  <c r="M297" i="20"/>
  <c r="DA15" i="33" s="1"/>
  <c r="J297" i="20"/>
  <c r="T83" i="20"/>
  <c r="X297" i="20"/>
  <c r="X406" i="20"/>
  <c r="Q297" i="20"/>
  <c r="R406" i="20"/>
  <c r="R189" i="20"/>
  <c r="AB406" i="19"/>
  <c r="L511" i="19"/>
  <c r="AA511" i="19"/>
  <c r="Z83" i="19"/>
  <c r="X511" i="19"/>
  <c r="T189" i="19"/>
  <c r="E83" i="19"/>
  <c r="AB83" i="19"/>
  <c r="Q406" i="19"/>
  <c r="X189" i="19"/>
  <c r="R297" i="19"/>
  <c r="G83" i="19"/>
  <c r="X83" i="19"/>
  <c r="Z511" i="19"/>
  <c r="V189" i="19"/>
  <c r="N406" i="19"/>
  <c r="AB511" i="19"/>
  <c r="Q189" i="19"/>
  <c r="B85" i="24" l="1"/>
  <c r="E47" i="28" s="1"/>
  <c r="D14" i="33"/>
  <c r="D17" i="33" s="1"/>
  <c r="D50" i="34" s="1"/>
  <c r="M191" i="24"/>
  <c r="P49" i="28" s="1"/>
  <c r="BL14" i="33"/>
  <c r="BL17" i="33" s="1"/>
  <c r="N55" i="34" s="1"/>
  <c r="AC85" i="25"/>
  <c r="AF52" i="28" s="1"/>
  <c r="DK14" i="33"/>
  <c r="DK17" i="33" s="1"/>
  <c r="W51" i="34" s="1"/>
  <c r="M191" i="25"/>
  <c r="P54" i="28" s="1"/>
  <c r="BM14" i="33"/>
  <c r="BM17" i="33" s="1"/>
  <c r="N56" i="34" s="1"/>
  <c r="B191" i="24"/>
  <c r="E49" i="28" s="1"/>
  <c r="I14" i="33"/>
  <c r="I17" i="33" s="1"/>
  <c r="D55" i="34" s="1"/>
  <c r="AC85" i="24"/>
  <c r="AF47" i="28" s="1"/>
  <c r="DJ14" i="33"/>
  <c r="DJ17" i="33" s="1"/>
  <c r="W50" i="34" s="1"/>
  <c r="AC191" i="24"/>
  <c r="AF49" i="28" s="1"/>
  <c r="DO14" i="33"/>
  <c r="DO17" i="33" s="1"/>
  <c r="W55" i="34" s="1"/>
  <c r="B299" i="24"/>
  <c r="E50" i="28" s="1"/>
  <c r="N14" i="33"/>
  <c r="N17" i="33" s="1"/>
  <c r="D60" i="34" s="1"/>
  <c r="M85" i="25"/>
  <c r="P52" i="28" s="1"/>
  <c r="BH14" i="33"/>
  <c r="BH17" i="33" s="1"/>
  <c r="N51" i="34" s="1"/>
  <c r="B191" i="25"/>
  <c r="E54" i="28" s="1"/>
  <c r="J14" i="33"/>
  <c r="J17" i="33" s="1"/>
  <c r="D56" i="34" s="1"/>
  <c r="AC191" i="26"/>
  <c r="AF59" i="28" s="1"/>
  <c r="DQ14" i="33"/>
  <c r="DQ17" i="33" s="1"/>
  <c r="W57" i="34" s="1"/>
  <c r="B85" i="26"/>
  <c r="E57" i="28" s="1"/>
  <c r="F14" i="33"/>
  <c r="F17" i="33" s="1"/>
  <c r="D52" i="34" s="1"/>
  <c r="M408" i="26"/>
  <c r="P61" i="28" s="1"/>
  <c r="BX14" i="33"/>
  <c r="BX17" i="33" s="1"/>
  <c r="N67" i="34" s="1"/>
  <c r="M299" i="25"/>
  <c r="P55" i="28" s="1"/>
  <c r="BR14" i="33"/>
  <c r="BR17" i="33" s="1"/>
  <c r="N61" i="34" s="1"/>
  <c r="AC408" i="25"/>
  <c r="AF56" i="28" s="1"/>
  <c r="DZ14" i="33"/>
  <c r="DZ17" i="33" s="1"/>
  <c r="W66" i="34" s="1"/>
  <c r="AC299" i="25"/>
  <c r="AF55" i="28" s="1"/>
  <c r="DU14" i="33"/>
  <c r="DU17" i="33" s="1"/>
  <c r="W61" i="34" s="1"/>
  <c r="M85" i="26"/>
  <c r="P57" i="28" s="1"/>
  <c r="BI14" i="33"/>
  <c r="BI17" i="33" s="1"/>
  <c r="N52" i="34" s="1"/>
  <c r="AC299" i="26"/>
  <c r="AF60" i="28" s="1"/>
  <c r="DV14" i="33"/>
  <c r="DV17" i="33" s="1"/>
  <c r="W62" i="34" s="1"/>
  <c r="B191" i="26"/>
  <c r="E59" i="28" s="1"/>
  <c r="K14" i="33"/>
  <c r="K17" i="33" s="1"/>
  <c r="D57" i="34" s="1"/>
  <c r="M299" i="26"/>
  <c r="P60" i="28" s="1"/>
  <c r="BS14" i="33"/>
  <c r="BS17" i="33" s="1"/>
  <c r="N62" i="34" s="1"/>
  <c r="AC299" i="24"/>
  <c r="AF50" i="28" s="1"/>
  <c r="DT14" i="33"/>
  <c r="DT17" i="33" s="1"/>
  <c r="W60" i="34" s="1"/>
  <c r="AC408" i="26"/>
  <c r="AF61" i="28" s="1"/>
  <c r="EA14" i="33"/>
  <c r="EA17" i="33" s="1"/>
  <c r="W67" i="34" s="1"/>
  <c r="M85" i="24"/>
  <c r="P47" i="28" s="1"/>
  <c r="BG14" i="33"/>
  <c r="BG17" i="33" s="1"/>
  <c r="N50" i="34" s="1"/>
  <c r="M408" i="25"/>
  <c r="P56" i="28" s="1"/>
  <c r="BW14" i="33"/>
  <c r="BW17" i="33" s="1"/>
  <c r="N66" i="34" s="1"/>
  <c r="B408" i="24"/>
  <c r="E51" i="28" s="1"/>
  <c r="S14" i="33"/>
  <c r="S17" i="33" s="1"/>
  <c r="D65" i="34" s="1"/>
  <c r="B299" i="25"/>
  <c r="E55" i="28" s="1"/>
  <c r="O14" i="33"/>
  <c r="O17" i="33" s="1"/>
  <c r="D61" i="34" s="1"/>
  <c r="B408" i="25"/>
  <c r="E56" i="28" s="1"/>
  <c r="T14" i="33"/>
  <c r="T17" i="33" s="1"/>
  <c r="D66" i="34" s="1"/>
  <c r="B299" i="26"/>
  <c r="E60" i="28" s="1"/>
  <c r="P14" i="33"/>
  <c r="P17" i="33" s="1"/>
  <c r="D62" i="34" s="1"/>
  <c r="AC408" i="24"/>
  <c r="AF51" i="28" s="1"/>
  <c r="DY14" i="33"/>
  <c r="DY17" i="33" s="1"/>
  <c r="W65" i="34" s="1"/>
  <c r="M408" i="24"/>
  <c r="P51" i="28" s="1"/>
  <c r="BV14" i="33"/>
  <c r="BV17" i="33" s="1"/>
  <c r="N65" i="34" s="1"/>
  <c r="M299" i="24"/>
  <c r="P50" i="28" s="1"/>
  <c r="BQ14" i="33"/>
  <c r="BQ17" i="33" s="1"/>
  <c r="N60" i="34" s="1"/>
  <c r="B85" i="25"/>
  <c r="E52" i="28" s="1"/>
  <c r="E14" i="33"/>
  <c r="E17" i="33" s="1"/>
  <c r="D51" i="34" s="1"/>
  <c r="AC85" i="26"/>
  <c r="AF57" i="28" s="1"/>
  <c r="DL14" i="33"/>
  <c r="DL17" i="33" s="1"/>
  <c r="W52" i="34" s="1"/>
  <c r="AC191" i="25"/>
  <c r="AF54" i="28" s="1"/>
  <c r="DP14" i="33"/>
  <c r="DP17" i="33" s="1"/>
  <c r="W56" i="34" s="1"/>
  <c r="B408" i="26"/>
  <c r="E61" i="28" s="1"/>
  <c r="U14" i="33"/>
  <c r="U17" i="33" s="1"/>
  <c r="D67" i="34" s="1"/>
  <c r="M191" i="26"/>
  <c r="P59" i="28" s="1"/>
  <c r="BN14" i="33"/>
  <c r="BN17" i="33" s="1"/>
  <c r="N57" i="34" s="1"/>
  <c r="E85" i="26"/>
  <c r="H57" i="28" s="1"/>
  <c r="Y408" i="25"/>
  <c r="AB56" i="28" s="1"/>
  <c r="Z408" i="26"/>
  <c r="AC61" i="28" s="1"/>
  <c r="X296" i="21"/>
  <c r="X299" i="21" s="1"/>
  <c r="AA24" i="28" s="1"/>
  <c r="J510" i="22"/>
  <c r="J513" i="22" s="1"/>
  <c r="M31" i="28" s="1"/>
  <c r="Q191" i="24"/>
  <c r="T49" i="28" s="1"/>
  <c r="I85" i="25"/>
  <c r="L52" i="28" s="1"/>
  <c r="R408" i="24"/>
  <c r="U51" i="28" s="1"/>
  <c r="Z408" i="24"/>
  <c r="AC51" i="28" s="1"/>
  <c r="AB408" i="26"/>
  <c r="AE61" i="28" s="1"/>
  <c r="AA191" i="26"/>
  <c r="AD59" i="28" s="1"/>
  <c r="F299" i="25"/>
  <c r="I55" i="28" s="1"/>
  <c r="P85" i="25"/>
  <c r="S52" i="28" s="1"/>
  <c r="J85" i="25"/>
  <c r="M52" i="28" s="1"/>
  <c r="S408" i="24"/>
  <c r="V51" i="28" s="1"/>
  <c r="I299" i="24"/>
  <c r="L50" i="28" s="1"/>
  <c r="C408" i="24"/>
  <c r="F51" i="28" s="1"/>
  <c r="G299" i="24"/>
  <c r="J50" i="28" s="1"/>
  <c r="E85" i="24"/>
  <c r="H47" i="28" s="1"/>
  <c r="C299" i="24"/>
  <c r="F50" i="28" s="1"/>
  <c r="X82" i="21"/>
  <c r="X83" i="21"/>
  <c r="Y510" i="21"/>
  <c r="Y511" i="21"/>
  <c r="R405" i="22"/>
  <c r="R406" i="22"/>
  <c r="Q188" i="22"/>
  <c r="Q189" i="22"/>
  <c r="L510" i="22"/>
  <c r="L511" i="22"/>
  <c r="Q82" i="23"/>
  <c r="Q83" i="23"/>
  <c r="L405" i="23"/>
  <c r="L406" i="23"/>
  <c r="M188" i="23"/>
  <c r="CF14" i="33" s="1"/>
  <c r="M189" i="23"/>
  <c r="CF15" i="33" s="1"/>
  <c r="AB82" i="21"/>
  <c r="AB83" i="21"/>
  <c r="W405" i="22"/>
  <c r="W406" i="22"/>
  <c r="P296" i="22"/>
  <c r="P297" i="22"/>
  <c r="Y510" i="23"/>
  <c r="Y511" i="23"/>
  <c r="K188" i="23"/>
  <c r="K189" i="23"/>
  <c r="AA510" i="23"/>
  <c r="AA511" i="23"/>
  <c r="AB510" i="22"/>
  <c r="AB511" i="22"/>
  <c r="E296" i="23"/>
  <c r="E297" i="23"/>
  <c r="P82" i="21"/>
  <c r="P83" i="21"/>
  <c r="N82" i="23"/>
  <c r="N83" i="23"/>
  <c r="I510" i="21"/>
  <c r="I511" i="21"/>
  <c r="H510" i="22"/>
  <c r="H511" i="22"/>
  <c r="X82" i="22"/>
  <c r="X83" i="22"/>
  <c r="C405" i="23"/>
  <c r="C406" i="23"/>
  <c r="F510" i="23"/>
  <c r="F511" i="23"/>
  <c r="D82" i="21"/>
  <c r="D83" i="21"/>
  <c r="L405" i="21"/>
  <c r="L406" i="21"/>
  <c r="R82" i="22"/>
  <c r="R83" i="22"/>
  <c r="P405" i="23"/>
  <c r="P406" i="23"/>
  <c r="Q510" i="21"/>
  <c r="Q511" i="21"/>
  <c r="W82" i="22"/>
  <c r="W83" i="22"/>
  <c r="C510" i="22"/>
  <c r="C511" i="22"/>
  <c r="R82" i="19"/>
  <c r="R83" i="19"/>
  <c r="H405" i="19"/>
  <c r="H406" i="19"/>
  <c r="U82" i="20"/>
  <c r="U83" i="20"/>
  <c r="B405" i="20"/>
  <c r="BA14" i="33" s="1"/>
  <c r="B406" i="20"/>
  <c r="BA15" i="33" s="1"/>
  <c r="G188" i="20"/>
  <c r="G189" i="20"/>
  <c r="M510" i="19"/>
  <c r="DF14" i="33" s="1"/>
  <c r="M511" i="19"/>
  <c r="DF15" i="33" s="1"/>
  <c r="V510" i="20"/>
  <c r="V511" i="20"/>
  <c r="B83" i="19"/>
  <c r="AQ15" i="33" s="1"/>
  <c r="B82" i="19"/>
  <c r="AQ14" i="33" s="1"/>
  <c r="T510" i="19"/>
  <c r="T511" i="19"/>
  <c r="I510" i="19"/>
  <c r="I511" i="19"/>
  <c r="AA82" i="19"/>
  <c r="AA83" i="19"/>
  <c r="I188" i="19"/>
  <c r="I189" i="19"/>
  <c r="J82" i="19"/>
  <c r="J83" i="19"/>
  <c r="AB82" i="20"/>
  <c r="AB83" i="20"/>
  <c r="M510" i="20"/>
  <c r="DG14" i="33" s="1"/>
  <c r="M511" i="20"/>
  <c r="DG15" i="33" s="1"/>
  <c r="X510" i="20"/>
  <c r="X511" i="20"/>
  <c r="AA82" i="20"/>
  <c r="AA83" i="20"/>
  <c r="F405" i="20"/>
  <c r="F406" i="20"/>
  <c r="I296" i="19"/>
  <c r="I297" i="19"/>
  <c r="R82" i="20"/>
  <c r="R83" i="20"/>
  <c r="O82" i="19"/>
  <c r="O83" i="19"/>
  <c r="S296" i="19"/>
  <c r="S297" i="19"/>
  <c r="V296" i="20"/>
  <c r="V297" i="20"/>
  <c r="N510" i="20"/>
  <c r="N511" i="20"/>
  <c r="Y405" i="22"/>
  <c r="Y408" i="22" s="1"/>
  <c r="AB30" i="28" s="1"/>
  <c r="P188" i="23"/>
  <c r="P191" i="23" s="1"/>
  <c r="S33" i="28" s="1"/>
  <c r="B510" i="19"/>
  <c r="L296" i="20"/>
  <c r="L299" i="20" s="1"/>
  <c r="O14" i="28" s="1"/>
  <c r="P510" i="21"/>
  <c r="P513" i="21" s="1"/>
  <c r="S26" i="28" s="1"/>
  <c r="E188" i="22"/>
  <c r="E191" i="22" s="1"/>
  <c r="H28" i="28" s="1"/>
  <c r="Z296" i="20"/>
  <c r="Z299" i="20" s="1"/>
  <c r="AC14" i="28" s="1"/>
  <c r="W188" i="23"/>
  <c r="W191" i="23" s="1"/>
  <c r="Z33" i="28" s="1"/>
  <c r="I82" i="23"/>
  <c r="I85" i="23" s="1"/>
  <c r="L32" i="28" s="1"/>
  <c r="S82" i="23"/>
  <c r="S85" i="23" s="1"/>
  <c r="V32" i="28" s="1"/>
  <c r="K82" i="23"/>
  <c r="K85" i="23" s="1"/>
  <c r="N32" i="28" s="1"/>
  <c r="Y405" i="23"/>
  <c r="Y408" i="23" s="1"/>
  <c r="AB35" i="28" s="1"/>
  <c r="V82" i="23"/>
  <c r="V85" i="23" s="1"/>
  <c r="Y32" i="28" s="1"/>
  <c r="S510" i="23"/>
  <c r="S513" i="23" s="1"/>
  <c r="V36" i="28" s="1"/>
  <c r="AB405" i="23"/>
  <c r="AB408" i="23" s="1"/>
  <c r="AE35" i="28" s="1"/>
  <c r="J188" i="23"/>
  <c r="J191" i="23" s="1"/>
  <c r="M33" i="28" s="1"/>
  <c r="E82" i="23"/>
  <c r="E85" i="23" s="1"/>
  <c r="H32" i="28" s="1"/>
  <c r="AB510" i="23"/>
  <c r="AB513" i="23" s="1"/>
  <c r="AE36" i="28" s="1"/>
  <c r="M510" i="23"/>
  <c r="B296" i="23"/>
  <c r="C296" i="23"/>
  <c r="C299" i="23" s="1"/>
  <c r="F34" i="28" s="1"/>
  <c r="V188" i="23"/>
  <c r="V191" i="23" s="1"/>
  <c r="Y33" i="28" s="1"/>
  <c r="AB82" i="23"/>
  <c r="AB85" i="23" s="1"/>
  <c r="AE32" i="28" s="1"/>
  <c r="D296" i="23"/>
  <c r="D299" i="23" s="1"/>
  <c r="G34" i="28" s="1"/>
  <c r="H188" i="23"/>
  <c r="H191" i="23" s="1"/>
  <c r="K33" i="28" s="1"/>
  <c r="X405" i="23"/>
  <c r="X408" i="23" s="1"/>
  <c r="AA35" i="28" s="1"/>
  <c r="M82" i="23"/>
  <c r="T296" i="23"/>
  <c r="T299" i="23" s="1"/>
  <c r="W34" i="28" s="1"/>
  <c r="V510" i="23"/>
  <c r="V513" i="23" s="1"/>
  <c r="Y36" i="28" s="1"/>
  <c r="N296" i="23"/>
  <c r="N299" i="23" s="1"/>
  <c r="Q34" i="28" s="1"/>
  <c r="V296" i="23"/>
  <c r="V299" i="23" s="1"/>
  <c r="Y34" i="28" s="1"/>
  <c r="K510" i="23"/>
  <c r="K513" i="23" s="1"/>
  <c r="N36" i="28" s="1"/>
  <c r="I510" i="23"/>
  <c r="I513" i="23" s="1"/>
  <c r="L36" i="28" s="1"/>
  <c r="U296" i="23"/>
  <c r="U299" i="23" s="1"/>
  <c r="X34" i="28" s="1"/>
  <c r="U510" i="23"/>
  <c r="U513" i="23" s="1"/>
  <c r="X36" i="28" s="1"/>
  <c r="G82" i="23"/>
  <c r="G85" i="23" s="1"/>
  <c r="J32" i="28" s="1"/>
  <c r="AB188" i="23"/>
  <c r="AB191" i="23" s="1"/>
  <c r="AE33" i="28" s="1"/>
  <c r="U405" i="23"/>
  <c r="U408" i="23" s="1"/>
  <c r="X35" i="28" s="1"/>
  <c r="B82" i="23"/>
  <c r="F296" i="23"/>
  <c r="F299" i="23" s="1"/>
  <c r="I34" i="28" s="1"/>
  <c r="O296" i="23"/>
  <c r="O299" i="23" s="1"/>
  <c r="R34" i="28" s="1"/>
  <c r="C510" i="23"/>
  <c r="C513" i="23" s="1"/>
  <c r="F36" i="28" s="1"/>
  <c r="K296" i="23"/>
  <c r="K299" i="23" s="1"/>
  <c r="N34" i="28" s="1"/>
  <c r="Z82" i="23"/>
  <c r="Z85" i="23" s="1"/>
  <c r="AC32" i="28" s="1"/>
  <c r="M405" i="23"/>
  <c r="Y296" i="23"/>
  <c r="Y299" i="23" s="1"/>
  <c r="AB34" i="28" s="1"/>
  <c r="AC188" i="23"/>
  <c r="Z296" i="23"/>
  <c r="Z299" i="23" s="1"/>
  <c r="AC34" i="28" s="1"/>
  <c r="U188" i="23"/>
  <c r="U191" i="23" s="1"/>
  <c r="X33" i="28" s="1"/>
  <c r="G188" i="23"/>
  <c r="G191" i="23" s="1"/>
  <c r="J33" i="28" s="1"/>
  <c r="B510" i="23"/>
  <c r="V405" i="23"/>
  <c r="V408" i="23" s="1"/>
  <c r="Y35" i="28" s="1"/>
  <c r="L82" i="23"/>
  <c r="L85" i="23" s="1"/>
  <c r="O32" i="28" s="1"/>
  <c r="X188" i="23"/>
  <c r="X191" i="23" s="1"/>
  <c r="AA33" i="28" s="1"/>
  <c r="O82" i="23"/>
  <c r="O85" i="23" s="1"/>
  <c r="R32" i="28" s="1"/>
  <c r="Y188" i="23"/>
  <c r="Y191" i="23" s="1"/>
  <c r="AB33" i="28" s="1"/>
  <c r="R296" i="23"/>
  <c r="R299" i="23" s="1"/>
  <c r="U34" i="28" s="1"/>
  <c r="O405" i="23"/>
  <c r="O408" i="23" s="1"/>
  <c r="R35" i="28" s="1"/>
  <c r="J296" i="23"/>
  <c r="J299" i="23" s="1"/>
  <c r="M34" i="28" s="1"/>
  <c r="AA296" i="23"/>
  <c r="AA299" i="23" s="1"/>
  <c r="AD34" i="28" s="1"/>
  <c r="E188" i="23"/>
  <c r="E191" i="23" s="1"/>
  <c r="H33" i="28" s="1"/>
  <c r="Q510" i="23"/>
  <c r="Q513" i="23" s="1"/>
  <c r="T36" i="28" s="1"/>
  <c r="M296" i="23"/>
  <c r="C188" i="23"/>
  <c r="C191" i="23" s="1"/>
  <c r="F33" i="28" s="1"/>
  <c r="N510" i="23"/>
  <c r="N513" i="23" s="1"/>
  <c r="Q36" i="28" s="1"/>
  <c r="AC82" i="23"/>
  <c r="W82" i="23"/>
  <c r="W85" i="23" s="1"/>
  <c r="Z32" i="28" s="1"/>
  <c r="H405" i="23"/>
  <c r="H408" i="23" s="1"/>
  <c r="K35" i="28" s="1"/>
  <c r="L188" i="23"/>
  <c r="L191" i="23" s="1"/>
  <c r="O33" i="28" s="1"/>
  <c r="Q188" i="23"/>
  <c r="Q191" i="23" s="1"/>
  <c r="T33" i="28" s="1"/>
  <c r="I296" i="23"/>
  <c r="I299" i="23" s="1"/>
  <c r="L34" i="28" s="1"/>
  <c r="AA188" i="23"/>
  <c r="AA191" i="23" s="1"/>
  <c r="AD33" i="28" s="1"/>
  <c r="L296" i="23"/>
  <c r="L299" i="23" s="1"/>
  <c r="O34" i="28" s="1"/>
  <c r="G296" i="23"/>
  <c r="G299" i="23" s="1"/>
  <c r="J34" i="28" s="1"/>
  <c r="N405" i="23"/>
  <c r="N408" i="23" s="1"/>
  <c r="Q35" i="28" s="1"/>
  <c r="Z188" i="23"/>
  <c r="Z191" i="23" s="1"/>
  <c r="AC33" i="28" s="1"/>
  <c r="B188" i="23"/>
  <c r="H510" i="23"/>
  <c r="H513" i="23" s="1"/>
  <c r="K36" i="28" s="1"/>
  <c r="G510" i="23"/>
  <c r="G513" i="23" s="1"/>
  <c r="J36" i="28" s="1"/>
  <c r="H82" i="23"/>
  <c r="H85" i="23" s="1"/>
  <c r="K32" i="28" s="1"/>
  <c r="I188" i="23"/>
  <c r="I191" i="23" s="1"/>
  <c r="L33" i="28" s="1"/>
  <c r="F188" i="23"/>
  <c r="F191" i="23" s="1"/>
  <c r="I33" i="28" s="1"/>
  <c r="Z405" i="23"/>
  <c r="Z408" i="23" s="1"/>
  <c r="AC35" i="28" s="1"/>
  <c r="S405" i="23"/>
  <c r="S408" i="23" s="1"/>
  <c r="V35" i="28" s="1"/>
  <c r="AC405" i="23"/>
  <c r="J510" i="23"/>
  <c r="J513" i="23" s="1"/>
  <c r="M36" i="28" s="1"/>
  <c r="D405" i="23"/>
  <c r="D408" i="23" s="1"/>
  <c r="G35" i="28" s="1"/>
  <c r="E510" i="23"/>
  <c r="E513" i="23" s="1"/>
  <c r="H36" i="28" s="1"/>
  <c r="D188" i="23"/>
  <c r="D191" i="23" s="1"/>
  <c r="G33" i="28" s="1"/>
  <c r="X82" i="23"/>
  <c r="X85" i="23" s="1"/>
  <c r="AA32" i="28" s="1"/>
  <c r="Q296" i="23"/>
  <c r="Q299" i="23" s="1"/>
  <c r="T34" i="28" s="1"/>
  <c r="J405" i="23"/>
  <c r="J408" i="23" s="1"/>
  <c r="M35" i="28" s="1"/>
  <c r="K405" i="23"/>
  <c r="K408" i="23" s="1"/>
  <c r="N35" i="28" s="1"/>
  <c r="X296" i="23"/>
  <c r="X299" i="23" s="1"/>
  <c r="AA34" i="28" s="1"/>
  <c r="X510" i="23"/>
  <c r="X513" i="23" s="1"/>
  <c r="AA36" i="28" s="1"/>
  <c r="E405" i="23"/>
  <c r="E408" i="23" s="1"/>
  <c r="H35" i="28" s="1"/>
  <c r="T82" i="23"/>
  <c r="T85" i="23" s="1"/>
  <c r="W32" i="28" s="1"/>
  <c r="T405" i="23"/>
  <c r="T408" i="23" s="1"/>
  <c r="W35" i="28" s="1"/>
  <c r="P510" i="23"/>
  <c r="P513" i="23" s="1"/>
  <c r="S36" i="28" s="1"/>
  <c r="O188" i="23"/>
  <c r="O191" i="23" s="1"/>
  <c r="R33" i="28" s="1"/>
  <c r="U82" i="23"/>
  <c r="U85" i="23" s="1"/>
  <c r="X32" i="28" s="1"/>
  <c r="G405" i="23"/>
  <c r="G408" i="23" s="1"/>
  <c r="J35" i="28" s="1"/>
  <c r="S296" i="23"/>
  <c r="S299" i="23" s="1"/>
  <c r="V34" i="28" s="1"/>
  <c r="N188" i="23"/>
  <c r="N191" i="23" s="1"/>
  <c r="Q33" i="28" s="1"/>
  <c r="T188" i="23"/>
  <c r="T191" i="23" s="1"/>
  <c r="W33" i="28" s="1"/>
  <c r="L510" i="23"/>
  <c r="L513" i="23" s="1"/>
  <c r="O36" i="28" s="1"/>
  <c r="D82" i="23"/>
  <c r="D85" i="23" s="1"/>
  <c r="G32" i="28" s="1"/>
  <c r="S188" i="23"/>
  <c r="S191" i="23" s="1"/>
  <c r="V33" i="28" s="1"/>
  <c r="R188" i="23"/>
  <c r="R191" i="23" s="1"/>
  <c r="U33" i="28" s="1"/>
  <c r="B405" i="23"/>
  <c r="R405" i="23"/>
  <c r="R408" i="23" s="1"/>
  <c r="U35" i="28" s="1"/>
  <c r="C82" i="23"/>
  <c r="C85" i="23" s="1"/>
  <c r="F32" i="28" s="1"/>
  <c r="W296" i="23"/>
  <c r="W299" i="23" s="1"/>
  <c r="Z34" i="28" s="1"/>
  <c r="AC510" i="23"/>
  <c r="F82" i="23"/>
  <c r="F85" i="23" s="1"/>
  <c r="I32" i="28" s="1"/>
  <c r="Q405" i="23"/>
  <c r="Q408" i="23" s="1"/>
  <c r="T35" i="28" s="1"/>
  <c r="AB296" i="23"/>
  <c r="AB299" i="23" s="1"/>
  <c r="AE34" i="28" s="1"/>
  <c r="J82" i="23"/>
  <c r="J85" i="23" s="1"/>
  <c r="M32" i="28" s="1"/>
  <c r="I405" i="23"/>
  <c r="I408" i="23" s="1"/>
  <c r="L35" i="28" s="1"/>
  <c r="P82" i="23"/>
  <c r="P85" i="23" s="1"/>
  <c r="S32" i="28" s="1"/>
  <c r="Y82" i="23"/>
  <c r="Y85" i="23" s="1"/>
  <c r="AB32" i="28" s="1"/>
  <c r="O510" i="23"/>
  <c r="O513" i="23" s="1"/>
  <c r="R36" i="28" s="1"/>
  <c r="H296" i="23"/>
  <c r="H299" i="23" s="1"/>
  <c r="K34" i="28" s="1"/>
  <c r="P296" i="23"/>
  <c r="P299" i="23" s="1"/>
  <c r="S34" i="28" s="1"/>
  <c r="Z510" i="23"/>
  <c r="Z513" i="23" s="1"/>
  <c r="AC36" i="28" s="1"/>
  <c r="R82" i="23"/>
  <c r="R85" i="23" s="1"/>
  <c r="U32" i="28" s="1"/>
  <c r="W405" i="23"/>
  <c r="W408" i="23" s="1"/>
  <c r="Z35" i="28" s="1"/>
  <c r="AA405" i="23"/>
  <c r="AA408" i="23" s="1"/>
  <c r="AD35" i="28" s="1"/>
  <c r="R510" i="23"/>
  <c r="R513" i="23" s="1"/>
  <c r="U36" i="28" s="1"/>
  <c r="W510" i="23"/>
  <c r="W513" i="23" s="1"/>
  <c r="Z36" i="28" s="1"/>
  <c r="AC296" i="23"/>
  <c r="T510" i="23"/>
  <c r="T513" i="23" s="1"/>
  <c r="W36" i="28" s="1"/>
  <c r="AA82" i="23"/>
  <c r="AA85" i="23" s="1"/>
  <c r="AD32" i="28" s="1"/>
  <c r="F405" i="23"/>
  <c r="F408" i="23" s="1"/>
  <c r="I35" i="28" s="1"/>
  <c r="D510" i="23"/>
  <c r="D513" i="23" s="1"/>
  <c r="G36" i="28" s="1"/>
  <c r="W188" i="22"/>
  <c r="W191" i="22" s="1"/>
  <c r="Z28" i="28" s="1"/>
  <c r="X510" i="22"/>
  <c r="X513" i="22" s="1"/>
  <c r="AA31" i="28" s="1"/>
  <c r="Q296" i="22"/>
  <c r="Q299" i="22" s="1"/>
  <c r="T29" i="28" s="1"/>
  <c r="S188" i="22"/>
  <c r="S191" i="22" s="1"/>
  <c r="V28" i="28" s="1"/>
  <c r="Y82" i="22"/>
  <c r="Y85" i="22" s="1"/>
  <c r="AB27" i="28" s="1"/>
  <c r="G296" i="22"/>
  <c r="G299" i="22" s="1"/>
  <c r="J29" i="28" s="1"/>
  <c r="V82" i="22"/>
  <c r="V85" i="22" s="1"/>
  <c r="Y27" i="28" s="1"/>
  <c r="T82" i="22"/>
  <c r="T85" i="22" s="1"/>
  <c r="W27" i="28" s="1"/>
  <c r="R296" i="22"/>
  <c r="R299" i="22" s="1"/>
  <c r="U29" i="28" s="1"/>
  <c r="C405" i="22"/>
  <c r="C408" i="22" s="1"/>
  <c r="F30" i="28" s="1"/>
  <c r="S296" i="22"/>
  <c r="S299" i="22" s="1"/>
  <c r="V29" i="28" s="1"/>
  <c r="K296" i="22"/>
  <c r="K299" i="22" s="1"/>
  <c r="N29" i="28" s="1"/>
  <c r="I82" i="22"/>
  <c r="I85" i="22" s="1"/>
  <c r="L27" i="28" s="1"/>
  <c r="B82" i="22"/>
  <c r="L188" i="22"/>
  <c r="L191" i="22" s="1"/>
  <c r="O28" i="28" s="1"/>
  <c r="G82" i="22"/>
  <c r="G85" i="22" s="1"/>
  <c r="J27" i="28" s="1"/>
  <c r="AC405" i="22"/>
  <c r="G188" i="22"/>
  <c r="G191" i="22" s="1"/>
  <c r="J28" i="28" s="1"/>
  <c r="G405" i="22"/>
  <c r="G408" i="22" s="1"/>
  <c r="J30" i="28" s="1"/>
  <c r="Z296" i="22"/>
  <c r="Z299" i="22" s="1"/>
  <c r="AC29" i="28" s="1"/>
  <c r="T510" i="22"/>
  <c r="T513" i="22" s="1"/>
  <c r="W31" i="28" s="1"/>
  <c r="B188" i="22"/>
  <c r="I510" i="22"/>
  <c r="I513" i="22" s="1"/>
  <c r="L31" i="28" s="1"/>
  <c r="K510" i="22"/>
  <c r="K513" i="22" s="1"/>
  <c r="N31" i="28" s="1"/>
  <c r="O296" i="22"/>
  <c r="O299" i="22" s="1"/>
  <c r="R29" i="28" s="1"/>
  <c r="K405" i="22"/>
  <c r="K408" i="22" s="1"/>
  <c r="N30" i="28" s="1"/>
  <c r="J82" i="22"/>
  <c r="J85" i="22" s="1"/>
  <c r="M27" i="28" s="1"/>
  <c r="I405" i="22"/>
  <c r="I408" i="22" s="1"/>
  <c r="L30" i="28" s="1"/>
  <c r="L82" i="22"/>
  <c r="L85" i="22" s="1"/>
  <c r="O27" i="28" s="1"/>
  <c r="D510" i="22"/>
  <c r="D513" i="22" s="1"/>
  <c r="G31" i="28" s="1"/>
  <c r="C188" i="22"/>
  <c r="C191" i="22" s="1"/>
  <c r="F28" i="28" s="1"/>
  <c r="Y510" i="22"/>
  <c r="Y513" i="22" s="1"/>
  <c r="AB31" i="28" s="1"/>
  <c r="N296" i="22"/>
  <c r="N299" i="22" s="1"/>
  <c r="Q29" i="28" s="1"/>
  <c r="E510" i="22"/>
  <c r="E513" i="22" s="1"/>
  <c r="H31" i="28" s="1"/>
  <c r="AB296" i="22"/>
  <c r="AB299" i="22" s="1"/>
  <c r="AE29" i="28" s="1"/>
  <c r="C82" i="22"/>
  <c r="C85" i="22" s="1"/>
  <c r="F27" i="28" s="1"/>
  <c r="W510" i="22"/>
  <c r="W513" i="22" s="1"/>
  <c r="Z31" i="28" s="1"/>
  <c r="U82" i="22"/>
  <c r="U85" i="22" s="1"/>
  <c r="X27" i="28" s="1"/>
  <c r="U188" i="22"/>
  <c r="U191" i="22" s="1"/>
  <c r="X28" i="28" s="1"/>
  <c r="H296" i="22"/>
  <c r="H299" i="22" s="1"/>
  <c r="K29" i="28" s="1"/>
  <c r="X188" i="22"/>
  <c r="X191" i="22" s="1"/>
  <c r="AA28" i="28" s="1"/>
  <c r="M82" i="22"/>
  <c r="D405" i="22"/>
  <c r="D408" i="22" s="1"/>
  <c r="G30" i="28" s="1"/>
  <c r="B296" i="22"/>
  <c r="H188" i="22"/>
  <c r="H191" i="22" s="1"/>
  <c r="K28" i="28" s="1"/>
  <c r="N82" i="22"/>
  <c r="N85" i="22" s="1"/>
  <c r="Q27" i="28" s="1"/>
  <c r="J296" i="22"/>
  <c r="J299" i="22" s="1"/>
  <c r="M29" i="28" s="1"/>
  <c r="R510" i="22"/>
  <c r="R513" i="22" s="1"/>
  <c r="U31" i="28" s="1"/>
  <c r="O188" i="22"/>
  <c r="O191" i="22" s="1"/>
  <c r="R28" i="28" s="1"/>
  <c r="T405" i="22"/>
  <c r="T408" i="22" s="1"/>
  <c r="W30" i="28" s="1"/>
  <c r="D82" i="22"/>
  <c r="D85" i="22" s="1"/>
  <c r="G27" i="28" s="1"/>
  <c r="R188" i="22"/>
  <c r="R191" i="22" s="1"/>
  <c r="U28" i="28" s="1"/>
  <c r="B405" i="22"/>
  <c r="AA405" i="22"/>
  <c r="AA408" i="22" s="1"/>
  <c r="AD30" i="28" s="1"/>
  <c r="N405" i="22"/>
  <c r="N408" i="22" s="1"/>
  <c r="Q30" i="28" s="1"/>
  <c r="G510" i="22"/>
  <c r="G513" i="22" s="1"/>
  <c r="J31" i="28" s="1"/>
  <c r="AC510" i="22"/>
  <c r="X296" i="22"/>
  <c r="X299" i="22" s="1"/>
  <c r="AA29" i="28" s="1"/>
  <c r="K82" i="22"/>
  <c r="K85" i="22" s="1"/>
  <c r="N27" i="28" s="1"/>
  <c r="D188" i="22"/>
  <c r="D191" i="22" s="1"/>
  <c r="G28" i="28" s="1"/>
  <c r="C296" i="22"/>
  <c r="C299" i="22" s="1"/>
  <c r="F29" i="28" s="1"/>
  <c r="B510" i="22"/>
  <c r="F188" i="22"/>
  <c r="F191" i="22" s="1"/>
  <c r="I28" i="28" s="1"/>
  <c r="V296" i="22"/>
  <c r="V299" i="22" s="1"/>
  <c r="Y29" i="28" s="1"/>
  <c r="Z188" i="22"/>
  <c r="Z191" i="22" s="1"/>
  <c r="AC28" i="28" s="1"/>
  <c r="N188" i="22"/>
  <c r="N191" i="22" s="1"/>
  <c r="Q28" i="28" s="1"/>
  <c r="AC188" i="22"/>
  <c r="L405" i="22"/>
  <c r="L408" i="22" s="1"/>
  <c r="O30" i="28" s="1"/>
  <c r="J188" i="22"/>
  <c r="J191" i="22" s="1"/>
  <c r="M28" i="28" s="1"/>
  <c r="T188" i="22"/>
  <c r="T191" i="22" s="1"/>
  <c r="W28" i="28" s="1"/>
  <c r="H405" i="22"/>
  <c r="H408" i="22" s="1"/>
  <c r="K30" i="28" s="1"/>
  <c r="AA510" i="22"/>
  <c r="AA513" i="22" s="1"/>
  <c r="AD31" i="28" s="1"/>
  <c r="P405" i="22"/>
  <c r="P408" i="22" s="1"/>
  <c r="S30" i="28" s="1"/>
  <c r="M188" i="22"/>
  <c r="E82" i="22"/>
  <c r="E85" i="22" s="1"/>
  <c r="H27" i="28" s="1"/>
  <c r="F82" i="22"/>
  <c r="F85" i="22" s="1"/>
  <c r="I27" i="28" s="1"/>
  <c r="Q82" i="22"/>
  <c r="Q85" i="22" s="1"/>
  <c r="T27" i="28" s="1"/>
  <c r="M296" i="22"/>
  <c r="AA82" i="22"/>
  <c r="AA85" i="22" s="1"/>
  <c r="AD27" i="28" s="1"/>
  <c r="AB82" i="22"/>
  <c r="AB85" i="22" s="1"/>
  <c r="AE27" i="28" s="1"/>
  <c r="AA296" i="22"/>
  <c r="AA299" i="22" s="1"/>
  <c r="AD29" i="28" s="1"/>
  <c r="J405" i="22"/>
  <c r="J408" i="22" s="1"/>
  <c r="M30" i="28" s="1"/>
  <c r="E296" i="22"/>
  <c r="E299" i="22" s="1"/>
  <c r="H29" i="28" s="1"/>
  <c r="P82" i="22"/>
  <c r="P85" i="22" s="1"/>
  <c r="S27" i="28" s="1"/>
  <c r="M510" i="22"/>
  <c r="E405" i="22"/>
  <c r="E408" i="22" s="1"/>
  <c r="H30" i="28" s="1"/>
  <c r="F296" i="22"/>
  <c r="F299" i="22" s="1"/>
  <c r="I29" i="28" s="1"/>
  <c r="AC296" i="22"/>
  <c r="Q510" i="22"/>
  <c r="Q513" i="22" s="1"/>
  <c r="T31" i="28" s="1"/>
  <c r="AA188" i="22"/>
  <c r="AA191" i="22" s="1"/>
  <c r="AD28" i="28" s="1"/>
  <c r="Z82" i="22"/>
  <c r="Z85" i="22" s="1"/>
  <c r="AC27" i="28" s="1"/>
  <c r="X405" i="22"/>
  <c r="X408" i="22" s="1"/>
  <c r="AA30" i="28" s="1"/>
  <c r="H82" i="22"/>
  <c r="H85" i="22" s="1"/>
  <c r="K27" i="28" s="1"/>
  <c r="U510" i="22"/>
  <c r="U513" i="22" s="1"/>
  <c r="X31" i="28" s="1"/>
  <c r="O82" i="22"/>
  <c r="O85" i="22" s="1"/>
  <c r="R27" i="28" s="1"/>
  <c r="Z405" i="22"/>
  <c r="Z408" i="22" s="1"/>
  <c r="AC30" i="28" s="1"/>
  <c r="Z510" i="22"/>
  <c r="Z513" i="22" s="1"/>
  <c r="AC31" i="28" s="1"/>
  <c r="V510" i="22"/>
  <c r="V513" i="22" s="1"/>
  <c r="Y31" i="28" s="1"/>
  <c r="M405" i="22"/>
  <c r="O510" i="22"/>
  <c r="O513" i="22" s="1"/>
  <c r="R31" i="28" s="1"/>
  <c r="P510" i="22"/>
  <c r="P513" i="22" s="1"/>
  <c r="S31" i="28" s="1"/>
  <c r="D296" i="22"/>
  <c r="D299" i="22" s="1"/>
  <c r="G29" i="28" s="1"/>
  <c r="AC82" i="22"/>
  <c r="W296" i="22"/>
  <c r="W299" i="22" s="1"/>
  <c r="Z29" i="28" s="1"/>
  <c r="S405" i="22"/>
  <c r="S408" i="22" s="1"/>
  <c r="V30" i="28" s="1"/>
  <c r="T296" i="22"/>
  <c r="T299" i="22" s="1"/>
  <c r="W29" i="28" s="1"/>
  <c r="F510" i="22"/>
  <c r="F513" i="22" s="1"/>
  <c r="I31" i="28" s="1"/>
  <c r="V405" i="22"/>
  <c r="V408" i="22" s="1"/>
  <c r="Y30" i="28" s="1"/>
  <c r="K188" i="22"/>
  <c r="K191" i="22" s="1"/>
  <c r="N28" i="28" s="1"/>
  <c r="O405" i="22"/>
  <c r="O408" i="22" s="1"/>
  <c r="R30" i="28" s="1"/>
  <c r="L296" i="22"/>
  <c r="L299" i="22" s="1"/>
  <c r="O29" i="28" s="1"/>
  <c r="AB188" i="22"/>
  <c r="AB191" i="22" s="1"/>
  <c r="AE28" i="28" s="1"/>
  <c r="P188" i="22"/>
  <c r="P191" i="22" s="1"/>
  <c r="S28" i="28" s="1"/>
  <c r="I188" i="22"/>
  <c r="I191" i="22" s="1"/>
  <c r="L28" i="28" s="1"/>
  <c r="F405" i="22"/>
  <c r="F408" i="22" s="1"/>
  <c r="I30" i="28" s="1"/>
  <c r="S82" i="22"/>
  <c r="S85" i="22" s="1"/>
  <c r="V27" i="28" s="1"/>
  <c r="U405" i="22"/>
  <c r="U408" i="22" s="1"/>
  <c r="X30" i="28" s="1"/>
  <c r="Q405" i="22"/>
  <c r="Q408" i="22" s="1"/>
  <c r="T30" i="28" s="1"/>
  <c r="S510" i="22"/>
  <c r="S513" i="22" s="1"/>
  <c r="V31" i="28" s="1"/>
  <c r="Y296" i="22"/>
  <c r="Y299" i="22" s="1"/>
  <c r="AB29" i="28" s="1"/>
  <c r="I296" i="22"/>
  <c r="I299" i="22" s="1"/>
  <c r="L29" i="28" s="1"/>
  <c r="N510" i="22"/>
  <c r="N513" i="22" s="1"/>
  <c r="Q31" i="28" s="1"/>
  <c r="AB405" i="22"/>
  <c r="AB408" i="22" s="1"/>
  <c r="AE30" i="28" s="1"/>
  <c r="V188" i="22"/>
  <c r="V191" i="22" s="1"/>
  <c r="Y28" i="28" s="1"/>
  <c r="U296" i="22"/>
  <c r="U299" i="22" s="1"/>
  <c r="X29" i="28" s="1"/>
  <c r="Y188" i="22"/>
  <c r="Y191" i="22" s="1"/>
  <c r="AB28" i="28" s="1"/>
  <c r="B405" i="21"/>
  <c r="U405" i="21"/>
  <c r="U408" i="21" s="1"/>
  <c r="X25" i="28" s="1"/>
  <c r="AA188" i="21"/>
  <c r="AA191" i="21" s="1"/>
  <c r="AD23" i="28" s="1"/>
  <c r="J405" i="21"/>
  <c r="J408" i="21" s="1"/>
  <c r="M25" i="28" s="1"/>
  <c r="AB296" i="21"/>
  <c r="AB299" i="21" s="1"/>
  <c r="AE24" i="28" s="1"/>
  <c r="AC188" i="21"/>
  <c r="T296" i="21"/>
  <c r="T299" i="21" s="1"/>
  <c r="W24" i="28" s="1"/>
  <c r="G405" i="21"/>
  <c r="G408" i="21" s="1"/>
  <c r="J25" i="28" s="1"/>
  <c r="E510" i="21"/>
  <c r="E513" i="21" s="1"/>
  <c r="H26" i="28" s="1"/>
  <c r="C510" i="21"/>
  <c r="C513" i="21" s="1"/>
  <c r="F26" i="28" s="1"/>
  <c r="AB188" i="21"/>
  <c r="AB191" i="21" s="1"/>
  <c r="AE23" i="28" s="1"/>
  <c r="I296" i="21"/>
  <c r="I299" i="21" s="1"/>
  <c r="L24" i="28" s="1"/>
  <c r="K510" i="21"/>
  <c r="K513" i="21" s="1"/>
  <c r="N26" i="28" s="1"/>
  <c r="X188" i="21"/>
  <c r="X191" i="21" s="1"/>
  <c r="AA23" i="28" s="1"/>
  <c r="E405" i="21"/>
  <c r="E408" i="21" s="1"/>
  <c r="H25" i="28" s="1"/>
  <c r="V188" i="21"/>
  <c r="V191" i="21" s="1"/>
  <c r="Y23" i="28" s="1"/>
  <c r="J296" i="21"/>
  <c r="J299" i="21" s="1"/>
  <c r="M24" i="28" s="1"/>
  <c r="N82" i="21"/>
  <c r="N85" i="21" s="1"/>
  <c r="Q22" i="28" s="1"/>
  <c r="Y296" i="21"/>
  <c r="Y299" i="21" s="1"/>
  <c r="AB24" i="28" s="1"/>
  <c r="J82" i="21"/>
  <c r="J85" i="21" s="1"/>
  <c r="M22" i="28" s="1"/>
  <c r="F82" i="21"/>
  <c r="F85" i="21" s="1"/>
  <c r="I22" i="28" s="1"/>
  <c r="L188" i="21"/>
  <c r="L191" i="21" s="1"/>
  <c r="O23" i="28" s="1"/>
  <c r="AB510" i="21"/>
  <c r="AB513" i="21" s="1"/>
  <c r="AE26" i="28" s="1"/>
  <c r="P405" i="21"/>
  <c r="P408" i="21" s="1"/>
  <c r="S25" i="28" s="1"/>
  <c r="AA82" i="21"/>
  <c r="AA85" i="21" s="1"/>
  <c r="AD22" i="28" s="1"/>
  <c r="Q82" i="21"/>
  <c r="Q85" i="21" s="1"/>
  <c r="T22" i="28" s="1"/>
  <c r="V510" i="21"/>
  <c r="V513" i="21" s="1"/>
  <c r="Y26" i="28" s="1"/>
  <c r="F405" i="21"/>
  <c r="F408" i="21" s="1"/>
  <c r="I25" i="28" s="1"/>
  <c r="AB405" i="21"/>
  <c r="AB408" i="21" s="1"/>
  <c r="AE25" i="28" s="1"/>
  <c r="X405" i="21"/>
  <c r="X408" i="21" s="1"/>
  <c r="AA25" i="28" s="1"/>
  <c r="AA405" i="21"/>
  <c r="AA408" i="21" s="1"/>
  <c r="AD25" i="28" s="1"/>
  <c r="T510" i="21"/>
  <c r="T513" i="21" s="1"/>
  <c r="W26" i="28" s="1"/>
  <c r="AC510" i="21"/>
  <c r="P188" i="21"/>
  <c r="P191" i="21" s="1"/>
  <c r="S23" i="28" s="1"/>
  <c r="S510" i="21"/>
  <c r="S513" i="21" s="1"/>
  <c r="V26" i="28" s="1"/>
  <c r="AC82" i="21"/>
  <c r="K82" i="21"/>
  <c r="K85" i="21" s="1"/>
  <c r="N22" i="28" s="1"/>
  <c r="B510" i="21"/>
  <c r="I82" i="21"/>
  <c r="I85" i="21" s="1"/>
  <c r="L22" i="28" s="1"/>
  <c r="Y188" i="21"/>
  <c r="Y191" i="21" s="1"/>
  <c r="AB23" i="28" s="1"/>
  <c r="P296" i="21"/>
  <c r="P299" i="21" s="1"/>
  <c r="S24" i="28" s="1"/>
  <c r="V405" i="21"/>
  <c r="V408" i="21" s="1"/>
  <c r="Y25" i="28" s="1"/>
  <c r="D405" i="21"/>
  <c r="D408" i="21" s="1"/>
  <c r="G25" i="28" s="1"/>
  <c r="O296" i="21"/>
  <c r="O299" i="21" s="1"/>
  <c r="R24" i="28" s="1"/>
  <c r="K188" i="21"/>
  <c r="K191" i="21" s="1"/>
  <c r="N23" i="28" s="1"/>
  <c r="O405" i="21"/>
  <c r="O408" i="21" s="1"/>
  <c r="R25" i="28" s="1"/>
  <c r="Q405" i="21"/>
  <c r="Q408" i="21" s="1"/>
  <c r="T25" i="28" s="1"/>
  <c r="E82" i="21"/>
  <c r="E85" i="21" s="1"/>
  <c r="H22" i="28" s="1"/>
  <c r="T405" i="21"/>
  <c r="T408" i="21" s="1"/>
  <c r="W25" i="28" s="1"/>
  <c r="Z82" i="21"/>
  <c r="Z85" i="21" s="1"/>
  <c r="AC22" i="28" s="1"/>
  <c r="O188" i="21"/>
  <c r="O191" i="21" s="1"/>
  <c r="R23" i="28" s="1"/>
  <c r="N510" i="21"/>
  <c r="N513" i="21" s="1"/>
  <c r="Q26" i="28" s="1"/>
  <c r="G296" i="21"/>
  <c r="G299" i="21" s="1"/>
  <c r="J24" i="28" s="1"/>
  <c r="J510" i="21"/>
  <c r="J513" i="21" s="1"/>
  <c r="M26" i="28" s="1"/>
  <c r="I405" i="21"/>
  <c r="I408" i="21" s="1"/>
  <c r="L25" i="28" s="1"/>
  <c r="Y405" i="21"/>
  <c r="Y408" i="21" s="1"/>
  <c r="AB25" i="28" s="1"/>
  <c r="H188" i="21"/>
  <c r="H191" i="21" s="1"/>
  <c r="K23" i="28" s="1"/>
  <c r="M82" i="21"/>
  <c r="C82" i="21"/>
  <c r="C85" i="21" s="1"/>
  <c r="F22" i="28" s="1"/>
  <c r="Q188" i="21"/>
  <c r="Q191" i="21" s="1"/>
  <c r="T23" i="28" s="1"/>
  <c r="D296" i="21"/>
  <c r="D299" i="21" s="1"/>
  <c r="G24" i="28" s="1"/>
  <c r="H82" i="21"/>
  <c r="H85" i="21" s="1"/>
  <c r="K22" i="28" s="1"/>
  <c r="N405" i="21"/>
  <c r="N408" i="21" s="1"/>
  <c r="Q25" i="28" s="1"/>
  <c r="F296" i="21"/>
  <c r="F299" i="21" s="1"/>
  <c r="I24" i="28" s="1"/>
  <c r="N188" i="21"/>
  <c r="N191" i="21" s="1"/>
  <c r="Q23" i="28" s="1"/>
  <c r="D510" i="21"/>
  <c r="D513" i="21" s="1"/>
  <c r="G26" i="28" s="1"/>
  <c r="K405" i="21"/>
  <c r="K408" i="21" s="1"/>
  <c r="N25" i="28" s="1"/>
  <c r="X510" i="21"/>
  <c r="X513" i="21" s="1"/>
  <c r="AA26" i="28" s="1"/>
  <c r="AC405" i="21"/>
  <c r="E296" i="21"/>
  <c r="E299" i="21" s="1"/>
  <c r="H24" i="28" s="1"/>
  <c r="Z510" i="21"/>
  <c r="Z513" i="21" s="1"/>
  <c r="AC26" i="28" s="1"/>
  <c r="K296" i="21"/>
  <c r="K299" i="21" s="1"/>
  <c r="N24" i="28" s="1"/>
  <c r="N296" i="21"/>
  <c r="N299" i="21" s="1"/>
  <c r="Q24" i="28" s="1"/>
  <c r="I188" i="21"/>
  <c r="I191" i="21" s="1"/>
  <c r="L23" i="28" s="1"/>
  <c r="E188" i="21"/>
  <c r="E191" i="21" s="1"/>
  <c r="H23" i="28" s="1"/>
  <c r="R296" i="21"/>
  <c r="R299" i="21" s="1"/>
  <c r="U24" i="28" s="1"/>
  <c r="V82" i="21"/>
  <c r="V85" i="21" s="1"/>
  <c r="Y22" i="28" s="1"/>
  <c r="B188" i="21"/>
  <c r="C405" i="21"/>
  <c r="C408" i="21" s="1"/>
  <c r="F25" i="28" s="1"/>
  <c r="F188" i="21"/>
  <c r="F191" i="21" s="1"/>
  <c r="I23" i="28" s="1"/>
  <c r="B296" i="21"/>
  <c r="O510" i="21"/>
  <c r="O513" i="21" s="1"/>
  <c r="R26" i="28" s="1"/>
  <c r="U82" i="21"/>
  <c r="U85" i="21" s="1"/>
  <c r="X22" i="28" s="1"/>
  <c r="R188" i="21"/>
  <c r="R191" i="21" s="1"/>
  <c r="U23" i="28" s="1"/>
  <c r="W510" i="21"/>
  <c r="W513" i="21" s="1"/>
  <c r="Z26" i="28" s="1"/>
  <c r="L296" i="21"/>
  <c r="L299" i="21" s="1"/>
  <c r="O24" i="28" s="1"/>
  <c r="G510" i="21"/>
  <c r="G513" i="21" s="1"/>
  <c r="J26" i="28" s="1"/>
  <c r="M405" i="21"/>
  <c r="S82" i="21"/>
  <c r="S85" i="21" s="1"/>
  <c r="V22" i="28" s="1"/>
  <c r="G188" i="21"/>
  <c r="G191" i="21" s="1"/>
  <c r="J23" i="28" s="1"/>
  <c r="Y82" i="21"/>
  <c r="Y85" i="21" s="1"/>
  <c r="AB22" i="28" s="1"/>
  <c r="T188" i="21"/>
  <c r="T191" i="21" s="1"/>
  <c r="W23" i="28" s="1"/>
  <c r="AA510" i="21"/>
  <c r="AA513" i="21" s="1"/>
  <c r="AD26" i="28" s="1"/>
  <c r="M296" i="21"/>
  <c r="J188" i="21"/>
  <c r="J191" i="21" s="1"/>
  <c r="M23" i="28" s="1"/>
  <c r="W82" i="21"/>
  <c r="W85" i="21" s="1"/>
  <c r="Z22" i="28" s="1"/>
  <c r="U510" i="21"/>
  <c r="U513" i="21" s="1"/>
  <c r="X26" i="28" s="1"/>
  <c r="W296" i="21"/>
  <c r="W299" i="21" s="1"/>
  <c r="Z24" i="28" s="1"/>
  <c r="Q296" i="21"/>
  <c r="Q299" i="21" s="1"/>
  <c r="T24" i="28" s="1"/>
  <c r="G82" i="21"/>
  <c r="G85" i="21" s="1"/>
  <c r="J22" i="28" s="1"/>
  <c r="M188" i="21"/>
  <c r="D188" i="21"/>
  <c r="D191" i="21" s="1"/>
  <c r="G23" i="28" s="1"/>
  <c r="V296" i="21"/>
  <c r="V299" i="21" s="1"/>
  <c r="Y24" i="28" s="1"/>
  <c r="B82" i="21"/>
  <c r="S188" i="21"/>
  <c r="S191" i="21" s="1"/>
  <c r="V23" i="28" s="1"/>
  <c r="O82" i="21"/>
  <c r="O85" i="21" s="1"/>
  <c r="R22" i="28" s="1"/>
  <c r="H405" i="21"/>
  <c r="H408" i="21" s="1"/>
  <c r="K25" i="28" s="1"/>
  <c r="C296" i="21"/>
  <c r="C299" i="21" s="1"/>
  <c r="F24" i="28" s="1"/>
  <c r="AC296" i="21"/>
  <c r="R405" i="21"/>
  <c r="R408" i="21" s="1"/>
  <c r="U25" i="28" s="1"/>
  <c r="H296" i="21"/>
  <c r="H299" i="21" s="1"/>
  <c r="K24" i="28" s="1"/>
  <c r="R82" i="21"/>
  <c r="R85" i="21" s="1"/>
  <c r="U22" i="28" s="1"/>
  <c r="Z405" i="21"/>
  <c r="Z408" i="21" s="1"/>
  <c r="AC25" i="28" s="1"/>
  <c r="C188" i="21"/>
  <c r="C191" i="21" s="1"/>
  <c r="F23" i="28" s="1"/>
  <c r="L82" i="21"/>
  <c r="L85" i="21" s="1"/>
  <c r="O22" i="28" s="1"/>
  <c r="U296" i="21"/>
  <c r="U299" i="21" s="1"/>
  <c r="X24" i="28" s="1"/>
  <c r="AA296" i="21"/>
  <c r="AA299" i="21" s="1"/>
  <c r="AD24" i="28" s="1"/>
  <c r="T82" i="21"/>
  <c r="T85" i="21" s="1"/>
  <c r="W22" i="28" s="1"/>
  <c r="S296" i="21"/>
  <c r="S299" i="21" s="1"/>
  <c r="V24" i="28" s="1"/>
  <c r="Z188" i="21"/>
  <c r="Z191" i="21" s="1"/>
  <c r="AC23" i="28" s="1"/>
  <c r="H510" i="21"/>
  <c r="H513" i="21" s="1"/>
  <c r="K26" i="28" s="1"/>
  <c r="F510" i="21"/>
  <c r="F513" i="21" s="1"/>
  <c r="I26" i="28" s="1"/>
  <c r="U188" i="21"/>
  <c r="U191" i="21" s="1"/>
  <c r="X23" i="28" s="1"/>
  <c r="W405" i="21"/>
  <c r="W408" i="21" s="1"/>
  <c r="Z25" i="28" s="1"/>
  <c r="Z296" i="21"/>
  <c r="Z299" i="21" s="1"/>
  <c r="AC24" i="28" s="1"/>
  <c r="W188" i="21"/>
  <c r="W191" i="21" s="1"/>
  <c r="Z23" i="28" s="1"/>
  <c r="L510" i="21"/>
  <c r="L513" i="21" s="1"/>
  <c r="O26" i="28" s="1"/>
  <c r="M510" i="21"/>
  <c r="R510" i="21"/>
  <c r="R513" i="21" s="1"/>
  <c r="U26" i="28" s="1"/>
  <c r="S405" i="21"/>
  <c r="S408" i="21" s="1"/>
  <c r="V25" i="28" s="1"/>
  <c r="T296" i="20"/>
  <c r="T299" i="20" s="1"/>
  <c r="W14" i="28" s="1"/>
  <c r="O510" i="20"/>
  <c r="O513" i="20" s="1"/>
  <c r="R16" i="28" s="1"/>
  <c r="AA296" i="20"/>
  <c r="AA299" i="20" s="1"/>
  <c r="AD14" i="28" s="1"/>
  <c r="C510" i="20"/>
  <c r="C513" i="20" s="1"/>
  <c r="F16" i="28" s="1"/>
  <c r="G82" i="20"/>
  <c r="G85" i="20" s="1"/>
  <c r="J12" i="28" s="1"/>
  <c r="D82" i="20"/>
  <c r="D85" i="20" s="1"/>
  <c r="G12" i="28" s="1"/>
  <c r="S82" i="20"/>
  <c r="S85" i="20" s="1"/>
  <c r="V12" i="28" s="1"/>
  <c r="U188" i="19"/>
  <c r="U191" i="19" s="1"/>
  <c r="X8" i="28" s="1"/>
  <c r="B296" i="19"/>
  <c r="V188" i="20"/>
  <c r="V191" i="20" s="1"/>
  <c r="Y13" i="28" s="1"/>
  <c r="U405" i="20"/>
  <c r="U408" i="20" s="1"/>
  <c r="X15" i="28" s="1"/>
  <c r="H405" i="20"/>
  <c r="H408" i="20" s="1"/>
  <c r="K15" i="28" s="1"/>
  <c r="Q296" i="20"/>
  <c r="Q299" i="20" s="1"/>
  <c r="T14" i="28" s="1"/>
  <c r="G405" i="20"/>
  <c r="G408" i="20" s="1"/>
  <c r="J15" i="28" s="1"/>
  <c r="D405" i="20"/>
  <c r="D408" i="20" s="1"/>
  <c r="G15" i="28" s="1"/>
  <c r="X405" i="20"/>
  <c r="X408" i="20" s="1"/>
  <c r="AA15" i="28" s="1"/>
  <c r="AB188" i="20"/>
  <c r="AB191" i="20" s="1"/>
  <c r="AE13" i="28" s="1"/>
  <c r="M82" i="20"/>
  <c r="J188" i="20"/>
  <c r="J191" i="20" s="1"/>
  <c r="M13" i="28" s="1"/>
  <c r="T188" i="20"/>
  <c r="T191" i="20" s="1"/>
  <c r="W13" i="28" s="1"/>
  <c r="W405" i="20"/>
  <c r="W408" i="20" s="1"/>
  <c r="Z15" i="28" s="1"/>
  <c r="H296" i="20"/>
  <c r="H299" i="20" s="1"/>
  <c r="K14" i="28" s="1"/>
  <c r="Y510" i="20"/>
  <c r="Y513" i="20" s="1"/>
  <c r="AB16" i="28" s="1"/>
  <c r="P296" i="20"/>
  <c r="P299" i="20" s="1"/>
  <c r="S14" i="28" s="1"/>
  <c r="Z405" i="20"/>
  <c r="Z408" i="20" s="1"/>
  <c r="AC15" i="28" s="1"/>
  <c r="R405" i="20"/>
  <c r="R408" i="20" s="1"/>
  <c r="U15" i="28" s="1"/>
  <c r="X82" i="20"/>
  <c r="X85" i="20" s="1"/>
  <c r="AA12" i="28" s="1"/>
  <c r="O188" i="20"/>
  <c r="O191" i="20" s="1"/>
  <c r="R13" i="28" s="1"/>
  <c r="Y82" i="20"/>
  <c r="Y85" i="20" s="1"/>
  <c r="AB12" i="28" s="1"/>
  <c r="C296" i="20"/>
  <c r="C299" i="20" s="1"/>
  <c r="F14" i="28" s="1"/>
  <c r="AC510" i="20"/>
  <c r="M296" i="20"/>
  <c r="K296" i="20"/>
  <c r="K299" i="20" s="1"/>
  <c r="N14" i="28" s="1"/>
  <c r="M405" i="20"/>
  <c r="K82" i="20"/>
  <c r="K85" i="20" s="1"/>
  <c r="N12" i="28" s="1"/>
  <c r="N296" i="20"/>
  <c r="N299" i="20" s="1"/>
  <c r="Q14" i="28" s="1"/>
  <c r="H188" i="20"/>
  <c r="H191" i="20" s="1"/>
  <c r="K13" i="28" s="1"/>
  <c r="N188" i="20"/>
  <c r="N191" i="20" s="1"/>
  <c r="Q13" i="28" s="1"/>
  <c r="K405" i="20"/>
  <c r="K408" i="20" s="1"/>
  <c r="N15" i="28" s="1"/>
  <c r="AA405" i="20"/>
  <c r="AA408" i="20" s="1"/>
  <c r="AD15" i="28" s="1"/>
  <c r="AB510" i="20"/>
  <c r="AB513" i="20" s="1"/>
  <c r="AE16" i="28" s="1"/>
  <c r="E188" i="20"/>
  <c r="E191" i="20" s="1"/>
  <c r="H13" i="28" s="1"/>
  <c r="U296" i="20"/>
  <c r="U299" i="20" s="1"/>
  <c r="X14" i="28" s="1"/>
  <c r="J510" i="20"/>
  <c r="J513" i="20" s="1"/>
  <c r="M16" i="28" s="1"/>
  <c r="F510" i="20"/>
  <c r="F513" i="20" s="1"/>
  <c r="I16" i="28" s="1"/>
  <c r="Q188" i="20"/>
  <c r="Q191" i="20" s="1"/>
  <c r="T13" i="28" s="1"/>
  <c r="AC82" i="20"/>
  <c r="R510" i="20"/>
  <c r="R513" i="20" s="1"/>
  <c r="U16" i="28" s="1"/>
  <c r="K510" i="20"/>
  <c r="K513" i="20" s="1"/>
  <c r="N16" i="28" s="1"/>
  <c r="T510" i="20"/>
  <c r="T513" i="20" s="1"/>
  <c r="W16" i="28" s="1"/>
  <c r="U510" i="20"/>
  <c r="U513" i="20" s="1"/>
  <c r="X16" i="28" s="1"/>
  <c r="Q510" i="20"/>
  <c r="Q513" i="20" s="1"/>
  <c r="T16" i="28" s="1"/>
  <c r="Y296" i="20"/>
  <c r="Y299" i="20" s="1"/>
  <c r="AB14" i="28" s="1"/>
  <c r="P188" i="20"/>
  <c r="P191" i="20" s="1"/>
  <c r="S13" i="28" s="1"/>
  <c r="J405" i="20"/>
  <c r="J408" i="20" s="1"/>
  <c r="M15" i="28" s="1"/>
  <c r="D296" i="20"/>
  <c r="D299" i="20" s="1"/>
  <c r="G14" i="28" s="1"/>
  <c r="W510" i="20"/>
  <c r="W513" i="20" s="1"/>
  <c r="Z16" i="28" s="1"/>
  <c r="R188" i="20"/>
  <c r="R191" i="20" s="1"/>
  <c r="U13" i="28" s="1"/>
  <c r="AC405" i="20"/>
  <c r="D188" i="20"/>
  <c r="D191" i="20" s="1"/>
  <c r="G13" i="28" s="1"/>
  <c r="H510" i="20"/>
  <c r="H513" i="20" s="1"/>
  <c r="K16" i="28" s="1"/>
  <c r="T82" i="20"/>
  <c r="T85" i="20" s="1"/>
  <c r="W12" i="28" s="1"/>
  <c r="B82" i="20"/>
  <c r="AC296" i="20"/>
  <c r="F188" i="20"/>
  <c r="F191" i="20" s="1"/>
  <c r="I13" i="28" s="1"/>
  <c r="B188" i="20"/>
  <c r="I510" i="20"/>
  <c r="I513" i="20" s="1"/>
  <c r="L16" i="28" s="1"/>
  <c r="L188" i="20"/>
  <c r="L191" i="20" s="1"/>
  <c r="O13" i="28" s="1"/>
  <c r="B510" i="20"/>
  <c r="V405" i="20"/>
  <c r="V408" i="20" s="1"/>
  <c r="Y15" i="28" s="1"/>
  <c r="Z510" i="20"/>
  <c r="Z513" i="20" s="1"/>
  <c r="AC16" i="28" s="1"/>
  <c r="O296" i="20"/>
  <c r="O299" i="20" s="1"/>
  <c r="R14" i="28" s="1"/>
  <c r="AB296" i="20"/>
  <c r="AB299" i="20" s="1"/>
  <c r="AE14" i="28" s="1"/>
  <c r="U188" i="20"/>
  <c r="U191" i="20" s="1"/>
  <c r="X13" i="28" s="1"/>
  <c r="B296" i="20"/>
  <c r="X296" i="20"/>
  <c r="X299" i="20" s="1"/>
  <c r="AA14" i="28" s="1"/>
  <c r="AB405" i="20"/>
  <c r="AB408" i="20" s="1"/>
  <c r="AE15" i="28" s="1"/>
  <c r="Y405" i="20"/>
  <c r="Y408" i="20" s="1"/>
  <c r="AB15" i="28" s="1"/>
  <c r="M188" i="20"/>
  <c r="E510" i="20"/>
  <c r="E513" i="20" s="1"/>
  <c r="H16" i="28" s="1"/>
  <c r="G510" i="20"/>
  <c r="G513" i="20" s="1"/>
  <c r="J16" i="28" s="1"/>
  <c r="G296" i="20"/>
  <c r="G299" i="20" s="1"/>
  <c r="J14" i="28" s="1"/>
  <c r="C405" i="20"/>
  <c r="C408" i="20" s="1"/>
  <c r="F15" i="28" s="1"/>
  <c r="V82" i="20"/>
  <c r="V85" i="20" s="1"/>
  <c r="Y12" i="28" s="1"/>
  <c r="F296" i="20"/>
  <c r="F299" i="20" s="1"/>
  <c r="I14" i="28" s="1"/>
  <c r="J296" i="20"/>
  <c r="J299" i="20" s="1"/>
  <c r="M14" i="28" s="1"/>
  <c r="N82" i="20"/>
  <c r="N85" i="20" s="1"/>
  <c r="Q12" i="28" s="1"/>
  <c r="S188" i="20"/>
  <c r="S191" i="20" s="1"/>
  <c r="V13" i="28" s="1"/>
  <c r="Z188" i="20"/>
  <c r="Z191" i="20" s="1"/>
  <c r="AC13" i="28" s="1"/>
  <c r="I188" i="20"/>
  <c r="I191" i="20" s="1"/>
  <c r="L13" i="28" s="1"/>
  <c r="S405" i="20"/>
  <c r="S408" i="20" s="1"/>
  <c r="V15" i="28" s="1"/>
  <c r="W296" i="20"/>
  <c r="W299" i="20" s="1"/>
  <c r="Z14" i="28" s="1"/>
  <c r="AC188" i="20"/>
  <c r="O405" i="20"/>
  <c r="O408" i="20" s="1"/>
  <c r="R15" i="28" s="1"/>
  <c r="E405" i="20"/>
  <c r="E408" i="20" s="1"/>
  <c r="H15" i="28" s="1"/>
  <c r="C82" i="20"/>
  <c r="C85" i="20" s="1"/>
  <c r="F12" i="28" s="1"/>
  <c r="I296" i="20"/>
  <c r="I299" i="20" s="1"/>
  <c r="L14" i="28" s="1"/>
  <c r="P405" i="20"/>
  <c r="P408" i="20" s="1"/>
  <c r="S15" i="28" s="1"/>
  <c r="S510" i="20"/>
  <c r="S513" i="20" s="1"/>
  <c r="V16" i="28" s="1"/>
  <c r="P82" i="20"/>
  <c r="P85" i="20" s="1"/>
  <c r="S12" i="28" s="1"/>
  <c r="T405" i="20"/>
  <c r="T408" i="20" s="1"/>
  <c r="W15" i="28" s="1"/>
  <c r="X188" i="20"/>
  <c r="X191" i="20" s="1"/>
  <c r="AA13" i="28" s="1"/>
  <c r="K188" i="20"/>
  <c r="K191" i="20" s="1"/>
  <c r="N13" i="28" s="1"/>
  <c r="S296" i="20"/>
  <c r="S299" i="20" s="1"/>
  <c r="V14" i="28" s="1"/>
  <c r="W188" i="20"/>
  <c r="W191" i="20" s="1"/>
  <c r="Z13" i="28" s="1"/>
  <c r="L82" i="20"/>
  <c r="L85" i="20" s="1"/>
  <c r="O12" i="28" s="1"/>
  <c r="AA188" i="20"/>
  <c r="AA191" i="20" s="1"/>
  <c r="AD13" i="28" s="1"/>
  <c r="E296" i="20"/>
  <c r="E299" i="20" s="1"/>
  <c r="H14" i="28" s="1"/>
  <c r="O82" i="20"/>
  <c r="O85" i="20" s="1"/>
  <c r="R12" i="28" s="1"/>
  <c r="Q405" i="20"/>
  <c r="Q408" i="20" s="1"/>
  <c r="T15" i="28" s="1"/>
  <c r="Z82" i="20"/>
  <c r="Z85" i="20" s="1"/>
  <c r="AC12" i="28" s="1"/>
  <c r="L405" i="20"/>
  <c r="L408" i="20" s="1"/>
  <c r="O15" i="28" s="1"/>
  <c r="P510" i="20"/>
  <c r="P513" i="20" s="1"/>
  <c r="S16" i="28" s="1"/>
  <c r="F82" i="20"/>
  <c r="F85" i="20" s="1"/>
  <c r="I12" i="28" s="1"/>
  <c r="I405" i="20"/>
  <c r="I408" i="20" s="1"/>
  <c r="L15" i="28" s="1"/>
  <c r="Q82" i="20"/>
  <c r="Q85" i="20" s="1"/>
  <c r="T12" i="28" s="1"/>
  <c r="H82" i="20"/>
  <c r="H85" i="20" s="1"/>
  <c r="K12" i="28" s="1"/>
  <c r="R296" i="20"/>
  <c r="R299" i="20" s="1"/>
  <c r="U14" i="28" s="1"/>
  <c r="J82" i="20"/>
  <c r="J85" i="20" s="1"/>
  <c r="M12" i="28" s="1"/>
  <c r="Y188" i="20"/>
  <c r="Y191" i="20" s="1"/>
  <c r="AB13" i="28" s="1"/>
  <c r="N405" i="20"/>
  <c r="N408" i="20" s="1"/>
  <c r="Q15" i="28" s="1"/>
  <c r="AA510" i="20"/>
  <c r="AA513" i="20" s="1"/>
  <c r="AD16" i="28" s="1"/>
  <c r="W82" i="20"/>
  <c r="W85" i="20" s="1"/>
  <c r="Z12" i="28" s="1"/>
  <c r="I82" i="20"/>
  <c r="I85" i="20" s="1"/>
  <c r="L12" i="28" s="1"/>
  <c r="E82" i="20"/>
  <c r="E85" i="20" s="1"/>
  <c r="H12" i="28" s="1"/>
  <c r="C188" i="20"/>
  <c r="C191" i="20" s="1"/>
  <c r="F13" i="28" s="1"/>
  <c r="D510" i="20"/>
  <c r="D513" i="20" s="1"/>
  <c r="G16" i="28" s="1"/>
  <c r="L510" i="20"/>
  <c r="L513" i="20" s="1"/>
  <c r="O16" i="28" s="1"/>
  <c r="L296" i="19"/>
  <c r="L299" i="19" s="1"/>
  <c r="O9" i="28" s="1"/>
  <c r="J296" i="19"/>
  <c r="J299" i="19" s="1"/>
  <c r="M9" i="28" s="1"/>
  <c r="AC405" i="19"/>
  <c r="F82" i="19"/>
  <c r="F85" i="19" s="1"/>
  <c r="I7" i="28" s="1"/>
  <c r="C405" i="19"/>
  <c r="C408" i="19" s="1"/>
  <c r="F10" i="28" s="1"/>
  <c r="Q82" i="19"/>
  <c r="Q85" i="19" s="1"/>
  <c r="T7" i="28" s="1"/>
  <c r="W405" i="19"/>
  <c r="W408" i="19" s="1"/>
  <c r="Z10" i="28" s="1"/>
  <c r="I405" i="19"/>
  <c r="I408" i="19" s="1"/>
  <c r="L10" i="28" s="1"/>
  <c r="Z188" i="19"/>
  <c r="Z191" i="19" s="1"/>
  <c r="AC8" i="28" s="1"/>
  <c r="Z405" i="19"/>
  <c r="Z408" i="19" s="1"/>
  <c r="AC10" i="28" s="1"/>
  <c r="Q296" i="19"/>
  <c r="Q299" i="19" s="1"/>
  <c r="T9" i="28" s="1"/>
  <c r="E188" i="19"/>
  <c r="E191" i="19" s="1"/>
  <c r="H8" i="28" s="1"/>
  <c r="B405" i="19"/>
  <c r="H510" i="19"/>
  <c r="H513" i="19" s="1"/>
  <c r="K11" i="28" s="1"/>
  <c r="X188" i="19"/>
  <c r="X191" i="19" s="1"/>
  <c r="AA8" i="28" s="1"/>
  <c r="K82" i="19"/>
  <c r="K85" i="19" s="1"/>
  <c r="N7" i="28" s="1"/>
  <c r="U82" i="19"/>
  <c r="U85" i="19" s="1"/>
  <c r="X7" i="28" s="1"/>
  <c r="M405" i="19"/>
  <c r="Z296" i="19"/>
  <c r="Z299" i="19" s="1"/>
  <c r="AC9" i="28" s="1"/>
  <c r="N82" i="19"/>
  <c r="N85" i="19" s="1"/>
  <c r="Q7" i="28" s="1"/>
  <c r="G405" i="19"/>
  <c r="G408" i="19" s="1"/>
  <c r="J10" i="28" s="1"/>
  <c r="Q510" i="19"/>
  <c r="Q513" i="19" s="1"/>
  <c r="T11" i="28" s="1"/>
  <c r="W510" i="19"/>
  <c r="W513" i="19" s="1"/>
  <c r="Z11" i="28" s="1"/>
  <c r="C296" i="19"/>
  <c r="C299" i="19" s="1"/>
  <c r="F9" i="28" s="1"/>
  <c r="M296" i="19"/>
  <c r="G510" i="19"/>
  <c r="G513" i="19" s="1"/>
  <c r="J11" i="28" s="1"/>
  <c r="E510" i="19"/>
  <c r="E513" i="19" s="1"/>
  <c r="H11" i="28" s="1"/>
  <c r="L405" i="19"/>
  <c r="L408" i="19" s="1"/>
  <c r="O10" i="28" s="1"/>
  <c r="S188" i="19"/>
  <c r="S191" i="19" s="1"/>
  <c r="V8" i="28" s="1"/>
  <c r="R405" i="19"/>
  <c r="R408" i="19" s="1"/>
  <c r="U10" i="28" s="1"/>
  <c r="H188" i="19"/>
  <c r="H191" i="19" s="1"/>
  <c r="K8" i="28" s="1"/>
  <c r="I82" i="19"/>
  <c r="I85" i="19" s="1"/>
  <c r="L7" i="28" s="1"/>
  <c r="V405" i="19"/>
  <c r="V408" i="19" s="1"/>
  <c r="Y10" i="28" s="1"/>
  <c r="S510" i="19"/>
  <c r="S513" i="19" s="1"/>
  <c r="V11" i="28" s="1"/>
  <c r="D510" i="19"/>
  <c r="D513" i="19" s="1"/>
  <c r="G11" i="28" s="1"/>
  <c r="AC296" i="19"/>
  <c r="AB296" i="19"/>
  <c r="AB299" i="19" s="1"/>
  <c r="AE9" i="28" s="1"/>
  <c r="W296" i="19"/>
  <c r="W299" i="19" s="1"/>
  <c r="Z9" i="28" s="1"/>
  <c r="AA405" i="19"/>
  <c r="AA408" i="19" s="1"/>
  <c r="AD10" i="28" s="1"/>
  <c r="E82" i="19"/>
  <c r="E85" i="19" s="1"/>
  <c r="H7" i="28" s="1"/>
  <c r="O296" i="19"/>
  <c r="O299" i="19" s="1"/>
  <c r="R9" i="28" s="1"/>
  <c r="U510" i="19"/>
  <c r="U513" i="19" s="1"/>
  <c r="X11" i="28" s="1"/>
  <c r="P405" i="19"/>
  <c r="P408" i="19" s="1"/>
  <c r="S10" i="28" s="1"/>
  <c r="J188" i="19"/>
  <c r="J191" i="19" s="1"/>
  <c r="M8" i="28" s="1"/>
  <c r="M188" i="19"/>
  <c r="C82" i="19"/>
  <c r="C85" i="19" s="1"/>
  <c r="F7" i="28" s="1"/>
  <c r="P296" i="19"/>
  <c r="P299" i="19" s="1"/>
  <c r="S9" i="28" s="1"/>
  <c r="V188" i="19"/>
  <c r="V191" i="19" s="1"/>
  <c r="Y8" i="28" s="1"/>
  <c r="O188" i="19"/>
  <c r="O191" i="19" s="1"/>
  <c r="R8" i="28" s="1"/>
  <c r="R296" i="19"/>
  <c r="R299" i="19" s="1"/>
  <c r="U9" i="28" s="1"/>
  <c r="C188" i="19"/>
  <c r="C191" i="19" s="1"/>
  <c r="F8" i="28" s="1"/>
  <c r="O405" i="19"/>
  <c r="O408" i="19" s="1"/>
  <c r="R10" i="28" s="1"/>
  <c r="AB188" i="19"/>
  <c r="AB191" i="19" s="1"/>
  <c r="AE8" i="28" s="1"/>
  <c r="AB82" i="19"/>
  <c r="AB85" i="19" s="1"/>
  <c r="AE7" i="28" s="1"/>
  <c r="F188" i="19"/>
  <c r="F191" i="19" s="1"/>
  <c r="I8" i="28" s="1"/>
  <c r="C510" i="19"/>
  <c r="C513" i="19" s="1"/>
  <c r="F11" i="28" s="1"/>
  <c r="K296" i="19"/>
  <c r="K299" i="19" s="1"/>
  <c r="N9" i="28" s="1"/>
  <c r="AC188" i="19"/>
  <c r="D296" i="19"/>
  <c r="D299" i="19" s="1"/>
  <c r="G9" i="28" s="1"/>
  <c r="AA510" i="19"/>
  <c r="AA513" i="19" s="1"/>
  <c r="AD11" i="28" s="1"/>
  <c r="V82" i="19"/>
  <c r="V85" i="19" s="1"/>
  <c r="Y7" i="28" s="1"/>
  <c r="F405" i="19"/>
  <c r="F408" i="19" s="1"/>
  <c r="I10" i="28" s="1"/>
  <c r="S82" i="19"/>
  <c r="S85" i="19" s="1"/>
  <c r="V7" i="28" s="1"/>
  <c r="AC82" i="19"/>
  <c r="AC510" i="19"/>
  <c r="N188" i="19"/>
  <c r="N191" i="19" s="1"/>
  <c r="Q8" i="28" s="1"/>
  <c r="X296" i="19"/>
  <c r="X299" i="19" s="1"/>
  <c r="AA9" i="28" s="1"/>
  <c r="F296" i="19"/>
  <c r="F299" i="19" s="1"/>
  <c r="I9" i="28" s="1"/>
  <c r="N510" i="19"/>
  <c r="N513" i="19" s="1"/>
  <c r="Q11" i="28" s="1"/>
  <c r="D188" i="19"/>
  <c r="D191" i="19" s="1"/>
  <c r="G8" i="28" s="1"/>
  <c r="D405" i="19"/>
  <c r="D408" i="19" s="1"/>
  <c r="G10" i="28" s="1"/>
  <c r="L510" i="19"/>
  <c r="L513" i="19" s="1"/>
  <c r="O11" i="28" s="1"/>
  <c r="V510" i="19"/>
  <c r="V513" i="19" s="1"/>
  <c r="Y11" i="28" s="1"/>
  <c r="G296" i="19"/>
  <c r="G299" i="19" s="1"/>
  <c r="J9" i="28" s="1"/>
  <c r="T82" i="19"/>
  <c r="T85" i="19" s="1"/>
  <c r="W7" i="28" s="1"/>
  <c r="J405" i="19"/>
  <c r="J408" i="19" s="1"/>
  <c r="M10" i="28" s="1"/>
  <c r="D82" i="19"/>
  <c r="D85" i="19" s="1"/>
  <c r="G7" i="28" s="1"/>
  <c r="H82" i="19"/>
  <c r="H85" i="19" s="1"/>
  <c r="K7" i="28" s="1"/>
  <c r="X82" i="19"/>
  <c r="X85" i="19" s="1"/>
  <c r="AA7" i="28" s="1"/>
  <c r="L82" i="19"/>
  <c r="L85" i="19" s="1"/>
  <c r="O7" i="28" s="1"/>
  <c r="K188" i="19"/>
  <c r="K191" i="19" s="1"/>
  <c r="N8" i="28" s="1"/>
  <c r="M82" i="19"/>
  <c r="U296" i="19"/>
  <c r="U299" i="19" s="1"/>
  <c r="X9" i="28" s="1"/>
  <c r="Y82" i="19"/>
  <c r="Y85" i="19" s="1"/>
  <c r="AB7" i="28" s="1"/>
  <c r="K510" i="19"/>
  <c r="K513" i="19" s="1"/>
  <c r="N11" i="28" s="1"/>
  <c r="Y188" i="19"/>
  <c r="Y191" i="19" s="1"/>
  <c r="AB8" i="28" s="1"/>
  <c r="S405" i="19"/>
  <c r="S408" i="19" s="1"/>
  <c r="V10" i="28" s="1"/>
  <c r="T405" i="19"/>
  <c r="T408" i="19" s="1"/>
  <c r="W10" i="28" s="1"/>
  <c r="Y510" i="19"/>
  <c r="Y513" i="19" s="1"/>
  <c r="AB11" i="28" s="1"/>
  <c r="Y405" i="19"/>
  <c r="Y408" i="19" s="1"/>
  <c r="AB10" i="28" s="1"/>
  <c r="W188" i="19"/>
  <c r="W191" i="19" s="1"/>
  <c r="Z8" i="28" s="1"/>
  <c r="V296" i="19"/>
  <c r="V299" i="19" s="1"/>
  <c r="Y9" i="28" s="1"/>
  <c r="J510" i="19"/>
  <c r="J513" i="19" s="1"/>
  <c r="M11" i="28" s="1"/>
  <c r="Q188" i="19"/>
  <c r="Q191" i="19" s="1"/>
  <c r="T8" i="28" s="1"/>
  <c r="B188" i="19"/>
  <c r="AB510" i="19"/>
  <c r="AB513" i="19" s="1"/>
  <c r="AE11" i="28" s="1"/>
  <c r="G82" i="19"/>
  <c r="G85" i="19" s="1"/>
  <c r="J7" i="28" s="1"/>
  <c r="F510" i="19"/>
  <c r="F513" i="19" s="1"/>
  <c r="I11" i="28" s="1"/>
  <c r="U405" i="19"/>
  <c r="U408" i="19" s="1"/>
  <c r="X10" i="28" s="1"/>
  <c r="Q405" i="19"/>
  <c r="Q408" i="19" s="1"/>
  <c r="T10" i="28" s="1"/>
  <c r="E296" i="19"/>
  <c r="E299" i="19" s="1"/>
  <c r="H9" i="28" s="1"/>
  <c r="X510" i="19"/>
  <c r="X513" i="19" s="1"/>
  <c r="AA11" i="28" s="1"/>
  <c r="O510" i="19"/>
  <c r="O513" i="19" s="1"/>
  <c r="R11" i="28" s="1"/>
  <c r="AA296" i="19"/>
  <c r="AA299" i="19" s="1"/>
  <c r="AD9" i="28" s="1"/>
  <c r="W82" i="19"/>
  <c r="W85" i="19" s="1"/>
  <c r="Z7" i="28" s="1"/>
  <c r="R510" i="19"/>
  <c r="R513" i="19" s="1"/>
  <c r="U11" i="28" s="1"/>
  <c r="E405" i="19"/>
  <c r="E408" i="19" s="1"/>
  <c r="H10" i="28" s="1"/>
  <c r="X405" i="19"/>
  <c r="X408" i="19" s="1"/>
  <c r="AA10" i="28" s="1"/>
  <c r="P82" i="19"/>
  <c r="P85" i="19" s="1"/>
  <c r="S7" i="28" s="1"/>
  <c r="H296" i="19"/>
  <c r="H299" i="19" s="1"/>
  <c r="K9" i="28" s="1"/>
  <c r="G188" i="19"/>
  <c r="G191" i="19" s="1"/>
  <c r="J8" i="28" s="1"/>
  <c r="N405" i="19"/>
  <c r="N408" i="19" s="1"/>
  <c r="Q10" i="28" s="1"/>
  <c r="K405" i="19"/>
  <c r="K408" i="19" s="1"/>
  <c r="N10" i="28" s="1"/>
  <c r="Z510" i="19"/>
  <c r="Z513" i="19" s="1"/>
  <c r="AC11" i="28" s="1"/>
  <c r="N296" i="19"/>
  <c r="N299" i="19" s="1"/>
  <c r="Q9" i="28" s="1"/>
  <c r="Y296" i="19"/>
  <c r="Y299" i="19" s="1"/>
  <c r="AB9" i="28" s="1"/>
  <c r="P510" i="19"/>
  <c r="P513" i="19" s="1"/>
  <c r="S11" i="28" s="1"/>
  <c r="P188" i="19"/>
  <c r="P191" i="19" s="1"/>
  <c r="S8" i="28" s="1"/>
  <c r="T296" i="19"/>
  <c r="T299" i="19" s="1"/>
  <c r="W9" i="28" s="1"/>
  <c r="T188" i="19"/>
  <c r="T191" i="19" s="1"/>
  <c r="W8" i="28" s="1"/>
  <c r="L188" i="19"/>
  <c r="L191" i="19" s="1"/>
  <c r="O8" i="28" s="1"/>
  <c r="Z82" i="19"/>
  <c r="Z85" i="19" s="1"/>
  <c r="AC7" i="28" s="1"/>
  <c r="AB405" i="19"/>
  <c r="AB408" i="19" s="1"/>
  <c r="AE10" i="28" s="1"/>
  <c r="AA188" i="19"/>
  <c r="AA191" i="19" s="1"/>
  <c r="AD8" i="28" s="1"/>
  <c r="R188" i="19"/>
  <c r="R191" i="19" s="1"/>
  <c r="U8" i="28" s="1"/>
  <c r="AV14" i="9"/>
  <c r="AV15" i="9"/>
  <c r="AV32" i="9"/>
  <c r="AU27" i="9"/>
  <c r="AU26" i="9"/>
  <c r="AU25" i="9"/>
  <c r="AU24" i="9"/>
  <c r="AU31" i="9"/>
  <c r="A511" i="9"/>
  <c r="A406" i="9"/>
  <c r="A297" i="9"/>
  <c r="A189" i="9"/>
  <c r="A83" i="9"/>
  <c r="A406" i="13"/>
  <c r="A297" i="13"/>
  <c r="A189" i="13"/>
  <c r="A83" i="13"/>
  <c r="A511" i="3"/>
  <c r="A406" i="3"/>
  <c r="A297" i="3"/>
  <c r="A189" i="3"/>
  <c r="A370" i="13"/>
  <c r="A368" i="13"/>
  <c r="A405" i="13" s="1"/>
  <c r="A367" i="13"/>
  <c r="A366" i="13"/>
  <c r="A365" i="13"/>
  <c r="A363" i="13"/>
  <c r="A380" i="13" s="1"/>
  <c r="A404" i="13" s="1"/>
  <c r="A362" i="13"/>
  <c r="A361" i="13"/>
  <c r="A379" i="13" s="1"/>
  <c r="A403" i="13" s="1"/>
  <c r="A360" i="13"/>
  <c r="A378" i="13" s="1"/>
  <c r="A390" i="13" s="1"/>
  <c r="A359" i="13"/>
  <c r="A377" i="13" s="1"/>
  <c r="A401" i="13" s="1"/>
  <c r="A358" i="13"/>
  <c r="A357" i="13"/>
  <c r="A376" i="13" s="1"/>
  <c r="A388" i="13" s="1"/>
  <c r="A356" i="13"/>
  <c r="A375" i="13" s="1"/>
  <c r="A355" i="13"/>
  <c r="A374" i="13" s="1"/>
  <c r="A398" i="13" s="1"/>
  <c r="A354" i="13"/>
  <c r="A373" i="13" s="1"/>
  <c r="A385" i="13" s="1"/>
  <c r="AR350" i="13"/>
  <c r="AQ350" i="13"/>
  <c r="AP350" i="13"/>
  <c r="AO350" i="13"/>
  <c r="AN350" i="13"/>
  <c r="AM350" i="13"/>
  <c r="AL350" i="13"/>
  <c r="AK350" i="13"/>
  <c r="AJ350" i="13"/>
  <c r="AI350" i="13"/>
  <c r="AH350" i="13"/>
  <c r="AG350" i="13"/>
  <c r="AF350" i="13"/>
  <c r="AE350" i="13"/>
  <c r="AD350" i="13"/>
  <c r="AC350" i="13"/>
  <c r="AB350" i="13"/>
  <c r="AA350" i="13"/>
  <c r="Z350" i="13"/>
  <c r="Y350" i="13"/>
  <c r="X350" i="13"/>
  <c r="W350" i="13"/>
  <c r="V350" i="13"/>
  <c r="U350" i="13"/>
  <c r="T350" i="13"/>
  <c r="S350" i="13"/>
  <c r="R350" i="13"/>
  <c r="Q350" i="13"/>
  <c r="AR349" i="13"/>
  <c r="AQ349" i="13"/>
  <c r="AP349" i="13"/>
  <c r="AO349" i="13"/>
  <c r="AN349" i="13"/>
  <c r="AM349" i="13"/>
  <c r="AL349" i="13"/>
  <c r="AK349" i="13"/>
  <c r="AJ349" i="13"/>
  <c r="AI349" i="13"/>
  <c r="AH349" i="13"/>
  <c r="AG349" i="13"/>
  <c r="AF349" i="13"/>
  <c r="AE349" i="13"/>
  <c r="AD349" i="13"/>
  <c r="AC349" i="13"/>
  <c r="AB349" i="13"/>
  <c r="AA349" i="13"/>
  <c r="Z349" i="13"/>
  <c r="Y349" i="13"/>
  <c r="X349" i="13"/>
  <c r="W349" i="13"/>
  <c r="V349" i="13"/>
  <c r="U349" i="13"/>
  <c r="T349" i="13"/>
  <c r="S349" i="13"/>
  <c r="R349" i="13"/>
  <c r="Q349" i="13"/>
  <c r="AR348" i="13"/>
  <c r="AQ348" i="13"/>
  <c r="AP348" i="13"/>
  <c r="AO348" i="13"/>
  <c r="AN348" i="13"/>
  <c r="AM348" i="13"/>
  <c r="AL348" i="13"/>
  <c r="AK348" i="13"/>
  <c r="AJ348" i="13"/>
  <c r="AI348" i="13"/>
  <c r="AH348" i="13"/>
  <c r="AG348" i="13"/>
  <c r="AF348" i="13"/>
  <c r="AE348" i="13"/>
  <c r="AD348" i="13"/>
  <c r="AC348" i="13"/>
  <c r="AB348" i="13"/>
  <c r="AA348" i="13"/>
  <c r="Z348" i="13"/>
  <c r="Y348" i="13"/>
  <c r="X348" i="13"/>
  <c r="W348" i="13"/>
  <c r="V348" i="13"/>
  <c r="U348" i="13"/>
  <c r="T348" i="13"/>
  <c r="S348" i="13"/>
  <c r="R348" i="13"/>
  <c r="Q348" i="13"/>
  <c r="AR347" i="13"/>
  <c r="AQ347" i="13"/>
  <c r="AP347" i="13"/>
  <c r="AO347" i="13"/>
  <c r="AN347" i="13"/>
  <c r="AM347" i="13"/>
  <c r="AL347" i="13"/>
  <c r="AK347" i="13"/>
  <c r="AJ347" i="13"/>
  <c r="AI347" i="13"/>
  <c r="AH347" i="13"/>
  <c r="AG347" i="13"/>
  <c r="AF347" i="13"/>
  <c r="AE347" i="13"/>
  <c r="AD347" i="13"/>
  <c r="AC347" i="13"/>
  <c r="AB347" i="13"/>
  <c r="AA347" i="13"/>
  <c r="Z347" i="13"/>
  <c r="Y347" i="13"/>
  <c r="X347" i="13"/>
  <c r="W347" i="13"/>
  <c r="V347" i="13"/>
  <c r="U347" i="13"/>
  <c r="T347" i="13"/>
  <c r="S347" i="13"/>
  <c r="R347" i="13"/>
  <c r="Q347" i="13"/>
  <c r="AR346" i="13"/>
  <c r="AQ346" i="13"/>
  <c r="AP346" i="13"/>
  <c r="AO346" i="13"/>
  <c r="AN346" i="13"/>
  <c r="AM346" i="13"/>
  <c r="AL346" i="13"/>
  <c r="AK346" i="13"/>
  <c r="AJ346" i="13"/>
  <c r="AI346" i="13"/>
  <c r="AH346" i="13"/>
  <c r="AG346" i="13"/>
  <c r="AF346" i="13"/>
  <c r="AE346" i="13"/>
  <c r="AD346" i="13"/>
  <c r="AC346" i="13"/>
  <c r="AB346" i="13"/>
  <c r="AA346" i="13"/>
  <c r="Z346" i="13"/>
  <c r="Y346" i="13"/>
  <c r="X346" i="13"/>
  <c r="W346" i="13"/>
  <c r="V346" i="13"/>
  <c r="U346" i="13"/>
  <c r="T346" i="13"/>
  <c r="S346" i="13"/>
  <c r="R346" i="13"/>
  <c r="Q346" i="13"/>
  <c r="AR345" i="13"/>
  <c r="AQ345" i="13"/>
  <c r="AP345" i="13"/>
  <c r="AO345" i="13"/>
  <c r="AN345" i="13"/>
  <c r="AM345" i="13"/>
  <c r="AL345" i="13"/>
  <c r="AK345" i="13"/>
  <c r="AJ345" i="13"/>
  <c r="AI345" i="13"/>
  <c r="AH345" i="13"/>
  <c r="AG345" i="13"/>
  <c r="AF345" i="13"/>
  <c r="AE345" i="13"/>
  <c r="AD345" i="13"/>
  <c r="AC345" i="13"/>
  <c r="AB345" i="13"/>
  <c r="AA345" i="13"/>
  <c r="Z345" i="13"/>
  <c r="Y345" i="13"/>
  <c r="X345" i="13"/>
  <c r="W345" i="13"/>
  <c r="V345" i="13"/>
  <c r="U345" i="13"/>
  <c r="T345" i="13"/>
  <c r="S345" i="13"/>
  <c r="R345" i="13"/>
  <c r="Q345" i="13"/>
  <c r="AR343" i="13"/>
  <c r="AQ343" i="13"/>
  <c r="AP343" i="13"/>
  <c r="AO343" i="13"/>
  <c r="AN343" i="13"/>
  <c r="AM343" i="13"/>
  <c r="AL343" i="13"/>
  <c r="AK343" i="13"/>
  <c r="AJ343" i="13"/>
  <c r="AI343" i="13"/>
  <c r="AH343" i="13"/>
  <c r="AG343" i="13"/>
  <c r="AF343" i="13"/>
  <c r="AE343" i="13"/>
  <c r="AD343" i="13"/>
  <c r="AC343" i="13"/>
  <c r="AB343" i="13"/>
  <c r="AA343" i="13"/>
  <c r="Z343" i="13"/>
  <c r="Y343" i="13"/>
  <c r="X343" i="13"/>
  <c r="W343" i="13"/>
  <c r="V343" i="13"/>
  <c r="U343" i="13"/>
  <c r="T343" i="13"/>
  <c r="S343" i="13"/>
  <c r="R343" i="13"/>
  <c r="Q343" i="13"/>
  <c r="AR342" i="13"/>
  <c r="AQ342" i="13"/>
  <c r="AP342" i="13"/>
  <c r="AO342" i="13"/>
  <c r="AN342" i="13"/>
  <c r="AM342" i="13"/>
  <c r="AL342" i="13"/>
  <c r="AK342" i="13"/>
  <c r="AJ342" i="13"/>
  <c r="AI342" i="13"/>
  <c r="AH342" i="13"/>
  <c r="AG342" i="13"/>
  <c r="AF342" i="13"/>
  <c r="AE342" i="13"/>
  <c r="AD342" i="13"/>
  <c r="AC342" i="13"/>
  <c r="AB342" i="13"/>
  <c r="AA342" i="13"/>
  <c r="Z342" i="13"/>
  <c r="Y342" i="13"/>
  <c r="X342" i="13"/>
  <c r="W342" i="13"/>
  <c r="V342" i="13"/>
  <c r="U342" i="13"/>
  <c r="T342" i="13"/>
  <c r="S342" i="13"/>
  <c r="R342" i="13"/>
  <c r="Q342" i="13"/>
  <c r="AR341" i="13"/>
  <c r="AQ341" i="13"/>
  <c r="AP341" i="13"/>
  <c r="AO341" i="13"/>
  <c r="AN341" i="13"/>
  <c r="AM341" i="13"/>
  <c r="AL341" i="13"/>
  <c r="AK341" i="13"/>
  <c r="AJ341" i="13"/>
  <c r="AI341" i="13"/>
  <c r="AH341" i="13"/>
  <c r="AG341" i="13"/>
  <c r="AF341" i="13"/>
  <c r="AE341" i="13"/>
  <c r="AD341" i="13"/>
  <c r="AC341" i="13"/>
  <c r="AB341" i="13"/>
  <c r="AA341" i="13"/>
  <c r="Z341" i="13"/>
  <c r="Y341" i="13"/>
  <c r="X341" i="13"/>
  <c r="W341" i="13"/>
  <c r="V341" i="13"/>
  <c r="U341" i="13"/>
  <c r="T341" i="13"/>
  <c r="S341" i="13"/>
  <c r="R341" i="13"/>
  <c r="Q341" i="13"/>
  <c r="AR340" i="13"/>
  <c r="AQ340" i="13"/>
  <c r="AP340" i="13"/>
  <c r="AO340" i="13"/>
  <c r="AN340" i="13"/>
  <c r="AM340" i="13"/>
  <c r="AL340" i="13"/>
  <c r="AK340" i="13"/>
  <c r="AJ340" i="13"/>
  <c r="AI340" i="13"/>
  <c r="AH340" i="13"/>
  <c r="AG340" i="13"/>
  <c r="AF340" i="13"/>
  <c r="AE340" i="13"/>
  <c r="AD340" i="13"/>
  <c r="AC340" i="13"/>
  <c r="AB340" i="13"/>
  <c r="AA340" i="13"/>
  <c r="Z340" i="13"/>
  <c r="Y340" i="13"/>
  <c r="X340" i="13"/>
  <c r="W340" i="13"/>
  <c r="V340" i="13"/>
  <c r="U340" i="13"/>
  <c r="T340" i="13"/>
  <c r="S340" i="13"/>
  <c r="R340" i="13"/>
  <c r="Q340" i="13"/>
  <c r="AR339" i="13"/>
  <c r="AQ339" i="13"/>
  <c r="AP339" i="13"/>
  <c r="AO339" i="13"/>
  <c r="AN339" i="13"/>
  <c r="AM339" i="13"/>
  <c r="AL339" i="13"/>
  <c r="AK339" i="13"/>
  <c r="AJ339" i="13"/>
  <c r="AI339" i="13"/>
  <c r="AH339" i="13"/>
  <c r="AG339" i="13"/>
  <c r="AF339" i="13"/>
  <c r="AE339" i="13"/>
  <c r="AD339" i="13"/>
  <c r="AC339" i="13"/>
  <c r="AB339" i="13"/>
  <c r="AA339" i="13"/>
  <c r="Z339" i="13"/>
  <c r="Y339" i="13"/>
  <c r="X339" i="13"/>
  <c r="W339" i="13"/>
  <c r="V339" i="13"/>
  <c r="U339" i="13"/>
  <c r="T339" i="13"/>
  <c r="S339" i="13"/>
  <c r="R339" i="13"/>
  <c r="Q339" i="13"/>
  <c r="AR338" i="13"/>
  <c r="AQ338" i="13"/>
  <c r="AP338" i="13"/>
  <c r="AO338" i="13"/>
  <c r="AN338" i="13"/>
  <c r="AM338" i="13"/>
  <c r="AL338" i="13"/>
  <c r="AK338" i="13"/>
  <c r="AJ338" i="13"/>
  <c r="AI338" i="13"/>
  <c r="AH338" i="13"/>
  <c r="AG338" i="13"/>
  <c r="AF338" i="13"/>
  <c r="AE338" i="13"/>
  <c r="AD338" i="13"/>
  <c r="AC338" i="13"/>
  <c r="AB338" i="13"/>
  <c r="AA338" i="13"/>
  <c r="Z338" i="13"/>
  <c r="Y338" i="13"/>
  <c r="X338" i="13"/>
  <c r="W338" i="13"/>
  <c r="V338" i="13"/>
  <c r="U338" i="13"/>
  <c r="T338" i="13"/>
  <c r="S338" i="13"/>
  <c r="R338" i="13"/>
  <c r="Q338" i="13"/>
  <c r="AR337" i="13"/>
  <c r="AQ337" i="13"/>
  <c r="AP337" i="13"/>
  <c r="AO337" i="13"/>
  <c r="AN337" i="13"/>
  <c r="AM337" i="13"/>
  <c r="AL337" i="13"/>
  <c r="AK337" i="13"/>
  <c r="AJ337" i="13"/>
  <c r="AI337" i="13"/>
  <c r="AH337" i="13"/>
  <c r="AG337" i="13"/>
  <c r="AF337" i="13"/>
  <c r="AE337" i="13"/>
  <c r="AD337" i="13"/>
  <c r="AC337" i="13"/>
  <c r="AB337" i="13"/>
  <c r="AA337" i="13"/>
  <c r="Z337" i="13"/>
  <c r="Y337" i="13"/>
  <c r="X337" i="13"/>
  <c r="W337" i="13"/>
  <c r="V337" i="13"/>
  <c r="U337" i="13"/>
  <c r="T337" i="13"/>
  <c r="S337" i="13"/>
  <c r="R337" i="13"/>
  <c r="Q337" i="13"/>
  <c r="AR336" i="13"/>
  <c r="AQ336" i="13"/>
  <c r="AP336" i="13"/>
  <c r="AO336" i="13"/>
  <c r="AN336" i="13"/>
  <c r="AM336" i="13"/>
  <c r="AL336" i="13"/>
  <c r="AK336" i="13"/>
  <c r="AJ336" i="13"/>
  <c r="AI336" i="13"/>
  <c r="AH336" i="13"/>
  <c r="AG336" i="13"/>
  <c r="AF336" i="13"/>
  <c r="AE336" i="13"/>
  <c r="AD336" i="13"/>
  <c r="AC336" i="13"/>
  <c r="AB336" i="13"/>
  <c r="AA336" i="13"/>
  <c r="Z336" i="13"/>
  <c r="Y336" i="13"/>
  <c r="X336" i="13"/>
  <c r="W336" i="13"/>
  <c r="V336" i="13"/>
  <c r="U336" i="13"/>
  <c r="T336" i="13"/>
  <c r="S336" i="13"/>
  <c r="R336" i="13"/>
  <c r="Q336" i="13"/>
  <c r="AR335" i="13"/>
  <c r="AQ335" i="13"/>
  <c r="AP335" i="13"/>
  <c r="AO335" i="13"/>
  <c r="AN335" i="13"/>
  <c r="AM335" i="13"/>
  <c r="AL335" i="13"/>
  <c r="AK335" i="13"/>
  <c r="AJ335" i="13"/>
  <c r="AI335" i="13"/>
  <c r="AH335" i="13"/>
  <c r="AG335" i="13"/>
  <c r="AF335" i="13"/>
  <c r="AE335" i="13"/>
  <c r="AD335" i="13"/>
  <c r="AC335" i="13"/>
  <c r="AB335" i="13"/>
  <c r="AA335" i="13"/>
  <c r="Z335" i="13"/>
  <c r="Y335" i="13"/>
  <c r="X335" i="13"/>
  <c r="W335" i="13"/>
  <c r="V335" i="13"/>
  <c r="U335" i="13"/>
  <c r="T335" i="13"/>
  <c r="S335" i="13"/>
  <c r="R335" i="13"/>
  <c r="Q335" i="13"/>
  <c r="AR334" i="13"/>
  <c r="AQ334" i="13"/>
  <c r="AP334" i="13"/>
  <c r="AO334" i="13"/>
  <c r="AN334" i="13"/>
  <c r="AM334" i="13"/>
  <c r="AL334" i="13"/>
  <c r="AK334" i="13"/>
  <c r="AJ334" i="13"/>
  <c r="AI334" i="13"/>
  <c r="AH334" i="13"/>
  <c r="AG334" i="13"/>
  <c r="AF334" i="13"/>
  <c r="AE334" i="13"/>
  <c r="AD334" i="13"/>
  <c r="AC334" i="13"/>
  <c r="AB334" i="13"/>
  <c r="AA334" i="13"/>
  <c r="Z334" i="13"/>
  <c r="Y334" i="13"/>
  <c r="X334" i="13"/>
  <c r="W334" i="13"/>
  <c r="V334" i="13"/>
  <c r="U334" i="13"/>
  <c r="T334" i="13"/>
  <c r="S334" i="13"/>
  <c r="R334" i="13"/>
  <c r="Q334" i="13"/>
  <c r="A261" i="13"/>
  <c r="A259" i="13"/>
  <c r="A296" i="13" s="1"/>
  <c r="A258" i="13"/>
  <c r="A257" i="13"/>
  <c r="A256" i="13"/>
  <c r="A254" i="13"/>
  <c r="A271" i="13" s="1"/>
  <c r="A295" i="13" s="1"/>
  <c r="A253" i="13"/>
  <c r="A252" i="13"/>
  <c r="A270" i="13" s="1"/>
  <c r="A282" i="13" s="1"/>
  <c r="A251" i="13"/>
  <c r="A269" i="13" s="1"/>
  <c r="A281" i="13" s="1"/>
  <c r="A250" i="13"/>
  <c r="A268" i="13" s="1"/>
  <c r="A292" i="13" s="1"/>
  <c r="A249" i="13"/>
  <c r="A248" i="13"/>
  <c r="A267" i="13" s="1"/>
  <c r="A247" i="13"/>
  <c r="A266" i="13" s="1"/>
  <c r="A246" i="13"/>
  <c r="A265" i="13" s="1"/>
  <c r="A245" i="13"/>
  <c r="A264" i="13" s="1"/>
  <c r="AR241" i="13"/>
  <c r="AQ241" i="13"/>
  <c r="AP241" i="13"/>
  <c r="AO241" i="13"/>
  <c r="AN241" i="13"/>
  <c r="AM241" i="13"/>
  <c r="AL241" i="13"/>
  <c r="AK241" i="13"/>
  <c r="AJ241" i="13"/>
  <c r="U261" i="13" s="1"/>
  <c r="AI241" i="13"/>
  <c r="AH241" i="13"/>
  <c r="AG241" i="13"/>
  <c r="AF241" i="13"/>
  <c r="AE241" i="13"/>
  <c r="AD241" i="13"/>
  <c r="AC241" i="13"/>
  <c r="AB241" i="13"/>
  <c r="AA241" i="13"/>
  <c r="Z241" i="13"/>
  <c r="Y241" i="13"/>
  <c r="X241" i="13"/>
  <c r="W241" i="13"/>
  <c r="V241" i="13"/>
  <c r="U241" i="13"/>
  <c r="T241" i="13"/>
  <c r="S241" i="13"/>
  <c r="R241" i="13"/>
  <c r="Q241" i="13"/>
  <c r="AR240" i="13"/>
  <c r="AQ240" i="13"/>
  <c r="AP240" i="13"/>
  <c r="AO240" i="13"/>
  <c r="AN240" i="13"/>
  <c r="AM240" i="13"/>
  <c r="AL240" i="13"/>
  <c r="AK240" i="13"/>
  <c r="AJ240" i="13"/>
  <c r="AI240" i="13"/>
  <c r="AH240" i="13"/>
  <c r="AG240" i="13"/>
  <c r="AF240" i="13"/>
  <c r="AE240" i="13"/>
  <c r="AD240" i="13"/>
  <c r="AC240" i="13"/>
  <c r="AB240" i="13"/>
  <c r="AA240" i="13"/>
  <c r="Z240" i="13"/>
  <c r="Y240" i="13"/>
  <c r="X240" i="13"/>
  <c r="W240" i="13"/>
  <c r="V240" i="13"/>
  <c r="U240" i="13"/>
  <c r="T240" i="13"/>
  <c r="S240" i="13"/>
  <c r="R240" i="13"/>
  <c r="Q240" i="13"/>
  <c r="AR239" i="13"/>
  <c r="AQ239" i="13"/>
  <c r="AP239" i="13"/>
  <c r="AO239" i="13"/>
  <c r="AN239" i="13"/>
  <c r="AM239" i="13"/>
  <c r="AL239" i="13"/>
  <c r="AK239" i="13"/>
  <c r="AJ239" i="13"/>
  <c r="AI239" i="13"/>
  <c r="AH239" i="13"/>
  <c r="AG239" i="13"/>
  <c r="AF239" i="13"/>
  <c r="AE239" i="13"/>
  <c r="AD239" i="13"/>
  <c r="AC239" i="13"/>
  <c r="AB239" i="13"/>
  <c r="AA239" i="13"/>
  <c r="Z239" i="13"/>
  <c r="Y239" i="13"/>
  <c r="X239" i="13"/>
  <c r="W239" i="13"/>
  <c r="V239" i="13"/>
  <c r="U239" i="13"/>
  <c r="T239" i="13"/>
  <c r="S239" i="13"/>
  <c r="R239" i="13"/>
  <c r="Q239" i="13"/>
  <c r="AR238" i="13"/>
  <c r="AQ238" i="13"/>
  <c r="AP238" i="13"/>
  <c r="AO238" i="13"/>
  <c r="AN238" i="13"/>
  <c r="AM238" i="13"/>
  <c r="AL238" i="13"/>
  <c r="AK238" i="13"/>
  <c r="AJ238" i="13"/>
  <c r="AI238" i="13"/>
  <c r="AH238" i="13"/>
  <c r="AG238" i="13"/>
  <c r="AF238" i="13"/>
  <c r="AE238" i="13"/>
  <c r="AD238" i="13"/>
  <c r="AC238" i="13"/>
  <c r="AB238" i="13"/>
  <c r="AA238" i="13"/>
  <c r="Z238" i="13"/>
  <c r="Y238" i="13"/>
  <c r="X238" i="13"/>
  <c r="W238" i="13"/>
  <c r="V238" i="13"/>
  <c r="U238" i="13"/>
  <c r="T238" i="13"/>
  <c r="S238" i="13"/>
  <c r="R238" i="13"/>
  <c r="Q238" i="13"/>
  <c r="AR237" i="13"/>
  <c r="AQ237" i="13"/>
  <c r="AP237" i="13"/>
  <c r="AO237" i="13"/>
  <c r="AN237" i="13"/>
  <c r="AM237" i="13"/>
  <c r="AL237" i="13"/>
  <c r="AK237" i="13"/>
  <c r="AJ237" i="13"/>
  <c r="AI237" i="13"/>
  <c r="AH237" i="13"/>
  <c r="AG237" i="13"/>
  <c r="AF237" i="13"/>
  <c r="AE237" i="13"/>
  <c r="AD237" i="13"/>
  <c r="AC237" i="13"/>
  <c r="AB237" i="13"/>
  <c r="AA237" i="13"/>
  <c r="Z237" i="13"/>
  <c r="Y237" i="13"/>
  <c r="X237" i="13"/>
  <c r="W237" i="13"/>
  <c r="V237" i="13"/>
  <c r="U237" i="13"/>
  <c r="T237" i="13"/>
  <c r="S237" i="13"/>
  <c r="R237" i="13"/>
  <c r="Q237" i="13"/>
  <c r="AR236" i="13"/>
  <c r="AQ236" i="13"/>
  <c r="AP236" i="13"/>
  <c r="AO236" i="13"/>
  <c r="AN236" i="13"/>
  <c r="AM236" i="13"/>
  <c r="AL236" i="13"/>
  <c r="AK236" i="13"/>
  <c r="AJ236" i="13"/>
  <c r="AI236" i="13"/>
  <c r="AH236" i="13"/>
  <c r="AG236" i="13"/>
  <c r="AF236" i="13"/>
  <c r="AE236" i="13"/>
  <c r="AD236" i="13"/>
  <c r="AC236" i="13"/>
  <c r="AB236" i="13"/>
  <c r="AA236" i="13"/>
  <c r="Z236" i="13"/>
  <c r="Y236" i="13"/>
  <c r="X236" i="13"/>
  <c r="W236" i="13"/>
  <c r="V236" i="13"/>
  <c r="U236" i="13"/>
  <c r="T236" i="13"/>
  <c r="S236" i="13"/>
  <c r="R236" i="13"/>
  <c r="Q236" i="13"/>
  <c r="AR234" i="13"/>
  <c r="AQ234" i="13"/>
  <c r="AP234" i="13"/>
  <c r="AO234" i="13"/>
  <c r="AN234" i="13"/>
  <c r="AM234" i="13"/>
  <c r="AL234" i="13"/>
  <c r="AK234" i="13"/>
  <c r="AJ234" i="13"/>
  <c r="AI234" i="13"/>
  <c r="AH234" i="13"/>
  <c r="AG234" i="13"/>
  <c r="AF234" i="13"/>
  <c r="AE234" i="13"/>
  <c r="AD234" i="13"/>
  <c r="AC234" i="13"/>
  <c r="AB234" i="13"/>
  <c r="AA234" i="13"/>
  <c r="Z234" i="13"/>
  <c r="Y234" i="13"/>
  <c r="X234" i="13"/>
  <c r="W234" i="13"/>
  <c r="V234" i="13"/>
  <c r="U234" i="13"/>
  <c r="T234" i="13"/>
  <c r="S234" i="13"/>
  <c r="R234" i="13"/>
  <c r="Q234" i="13"/>
  <c r="AR233" i="13"/>
  <c r="AQ233" i="13"/>
  <c r="AP233" i="13"/>
  <c r="AO233" i="13"/>
  <c r="AN233" i="13"/>
  <c r="AM233" i="13"/>
  <c r="AL233" i="13"/>
  <c r="AK233" i="13"/>
  <c r="AJ233" i="13"/>
  <c r="AI233" i="13"/>
  <c r="AH233" i="13"/>
  <c r="AG233" i="13"/>
  <c r="AF233" i="13"/>
  <c r="AE233" i="13"/>
  <c r="AD233" i="13"/>
  <c r="AC233" i="13"/>
  <c r="AB233" i="13"/>
  <c r="AA233" i="13"/>
  <c r="Z233" i="13"/>
  <c r="Y233" i="13"/>
  <c r="X233" i="13"/>
  <c r="W233" i="13"/>
  <c r="V233" i="13"/>
  <c r="U233" i="13"/>
  <c r="T233" i="13"/>
  <c r="S233" i="13"/>
  <c r="R233" i="13"/>
  <c r="Q233" i="13"/>
  <c r="AR232" i="13"/>
  <c r="AQ232" i="13"/>
  <c r="AP232" i="13"/>
  <c r="AO232" i="13"/>
  <c r="AN232" i="13"/>
  <c r="AM232" i="13"/>
  <c r="AL232" i="13"/>
  <c r="AK232" i="13"/>
  <c r="AJ232" i="13"/>
  <c r="AI232" i="13"/>
  <c r="AH232" i="13"/>
  <c r="AG232" i="13"/>
  <c r="AF232" i="13"/>
  <c r="AE232" i="13"/>
  <c r="AD232" i="13"/>
  <c r="AC232" i="13"/>
  <c r="AB232" i="13"/>
  <c r="AA232" i="13"/>
  <c r="Z232" i="13"/>
  <c r="Y232" i="13"/>
  <c r="X232" i="13"/>
  <c r="W232" i="13"/>
  <c r="V232" i="13"/>
  <c r="U232" i="13"/>
  <c r="T232" i="13"/>
  <c r="S232" i="13"/>
  <c r="R232" i="13"/>
  <c r="Q232" i="13"/>
  <c r="AR231" i="13"/>
  <c r="AQ231" i="13"/>
  <c r="AP231" i="13"/>
  <c r="AO231" i="13"/>
  <c r="AN231" i="13"/>
  <c r="AM231" i="13"/>
  <c r="AL231" i="13"/>
  <c r="AK231" i="13"/>
  <c r="AJ231" i="13"/>
  <c r="AI231" i="13"/>
  <c r="AH231" i="13"/>
  <c r="AG231" i="13"/>
  <c r="AF231" i="13"/>
  <c r="AE231" i="13"/>
  <c r="AD231" i="13"/>
  <c r="AC231" i="13"/>
  <c r="AB231" i="13"/>
  <c r="AA231" i="13"/>
  <c r="Z231" i="13"/>
  <c r="Y231" i="13"/>
  <c r="X231" i="13"/>
  <c r="W231" i="13"/>
  <c r="V231" i="13"/>
  <c r="U231" i="13"/>
  <c r="T231" i="13"/>
  <c r="S231" i="13"/>
  <c r="R231" i="13"/>
  <c r="Q231" i="13"/>
  <c r="AR230" i="13"/>
  <c r="AQ230" i="13"/>
  <c r="AP230" i="13"/>
  <c r="AO230" i="13"/>
  <c r="AN230" i="13"/>
  <c r="AM230" i="13"/>
  <c r="AL230" i="13"/>
  <c r="AK230" i="13"/>
  <c r="AJ230" i="13"/>
  <c r="AI230" i="13"/>
  <c r="AH230" i="13"/>
  <c r="AG230" i="13"/>
  <c r="AF230" i="13"/>
  <c r="AE230" i="13"/>
  <c r="AD230" i="13"/>
  <c r="AC230" i="13"/>
  <c r="AB230" i="13"/>
  <c r="AA230" i="13"/>
  <c r="Z230" i="13"/>
  <c r="Y230" i="13"/>
  <c r="X230" i="13"/>
  <c r="W230" i="13"/>
  <c r="V230" i="13"/>
  <c r="U230" i="13"/>
  <c r="T230" i="13"/>
  <c r="S230" i="13"/>
  <c r="R230" i="13"/>
  <c r="Q230" i="13"/>
  <c r="AR229" i="13"/>
  <c r="AQ229" i="13"/>
  <c r="AP229" i="13"/>
  <c r="AO229" i="13"/>
  <c r="AN229" i="13"/>
  <c r="AM229" i="13"/>
  <c r="AL229" i="13"/>
  <c r="AK229" i="13"/>
  <c r="AJ229" i="13"/>
  <c r="AI229" i="13"/>
  <c r="AH229" i="13"/>
  <c r="AG229" i="13"/>
  <c r="AF229" i="13"/>
  <c r="AE229" i="13"/>
  <c r="AD229" i="13"/>
  <c r="AC229" i="13"/>
  <c r="AB229" i="13"/>
  <c r="AA229" i="13"/>
  <c r="Z229" i="13"/>
  <c r="Y229" i="13"/>
  <c r="X229" i="13"/>
  <c r="W229" i="13"/>
  <c r="V229" i="13"/>
  <c r="U229" i="13"/>
  <c r="T229" i="13"/>
  <c r="S229" i="13"/>
  <c r="R229" i="13"/>
  <c r="Q229" i="13"/>
  <c r="AR228" i="13"/>
  <c r="AQ228" i="13"/>
  <c r="AP228" i="13"/>
  <c r="AO228" i="13"/>
  <c r="AN228" i="13"/>
  <c r="AM228" i="13"/>
  <c r="AL228" i="13"/>
  <c r="AK228" i="13"/>
  <c r="AJ228" i="13"/>
  <c r="AI228" i="13"/>
  <c r="AH228" i="13"/>
  <c r="AG228" i="13"/>
  <c r="AF228" i="13"/>
  <c r="AE228" i="13"/>
  <c r="AD228" i="13"/>
  <c r="AC228" i="13"/>
  <c r="AB228" i="13"/>
  <c r="AA228" i="13"/>
  <c r="Z228" i="13"/>
  <c r="Y228" i="13"/>
  <c r="X228" i="13"/>
  <c r="W228" i="13"/>
  <c r="V228" i="13"/>
  <c r="U228" i="13"/>
  <c r="T228" i="13"/>
  <c r="S228" i="13"/>
  <c r="R228" i="13"/>
  <c r="Q228" i="13"/>
  <c r="AR227" i="13"/>
  <c r="AQ227" i="13"/>
  <c r="AP227" i="13"/>
  <c r="AO227" i="13"/>
  <c r="AN227" i="13"/>
  <c r="AM227" i="13"/>
  <c r="AL227" i="13"/>
  <c r="AK227" i="13"/>
  <c r="AJ227" i="13"/>
  <c r="AI227" i="13"/>
  <c r="AH227" i="13"/>
  <c r="AG227" i="13"/>
  <c r="AF227" i="13"/>
  <c r="AE227" i="13"/>
  <c r="AD227" i="13"/>
  <c r="AC227" i="13"/>
  <c r="AB227" i="13"/>
  <c r="AA227" i="13"/>
  <c r="Z227" i="13"/>
  <c r="Y227" i="13"/>
  <c r="X227" i="13"/>
  <c r="W227" i="13"/>
  <c r="V227" i="13"/>
  <c r="U227" i="13"/>
  <c r="T227" i="13"/>
  <c r="S227" i="13"/>
  <c r="R227" i="13"/>
  <c r="Q227" i="13"/>
  <c r="AR226" i="13"/>
  <c r="AQ226" i="13"/>
  <c r="AP226" i="13"/>
  <c r="AO226" i="13"/>
  <c r="AN226" i="13"/>
  <c r="AM226" i="13"/>
  <c r="AL226" i="13"/>
  <c r="AK226" i="13"/>
  <c r="AJ226" i="13"/>
  <c r="AI226" i="13"/>
  <c r="AH226" i="13"/>
  <c r="AG226" i="13"/>
  <c r="AF226" i="13"/>
  <c r="AE226" i="13"/>
  <c r="AD226" i="13"/>
  <c r="AC226" i="13"/>
  <c r="AB226" i="13"/>
  <c r="AA226" i="13"/>
  <c r="Z226" i="13"/>
  <c r="Y226" i="13"/>
  <c r="X226" i="13"/>
  <c r="W226" i="13"/>
  <c r="V226" i="13"/>
  <c r="U226" i="13"/>
  <c r="T226" i="13"/>
  <c r="S226" i="13"/>
  <c r="R226" i="13"/>
  <c r="Q226" i="13"/>
  <c r="AR225" i="13"/>
  <c r="AQ225" i="13"/>
  <c r="AP225" i="13"/>
  <c r="AO225" i="13"/>
  <c r="AN225" i="13"/>
  <c r="AM225" i="13"/>
  <c r="AL225" i="13"/>
  <c r="AK225" i="13"/>
  <c r="AJ225" i="13"/>
  <c r="AI225" i="13"/>
  <c r="AH225" i="13"/>
  <c r="AG225" i="13"/>
  <c r="AF225" i="13"/>
  <c r="AE225" i="13"/>
  <c r="AD225" i="13"/>
  <c r="AC225" i="13"/>
  <c r="AB225" i="13"/>
  <c r="AA225" i="13"/>
  <c r="Z225" i="13"/>
  <c r="Y225" i="13"/>
  <c r="X225" i="13"/>
  <c r="W225" i="13"/>
  <c r="V225" i="13"/>
  <c r="U225" i="13"/>
  <c r="T225" i="13"/>
  <c r="S225" i="13"/>
  <c r="R225" i="13"/>
  <c r="Q225" i="13"/>
  <c r="A153" i="13"/>
  <c r="A151" i="13"/>
  <c r="A188" i="13" s="1"/>
  <c r="A150" i="13"/>
  <c r="A149" i="13"/>
  <c r="A148" i="13"/>
  <c r="A146" i="13"/>
  <c r="A163" i="13" s="1"/>
  <c r="A187" i="13" s="1"/>
  <c r="A145" i="13"/>
  <c r="A144" i="13"/>
  <c r="A162" i="13" s="1"/>
  <c r="A186" i="13" s="1"/>
  <c r="A143" i="13"/>
  <c r="A161" i="13" s="1"/>
  <c r="A173" i="13" s="1"/>
  <c r="A142" i="13"/>
  <c r="A160" i="13" s="1"/>
  <c r="A184" i="13" s="1"/>
  <c r="A141" i="13"/>
  <c r="A140" i="13"/>
  <c r="A159" i="13" s="1"/>
  <c r="A139" i="13"/>
  <c r="A158" i="13" s="1"/>
  <c r="A138" i="13"/>
  <c r="A157" i="13" s="1"/>
  <c r="A181" i="13" s="1"/>
  <c r="A137" i="13"/>
  <c r="A156" i="13" s="1"/>
  <c r="AR133" i="13"/>
  <c r="AQ133" i="13"/>
  <c r="AP133" i="13"/>
  <c r="AO133" i="13"/>
  <c r="AN133" i="13"/>
  <c r="AM133" i="13"/>
  <c r="AL133" i="13"/>
  <c r="AK133" i="13"/>
  <c r="AJ133" i="13"/>
  <c r="AI133" i="13"/>
  <c r="AH133" i="13"/>
  <c r="AG133" i="13"/>
  <c r="AF133" i="13"/>
  <c r="AE133" i="13"/>
  <c r="AD133" i="13"/>
  <c r="AC133" i="13"/>
  <c r="AB133" i="13"/>
  <c r="AA133" i="13"/>
  <c r="Z133" i="13"/>
  <c r="Y133" i="13"/>
  <c r="X133" i="13"/>
  <c r="W133" i="13"/>
  <c r="V133" i="13"/>
  <c r="U133" i="13"/>
  <c r="T133" i="13"/>
  <c r="S133" i="13"/>
  <c r="R133" i="13"/>
  <c r="Q133" i="13"/>
  <c r="AR132" i="13"/>
  <c r="AQ132" i="13"/>
  <c r="AP132" i="13"/>
  <c r="AO132" i="13"/>
  <c r="AN132" i="13"/>
  <c r="AM132" i="13"/>
  <c r="AL132" i="13"/>
  <c r="AK132" i="13"/>
  <c r="AJ132" i="13"/>
  <c r="AI132" i="13"/>
  <c r="AH132" i="13"/>
  <c r="AG132" i="13"/>
  <c r="AF132" i="13"/>
  <c r="AE132" i="13"/>
  <c r="AD132" i="13"/>
  <c r="AC132" i="13"/>
  <c r="AB132" i="13"/>
  <c r="AA132" i="13"/>
  <c r="Z132" i="13"/>
  <c r="Y132" i="13"/>
  <c r="X132" i="13"/>
  <c r="W132" i="13"/>
  <c r="V132" i="13"/>
  <c r="U132" i="13"/>
  <c r="T132" i="13"/>
  <c r="S132" i="13"/>
  <c r="R132" i="13"/>
  <c r="Q132" i="13"/>
  <c r="AR131" i="13"/>
  <c r="AQ131" i="13"/>
  <c r="AP131" i="13"/>
  <c r="AO131" i="13"/>
  <c r="AN131" i="13"/>
  <c r="AM131" i="13"/>
  <c r="AL131" i="13"/>
  <c r="AK131" i="13"/>
  <c r="AJ131" i="13"/>
  <c r="AI131" i="13"/>
  <c r="AH131" i="13"/>
  <c r="AG131" i="13"/>
  <c r="AF131" i="13"/>
  <c r="AE131" i="13"/>
  <c r="AD131" i="13"/>
  <c r="AC131" i="13"/>
  <c r="AB131" i="13"/>
  <c r="AA131" i="13"/>
  <c r="Z131" i="13"/>
  <c r="Y131" i="13"/>
  <c r="X131" i="13"/>
  <c r="W131" i="13"/>
  <c r="V131" i="13"/>
  <c r="U131" i="13"/>
  <c r="T131" i="13"/>
  <c r="S131" i="13"/>
  <c r="R131" i="13"/>
  <c r="Q131" i="13"/>
  <c r="AR130" i="13"/>
  <c r="AQ130" i="13"/>
  <c r="AP130" i="13"/>
  <c r="AO130" i="13"/>
  <c r="AN130" i="13"/>
  <c r="AM130" i="13"/>
  <c r="X150" i="13" s="1"/>
  <c r="AL130" i="13"/>
  <c r="AK130" i="13"/>
  <c r="AJ130" i="13"/>
  <c r="AI130" i="13"/>
  <c r="AH130" i="13"/>
  <c r="AG130" i="13"/>
  <c r="AF130" i="13"/>
  <c r="AE130" i="13"/>
  <c r="AD130" i="13"/>
  <c r="AC130" i="13"/>
  <c r="AB130" i="13"/>
  <c r="AA130" i="13"/>
  <c r="Z130" i="13"/>
  <c r="Y130" i="13"/>
  <c r="X130" i="13"/>
  <c r="W130" i="13"/>
  <c r="V130" i="13"/>
  <c r="U130" i="13"/>
  <c r="T130" i="13"/>
  <c r="S130" i="13"/>
  <c r="R130" i="13"/>
  <c r="Q130" i="13"/>
  <c r="AR129" i="13"/>
  <c r="AQ129" i="13"/>
  <c r="AP129" i="13"/>
  <c r="AO129" i="13"/>
  <c r="AN129" i="13"/>
  <c r="AM129" i="13"/>
  <c r="AL129" i="13"/>
  <c r="AK129" i="13"/>
  <c r="AJ129" i="13"/>
  <c r="AI129" i="13"/>
  <c r="AH129" i="13"/>
  <c r="AG129" i="13"/>
  <c r="AF129" i="13"/>
  <c r="AE129" i="13"/>
  <c r="AD129" i="13"/>
  <c r="AC129" i="13"/>
  <c r="AB129" i="13"/>
  <c r="AA129" i="13"/>
  <c r="Z129" i="13"/>
  <c r="Y129" i="13"/>
  <c r="X129" i="13"/>
  <c r="W129" i="13"/>
  <c r="V129" i="13"/>
  <c r="U129" i="13"/>
  <c r="T129" i="13"/>
  <c r="S129" i="13"/>
  <c r="R129" i="13"/>
  <c r="Q129" i="13"/>
  <c r="AR126" i="13"/>
  <c r="AQ126" i="13"/>
  <c r="AP126" i="13"/>
  <c r="AO126" i="13"/>
  <c r="AN126" i="13"/>
  <c r="AM126" i="13"/>
  <c r="AL126" i="13"/>
  <c r="AK126" i="13"/>
  <c r="AJ126" i="13"/>
  <c r="AI126" i="13"/>
  <c r="AH126" i="13"/>
  <c r="AG126" i="13"/>
  <c r="AF126" i="13"/>
  <c r="AE126" i="13"/>
  <c r="AD126" i="13"/>
  <c r="AC126" i="13"/>
  <c r="AB126" i="13"/>
  <c r="AA126" i="13"/>
  <c r="Z126" i="13"/>
  <c r="Y126" i="13"/>
  <c r="X126" i="13"/>
  <c r="W126" i="13"/>
  <c r="V126" i="13"/>
  <c r="U126" i="13"/>
  <c r="T126" i="13"/>
  <c r="S126" i="13"/>
  <c r="R126" i="13"/>
  <c r="Q126" i="13"/>
  <c r="AR125" i="13"/>
  <c r="AQ125" i="13"/>
  <c r="AP125" i="13"/>
  <c r="AO125" i="13"/>
  <c r="AN125" i="13"/>
  <c r="AM125" i="13"/>
  <c r="AL125" i="13"/>
  <c r="AK125" i="13"/>
  <c r="AJ125" i="13"/>
  <c r="AI125" i="13"/>
  <c r="AH125" i="13"/>
  <c r="AG125" i="13"/>
  <c r="AF125" i="13"/>
  <c r="AE125" i="13"/>
  <c r="AD125" i="13"/>
  <c r="AC125" i="13"/>
  <c r="AB125" i="13"/>
  <c r="AA125" i="13"/>
  <c r="Z125" i="13"/>
  <c r="Y125" i="13"/>
  <c r="X125" i="13"/>
  <c r="W125" i="13"/>
  <c r="V125" i="13"/>
  <c r="U125" i="13"/>
  <c r="T125" i="13"/>
  <c r="S125" i="13"/>
  <c r="R125" i="13"/>
  <c r="Q125" i="13"/>
  <c r="AR124" i="13"/>
  <c r="AQ124" i="13"/>
  <c r="AP124" i="13"/>
  <c r="AO124" i="13"/>
  <c r="AN124" i="13"/>
  <c r="AM124" i="13"/>
  <c r="AL124" i="13"/>
  <c r="AK124" i="13"/>
  <c r="AJ124" i="13"/>
  <c r="AI124" i="13"/>
  <c r="AH124" i="13"/>
  <c r="AG124" i="13"/>
  <c r="AF124" i="13"/>
  <c r="AE124" i="13"/>
  <c r="AD124" i="13"/>
  <c r="AC124" i="13"/>
  <c r="AB124" i="13"/>
  <c r="AA124" i="13"/>
  <c r="Z124" i="13"/>
  <c r="Y124" i="13"/>
  <c r="X124" i="13"/>
  <c r="W124" i="13"/>
  <c r="V124" i="13"/>
  <c r="U124" i="13"/>
  <c r="T124" i="13"/>
  <c r="S124" i="13"/>
  <c r="R124" i="13"/>
  <c r="Q124" i="13"/>
  <c r="AR123" i="13"/>
  <c r="AQ123" i="13"/>
  <c r="AP123" i="13"/>
  <c r="AO123" i="13"/>
  <c r="AN123" i="13"/>
  <c r="AM123" i="13"/>
  <c r="AL123" i="13"/>
  <c r="AK123" i="13"/>
  <c r="AJ123" i="13"/>
  <c r="AI123" i="13"/>
  <c r="AH123" i="13"/>
  <c r="AG123" i="13"/>
  <c r="AF123" i="13"/>
  <c r="AE123" i="13"/>
  <c r="AD123" i="13"/>
  <c r="AC123" i="13"/>
  <c r="AB123" i="13"/>
  <c r="AA123" i="13"/>
  <c r="Z123" i="13"/>
  <c r="Y123" i="13"/>
  <c r="X123" i="13"/>
  <c r="W123" i="13"/>
  <c r="V123" i="13"/>
  <c r="U123" i="13"/>
  <c r="T123" i="13"/>
  <c r="S123" i="13"/>
  <c r="R123" i="13"/>
  <c r="Q123" i="13"/>
  <c r="AR122" i="13"/>
  <c r="AQ122" i="13"/>
  <c r="AP122" i="13"/>
  <c r="AO122" i="13"/>
  <c r="AN122" i="13"/>
  <c r="AM122" i="13"/>
  <c r="AL122" i="13"/>
  <c r="AK122" i="13"/>
  <c r="AJ122" i="13"/>
  <c r="AI122" i="13"/>
  <c r="AH122" i="13"/>
  <c r="AG122" i="13"/>
  <c r="AF122" i="13"/>
  <c r="AE122" i="13"/>
  <c r="AD122" i="13"/>
  <c r="AC122" i="13"/>
  <c r="AB122" i="13"/>
  <c r="AA122" i="13"/>
  <c r="Z122" i="13"/>
  <c r="Y122" i="13"/>
  <c r="X122" i="13"/>
  <c r="W122" i="13"/>
  <c r="V122" i="13"/>
  <c r="U122" i="13"/>
  <c r="T122" i="13"/>
  <c r="S122" i="13"/>
  <c r="R122" i="13"/>
  <c r="Q122" i="13"/>
  <c r="AR121" i="13"/>
  <c r="AQ121" i="13"/>
  <c r="AP121" i="13"/>
  <c r="AO121" i="13"/>
  <c r="AN121" i="13"/>
  <c r="AM121" i="13"/>
  <c r="AL121" i="13"/>
  <c r="AK121" i="13"/>
  <c r="AJ121" i="13"/>
  <c r="AI121" i="13"/>
  <c r="AH121" i="13"/>
  <c r="AG121" i="13"/>
  <c r="AF121" i="13"/>
  <c r="AE121" i="13"/>
  <c r="AD121" i="13"/>
  <c r="AC121" i="13"/>
  <c r="AB121" i="13"/>
  <c r="AA121" i="13"/>
  <c r="Z121" i="13"/>
  <c r="Y121" i="13"/>
  <c r="X121" i="13"/>
  <c r="W121" i="13"/>
  <c r="V121" i="13"/>
  <c r="U121" i="13"/>
  <c r="T121" i="13"/>
  <c r="S121" i="13"/>
  <c r="R121" i="13"/>
  <c r="Q121" i="13"/>
  <c r="AR120" i="13"/>
  <c r="AQ120" i="13"/>
  <c r="AP120" i="13"/>
  <c r="AO120" i="13"/>
  <c r="AN120" i="13"/>
  <c r="AM120" i="13"/>
  <c r="AL120" i="13"/>
  <c r="AK120" i="13"/>
  <c r="AJ120" i="13"/>
  <c r="AI120" i="13"/>
  <c r="AH120" i="13"/>
  <c r="AG120" i="13"/>
  <c r="AF120" i="13"/>
  <c r="AE120" i="13"/>
  <c r="AD120" i="13"/>
  <c r="AC120" i="13"/>
  <c r="AB120" i="13"/>
  <c r="AA120" i="13"/>
  <c r="Z120" i="13"/>
  <c r="Y120" i="13"/>
  <c r="X120" i="13"/>
  <c r="W120" i="13"/>
  <c r="V120" i="13"/>
  <c r="U120" i="13"/>
  <c r="T120" i="13"/>
  <c r="S120" i="13"/>
  <c r="R120" i="13"/>
  <c r="Q120" i="13"/>
  <c r="B140" i="13" s="1"/>
  <c r="AR119" i="13"/>
  <c r="AQ119" i="13"/>
  <c r="AP119" i="13"/>
  <c r="AO119" i="13"/>
  <c r="AN119" i="13"/>
  <c r="AM119" i="13"/>
  <c r="AL119" i="13"/>
  <c r="AK119" i="13"/>
  <c r="AJ119" i="13"/>
  <c r="AI119" i="13"/>
  <c r="AH119" i="13"/>
  <c r="AG119" i="13"/>
  <c r="AF119" i="13"/>
  <c r="AE119" i="13"/>
  <c r="AD119" i="13"/>
  <c r="AC119" i="13"/>
  <c r="AB119" i="13"/>
  <c r="AA119" i="13"/>
  <c r="Z119" i="13"/>
  <c r="Y119" i="13"/>
  <c r="X119" i="13"/>
  <c r="W119" i="13"/>
  <c r="V119" i="13"/>
  <c r="U119" i="13"/>
  <c r="T119" i="13"/>
  <c r="S119" i="13"/>
  <c r="R119" i="13"/>
  <c r="Q119" i="13"/>
  <c r="AR118" i="13"/>
  <c r="AQ118" i="13"/>
  <c r="AP118" i="13"/>
  <c r="AO118" i="13"/>
  <c r="AN118" i="13"/>
  <c r="AM118" i="13"/>
  <c r="AL118" i="13"/>
  <c r="AK118" i="13"/>
  <c r="AJ118" i="13"/>
  <c r="AI118" i="13"/>
  <c r="AH118" i="13"/>
  <c r="AG118" i="13"/>
  <c r="AF118" i="13"/>
  <c r="AE118" i="13"/>
  <c r="AD118" i="13"/>
  <c r="AC118" i="13"/>
  <c r="AB118" i="13"/>
  <c r="AA118" i="13"/>
  <c r="Z118" i="13"/>
  <c r="Y118" i="13"/>
  <c r="X118" i="13"/>
  <c r="W118" i="13"/>
  <c r="V118" i="13"/>
  <c r="U118" i="13"/>
  <c r="T118" i="13"/>
  <c r="S118" i="13"/>
  <c r="R118" i="13"/>
  <c r="Q118" i="13"/>
  <c r="AR117" i="13"/>
  <c r="AQ117" i="13"/>
  <c r="AP117" i="13"/>
  <c r="AO117" i="13"/>
  <c r="AN117" i="13"/>
  <c r="AM117" i="13"/>
  <c r="AL117" i="13"/>
  <c r="AK117" i="13"/>
  <c r="AJ117" i="13"/>
  <c r="AI117" i="13"/>
  <c r="AH117" i="13"/>
  <c r="AG117" i="13"/>
  <c r="AF117" i="13"/>
  <c r="AE117" i="13"/>
  <c r="AD117" i="13"/>
  <c r="AC117" i="13"/>
  <c r="AB117" i="13"/>
  <c r="AA117" i="13"/>
  <c r="Z117" i="13"/>
  <c r="Y117" i="13"/>
  <c r="X117" i="13"/>
  <c r="W117" i="13"/>
  <c r="V117" i="13"/>
  <c r="U117" i="13"/>
  <c r="T117" i="13"/>
  <c r="S117" i="13"/>
  <c r="R117" i="13"/>
  <c r="Q117" i="13"/>
  <c r="A47" i="13"/>
  <c r="A45" i="13"/>
  <c r="A82" i="13" s="1"/>
  <c r="A44" i="13"/>
  <c r="A43" i="13"/>
  <c r="A42" i="13"/>
  <c r="A40" i="13"/>
  <c r="A57" i="13" s="1"/>
  <c r="A81" i="13" s="1"/>
  <c r="A39" i="13"/>
  <c r="A38" i="13"/>
  <c r="A56" i="13" s="1"/>
  <c r="A68" i="13" s="1"/>
  <c r="A37" i="13"/>
  <c r="A55" i="13" s="1"/>
  <c r="A67" i="13" s="1"/>
  <c r="A36" i="13"/>
  <c r="A54" i="13" s="1"/>
  <c r="A78" i="13" s="1"/>
  <c r="A35" i="13"/>
  <c r="A34" i="13"/>
  <c r="A53" i="13" s="1"/>
  <c r="A65" i="13" s="1"/>
  <c r="A33" i="13"/>
  <c r="A52" i="13" s="1"/>
  <c r="A32" i="13"/>
  <c r="A51" i="13" s="1"/>
  <c r="A75" i="13" s="1"/>
  <c r="A31" i="13"/>
  <c r="A50" i="13" s="1"/>
  <c r="A62" i="13" s="1"/>
  <c r="AR27" i="13"/>
  <c r="AQ27" i="13"/>
  <c r="AP27" i="13"/>
  <c r="AO27" i="13"/>
  <c r="AN27" i="13"/>
  <c r="AM27" i="13"/>
  <c r="AL27" i="13"/>
  <c r="AK27" i="13"/>
  <c r="AJ27" i="13"/>
  <c r="U47" i="13" s="1"/>
  <c r="AI27" i="13"/>
  <c r="AH27" i="13"/>
  <c r="AG27" i="13"/>
  <c r="AF27" i="13"/>
  <c r="AE27" i="13"/>
  <c r="AD27" i="13"/>
  <c r="AC27" i="13"/>
  <c r="AB27" i="13"/>
  <c r="AA27" i="13"/>
  <c r="Z27" i="13"/>
  <c r="Y27" i="13"/>
  <c r="X27" i="13"/>
  <c r="W27" i="13"/>
  <c r="V27" i="13"/>
  <c r="U27" i="13"/>
  <c r="T27" i="13"/>
  <c r="S27" i="13"/>
  <c r="R27" i="13"/>
  <c r="Q27" i="13"/>
  <c r="AR26" i="13"/>
  <c r="AQ26" i="13"/>
  <c r="AP26" i="13"/>
  <c r="AO26" i="13"/>
  <c r="AN26" i="13"/>
  <c r="AM26" i="13"/>
  <c r="AL26" i="13"/>
  <c r="AK26" i="13"/>
  <c r="AJ26" i="13"/>
  <c r="AI26" i="13"/>
  <c r="AH26" i="13"/>
  <c r="AG26" i="13"/>
  <c r="AF26" i="13"/>
  <c r="AE26" i="13"/>
  <c r="AD26" i="13"/>
  <c r="AC26" i="13"/>
  <c r="AB26" i="13"/>
  <c r="AA26" i="13"/>
  <c r="Z26" i="13"/>
  <c r="Y26" i="13"/>
  <c r="X26" i="13"/>
  <c r="W26" i="13"/>
  <c r="V26" i="13"/>
  <c r="U26" i="13"/>
  <c r="T26" i="13"/>
  <c r="S26" i="13"/>
  <c r="R26" i="13"/>
  <c r="Q26" i="13"/>
  <c r="AR25" i="13"/>
  <c r="AQ25" i="13"/>
  <c r="AP25" i="13"/>
  <c r="AO25" i="13"/>
  <c r="AN25" i="13"/>
  <c r="AM25" i="13"/>
  <c r="AL25" i="13"/>
  <c r="AK25" i="13"/>
  <c r="AJ25" i="13"/>
  <c r="AI25" i="13"/>
  <c r="AH25" i="13"/>
  <c r="AG25" i="13"/>
  <c r="AF25" i="13"/>
  <c r="AE25" i="13"/>
  <c r="AD25" i="13"/>
  <c r="AC25" i="13"/>
  <c r="AB25" i="13"/>
  <c r="AA25" i="13"/>
  <c r="Z25" i="13"/>
  <c r="Y25" i="13"/>
  <c r="X25" i="13"/>
  <c r="W25" i="13"/>
  <c r="V25" i="13"/>
  <c r="U25" i="13"/>
  <c r="T25" i="13"/>
  <c r="S25" i="13"/>
  <c r="R25" i="13"/>
  <c r="Q25" i="13"/>
  <c r="AR24" i="13"/>
  <c r="AQ24" i="13"/>
  <c r="AP24" i="13"/>
  <c r="AO24" i="13"/>
  <c r="AN24" i="13"/>
  <c r="AM24" i="13"/>
  <c r="AL24" i="13"/>
  <c r="AK24" i="13"/>
  <c r="AJ24" i="13"/>
  <c r="U44" i="13" s="1"/>
  <c r="AI24" i="13"/>
  <c r="AH24" i="13"/>
  <c r="AG24" i="13"/>
  <c r="AF24" i="13"/>
  <c r="AE24" i="13"/>
  <c r="AD24" i="13"/>
  <c r="AC24" i="13"/>
  <c r="AB24" i="13"/>
  <c r="AA24" i="13"/>
  <c r="Z24" i="13"/>
  <c r="Y24" i="13"/>
  <c r="X24" i="13"/>
  <c r="W24" i="13"/>
  <c r="V24" i="13"/>
  <c r="U24" i="13"/>
  <c r="T24" i="13"/>
  <c r="S24" i="13"/>
  <c r="R24" i="13"/>
  <c r="Q24" i="13"/>
  <c r="AR23" i="13"/>
  <c r="AC43" i="13" s="1"/>
  <c r="AQ23" i="13"/>
  <c r="AB43" i="13" s="1"/>
  <c r="AP23" i="13"/>
  <c r="AA43" i="13" s="1"/>
  <c r="AO23" i="13"/>
  <c r="Z43" i="13" s="1"/>
  <c r="AN23" i="13"/>
  <c r="Y43" i="13" s="1"/>
  <c r="AM23" i="13"/>
  <c r="X43" i="13" s="1"/>
  <c r="AL23" i="13"/>
  <c r="W43" i="13" s="1"/>
  <c r="AK23" i="13"/>
  <c r="V43" i="13" s="1"/>
  <c r="AJ23" i="13"/>
  <c r="U43" i="13" s="1"/>
  <c r="AI23" i="13"/>
  <c r="T43" i="13" s="1"/>
  <c r="AH23" i="13"/>
  <c r="S43" i="13" s="1"/>
  <c r="AG23" i="13"/>
  <c r="R43" i="13" s="1"/>
  <c r="AF23" i="13"/>
  <c r="Q43" i="13" s="1"/>
  <c r="AE23" i="13"/>
  <c r="P43" i="13" s="1"/>
  <c r="AD23" i="13"/>
  <c r="O43" i="13" s="1"/>
  <c r="AC23" i="13"/>
  <c r="N43" i="13" s="1"/>
  <c r="AB23" i="13"/>
  <c r="M43" i="13" s="1"/>
  <c r="AA23" i="13"/>
  <c r="L43" i="13" s="1"/>
  <c r="Z23" i="13"/>
  <c r="K43" i="13" s="1"/>
  <c r="Y23" i="13"/>
  <c r="J43" i="13" s="1"/>
  <c r="X23" i="13"/>
  <c r="I43" i="13" s="1"/>
  <c r="W23" i="13"/>
  <c r="H43" i="13" s="1"/>
  <c r="V23" i="13"/>
  <c r="G43" i="13" s="1"/>
  <c r="U23" i="13"/>
  <c r="F43" i="13" s="1"/>
  <c r="T23" i="13"/>
  <c r="E43" i="13" s="1"/>
  <c r="S23" i="13"/>
  <c r="D43" i="13" s="1"/>
  <c r="R23" i="13"/>
  <c r="C43" i="13" s="1"/>
  <c r="Q23" i="13"/>
  <c r="B43" i="13" s="1"/>
  <c r="AR22" i="13"/>
  <c r="AC42" i="13" s="1"/>
  <c r="AQ22" i="13"/>
  <c r="AB42" i="13" s="1"/>
  <c r="AP22" i="13"/>
  <c r="AA42" i="13" s="1"/>
  <c r="AO22" i="13"/>
  <c r="Z42" i="13" s="1"/>
  <c r="AN22" i="13"/>
  <c r="Y42" i="13" s="1"/>
  <c r="AM22" i="13"/>
  <c r="X42" i="13" s="1"/>
  <c r="AL22" i="13"/>
  <c r="W42" i="13" s="1"/>
  <c r="AK22" i="13"/>
  <c r="V42" i="13" s="1"/>
  <c r="AJ22" i="13"/>
  <c r="U42" i="13" s="1"/>
  <c r="AI22" i="13"/>
  <c r="T42" i="13" s="1"/>
  <c r="AH22" i="13"/>
  <c r="S42" i="13" s="1"/>
  <c r="AG22" i="13"/>
  <c r="R42" i="13" s="1"/>
  <c r="AF22" i="13"/>
  <c r="Q42" i="13" s="1"/>
  <c r="AE22" i="13"/>
  <c r="P42" i="13" s="1"/>
  <c r="AD22" i="13"/>
  <c r="O42" i="13" s="1"/>
  <c r="AC22" i="13"/>
  <c r="N42" i="13" s="1"/>
  <c r="AB22" i="13"/>
  <c r="M42" i="13" s="1"/>
  <c r="AA22" i="13"/>
  <c r="L42" i="13" s="1"/>
  <c r="Z22" i="13"/>
  <c r="K42" i="13" s="1"/>
  <c r="Y22" i="13"/>
  <c r="J42" i="13" s="1"/>
  <c r="X22" i="13"/>
  <c r="I42" i="13" s="1"/>
  <c r="W22" i="13"/>
  <c r="H42" i="13" s="1"/>
  <c r="V22" i="13"/>
  <c r="G42" i="13" s="1"/>
  <c r="U22" i="13"/>
  <c r="F42" i="13" s="1"/>
  <c r="T22" i="13"/>
  <c r="E42" i="13" s="1"/>
  <c r="S22" i="13"/>
  <c r="D42" i="13" s="1"/>
  <c r="R22" i="13"/>
  <c r="C42" i="13" s="1"/>
  <c r="Q22" i="13"/>
  <c r="B42" i="13" s="1"/>
  <c r="AR20" i="13"/>
  <c r="AC40" i="13" s="1"/>
  <c r="AQ20" i="13"/>
  <c r="AB40" i="13" s="1"/>
  <c r="AP20" i="13"/>
  <c r="AA40" i="13" s="1"/>
  <c r="AO20" i="13"/>
  <c r="Z40" i="13" s="1"/>
  <c r="AN20" i="13"/>
  <c r="Y40" i="13" s="1"/>
  <c r="AM20" i="13"/>
  <c r="X40" i="13" s="1"/>
  <c r="AL20" i="13"/>
  <c r="W40" i="13" s="1"/>
  <c r="AK20" i="13"/>
  <c r="V40" i="13" s="1"/>
  <c r="AJ20" i="13"/>
  <c r="U40" i="13" s="1"/>
  <c r="AI20" i="13"/>
  <c r="T40" i="13" s="1"/>
  <c r="AH20" i="13"/>
  <c r="S40" i="13" s="1"/>
  <c r="AG20" i="13"/>
  <c r="R40" i="13" s="1"/>
  <c r="AF20" i="13"/>
  <c r="Q40" i="13" s="1"/>
  <c r="AE20" i="13"/>
  <c r="P40" i="13" s="1"/>
  <c r="AD20" i="13"/>
  <c r="O40" i="13" s="1"/>
  <c r="AC20" i="13"/>
  <c r="N40" i="13" s="1"/>
  <c r="AB20" i="13"/>
  <c r="M40" i="13" s="1"/>
  <c r="AA20" i="13"/>
  <c r="L40" i="13" s="1"/>
  <c r="Z20" i="13"/>
  <c r="K40" i="13" s="1"/>
  <c r="Y20" i="13"/>
  <c r="J40" i="13" s="1"/>
  <c r="X20" i="13"/>
  <c r="I40" i="13" s="1"/>
  <c r="W20" i="13"/>
  <c r="H40" i="13" s="1"/>
  <c r="V20" i="13"/>
  <c r="G40" i="13" s="1"/>
  <c r="U20" i="13"/>
  <c r="F40" i="13" s="1"/>
  <c r="T20" i="13"/>
  <c r="E40" i="13" s="1"/>
  <c r="S20" i="13"/>
  <c r="D40" i="13" s="1"/>
  <c r="R20" i="13"/>
  <c r="C40" i="13" s="1"/>
  <c r="Q20" i="13"/>
  <c r="B40" i="13" s="1"/>
  <c r="AR19" i="13"/>
  <c r="AC39" i="13" s="1"/>
  <c r="AQ19" i="13"/>
  <c r="AB39" i="13" s="1"/>
  <c r="AP19" i="13"/>
  <c r="AA39" i="13" s="1"/>
  <c r="AO19" i="13"/>
  <c r="Z39" i="13" s="1"/>
  <c r="AN19" i="13"/>
  <c r="Y39" i="13" s="1"/>
  <c r="AM19" i="13"/>
  <c r="X39" i="13" s="1"/>
  <c r="AL19" i="13"/>
  <c r="W39" i="13" s="1"/>
  <c r="AK19" i="13"/>
  <c r="V39" i="13" s="1"/>
  <c r="AJ19" i="13"/>
  <c r="U39" i="13" s="1"/>
  <c r="AI19" i="13"/>
  <c r="T39" i="13" s="1"/>
  <c r="AH19" i="13"/>
  <c r="S39" i="13" s="1"/>
  <c r="AG19" i="13"/>
  <c r="R39" i="13" s="1"/>
  <c r="AF19" i="13"/>
  <c r="Q39" i="13" s="1"/>
  <c r="AE19" i="13"/>
  <c r="P39" i="13" s="1"/>
  <c r="AD19" i="13"/>
  <c r="O39" i="13" s="1"/>
  <c r="AC19" i="13"/>
  <c r="N39" i="13" s="1"/>
  <c r="AB19" i="13"/>
  <c r="M39" i="13" s="1"/>
  <c r="AA19" i="13"/>
  <c r="L39" i="13" s="1"/>
  <c r="Z19" i="13"/>
  <c r="K39" i="13" s="1"/>
  <c r="Y19" i="13"/>
  <c r="J39" i="13" s="1"/>
  <c r="X19" i="13"/>
  <c r="I39" i="13" s="1"/>
  <c r="W19" i="13"/>
  <c r="H39" i="13" s="1"/>
  <c r="V19" i="13"/>
  <c r="G39" i="13" s="1"/>
  <c r="U19" i="13"/>
  <c r="F39" i="13" s="1"/>
  <c r="T19" i="13"/>
  <c r="E39" i="13" s="1"/>
  <c r="S19" i="13"/>
  <c r="D39" i="13" s="1"/>
  <c r="R19" i="13"/>
  <c r="C39" i="13" s="1"/>
  <c r="Q19" i="13"/>
  <c r="B39" i="13" s="1"/>
  <c r="AR18" i="13"/>
  <c r="AC38" i="13" s="1"/>
  <c r="AQ18" i="13"/>
  <c r="AB38" i="13" s="1"/>
  <c r="AP18" i="13"/>
  <c r="AA38" i="13" s="1"/>
  <c r="AO18" i="13"/>
  <c r="Z38" i="13" s="1"/>
  <c r="AN18" i="13"/>
  <c r="Y38" i="13" s="1"/>
  <c r="AM18" i="13"/>
  <c r="X38" i="13" s="1"/>
  <c r="AL18" i="13"/>
  <c r="W38" i="13" s="1"/>
  <c r="AK18" i="13"/>
  <c r="V38" i="13" s="1"/>
  <c r="AJ18" i="13"/>
  <c r="U38" i="13" s="1"/>
  <c r="AI18" i="13"/>
  <c r="T38" i="13" s="1"/>
  <c r="AH18" i="13"/>
  <c r="S38" i="13" s="1"/>
  <c r="AG18" i="13"/>
  <c r="R38" i="13" s="1"/>
  <c r="AF18" i="13"/>
  <c r="Q38" i="13" s="1"/>
  <c r="AE18" i="13"/>
  <c r="P38" i="13" s="1"/>
  <c r="AD18" i="13"/>
  <c r="O38" i="13" s="1"/>
  <c r="AC18" i="13"/>
  <c r="N38" i="13" s="1"/>
  <c r="AB18" i="13"/>
  <c r="M38" i="13" s="1"/>
  <c r="AA18" i="13"/>
  <c r="L38" i="13" s="1"/>
  <c r="Z18" i="13"/>
  <c r="K38" i="13" s="1"/>
  <c r="Y18" i="13"/>
  <c r="J38" i="13" s="1"/>
  <c r="X18" i="13"/>
  <c r="I38" i="13" s="1"/>
  <c r="W18" i="13"/>
  <c r="H38" i="13" s="1"/>
  <c r="V18" i="13"/>
  <c r="G38" i="13" s="1"/>
  <c r="U18" i="13"/>
  <c r="F38" i="13" s="1"/>
  <c r="T18" i="13"/>
  <c r="E38" i="13" s="1"/>
  <c r="S18" i="13"/>
  <c r="D38" i="13" s="1"/>
  <c r="R18" i="13"/>
  <c r="C38" i="13" s="1"/>
  <c r="Q18" i="13"/>
  <c r="B38" i="13" s="1"/>
  <c r="AR17" i="13"/>
  <c r="AC37" i="13" s="1"/>
  <c r="AC55" i="13" s="1"/>
  <c r="AQ17" i="13"/>
  <c r="AB37" i="13" s="1"/>
  <c r="AB55" i="13" s="1"/>
  <c r="AP17" i="13"/>
  <c r="AA37" i="13" s="1"/>
  <c r="AA55" i="13" s="1"/>
  <c r="AO17" i="13"/>
  <c r="Z37" i="13" s="1"/>
  <c r="Z55" i="13" s="1"/>
  <c r="AN17" i="13"/>
  <c r="Y37" i="13" s="1"/>
  <c r="Y55" i="13" s="1"/>
  <c r="AM17" i="13"/>
  <c r="X37" i="13" s="1"/>
  <c r="X55" i="13" s="1"/>
  <c r="AL17" i="13"/>
  <c r="W37" i="13" s="1"/>
  <c r="W55" i="13" s="1"/>
  <c r="AK17" i="13"/>
  <c r="V37" i="13" s="1"/>
  <c r="V55" i="13" s="1"/>
  <c r="AJ17" i="13"/>
  <c r="U37" i="13" s="1"/>
  <c r="U55" i="13" s="1"/>
  <c r="AI17" i="13"/>
  <c r="T37" i="13" s="1"/>
  <c r="T55" i="13" s="1"/>
  <c r="AH17" i="13"/>
  <c r="S37" i="13" s="1"/>
  <c r="S55" i="13" s="1"/>
  <c r="AG17" i="13"/>
  <c r="R37" i="13" s="1"/>
  <c r="R55" i="13" s="1"/>
  <c r="AF17" i="13"/>
  <c r="Q37" i="13" s="1"/>
  <c r="Q55" i="13" s="1"/>
  <c r="AE17" i="13"/>
  <c r="P37" i="13" s="1"/>
  <c r="P55" i="13" s="1"/>
  <c r="AD17" i="13"/>
  <c r="O37" i="13" s="1"/>
  <c r="O55" i="13" s="1"/>
  <c r="AC17" i="13"/>
  <c r="N37" i="13" s="1"/>
  <c r="N55" i="13" s="1"/>
  <c r="AB17" i="13"/>
  <c r="M37" i="13" s="1"/>
  <c r="M55" i="13" s="1"/>
  <c r="AA17" i="13"/>
  <c r="L37" i="13" s="1"/>
  <c r="L55" i="13" s="1"/>
  <c r="Z17" i="13"/>
  <c r="K37" i="13" s="1"/>
  <c r="K55" i="13" s="1"/>
  <c r="Y17" i="13"/>
  <c r="J37" i="13" s="1"/>
  <c r="J55" i="13" s="1"/>
  <c r="X17" i="13"/>
  <c r="I37" i="13" s="1"/>
  <c r="I55" i="13" s="1"/>
  <c r="W17" i="13"/>
  <c r="H37" i="13" s="1"/>
  <c r="H55" i="13" s="1"/>
  <c r="V17" i="13"/>
  <c r="G37" i="13" s="1"/>
  <c r="G55" i="13" s="1"/>
  <c r="U17" i="13"/>
  <c r="F37" i="13" s="1"/>
  <c r="F55" i="13" s="1"/>
  <c r="T17" i="13"/>
  <c r="E37" i="13" s="1"/>
  <c r="E55" i="13" s="1"/>
  <c r="S17" i="13"/>
  <c r="D37" i="13" s="1"/>
  <c r="D55" i="13" s="1"/>
  <c r="R17" i="13"/>
  <c r="C37" i="13" s="1"/>
  <c r="C55" i="13" s="1"/>
  <c r="Q17" i="13"/>
  <c r="B37" i="13" s="1"/>
  <c r="B55" i="13" s="1"/>
  <c r="AR16" i="13"/>
  <c r="AC36" i="13" s="1"/>
  <c r="AC54" i="13" s="1"/>
  <c r="AQ16" i="13"/>
  <c r="AB36" i="13" s="1"/>
  <c r="AB54" i="13" s="1"/>
  <c r="AP16" i="13"/>
  <c r="AA36" i="13" s="1"/>
  <c r="AA54" i="13" s="1"/>
  <c r="AO16" i="13"/>
  <c r="Z36" i="13" s="1"/>
  <c r="Z54" i="13" s="1"/>
  <c r="AN16" i="13"/>
  <c r="Y36" i="13" s="1"/>
  <c r="Y54" i="13" s="1"/>
  <c r="AM16" i="13"/>
  <c r="X36" i="13" s="1"/>
  <c r="X54" i="13" s="1"/>
  <c r="AL16" i="13"/>
  <c r="W36" i="13" s="1"/>
  <c r="W54" i="13" s="1"/>
  <c r="AK16" i="13"/>
  <c r="V36" i="13" s="1"/>
  <c r="V54" i="13" s="1"/>
  <c r="AJ16" i="13"/>
  <c r="U36" i="13" s="1"/>
  <c r="U54" i="13" s="1"/>
  <c r="AI16" i="13"/>
  <c r="T36" i="13" s="1"/>
  <c r="T54" i="13" s="1"/>
  <c r="AH16" i="13"/>
  <c r="S36" i="13" s="1"/>
  <c r="S54" i="13" s="1"/>
  <c r="AG16" i="13"/>
  <c r="R36" i="13" s="1"/>
  <c r="R54" i="13" s="1"/>
  <c r="AF16" i="13"/>
  <c r="Q36" i="13" s="1"/>
  <c r="Q54" i="13" s="1"/>
  <c r="AE16" i="13"/>
  <c r="P36" i="13" s="1"/>
  <c r="P54" i="13" s="1"/>
  <c r="AD16" i="13"/>
  <c r="O36" i="13" s="1"/>
  <c r="O54" i="13" s="1"/>
  <c r="AC16" i="13"/>
  <c r="N36" i="13" s="1"/>
  <c r="N54" i="13" s="1"/>
  <c r="AB16" i="13"/>
  <c r="M36" i="13" s="1"/>
  <c r="M54" i="13" s="1"/>
  <c r="AA16" i="13"/>
  <c r="L36" i="13" s="1"/>
  <c r="L54" i="13" s="1"/>
  <c r="Z16" i="13"/>
  <c r="K36" i="13" s="1"/>
  <c r="K54" i="13" s="1"/>
  <c r="Y16" i="13"/>
  <c r="J36" i="13" s="1"/>
  <c r="J54" i="13" s="1"/>
  <c r="X16" i="13"/>
  <c r="I36" i="13" s="1"/>
  <c r="I54" i="13" s="1"/>
  <c r="W16" i="13"/>
  <c r="H36" i="13" s="1"/>
  <c r="H54" i="13" s="1"/>
  <c r="V16" i="13"/>
  <c r="G36" i="13" s="1"/>
  <c r="G54" i="13" s="1"/>
  <c r="U16" i="13"/>
  <c r="F36" i="13" s="1"/>
  <c r="F54" i="13" s="1"/>
  <c r="T16" i="13"/>
  <c r="E36" i="13" s="1"/>
  <c r="E54" i="13" s="1"/>
  <c r="S16" i="13"/>
  <c r="D36" i="13" s="1"/>
  <c r="D54" i="13" s="1"/>
  <c r="R16" i="13"/>
  <c r="C36" i="13" s="1"/>
  <c r="C54" i="13" s="1"/>
  <c r="Q16" i="13"/>
  <c r="B36" i="13" s="1"/>
  <c r="B54" i="13" s="1"/>
  <c r="AR15" i="13"/>
  <c r="AC35" i="13" s="1"/>
  <c r="AQ15" i="13"/>
  <c r="AB35" i="13" s="1"/>
  <c r="AP15" i="13"/>
  <c r="AA35" i="13" s="1"/>
  <c r="AO15" i="13"/>
  <c r="Z35" i="13" s="1"/>
  <c r="AN15" i="13"/>
  <c r="Y35" i="13" s="1"/>
  <c r="AM15" i="13"/>
  <c r="X35" i="13" s="1"/>
  <c r="AL15" i="13"/>
  <c r="W35" i="13" s="1"/>
  <c r="AK15" i="13"/>
  <c r="V35" i="13" s="1"/>
  <c r="AJ15" i="13"/>
  <c r="U35" i="13" s="1"/>
  <c r="AI15" i="13"/>
  <c r="T35" i="13" s="1"/>
  <c r="AH15" i="13"/>
  <c r="S35" i="13" s="1"/>
  <c r="AG15" i="13"/>
  <c r="R35" i="13" s="1"/>
  <c r="AF15" i="13"/>
  <c r="Q35" i="13" s="1"/>
  <c r="AE15" i="13"/>
  <c r="P35" i="13" s="1"/>
  <c r="AD15" i="13"/>
  <c r="O35" i="13" s="1"/>
  <c r="AC15" i="13"/>
  <c r="N35" i="13" s="1"/>
  <c r="AB15" i="13"/>
  <c r="M35" i="13" s="1"/>
  <c r="AA15" i="13"/>
  <c r="L35" i="13" s="1"/>
  <c r="Z15" i="13"/>
  <c r="K35" i="13" s="1"/>
  <c r="Y15" i="13"/>
  <c r="J35" i="13" s="1"/>
  <c r="X15" i="13"/>
  <c r="I35" i="13" s="1"/>
  <c r="W15" i="13"/>
  <c r="H35" i="13" s="1"/>
  <c r="V15" i="13"/>
  <c r="G35" i="13" s="1"/>
  <c r="U15" i="13"/>
  <c r="F35" i="13" s="1"/>
  <c r="T15" i="13"/>
  <c r="E35" i="13" s="1"/>
  <c r="S15" i="13"/>
  <c r="D35" i="13" s="1"/>
  <c r="R15" i="13"/>
  <c r="C35" i="13" s="1"/>
  <c r="Q15" i="13"/>
  <c r="B35" i="13" s="1"/>
  <c r="AR14" i="13"/>
  <c r="AC34" i="13" s="1"/>
  <c r="AQ14" i="13"/>
  <c r="AB34" i="13" s="1"/>
  <c r="AP14" i="13"/>
  <c r="AA34" i="13" s="1"/>
  <c r="AO14" i="13"/>
  <c r="Z34" i="13" s="1"/>
  <c r="AN14" i="13"/>
  <c r="Y34" i="13" s="1"/>
  <c r="AM14" i="13"/>
  <c r="X34" i="13" s="1"/>
  <c r="AL14" i="13"/>
  <c r="W34" i="13" s="1"/>
  <c r="AK14" i="13"/>
  <c r="V34" i="13" s="1"/>
  <c r="AJ14" i="13"/>
  <c r="U34" i="13" s="1"/>
  <c r="AI14" i="13"/>
  <c r="T34" i="13" s="1"/>
  <c r="AH14" i="13"/>
  <c r="S34" i="13" s="1"/>
  <c r="AG14" i="13"/>
  <c r="R34" i="13" s="1"/>
  <c r="AF14" i="13"/>
  <c r="Q34" i="13" s="1"/>
  <c r="AE14" i="13"/>
  <c r="P34" i="13" s="1"/>
  <c r="AD14" i="13"/>
  <c r="O34" i="13" s="1"/>
  <c r="AC14" i="13"/>
  <c r="N34" i="13" s="1"/>
  <c r="AB14" i="13"/>
  <c r="M34" i="13" s="1"/>
  <c r="AA14" i="13"/>
  <c r="L34" i="13" s="1"/>
  <c r="Z14" i="13"/>
  <c r="K34" i="13" s="1"/>
  <c r="Y14" i="13"/>
  <c r="J34" i="13" s="1"/>
  <c r="X14" i="13"/>
  <c r="I34" i="13" s="1"/>
  <c r="W14" i="13"/>
  <c r="H34" i="13" s="1"/>
  <c r="V14" i="13"/>
  <c r="G34" i="13" s="1"/>
  <c r="U14" i="13"/>
  <c r="F34" i="13" s="1"/>
  <c r="T14" i="13"/>
  <c r="E34" i="13" s="1"/>
  <c r="S14" i="13"/>
  <c r="D34" i="13" s="1"/>
  <c r="R14" i="13"/>
  <c r="C34" i="13" s="1"/>
  <c r="Q14" i="13"/>
  <c r="B34" i="13" s="1"/>
  <c r="AR13" i="13"/>
  <c r="AC33" i="13" s="1"/>
  <c r="AQ13" i="13"/>
  <c r="AB33" i="13" s="1"/>
  <c r="AP13" i="13"/>
  <c r="AA33" i="13" s="1"/>
  <c r="AO13" i="13"/>
  <c r="Z33" i="13" s="1"/>
  <c r="AN13" i="13"/>
  <c r="Y33" i="13" s="1"/>
  <c r="AM13" i="13"/>
  <c r="X33" i="13" s="1"/>
  <c r="AL13" i="13"/>
  <c r="W33" i="13" s="1"/>
  <c r="AK13" i="13"/>
  <c r="V33" i="13" s="1"/>
  <c r="AJ13" i="13"/>
  <c r="U33" i="13" s="1"/>
  <c r="AI13" i="13"/>
  <c r="T33" i="13" s="1"/>
  <c r="AH13" i="13"/>
  <c r="S33" i="13" s="1"/>
  <c r="AG13" i="13"/>
  <c r="R33" i="13" s="1"/>
  <c r="AF13" i="13"/>
  <c r="Q33" i="13" s="1"/>
  <c r="AE13" i="13"/>
  <c r="P33" i="13" s="1"/>
  <c r="AD13" i="13"/>
  <c r="O33" i="13" s="1"/>
  <c r="AC13" i="13"/>
  <c r="N33" i="13" s="1"/>
  <c r="AB13" i="13"/>
  <c r="M33" i="13" s="1"/>
  <c r="AA13" i="13"/>
  <c r="L33" i="13" s="1"/>
  <c r="Z13" i="13"/>
  <c r="K33" i="13" s="1"/>
  <c r="Y13" i="13"/>
  <c r="J33" i="13" s="1"/>
  <c r="X13" i="13"/>
  <c r="I33" i="13" s="1"/>
  <c r="W13" i="13"/>
  <c r="H33" i="13" s="1"/>
  <c r="V13" i="13"/>
  <c r="G33" i="13" s="1"/>
  <c r="U13" i="13"/>
  <c r="F33" i="13" s="1"/>
  <c r="T13" i="13"/>
  <c r="E33" i="13" s="1"/>
  <c r="S13" i="13"/>
  <c r="D33" i="13" s="1"/>
  <c r="R13" i="13"/>
  <c r="C33" i="13" s="1"/>
  <c r="Q13" i="13"/>
  <c r="B33" i="13" s="1"/>
  <c r="AR12" i="13"/>
  <c r="AC32" i="13" s="1"/>
  <c r="AQ12" i="13"/>
  <c r="AB32" i="13" s="1"/>
  <c r="AP12" i="13"/>
  <c r="AA32" i="13" s="1"/>
  <c r="AO12" i="13"/>
  <c r="Z32" i="13" s="1"/>
  <c r="AN12" i="13"/>
  <c r="Y32" i="13" s="1"/>
  <c r="AM12" i="13"/>
  <c r="X32" i="13" s="1"/>
  <c r="AL12" i="13"/>
  <c r="W32" i="13" s="1"/>
  <c r="AK12" i="13"/>
  <c r="V32" i="13" s="1"/>
  <c r="AJ12" i="13"/>
  <c r="U32" i="13" s="1"/>
  <c r="AI12" i="13"/>
  <c r="T32" i="13" s="1"/>
  <c r="AH12" i="13"/>
  <c r="S32" i="13" s="1"/>
  <c r="AG12" i="13"/>
  <c r="R32" i="13" s="1"/>
  <c r="AF12" i="13"/>
  <c r="Q32" i="13" s="1"/>
  <c r="AE12" i="13"/>
  <c r="P32" i="13" s="1"/>
  <c r="AD12" i="13"/>
  <c r="O32" i="13" s="1"/>
  <c r="AC12" i="13"/>
  <c r="N32" i="13" s="1"/>
  <c r="AB12" i="13"/>
  <c r="M32" i="13" s="1"/>
  <c r="AA12" i="13"/>
  <c r="L32" i="13" s="1"/>
  <c r="Z12" i="13"/>
  <c r="K32" i="13" s="1"/>
  <c r="Y12" i="13"/>
  <c r="J32" i="13" s="1"/>
  <c r="X12" i="13"/>
  <c r="I32" i="13" s="1"/>
  <c r="W12" i="13"/>
  <c r="H32" i="13" s="1"/>
  <c r="V12" i="13"/>
  <c r="G32" i="13" s="1"/>
  <c r="U12" i="13"/>
  <c r="F32" i="13" s="1"/>
  <c r="T12" i="13"/>
  <c r="E32" i="13" s="1"/>
  <c r="S12" i="13"/>
  <c r="D32" i="13" s="1"/>
  <c r="R12" i="13"/>
  <c r="C32" i="13" s="1"/>
  <c r="Q12" i="13"/>
  <c r="B32" i="13" s="1"/>
  <c r="AR11" i="13"/>
  <c r="AC31" i="13" s="1"/>
  <c r="AQ11" i="13"/>
  <c r="AB31" i="13" s="1"/>
  <c r="AP11" i="13"/>
  <c r="AA31" i="13" s="1"/>
  <c r="AO11" i="13"/>
  <c r="Z31" i="13" s="1"/>
  <c r="AN11" i="13"/>
  <c r="Y31" i="13" s="1"/>
  <c r="AM11" i="13"/>
  <c r="X31" i="13" s="1"/>
  <c r="AL11" i="13"/>
  <c r="W31" i="13" s="1"/>
  <c r="AK11" i="13"/>
  <c r="V31" i="13" s="1"/>
  <c r="AJ11" i="13"/>
  <c r="U31" i="13" s="1"/>
  <c r="AI11" i="13"/>
  <c r="T31" i="13" s="1"/>
  <c r="AH11" i="13"/>
  <c r="S31" i="13" s="1"/>
  <c r="AG11" i="13"/>
  <c r="R31" i="13" s="1"/>
  <c r="AF11" i="13"/>
  <c r="Q31" i="13" s="1"/>
  <c r="AE11" i="13"/>
  <c r="P31" i="13" s="1"/>
  <c r="AD11" i="13"/>
  <c r="O31" i="13" s="1"/>
  <c r="AC11" i="13"/>
  <c r="N31" i="13" s="1"/>
  <c r="AB11" i="13"/>
  <c r="M31" i="13" s="1"/>
  <c r="AA11" i="13"/>
  <c r="L31" i="13" s="1"/>
  <c r="Z11" i="13"/>
  <c r="K31" i="13" s="1"/>
  <c r="Y11" i="13"/>
  <c r="J31" i="13" s="1"/>
  <c r="X11" i="13"/>
  <c r="I31" i="13" s="1"/>
  <c r="W11" i="13"/>
  <c r="H31" i="13" s="1"/>
  <c r="V11" i="13"/>
  <c r="G31" i="13" s="1"/>
  <c r="U11" i="13"/>
  <c r="F31" i="13" s="1"/>
  <c r="T11" i="13"/>
  <c r="E31" i="13" s="1"/>
  <c r="S11" i="13"/>
  <c r="D31" i="13" s="1"/>
  <c r="R11" i="13"/>
  <c r="C31" i="13" s="1"/>
  <c r="Q11" i="13"/>
  <c r="B31" i="13" s="1"/>
  <c r="A475" i="9"/>
  <c r="A473" i="9"/>
  <c r="A510" i="9" s="1"/>
  <c r="A472" i="9"/>
  <c r="A471" i="9"/>
  <c r="A470" i="9"/>
  <c r="A468" i="9"/>
  <c r="A485" i="9" s="1"/>
  <c r="A509" i="9" s="1"/>
  <c r="A467" i="9"/>
  <c r="A466" i="9"/>
  <c r="A484" i="9" s="1"/>
  <c r="A508" i="9" s="1"/>
  <c r="A465" i="9"/>
  <c r="A483" i="9" s="1"/>
  <c r="A495" i="9" s="1"/>
  <c r="A464" i="9"/>
  <c r="A482" i="9" s="1"/>
  <c r="A506" i="9" s="1"/>
  <c r="A463" i="9"/>
  <c r="A462" i="9"/>
  <c r="A481" i="9" s="1"/>
  <c r="A493" i="9" s="1"/>
  <c r="A461" i="9"/>
  <c r="A480" i="9" s="1"/>
  <c r="A460" i="9"/>
  <c r="A479" i="9" s="1"/>
  <c r="A503" i="9" s="1"/>
  <c r="A459" i="9"/>
  <c r="A478" i="9" s="1"/>
  <c r="A490" i="9" s="1"/>
  <c r="AR455" i="9"/>
  <c r="AQ455" i="9"/>
  <c r="AP455" i="9"/>
  <c r="AO455" i="9"/>
  <c r="AN455" i="9"/>
  <c r="AM455" i="9"/>
  <c r="AL455" i="9"/>
  <c r="AK455" i="9"/>
  <c r="V475" i="9" s="1"/>
  <c r="AJ455" i="9"/>
  <c r="AI455" i="9"/>
  <c r="AH455" i="9"/>
  <c r="AG455" i="9"/>
  <c r="AF455" i="9"/>
  <c r="AE455" i="9"/>
  <c r="AD455" i="9"/>
  <c r="AC455" i="9"/>
  <c r="AB455" i="9"/>
  <c r="AA455" i="9"/>
  <c r="Z455" i="9"/>
  <c r="Y455" i="9"/>
  <c r="X455" i="9"/>
  <c r="W455" i="9"/>
  <c r="V455" i="9"/>
  <c r="U455" i="9"/>
  <c r="T455" i="9"/>
  <c r="S455" i="9"/>
  <c r="R455" i="9"/>
  <c r="Q455" i="9"/>
  <c r="AR454" i="9"/>
  <c r="AQ454" i="9"/>
  <c r="AP454" i="9"/>
  <c r="AO454" i="9"/>
  <c r="AN454" i="9"/>
  <c r="AM454" i="9"/>
  <c r="AL454" i="9"/>
  <c r="AK454" i="9"/>
  <c r="AJ454" i="9"/>
  <c r="AI454" i="9"/>
  <c r="AH454" i="9"/>
  <c r="AG454" i="9"/>
  <c r="AF454" i="9"/>
  <c r="AE454" i="9"/>
  <c r="AD454" i="9"/>
  <c r="AC454" i="9"/>
  <c r="AB454" i="9"/>
  <c r="AA454" i="9"/>
  <c r="Z454" i="9"/>
  <c r="Y454" i="9"/>
  <c r="X454" i="9"/>
  <c r="W454" i="9"/>
  <c r="V454" i="9"/>
  <c r="U454" i="9"/>
  <c r="T454" i="9"/>
  <c r="S454" i="9"/>
  <c r="R454" i="9"/>
  <c r="Q454" i="9"/>
  <c r="AR453" i="9"/>
  <c r="AQ453" i="9"/>
  <c r="AP453" i="9"/>
  <c r="AO453" i="9"/>
  <c r="AN453" i="9"/>
  <c r="AM453" i="9"/>
  <c r="AL453" i="9"/>
  <c r="AK453" i="9"/>
  <c r="AJ453" i="9"/>
  <c r="AI453" i="9"/>
  <c r="AH453" i="9"/>
  <c r="AG453" i="9"/>
  <c r="AF453" i="9"/>
  <c r="AE453" i="9"/>
  <c r="AD453" i="9"/>
  <c r="AC453" i="9"/>
  <c r="AB453" i="9"/>
  <c r="AA453" i="9"/>
  <c r="Z453" i="9"/>
  <c r="Y453" i="9"/>
  <c r="X453" i="9"/>
  <c r="W453" i="9"/>
  <c r="V453" i="9"/>
  <c r="U453" i="9"/>
  <c r="T453" i="9"/>
  <c r="S453" i="9"/>
  <c r="R453" i="9"/>
  <c r="Q453" i="9"/>
  <c r="AR452" i="9"/>
  <c r="AQ452" i="9"/>
  <c r="AP452" i="9"/>
  <c r="AO452" i="9"/>
  <c r="AN452" i="9"/>
  <c r="AM452" i="9"/>
  <c r="AL452" i="9"/>
  <c r="AK452" i="9"/>
  <c r="AJ452" i="9"/>
  <c r="AI452" i="9"/>
  <c r="AH452" i="9"/>
  <c r="AG452" i="9"/>
  <c r="AF452" i="9"/>
  <c r="AE452" i="9"/>
  <c r="AD452" i="9"/>
  <c r="AC452" i="9"/>
  <c r="AB452" i="9"/>
  <c r="AA452" i="9"/>
  <c r="Z452" i="9"/>
  <c r="Y452" i="9"/>
  <c r="X452" i="9"/>
  <c r="W452" i="9"/>
  <c r="V452" i="9"/>
  <c r="U452" i="9"/>
  <c r="T452" i="9"/>
  <c r="S452" i="9"/>
  <c r="R452" i="9"/>
  <c r="Q452" i="9"/>
  <c r="AR451" i="9"/>
  <c r="AQ451" i="9"/>
  <c r="AP451" i="9"/>
  <c r="AO451" i="9"/>
  <c r="AN451" i="9"/>
  <c r="AM451" i="9"/>
  <c r="AL451" i="9"/>
  <c r="AK451" i="9"/>
  <c r="AJ451" i="9"/>
  <c r="AI451" i="9"/>
  <c r="AH451" i="9"/>
  <c r="AG451" i="9"/>
  <c r="AF451" i="9"/>
  <c r="AE451" i="9"/>
  <c r="AD451" i="9"/>
  <c r="AC451" i="9"/>
  <c r="AB451" i="9"/>
  <c r="AA451" i="9"/>
  <c r="Z451" i="9"/>
  <c r="Y451" i="9"/>
  <c r="X451" i="9"/>
  <c r="W451" i="9"/>
  <c r="V451" i="9"/>
  <c r="U451" i="9"/>
  <c r="T451" i="9"/>
  <c r="S451" i="9"/>
  <c r="R451" i="9"/>
  <c r="Q451" i="9"/>
  <c r="AR450" i="9"/>
  <c r="AQ450" i="9"/>
  <c r="AP450" i="9"/>
  <c r="AO450" i="9"/>
  <c r="AN450" i="9"/>
  <c r="AM450" i="9"/>
  <c r="AL450" i="9"/>
  <c r="AK450" i="9"/>
  <c r="AJ450" i="9"/>
  <c r="AI450" i="9"/>
  <c r="AH450" i="9"/>
  <c r="AG450" i="9"/>
  <c r="AF450" i="9"/>
  <c r="AE450" i="9"/>
  <c r="AD450" i="9"/>
  <c r="AC450" i="9"/>
  <c r="AB450" i="9"/>
  <c r="AA450" i="9"/>
  <c r="Z450" i="9"/>
  <c r="Y450" i="9"/>
  <c r="X450" i="9"/>
  <c r="W450" i="9"/>
  <c r="V450" i="9"/>
  <c r="U450" i="9"/>
  <c r="T450" i="9"/>
  <c r="S450" i="9"/>
  <c r="R450" i="9"/>
  <c r="Q450" i="9"/>
  <c r="AR448" i="9"/>
  <c r="AQ448" i="9"/>
  <c r="AP448" i="9"/>
  <c r="AO448" i="9"/>
  <c r="AN448" i="9"/>
  <c r="AM448" i="9"/>
  <c r="AL448" i="9"/>
  <c r="AK448" i="9"/>
  <c r="AJ448" i="9"/>
  <c r="AI448" i="9"/>
  <c r="AH448" i="9"/>
  <c r="AG448" i="9"/>
  <c r="AF448" i="9"/>
  <c r="AE448" i="9"/>
  <c r="AD448" i="9"/>
  <c r="AC448" i="9"/>
  <c r="AB448" i="9"/>
  <c r="AA448" i="9"/>
  <c r="Z448" i="9"/>
  <c r="Y448" i="9"/>
  <c r="X448" i="9"/>
  <c r="W448" i="9"/>
  <c r="V448" i="9"/>
  <c r="U448" i="9"/>
  <c r="T448" i="9"/>
  <c r="S448" i="9"/>
  <c r="R448" i="9"/>
  <c r="Q448" i="9"/>
  <c r="AR447" i="9"/>
  <c r="AQ447" i="9"/>
  <c r="AP447" i="9"/>
  <c r="AO447" i="9"/>
  <c r="AN447" i="9"/>
  <c r="AM447" i="9"/>
  <c r="AL447" i="9"/>
  <c r="AK447" i="9"/>
  <c r="AJ447" i="9"/>
  <c r="AI447" i="9"/>
  <c r="AH447" i="9"/>
  <c r="AG447" i="9"/>
  <c r="AF447" i="9"/>
  <c r="AE447" i="9"/>
  <c r="AD447" i="9"/>
  <c r="AC447" i="9"/>
  <c r="AB447" i="9"/>
  <c r="AA447" i="9"/>
  <c r="Z447" i="9"/>
  <c r="Y447" i="9"/>
  <c r="X447" i="9"/>
  <c r="W447" i="9"/>
  <c r="V447" i="9"/>
  <c r="U447" i="9"/>
  <c r="T447" i="9"/>
  <c r="S447" i="9"/>
  <c r="R447" i="9"/>
  <c r="Q447" i="9"/>
  <c r="AR446" i="9"/>
  <c r="AQ446" i="9"/>
  <c r="AP446" i="9"/>
  <c r="AO446" i="9"/>
  <c r="AN446" i="9"/>
  <c r="AM446" i="9"/>
  <c r="AL446" i="9"/>
  <c r="AK446" i="9"/>
  <c r="AJ446" i="9"/>
  <c r="AI446" i="9"/>
  <c r="AH446" i="9"/>
  <c r="AG446" i="9"/>
  <c r="AF446" i="9"/>
  <c r="AE446" i="9"/>
  <c r="AD446" i="9"/>
  <c r="AC446" i="9"/>
  <c r="AB446" i="9"/>
  <c r="AA446" i="9"/>
  <c r="Z446" i="9"/>
  <c r="Y446" i="9"/>
  <c r="X446" i="9"/>
  <c r="W446" i="9"/>
  <c r="V446" i="9"/>
  <c r="U446" i="9"/>
  <c r="T446" i="9"/>
  <c r="S446" i="9"/>
  <c r="R446" i="9"/>
  <c r="Q446" i="9"/>
  <c r="AR445" i="9"/>
  <c r="AQ445" i="9"/>
  <c r="AP445" i="9"/>
  <c r="AO445" i="9"/>
  <c r="AN445" i="9"/>
  <c r="AM445" i="9"/>
  <c r="AL445" i="9"/>
  <c r="AK445" i="9"/>
  <c r="AJ445" i="9"/>
  <c r="AI445" i="9"/>
  <c r="AH445" i="9"/>
  <c r="AG445" i="9"/>
  <c r="AF445" i="9"/>
  <c r="AE445" i="9"/>
  <c r="AD445" i="9"/>
  <c r="AC445" i="9"/>
  <c r="AB445" i="9"/>
  <c r="AA445" i="9"/>
  <c r="Z445" i="9"/>
  <c r="Y445" i="9"/>
  <c r="X445" i="9"/>
  <c r="W445" i="9"/>
  <c r="V445" i="9"/>
  <c r="U445" i="9"/>
  <c r="T445" i="9"/>
  <c r="S445" i="9"/>
  <c r="R445" i="9"/>
  <c r="Q445" i="9"/>
  <c r="AR444" i="9"/>
  <c r="AQ444" i="9"/>
  <c r="AP444" i="9"/>
  <c r="AO444" i="9"/>
  <c r="AN444" i="9"/>
  <c r="AM444" i="9"/>
  <c r="AL444" i="9"/>
  <c r="AK444" i="9"/>
  <c r="AJ444" i="9"/>
  <c r="AI444" i="9"/>
  <c r="AH444" i="9"/>
  <c r="AG444" i="9"/>
  <c r="AF444" i="9"/>
  <c r="AE444" i="9"/>
  <c r="AD444" i="9"/>
  <c r="AC444" i="9"/>
  <c r="AB444" i="9"/>
  <c r="AA444" i="9"/>
  <c r="Z444" i="9"/>
  <c r="Y444" i="9"/>
  <c r="X444" i="9"/>
  <c r="W444" i="9"/>
  <c r="V444" i="9"/>
  <c r="U444" i="9"/>
  <c r="T444" i="9"/>
  <c r="S444" i="9"/>
  <c r="R444" i="9"/>
  <c r="Q444" i="9"/>
  <c r="AR443" i="9"/>
  <c r="AQ443" i="9"/>
  <c r="AP443" i="9"/>
  <c r="AO443" i="9"/>
  <c r="AN443" i="9"/>
  <c r="AM443" i="9"/>
  <c r="AL443" i="9"/>
  <c r="AK443" i="9"/>
  <c r="AJ443" i="9"/>
  <c r="AI443" i="9"/>
  <c r="AH443" i="9"/>
  <c r="AG443" i="9"/>
  <c r="AF443" i="9"/>
  <c r="AE443" i="9"/>
  <c r="AD443" i="9"/>
  <c r="AC443" i="9"/>
  <c r="AB443" i="9"/>
  <c r="AA443" i="9"/>
  <c r="Z443" i="9"/>
  <c r="Y443" i="9"/>
  <c r="X443" i="9"/>
  <c r="W443" i="9"/>
  <c r="V443" i="9"/>
  <c r="U443" i="9"/>
  <c r="T443" i="9"/>
  <c r="S443" i="9"/>
  <c r="R443" i="9"/>
  <c r="Q443" i="9"/>
  <c r="AR442" i="9"/>
  <c r="AQ442" i="9"/>
  <c r="AP442" i="9"/>
  <c r="AO442" i="9"/>
  <c r="AN442" i="9"/>
  <c r="AM442" i="9"/>
  <c r="AL442" i="9"/>
  <c r="AK442" i="9"/>
  <c r="AJ442" i="9"/>
  <c r="AI442" i="9"/>
  <c r="AH442" i="9"/>
  <c r="AG442" i="9"/>
  <c r="AF442" i="9"/>
  <c r="AE442" i="9"/>
  <c r="AD442" i="9"/>
  <c r="AC442" i="9"/>
  <c r="AB442" i="9"/>
  <c r="AA442" i="9"/>
  <c r="Z442" i="9"/>
  <c r="Y442" i="9"/>
  <c r="X442" i="9"/>
  <c r="W442" i="9"/>
  <c r="V442" i="9"/>
  <c r="U442" i="9"/>
  <c r="T442" i="9"/>
  <c r="S442" i="9"/>
  <c r="R442" i="9"/>
  <c r="Q442" i="9"/>
  <c r="AR441" i="9"/>
  <c r="AQ441" i="9"/>
  <c r="AP441" i="9"/>
  <c r="AO441" i="9"/>
  <c r="AN441" i="9"/>
  <c r="AM441" i="9"/>
  <c r="AL441" i="9"/>
  <c r="AK441" i="9"/>
  <c r="AJ441" i="9"/>
  <c r="AI441" i="9"/>
  <c r="AH441" i="9"/>
  <c r="AG441" i="9"/>
  <c r="AF441" i="9"/>
  <c r="AE441" i="9"/>
  <c r="AD441" i="9"/>
  <c r="AC441" i="9"/>
  <c r="AB441" i="9"/>
  <c r="AA441" i="9"/>
  <c r="Z441" i="9"/>
  <c r="Y441" i="9"/>
  <c r="X441" i="9"/>
  <c r="W441" i="9"/>
  <c r="V441" i="9"/>
  <c r="U441" i="9"/>
  <c r="T441" i="9"/>
  <c r="S441" i="9"/>
  <c r="R441" i="9"/>
  <c r="Q441" i="9"/>
  <c r="AR440" i="9"/>
  <c r="AQ440" i="9"/>
  <c r="AP440" i="9"/>
  <c r="AO440" i="9"/>
  <c r="AN440" i="9"/>
  <c r="AM440" i="9"/>
  <c r="AL440" i="9"/>
  <c r="AK440" i="9"/>
  <c r="AJ440" i="9"/>
  <c r="AI440" i="9"/>
  <c r="AH440" i="9"/>
  <c r="AG440" i="9"/>
  <c r="AF440" i="9"/>
  <c r="AE440" i="9"/>
  <c r="AD440" i="9"/>
  <c r="AC440" i="9"/>
  <c r="AB440" i="9"/>
  <c r="AA440" i="9"/>
  <c r="Z440" i="9"/>
  <c r="Y440" i="9"/>
  <c r="X440" i="9"/>
  <c r="W440" i="9"/>
  <c r="V440" i="9"/>
  <c r="U440" i="9"/>
  <c r="T440" i="9"/>
  <c r="S440" i="9"/>
  <c r="R440" i="9"/>
  <c r="Q440" i="9"/>
  <c r="AR439" i="9"/>
  <c r="AQ439" i="9"/>
  <c r="AP439" i="9"/>
  <c r="AO439" i="9"/>
  <c r="AN439" i="9"/>
  <c r="AM439" i="9"/>
  <c r="AL439" i="9"/>
  <c r="AK439" i="9"/>
  <c r="AJ439" i="9"/>
  <c r="AI439" i="9"/>
  <c r="AH439" i="9"/>
  <c r="AG439" i="9"/>
  <c r="AF439" i="9"/>
  <c r="AE439" i="9"/>
  <c r="AD439" i="9"/>
  <c r="AC439" i="9"/>
  <c r="AB439" i="9"/>
  <c r="AA439" i="9"/>
  <c r="Z439" i="9"/>
  <c r="Y439" i="9"/>
  <c r="X439" i="9"/>
  <c r="W439" i="9"/>
  <c r="V439" i="9"/>
  <c r="U439" i="9"/>
  <c r="T439" i="9"/>
  <c r="S439" i="9"/>
  <c r="R439" i="9"/>
  <c r="Q439" i="9"/>
  <c r="A370" i="9"/>
  <c r="A368" i="9"/>
  <c r="A405" i="9" s="1"/>
  <c r="A367" i="9"/>
  <c r="A366" i="9"/>
  <c r="A365" i="9"/>
  <c r="A363" i="9"/>
  <c r="A380" i="9" s="1"/>
  <c r="A362" i="9"/>
  <c r="A361" i="9"/>
  <c r="A379" i="9" s="1"/>
  <c r="A403" i="9" s="1"/>
  <c r="A360" i="9"/>
  <c r="A378" i="9" s="1"/>
  <c r="A390" i="9" s="1"/>
  <c r="A359" i="9"/>
  <c r="A377" i="9" s="1"/>
  <c r="A358" i="9"/>
  <c r="A357" i="9"/>
  <c r="A376" i="9" s="1"/>
  <c r="A388" i="9" s="1"/>
  <c r="A356" i="9"/>
  <c r="A375" i="9" s="1"/>
  <c r="A355" i="9"/>
  <c r="A374" i="9" s="1"/>
  <c r="A398" i="9" s="1"/>
  <c r="A354" i="9"/>
  <c r="A373" i="9" s="1"/>
  <c r="A385" i="9" s="1"/>
  <c r="AR350" i="9"/>
  <c r="AQ350" i="9"/>
  <c r="AP350" i="9"/>
  <c r="AO350" i="9"/>
  <c r="AN350" i="9"/>
  <c r="AM350" i="9"/>
  <c r="AL350" i="9"/>
  <c r="AK350" i="9"/>
  <c r="AJ350" i="9"/>
  <c r="AI350" i="9"/>
  <c r="AH350" i="9"/>
  <c r="AG350" i="9"/>
  <c r="AF350" i="9"/>
  <c r="AE350" i="9"/>
  <c r="AD350" i="9"/>
  <c r="AC350" i="9"/>
  <c r="AB350" i="9"/>
  <c r="AA350" i="9"/>
  <c r="Z350" i="9"/>
  <c r="Y350" i="9"/>
  <c r="X350" i="9"/>
  <c r="W350" i="9"/>
  <c r="V350" i="9"/>
  <c r="U350" i="9"/>
  <c r="T350" i="9"/>
  <c r="S350" i="9"/>
  <c r="R350" i="9"/>
  <c r="Q350" i="9"/>
  <c r="AR349" i="9"/>
  <c r="AQ349" i="9"/>
  <c r="AP349" i="9"/>
  <c r="AO349" i="9"/>
  <c r="AN349" i="9"/>
  <c r="AM349" i="9"/>
  <c r="AL349" i="9"/>
  <c r="AK349" i="9"/>
  <c r="AJ349" i="9"/>
  <c r="AI349" i="9"/>
  <c r="AH349" i="9"/>
  <c r="AG349" i="9"/>
  <c r="AF349" i="9"/>
  <c r="AE349" i="9"/>
  <c r="AD349" i="9"/>
  <c r="AC349" i="9"/>
  <c r="AB349" i="9"/>
  <c r="AA349" i="9"/>
  <c r="Z349" i="9"/>
  <c r="Y349" i="9"/>
  <c r="X349" i="9"/>
  <c r="W349" i="9"/>
  <c r="V349" i="9"/>
  <c r="U349" i="9"/>
  <c r="T349" i="9"/>
  <c r="S349" i="9"/>
  <c r="R349" i="9"/>
  <c r="Q349" i="9"/>
  <c r="AR348" i="9"/>
  <c r="AQ348" i="9"/>
  <c r="AP348" i="9"/>
  <c r="AO348" i="9"/>
  <c r="AN348" i="9"/>
  <c r="AM348" i="9"/>
  <c r="AL348" i="9"/>
  <c r="AK348" i="9"/>
  <c r="AJ348" i="9"/>
  <c r="AI348" i="9"/>
  <c r="AH348" i="9"/>
  <c r="AG348" i="9"/>
  <c r="AF348" i="9"/>
  <c r="AE348" i="9"/>
  <c r="AD348" i="9"/>
  <c r="AC348" i="9"/>
  <c r="AB348" i="9"/>
  <c r="AA348" i="9"/>
  <c r="Z348" i="9"/>
  <c r="Y348" i="9"/>
  <c r="X348" i="9"/>
  <c r="W348" i="9"/>
  <c r="V348" i="9"/>
  <c r="U348" i="9"/>
  <c r="T348" i="9"/>
  <c r="S348" i="9"/>
  <c r="R348" i="9"/>
  <c r="Q348" i="9"/>
  <c r="AR347" i="9"/>
  <c r="AQ347" i="9"/>
  <c r="AP347" i="9"/>
  <c r="AO347" i="9"/>
  <c r="AN347" i="9"/>
  <c r="AM347" i="9"/>
  <c r="AL347" i="9"/>
  <c r="AK347" i="9"/>
  <c r="AJ347" i="9"/>
  <c r="AI347" i="9"/>
  <c r="AH347" i="9"/>
  <c r="AG347" i="9"/>
  <c r="AF347" i="9"/>
  <c r="AE347" i="9"/>
  <c r="AD347" i="9"/>
  <c r="AC347" i="9"/>
  <c r="AB347" i="9"/>
  <c r="AA347" i="9"/>
  <c r="Z347" i="9"/>
  <c r="Y347" i="9"/>
  <c r="X347" i="9"/>
  <c r="W347" i="9"/>
  <c r="V347" i="9"/>
  <c r="U347" i="9"/>
  <c r="T347" i="9"/>
  <c r="S347" i="9"/>
  <c r="R347" i="9"/>
  <c r="Q347" i="9"/>
  <c r="AR346" i="9"/>
  <c r="AQ346" i="9"/>
  <c r="AP346" i="9"/>
  <c r="AO346" i="9"/>
  <c r="AN346" i="9"/>
  <c r="AM346" i="9"/>
  <c r="AL346" i="9"/>
  <c r="AK346" i="9"/>
  <c r="AJ346" i="9"/>
  <c r="AI346" i="9"/>
  <c r="AH346" i="9"/>
  <c r="AG346" i="9"/>
  <c r="AF346" i="9"/>
  <c r="AE346" i="9"/>
  <c r="AD346" i="9"/>
  <c r="AC346" i="9"/>
  <c r="AB346" i="9"/>
  <c r="AA346" i="9"/>
  <c r="Z346" i="9"/>
  <c r="Y346" i="9"/>
  <c r="X346" i="9"/>
  <c r="W346" i="9"/>
  <c r="V346" i="9"/>
  <c r="U346" i="9"/>
  <c r="T346" i="9"/>
  <c r="S346" i="9"/>
  <c r="R346" i="9"/>
  <c r="Q346" i="9"/>
  <c r="AR345" i="9"/>
  <c r="AQ345" i="9"/>
  <c r="AP345" i="9"/>
  <c r="AO345" i="9"/>
  <c r="AN345" i="9"/>
  <c r="AM345" i="9"/>
  <c r="AL345" i="9"/>
  <c r="AK345" i="9"/>
  <c r="AJ345" i="9"/>
  <c r="AI345" i="9"/>
  <c r="AH345" i="9"/>
  <c r="AG345" i="9"/>
  <c r="AF345" i="9"/>
  <c r="AE345" i="9"/>
  <c r="AD345" i="9"/>
  <c r="AC345" i="9"/>
  <c r="AB345" i="9"/>
  <c r="AA345" i="9"/>
  <c r="Z345" i="9"/>
  <c r="Y345" i="9"/>
  <c r="X345" i="9"/>
  <c r="W345" i="9"/>
  <c r="V345" i="9"/>
  <c r="U345" i="9"/>
  <c r="T345" i="9"/>
  <c r="S345" i="9"/>
  <c r="R345" i="9"/>
  <c r="Q345" i="9"/>
  <c r="Q343" i="9"/>
  <c r="AR342" i="9"/>
  <c r="AQ342" i="9"/>
  <c r="AP342" i="9"/>
  <c r="AO342" i="9"/>
  <c r="AN342" i="9"/>
  <c r="AM342" i="9"/>
  <c r="AL342" i="9"/>
  <c r="AK342" i="9"/>
  <c r="AJ342" i="9"/>
  <c r="AI342" i="9"/>
  <c r="AH342" i="9"/>
  <c r="AG342" i="9"/>
  <c r="AF342" i="9"/>
  <c r="AE342" i="9"/>
  <c r="AD342" i="9"/>
  <c r="AC342" i="9"/>
  <c r="AB342" i="9"/>
  <c r="AA342" i="9"/>
  <c r="Z342" i="9"/>
  <c r="Y342" i="9"/>
  <c r="X342" i="9"/>
  <c r="W342" i="9"/>
  <c r="V342" i="9"/>
  <c r="U342" i="9"/>
  <c r="T342" i="9"/>
  <c r="S342" i="9"/>
  <c r="R342" i="9"/>
  <c r="Q342" i="9"/>
  <c r="AR341" i="9"/>
  <c r="AQ341" i="9"/>
  <c r="AP341" i="9"/>
  <c r="AO341" i="9"/>
  <c r="AN341" i="9"/>
  <c r="AM341" i="9"/>
  <c r="AL341" i="9"/>
  <c r="AK341" i="9"/>
  <c r="AJ341" i="9"/>
  <c r="AI341" i="9"/>
  <c r="AH341" i="9"/>
  <c r="AG341" i="9"/>
  <c r="AF341" i="9"/>
  <c r="AE341" i="9"/>
  <c r="AD341" i="9"/>
  <c r="AC341" i="9"/>
  <c r="AB341" i="9"/>
  <c r="AA341" i="9"/>
  <c r="Z341" i="9"/>
  <c r="Y341" i="9"/>
  <c r="X341" i="9"/>
  <c r="W341" i="9"/>
  <c r="V341" i="9"/>
  <c r="U341" i="9"/>
  <c r="T341" i="9"/>
  <c r="S341" i="9"/>
  <c r="R341" i="9"/>
  <c r="Q341" i="9"/>
  <c r="AR340" i="9"/>
  <c r="AQ340" i="9"/>
  <c r="AP340" i="9"/>
  <c r="AO340" i="9"/>
  <c r="AN340" i="9"/>
  <c r="AM340" i="9"/>
  <c r="AL340" i="9"/>
  <c r="AK340" i="9"/>
  <c r="AJ340" i="9"/>
  <c r="AI340" i="9"/>
  <c r="AH340" i="9"/>
  <c r="AG340" i="9"/>
  <c r="AF340" i="9"/>
  <c r="AE340" i="9"/>
  <c r="AD340" i="9"/>
  <c r="AC340" i="9"/>
  <c r="AB340" i="9"/>
  <c r="AA340" i="9"/>
  <c r="Z340" i="9"/>
  <c r="Y340" i="9"/>
  <c r="X340" i="9"/>
  <c r="W340" i="9"/>
  <c r="V340" i="9"/>
  <c r="U340" i="9"/>
  <c r="T340" i="9"/>
  <c r="S340" i="9"/>
  <c r="R340" i="9"/>
  <c r="Q340" i="9"/>
  <c r="AR339" i="9"/>
  <c r="AQ339" i="9"/>
  <c r="AP339" i="9"/>
  <c r="AO339" i="9"/>
  <c r="AN339" i="9"/>
  <c r="AM339" i="9"/>
  <c r="AL339" i="9"/>
  <c r="AK339" i="9"/>
  <c r="AJ339" i="9"/>
  <c r="AI339" i="9"/>
  <c r="AH339" i="9"/>
  <c r="AG339" i="9"/>
  <c r="AF339" i="9"/>
  <c r="AE339" i="9"/>
  <c r="AD339" i="9"/>
  <c r="AC339" i="9"/>
  <c r="AB339" i="9"/>
  <c r="AA339" i="9"/>
  <c r="Z339" i="9"/>
  <c r="Y339" i="9"/>
  <c r="X339" i="9"/>
  <c r="W339" i="9"/>
  <c r="V339" i="9"/>
  <c r="U339" i="9"/>
  <c r="T339" i="9"/>
  <c r="S339" i="9"/>
  <c r="R339" i="9"/>
  <c r="Q339" i="9"/>
  <c r="AR338" i="9"/>
  <c r="AQ338" i="9"/>
  <c r="AP338" i="9"/>
  <c r="AO338" i="9"/>
  <c r="AN338" i="9"/>
  <c r="AM338" i="9"/>
  <c r="AL338" i="9"/>
  <c r="AK338" i="9"/>
  <c r="AJ338" i="9"/>
  <c r="AI338" i="9"/>
  <c r="AH338" i="9"/>
  <c r="AG338" i="9"/>
  <c r="AF338" i="9"/>
  <c r="AE338" i="9"/>
  <c r="AD338" i="9"/>
  <c r="AC338" i="9"/>
  <c r="AB338" i="9"/>
  <c r="AA338" i="9"/>
  <c r="Z338" i="9"/>
  <c r="Y338" i="9"/>
  <c r="X338" i="9"/>
  <c r="W338" i="9"/>
  <c r="V338" i="9"/>
  <c r="U338" i="9"/>
  <c r="T338" i="9"/>
  <c r="S338" i="9"/>
  <c r="R338" i="9"/>
  <c r="Q338" i="9"/>
  <c r="AR337" i="9"/>
  <c r="AQ337" i="9"/>
  <c r="AP337" i="9"/>
  <c r="AO337" i="9"/>
  <c r="AN337" i="9"/>
  <c r="AM337" i="9"/>
  <c r="AL337" i="9"/>
  <c r="AK337" i="9"/>
  <c r="AJ337" i="9"/>
  <c r="AI337" i="9"/>
  <c r="AH337" i="9"/>
  <c r="AG337" i="9"/>
  <c r="AF337" i="9"/>
  <c r="AE337" i="9"/>
  <c r="AD337" i="9"/>
  <c r="AC337" i="9"/>
  <c r="AB337" i="9"/>
  <c r="AA337" i="9"/>
  <c r="Z337" i="9"/>
  <c r="Y337" i="9"/>
  <c r="X337" i="9"/>
  <c r="W337" i="9"/>
  <c r="V337" i="9"/>
  <c r="U337" i="9"/>
  <c r="T337" i="9"/>
  <c r="S337" i="9"/>
  <c r="R337" i="9"/>
  <c r="Q337" i="9"/>
  <c r="AR336" i="9"/>
  <c r="AQ336" i="9"/>
  <c r="AB356" i="9" s="1"/>
  <c r="AP336" i="9"/>
  <c r="AO336" i="9"/>
  <c r="AN336" i="9"/>
  <c r="AM336" i="9"/>
  <c r="AL336" i="9"/>
  <c r="AK336" i="9"/>
  <c r="AJ336" i="9"/>
  <c r="AI336" i="9"/>
  <c r="AH336" i="9"/>
  <c r="AG336" i="9"/>
  <c r="AF336" i="9"/>
  <c r="AE336" i="9"/>
  <c r="AD336" i="9"/>
  <c r="AC336" i="9"/>
  <c r="AB336" i="9"/>
  <c r="AA336" i="9"/>
  <c r="Z336" i="9"/>
  <c r="Y336" i="9"/>
  <c r="X336" i="9"/>
  <c r="W336" i="9"/>
  <c r="V336" i="9"/>
  <c r="U336" i="9"/>
  <c r="T336" i="9"/>
  <c r="S336" i="9"/>
  <c r="R336" i="9"/>
  <c r="Q336" i="9"/>
  <c r="AR335" i="9"/>
  <c r="AQ335" i="9"/>
  <c r="AP335" i="9"/>
  <c r="AO335" i="9"/>
  <c r="AN335" i="9"/>
  <c r="AM335" i="9"/>
  <c r="AL335" i="9"/>
  <c r="AK335" i="9"/>
  <c r="AJ335" i="9"/>
  <c r="AI335" i="9"/>
  <c r="AH335" i="9"/>
  <c r="AG335" i="9"/>
  <c r="AF335" i="9"/>
  <c r="AE335" i="9"/>
  <c r="AD335" i="9"/>
  <c r="AC335" i="9"/>
  <c r="AB335" i="9"/>
  <c r="AA335" i="9"/>
  <c r="Z335" i="9"/>
  <c r="Y335" i="9"/>
  <c r="X335" i="9"/>
  <c r="W335" i="9"/>
  <c r="V335" i="9"/>
  <c r="U335" i="9"/>
  <c r="T335" i="9"/>
  <c r="S335" i="9"/>
  <c r="R335" i="9"/>
  <c r="Q335" i="9"/>
  <c r="AR334" i="9"/>
  <c r="AQ334" i="9"/>
  <c r="AP334" i="9"/>
  <c r="AO334" i="9"/>
  <c r="AN334" i="9"/>
  <c r="AM334" i="9"/>
  <c r="AL334" i="9"/>
  <c r="AK334" i="9"/>
  <c r="AJ334" i="9"/>
  <c r="AI334" i="9"/>
  <c r="AH334" i="9"/>
  <c r="AG334" i="9"/>
  <c r="AF334" i="9"/>
  <c r="AE334" i="9"/>
  <c r="AD334" i="9"/>
  <c r="AC334" i="9"/>
  <c r="AB334" i="9"/>
  <c r="AA334" i="9"/>
  <c r="Z334" i="9"/>
  <c r="Y334" i="9"/>
  <c r="X334" i="9"/>
  <c r="W334" i="9"/>
  <c r="V334" i="9"/>
  <c r="U334" i="9"/>
  <c r="T334" i="9"/>
  <c r="S334" i="9"/>
  <c r="R334" i="9"/>
  <c r="Q334" i="9"/>
  <c r="A261" i="9"/>
  <c r="A259" i="9"/>
  <c r="A296" i="9" s="1"/>
  <c r="A258" i="9"/>
  <c r="A257" i="9"/>
  <c r="A256" i="9"/>
  <c r="A254" i="9"/>
  <c r="A271" i="9" s="1"/>
  <c r="A295" i="9" s="1"/>
  <c r="A253" i="9"/>
  <c r="A252" i="9"/>
  <c r="A270" i="9" s="1"/>
  <c r="A282" i="9" s="1"/>
  <c r="A251" i="9"/>
  <c r="A269" i="9" s="1"/>
  <c r="A281" i="9" s="1"/>
  <c r="A250" i="9"/>
  <c r="A268" i="9" s="1"/>
  <c r="A292" i="9" s="1"/>
  <c r="A249" i="9"/>
  <c r="A248" i="9"/>
  <c r="A267" i="9" s="1"/>
  <c r="A279" i="9" s="1"/>
  <c r="A247" i="9"/>
  <c r="A266" i="9" s="1"/>
  <c r="A246" i="9"/>
  <c r="A265" i="9" s="1"/>
  <c r="A289" i="9" s="1"/>
  <c r="A245" i="9"/>
  <c r="A264" i="9" s="1"/>
  <c r="A276" i="9" s="1"/>
  <c r="AR241" i="9"/>
  <c r="AQ241" i="9"/>
  <c r="AP241" i="9"/>
  <c r="AO241" i="9"/>
  <c r="AN241" i="9"/>
  <c r="AM241" i="9"/>
  <c r="AL241" i="9"/>
  <c r="AK241" i="9"/>
  <c r="AJ241" i="9"/>
  <c r="AI241" i="9"/>
  <c r="AH241" i="9"/>
  <c r="AG241" i="9"/>
  <c r="AF241" i="9"/>
  <c r="AE241" i="9"/>
  <c r="AD241" i="9"/>
  <c r="AC241" i="9"/>
  <c r="N261" i="9" s="1"/>
  <c r="AB241" i="9"/>
  <c r="AA241" i="9"/>
  <c r="Z241" i="9"/>
  <c r="Y241" i="9"/>
  <c r="X241" i="9"/>
  <c r="W241" i="9"/>
  <c r="V241" i="9"/>
  <c r="U241" i="9"/>
  <c r="T241" i="9"/>
  <c r="S241" i="9"/>
  <c r="R241" i="9"/>
  <c r="Q241" i="9"/>
  <c r="AR240" i="9"/>
  <c r="AQ240" i="9"/>
  <c r="AP240" i="9"/>
  <c r="AO240" i="9"/>
  <c r="AN240" i="9"/>
  <c r="AM240" i="9"/>
  <c r="AL240" i="9"/>
  <c r="AK240" i="9"/>
  <c r="AJ240" i="9"/>
  <c r="AI240" i="9"/>
  <c r="AH240" i="9"/>
  <c r="AG240" i="9"/>
  <c r="AF240" i="9"/>
  <c r="AE240" i="9"/>
  <c r="AD240" i="9"/>
  <c r="AC240" i="9"/>
  <c r="AB240" i="9"/>
  <c r="AA240" i="9"/>
  <c r="Z240" i="9"/>
  <c r="Y240" i="9"/>
  <c r="X240" i="9"/>
  <c r="W240" i="9"/>
  <c r="V240" i="9"/>
  <c r="U240" i="9"/>
  <c r="T240" i="9"/>
  <c r="S240" i="9"/>
  <c r="R240" i="9"/>
  <c r="Q240" i="9"/>
  <c r="AR239" i="9"/>
  <c r="AQ239" i="9"/>
  <c r="AP239" i="9"/>
  <c r="AO239" i="9"/>
  <c r="AN239" i="9"/>
  <c r="AM239" i="9"/>
  <c r="AL239" i="9"/>
  <c r="AK239" i="9"/>
  <c r="AJ239" i="9"/>
  <c r="AI239" i="9"/>
  <c r="AH239" i="9"/>
  <c r="AG239" i="9"/>
  <c r="AF239" i="9"/>
  <c r="AE239" i="9"/>
  <c r="AD239" i="9"/>
  <c r="AC239" i="9"/>
  <c r="AB239" i="9"/>
  <c r="AA239" i="9"/>
  <c r="Z239" i="9"/>
  <c r="Y239" i="9"/>
  <c r="X239" i="9"/>
  <c r="W239" i="9"/>
  <c r="V239" i="9"/>
  <c r="U239" i="9"/>
  <c r="T239" i="9"/>
  <c r="S239" i="9"/>
  <c r="R239" i="9"/>
  <c r="Q239" i="9"/>
  <c r="AR238" i="9"/>
  <c r="AQ238" i="9"/>
  <c r="AP238" i="9"/>
  <c r="AO238" i="9"/>
  <c r="AN238" i="9"/>
  <c r="AM238" i="9"/>
  <c r="AL238" i="9"/>
  <c r="AK238" i="9"/>
  <c r="AJ238" i="9"/>
  <c r="AI238" i="9"/>
  <c r="AH238" i="9"/>
  <c r="AG238" i="9"/>
  <c r="AF238" i="9"/>
  <c r="AE238" i="9"/>
  <c r="AD238" i="9"/>
  <c r="AC238" i="9"/>
  <c r="AB238" i="9"/>
  <c r="AA238" i="9"/>
  <c r="Z238" i="9"/>
  <c r="Y238" i="9"/>
  <c r="X238" i="9"/>
  <c r="W238" i="9"/>
  <c r="V238" i="9"/>
  <c r="U238" i="9"/>
  <c r="T238" i="9"/>
  <c r="S238" i="9"/>
  <c r="R238" i="9"/>
  <c r="Q238" i="9"/>
  <c r="AR237" i="9"/>
  <c r="AQ237" i="9"/>
  <c r="AP237" i="9"/>
  <c r="AO237" i="9"/>
  <c r="AN237" i="9"/>
  <c r="AM237" i="9"/>
  <c r="AL237" i="9"/>
  <c r="AK237" i="9"/>
  <c r="AJ237" i="9"/>
  <c r="AI237" i="9"/>
  <c r="AH237" i="9"/>
  <c r="AG237" i="9"/>
  <c r="AF237" i="9"/>
  <c r="AE237" i="9"/>
  <c r="AD237" i="9"/>
  <c r="AC237" i="9"/>
  <c r="AB237" i="9"/>
  <c r="AA237" i="9"/>
  <c r="Z237" i="9"/>
  <c r="Y237" i="9"/>
  <c r="X237" i="9"/>
  <c r="W237" i="9"/>
  <c r="V237" i="9"/>
  <c r="U237" i="9"/>
  <c r="T237" i="9"/>
  <c r="S237" i="9"/>
  <c r="R237" i="9"/>
  <c r="Q237" i="9"/>
  <c r="AR236" i="9"/>
  <c r="AQ236" i="9"/>
  <c r="AP236" i="9"/>
  <c r="AO236" i="9"/>
  <c r="AN236" i="9"/>
  <c r="AM236" i="9"/>
  <c r="AL236" i="9"/>
  <c r="AK236" i="9"/>
  <c r="AJ236" i="9"/>
  <c r="AI236" i="9"/>
  <c r="AH236" i="9"/>
  <c r="AG236" i="9"/>
  <c r="AF236" i="9"/>
  <c r="AE236" i="9"/>
  <c r="AD236" i="9"/>
  <c r="AC236" i="9"/>
  <c r="AB236" i="9"/>
  <c r="AA236" i="9"/>
  <c r="Z236" i="9"/>
  <c r="Y236" i="9"/>
  <c r="X236" i="9"/>
  <c r="W236" i="9"/>
  <c r="V236" i="9"/>
  <c r="U236" i="9"/>
  <c r="T236" i="9"/>
  <c r="S236" i="9"/>
  <c r="R236" i="9"/>
  <c r="Q236" i="9"/>
  <c r="AR234" i="9"/>
  <c r="AQ234" i="9"/>
  <c r="AP234" i="9"/>
  <c r="AO234" i="9"/>
  <c r="AN234" i="9"/>
  <c r="AM234" i="9"/>
  <c r="AL234" i="9"/>
  <c r="AK234" i="9"/>
  <c r="V254" i="9" s="1"/>
  <c r="AJ234" i="9"/>
  <c r="AI234" i="9"/>
  <c r="AH234" i="9"/>
  <c r="AG234" i="9"/>
  <c r="AF234" i="9"/>
  <c r="AE234" i="9"/>
  <c r="AD234" i="9"/>
  <c r="AC234" i="9"/>
  <c r="AB234" i="9"/>
  <c r="AA234" i="9"/>
  <c r="Z234" i="9"/>
  <c r="Y234" i="9"/>
  <c r="X234" i="9"/>
  <c r="W234" i="9"/>
  <c r="V234" i="9"/>
  <c r="U234" i="9"/>
  <c r="T234" i="9"/>
  <c r="S234" i="9"/>
  <c r="R234" i="9"/>
  <c r="Q234" i="9"/>
  <c r="AR233" i="9"/>
  <c r="AQ233" i="9"/>
  <c r="AP233" i="9"/>
  <c r="AO233" i="9"/>
  <c r="AN233" i="9"/>
  <c r="AM233" i="9"/>
  <c r="AL233" i="9"/>
  <c r="AK233" i="9"/>
  <c r="AJ233" i="9"/>
  <c r="AI233" i="9"/>
  <c r="AH233" i="9"/>
  <c r="AG233" i="9"/>
  <c r="AF233" i="9"/>
  <c r="AE233" i="9"/>
  <c r="AD233" i="9"/>
  <c r="AC233" i="9"/>
  <c r="AB233" i="9"/>
  <c r="AA233" i="9"/>
  <c r="Z233" i="9"/>
  <c r="Y233" i="9"/>
  <c r="X233" i="9"/>
  <c r="W233" i="9"/>
  <c r="V233" i="9"/>
  <c r="U233" i="9"/>
  <c r="T233" i="9"/>
  <c r="S233" i="9"/>
  <c r="R233" i="9"/>
  <c r="Q233" i="9"/>
  <c r="AR232" i="9"/>
  <c r="AQ232" i="9"/>
  <c r="AP232" i="9"/>
  <c r="AO232" i="9"/>
  <c r="AN232" i="9"/>
  <c r="AM232" i="9"/>
  <c r="AL232" i="9"/>
  <c r="AK232" i="9"/>
  <c r="AJ232" i="9"/>
  <c r="AI232" i="9"/>
  <c r="AH232" i="9"/>
  <c r="AG232" i="9"/>
  <c r="AF232" i="9"/>
  <c r="AE232" i="9"/>
  <c r="AD232" i="9"/>
  <c r="AC232" i="9"/>
  <c r="AB232" i="9"/>
  <c r="AA232" i="9"/>
  <c r="Z232" i="9"/>
  <c r="Y232" i="9"/>
  <c r="X232" i="9"/>
  <c r="W232" i="9"/>
  <c r="V232" i="9"/>
  <c r="U232" i="9"/>
  <c r="T232" i="9"/>
  <c r="S232" i="9"/>
  <c r="R232" i="9"/>
  <c r="Q232" i="9"/>
  <c r="AR231" i="9"/>
  <c r="AQ231" i="9"/>
  <c r="AP231" i="9"/>
  <c r="AO231" i="9"/>
  <c r="AN231" i="9"/>
  <c r="AM231" i="9"/>
  <c r="AL231" i="9"/>
  <c r="AK231" i="9"/>
  <c r="AJ231" i="9"/>
  <c r="AI231" i="9"/>
  <c r="AH231" i="9"/>
  <c r="AG231" i="9"/>
  <c r="AF231" i="9"/>
  <c r="AE231" i="9"/>
  <c r="AD231" i="9"/>
  <c r="AC231" i="9"/>
  <c r="AB231" i="9"/>
  <c r="AA231" i="9"/>
  <c r="Z231" i="9"/>
  <c r="Y231" i="9"/>
  <c r="X231" i="9"/>
  <c r="W231" i="9"/>
  <c r="V231" i="9"/>
  <c r="U231" i="9"/>
  <c r="T231" i="9"/>
  <c r="S231" i="9"/>
  <c r="R231" i="9"/>
  <c r="Q231" i="9"/>
  <c r="AR230" i="9"/>
  <c r="AQ230" i="9"/>
  <c r="AP230" i="9"/>
  <c r="AO230" i="9"/>
  <c r="AN230" i="9"/>
  <c r="AM230" i="9"/>
  <c r="AL230" i="9"/>
  <c r="AK230" i="9"/>
  <c r="AJ230" i="9"/>
  <c r="AI230" i="9"/>
  <c r="AH230" i="9"/>
  <c r="AG230" i="9"/>
  <c r="AF230" i="9"/>
  <c r="AE230" i="9"/>
  <c r="AD230" i="9"/>
  <c r="AC230" i="9"/>
  <c r="AB230" i="9"/>
  <c r="AA230" i="9"/>
  <c r="Z230" i="9"/>
  <c r="Y230" i="9"/>
  <c r="X230" i="9"/>
  <c r="W230" i="9"/>
  <c r="V230" i="9"/>
  <c r="U230" i="9"/>
  <c r="T230" i="9"/>
  <c r="S230" i="9"/>
  <c r="R230" i="9"/>
  <c r="Q230" i="9"/>
  <c r="AR229" i="9"/>
  <c r="AQ229" i="9"/>
  <c r="AP229" i="9"/>
  <c r="AO229" i="9"/>
  <c r="AN229" i="9"/>
  <c r="AM229" i="9"/>
  <c r="AL229" i="9"/>
  <c r="AK229" i="9"/>
  <c r="AJ229" i="9"/>
  <c r="AI229" i="9"/>
  <c r="AH229" i="9"/>
  <c r="AG229" i="9"/>
  <c r="AF229" i="9"/>
  <c r="AE229" i="9"/>
  <c r="AD229" i="9"/>
  <c r="AC229" i="9"/>
  <c r="AB229" i="9"/>
  <c r="AA229" i="9"/>
  <c r="Z229" i="9"/>
  <c r="Y229" i="9"/>
  <c r="X229" i="9"/>
  <c r="W229" i="9"/>
  <c r="V229" i="9"/>
  <c r="U229" i="9"/>
  <c r="T229" i="9"/>
  <c r="S229" i="9"/>
  <c r="R229" i="9"/>
  <c r="Q229" i="9"/>
  <c r="AR228" i="9"/>
  <c r="AQ228" i="9"/>
  <c r="AP228" i="9"/>
  <c r="AO228" i="9"/>
  <c r="AN228" i="9"/>
  <c r="AM228" i="9"/>
  <c r="AL228" i="9"/>
  <c r="AK228" i="9"/>
  <c r="AJ228" i="9"/>
  <c r="AI228" i="9"/>
  <c r="AH228" i="9"/>
  <c r="AG228" i="9"/>
  <c r="AF228" i="9"/>
  <c r="AE228" i="9"/>
  <c r="AD228" i="9"/>
  <c r="AC228" i="9"/>
  <c r="AB228" i="9"/>
  <c r="AA228" i="9"/>
  <c r="Z228" i="9"/>
  <c r="Y228" i="9"/>
  <c r="X228" i="9"/>
  <c r="W228" i="9"/>
  <c r="V228" i="9"/>
  <c r="U228" i="9"/>
  <c r="T228" i="9"/>
  <c r="S228" i="9"/>
  <c r="R228" i="9"/>
  <c r="Q228" i="9"/>
  <c r="AR227" i="9"/>
  <c r="AQ227" i="9"/>
  <c r="AP227" i="9"/>
  <c r="AO227" i="9"/>
  <c r="AN227" i="9"/>
  <c r="AM227" i="9"/>
  <c r="AL227" i="9"/>
  <c r="AK227" i="9"/>
  <c r="AJ227" i="9"/>
  <c r="AI227" i="9"/>
  <c r="AH227" i="9"/>
  <c r="AG227" i="9"/>
  <c r="AF227" i="9"/>
  <c r="AE227" i="9"/>
  <c r="AD227" i="9"/>
  <c r="AC227" i="9"/>
  <c r="AB227" i="9"/>
  <c r="AA227" i="9"/>
  <c r="Z227" i="9"/>
  <c r="Y227" i="9"/>
  <c r="X227" i="9"/>
  <c r="W227" i="9"/>
  <c r="V227" i="9"/>
  <c r="U227" i="9"/>
  <c r="T227" i="9"/>
  <c r="S227" i="9"/>
  <c r="R227" i="9"/>
  <c r="Q227" i="9"/>
  <c r="AR226" i="9"/>
  <c r="AQ226" i="9"/>
  <c r="AP226" i="9"/>
  <c r="AO226" i="9"/>
  <c r="AN226" i="9"/>
  <c r="AM226" i="9"/>
  <c r="AL226" i="9"/>
  <c r="AK226" i="9"/>
  <c r="AJ226" i="9"/>
  <c r="AI226" i="9"/>
  <c r="AH226" i="9"/>
  <c r="AG226" i="9"/>
  <c r="AF226" i="9"/>
  <c r="AE226" i="9"/>
  <c r="AD226" i="9"/>
  <c r="AC226" i="9"/>
  <c r="AB226" i="9"/>
  <c r="AA226" i="9"/>
  <c r="Z226" i="9"/>
  <c r="Y226" i="9"/>
  <c r="X226" i="9"/>
  <c r="W226" i="9"/>
  <c r="V226" i="9"/>
  <c r="U226" i="9"/>
  <c r="T226" i="9"/>
  <c r="S226" i="9"/>
  <c r="R226" i="9"/>
  <c r="Q226" i="9"/>
  <c r="AR225" i="9"/>
  <c r="AQ225" i="9"/>
  <c r="AP225" i="9"/>
  <c r="AO225" i="9"/>
  <c r="AN225" i="9"/>
  <c r="AM225" i="9"/>
  <c r="AL225" i="9"/>
  <c r="AK225" i="9"/>
  <c r="AJ225" i="9"/>
  <c r="AI225" i="9"/>
  <c r="AH225" i="9"/>
  <c r="AG225" i="9"/>
  <c r="AF225" i="9"/>
  <c r="AE225" i="9"/>
  <c r="AD225" i="9"/>
  <c r="AC225" i="9"/>
  <c r="AB225" i="9"/>
  <c r="AA225" i="9"/>
  <c r="Z225" i="9"/>
  <c r="Y225" i="9"/>
  <c r="X225" i="9"/>
  <c r="W225" i="9"/>
  <c r="V225" i="9"/>
  <c r="U225" i="9"/>
  <c r="T225" i="9"/>
  <c r="S225" i="9"/>
  <c r="R225" i="9"/>
  <c r="Q225" i="9"/>
  <c r="A153" i="9"/>
  <c r="A151" i="9"/>
  <c r="A188" i="9" s="1"/>
  <c r="A150" i="9"/>
  <c r="A149" i="9"/>
  <c r="A148" i="9"/>
  <c r="A146" i="9"/>
  <c r="A163" i="9" s="1"/>
  <c r="A145" i="9"/>
  <c r="A144" i="9"/>
  <c r="A162" i="9" s="1"/>
  <c r="A174" i="9" s="1"/>
  <c r="A143" i="9"/>
  <c r="A161" i="9" s="1"/>
  <c r="A173" i="9" s="1"/>
  <c r="A142" i="9"/>
  <c r="A160" i="9" s="1"/>
  <c r="A184" i="9" s="1"/>
  <c r="A141" i="9"/>
  <c r="A140" i="9"/>
  <c r="A159" i="9" s="1"/>
  <c r="A171" i="9" s="1"/>
  <c r="A139" i="9"/>
  <c r="A158" i="9" s="1"/>
  <c r="A138" i="9"/>
  <c r="A157" i="9" s="1"/>
  <c r="A181" i="9" s="1"/>
  <c r="A137" i="9"/>
  <c r="A156" i="9" s="1"/>
  <c r="A168" i="9" s="1"/>
  <c r="AR133" i="9"/>
  <c r="AQ133" i="9"/>
  <c r="AP133" i="9"/>
  <c r="AO133" i="9"/>
  <c r="AN133" i="9"/>
  <c r="AM133" i="9"/>
  <c r="X153" i="9" s="1"/>
  <c r="AL133" i="9"/>
  <c r="AK133" i="9"/>
  <c r="AJ133" i="9"/>
  <c r="AI133" i="9"/>
  <c r="AH133" i="9"/>
  <c r="AG133" i="9"/>
  <c r="AF133" i="9"/>
  <c r="AE133" i="9"/>
  <c r="AD133" i="9"/>
  <c r="AC133" i="9"/>
  <c r="AB133" i="9"/>
  <c r="AA133" i="9"/>
  <c r="Z133" i="9"/>
  <c r="Y133" i="9"/>
  <c r="X133" i="9"/>
  <c r="W133" i="9"/>
  <c r="V133" i="9"/>
  <c r="U133" i="9"/>
  <c r="T133" i="9"/>
  <c r="S133" i="9"/>
  <c r="R133" i="9"/>
  <c r="Q133" i="9"/>
  <c r="AR132" i="9"/>
  <c r="AQ132" i="9"/>
  <c r="AP132" i="9"/>
  <c r="AO132" i="9"/>
  <c r="AN132" i="9"/>
  <c r="AM132" i="9"/>
  <c r="AL132" i="9"/>
  <c r="AK132" i="9"/>
  <c r="AJ132" i="9"/>
  <c r="AI132" i="9"/>
  <c r="AH132" i="9"/>
  <c r="AG132" i="9"/>
  <c r="AF132" i="9"/>
  <c r="AE132" i="9"/>
  <c r="AD132" i="9"/>
  <c r="AC132" i="9"/>
  <c r="AB132" i="9"/>
  <c r="AA132" i="9"/>
  <c r="Z132" i="9"/>
  <c r="Y132" i="9"/>
  <c r="X132" i="9"/>
  <c r="W132" i="9"/>
  <c r="V132" i="9"/>
  <c r="U132" i="9"/>
  <c r="T132" i="9"/>
  <c r="S132" i="9"/>
  <c r="R132" i="9"/>
  <c r="Q132" i="9"/>
  <c r="AR131" i="9"/>
  <c r="AQ131" i="9"/>
  <c r="AP131" i="9"/>
  <c r="AO131" i="9"/>
  <c r="AN131" i="9"/>
  <c r="AM131" i="9"/>
  <c r="AL131" i="9"/>
  <c r="AK131" i="9"/>
  <c r="AJ131" i="9"/>
  <c r="AI131" i="9"/>
  <c r="AH131" i="9"/>
  <c r="AG131" i="9"/>
  <c r="AF131" i="9"/>
  <c r="AE131" i="9"/>
  <c r="AD131" i="9"/>
  <c r="AC131" i="9"/>
  <c r="AB131" i="9"/>
  <c r="AA131" i="9"/>
  <c r="Z131" i="9"/>
  <c r="Y131" i="9"/>
  <c r="X131" i="9"/>
  <c r="W131" i="9"/>
  <c r="V131" i="9"/>
  <c r="U131" i="9"/>
  <c r="T131" i="9"/>
  <c r="S131" i="9"/>
  <c r="R131" i="9"/>
  <c r="Q131" i="9"/>
  <c r="AR130" i="9"/>
  <c r="AQ130" i="9"/>
  <c r="AP130" i="9"/>
  <c r="AO130" i="9"/>
  <c r="AN130" i="9"/>
  <c r="AM130" i="9"/>
  <c r="AL130" i="9"/>
  <c r="AK130" i="9"/>
  <c r="AJ130" i="9"/>
  <c r="AI130" i="9"/>
  <c r="AH130" i="9"/>
  <c r="AG130" i="9"/>
  <c r="AF130" i="9"/>
  <c r="AE130" i="9"/>
  <c r="AD130" i="9"/>
  <c r="AC130" i="9"/>
  <c r="AB130" i="9"/>
  <c r="AA130" i="9"/>
  <c r="Z130" i="9"/>
  <c r="Y130" i="9"/>
  <c r="X130" i="9"/>
  <c r="W130" i="9"/>
  <c r="V130" i="9"/>
  <c r="U130" i="9"/>
  <c r="T130" i="9"/>
  <c r="S130" i="9"/>
  <c r="R130" i="9"/>
  <c r="Q130" i="9"/>
  <c r="AR129" i="9"/>
  <c r="AQ129" i="9"/>
  <c r="AP129" i="9"/>
  <c r="AO129" i="9"/>
  <c r="AN129" i="9"/>
  <c r="AM129" i="9"/>
  <c r="AL129" i="9"/>
  <c r="AK129" i="9"/>
  <c r="AJ129" i="9"/>
  <c r="AI129" i="9"/>
  <c r="AH129" i="9"/>
  <c r="AG129" i="9"/>
  <c r="AF129" i="9"/>
  <c r="AE129" i="9"/>
  <c r="AD129" i="9"/>
  <c r="AC129" i="9"/>
  <c r="AB129" i="9"/>
  <c r="M149" i="9" s="1"/>
  <c r="AA129" i="9"/>
  <c r="Z129" i="9"/>
  <c r="Y129" i="9"/>
  <c r="X129" i="9"/>
  <c r="W129" i="9"/>
  <c r="V129" i="9"/>
  <c r="U129" i="9"/>
  <c r="T129" i="9"/>
  <c r="S129" i="9"/>
  <c r="R129" i="9"/>
  <c r="Q129" i="9"/>
  <c r="AR128" i="9"/>
  <c r="AQ128" i="9"/>
  <c r="AP128" i="9"/>
  <c r="AO128" i="9"/>
  <c r="AN128" i="9"/>
  <c r="AM128" i="9"/>
  <c r="AL128" i="9"/>
  <c r="AK128" i="9"/>
  <c r="AJ128" i="9"/>
  <c r="AI128" i="9"/>
  <c r="AH128" i="9"/>
  <c r="AG128" i="9"/>
  <c r="AF128" i="9"/>
  <c r="AE128" i="9"/>
  <c r="AD128" i="9"/>
  <c r="AC128" i="9"/>
  <c r="AB128" i="9"/>
  <c r="AA128" i="9"/>
  <c r="Z128" i="9"/>
  <c r="Y128" i="9"/>
  <c r="X128" i="9"/>
  <c r="W128" i="9"/>
  <c r="V128" i="9"/>
  <c r="U128" i="9"/>
  <c r="T128" i="9"/>
  <c r="S128" i="9"/>
  <c r="R128" i="9"/>
  <c r="Q128" i="9"/>
  <c r="AR126" i="9"/>
  <c r="AQ126" i="9"/>
  <c r="AP126" i="9"/>
  <c r="AO126" i="9"/>
  <c r="AN126" i="9"/>
  <c r="AM126" i="9"/>
  <c r="AL126" i="9"/>
  <c r="AK126" i="9"/>
  <c r="AJ126" i="9"/>
  <c r="AI126" i="9"/>
  <c r="AH126" i="9"/>
  <c r="AG126" i="9"/>
  <c r="AF126" i="9"/>
  <c r="AE126" i="9"/>
  <c r="AD126" i="9"/>
  <c r="AC126" i="9"/>
  <c r="AB126" i="9"/>
  <c r="AA126" i="9"/>
  <c r="Z126" i="9"/>
  <c r="Y126" i="9"/>
  <c r="X126" i="9"/>
  <c r="W126" i="9"/>
  <c r="V126" i="9"/>
  <c r="U126" i="9"/>
  <c r="T126" i="9"/>
  <c r="S126" i="9"/>
  <c r="R126" i="9"/>
  <c r="Q126" i="9"/>
  <c r="AR125" i="9"/>
  <c r="AQ125" i="9"/>
  <c r="AP125" i="9"/>
  <c r="AO125" i="9"/>
  <c r="AN125" i="9"/>
  <c r="AM125" i="9"/>
  <c r="AL125" i="9"/>
  <c r="AK125" i="9"/>
  <c r="AJ125" i="9"/>
  <c r="AI125" i="9"/>
  <c r="AH125" i="9"/>
  <c r="AG125" i="9"/>
  <c r="AF125" i="9"/>
  <c r="AE125" i="9"/>
  <c r="AD125" i="9"/>
  <c r="AC125" i="9"/>
  <c r="AB125" i="9"/>
  <c r="AA125" i="9"/>
  <c r="Z125" i="9"/>
  <c r="Y125" i="9"/>
  <c r="X125" i="9"/>
  <c r="W125" i="9"/>
  <c r="V125" i="9"/>
  <c r="U125" i="9"/>
  <c r="T125" i="9"/>
  <c r="S125" i="9"/>
  <c r="R125" i="9"/>
  <c r="Q125" i="9"/>
  <c r="AR124" i="9"/>
  <c r="AQ124" i="9"/>
  <c r="AP124" i="9"/>
  <c r="AO124" i="9"/>
  <c r="AN124" i="9"/>
  <c r="AM124" i="9"/>
  <c r="AL124" i="9"/>
  <c r="AK124" i="9"/>
  <c r="AJ124" i="9"/>
  <c r="AI124" i="9"/>
  <c r="AH124" i="9"/>
  <c r="AG124" i="9"/>
  <c r="AF124" i="9"/>
  <c r="AE124" i="9"/>
  <c r="AD124" i="9"/>
  <c r="AC124" i="9"/>
  <c r="AB124" i="9"/>
  <c r="AA124" i="9"/>
  <c r="Z124" i="9"/>
  <c r="Y124" i="9"/>
  <c r="X124" i="9"/>
  <c r="W124" i="9"/>
  <c r="V124" i="9"/>
  <c r="U124" i="9"/>
  <c r="T124" i="9"/>
  <c r="S124" i="9"/>
  <c r="R124" i="9"/>
  <c r="Q124" i="9"/>
  <c r="AR123" i="9"/>
  <c r="AQ123" i="9"/>
  <c r="AP123" i="9"/>
  <c r="AO123" i="9"/>
  <c r="AN123" i="9"/>
  <c r="AM123" i="9"/>
  <c r="AL123" i="9"/>
  <c r="AK123" i="9"/>
  <c r="AJ123" i="9"/>
  <c r="AI123" i="9"/>
  <c r="AH123" i="9"/>
  <c r="AG123" i="9"/>
  <c r="AF123" i="9"/>
  <c r="AE123" i="9"/>
  <c r="AD123" i="9"/>
  <c r="AC123" i="9"/>
  <c r="AB123" i="9"/>
  <c r="AA123" i="9"/>
  <c r="Z123" i="9"/>
  <c r="Y123" i="9"/>
  <c r="X123" i="9"/>
  <c r="W123" i="9"/>
  <c r="V123" i="9"/>
  <c r="U123" i="9"/>
  <c r="T123" i="9"/>
  <c r="S123" i="9"/>
  <c r="R123" i="9"/>
  <c r="Q123" i="9"/>
  <c r="AR122" i="9"/>
  <c r="AQ122" i="9"/>
  <c r="AP122" i="9"/>
  <c r="AO122" i="9"/>
  <c r="AN122" i="9"/>
  <c r="AM122" i="9"/>
  <c r="AL122" i="9"/>
  <c r="AK122" i="9"/>
  <c r="AJ122" i="9"/>
  <c r="AI122" i="9"/>
  <c r="AH122" i="9"/>
  <c r="AG122" i="9"/>
  <c r="AF122" i="9"/>
  <c r="AE122" i="9"/>
  <c r="AD122" i="9"/>
  <c r="AC122" i="9"/>
  <c r="AB122" i="9"/>
  <c r="AA122" i="9"/>
  <c r="Z122" i="9"/>
  <c r="Y122" i="9"/>
  <c r="X122" i="9"/>
  <c r="W122" i="9"/>
  <c r="V122" i="9"/>
  <c r="U122" i="9"/>
  <c r="T122" i="9"/>
  <c r="S122" i="9"/>
  <c r="R122" i="9"/>
  <c r="Q122" i="9"/>
  <c r="AR121" i="9"/>
  <c r="AQ121" i="9"/>
  <c r="AP121" i="9"/>
  <c r="AO121" i="9"/>
  <c r="AN121" i="9"/>
  <c r="AM121" i="9"/>
  <c r="AL121" i="9"/>
  <c r="AK121" i="9"/>
  <c r="AJ121" i="9"/>
  <c r="AI121" i="9"/>
  <c r="AH121" i="9"/>
  <c r="AG121" i="9"/>
  <c r="AF121" i="9"/>
  <c r="AE121" i="9"/>
  <c r="AD121" i="9"/>
  <c r="AC121" i="9"/>
  <c r="AB121" i="9"/>
  <c r="AA121" i="9"/>
  <c r="Z121" i="9"/>
  <c r="Y121" i="9"/>
  <c r="X121" i="9"/>
  <c r="W121" i="9"/>
  <c r="V121" i="9"/>
  <c r="U121" i="9"/>
  <c r="T121" i="9"/>
  <c r="S121" i="9"/>
  <c r="R121" i="9"/>
  <c r="Q121" i="9"/>
  <c r="AR120" i="9"/>
  <c r="AQ120" i="9"/>
  <c r="AP120" i="9"/>
  <c r="AO120" i="9"/>
  <c r="AN120" i="9"/>
  <c r="AM120" i="9"/>
  <c r="AL120" i="9"/>
  <c r="AK120" i="9"/>
  <c r="AJ120" i="9"/>
  <c r="AI120" i="9"/>
  <c r="AH120" i="9"/>
  <c r="AG120" i="9"/>
  <c r="AF120" i="9"/>
  <c r="AE120" i="9"/>
  <c r="AD120" i="9"/>
  <c r="AC120" i="9"/>
  <c r="AB120" i="9"/>
  <c r="AA120" i="9"/>
  <c r="Z120" i="9"/>
  <c r="Y120" i="9"/>
  <c r="X120" i="9"/>
  <c r="W120" i="9"/>
  <c r="V120" i="9"/>
  <c r="U120" i="9"/>
  <c r="T120" i="9"/>
  <c r="S120" i="9"/>
  <c r="R120" i="9"/>
  <c r="Q120" i="9"/>
  <c r="AR119" i="9"/>
  <c r="AQ119" i="9"/>
  <c r="AP119" i="9"/>
  <c r="AO119" i="9"/>
  <c r="AN119" i="9"/>
  <c r="AM119" i="9"/>
  <c r="AL119" i="9"/>
  <c r="AK119" i="9"/>
  <c r="AJ119" i="9"/>
  <c r="AI119" i="9"/>
  <c r="AH119" i="9"/>
  <c r="AG119" i="9"/>
  <c r="AF119" i="9"/>
  <c r="AE119" i="9"/>
  <c r="AD119" i="9"/>
  <c r="AC119" i="9"/>
  <c r="AB119" i="9"/>
  <c r="AA119" i="9"/>
  <c r="Z119" i="9"/>
  <c r="Y119" i="9"/>
  <c r="X119" i="9"/>
  <c r="W119" i="9"/>
  <c r="V119" i="9"/>
  <c r="U119" i="9"/>
  <c r="T119" i="9"/>
  <c r="S119" i="9"/>
  <c r="R119" i="9"/>
  <c r="Q119" i="9"/>
  <c r="AR118" i="9"/>
  <c r="AQ118" i="9"/>
  <c r="AP118" i="9"/>
  <c r="AO118" i="9"/>
  <c r="AN118" i="9"/>
  <c r="AM118" i="9"/>
  <c r="AL118" i="9"/>
  <c r="AK118" i="9"/>
  <c r="AJ118" i="9"/>
  <c r="AI118" i="9"/>
  <c r="AH118" i="9"/>
  <c r="AG118" i="9"/>
  <c r="AF118" i="9"/>
  <c r="AE118" i="9"/>
  <c r="AD118" i="9"/>
  <c r="AC118" i="9"/>
  <c r="AB118" i="9"/>
  <c r="AA118" i="9"/>
  <c r="Z118" i="9"/>
  <c r="Y118" i="9"/>
  <c r="X118" i="9"/>
  <c r="W118" i="9"/>
  <c r="V118" i="9"/>
  <c r="U118" i="9"/>
  <c r="T118" i="9"/>
  <c r="S118" i="9"/>
  <c r="R118" i="9"/>
  <c r="Q118" i="9"/>
  <c r="AR117" i="9"/>
  <c r="AQ117" i="9"/>
  <c r="AP117" i="9"/>
  <c r="AO117" i="9"/>
  <c r="AN117" i="9"/>
  <c r="AM117" i="9"/>
  <c r="AL117" i="9"/>
  <c r="AK117" i="9"/>
  <c r="AJ117" i="9"/>
  <c r="AI117" i="9"/>
  <c r="AH117" i="9"/>
  <c r="AG117" i="9"/>
  <c r="AF117" i="9"/>
  <c r="AE117" i="9"/>
  <c r="AD117" i="9"/>
  <c r="AC117" i="9"/>
  <c r="AB117" i="9"/>
  <c r="AA117" i="9"/>
  <c r="Z117" i="9"/>
  <c r="Y117" i="9"/>
  <c r="X117" i="9"/>
  <c r="W117" i="9"/>
  <c r="V117" i="9"/>
  <c r="U117" i="9"/>
  <c r="T117" i="9"/>
  <c r="S117" i="9"/>
  <c r="R117" i="9"/>
  <c r="Q117" i="9"/>
  <c r="A47" i="9"/>
  <c r="A45" i="9"/>
  <c r="A82" i="9" s="1"/>
  <c r="A44" i="9"/>
  <c r="A43" i="9"/>
  <c r="A42" i="9"/>
  <c r="A40" i="9"/>
  <c r="A57" i="9" s="1"/>
  <c r="A81" i="9" s="1"/>
  <c r="A39" i="9"/>
  <c r="A38" i="9"/>
  <c r="A56" i="9" s="1"/>
  <c r="A68" i="9" s="1"/>
  <c r="A37" i="9"/>
  <c r="A55" i="9" s="1"/>
  <c r="A67" i="9" s="1"/>
  <c r="A36" i="9"/>
  <c r="A54" i="9" s="1"/>
  <c r="A78" i="9" s="1"/>
  <c r="A35" i="9"/>
  <c r="A34" i="9"/>
  <c r="A53" i="9" s="1"/>
  <c r="A65" i="9" s="1"/>
  <c r="A33" i="9"/>
  <c r="A52" i="9" s="1"/>
  <c r="A32" i="9"/>
  <c r="A51" i="9" s="1"/>
  <c r="A75" i="9" s="1"/>
  <c r="A31" i="9"/>
  <c r="A50" i="9" s="1"/>
  <c r="A62" i="9" s="1"/>
  <c r="AR27" i="9"/>
  <c r="AQ27" i="9"/>
  <c r="AP27" i="9"/>
  <c r="AO27" i="9"/>
  <c r="AN27" i="9"/>
  <c r="AM27" i="9"/>
  <c r="AL27" i="9"/>
  <c r="AK27" i="9"/>
  <c r="AJ27" i="9"/>
  <c r="AI27" i="9"/>
  <c r="AH27" i="9"/>
  <c r="AG27" i="9"/>
  <c r="AF27" i="9"/>
  <c r="AE27" i="9"/>
  <c r="AD27" i="9"/>
  <c r="AC27" i="9"/>
  <c r="AB27" i="9"/>
  <c r="AA27" i="9"/>
  <c r="Z27" i="9"/>
  <c r="Y27" i="9"/>
  <c r="X27" i="9"/>
  <c r="W27" i="9"/>
  <c r="V27" i="9"/>
  <c r="U27" i="9"/>
  <c r="T27" i="9"/>
  <c r="S27" i="9"/>
  <c r="R27" i="9"/>
  <c r="Q27" i="9"/>
  <c r="AR26" i="9"/>
  <c r="AQ26" i="9"/>
  <c r="AP26" i="9"/>
  <c r="AO26" i="9"/>
  <c r="AN26" i="9"/>
  <c r="AM26" i="9"/>
  <c r="AL26" i="9"/>
  <c r="AK26" i="9"/>
  <c r="AJ26" i="9"/>
  <c r="AI26" i="9"/>
  <c r="AH26" i="9"/>
  <c r="AG26" i="9"/>
  <c r="AF26" i="9"/>
  <c r="AE26" i="9"/>
  <c r="AD26" i="9"/>
  <c r="AC26" i="9"/>
  <c r="AB26" i="9"/>
  <c r="AA26" i="9"/>
  <c r="Z26" i="9"/>
  <c r="Y26" i="9"/>
  <c r="X26" i="9"/>
  <c r="W26" i="9"/>
  <c r="V26" i="9"/>
  <c r="U26" i="9"/>
  <c r="T26" i="9"/>
  <c r="S26" i="9"/>
  <c r="R26" i="9"/>
  <c r="Q26" i="9"/>
  <c r="AR25" i="9"/>
  <c r="AQ25" i="9"/>
  <c r="AP25" i="9"/>
  <c r="AO25" i="9"/>
  <c r="AN25" i="9"/>
  <c r="AM25" i="9"/>
  <c r="AL25" i="9"/>
  <c r="AK25" i="9"/>
  <c r="AJ25" i="9"/>
  <c r="AI25" i="9"/>
  <c r="AH25" i="9"/>
  <c r="AG25" i="9"/>
  <c r="AF25" i="9"/>
  <c r="AE25" i="9"/>
  <c r="AD25" i="9"/>
  <c r="AC25" i="9"/>
  <c r="AB25" i="9"/>
  <c r="AA25" i="9"/>
  <c r="Z25" i="9"/>
  <c r="Y25" i="9"/>
  <c r="X25" i="9"/>
  <c r="W25" i="9"/>
  <c r="V25" i="9"/>
  <c r="U25" i="9"/>
  <c r="T25" i="9"/>
  <c r="S25" i="9"/>
  <c r="R25" i="9"/>
  <c r="Q25" i="9"/>
  <c r="AR24" i="9"/>
  <c r="AQ24" i="9"/>
  <c r="AP24" i="9"/>
  <c r="AO24" i="9"/>
  <c r="AN24" i="9"/>
  <c r="AM24" i="9"/>
  <c r="AL24" i="9"/>
  <c r="AK24" i="9"/>
  <c r="AJ24" i="9"/>
  <c r="AI24" i="9"/>
  <c r="AH24" i="9"/>
  <c r="AG24" i="9"/>
  <c r="AF24" i="9"/>
  <c r="AE24" i="9"/>
  <c r="AD24" i="9"/>
  <c r="AC24" i="9"/>
  <c r="AB24" i="9"/>
  <c r="AA24" i="9"/>
  <c r="Z24" i="9"/>
  <c r="Y24" i="9"/>
  <c r="X24" i="9"/>
  <c r="W24" i="9"/>
  <c r="V24" i="9"/>
  <c r="U24" i="9"/>
  <c r="T24" i="9"/>
  <c r="S24" i="9"/>
  <c r="R24" i="9"/>
  <c r="Q24" i="9"/>
  <c r="AR23" i="9"/>
  <c r="AC43" i="9" s="1"/>
  <c r="AQ23" i="9"/>
  <c r="AB43" i="9" s="1"/>
  <c r="AP23" i="9"/>
  <c r="AA43" i="9" s="1"/>
  <c r="AO23" i="9"/>
  <c r="Z43" i="9" s="1"/>
  <c r="AN23" i="9"/>
  <c r="Y43" i="9" s="1"/>
  <c r="AM23" i="9"/>
  <c r="X43" i="9" s="1"/>
  <c r="AL23" i="9"/>
  <c r="W43" i="9" s="1"/>
  <c r="AK23" i="9"/>
  <c r="V43" i="9" s="1"/>
  <c r="AJ23" i="9"/>
  <c r="U43" i="9" s="1"/>
  <c r="AI23" i="9"/>
  <c r="T43" i="9" s="1"/>
  <c r="AH23" i="9"/>
  <c r="S43" i="9" s="1"/>
  <c r="AG23" i="9"/>
  <c r="R43" i="9" s="1"/>
  <c r="AF23" i="9"/>
  <c r="Q43" i="9" s="1"/>
  <c r="AE23" i="9"/>
  <c r="P43" i="9" s="1"/>
  <c r="AD23" i="9"/>
  <c r="O43" i="9" s="1"/>
  <c r="AC23" i="9"/>
  <c r="N43" i="9" s="1"/>
  <c r="AB23" i="9"/>
  <c r="M43" i="9" s="1"/>
  <c r="AA23" i="9"/>
  <c r="L43" i="9" s="1"/>
  <c r="Z23" i="9"/>
  <c r="K43" i="9" s="1"/>
  <c r="Y23" i="9"/>
  <c r="J43" i="9" s="1"/>
  <c r="X23" i="9"/>
  <c r="I43" i="9" s="1"/>
  <c r="W23" i="9"/>
  <c r="H43" i="9" s="1"/>
  <c r="V23" i="9"/>
  <c r="G43" i="9" s="1"/>
  <c r="U23" i="9"/>
  <c r="F43" i="9" s="1"/>
  <c r="T23" i="9"/>
  <c r="E43" i="9" s="1"/>
  <c r="S23" i="9"/>
  <c r="D43" i="9" s="1"/>
  <c r="R23" i="9"/>
  <c r="C43" i="9" s="1"/>
  <c r="Q23" i="9"/>
  <c r="B43" i="9" s="1"/>
  <c r="AR22" i="9"/>
  <c r="AC42" i="9" s="1"/>
  <c r="AQ22" i="9"/>
  <c r="AB42" i="9" s="1"/>
  <c r="AP22" i="9"/>
  <c r="AA42" i="9" s="1"/>
  <c r="AO22" i="9"/>
  <c r="Z42" i="9" s="1"/>
  <c r="AN22" i="9"/>
  <c r="Y42" i="9" s="1"/>
  <c r="AM22" i="9"/>
  <c r="X42" i="9" s="1"/>
  <c r="AL22" i="9"/>
  <c r="W42" i="9" s="1"/>
  <c r="AK22" i="9"/>
  <c r="V42" i="9" s="1"/>
  <c r="AJ22" i="9"/>
  <c r="U42" i="9" s="1"/>
  <c r="AI22" i="9"/>
  <c r="T42" i="9" s="1"/>
  <c r="AH22" i="9"/>
  <c r="S42" i="9" s="1"/>
  <c r="AG22" i="9"/>
  <c r="R42" i="9" s="1"/>
  <c r="AF22" i="9"/>
  <c r="Q42" i="9" s="1"/>
  <c r="AE22" i="9"/>
  <c r="P42" i="9" s="1"/>
  <c r="AD22" i="9"/>
  <c r="O42" i="9" s="1"/>
  <c r="AC22" i="9"/>
  <c r="N42" i="9" s="1"/>
  <c r="AB22" i="9"/>
  <c r="M42" i="9" s="1"/>
  <c r="AA22" i="9"/>
  <c r="L42" i="9" s="1"/>
  <c r="Z22" i="9"/>
  <c r="K42" i="9" s="1"/>
  <c r="Y22" i="9"/>
  <c r="J42" i="9" s="1"/>
  <c r="X22" i="9"/>
  <c r="I42" i="9" s="1"/>
  <c r="W22" i="9"/>
  <c r="H42" i="9" s="1"/>
  <c r="V22" i="9"/>
  <c r="G42" i="9" s="1"/>
  <c r="U22" i="9"/>
  <c r="F42" i="9" s="1"/>
  <c r="T22" i="9"/>
  <c r="E42" i="9" s="1"/>
  <c r="S22" i="9"/>
  <c r="D42" i="9" s="1"/>
  <c r="R22" i="9"/>
  <c r="C42" i="9" s="1"/>
  <c r="Q22" i="9"/>
  <c r="B42" i="9" s="1"/>
  <c r="AR20" i="9"/>
  <c r="AC40" i="9" s="1"/>
  <c r="AQ20" i="9"/>
  <c r="AB40" i="9" s="1"/>
  <c r="AP20" i="9"/>
  <c r="AA40" i="9" s="1"/>
  <c r="AO20" i="9"/>
  <c r="Z40" i="9" s="1"/>
  <c r="AN20" i="9"/>
  <c r="Y40" i="9" s="1"/>
  <c r="AM20" i="9"/>
  <c r="X40" i="9" s="1"/>
  <c r="AL20" i="9"/>
  <c r="W40" i="9" s="1"/>
  <c r="AK20" i="9"/>
  <c r="V40" i="9" s="1"/>
  <c r="AJ20" i="9"/>
  <c r="U40" i="9" s="1"/>
  <c r="AI20" i="9"/>
  <c r="T40" i="9" s="1"/>
  <c r="AH20" i="9"/>
  <c r="S40" i="9" s="1"/>
  <c r="AG20" i="9"/>
  <c r="R40" i="9" s="1"/>
  <c r="AF20" i="9"/>
  <c r="Q40" i="9" s="1"/>
  <c r="AE20" i="9"/>
  <c r="P40" i="9" s="1"/>
  <c r="AD20" i="9"/>
  <c r="O40" i="9" s="1"/>
  <c r="AC20" i="9"/>
  <c r="N40" i="9" s="1"/>
  <c r="AB20" i="9"/>
  <c r="M40" i="9" s="1"/>
  <c r="AA20" i="9"/>
  <c r="L40" i="9" s="1"/>
  <c r="Z20" i="9"/>
  <c r="K40" i="9" s="1"/>
  <c r="Y20" i="9"/>
  <c r="J40" i="9" s="1"/>
  <c r="X20" i="9"/>
  <c r="I40" i="9" s="1"/>
  <c r="W20" i="9"/>
  <c r="H40" i="9" s="1"/>
  <c r="V20" i="9"/>
  <c r="G40" i="9" s="1"/>
  <c r="U20" i="9"/>
  <c r="F40" i="9" s="1"/>
  <c r="T20" i="9"/>
  <c r="E40" i="9" s="1"/>
  <c r="S20" i="9"/>
  <c r="D40" i="9" s="1"/>
  <c r="R20" i="9"/>
  <c r="C40" i="9" s="1"/>
  <c r="Q20" i="9"/>
  <c r="B40" i="9" s="1"/>
  <c r="AR19" i="9"/>
  <c r="AC39" i="9" s="1"/>
  <c r="AQ19" i="9"/>
  <c r="AB39" i="9" s="1"/>
  <c r="AP19" i="9"/>
  <c r="AA39" i="9" s="1"/>
  <c r="AO19" i="9"/>
  <c r="Z39" i="9" s="1"/>
  <c r="AN19" i="9"/>
  <c r="Y39" i="9" s="1"/>
  <c r="AM19" i="9"/>
  <c r="X39" i="9" s="1"/>
  <c r="AL19" i="9"/>
  <c r="W39" i="9" s="1"/>
  <c r="AK19" i="9"/>
  <c r="V39" i="9" s="1"/>
  <c r="AJ19" i="9"/>
  <c r="U39" i="9" s="1"/>
  <c r="AI19" i="9"/>
  <c r="T39" i="9" s="1"/>
  <c r="AH19" i="9"/>
  <c r="S39" i="9" s="1"/>
  <c r="AG19" i="9"/>
  <c r="R39" i="9" s="1"/>
  <c r="AF19" i="9"/>
  <c r="Q39" i="9" s="1"/>
  <c r="AE19" i="9"/>
  <c r="P39" i="9" s="1"/>
  <c r="AD19" i="9"/>
  <c r="O39" i="9" s="1"/>
  <c r="AC19" i="9"/>
  <c r="N39" i="9" s="1"/>
  <c r="AB19" i="9"/>
  <c r="M39" i="9" s="1"/>
  <c r="AA19" i="9"/>
  <c r="L39" i="9" s="1"/>
  <c r="Z19" i="9"/>
  <c r="K39" i="9" s="1"/>
  <c r="Y19" i="9"/>
  <c r="J39" i="9" s="1"/>
  <c r="X19" i="9"/>
  <c r="I39" i="9" s="1"/>
  <c r="W19" i="9"/>
  <c r="H39" i="9" s="1"/>
  <c r="V19" i="9"/>
  <c r="G39" i="9" s="1"/>
  <c r="U19" i="9"/>
  <c r="F39" i="9" s="1"/>
  <c r="T19" i="9"/>
  <c r="E39" i="9" s="1"/>
  <c r="S19" i="9"/>
  <c r="D39" i="9" s="1"/>
  <c r="R19" i="9"/>
  <c r="C39" i="9" s="1"/>
  <c r="Q19" i="9"/>
  <c r="B39" i="9" s="1"/>
  <c r="AR18" i="9"/>
  <c r="AC38" i="9" s="1"/>
  <c r="AQ18" i="9"/>
  <c r="AB38" i="9" s="1"/>
  <c r="AP18" i="9"/>
  <c r="AA38" i="9" s="1"/>
  <c r="AO18" i="9"/>
  <c r="Z38" i="9" s="1"/>
  <c r="AN18" i="9"/>
  <c r="Y38" i="9" s="1"/>
  <c r="AM18" i="9"/>
  <c r="X38" i="9" s="1"/>
  <c r="AL18" i="9"/>
  <c r="W38" i="9" s="1"/>
  <c r="AK18" i="9"/>
  <c r="V38" i="9" s="1"/>
  <c r="AJ18" i="9"/>
  <c r="U38" i="9" s="1"/>
  <c r="AI18" i="9"/>
  <c r="T38" i="9" s="1"/>
  <c r="AH18" i="9"/>
  <c r="S38" i="9" s="1"/>
  <c r="AG18" i="9"/>
  <c r="R38" i="9" s="1"/>
  <c r="AF18" i="9"/>
  <c r="Q38" i="9" s="1"/>
  <c r="AE18" i="9"/>
  <c r="P38" i="9" s="1"/>
  <c r="AD18" i="9"/>
  <c r="O38" i="9" s="1"/>
  <c r="AC18" i="9"/>
  <c r="N38" i="9" s="1"/>
  <c r="AB18" i="9"/>
  <c r="M38" i="9" s="1"/>
  <c r="AA18" i="9"/>
  <c r="L38" i="9" s="1"/>
  <c r="Z18" i="9"/>
  <c r="K38" i="9" s="1"/>
  <c r="Y18" i="9"/>
  <c r="J38" i="9" s="1"/>
  <c r="X18" i="9"/>
  <c r="I38" i="9" s="1"/>
  <c r="W18" i="9"/>
  <c r="H38" i="9" s="1"/>
  <c r="V18" i="9"/>
  <c r="G38" i="9" s="1"/>
  <c r="U18" i="9"/>
  <c r="F38" i="9" s="1"/>
  <c r="T18" i="9"/>
  <c r="E38" i="9" s="1"/>
  <c r="S18" i="9"/>
  <c r="D38" i="9" s="1"/>
  <c r="R18" i="9"/>
  <c r="C38" i="9" s="1"/>
  <c r="Q18" i="9"/>
  <c r="B38" i="9" s="1"/>
  <c r="AR17" i="9"/>
  <c r="AQ17" i="9"/>
  <c r="AP17" i="9"/>
  <c r="AO17" i="9"/>
  <c r="AN17" i="9"/>
  <c r="AM17" i="9"/>
  <c r="AL17" i="9"/>
  <c r="AK17" i="9"/>
  <c r="AJ17" i="9"/>
  <c r="AI17" i="9"/>
  <c r="AH17" i="9"/>
  <c r="AG17" i="9"/>
  <c r="AF17" i="9"/>
  <c r="AE17" i="9"/>
  <c r="AD17" i="9"/>
  <c r="AC17" i="9"/>
  <c r="AB17" i="9"/>
  <c r="AA17" i="9"/>
  <c r="Z17" i="9"/>
  <c r="Y17" i="9"/>
  <c r="X17" i="9"/>
  <c r="W17" i="9"/>
  <c r="V17" i="9"/>
  <c r="U17" i="9"/>
  <c r="T17" i="9"/>
  <c r="S17" i="9"/>
  <c r="R17" i="9"/>
  <c r="Q17" i="9"/>
  <c r="AR16" i="9"/>
  <c r="AC36" i="9" s="1"/>
  <c r="AQ16" i="9"/>
  <c r="AB36" i="9" s="1"/>
  <c r="AP16" i="9"/>
  <c r="AA36" i="9" s="1"/>
  <c r="AO16" i="9"/>
  <c r="Z36" i="9" s="1"/>
  <c r="Z54" i="9" s="1"/>
  <c r="AN16" i="9"/>
  <c r="Y36" i="9" s="1"/>
  <c r="Y54" i="9" s="1"/>
  <c r="AM16" i="9"/>
  <c r="X36" i="9" s="1"/>
  <c r="X54" i="9" s="1"/>
  <c r="AL16" i="9"/>
  <c r="W36" i="9" s="1"/>
  <c r="W54" i="9" s="1"/>
  <c r="AK16" i="9"/>
  <c r="V36" i="9" s="1"/>
  <c r="AJ16" i="9"/>
  <c r="U36" i="9" s="1"/>
  <c r="AI16" i="9"/>
  <c r="T36" i="9" s="1"/>
  <c r="AH16" i="9"/>
  <c r="S36" i="9" s="1"/>
  <c r="AG16" i="9"/>
  <c r="R36" i="9" s="1"/>
  <c r="R54" i="9" s="1"/>
  <c r="AF16" i="9"/>
  <c r="Q36" i="9" s="1"/>
  <c r="Q54" i="9" s="1"/>
  <c r="AE16" i="9"/>
  <c r="P36" i="9" s="1"/>
  <c r="P54" i="9" s="1"/>
  <c r="AD16" i="9"/>
  <c r="O36" i="9" s="1"/>
  <c r="O54" i="9" s="1"/>
  <c r="AC16" i="9"/>
  <c r="N36" i="9" s="1"/>
  <c r="AB16" i="9"/>
  <c r="M36" i="9" s="1"/>
  <c r="AA16" i="9"/>
  <c r="L36" i="9" s="1"/>
  <c r="Z16" i="9"/>
  <c r="K36" i="9" s="1"/>
  <c r="Y16" i="9"/>
  <c r="J36" i="9" s="1"/>
  <c r="J54" i="9" s="1"/>
  <c r="X16" i="9"/>
  <c r="I36" i="9" s="1"/>
  <c r="I54" i="9" s="1"/>
  <c r="W16" i="9"/>
  <c r="H36" i="9" s="1"/>
  <c r="H54" i="9" s="1"/>
  <c r="V16" i="9"/>
  <c r="G36" i="9" s="1"/>
  <c r="G54" i="9" s="1"/>
  <c r="U16" i="9"/>
  <c r="F36" i="9" s="1"/>
  <c r="T16" i="9"/>
  <c r="E36" i="9" s="1"/>
  <c r="S16" i="9"/>
  <c r="D36" i="9" s="1"/>
  <c r="R16" i="9"/>
  <c r="C36" i="9" s="1"/>
  <c r="Q16" i="9"/>
  <c r="B36" i="9" s="1"/>
  <c r="B54" i="9" s="1"/>
  <c r="AR15" i="9"/>
  <c r="AC35" i="9" s="1"/>
  <c r="AQ15" i="9"/>
  <c r="AB35" i="9" s="1"/>
  <c r="AP15" i="9"/>
  <c r="AA35" i="9" s="1"/>
  <c r="AO15" i="9"/>
  <c r="Z35" i="9" s="1"/>
  <c r="AN15" i="9"/>
  <c r="Y35" i="9" s="1"/>
  <c r="AM15" i="9"/>
  <c r="X35" i="9" s="1"/>
  <c r="AL15" i="9"/>
  <c r="W35" i="9" s="1"/>
  <c r="AK15" i="9"/>
  <c r="V35" i="9" s="1"/>
  <c r="AJ15" i="9"/>
  <c r="U35" i="9" s="1"/>
  <c r="AI15" i="9"/>
  <c r="T35" i="9" s="1"/>
  <c r="AH15" i="9"/>
  <c r="S35" i="9" s="1"/>
  <c r="AG15" i="9"/>
  <c r="R35" i="9" s="1"/>
  <c r="AF15" i="9"/>
  <c r="Q35" i="9" s="1"/>
  <c r="AE15" i="9"/>
  <c r="P35" i="9" s="1"/>
  <c r="AD15" i="9"/>
  <c r="O35" i="9" s="1"/>
  <c r="AC15" i="9"/>
  <c r="N35" i="9" s="1"/>
  <c r="AB15" i="9"/>
  <c r="M35" i="9" s="1"/>
  <c r="AA15" i="9"/>
  <c r="L35" i="9" s="1"/>
  <c r="Z15" i="9"/>
  <c r="K35" i="9" s="1"/>
  <c r="Y15" i="9"/>
  <c r="J35" i="9" s="1"/>
  <c r="X15" i="9"/>
  <c r="I35" i="9" s="1"/>
  <c r="W15" i="9"/>
  <c r="H35" i="9" s="1"/>
  <c r="V15" i="9"/>
  <c r="G35" i="9" s="1"/>
  <c r="U15" i="9"/>
  <c r="F35" i="9" s="1"/>
  <c r="T15" i="9"/>
  <c r="E35" i="9" s="1"/>
  <c r="S15" i="9"/>
  <c r="D35" i="9" s="1"/>
  <c r="R15" i="9"/>
  <c r="C35" i="9" s="1"/>
  <c r="Q15" i="9"/>
  <c r="B35" i="9" s="1"/>
  <c r="AR14" i="9"/>
  <c r="AC34" i="9" s="1"/>
  <c r="AQ14" i="9"/>
  <c r="AB34" i="9" s="1"/>
  <c r="AP14" i="9"/>
  <c r="AA34" i="9" s="1"/>
  <c r="AO14" i="9"/>
  <c r="Z34" i="9" s="1"/>
  <c r="AN14" i="9"/>
  <c r="Y34" i="9" s="1"/>
  <c r="AM14" i="9"/>
  <c r="X34" i="9" s="1"/>
  <c r="AL14" i="9"/>
  <c r="W34" i="9" s="1"/>
  <c r="AK14" i="9"/>
  <c r="V34" i="9" s="1"/>
  <c r="AJ14" i="9"/>
  <c r="U34" i="9" s="1"/>
  <c r="AI14" i="9"/>
  <c r="T34" i="9" s="1"/>
  <c r="AH14" i="9"/>
  <c r="S34" i="9" s="1"/>
  <c r="AG14" i="9"/>
  <c r="R34" i="9" s="1"/>
  <c r="AF14" i="9"/>
  <c r="Q34" i="9" s="1"/>
  <c r="AE14" i="9"/>
  <c r="P34" i="9" s="1"/>
  <c r="AD14" i="9"/>
  <c r="O34" i="9" s="1"/>
  <c r="AC14" i="9"/>
  <c r="N34" i="9" s="1"/>
  <c r="AB14" i="9"/>
  <c r="M34" i="9" s="1"/>
  <c r="AA14" i="9"/>
  <c r="L34" i="9" s="1"/>
  <c r="Z14" i="9"/>
  <c r="K34" i="9" s="1"/>
  <c r="Y14" i="9"/>
  <c r="J34" i="9" s="1"/>
  <c r="X14" i="9"/>
  <c r="I34" i="9" s="1"/>
  <c r="W14" i="9"/>
  <c r="H34" i="9" s="1"/>
  <c r="V14" i="9"/>
  <c r="G34" i="9" s="1"/>
  <c r="U14" i="9"/>
  <c r="F34" i="9" s="1"/>
  <c r="T14" i="9"/>
  <c r="E34" i="9" s="1"/>
  <c r="S14" i="9"/>
  <c r="D34" i="9" s="1"/>
  <c r="R14" i="9"/>
  <c r="C34" i="9" s="1"/>
  <c r="Q14" i="9"/>
  <c r="B34" i="9" s="1"/>
  <c r="AR13" i="9"/>
  <c r="AC33" i="9" s="1"/>
  <c r="AQ13" i="9"/>
  <c r="AB33" i="9" s="1"/>
  <c r="AP13" i="9"/>
  <c r="AA33" i="9" s="1"/>
  <c r="AO13" i="9"/>
  <c r="Z33" i="9" s="1"/>
  <c r="AN13" i="9"/>
  <c r="Y33" i="9" s="1"/>
  <c r="AM13" i="9"/>
  <c r="X33" i="9" s="1"/>
  <c r="AL13" i="9"/>
  <c r="W33" i="9" s="1"/>
  <c r="AK13" i="9"/>
  <c r="V33" i="9" s="1"/>
  <c r="AJ13" i="9"/>
  <c r="U33" i="9" s="1"/>
  <c r="AI13" i="9"/>
  <c r="T33" i="9" s="1"/>
  <c r="AH13" i="9"/>
  <c r="S33" i="9" s="1"/>
  <c r="AG13" i="9"/>
  <c r="R33" i="9" s="1"/>
  <c r="AF13" i="9"/>
  <c r="Q33" i="9" s="1"/>
  <c r="AE13" i="9"/>
  <c r="P33" i="9" s="1"/>
  <c r="AD13" i="9"/>
  <c r="O33" i="9" s="1"/>
  <c r="AC13" i="9"/>
  <c r="N33" i="9" s="1"/>
  <c r="AB13" i="9"/>
  <c r="M33" i="9" s="1"/>
  <c r="AA13" i="9"/>
  <c r="L33" i="9" s="1"/>
  <c r="Z13" i="9"/>
  <c r="K33" i="9" s="1"/>
  <c r="Y13" i="9"/>
  <c r="J33" i="9" s="1"/>
  <c r="X13" i="9"/>
  <c r="I33" i="9" s="1"/>
  <c r="W13" i="9"/>
  <c r="H33" i="9" s="1"/>
  <c r="V13" i="9"/>
  <c r="G33" i="9" s="1"/>
  <c r="U13" i="9"/>
  <c r="F33" i="9" s="1"/>
  <c r="T13" i="9"/>
  <c r="E33" i="9" s="1"/>
  <c r="S13" i="9"/>
  <c r="D33" i="9" s="1"/>
  <c r="R13" i="9"/>
  <c r="C33" i="9" s="1"/>
  <c r="Q13" i="9"/>
  <c r="B33" i="9" s="1"/>
  <c r="AR12" i="9"/>
  <c r="AC32" i="9" s="1"/>
  <c r="AQ12" i="9"/>
  <c r="AB32" i="9" s="1"/>
  <c r="AP12" i="9"/>
  <c r="AA32" i="9" s="1"/>
  <c r="AO12" i="9"/>
  <c r="Z32" i="9" s="1"/>
  <c r="AN12" i="9"/>
  <c r="Y32" i="9" s="1"/>
  <c r="AM12" i="9"/>
  <c r="X32" i="9" s="1"/>
  <c r="AL12" i="9"/>
  <c r="W32" i="9" s="1"/>
  <c r="AK12" i="9"/>
  <c r="V32" i="9" s="1"/>
  <c r="AJ12" i="9"/>
  <c r="U32" i="9" s="1"/>
  <c r="AI12" i="9"/>
  <c r="T32" i="9" s="1"/>
  <c r="AH12" i="9"/>
  <c r="S32" i="9" s="1"/>
  <c r="AG12" i="9"/>
  <c r="R32" i="9" s="1"/>
  <c r="AF12" i="9"/>
  <c r="Q32" i="9" s="1"/>
  <c r="AE12" i="9"/>
  <c r="P32" i="9" s="1"/>
  <c r="AD12" i="9"/>
  <c r="O32" i="9" s="1"/>
  <c r="AC12" i="9"/>
  <c r="N32" i="9" s="1"/>
  <c r="AB12" i="9"/>
  <c r="M32" i="9" s="1"/>
  <c r="AA12" i="9"/>
  <c r="L32" i="9" s="1"/>
  <c r="Z12" i="9"/>
  <c r="K32" i="9" s="1"/>
  <c r="Y12" i="9"/>
  <c r="J32" i="9" s="1"/>
  <c r="X12" i="9"/>
  <c r="I32" i="9" s="1"/>
  <c r="W12" i="9"/>
  <c r="H32" i="9" s="1"/>
  <c r="V12" i="9"/>
  <c r="G32" i="9" s="1"/>
  <c r="U12" i="9"/>
  <c r="F32" i="9" s="1"/>
  <c r="T12" i="9"/>
  <c r="E32" i="9" s="1"/>
  <c r="S12" i="9"/>
  <c r="D32" i="9" s="1"/>
  <c r="R12" i="9"/>
  <c r="C32" i="9" s="1"/>
  <c r="Q12" i="9"/>
  <c r="B32" i="9" s="1"/>
  <c r="AR11" i="9"/>
  <c r="AC31" i="9" s="1"/>
  <c r="AQ11" i="9"/>
  <c r="AB31" i="9" s="1"/>
  <c r="AP11" i="9"/>
  <c r="AA31" i="9" s="1"/>
  <c r="AO11" i="9"/>
  <c r="Z31" i="9" s="1"/>
  <c r="AN11" i="9"/>
  <c r="Y31" i="9" s="1"/>
  <c r="AM11" i="9"/>
  <c r="X31" i="9" s="1"/>
  <c r="AL11" i="9"/>
  <c r="W31" i="9" s="1"/>
  <c r="AK11" i="9"/>
  <c r="V31" i="9" s="1"/>
  <c r="AJ11" i="9"/>
  <c r="U31" i="9" s="1"/>
  <c r="AI11" i="9"/>
  <c r="T31" i="9" s="1"/>
  <c r="AH11" i="9"/>
  <c r="S31" i="9" s="1"/>
  <c r="AG11" i="9"/>
  <c r="R31" i="9" s="1"/>
  <c r="AF11" i="9"/>
  <c r="Q31" i="9" s="1"/>
  <c r="AE11" i="9"/>
  <c r="P31" i="9" s="1"/>
  <c r="AD11" i="9"/>
  <c r="O31" i="9" s="1"/>
  <c r="AC11" i="9"/>
  <c r="N31" i="9" s="1"/>
  <c r="AB11" i="9"/>
  <c r="M31" i="9" s="1"/>
  <c r="AA11" i="9"/>
  <c r="L31" i="9" s="1"/>
  <c r="Z11" i="9"/>
  <c r="K31" i="9" s="1"/>
  <c r="Y11" i="9"/>
  <c r="J31" i="9" s="1"/>
  <c r="X11" i="9"/>
  <c r="I31" i="9" s="1"/>
  <c r="W11" i="9"/>
  <c r="H31" i="9" s="1"/>
  <c r="V11" i="9"/>
  <c r="G31" i="9" s="1"/>
  <c r="U11" i="9"/>
  <c r="F31" i="9" s="1"/>
  <c r="T11" i="9"/>
  <c r="E31" i="9" s="1"/>
  <c r="S11" i="9"/>
  <c r="D31" i="9" s="1"/>
  <c r="R11" i="9"/>
  <c r="C31" i="9" s="1"/>
  <c r="Q11" i="9"/>
  <c r="B31" i="9" s="1"/>
  <c r="DG17" i="33" l="1"/>
  <c r="M21" i="34" s="1"/>
  <c r="BA17" i="33"/>
  <c r="D18" i="34" s="1"/>
  <c r="DF17" i="33"/>
  <c r="M20" i="34" s="1"/>
  <c r="CF17" i="33"/>
  <c r="M32" i="34" s="1"/>
  <c r="AC513" i="19"/>
  <c r="AF11" i="28" s="1"/>
  <c r="FI14" i="33"/>
  <c r="FI17" i="33" s="1"/>
  <c r="W20" i="34" s="1"/>
  <c r="M299" i="19"/>
  <c r="P9" i="28" s="1"/>
  <c r="CZ14" i="33"/>
  <c r="CZ17" i="33" s="1"/>
  <c r="M14" i="34" s="1"/>
  <c r="B299" i="19"/>
  <c r="E9" i="28" s="1"/>
  <c r="AW14" i="33"/>
  <c r="AW17" i="33" s="1"/>
  <c r="D14" i="34" s="1"/>
  <c r="AC513" i="22"/>
  <c r="AF31" i="28" s="1"/>
  <c r="ET14" i="33"/>
  <c r="ET17" i="33" s="1"/>
  <c r="W43" i="34" s="1"/>
  <c r="AC408" i="22"/>
  <c r="AF30" i="28" s="1"/>
  <c r="EP14" i="33"/>
  <c r="EP17" i="33" s="1"/>
  <c r="W39" i="34" s="1"/>
  <c r="AQ17" i="33"/>
  <c r="D8" i="34" s="1"/>
  <c r="M299" i="20"/>
  <c r="P14" i="28" s="1"/>
  <c r="DA14" i="33"/>
  <c r="DA17" i="33" s="1"/>
  <c r="M15" i="34" s="1"/>
  <c r="B191" i="19"/>
  <c r="E8" i="28" s="1"/>
  <c r="AT14" i="33"/>
  <c r="AT17" i="33" s="1"/>
  <c r="D11" i="34" s="1"/>
  <c r="M191" i="20"/>
  <c r="P13" i="28" s="1"/>
  <c r="CX14" i="33"/>
  <c r="CX17" i="33" s="1"/>
  <c r="M12" i="34" s="1"/>
  <c r="B85" i="20"/>
  <c r="E12" i="28" s="1"/>
  <c r="AR14" i="33"/>
  <c r="AR17" i="33" s="1"/>
  <c r="D9" i="34" s="1"/>
  <c r="AC85" i="20"/>
  <c r="AF12" i="28" s="1"/>
  <c r="EX14" i="33"/>
  <c r="EX17" i="33" s="1"/>
  <c r="W9" i="34" s="1"/>
  <c r="AC513" i="20"/>
  <c r="AF16" i="28" s="1"/>
  <c r="FJ14" i="33"/>
  <c r="FJ17" i="33" s="1"/>
  <c r="W21" i="34" s="1"/>
  <c r="B299" i="21"/>
  <c r="E24" i="28" s="1"/>
  <c r="AE14" i="33"/>
  <c r="AE17" i="33" s="1"/>
  <c r="D34" i="34" s="1"/>
  <c r="AC513" i="21"/>
  <c r="AF26" i="28" s="1"/>
  <c r="ES14" i="33"/>
  <c r="ES17" i="33" s="1"/>
  <c r="W42" i="34" s="1"/>
  <c r="B408" i="21"/>
  <c r="E25" i="28" s="1"/>
  <c r="AI14" i="33"/>
  <c r="AI17" i="33" s="1"/>
  <c r="D38" i="34" s="1"/>
  <c r="AC85" i="22"/>
  <c r="AF27" i="28" s="1"/>
  <c r="ED14" i="33"/>
  <c r="ED17" i="33" s="1"/>
  <c r="W27" i="34" s="1"/>
  <c r="B408" i="23"/>
  <c r="E35" i="28" s="1"/>
  <c r="AK14" i="33"/>
  <c r="AK17" i="33" s="1"/>
  <c r="D40" i="34" s="1"/>
  <c r="M513" i="21"/>
  <c r="P26" i="28" s="1"/>
  <c r="CP14" i="33"/>
  <c r="CP17" i="33" s="1"/>
  <c r="M42" i="34" s="1"/>
  <c r="B85" i="21"/>
  <c r="E22" i="28" s="1"/>
  <c r="W14" i="33"/>
  <c r="W17" i="33" s="1"/>
  <c r="D26" i="34" s="1"/>
  <c r="M408" i="21"/>
  <c r="P25" i="28" s="1"/>
  <c r="CL14" i="33"/>
  <c r="CL17" i="33" s="1"/>
  <c r="M38" i="34" s="1"/>
  <c r="M299" i="22"/>
  <c r="P29" i="28" s="1"/>
  <c r="CI14" i="33"/>
  <c r="CI17" i="33" s="1"/>
  <c r="M35" i="34" s="1"/>
  <c r="B513" i="22"/>
  <c r="E31" i="28" s="1"/>
  <c r="AN14" i="33"/>
  <c r="AN17" i="33" s="1"/>
  <c r="D43" i="34" s="1"/>
  <c r="B191" i="22"/>
  <c r="E28" i="28" s="1"/>
  <c r="AB14" i="33"/>
  <c r="AB17" i="33" s="1"/>
  <c r="D31" i="34" s="1"/>
  <c r="B85" i="22"/>
  <c r="E27" i="28" s="1"/>
  <c r="X14" i="33"/>
  <c r="X17" i="33" s="1"/>
  <c r="D27" i="34" s="1"/>
  <c r="AC408" i="23"/>
  <c r="AF35" i="28" s="1"/>
  <c r="EQ14" i="33"/>
  <c r="EQ17" i="33" s="1"/>
  <c r="W40" i="34" s="1"/>
  <c r="B191" i="23"/>
  <c r="E33" i="28" s="1"/>
  <c r="AC14" i="33"/>
  <c r="AC17" i="33" s="1"/>
  <c r="D32" i="34" s="1"/>
  <c r="M408" i="23"/>
  <c r="P35" i="28" s="1"/>
  <c r="CN14" i="33"/>
  <c r="CN17" i="33" s="1"/>
  <c r="M40" i="34" s="1"/>
  <c r="M85" i="21"/>
  <c r="P22" i="28" s="1"/>
  <c r="BZ14" i="33"/>
  <c r="BZ17" i="33" s="1"/>
  <c r="M26" i="34" s="1"/>
  <c r="M191" i="19"/>
  <c r="P8" i="28" s="1"/>
  <c r="CW14" i="33"/>
  <c r="CW17" i="33" s="1"/>
  <c r="M11" i="34" s="1"/>
  <c r="B408" i="19"/>
  <c r="E10" i="28" s="1"/>
  <c r="AZ14" i="33"/>
  <c r="AZ17" i="33" s="1"/>
  <c r="D17" i="34" s="1"/>
  <c r="AC191" i="20"/>
  <c r="AF13" i="28" s="1"/>
  <c r="FA14" i="33"/>
  <c r="FA17" i="33" s="1"/>
  <c r="W12" i="34" s="1"/>
  <c r="B513" i="20"/>
  <c r="E16" i="28" s="1"/>
  <c r="BD14" i="33"/>
  <c r="BD17" i="33" s="1"/>
  <c r="D21" i="34" s="1"/>
  <c r="M513" i="22"/>
  <c r="P31" i="28" s="1"/>
  <c r="CQ14" i="33"/>
  <c r="CQ17" i="33" s="1"/>
  <c r="M43" i="34" s="1"/>
  <c r="B408" i="22"/>
  <c r="E30" i="28" s="1"/>
  <c r="AJ14" i="33"/>
  <c r="AJ17" i="33" s="1"/>
  <c r="D39" i="34" s="1"/>
  <c r="B299" i="23"/>
  <c r="E34" i="28" s="1"/>
  <c r="AG14" i="33"/>
  <c r="AG17" i="33" s="1"/>
  <c r="D36" i="34" s="1"/>
  <c r="AC85" i="19"/>
  <c r="AF7" i="28" s="1"/>
  <c r="EW14" i="33"/>
  <c r="EW17" i="33" s="1"/>
  <c r="W8" i="34" s="1"/>
  <c r="AC299" i="20"/>
  <c r="AF14" i="28" s="1"/>
  <c r="FD14" i="33"/>
  <c r="FD17" i="33" s="1"/>
  <c r="W15" i="34" s="1"/>
  <c r="AC299" i="22"/>
  <c r="AF29" i="28" s="1"/>
  <c r="EL14" i="33"/>
  <c r="EL17" i="33" s="1"/>
  <c r="W35" i="34" s="1"/>
  <c r="AC191" i="23"/>
  <c r="AF33" i="28" s="1"/>
  <c r="EI14" i="33"/>
  <c r="EI17" i="33" s="1"/>
  <c r="W32" i="34" s="1"/>
  <c r="AC299" i="19"/>
  <c r="AF9" i="28" s="1"/>
  <c r="FC14" i="33"/>
  <c r="FC17" i="33" s="1"/>
  <c r="W14" i="34" s="1"/>
  <c r="M299" i="21"/>
  <c r="P24" i="28" s="1"/>
  <c r="CH14" i="33"/>
  <c r="CH17" i="33" s="1"/>
  <c r="M34" i="34" s="1"/>
  <c r="B191" i="21"/>
  <c r="E23" i="28" s="1"/>
  <c r="AA14" i="33"/>
  <c r="AA17" i="33" s="1"/>
  <c r="D30" i="34" s="1"/>
  <c r="B513" i="21"/>
  <c r="E26" i="28" s="1"/>
  <c r="AM14" i="33"/>
  <c r="AM17" i="33" s="1"/>
  <c r="D42" i="34" s="1"/>
  <c r="AC191" i="21"/>
  <c r="AF23" i="28" s="1"/>
  <c r="EG14" i="33"/>
  <c r="EG17" i="33" s="1"/>
  <c r="W30" i="34" s="1"/>
  <c r="B299" i="22"/>
  <c r="E29" i="28" s="1"/>
  <c r="AF14" i="33"/>
  <c r="AF17" i="33" s="1"/>
  <c r="D35" i="34" s="1"/>
  <c r="AC299" i="23"/>
  <c r="AF34" i="28" s="1"/>
  <c r="EM14" i="33"/>
  <c r="EM17" i="33" s="1"/>
  <c r="W36" i="34" s="1"/>
  <c r="B513" i="23"/>
  <c r="E36" i="28" s="1"/>
  <c r="AO14" i="33"/>
  <c r="AO17" i="33" s="1"/>
  <c r="D44" i="34" s="1"/>
  <c r="M85" i="23"/>
  <c r="P32" i="28" s="1"/>
  <c r="CB14" i="33"/>
  <c r="CB17" i="33" s="1"/>
  <c r="M28" i="34" s="1"/>
  <c r="M513" i="23"/>
  <c r="P36" i="28" s="1"/>
  <c r="CR14" i="33"/>
  <c r="CR17" i="33" s="1"/>
  <c r="M44" i="34" s="1"/>
  <c r="B513" i="19"/>
  <c r="E11" i="28" s="1"/>
  <c r="BC14" i="33"/>
  <c r="BC17" i="33" s="1"/>
  <c r="D20" i="34" s="1"/>
  <c r="M299" i="23"/>
  <c r="P34" i="28" s="1"/>
  <c r="CJ14" i="33"/>
  <c r="CJ17" i="33" s="1"/>
  <c r="M36" i="34" s="1"/>
  <c r="B85" i="23"/>
  <c r="E32" i="28" s="1"/>
  <c r="Y14" i="33"/>
  <c r="Y17" i="33" s="1"/>
  <c r="D28" i="34" s="1"/>
  <c r="AC408" i="19"/>
  <c r="AF10" i="28" s="1"/>
  <c r="FF14" i="33"/>
  <c r="FF17" i="33" s="1"/>
  <c r="W17" i="34" s="1"/>
  <c r="B299" i="20"/>
  <c r="E14" i="28" s="1"/>
  <c r="AX14" i="33"/>
  <c r="AX17" i="33" s="1"/>
  <c r="D15" i="34" s="1"/>
  <c r="AC408" i="20"/>
  <c r="AF15" i="28" s="1"/>
  <c r="FG14" i="33"/>
  <c r="FG17" i="33" s="1"/>
  <c r="W18" i="34" s="1"/>
  <c r="AC299" i="21"/>
  <c r="AF24" i="28" s="1"/>
  <c r="EK14" i="33"/>
  <c r="EK17" i="33" s="1"/>
  <c r="W34" i="34" s="1"/>
  <c r="M191" i="21"/>
  <c r="P23" i="28" s="1"/>
  <c r="CD14" i="33"/>
  <c r="CD17" i="33" s="1"/>
  <c r="M30" i="34" s="1"/>
  <c r="AC408" i="21"/>
  <c r="AF25" i="28" s="1"/>
  <c r="EO14" i="33"/>
  <c r="EO17" i="33" s="1"/>
  <c r="W38" i="34" s="1"/>
  <c r="M408" i="22"/>
  <c r="P30" i="28" s="1"/>
  <c r="CM14" i="33"/>
  <c r="CM17" i="33" s="1"/>
  <c r="M39" i="34" s="1"/>
  <c r="AC191" i="22"/>
  <c r="AF28" i="28" s="1"/>
  <c r="EH14" i="33"/>
  <c r="EH17" i="33" s="1"/>
  <c r="W31" i="34" s="1"/>
  <c r="AC513" i="23"/>
  <c r="AF36" i="28" s="1"/>
  <c r="EU14" i="33"/>
  <c r="EU17" i="33" s="1"/>
  <c r="W44" i="34" s="1"/>
  <c r="AC85" i="23"/>
  <c r="AF32" i="28" s="1"/>
  <c r="EE14" i="33"/>
  <c r="EE17" i="33" s="1"/>
  <c r="W28" i="34" s="1"/>
  <c r="M85" i="19"/>
  <c r="P7" i="28" s="1"/>
  <c r="CT14" i="33"/>
  <c r="CT17" i="33" s="1"/>
  <c r="M8" i="34" s="1"/>
  <c r="AC191" i="19"/>
  <c r="AF8" i="28" s="1"/>
  <c r="EZ14" i="33"/>
  <c r="EZ17" i="33" s="1"/>
  <c r="W11" i="34" s="1"/>
  <c r="M408" i="19"/>
  <c r="P10" i="28" s="1"/>
  <c r="DC14" i="33"/>
  <c r="DC17" i="33" s="1"/>
  <c r="M17" i="34" s="1"/>
  <c r="B191" i="20"/>
  <c r="E13" i="28" s="1"/>
  <c r="AU14" i="33"/>
  <c r="AU17" i="33" s="1"/>
  <c r="D12" i="34" s="1"/>
  <c r="M408" i="20"/>
  <c r="P15" i="28" s="1"/>
  <c r="DD14" i="33"/>
  <c r="DD17" i="33" s="1"/>
  <c r="M18" i="34" s="1"/>
  <c r="M85" i="20"/>
  <c r="P12" i="28" s="1"/>
  <c r="CU14" i="33"/>
  <c r="CU17" i="33" s="1"/>
  <c r="M9" i="34" s="1"/>
  <c r="AC85" i="21"/>
  <c r="AF22" i="28" s="1"/>
  <c r="EC14" i="33"/>
  <c r="EC17" i="33" s="1"/>
  <c r="W26" i="34" s="1"/>
  <c r="M191" i="22"/>
  <c r="P28" i="28" s="1"/>
  <c r="CE14" i="33"/>
  <c r="CE17" i="33" s="1"/>
  <c r="M31" i="34" s="1"/>
  <c r="M85" i="22"/>
  <c r="P27" i="28" s="1"/>
  <c r="CA14" i="33"/>
  <c r="CA17" i="33" s="1"/>
  <c r="M27" i="34" s="1"/>
  <c r="M513" i="20"/>
  <c r="P16" i="28" s="1"/>
  <c r="W85" i="22"/>
  <c r="Z27" i="28" s="1"/>
  <c r="X85" i="22"/>
  <c r="AA27" i="28" s="1"/>
  <c r="AA85" i="20"/>
  <c r="AD12" i="28" s="1"/>
  <c r="O85" i="19"/>
  <c r="R7" i="28" s="1"/>
  <c r="T513" i="19"/>
  <c r="W11" i="28" s="1"/>
  <c r="R85" i="20"/>
  <c r="U12" i="28" s="1"/>
  <c r="I191" i="19"/>
  <c r="L8" i="28" s="1"/>
  <c r="B408" i="20"/>
  <c r="E15" i="28" s="1"/>
  <c r="C408" i="23"/>
  <c r="F35" i="28" s="1"/>
  <c r="N85" i="23"/>
  <c r="Q32" i="28" s="1"/>
  <c r="AA513" i="23"/>
  <c r="AD36" i="28" s="1"/>
  <c r="Q85" i="23"/>
  <c r="T32" i="28" s="1"/>
  <c r="Y513" i="21"/>
  <c r="AB26" i="28" s="1"/>
  <c r="S299" i="19"/>
  <c r="V9" i="28" s="1"/>
  <c r="I513" i="19"/>
  <c r="L11" i="28" s="1"/>
  <c r="M513" i="19"/>
  <c r="P11" i="28" s="1"/>
  <c r="Q513" i="21"/>
  <c r="T26" i="28" s="1"/>
  <c r="D85" i="21"/>
  <c r="G22" i="28" s="1"/>
  <c r="E299" i="23"/>
  <c r="H34" i="28" s="1"/>
  <c r="N513" i="20"/>
  <c r="Q16" i="28" s="1"/>
  <c r="X513" i="20"/>
  <c r="AA16" i="28" s="1"/>
  <c r="V299" i="20"/>
  <c r="Y14" i="28" s="1"/>
  <c r="G191" i="20"/>
  <c r="J13" i="28" s="1"/>
  <c r="J85" i="19"/>
  <c r="M7" i="28" s="1"/>
  <c r="V513" i="20"/>
  <c r="Y16" i="28" s="1"/>
  <c r="U85" i="20"/>
  <c r="X12" i="28" s="1"/>
  <c r="F408" i="20"/>
  <c r="I15" i="28" s="1"/>
  <c r="AB85" i="20"/>
  <c r="AE12" i="28" s="1"/>
  <c r="I299" i="19"/>
  <c r="L9" i="28" s="1"/>
  <c r="AA85" i="19"/>
  <c r="AD7" i="28" s="1"/>
  <c r="H408" i="19"/>
  <c r="K10" i="28" s="1"/>
  <c r="R85" i="19"/>
  <c r="U7" i="28" s="1"/>
  <c r="B85" i="19"/>
  <c r="E7" i="28" s="1"/>
  <c r="Y513" i="23"/>
  <c r="AB36" i="28" s="1"/>
  <c r="AB513" i="22"/>
  <c r="AE31" i="28" s="1"/>
  <c r="R408" i="22"/>
  <c r="U30" i="28" s="1"/>
  <c r="P299" i="22"/>
  <c r="S29" i="28" s="1"/>
  <c r="L513" i="22"/>
  <c r="O31" i="28" s="1"/>
  <c r="M191" i="23"/>
  <c r="P33" i="28" s="1"/>
  <c r="K191" i="23"/>
  <c r="N33" i="28" s="1"/>
  <c r="P408" i="23"/>
  <c r="S35" i="28" s="1"/>
  <c r="F513" i="23"/>
  <c r="I36" i="28" s="1"/>
  <c r="L408" i="23"/>
  <c r="O35" i="28" s="1"/>
  <c r="C513" i="22"/>
  <c r="F31" i="28" s="1"/>
  <c r="R85" i="22"/>
  <c r="U27" i="28" s="1"/>
  <c r="W408" i="22"/>
  <c r="Z30" i="28" s="1"/>
  <c r="H513" i="22"/>
  <c r="K31" i="28" s="1"/>
  <c r="Q191" i="22"/>
  <c r="T28" i="28" s="1"/>
  <c r="L408" i="21"/>
  <c r="O25" i="28" s="1"/>
  <c r="P85" i="21"/>
  <c r="S22" i="28" s="1"/>
  <c r="AB85" i="21"/>
  <c r="AE22" i="28" s="1"/>
  <c r="X85" i="21"/>
  <c r="AA22" i="28" s="1"/>
  <c r="I513" i="21"/>
  <c r="L26" i="28" s="1"/>
  <c r="U84" i="13"/>
  <c r="X164" i="9"/>
  <c r="V486" i="9"/>
  <c r="U272" i="13"/>
  <c r="N272" i="9"/>
  <c r="U58" i="13"/>
  <c r="A288" i="13"/>
  <c r="A276" i="13"/>
  <c r="A180" i="13"/>
  <c r="A168" i="13"/>
  <c r="A289" i="13"/>
  <c r="A277" i="13"/>
  <c r="A399" i="13"/>
  <c r="A387" i="13"/>
  <c r="A290" i="13"/>
  <c r="A278" i="13"/>
  <c r="A182" i="13"/>
  <c r="A170" i="13"/>
  <c r="A291" i="13"/>
  <c r="A279" i="13"/>
  <c r="A183" i="13"/>
  <c r="A171" i="13"/>
  <c r="A76" i="13"/>
  <c r="A64" i="13"/>
  <c r="P51" i="9"/>
  <c r="D52" i="9"/>
  <c r="L52" i="9"/>
  <c r="T52" i="9"/>
  <c r="AB52" i="9"/>
  <c r="H52" i="9"/>
  <c r="P52" i="9"/>
  <c r="X52" i="9"/>
  <c r="B52" i="13"/>
  <c r="M52" i="13"/>
  <c r="U52" i="13"/>
  <c r="AC52" i="13"/>
  <c r="R149" i="13"/>
  <c r="X249" i="13"/>
  <c r="AC253" i="13"/>
  <c r="I363" i="13"/>
  <c r="U142" i="13"/>
  <c r="U160" i="13" s="1"/>
  <c r="Y144" i="13"/>
  <c r="U252" i="13"/>
  <c r="U282" i="13" s="1"/>
  <c r="G52" i="13"/>
  <c r="R52" i="13"/>
  <c r="D52" i="13"/>
  <c r="L52" i="13"/>
  <c r="T52" i="13"/>
  <c r="AB52" i="13"/>
  <c r="H51" i="13"/>
  <c r="P51" i="13"/>
  <c r="X51" i="13"/>
  <c r="U56" i="13"/>
  <c r="J52" i="13"/>
  <c r="Z52" i="13"/>
  <c r="C52" i="13"/>
  <c r="K52" i="13"/>
  <c r="S52" i="13"/>
  <c r="AA52" i="13"/>
  <c r="E52" i="13"/>
  <c r="U256" i="13"/>
  <c r="AC148" i="13"/>
  <c r="AB146" i="13"/>
  <c r="P254" i="13"/>
  <c r="X145" i="13"/>
  <c r="P143" i="13"/>
  <c r="P161" i="13" s="1"/>
  <c r="W52" i="13"/>
  <c r="G51" i="13"/>
  <c r="O51" i="13"/>
  <c r="W51" i="13"/>
  <c r="O52" i="13"/>
  <c r="F53" i="13"/>
  <c r="L358" i="13"/>
  <c r="T358" i="13"/>
  <c r="AB358" i="13"/>
  <c r="V52" i="13"/>
  <c r="V257" i="13"/>
  <c r="V362" i="13"/>
  <c r="V53" i="13"/>
  <c r="Z361" i="13"/>
  <c r="V366" i="13"/>
  <c r="N138" i="13"/>
  <c r="U468" i="9"/>
  <c r="V363" i="9"/>
  <c r="AA359" i="9"/>
  <c r="AA377" i="9" s="1"/>
  <c r="AC463" i="9"/>
  <c r="Q52" i="9"/>
  <c r="I52" i="9"/>
  <c r="Y52" i="9"/>
  <c r="I51" i="9"/>
  <c r="Q51" i="9"/>
  <c r="Y51" i="9"/>
  <c r="D139" i="9"/>
  <c r="P37" i="9"/>
  <c r="P55" i="9" s="1"/>
  <c r="V472" i="9"/>
  <c r="V512" i="9" s="1"/>
  <c r="G258" i="9"/>
  <c r="U63" i="13"/>
  <c r="U65" i="13"/>
  <c r="L367" i="9"/>
  <c r="U150" i="9"/>
  <c r="AB47" i="13"/>
  <c r="U74" i="13"/>
  <c r="AC472" i="9"/>
  <c r="AV27" i="9"/>
  <c r="N150" i="13"/>
  <c r="V367" i="13"/>
  <c r="AB370" i="13"/>
  <c r="Y261" i="13"/>
  <c r="AA258" i="13"/>
  <c r="A290" i="9"/>
  <c r="A278" i="9"/>
  <c r="A404" i="9"/>
  <c r="A392" i="9"/>
  <c r="A399" i="9"/>
  <c r="A387" i="9"/>
  <c r="A76" i="9"/>
  <c r="A64" i="9"/>
  <c r="A187" i="9"/>
  <c r="A175" i="9"/>
  <c r="A401" i="9"/>
  <c r="A389" i="9"/>
  <c r="A504" i="9"/>
  <c r="A492" i="9"/>
  <c r="A182" i="9"/>
  <c r="A170" i="9"/>
  <c r="AC150" i="9"/>
  <c r="N254" i="9"/>
  <c r="V463" i="9"/>
  <c r="I475" i="9"/>
  <c r="AV25" i="9"/>
  <c r="J52" i="9"/>
  <c r="Z52" i="9"/>
  <c r="Z146" i="9"/>
  <c r="C254" i="9"/>
  <c r="K254" i="9"/>
  <c r="S254" i="9"/>
  <c r="AA254" i="9"/>
  <c r="U361" i="9"/>
  <c r="R366" i="9"/>
  <c r="W461" i="9"/>
  <c r="G53" i="9"/>
  <c r="W53" i="9"/>
  <c r="U153" i="9"/>
  <c r="H146" i="9"/>
  <c r="M252" i="9"/>
  <c r="AA257" i="9"/>
  <c r="AT19" i="9"/>
  <c r="AT29" i="9"/>
  <c r="AV26" i="9"/>
  <c r="H51" i="9"/>
  <c r="X51" i="9"/>
  <c r="E137" i="9"/>
  <c r="Z150" i="9"/>
  <c r="F153" i="9"/>
  <c r="X365" i="9"/>
  <c r="F472" i="9"/>
  <c r="Z153" i="9"/>
  <c r="G153" i="9"/>
  <c r="N472" i="9"/>
  <c r="G140" i="9"/>
  <c r="B150" i="9"/>
  <c r="O153" i="9"/>
  <c r="E363" i="9"/>
  <c r="G52" i="9"/>
  <c r="W52" i="9"/>
  <c r="C150" i="9"/>
  <c r="K150" i="9"/>
  <c r="T150" i="9"/>
  <c r="P153" i="9"/>
  <c r="AC254" i="9"/>
  <c r="AC355" i="9"/>
  <c r="Q363" i="9"/>
  <c r="F463" i="9"/>
  <c r="M468" i="9"/>
  <c r="J44" i="9"/>
  <c r="J260" i="9" s="1"/>
  <c r="L150" i="9"/>
  <c r="F254" i="9"/>
  <c r="AA363" i="9"/>
  <c r="N463" i="9"/>
  <c r="K355" i="13"/>
  <c r="S363" i="13"/>
  <c r="AB363" i="13"/>
  <c r="B254" i="13"/>
  <c r="F254" i="13"/>
  <c r="V254" i="13"/>
  <c r="E361" i="13"/>
  <c r="M361" i="13"/>
  <c r="V361" i="13"/>
  <c r="Z360" i="13"/>
  <c r="O359" i="13"/>
  <c r="U66" i="13"/>
  <c r="U68" i="13"/>
  <c r="U79" i="13"/>
  <c r="U67" i="13"/>
  <c r="X44" i="13"/>
  <c r="X260" i="13" s="1"/>
  <c r="U78" i="13"/>
  <c r="U80" i="13"/>
  <c r="U81" i="13"/>
  <c r="F366" i="13"/>
  <c r="N53" i="13"/>
  <c r="F52" i="13"/>
  <c r="R366" i="13"/>
  <c r="N52" i="13"/>
  <c r="AB366" i="13"/>
  <c r="B362" i="13"/>
  <c r="U57" i="13"/>
  <c r="K362" i="13"/>
  <c r="U69" i="13"/>
  <c r="T362" i="13"/>
  <c r="AC362" i="13"/>
  <c r="G53" i="13"/>
  <c r="O53" i="13"/>
  <c r="W53" i="13"/>
  <c r="H53" i="13"/>
  <c r="P53" i="13"/>
  <c r="X53" i="13"/>
  <c r="I53" i="13"/>
  <c r="Q53" i="13"/>
  <c r="Y53" i="13"/>
  <c r="B53" i="13"/>
  <c r="J53" i="13"/>
  <c r="R53" i="13"/>
  <c r="Z53" i="13"/>
  <c r="U77" i="13"/>
  <c r="C53" i="13"/>
  <c r="K53" i="13"/>
  <c r="S53" i="13"/>
  <c r="AA53" i="13"/>
  <c r="D53" i="13"/>
  <c r="L53" i="13"/>
  <c r="T53" i="13"/>
  <c r="AB53" i="13"/>
  <c r="E53" i="13"/>
  <c r="M53" i="13"/>
  <c r="U53" i="13"/>
  <c r="AC53" i="13"/>
  <c r="H52" i="13"/>
  <c r="P52" i="13"/>
  <c r="X52" i="13"/>
  <c r="I52" i="13"/>
  <c r="Q52" i="13"/>
  <c r="Y52" i="13"/>
  <c r="U64" i="13"/>
  <c r="U76" i="13"/>
  <c r="I51" i="13"/>
  <c r="Q51" i="13"/>
  <c r="Y51" i="13"/>
  <c r="B51" i="13"/>
  <c r="J51" i="13"/>
  <c r="R51" i="13"/>
  <c r="Z51" i="13"/>
  <c r="C51" i="13"/>
  <c r="K51" i="13"/>
  <c r="S51" i="13"/>
  <c r="AA51" i="13"/>
  <c r="D51" i="13"/>
  <c r="L51" i="13"/>
  <c r="T51" i="13"/>
  <c r="AB51" i="13"/>
  <c r="U75" i="13"/>
  <c r="E51" i="13"/>
  <c r="M51" i="13"/>
  <c r="U51" i="13"/>
  <c r="AC51" i="13"/>
  <c r="F51" i="13"/>
  <c r="N51" i="13"/>
  <c r="V51" i="13"/>
  <c r="B50" i="13"/>
  <c r="J50" i="13"/>
  <c r="R50" i="13"/>
  <c r="Z50" i="13"/>
  <c r="C50" i="13"/>
  <c r="K50" i="13"/>
  <c r="S50" i="13"/>
  <c r="AA50" i="13"/>
  <c r="D50" i="13"/>
  <c r="L50" i="13"/>
  <c r="T50" i="13"/>
  <c r="AB50" i="13"/>
  <c r="U62" i="13"/>
  <c r="E50" i="13"/>
  <c r="M50" i="13"/>
  <c r="U50" i="13"/>
  <c r="AC50" i="13"/>
  <c r="F50" i="13"/>
  <c r="N50" i="13"/>
  <c r="V50" i="13"/>
  <c r="G50" i="13"/>
  <c r="O50" i="13"/>
  <c r="W50" i="13"/>
  <c r="H50" i="13"/>
  <c r="P50" i="13"/>
  <c r="X50" i="13"/>
  <c r="I50" i="13"/>
  <c r="Q50" i="13"/>
  <c r="Y50" i="13"/>
  <c r="V466" i="9"/>
  <c r="V496" i="9" s="1"/>
  <c r="U144" i="9"/>
  <c r="G466" i="9"/>
  <c r="O466" i="9"/>
  <c r="W466" i="9"/>
  <c r="L144" i="9"/>
  <c r="K361" i="9"/>
  <c r="T144" i="9"/>
  <c r="O52" i="9"/>
  <c r="Y366" i="9"/>
  <c r="B52" i="9"/>
  <c r="R52" i="9"/>
  <c r="O53" i="9"/>
  <c r="C366" i="9"/>
  <c r="Y467" i="9"/>
  <c r="Z471" i="9"/>
  <c r="C52" i="9"/>
  <c r="K52" i="9"/>
  <c r="S52" i="9"/>
  <c r="AA52" i="9"/>
  <c r="Y257" i="9"/>
  <c r="AB257" i="9"/>
  <c r="C149" i="9"/>
  <c r="D257" i="9"/>
  <c r="I257" i="9"/>
  <c r="C471" i="9"/>
  <c r="L257" i="9"/>
  <c r="Q366" i="9"/>
  <c r="K471" i="9"/>
  <c r="Q257" i="9"/>
  <c r="AB366" i="9"/>
  <c r="S471" i="9"/>
  <c r="T257" i="9"/>
  <c r="AA471" i="9"/>
  <c r="W470" i="9"/>
  <c r="H470" i="9"/>
  <c r="P470" i="9"/>
  <c r="X470" i="9"/>
  <c r="Y256" i="9"/>
  <c r="H365" i="9"/>
  <c r="U365" i="9"/>
  <c r="B467" i="9"/>
  <c r="J467" i="9"/>
  <c r="R467" i="9"/>
  <c r="Z467" i="9"/>
  <c r="C54" i="9"/>
  <c r="K54" i="9"/>
  <c r="S54" i="9"/>
  <c r="AA54" i="9"/>
  <c r="D54" i="9"/>
  <c r="L54" i="9"/>
  <c r="T54" i="9"/>
  <c r="AB54" i="9"/>
  <c r="E54" i="9"/>
  <c r="M54" i="9"/>
  <c r="U54" i="9"/>
  <c r="AC54" i="9"/>
  <c r="F54" i="9"/>
  <c r="N54" i="9"/>
  <c r="V54" i="9"/>
  <c r="C359" i="9"/>
  <c r="M359" i="9"/>
  <c r="N142" i="9"/>
  <c r="V359" i="9"/>
  <c r="H357" i="9"/>
  <c r="Z462" i="9"/>
  <c r="Q357" i="9"/>
  <c r="K462" i="9"/>
  <c r="H53" i="9"/>
  <c r="P53" i="9"/>
  <c r="X53" i="9"/>
  <c r="Z357" i="9"/>
  <c r="S462" i="9"/>
  <c r="I53" i="9"/>
  <c r="Q53" i="9"/>
  <c r="Y53" i="9"/>
  <c r="AA462" i="9"/>
  <c r="B53" i="9"/>
  <c r="J53" i="9"/>
  <c r="R53" i="9"/>
  <c r="Z53" i="9"/>
  <c r="F140" i="9"/>
  <c r="C53" i="9"/>
  <c r="K53" i="9"/>
  <c r="S53" i="9"/>
  <c r="AA53" i="9"/>
  <c r="D53" i="9"/>
  <c r="L53" i="9"/>
  <c r="T53" i="9"/>
  <c r="AB53" i="9"/>
  <c r="E53" i="9"/>
  <c r="M53" i="9"/>
  <c r="U53" i="9"/>
  <c r="AC53" i="9"/>
  <c r="F53" i="9"/>
  <c r="N53" i="9"/>
  <c r="V53" i="9"/>
  <c r="C462" i="9"/>
  <c r="K139" i="9"/>
  <c r="P461" i="9"/>
  <c r="E52" i="9"/>
  <c r="M52" i="9"/>
  <c r="U52" i="9"/>
  <c r="AC52" i="9"/>
  <c r="X461" i="9"/>
  <c r="F52" i="9"/>
  <c r="N52" i="9"/>
  <c r="V52" i="9"/>
  <c r="H461" i="9"/>
  <c r="B355" i="9"/>
  <c r="B51" i="9"/>
  <c r="J51" i="9"/>
  <c r="R51" i="9"/>
  <c r="Z51" i="9"/>
  <c r="C51" i="9"/>
  <c r="K51" i="9"/>
  <c r="S51" i="9"/>
  <c r="AA51" i="9"/>
  <c r="D51" i="9"/>
  <c r="L51" i="9"/>
  <c r="T51" i="9"/>
  <c r="AB51" i="9"/>
  <c r="E51" i="9"/>
  <c r="M51" i="9"/>
  <c r="U51" i="9"/>
  <c r="AC51" i="9"/>
  <c r="F51" i="9"/>
  <c r="N51" i="9"/>
  <c r="V51" i="9"/>
  <c r="G51" i="9"/>
  <c r="O51" i="9"/>
  <c r="W51" i="9"/>
  <c r="I138" i="9"/>
  <c r="Z459" i="9"/>
  <c r="G50" i="9"/>
  <c r="O50" i="9"/>
  <c r="W50" i="9"/>
  <c r="H50" i="9"/>
  <c r="P50" i="9"/>
  <c r="X50" i="9"/>
  <c r="I50" i="9"/>
  <c r="Q50" i="9"/>
  <c r="Y50" i="9"/>
  <c r="B50" i="9"/>
  <c r="J50" i="9"/>
  <c r="R50" i="9"/>
  <c r="Z50" i="9"/>
  <c r="C50" i="9"/>
  <c r="K50" i="9"/>
  <c r="S50" i="9"/>
  <c r="AA50" i="9"/>
  <c r="D50" i="9"/>
  <c r="L50" i="9"/>
  <c r="T50" i="9"/>
  <c r="AB50" i="9"/>
  <c r="J459" i="9"/>
  <c r="E50" i="9"/>
  <c r="M50" i="9"/>
  <c r="U50" i="9"/>
  <c r="AC50" i="9"/>
  <c r="F50" i="9"/>
  <c r="N50" i="9"/>
  <c r="V50" i="9"/>
  <c r="A497" i="9"/>
  <c r="A505" i="9"/>
  <c r="A494" i="9"/>
  <c r="A502" i="9"/>
  <c r="A491" i="9"/>
  <c r="A507" i="9"/>
  <c r="A496" i="9"/>
  <c r="A400" i="9"/>
  <c r="A397" i="9"/>
  <c r="A386" i="9"/>
  <c r="A402" i="9"/>
  <c r="A391" i="9"/>
  <c r="A283" i="9"/>
  <c r="A291" i="9"/>
  <c r="A280" i="9"/>
  <c r="A288" i="9"/>
  <c r="A277" i="9"/>
  <c r="A293" i="9"/>
  <c r="A294" i="9"/>
  <c r="A186" i="9"/>
  <c r="A183" i="9"/>
  <c r="A172" i="9"/>
  <c r="A180" i="9"/>
  <c r="A169" i="9"/>
  <c r="A185" i="9"/>
  <c r="A69" i="9"/>
  <c r="A77" i="9"/>
  <c r="A66" i="9"/>
  <c r="A74" i="9"/>
  <c r="A80" i="9"/>
  <c r="A63" i="9"/>
  <c r="A79" i="9"/>
  <c r="A392" i="13"/>
  <c r="A400" i="13"/>
  <c r="A389" i="13"/>
  <c r="A397" i="13"/>
  <c r="A386" i="13"/>
  <c r="A402" i="13"/>
  <c r="A391" i="13"/>
  <c r="A294" i="13"/>
  <c r="A283" i="13"/>
  <c r="A280" i="13"/>
  <c r="A293" i="13"/>
  <c r="A175" i="13"/>
  <c r="A172" i="13"/>
  <c r="A169" i="13"/>
  <c r="A185" i="13"/>
  <c r="A174" i="13"/>
  <c r="A80" i="13"/>
  <c r="A69" i="13"/>
  <c r="A77" i="13"/>
  <c r="A66" i="13"/>
  <c r="A74" i="13"/>
  <c r="A63" i="13"/>
  <c r="A79" i="13"/>
  <c r="N370" i="9"/>
  <c r="U46" i="13"/>
  <c r="I44" i="13"/>
  <c r="I260" i="13" s="1"/>
  <c r="R44" i="13"/>
  <c r="R369" i="13" s="1"/>
  <c r="AA44" i="13"/>
  <c r="D47" i="13"/>
  <c r="M47" i="13"/>
  <c r="V47" i="13"/>
  <c r="J44" i="13"/>
  <c r="J369" i="13" s="1"/>
  <c r="S44" i="13"/>
  <c r="S260" i="13" s="1"/>
  <c r="AB44" i="13"/>
  <c r="E47" i="13"/>
  <c r="N47" i="13"/>
  <c r="W47" i="13"/>
  <c r="B44" i="13"/>
  <c r="B369" i="13" s="1"/>
  <c r="K44" i="13"/>
  <c r="K260" i="13" s="1"/>
  <c r="T44" i="13"/>
  <c r="T369" i="13" s="1"/>
  <c r="AC44" i="13"/>
  <c r="F47" i="13"/>
  <c r="O47" i="13"/>
  <c r="X47" i="13"/>
  <c r="AC137" i="13"/>
  <c r="U137" i="13"/>
  <c r="M137" i="13"/>
  <c r="E137" i="13"/>
  <c r="AB137" i="13"/>
  <c r="T137" i="13"/>
  <c r="L137" i="13"/>
  <c r="D137" i="13"/>
  <c r="Z137" i="13"/>
  <c r="R137" i="13"/>
  <c r="J137" i="13"/>
  <c r="B137" i="13"/>
  <c r="Y137" i="13"/>
  <c r="Q137" i="13"/>
  <c r="I137" i="13"/>
  <c r="W137" i="13"/>
  <c r="O137" i="13"/>
  <c r="G137" i="13"/>
  <c r="P137" i="13"/>
  <c r="N137" i="13"/>
  <c r="K137" i="13"/>
  <c r="H137" i="13"/>
  <c r="AA137" i="13"/>
  <c r="F137" i="13"/>
  <c r="X137" i="13"/>
  <c r="C137" i="13"/>
  <c r="V137" i="13"/>
  <c r="S137" i="13"/>
  <c r="O141" i="13"/>
  <c r="C44" i="13"/>
  <c r="C260" i="13" s="1"/>
  <c r="L44" i="13"/>
  <c r="L260" i="13" s="1"/>
  <c r="G47" i="13"/>
  <c r="P47" i="13"/>
  <c r="Z47" i="13"/>
  <c r="D44" i="13"/>
  <c r="D152" i="13" s="1"/>
  <c r="M44" i="13"/>
  <c r="M369" i="13" s="1"/>
  <c r="V44" i="13"/>
  <c r="V368" i="13" s="1"/>
  <c r="H47" i="13"/>
  <c r="R47" i="13"/>
  <c r="R84" i="13" s="1"/>
  <c r="AA47" i="13"/>
  <c r="AA84" i="13" s="1"/>
  <c r="V140" i="13"/>
  <c r="N140" i="13"/>
  <c r="F140" i="13"/>
  <c r="AC140" i="13"/>
  <c r="U140" i="13"/>
  <c r="M140" i="13"/>
  <c r="E140" i="13"/>
  <c r="AA140" i="13"/>
  <c r="S140" i="13"/>
  <c r="K140" i="13"/>
  <c r="C140" i="13"/>
  <c r="Z140" i="13"/>
  <c r="R140" i="13"/>
  <c r="J140" i="13"/>
  <c r="X140" i="13"/>
  <c r="P140" i="13"/>
  <c r="H140" i="13"/>
  <c r="O140" i="13"/>
  <c r="L140" i="13"/>
  <c r="I140" i="13"/>
  <c r="AB140" i="13"/>
  <c r="G140" i="13"/>
  <c r="Y140" i="13"/>
  <c r="D140" i="13"/>
  <c r="W140" i="13"/>
  <c r="T140" i="13"/>
  <c r="Q140" i="13"/>
  <c r="E44" i="13"/>
  <c r="N44" i="13"/>
  <c r="N46" i="13" s="1"/>
  <c r="J47" i="13"/>
  <c r="S47" i="13"/>
  <c r="W44" i="13"/>
  <c r="O44" i="13"/>
  <c r="O369" i="13" s="1"/>
  <c r="G44" i="13"/>
  <c r="G368" i="13" s="1"/>
  <c r="Y47" i="13"/>
  <c r="Q47" i="13"/>
  <c r="I47" i="13"/>
  <c r="F44" i="13"/>
  <c r="P44" i="13"/>
  <c r="P369" i="13" s="1"/>
  <c r="Y44" i="13"/>
  <c r="Y260" i="13" s="1"/>
  <c r="B47" i="13"/>
  <c r="K47" i="13"/>
  <c r="T47" i="13"/>
  <c r="AC47" i="13"/>
  <c r="H44" i="13"/>
  <c r="Q44" i="13"/>
  <c r="Q368" i="13" s="1"/>
  <c r="Z44" i="13"/>
  <c r="Z152" i="13" s="1"/>
  <c r="C47" i="13"/>
  <c r="L47" i="13"/>
  <c r="AA139" i="13"/>
  <c r="S139" i="13"/>
  <c r="K139" i="13"/>
  <c r="C139" i="13"/>
  <c r="Z139" i="13"/>
  <c r="R139" i="13"/>
  <c r="J139" i="13"/>
  <c r="B139" i="13"/>
  <c r="X139" i="13"/>
  <c r="P139" i="13"/>
  <c r="H139" i="13"/>
  <c r="W139" i="13"/>
  <c r="O139" i="13"/>
  <c r="G139" i="13"/>
  <c r="AC139" i="13"/>
  <c r="U139" i="13"/>
  <c r="M139" i="13"/>
  <c r="E139" i="13"/>
  <c r="X143" i="13"/>
  <c r="W143" i="13"/>
  <c r="O143" i="13"/>
  <c r="G143" i="13"/>
  <c r="V143" i="13"/>
  <c r="N143" i="13"/>
  <c r="F143" i="13"/>
  <c r="U143" i="13"/>
  <c r="M143" i="13"/>
  <c r="E143" i="13"/>
  <c r="AC143" i="13"/>
  <c r="T143" i="13"/>
  <c r="L143" i="13"/>
  <c r="D143" i="13"/>
  <c r="AB143" i="13"/>
  <c r="S143" i="13"/>
  <c r="K143" i="13"/>
  <c r="C143" i="13"/>
  <c r="Z143" i="13"/>
  <c r="Q143" i="13"/>
  <c r="I143" i="13"/>
  <c r="K138" i="13"/>
  <c r="D139" i="13"/>
  <c r="Y139" i="13"/>
  <c r="G141" i="13"/>
  <c r="AB141" i="13"/>
  <c r="R142" i="13"/>
  <c r="J143" i="13"/>
  <c r="N144" i="13"/>
  <c r="O145" i="13"/>
  <c r="U146" i="13"/>
  <c r="Y148" i="13"/>
  <c r="P148" i="13"/>
  <c r="G148" i="13"/>
  <c r="X148" i="13"/>
  <c r="O148" i="13"/>
  <c r="F148" i="13"/>
  <c r="W148" i="13"/>
  <c r="N148" i="13"/>
  <c r="E148" i="13"/>
  <c r="U148" i="13"/>
  <c r="K148" i="13"/>
  <c r="B148" i="13"/>
  <c r="F139" i="13"/>
  <c r="AB139" i="13"/>
  <c r="J141" i="13"/>
  <c r="P144" i="13"/>
  <c r="U145" i="13"/>
  <c r="E150" i="13"/>
  <c r="X138" i="13"/>
  <c r="P138" i="13"/>
  <c r="H138" i="13"/>
  <c r="W138" i="13"/>
  <c r="O138" i="13"/>
  <c r="G138" i="13"/>
  <c r="AC138" i="13"/>
  <c r="U138" i="13"/>
  <c r="M138" i="13"/>
  <c r="E138" i="13"/>
  <c r="AB138" i="13"/>
  <c r="T138" i="13"/>
  <c r="L138" i="13"/>
  <c r="D138" i="13"/>
  <c r="Z138" i="13"/>
  <c r="R138" i="13"/>
  <c r="J138" i="13"/>
  <c r="B138" i="13"/>
  <c r="AB142" i="13"/>
  <c r="T142" i="13"/>
  <c r="L142" i="13"/>
  <c r="D142" i="13"/>
  <c r="AA142" i="13"/>
  <c r="S142" i="13"/>
  <c r="K142" i="13"/>
  <c r="C142" i="13"/>
  <c r="Y142" i="13"/>
  <c r="Q142" i="13"/>
  <c r="I142" i="13"/>
  <c r="X142" i="13"/>
  <c r="P142" i="13"/>
  <c r="H142" i="13"/>
  <c r="V142" i="13"/>
  <c r="N142" i="13"/>
  <c r="F142" i="13"/>
  <c r="Y146" i="13"/>
  <c r="Q146" i="13"/>
  <c r="I146" i="13"/>
  <c r="AA146" i="13"/>
  <c r="R146" i="13"/>
  <c r="H146" i="13"/>
  <c r="Z146" i="13"/>
  <c r="P146" i="13"/>
  <c r="G146" i="13"/>
  <c r="X146" i="13"/>
  <c r="O146" i="13"/>
  <c r="F146" i="13"/>
  <c r="W146" i="13"/>
  <c r="N146" i="13"/>
  <c r="E146" i="13"/>
  <c r="V146" i="13"/>
  <c r="M146" i="13"/>
  <c r="D146" i="13"/>
  <c r="AC146" i="13"/>
  <c r="T146" i="13"/>
  <c r="K146" i="13"/>
  <c r="B146" i="13"/>
  <c r="U152" i="13"/>
  <c r="Q138" i="13"/>
  <c r="I139" i="13"/>
  <c r="L141" i="13"/>
  <c r="B142" i="13"/>
  <c r="W142" i="13"/>
  <c r="R143" i="13"/>
  <c r="W144" i="13"/>
  <c r="F149" i="13"/>
  <c r="G150" i="13"/>
  <c r="S138" i="13"/>
  <c r="L139" i="13"/>
  <c r="E142" i="13"/>
  <c r="Z142" i="13"/>
  <c r="Y143" i="13"/>
  <c r="H148" i="13"/>
  <c r="I149" i="13"/>
  <c r="Y141" i="13"/>
  <c r="Q141" i="13"/>
  <c r="I141" i="13"/>
  <c r="X141" i="13"/>
  <c r="P141" i="13"/>
  <c r="H141" i="13"/>
  <c r="V141" i="13"/>
  <c r="N141" i="13"/>
  <c r="F141" i="13"/>
  <c r="AC141" i="13"/>
  <c r="U141" i="13"/>
  <c r="M141" i="13"/>
  <c r="E141" i="13"/>
  <c r="AA141" i="13"/>
  <c r="S141" i="13"/>
  <c r="K141" i="13"/>
  <c r="C141" i="13"/>
  <c r="V145" i="13"/>
  <c r="N145" i="13"/>
  <c r="F145" i="13"/>
  <c r="AC145" i="13"/>
  <c r="T145" i="13"/>
  <c r="K145" i="13"/>
  <c r="B145" i="13"/>
  <c r="AB145" i="13"/>
  <c r="S145" i="13"/>
  <c r="J145" i="13"/>
  <c r="AA145" i="13"/>
  <c r="R145" i="13"/>
  <c r="I145" i="13"/>
  <c r="Z145" i="13"/>
  <c r="Q145" i="13"/>
  <c r="H145" i="13"/>
  <c r="Y145" i="13"/>
  <c r="P145" i="13"/>
  <c r="G145" i="13"/>
  <c r="W145" i="13"/>
  <c r="M145" i="13"/>
  <c r="D145" i="13"/>
  <c r="Z150" i="13"/>
  <c r="R150" i="13"/>
  <c r="AB150" i="13"/>
  <c r="S150" i="13"/>
  <c r="J150" i="13"/>
  <c r="B150" i="13"/>
  <c r="W150" i="13"/>
  <c r="M150" i="13"/>
  <c r="D150" i="13"/>
  <c r="V150" i="13"/>
  <c r="L150" i="13"/>
  <c r="C150" i="13"/>
  <c r="U150" i="13"/>
  <c r="K150" i="13"/>
  <c r="T150" i="13"/>
  <c r="I150" i="13"/>
  <c r="AC150" i="13"/>
  <c r="Q150" i="13"/>
  <c r="H150" i="13"/>
  <c r="Y150" i="13"/>
  <c r="O150" i="13"/>
  <c r="F150" i="13"/>
  <c r="X153" i="13"/>
  <c r="X190" i="13" s="1"/>
  <c r="V138" i="13"/>
  <c r="N139" i="13"/>
  <c r="R141" i="13"/>
  <c r="G142" i="13"/>
  <c r="AC142" i="13"/>
  <c r="AA143" i="13"/>
  <c r="C146" i="13"/>
  <c r="J148" i="13"/>
  <c r="P149" i="13"/>
  <c r="P150" i="13"/>
  <c r="C138" i="13"/>
  <c r="Y138" i="13"/>
  <c r="Q139" i="13"/>
  <c r="T141" i="13"/>
  <c r="J142" i="13"/>
  <c r="C145" i="13"/>
  <c r="J146" i="13"/>
  <c r="Q148" i="13"/>
  <c r="AA144" i="13"/>
  <c r="S144" i="13"/>
  <c r="K144" i="13"/>
  <c r="C144" i="13"/>
  <c r="V144" i="13"/>
  <c r="M144" i="13"/>
  <c r="D144" i="13"/>
  <c r="U144" i="13"/>
  <c r="L144" i="13"/>
  <c r="B144" i="13"/>
  <c r="AC144" i="13"/>
  <c r="T144" i="13"/>
  <c r="J144" i="13"/>
  <c r="AB144" i="13"/>
  <c r="R144" i="13"/>
  <c r="I144" i="13"/>
  <c r="Z144" i="13"/>
  <c r="Q144" i="13"/>
  <c r="H144" i="13"/>
  <c r="X144" i="13"/>
  <c r="O144" i="13"/>
  <c r="F144" i="13"/>
  <c r="W149" i="13"/>
  <c r="O149" i="13"/>
  <c r="G149" i="13"/>
  <c r="X149" i="13"/>
  <c r="N149" i="13"/>
  <c r="E149" i="13"/>
  <c r="V149" i="13"/>
  <c r="M149" i="13"/>
  <c r="D149" i="13"/>
  <c r="U149" i="13"/>
  <c r="L149" i="13"/>
  <c r="C149" i="13"/>
  <c r="AC149" i="13"/>
  <c r="T149" i="13"/>
  <c r="K149" i="13"/>
  <c r="B149" i="13"/>
  <c r="AB149" i="13"/>
  <c r="S149" i="13"/>
  <c r="J149" i="13"/>
  <c r="Z149" i="13"/>
  <c r="Q149" i="13"/>
  <c r="H149" i="13"/>
  <c r="F138" i="13"/>
  <c r="AA138" i="13"/>
  <c r="T139" i="13"/>
  <c r="B141" i="13"/>
  <c r="W141" i="13"/>
  <c r="M142" i="13"/>
  <c r="B143" i="13"/>
  <c r="E144" i="13"/>
  <c r="E145" i="13"/>
  <c r="L146" i="13"/>
  <c r="S148" i="13"/>
  <c r="Y149" i="13"/>
  <c r="AA150" i="13"/>
  <c r="I138" i="13"/>
  <c r="V139" i="13"/>
  <c r="D141" i="13"/>
  <c r="Z141" i="13"/>
  <c r="O142" i="13"/>
  <c r="H143" i="13"/>
  <c r="G144" i="13"/>
  <c r="L145" i="13"/>
  <c r="S146" i="13"/>
  <c r="Z148" i="13"/>
  <c r="AA149" i="13"/>
  <c r="AB148" i="13"/>
  <c r="T148" i="13"/>
  <c r="L148" i="13"/>
  <c r="D148" i="13"/>
  <c r="I148" i="13"/>
  <c r="R148" i="13"/>
  <c r="AA148" i="13"/>
  <c r="AC246" i="13"/>
  <c r="U246" i="13"/>
  <c r="M246" i="13"/>
  <c r="E246" i="13"/>
  <c r="AA246" i="13"/>
  <c r="S246" i="13"/>
  <c r="K246" i="13"/>
  <c r="C246" i="13"/>
  <c r="X246" i="13"/>
  <c r="N246" i="13"/>
  <c r="B246" i="13"/>
  <c r="W246" i="13"/>
  <c r="L246" i="13"/>
  <c r="V246" i="13"/>
  <c r="J246" i="13"/>
  <c r="T246" i="13"/>
  <c r="I246" i="13"/>
  <c r="R246" i="13"/>
  <c r="H246" i="13"/>
  <c r="AB246" i="13"/>
  <c r="Q246" i="13"/>
  <c r="G246" i="13"/>
  <c r="Z246" i="13"/>
  <c r="P246" i="13"/>
  <c r="F246" i="13"/>
  <c r="Y246" i="13"/>
  <c r="O246" i="13"/>
  <c r="D246" i="13"/>
  <c r="C148" i="13"/>
  <c r="M148" i="13"/>
  <c r="V148" i="13"/>
  <c r="Z245" i="13"/>
  <c r="R245" i="13"/>
  <c r="J245" i="13"/>
  <c r="B245" i="13"/>
  <c r="X245" i="13"/>
  <c r="P245" i="13"/>
  <c r="H245" i="13"/>
  <c r="U245" i="13"/>
  <c r="K245" i="13"/>
  <c r="T245" i="13"/>
  <c r="I245" i="13"/>
  <c r="AC245" i="13"/>
  <c r="S245" i="13"/>
  <c r="G245" i="13"/>
  <c r="AB245" i="13"/>
  <c r="Q245" i="13"/>
  <c r="F245" i="13"/>
  <c r="AA245" i="13"/>
  <c r="O245" i="13"/>
  <c r="E245" i="13"/>
  <c r="Y245" i="13"/>
  <c r="N245" i="13"/>
  <c r="D245" i="13"/>
  <c r="W245" i="13"/>
  <c r="M245" i="13"/>
  <c r="C245" i="13"/>
  <c r="V245" i="13"/>
  <c r="L245" i="13"/>
  <c r="X247" i="13"/>
  <c r="P247" i="13"/>
  <c r="H247" i="13"/>
  <c r="V247" i="13"/>
  <c r="N247" i="13"/>
  <c r="F247" i="13"/>
  <c r="AA247" i="13"/>
  <c r="Q247" i="13"/>
  <c r="E247" i="13"/>
  <c r="Z247" i="13"/>
  <c r="O247" i="13"/>
  <c r="D247" i="13"/>
  <c r="Y247" i="13"/>
  <c r="M247" i="13"/>
  <c r="C247" i="13"/>
  <c r="W247" i="13"/>
  <c r="L247" i="13"/>
  <c r="B247" i="13"/>
  <c r="U247" i="13"/>
  <c r="K247" i="13"/>
  <c r="T247" i="13"/>
  <c r="J247" i="13"/>
  <c r="AC247" i="13"/>
  <c r="S247" i="13"/>
  <c r="I247" i="13"/>
  <c r="AB247" i="13"/>
  <c r="R247" i="13"/>
  <c r="G247" i="13"/>
  <c r="AA250" i="13"/>
  <c r="S250" i="13"/>
  <c r="K250" i="13"/>
  <c r="C250" i="13"/>
  <c r="AC250" i="13"/>
  <c r="T250" i="13"/>
  <c r="J250" i="13"/>
  <c r="Z250" i="13"/>
  <c r="Q250" i="13"/>
  <c r="H250" i="13"/>
  <c r="Y250" i="13"/>
  <c r="N250" i="13"/>
  <c r="B250" i="13"/>
  <c r="X250" i="13"/>
  <c r="M250" i="13"/>
  <c r="W250" i="13"/>
  <c r="L250" i="13"/>
  <c r="V250" i="13"/>
  <c r="I250" i="13"/>
  <c r="U250" i="13"/>
  <c r="G250" i="13"/>
  <c r="R250" i="13"/>
  <c r="F250" i="13"/>
  <c r="P250" i="13"/>
  <c r="E250" i="13"/>
  <c r="AB250" i="13"/>
  <c r="O250" i="13"/>
  <c r="D250" i="13"/>
  <c r="W248" i="13"/>
  <c r="V251" i="13"/>
  <c r="N251" i="13"/>
  <c r="F251" i="13"/>
  <c r="AA251" i="13"/>
  <c r="R251" i="13"/>
  <c r="I251" i="13"/>
  <c r="Y251" i="13"/>
  <c r="P251" i="13"/>
  <c r="G251" i="13"/>
  <c r="U251" i="13"/>
  <c r="J251" i="13"/>
  <c r="T251" i="13"/>
  <c r="H251" i="13"/>
  <c r="S251" i="13"/>
  <c r="E251" i="13"/>
  <c r="AC251" i="13"/>
  <c r="Q251" i="13"/>
  <c r="D251" i="13"/>
  <c r="AB251" i="13"/>
  <c r="O251" i="13"/>
  <c r="C251" i="13"/>
  <c r="Z251" i="13"/>
  <c r="M251" i="13"/>
  <c r="B251" i="13"/>
  <c r="X251" i="13"/>
  <c r="L251" i="13"/>
  <c r="W251" i="13"/>
  <c r="K251" i="13"/>
  <c r="W254" i="13"/>
  <c r="O254" i="13"/>
  <c r="G254" i="13"/>
  <c r="Z254" i="13"/>
  <c r="Q254" i="13"/>
  <c r="H254" i="13"/>
  <c r="U254" i="13"/>
  <c r="L254" i="13"/>
  <c r="C254" i="13"/>
  <c r="AB254" i="13"/>
  <c r="S254" i="13"/>
  <c r="J254" i="13"/>
  <c r="H248" i="13"/>
  <c r="T248" i="13"/>
  <c r="K249" i="13"/>
  <c r="W249" i="13"/>
  <c r="E252" i="13"/>
  <c r="R252" i="13"/>
  <c r="AC252" i="13"/>
  <c r="M253" i="13"/>
  <c r="Z253" i="13"/>
  <c r="K254" i="13"/>
  <c r="Y254" i="13"/>
  <c r="I256" i="13"/>
  <c r="AB256" i="13"/>
  <c r="Q257" i="13"/>
  <c r="F261" i="13"/>
  <c r="X261" i="13"/>
  <c r="U260" i="13"/>
  <c r="J248" i="13"/>
  <c r="U248" i="13"/>
  <c r="B249" i="13"/>
  <c r="M249" i="13"/>
  <c r="G252" i="13"/>
  <c r="S252" i="13"/>
  <c r="O253" i="13"/>
  <c r="M254" i="13"/>
  <c r="AA254" i="13"/>
  <c r="L256" i="13"/>
  <c r="S257" i="13"/>
  <c r="G261" i="13"/>
  <c r="V249" i="13"/>
  <c r="N249" i="13"/>
  <c r="F249" i="13"/>
  <c r="AB249" i="13"/>
  <c r="T249" i="13"/>
  <c r="L249" i="13"/>
  <c r="D249" i="13"/>
  <c r="AB253" i="13"/>
  <c r="T253" i="13"/>
  <c r="L253" i="13"/>
  <c r="D253" i="13"/>
  <c r="AA253" i="13"/>
  <c r="R253" i="13"/>
  <c r="W253" i="13"/>
  <c r="N253" i="13"/>
  <c r="E253" i="13"/>
  <c r="U253" i="13"/>
  <c r="K253" i="13"/>
  <c r="B253" i="13"/>
  <c r="Z261" i="13"/>
  <c r="R261" i="13"/>
  <c r="J261" i="13"/>
  <c r="B261" i="13"/>
  <c r="AB261" i="13"/>
  <c r="S261" i="13"/>
  <c r="I261" i="13"/>
  <c r="AA261" i="13"/>
  <c r="AA298" i="13" s="1"/>
  <c r="Q261" i="13"/>
  <c r="H261" i="13"/>
  <c r="V261" i="13"/>
  <c r="M261" i="13"/>
  <c r="D261" i="13"/>
  <c r="AC261" i="13"/>
  <c r="T261" i="13"/>
  <c r="K261" i="13"/>
  <c r="L248" i="13"/>
  <c r="V248" i="13"/>
  <c r="C249" i="13"/>
  <c r="O249" i="13"/>
  <c r="Y249" i="13"/>
  <c r="H252" i="13"/>
  <c r="T252" i="13"/>
  <c r="C253" i="13"/>
  <c r="P253" i="13"/>
  <c r="N254" i="13"/>
  <c r="AC254" i="13"/>
  <c r="M256" i="13"/>
  <c r="B257" i="13"/>
  <c r="T257" i="13"/>
  <c r="L261" i="13"/>
  <c r="B248" i="13"/>
  <c r="M248" i="13"/>
  <c r="E249" i="13"/>
  <c r="P249" i="13"/>
  <c r="Z249" i="13"/>
  <c r="J252" i="13"/>
  <c r="F253" i="13"/>
  <c r="Q253" i="13"/>
  <c r="N256" i="13"/>
  <c r="C257" i="13"/>
  <c r="N261" i="13"/>
  <c r="AA248" i="13"/>
  <c r="S248" i="13"/>
  <c r="K248" i="13"/>
  <c r="C248" i="13"/>
  <c r="Y248" i="13"/>
  <c r="Q248" i="13"/>
  <c r="I248" i="13"/>
  <c r="Y252" i="13"/>
  <c r="Q252" i="13"/>
  <c r="I252" i="13"/>
  <c r="X252" i="13"/>
  <c r="O252" i="13"/>
  <c r="F252" i="13"/>
  <c r="V252" i="13"/>
  <c r="M252" i="13"/>
  <c r="D252" i="13"/>
  <c r="AC257" i="13"/>
  <c r="U257" i="13"/>
  <c r="M257" i="13"/>
  <c r="E257" i="13"/>
  <c r="X257" i="13"/>
  <c r="O257" i="13"/>
  <c r="F257" i="13"/>
  <c r="W257" i="13"/>
  <c r="N257" i="13"/>
  <c r="D257" i="13"/>
  <c r="AA257" i="13"/>
  <c r="R257" i="13"/>
  <c r="I257" i="13"/>
  <c r="Y257" i="13"/>
  <c r="P257" i="13"/>
  <c r="G257" i="13"/>
  <c r="D248" i="13"/>
  <c r="N248" i="13"/>
  <c r="X248" i="13"/>
  <c r="G249" i="13"/>
  <c r="Q249" i="13"/>
  <c r="AA249" i="13"/>
  <c r="K252" i="13"/>
  <c r="W252" i="13"/>
  <c r="G253" i="13"/>
  <c r="S253" i="13"/>
  <c r="D254" i="13"/>
  <c r="R254" i="13"/>
  <c r="C256" i="13"/>
  <c r="S256" i="13"/>
  <c r="H257" i="13"/>
  <c r="Z257" i="13"/>
  <c r="O261" i="13"/>
  <c r="E248" i="13"/>
  <c r="O248" i="13"/>
  <c r="Z248" i="13"/>
  <c r="H249" i="13"/>
  <c r="R249" i="13"/>
  <c r="AC249" i="13"/>
  <c r="L252" i="13"/>
  <c r="Z252" i="13"/>
  <c r="H253" i="13"/>
  <c r="V253" i="13"/>
  <c r="E254" i="13"/>
  <c r="T254" i="13"/>
  <c r="D256" i="13"/>
  <c r="J257" i="13"/>
  <c r="AB257" i="13"/>
  <c r="P261" i="13"/>
  <c r="Z256" i="13"/>
  <c r="R256" i="13"/>
  <c r="J256" i="13"/>
  <c r="B256" i="13"/>
  <c r="Y256" i="13"/>
  <c r="P256" i="13"/>
  <c r="X256" i="13"/>
  <c r="O256" i="13"/>
  <c r="F256" i="13"/>
  <c r="AC256" i="13"/>
  <c r="T256" i="13"/>
  <c r="K256" i="13"/>
  <c r="AA256" i="13"/>
  <c r="Q256" i="13"/>
  <c r="H256" i="13"/>
  <c r="F248" i="13"/>
  <c r="P248" i="13"/>
  <c r="AB248" i="13"/>
  <c r="I249" i="13"/>
  <c r="S249" i="13"/>
  <c r="B252" i="13"/>
  <c r="N252" i="13"/>
  <c r="AA252" i="13"/>
  <c r="I253" i="13"/>
  <c r="X253" i="13"/>
  <c r="E256" i="13"/>
  <c r="V256" i="13"/>
  <c r="K257" i="13"/>
  <c r="C261" i="13"/>
  <c r="G248" i="13"/>
  <c r="R248" i="13"/>
  <c r="AC248" i="13"/>
  <c r="J249" i="13"/>
  <c r="U249" i="13"/>
  <c r="C252" i="13"/>
  <c r="P252" i="13"/>
  <c r="AB252" i="13"/>
  <c r="J253" i="13"/>
  <c r="Y253" i="13"/>
  <c r="I254" i="13"/>
  <c r="X254" i="13"/>
  <c r="G256" i="13"/>
  <c r="W256" i="13"/>
  <c r="L257" i="13"/>
  <c r="E261" i="13"/>
  <c r="W261" i="13"/>
  <c r="X357" i="13"/>
  <c r="P357" i="13"/>
  <c r="H357" i="13"/>
  <c r="W357" i="13"/>
  <c r="O357" i="13"/>
  <c r="G357" i="13"/>
  <c r="V357" i="13"/>
  <c r="N357" i="13"/>
  <c r="F357" i="13"/>
  <c r="AC357" i="13"/>
  <c r="U357" i="13"/>
  <c r="M357" i="13"/>
  <c r="E357" i="13"/>
  <c r="AB357" i="13"/>
  <c r="T357" i="13"/>
  <c r="L357" i="13"/>
  <c r="D357" i="13"/>
  <c r="AA357" i="13"/>
  <c r="S357" i="13"/>
  <c r="K357" i="13"/>
  <c r="C357" i="13"/>
  <c r="Z357" i="13"/>
  <c r="R357" i="13"/>
  <c r="J357" i="13"/>
  <c r="B357" i="13"/>
  <c r="Y357" i="13"/>
  <c r="Q357" i="13"/>
  <c r="I357" i="13"/>
  <c r="AC356" i="13"/>
  <c r="U356" i="13"/>
  <c r="M356" i="13"/>
  <c r="E356" i="13"/>
  <c r="AB356" i="13"/>
  <c r="T356" i="13"/>
  <c r="L356" i="13"/>
  <c r="D356" i="13"/>
  <c r="AA356" i="13"/>
  <c r="S356" i="13"/>
  <c r="K356" i="13"/>
  <c r="C356" i="13"/>
  <c r="Z356" i="13"/>
  <c r="R356" i="13"/>
  <c r="J356" i="13"/>
  <c r="B356" i="13"/>
  <c r="Y356" i="13"/>
  <c r="Q356" i="13"/>
  <c r="I356" i="13"/>
  <c r="X356" i="13"/>
  <c r="P356" i="13"/>
  <c r="H356" i="13"/>
  <c r="W356" i="13"/>
  <c r="O356" i="13"/>
  <c r="G356" i="13"/>
  <c r="V356" i="13"/>
  <c r="N356" i="13"/>
  <c r="F356" i="13"/>
  <c r="Z365" i="13"/>
  <c r="H365" i="13"/>
  <c r="Q365" i="13"/>
  <c r="R360" i="13"/>
  <c r="G359" i="13"/>
  <c r="X354" i="13"/>
  <c r="P354" i="13"/>
  <c r="H354" i="13"/>
  <c r="Z355" i="13"/>
  <c r="R355" i="13"/>
  <c r="J355" i="13"/>
  <c r="B355" i="13"/>
  <c r="Y355" i="13"/>
  <c r="Q355" i="13"/>
  <c r="I355" i="13"/>
  <c r="X355" i="13"/>
  <c r="P355" i="13"/>
  <c r="H355" i="13"/>
  <c r="W355" i="13"/>
  <c r="O355" i="13"/>
  <c r="G355" i="13"/>
  <c r="V355" i="13"/>
  <c r="N355" i="13"/>
  <c r="F355" i="13"/>
  <c r="AC355" i="13"/>
  <c r="U355" i="13"/>
  <c r="M355" i="13"/>
  <c r="E355" i="13"/>
  <c r="AB355" i="13"/>
  <c r="T355" i="13"/>
  <c r="L355" i="13"/>
  <c r="D355" i="13"/>
  <c r="AA355" i="13"/>
  <c r="S355" i="13"/>
  <c r="C355" i="13"/>
  <c r="Y360" i="13"/>
  <c r="Q360" i="13"/>
  <c r="I360" i="13"/>
  <c r="X360" i="13"/>
  <c r="P360" i="13"/>
  <c r="H360" i="13"/>
  <c r="W360" i="13"/>
  <c r="O360" i="13"/>
  <c r="G360" i="13"/>
  <c r="V360" i="13"/>
  <c r="N360" i="13"/>
  <c r="F360" i="13"/>
  <c r="AC360" i="13"/>
  <c r="U360" i="13"/>
  <c r="M360" i="13"/>
  <c r="E360" i="13"/>
  <c r="AB360" i="13"/>
  <c r="T360" i="13"/>
  <c r="L360" i="13"/>
  <c r="D360" i="13"/>
  <c r="AA360" i="13"/>
  <c r="S360" i="13"/>
  <c r="K360" i="13"/>
  <c r="C360" i="13"/>
  <c r="J360" i="13"/>
  <c r="B360" i="13"/>
  <c r="X365" i="13"/>
  <c r="W359" i="13"/>
  <c r="W354" i="13"/>
  <c r="AA358" i="13"/>
  <c r="D358" i="13"/>
  <c r="V359" i="13"/>
  <c r="Z363" i="13"/>
  <c r="R363" i="13"/>
  <c r="J363" i="13"/>
  <c r="B363" i="13"/>
  <c r="I354" i="13"/>
  <c r="Q354" i="13"/>
  <c r="Y354" i="13"/>
  <c r="E358" i="13"/>
  <c r="M358" i="13"/>
  <c r="U358" i="13"/>
  <c r="AC358" i="13"/>
  <c r="H359" i="13"/>
  <c r="P359" i="13"/>
  <c r="X359" i="13"/>
  <c r="F361" i="13"/>
  <c r="N361" i="13"/>
  <c r="W361" i="13"/>
  <c r="C362" i="13"/>
  <c r="L362" i="13"/>
  <c r="U362" i="13"/>
  <c r="K363" i="13"/>
  <c r="T363" i="13"/>
  <c r="AC363" i="13"/>
  <c r="I365" i="13"/>
  <c r="R365" i="13"/>
  <c r="AA365" i="13"/>
  <c r="G366" i="13"/>
  <c r="S366" i="13"/>
  <c r="AC366" i="13"/>
  <c r="Q370" i="13"/>
  <c r="U369" i="13"/>
  <c r="B354" i="13"/>
  <c r="J354" i="13"/>
  <c r="R354" i="13"/>
  <c r="Z354" i="13"/>
  <c r="F358" i="13"/>
  <c r="N358" i="13"/>
  <c r="V358" i="13"/>
  <c r="I359" i="13"/>
  <c r="Q359" i="13"/>
  <c r="Y359" i="13"/>
  <c r="G361" i="13"/>
  <c r="O361" i="13"/>
  <c r="X361" i="13"/>
  <c r="D362" i="13"/>
  <c r="M362" i="13"/>
  <c r="C363" i="13"/>
  <c r="L363" i="13"/>
  <c r="U363" i="13"/>
  <c r="J365" i="13"/>
  <c r="S365" i="13"/>
  <c r="AB365" i="13"/>
  <c r="J366" i="13"/>
  <c r="T366" i="13"/>
  <c r="B370" i="13"/>
  <c r="R370" i="13"/>
  <c r="W362" i="13"/>
  <c r="O362" i="13"/>
  <c r="G362" i="13"/>
  <c r="X370" i="13"/>
  <c r="P370" i="13"/>
  <c r="H370" i="13"/>
  <c r="V370" i="13"/>
  <c r="N370" i="13"/>
  <c r="F370" i="13"/>
  <c r="AC370" i="13"/>
  <c r="U370" i="13"/>
  <c r="M370" i="13"/>
  <c r="E370" i="13"/>
  <c r="AA370" i="13"/>
  <c r="S370" i="13"/>
  <c r="K370" i="13"/>
  <c r="C370" i="13"/>
  <c r="C354" i="13"/>
  <c r="K354" i="13"/>
  <c r="S354" i="13"/>
  <c r="AA354" i="13"/>
  <c r="G358" i="13"/>
  <c r="O358" i="13"/>
  <c r="W358" i="13"/>
  <c r="B359" i="13"/>
  <c r="J359" i="13"/>
  <c r="R359" i="13"/>
  <c r="Z359" i="13"/>
  <c r="H361" i="13"/>
  <c r="P361" i="13"/>
  <c r="Y361" i="13"/>
  <c r="E362" i="13"/>
  <c r="N362" i="13"/>
  <c r="X362" i="13"/>
  <c r="D363" i="13"/>
  <c r="M363" i="13"/>
  <c r="V363" i="13"/>
  <c r="B365" i="13"/>
  <c r="K365" i="13"/>
  <c r="T365" i="13"/>
  <c r="K366" i="13"/>
  <c r="U366" i="13"/>
  <c r="D370" i="13"/>
  <c r="T370" i="13"/>
  <c r="D354" i="13"/>
  <c r="L354" i="13"/>
  <c r="T354" i="13"/>
  <c r="AB354" i="13"/>
  <c r="H358" i="13"/>
  <c r="P358" i="13"/>
  <c r="X358" i="13"/>
  <c r="C359" i="13"/>
  <c r="K359" i="13"/>
  <c r="S359" i="13"/>
  <c r="AA359" i="13"/>
  <c r="I361" i="13"/>
  <c r="Q361" i="13"/>
  <c r="F362" i="13"/>
  <c r="P362" i="13"/>
  <c r="Y362" i="13"/>
  <c r="E363" i="13"/>
  <c r="N363" i="13"/>
  <c r="W363" i="13"/>
  <c r="C365" i="13"/>
  <c r="L365" i="13"/>
  <c r="V365" i="13"/>
  <c r="B366" i="13"/>
  <c r="L366" i="13"/>
  <c r="G370" i="13"/>
  <c r="W370" i="13"/>
  <c r="AB361" i="13"/>
  <c r="T361" i="13"/>
  <c r="Y366" i="13"/>
  <c r="Q366" i="13"/>
  <c r="I366" i="13"/>
  <c r="X366" i="13"/>
  <c r="P366" i="13"/>
  <c r="H366" i="13"/>
  <c r="E354" i="13"/>
  <c r="M354" i="13"/>
  <c r="U354" i="13"/>
  <c r="AC354" i="13"/>
  <c r="I358" i="13"/>
  <c r="Q358" i="13"/>
  <c r="Y358" i="13"/>
  <c r="D359" i="13"/>
  <c r="L359" i="13"/>
  <c r="T359" i="13"/>
  <c r="AB359" i="13"/>
  <c r="B361" i="13"/>
  <c r="J361" i="13"/>
  <c r="R361" i="13"/>
  <c r="AA361" i="13"/>
  <c r="H362" i="13"/>
  <c r="Q362" i="13"/>
  <c r="Z362" i="13"/>
  <c r="F363" i="13"/>
  <c r="O363" i="13"/>
  <c r="X363" i="13"/>
  <c r="D365" i="13"/>
  <c r="N365" i="13"/>
  <c r="W365" i="13"/>
  <c r="C366" i="13"/>
  <c r="M366" i="13"/>
  <c r="W366" i="13"/>
  <c r="I370" i="13"/>
  <c r="Y370" i="13"/>
  <c r="F354" i="13"/>
  <c r="N354" i="13"/>
  <c r="V354" i="13"/>
  <c r="B358" i="13"/>
  <c r="J358" i="13"/>
  <c r="R358" i="13"/>
  <c r="Z358" i="13"/>
  <c r="E359" i="13"/>
  <c r="M359" i="13"/>
  <c r="U359" i="13"/>
  <c r="AC359" i="13"/>
  <c r="C361" i="13"/>
  <c r="K361" i="13"/>
  <c r="S361" i="13"/>
  <c r="AC361" i="13"/>
  <c r="I362" i="13"/>
  <c r="R362" i="13"/>
  <c r="AA362" i="13"/>
  <c r="G363" i="13"/>
  <c r="P363" i="13"/>
  <c r="Y363" i="13"/>
  <c r="F365" i="13"/>
  <c r="O365" i="13"/>
  <c r="D366" i="13"/>
  <c r="N366" i="13"/>
  <c r="Z366" i="13"/>
  <c r="J370" i="13"/>
  <c r="Z370" i="13"/>
  <c r="AC365" i="13"/>
  <c r="U365" i="13"/>
  <c r="M365" i="13"/>
  <c r="E365" i="13"/>
  <c r="G354" i="13"/>
  <c r="O354" i="13"/>
  <c r="C358" i="13"/>
  <c r="K358" i="13"/>
  <c r="S358" i="13"/>
  <c r="F359" i="13"/>
  <c r="N359" i="13"/>
  <c r="D361" i="13"/>
  <c r="L361" i="13"/>
  <c r="U361" i="13"/>
  <c r="J362" i="13"/>
  <c r="S362" i="13"/>
  <c r="AB362" i="13"/>
  <c r="H363" i="13"/>
  <c r="Q363" i="13"/>
  <c r="AA363" i="13"/>
  <c r="G365" i="13"/>
  <c r="P365" i="13"/>
  <c r="Y365" i="13"/>
  <c r="E366" i="13"/>
  <c r="O366" i="13"/>
  <c r="AA366" i="13"/>
  <c r="U368" i="13"/>
  <c r="L370" i="13"/>
  <c r="T139" i="9"/>
  <c r="V44" i="9"/>
  <c r="Y138" i="9"/>
  <c r="X142" i="9"/>
  <c r="W137" i="9"/>
  <c r="O137" i="9"/>
  <c r="G137" i="9"/>
  <c r="AB137" i="9"/>
  <c r="T137" i="9"/>
  <c r="L137" i="9"/>
  <c r="D137" i="9"/>
  <c r="AA137" i="9"/>
  <c r="S137" i="9"/>
  <c r="K137" i="9"/>
  <c r="C137" i="9"/>
  <c r="Z137" i="9"/>
  <c r="R137" i="9"/>
  <c r="J137" i="9"/>
  <c r="B137" i="9"/>
  <c r="Y137" i="9"/>
  <c r="Q137" i="9"/>
  <c r="I137" i="9"/>
  <c r="X137" i="9"/>
  <c r="P137" i="9"/>
  <c r="H137" i="9"/>
  <c r="AC137" i="9"/>
  <c r="V137" i="9"/>
  <c r="U137" i="9"/>
  <c r="N137" i="9"/>
  <c r="M137" i="9"/>
  <c r="F137" i="9"/>
  <c r="AA141" i="9"/>
  <c r="S141" i="9"/>
  <c r="K141" i="9"/>
  <c r="C141" i="9"/>
  <c r="X141" i="9"/>
  <c r="P141" i="9"/>
  <c r="H141" i="9"/>
  <c r="W141" i="9"/>
  <c r="O141" i="9"/>
  <c r="G141" i="9"/>
  <c r="V141" i="9"/>
  <c r="N141" i="9"/>
  <c r="F141" i="9"/>
  <c r="AC141" i="9"/>
  <c r="U141" i="9"/>
  <c r="M141" i="9"/>
  <c r="E141" i="9"/>
  <c r="AB141" i="9"/>
  <c r="T141" i="9"/>
  <c r="L141" i="9"/>
  <c r="D141" i="9"/>
  <c r="B141" i="9"/>
  <c r="Z141" i="9"/>
  <c r="Y141" i="9"/>
  <c r="R141" i="9"/>
  <c r="Q141" i="9"/>
  <c r="J141" i="9"/>
  <c r="AA145" i="9"/>
  <c r="S145" i="9"/>
  <c r="K145" i="9"/>
  <c r="C145" i="9"/>
  <c r="U145" i="9"/>
  <c r="L145" i="9"/>
  <c r="B145" i="9"/>
  <c r="AC145" i="9"/>
  <c r="T145" i="9"/>
  <c r="J145" i="9"/>
  <c r="Z145" i="9"/>
  <c r="Q145" i="9"/>
  <c r="H145" i="9"/>
  <c r="Y145" i="9"/>
  <c r="P145" i="9"/>
  <c r="G145" i="9"/>
  <c r="X145" i="9"/>
  <c r="O145" i="9"/>
  <c r="F145" i="9"/>
  <c r="W145" i="9"/>
  <c r="N145" i="9"/>
  <c r="E145" i="9"/>
  <c r="V145" i="9"/>
  <c r="M145" i="9"/>
  <c r="D145" i="9"/>
  <c r="AB145" i="9"/>
  <c r="R145" i="9"/>
  <c r="I145" i="9"/>
  <c r="I141" i="9"/>
  <c r="H138" i="9"/>
  <c r="N140" i="9"/>
  <c r="F142" i="9"/>
  <c r="P138" i="9"/>
  <c r="L139" i="9"/>
  <c r="O142" i="9"/>
  <c r="Q146" i="9"/>
  <c r="X140" i="9"/>
  <c r="P140" i="9"/>
  <c r="H140" i="9"/>
  <c r="AC140" i="9"/>
  <c r="U140" i="9"/>
  <c r="M140" i="9"/>
  <c r="E140" i="9"/>
  <c r="AB140" i="9"/>
  <c r="T140" i="9"/>
  <c r="L140" i="9"/>
  <c r="D140" i="9"/>
  <c r="AA140" i="9"/>
  <c r="S140" i="9"/>
  <c r="K140" i="9"/>
  <c r="C140" i="9"/>
  <c r="Z140" i="9"/>
  <c r="R140" i="9"/>
  <c r="J140" i="9"/>
  <c r="B140" i="9"/>
  <c r="Y140" i="9"/>
  <c r="Q140" i="9"/>
  <c r="I140" i="9"/>
  <c r="X144" i="9"/>
  <c r="P144" i="9"/>
  <c r="H144" i="9"/>
  <c r="V144" i="9"/>
  <c r="M144" i="9"/>
  <c r="D144" i="9"/>
  <c r="AB144" i="9"/>
  <c r="S144" i="9"/>
  <c r="J144" i="9"/>
  <c r="AA144" i="9"/>
  <c r="R144" i="9"/>
  <c r="I144" i="9"/>
  <c r="Z144" i="9"/>
  <c r="Q144" i="9"/>
  <c r="G144" i="9"/>
  <c r="Y144" i="9"/>
  <c r="O144" i="9"/>
  <c r="F144" i="9"/>
  <c r="W144" i="9"/>
  <c r="N144" i="9"/>
  <c r="E144" i="9"/>
  <c r="AB149" i="9"/>
  <c r="T149" i="9"/>
  <c r="L149" i="9"/>
  <c r="D149" i="9"/>
  <c r="X149" i="9"/>
  <c r="O149" i="9"/>
  <c r="F149" i="9"/>
  <c r="W149" i="9"/>
  <c r="N149" i="9"/>
  <c r="E149" i="9"/>
  <c r="U149" i="9"/>
  <c r="K149" i="9"/>
  <c r="B149" i="9"/>
  <c r="AC149" i="9"/>
  <c r="S149" i="9"/>
  <c r="J149" i="9"/>
  <c r="AA149" i="9"/>
  <c r="R149" i="9"/>
  <c r="I149" i="9"/>
  <c r="Z149" i="9"/>
  <c r="Q149" i="9"/>
  <c r="H149" i="9"/>
  <c r="Y149" i="9"/>
  <c r="P149" i="9"/>
  <c r="G149" i="9"/>
  <c r="Q138" i="9"/>
  <c r="S139" i="9"/>
  <c r="O140" i="9"/>
  <c r="W142" i="9"/>
  <c r="AC144" i="9"/>
  <c r="V149" i="9"/>
  <c r="X138" i="9"/>
  <c r="V140" i="9"/>
  <c r="AC139" i="9"/>
  <c r="U139" i="9"/>
  <c r="M139" i="9"/>
  <c r="E139" i="9"/>
  <c r="Z139" i="9"/>
  <c r="R139" i="9"/>
  <c r="J139" i="9"/>
  <c r="B139" i="9"/>
  <c r="Y139" i="9"/>
  <c r="Q139" i="9"/>
  <c r="I139" i="9"/>
  <c r="X139" i="9"/>
  <c r="P139" i="9"/>
  <c r="H139" i="9"/>
  <c r="W139" i="9"/>
  <c r="O139" i="9"/>
  <c r="G139" i="9"/>
  <c r="V139" i="9"/>
  <c r="N139" i="9"/>
  <c r="F139" i="9"/>
  <c r="Y148" i="9"/>
  <c r="Q148" i="9"/>
  <c r="I148" i="9"/>
  <c r="Z148" i="9"/>
  <c r="P148" i="9"/>
  <c r="G148" i="9"/>
  <c r="X148" i="9"/>
  <c r="O148" i="9"/>
  <c r="F148" i="9"/>
  <c r="V148" i="9"/>
  <c r="M148" i="9"/>
  <c r="D148" i="9"/>
  <c r="U148" i="9"/>
  <c r="L148" i="9"/>
  <c r="C148" i="9"/>
  <c r="AC148" i="9"/>
  <c r="T148" i="9"/>
  <c r="K148" i="9"/>
  <c r="B148" i="9"/>
  <c r="AB148" i="9"/>
  <c r="S148" i="9"/>
  <c r="J148" i="9"/>
  <c r="AA148" i="9"/>
  <c r="R148" i="9"/>
  <c r="H148" i="9"/>
  <c r="AA139" i="9"/>
  <c r="W140" i="9"/>
  <c r="B144" i="9"/>
  <c r="E148" i="9"/>
  <c r="AB139" i="9"/>
  <c r="C144" i="9"/>
  <c r="N148" i="9"/>
  <c r="Z138" i="9"/>
  <c r="R138" i="9"/>
  <c r="J138" i="9"/>
  <c r="B138" i="9"/>
  <c r="W138" i="9"/>
  <c r="O138" i="9"/>
  <c r="G138" i="9"/>
  <c r="V138" i="9"/>
  <c r="N138" i="9"/>
  <c r="F138" i="9"/>
  <c r="AC138" i="9"/>
  <c r="U138" i="9"/>
  <c r="M138" i="9"/>
  <c r="E138" i="9"/>
  <c r="AB138" i="9"/>
  <c r="T138" i="9"/>
  <c r="L138" i="9"/>
  <c r="D138" i="9"/>
  <c r="AA138" i="9"/>
  <c r="S138" i="9"/>
  <c r="K138" i="9"/>
  <c r="C138" i="9"/>
  <c r="Z142" i="9"/>
  <c r="R142" i="9"/>
  <c r="J142" i="9"/>
  <c r="B142" i="9"/>
  <c r="Y142" i="9"/>
  <c r="P142" i="9"/>
  <c r="G142" i="9"/>
  <c r="V142" i="9"/>
  <c r="M142" i="9"/>
  <c r="D142" i="9"/>
  <c r="U142" i="9"/>
  <c r="L142" i="9"/>
  <c r="C142" i="9"/>
  <c r="AC142" i="9"/>
  <c r="T142" i="9"/>
  <c r="K142" i="9"/>
  <c r="AB142" i="9"/>
  <c r="S142" i="9"/>
  <c r="I142" i="9"/>
  <c r="AA142" i="9"/>
  <c r="Q142" i="9"/>
  <c r="H142" i="9"/>
  <c r="V146" i="9"/>
  <c r="N146" i="9"/>
  <c r="F146" i="9"/>
  <c r="AB146" i="9"/>
  <c r="S146" i="9"/>
  <c r="J146" i="9"/>
  <c r="AA146" i="9"/>
  <c r="R146" i="9"/>
  <c r="I146" i="9"/>
  <c r="Y146" i="9"/>
  <c r="P146" i="9"/>
  <c r="G146" i="9"/>
  <c r="X146" i="9"/>
  <c r="O146" i="9"/>
  <c r="E146" i="9"/>
  <c r="W146" i="9"/>
  <c r="M146" i="9"/>
  <c r="D146" i="9"/>
  <c r="U146" i="9"/>
  <c r="L146" i="9"/>
  <c r="C146" i="9"/>
  <c r="AC146" i="9"/>
  <c r="T146" i="9"/>
  <c r="K146" i="9"/>
  <c r="B146" i="9"/>
  <c r="C139" i="9"/>
  <c r="E142" i="9"/>
  <c r="K144" i="9"/>
  <c r="W148" i="9"/>
  <c r="E150" i="9"/>
  <c r="N150" i="9"/>
  <c r="X150" i="9"/>
  <c r="X190" i="9" s="1"/>
  <c r="J153" i="9"/>
  <c r="S153" i="9"/>
  <c r="AB153" i="9"/>
  <c r="F150" i="9"/>
  <c r="P150" i="9"/>
  <c r="Y150" i="9"/>
  <c r="B153" i="9"/>
  <c r="K153" i="9"/>
  <c r="T153" i="9"/>
  <c r="AC153" i="9"/>
  <c r="V247" i="9"/>
  <c r="H150" i="9"/>
  <c r="Q150" i="9"/>
  <c r="C153" i="9"/>
  <c r="L153" i="9"/>
  <c r="W150" i="9"/>
  <c r="O150" i="9"/>
  <c r="G150" i="9"/>
  <c r="Y153" i="9"/>
  <c r="Q153" i="9"/>
  <c r="I153" i="9"/>
  <c r="I150" i="9"/>
  <c r="R150" i="9"/>
  <c r="AA150" i="9"/>
  <c r="D153" i="9"/>
  <c r="M153" i="9"/>
  <c r="V153" i="9"/>
  <c r="AA246" i="9"/>
  <c r="J150" i="9"/>
  <c r="S150" i="9"/>
  <c r="AB150" i="9"/>
  <c r="E153" i="9"/>
  <c r="N153" i="9"/>
  <c r="W153" i="9"/>
  <c r="Z245" i="9"/>
  <c r="R245" i="9"/>
  <c r="J245" i="9"/>
  <c r="B245" i="9"/>
  <c r="Y245" i="9"/>
  <c r="Q245" i="9"/>
  <c r="I245" i="9"/>
  <c r="W245" i="9"/>
  <c r="O245" i="9"/>
  <c r="G245" i="9"/>
  <c r="V245" i="9"/>
  <c r="N245" i="9"/>
  <c r="F245" i="9"/>
  <c r="AC245" i="9"/>
  <c r="U245" i="9"/>
  <c r="M245" i="9"/>
  <c r="E245" i="9"/>
  <c r="AB245" i="9"/>
  <c r="T245" i="9"/>
  <c r="L245" i="9"/>
  <c r="D245" i="9"/>
  <c r="X245" i="9"/>
  <c r="S245" i="9"/>
  <c r="P245" i="9"/>
  <c r="K245" i="9"/>
  <c r="H245" i="9"/>
  <c r="C245" i="9"/>
  <c r="AA245" i="9"/>
  <c r="V249" i="9"/>
  <c r="N249" i="9"/>
  <c r="F249" i="9"/>
  <c r="AC249" i="9"/>
  <c r="U249" i="9"/>
  <c r="M249" i="9"/>
  <c r="E249" i="9"/>
  <c r="AA249" i="9"/>
  <c r="S249" i="9"/>
  <c r="K249" i="9"/>
  <c r="C249" i="9"/>
  <c r="Z249" i="9"/>
  <c r="R249" i="9"/>
  <c r="J249" i="9"/>
  <c r="B249" i="9"/>
  <c r="Y249" i="9"/>
  <c r="Q249" i="9"/>
  <c r="I249" i="9"/>
  <c r="X249" i="9"/>
  <c r="P249" i="9"/>
  <c r="H249" i="9"/>
  <c r="AB249" i="9"/>
  <c r="W249" i="9"/>
  <c r="T249" i="9"/>
  <c r="O249" i="9"/>
  <c r="L249" i="9"/>
  <c r="G249" i="9"/>
  <c r="D249" i="9"/>
  <c r="Z253" i="9"/>
  <c r="R253" i="9"/>
  <c r="J253" i="9"/>
  <c r="B253" i="9"/>
  <c r="Y253" i="9"/>
  <c r="Q253" i="9"/>
  <c r="I253" i="9"/>
  <c r="W253" i="9"/>
  <c r="O253" i="9"/>
  <c r="G253" i="9"/>
  <c r="V253" i="9"/>
  <c r="N253" i="9"/>
  <c r="F253" i="9"/>
  <c r="AC253" i="9"/>
  <c r="U253" i="9"/>
  <c r="M253" i="9"/>
  <c r="E253" i="9"/>
  <c r="AB253" i="9"/>
  <c r="T253" i="9"/>
  <c r="L253" i="9"/>
  <c r="D253" i="9"/>
  <c r="X253" i="9"/>
  <c r="S253" i="9"/>
  <c r="P253" i="9"/>
  <c r="K253" i="9"/>
  <c r="H253" i="9"/>
  <c r="C253" i="9"/>
  <c r="AA253" i="9"/>
  <c r="D150" i="9"/>
  <c r="M150" i="9"/>
  <c r="V150" i="9"/>
  <c r="H153" i="9"/>
  <c r="R153" i="9"/>
  <c r="AA153" i="9"/>
  <c r="AA248" i="9"/>
  <c r="S248" i="9"/>
  <c r="K248" i="9"/>
  <c r="C248" i="9"/>
  <c r="Z248" i="9"/>
  <c r="R248" i="9"/>
  <c r="J248" i="9"/>
  <c r="B248" i="9"/>
  <c r="X248" i="9"/>
  <c r="P248" i="9"/>
  <c r="H248" i="9"/>
  <c r="W248" i="9"/>
  <c r="O248" i="9"/>
  <c r="G248" i="9"/>
  <c r="V248" i="9"/>
  <c r="N248" i="9"/>
  <c r="F248" i="9"/>
  <c r="AC248" i="9"/>
  <c r="U248" i="9"/>
  <c r="M248" i="9"/>
  <c r="E248" i="9"/>
  <c r="AB248" i="9"/>
  <c r="Y248" i="9"/>
  <c r="T248" i="9"/>
  <c r="Q248" i="9"/>
  <c r="L248" i="9"/>
  <c r="I248" i="9"/>
  <c r="D248" i="9"/>
  <c r="AC252" i="9"/>
  <c r="F261" i="9"/>
  <c r="AC246" i="9"/>
  <c r="U246" i="9"/>
  <c r="M246" i="9"/>
  <c r="E246" i="9"/>
  <c r="AB246" i="9"/>
  <c r="T246" i="9"/>
  <c r="L246" i="9"/>
  <c r="D246" i="9"/>
  <c r="Z246" i="9"/>
  <c r="R246" i="9"/>
  <c r="J246" i="9"/>
  <c r="B246" i="9"/>
  <c r="Y246" i="9"/>
  <c r="Q246" i="9"/>
  <c r="I246" i="9"/>
  <c r="X246" i="9"/>
  <c r="P246" i="9"/>
  <c r="H246" i="9"/>
  <c r="W246" i="9"/>
  <c r="O246" i="9"/>
  <c r="G246" i="9"/>
  <c r="Y250" i="9"/>
  <c r="Q250" i="9"/>
  <c r="I250" i="9"/>
  <c r="X250" i="9"/>
  <c r="P250" i="9"/>
  <c r="H250" i="9"/>
  <c r="V250" i="9"/>
  <c r="N250" i="9"/>
  <c r="F250" i="9"/>
  <c r="AC250" i="9"/>
  <c r="U250" i="9"/>
  <c r="M250" i="9"/>
  <c r="E250" i="9"/>
  <c r="AB250" i="9"/>
  <c r="T250" i="9"/>
  <c r="L250" i="9"/>
  <c r="D250" i="9"/>
  <c r="AA250" i="9"/>
  <c r="S250" i="9"/>
  <c r="K250" i="9"/>
  <c r="C250" i="9"/>
  <c r="B250" i="9"/>
  <c r="D258" i="9"/>
  <c r="I261" i="9"/>
  <c r="C246" i="9"/>
  <c r="F247" i="9"/>
  <c r="G250" i="9"/>
  <c r="E252" i="9"/>
  <c r="F256" i="9"/>
  <c r="AC354" i="9"/>
  <c r="U354" i="9"/>
  <c r="M354" i="9"/>
  <c r="E354" i="9"/>
  <c r="T354" i="9"/>
  <c r="K354" i="9"/>
  <c r="B354" i="9"/>
  <c r="AB354" i="9"/>
  <c r="S354" i="9"/>
  <c r="J354" i="9"/>
  <c r="AA354" i="9"/>
  <c r="R354" i="9"/>
  <c r="I354" i="9"/>
  <c r="Z354" i="9"/>
  <c r="Q354" i="9"/>
  <c r="H354" i="9"/>
  <c r="Y354" i="9"/>
  <c r="P354" i="9"/>
  <c r="G354" i="9"/>
  <c r="X354" i="9"/>
  <c r="O354" i="9"/>
  <c r="F354" i="9"/>
  <c r="W354" i="9"/>
  <c r="N354" i="9"/>
  <c r="D354" i="9"/>
  <c r="V354" i="9"/>
  <c r="L354" i="9"/>
  <c r="C354" i="9"/>
  <c r="Y358" i="9"/>
  <c r="Q358" i="9"/>
  <c r="I358" i="9"/>
  <c r="V358" i="9"/>
  <c r="M358" i="9"/>
  <c r="D358" i="9"/>
  <c r="U358" i="9"/>
  <c r="L358" i="9"/>
  <c r="C358" i="9"/>
  <c r="AC358" i="9"/>
  <c r="T358" i="9"/>
  <c r="K358" i="9"/>
  <c r="B358" i="9"/>
  <c r="AB358" i="9"/>
  <c r="S358" i="9"/>
  <c r="J358" i="9"/>
  <c r="AA358" i="9"/>
  <c r="R358" i="9"/>
  <c r="H358" i="9"/>
  <c r="Z358" i="9"/>
  <c r="P358" i="9"/>
  <c r="G358" i="9"/>
  <c r="X358" i="9"/>
  <c r="O358" i="9"/>
  <c r="F358" i="9"/>
  <c r="W358" i="9"/>
  <c r="N358" i="9"/>
  <c r="E358" i="9"/>
  <c r="V258" i="9"/>
  <c r="N258" i="9"/>
  <c r="N298" i="9" s="1"/>
  <c r="F258" i="9"/>
  <c r="AC258" i="9"/>
  <c r="U258" i="9"/>
  <c r="M258" i="9"/>
  <c r="E258" i="9"/>
  <c r="AA258" i="9"/>
  <c r="S258" i="9"/>
  <c r="K258" i="9"/>
  <c r="C258" i="9"/>
  <c r="Z258" i="9"/>
  <c r="R258" i="9"/>
  <c r="J258" i="9"/>
  <c r="B258" i="9"/>
  <c r="Y258" i="9"/>
  <c r="Q258" i="9"/>
  <c r="I258" i="9"/>
  <c r="X258" i="9"/>
  <c r="P258" i="9"/>
  <c r="H258" i="9"/>
  <c r="X261" i="9"/>
  <c r="P261" i="9"/>
  <c r="H261" i="9"/>
  <c r="W261" i="9"/>
  <c r="O261" i="9"/>
  <c r="G261" i="9"/>
  <c r="AC261" i="9"/>
  <c r="U261" i="9"/>
  <c r="M261" i="9"/>
  <c r="E261" i="9"/>
  <c r="AB261" i="9"/>
  <c r="T261" i="9"/>
  <c r="L261" i="9"/>
  <c r="D261" i="9"/>
  <c r="AA261" i="9"/>
  <c r="S261" i="9"/>
  <c r="K261" i="9"/>
  <c r="C261" i="9"/>
  <c r="Z261" i="9"/>
  <c r="R261" i="9"/>
  <c r="J261" i="9"/>
  <c r="B261" i="9"/>
  <c r="F246" i="9"/>
  <c r="I247" i="9"/>
  <c r="J250" i="9"/>
  <c r="H252" i="9"/>
  <c r="I256" i="9"/>
  <c r="L258" i="9"/>
  <c r="Q261" i="9"/>
  <c r="K246" i="9"/>
  <c r="N247" i="9"/>
  <c r="O250" i="9"/>
  <c r="N256" i="9"/>
  <c r="O258" i="9"/>
  <c r="V261" i="9"/>
  <c r="W252" i="9"/>
  <c r="O252" i="9"/>
  <c r="G252" i="9"/>
  <c r="V252" i="9"/>
  <c r="N252" i="9"/>
  <c r="F252" i="9"/>
  <c r="AB252" i="9"/>
  <c r="T252" i="9"/>
  <c r="L252" i="9"/>
  <c r="D252" i="9"/>
  <c r="AA252" i="9"/>
  <c r="S252" i="9"/>
  <c r="K252" i="9"/>
  <c r="C252" i="9"/>
  <c r="Z252" i="9"/>
  <c r="R252" i="9"/>
  <c r="J252" i="9"/>
  <c r="B252" i="9"/>
  <c r="Y252" i="9"/>
  <c r="Q252" i="9"/>
  <c r="I252" i="9"/>
  <c r="N246" i="9"/>
  <c r="Q247" i="9"/>
  <c r="R250" i="9"/>
  <c r="P252" i="9"/>
  <c r="Q256" i="9"/>
  <c r="T258" i="9"/>
  <c r="Y261" i="9"/>
  <c r="S246" i="9"/>
  <c r="W250" i="9"/>
  <c r="U252" i="9"/>
  <c r="V256" i="9"/>
  <c r="W258" i="9"/>
  <c r="X247" i="9"/>
  <c r="P247" i="9"/>
  <c r="H247" i="9"/>
  <c r="W247" i="9"/>
  <c r="O247" i="9"/>
  <c r="G247" i="9"/>
  <c r="AC247" i="9"/>
  <c r="U247" i="9"/>
  <c r="M247" i="9"/>
  <c r="E247" i="9"/>
  <c r="AB247" i="9"/>
  <c r="T247" i="9"/>
  <c r="L247" i="9"/>
  <c r="D247" i="9"/>
  <c r="AA247" i="9"/>
  <c r="S247" i="9"/>
  <c r="K247" i="9"/>
  <c r="C247" i="9"/>
  <c r="Z247" i="9"/>
  <c r="R247" i="9"/>
  <c r="J247" i="9"/>
  <c r="B247" i="9"/>
  <c r="X256" i="9"/>
  <c r="V246" i="9"/>
  <c r="Y247" i="9"/>
  <c r="Z250" i="9"/>
  <c r="X252" i="9"/>
  <c r="AB258" i="9"/>
  <c r="G254" i="9"/>
  <c r="O254" i="9"/>
  <c r="W254" i="9"/>
  <c r="B256" i="9"/>
  <c r="J256" i="9"/>
  <c r="R256" i="9"/>
  <c r="Z256" i="9"/>
  <c r="E257" i="9"/>
  <c r="M257" i="9"/>
  <c r="U257" i="9"/>
  <c r="AC257" i="9"/>
  <c r="V356" i="9"/>
  <c r="K355" i="9"/>
  <c r="H254" i="9"/>
  <c r="P254" i="9"/>
  <c r="X254" i="9"/>
  <c r="C256" i="9"/>
  <c r="K256" i="9"/>
  <c r="S256" i="9"/>
  <c r="AA256" i="9"/>
  <c r="F257" i="9"/>
  <c r="N257" i="9"/>
  <c r="V257" i="9"/>
  <c r="T355" i="9"/>
  <c r="I254" i="9"/>
  <c r="Q254" i="9"/>
  <c r="Y254" i="9"/>
  <c r="D256" i="9"/>
  <c r="L256" i="9"/>
  <c r="T256" i="9"/>
  <c r="AB256" i="9"/>
  <c r="G257" i="9"/>
  <c r="O257" i="9"/>
  <c r="W257" i="9"/>
  <c r="Z355" i="9"/>
  <c r="B254" i="9"/>
  <c r="J254" i="9"/>
  <c r="R254" i="9"/>
  <c r="Z254" i="9"/>
  <c r="E256" i="9"/>
  <c r="M256" i="9"/>
  <c r="U256" i="9"/>
  <c r="AC256" i="9"/>
  <c r="H257" i="9"/>
  <c r="P257" i="9"/>
  <c r="X257" i="9"/>
  <c r="AB362" i="9"/>
  <c r="T362" i="9"/>
  <c r="L362" i="9"/>
  <c r="D362" i="9"/>
  <c r="AC362" i="9"/>
  <c r="U362" i="9"/>
  <c r="M362" i="9"/>
  <c r="E362" i="9"/>
  <c r="W362" i="9"/>
  <c r="K362" i="9"/>
  <c r="V362" i="9"/>
  <c r="J362" i="9"/>
  <c r="S362" i="9"/>
  <c r="I362" i="9"/>
  <c r="R362" i="9"/>
  <c r="H362" i="9"/>
  <c r="AA362" i="9"/>
  <c r="Q362" i="9"/>
  <c r="G362" i="9"/>
  <c r="Z362" i="9"/>
  <c r="P362" i="9"/>
  <c r="F362" i="9"/>
  <c r="Y362" i="9"/>
  <c r="O362" i="9"/>
  <c r="C362" i="9"/>
  <c r="X367" i="9"/>
  <c r="P367" i="9"/>
  <c r="H367" i="9"/>
  <c r="Z367" i="9"/>
  <c r="R367" i="9"/>
  <c r="J367" i="9"/>
  <c r="B367" i="9"/>
  <c r="Y367" i="9"/>
  <c r="Q367" i="9"/>
  <c r="I367" i="9"/>
  <c r="V367" i="9"/>
  <c r="K367" i="9"/>
  <c r="U367" i="9"/>
  <c r="G367" i="9"/>
  <c r="T367" i="9"/>
  <c r="F367" i="9"/>
  <c r="S367" i="9"/>
  <c r="E367" i="9"/>
  <c r="AC367" i="9"/>
  <c r="O367" i="9"/>
  <c r="D367" i="9"/>
  <c r="AB367" i="9"/>
  <c r="N367" i="9"/>
  <c r="C367" i="9"/>
  <c r="AA367" i="9"/>
  <c r="M367" i="9"/>
  <c r="Z370" i="9"/>
  <c r="R370" i="9"/>
  <c r="J370" i="9"/>
  <c r="B370" i="9"/>
  <c r="X370" i="9"/>
  <c r="P370" i="9"/>
  <c r="H370" i="9"/>
  <c r="AB370" i="9"/>
  <c r="T370" i="9"/>
  <c r="L370" i="9"/>
  <c r="D370" i="9"/>
  <c r="AA370" i="9"/>
  <c r="S370" i="9"/>
  <c r="K370" i="9"/>
  <c r="C370" i="9"/>
  <c r="AC370" i="9"/>
  <c r="M370" i="9"/>
  <c r="Y370" i="9"/>
  <c r="I370" i="9"/>
  <c r="W370" i="9"/>
  <c r="G370" i="9"/>
  <c r="V370" i="9"/>
  <c r="F370" i="9"/>
  <c r="U370" i="9"/>
  <c r="E370" i="9"/>
  <c r="Q370" i="9"/>
  <c r="O370" i="9"/>
  <c r="I356" i="9"/>
  <c r="B362" i="9"/>
  <c r="W367" i="9"/>
  <c r="D254" i="9"/>
  <c r="L254" i="9"/>
  <c r="T254" i="9"/>
  <c r="AB254" i="9"/>
  <c r="G256" i="9"/>
  <c r="O256" i="9"/>
  <c r="W256" i="9"/>
  <c r="B257" i="9"/>
  <c r="J257" i="9"/>
  <c r="R257" i="9"/>
  <c r="Z257" i="9"/>
  <c r="R356" i="9"/>
  <c r="N362" i="9"/>
  <c r="E254" i="9"/>
  <c r="M254" i="9"/>
  <c r="U254" i="9"/>
  <c r="H256" i="9"/>
  <c r="P256" i="9"/>
  <c r="C257" i="9"/>
  <c r="K257" i="9"/>
  <c r="S257" i="9"/>
  <c r="AA357" i="9"/>
  <c r="V361" i="9"/>
  <c r="X362" i="9"/>
  <c r="C355" i="9"/>
  <c r="L355" i="9"/>
  <c r="U355" i="9"/>
  <c r="J356" i="9"/>
  <c r="T356" i="9"/>
  <c r="AC356" i="9"/>
  <c r="I357" i="9"/>
  <c r="R357" i="9"/>
  <c r="E359" i="9"/>
  <c r="N359" i="9"/>
  <c r="W359" i="9"/>
  <c r="L361" i="9"/>
  <c r="F363" i="9"/>
  <c r="R363" i="9"/>
  <c r="AB363" i="9"/>
  <c r="I365" i="9"/>
  <c r="V365" i="9"/>
  <c r="D366" i="9"/>
  <c r="V357" i="9"/>
  <c r="N357" i="9"/>
  <c r="F357" i="9"/>
  <c r="Y361" i="9"/>
  <c r="Q361" i="9"/>
  <c r="I361" i="9"/>
  <c r="Z361" i="9"/>
  <c r="R361" i="9"/>
  <c r="J361" i="9"/>
  <c r="B361" i="9"/>
  <c r="AC366" i="9"/>
  <c r="U366" i="9"/>
  <c r="M366" i="9"/>
  <c r="E366" i="9"/>
  <c r="W366" i="9"/>
  <c r="O366" i="9"/>
  <c r="G366" i="9"/>
  <c r="V366" i="9"/>
  <c r="N366" i="9"/>
  <c r="F366" i="9"/>
  <c r="D355" i="9"/>
  <c r="M355" i="9"/>
  <c r="V355" i="9"/>
  <c r="B356" i="9"/>
  <c r="L356" i="9"/>
  <c r="U356" i="9"/>
  <c r="J357" i="9"/>
  <c r="S357" i="9"/>
  <c r="AB357" i="9"/>
  <c r="F359" i="9"/>
  <c r="O359" i="9"/>
  <c r="X359" i="9"/>
  <c r="C361" i="9"/>
  <c r="M361" i="9"/>
  <c r="W361" i="9"/>
  <c r="I363" i="9"/>
  <c r="S363" i="9"/>
  <c r="AC363" i="9"/>
  <c r="L365" i="9"/>
  <c r="W365" i="9"/>
  <c r="H366" i="9"/>
  <c r="S366" i="9"/>
  <c r="E355" i="9"/>
  <c r="N355" i="9"/>
  <c r="W355" i="9"/>
  <c r="D356" i="9"/>
  <c r="M356" i="9"/>
  <c r="B357" i="9"/>
  <c r="K357" i="9"/>
  <c r="T357" i="9"/>
  <c r="AC357" i="9"/>
  <c r="G359" i="9"/>
  <c r="P359" i="9"/>
  <c r="Y359" i="9"/>
  <c r="D361" i="9"/>
  <c r="N361" i="9"/>
  <c r="X361" i="9"/>
  <c r="J363" i="9"/>
  <c r="T363" i="9"/>
  <c r="M365" i="9"/>
  <c r="I366" i="9"/>
  <c r="T366" i="9"/>
  <c r="AA356" i="9"/>
  <c r="S356" i="9"/>
  <c r="K356" i="9"/>
  <c r="C356" i="9"/>
  <c r="Z365" i="9"/>
  <c r="R365" i="9"/>
  <c r="J365" i="9"/>
  <c r="B365" i="9"/>
  <c r="AB365" i="9"/>
  <c r="T365" i="9"/>
  <c r="AA365" i="9"/>
  <c r="S365" i="9"/>
  <c r="K365" i="9"/>
  <c r="C365" i="9"/>
  <c r="F355" i="9"/>
  <c r="O355" i="9"/>
  <c r="Y355" i="9"/>
  <c r="E356" i="9"/>
  <c r="N356" i="9"/>
  <c r="W356" i="9"/>
  <c r="C357" i="9"/>
  <c r="L357" i="9"/>
  <c r="U357" i="9"/>
  <c r="H359" i="9"/>
  <c r="Q359" i="9"/>
  <c r="Z359" i="9"/>
  <c r="E361" i="9"/>
  <c r="O361" i="9"/>
  <c r="AA361" i="9"/>
  <c r="K363" i="9"/>
  <c r="U363" i="9"/>
  <c r="D365" i="9"/>
  <c r="N365" i="9"/>
  <c r="Y365" i="9"/>
  <c r="J366" i="9"/>
  <c r="X366" i="9"/>
  <c r="G355" i="9"/>
  <c r="Q355" i="9"/>
  <c r="F356" i="9"/>
  <c r="O356" i="9"/>
  <c r="X356" i="9"/>
  <c r="D357" i="9"/>
  <c r="M357" i="9"/>
  <c r="W357" i="9"/>
  <c r="I359" i="9"/>
  <c r="R359" i="9"/>
  <c r="F361" i="9"/>
  <c r="P361" i="9"/>
  <c r="AB361" i="9"/>
  <c r="B363" i="9"/>
  <c r="L363" i="9"/>
  <c r="E365" i="9"/>
  <c r="O365" i="9"/>
  <c r="AC365" i="9"/>
  <c r="K366" i="9"/>
  <c r="AC460" i="9"/>
  <c r="U460" i="9"/>
  <c r="E460" i="9"/>
  <c r="M460" i="9"/>
  <c r="X355" i="9"/>
  <c r="P355" i="9"/>
  <c r="H355" i="9"/>
  <c r="AB359" i="9"/>
  <c r="T359" i="9"/>
  <c r="L359" i="9"/>
  <c r="D359" i="9"/>
  <c r="W363" i="9"/>
  <c r="O363" i="9"/>
  <c r="G363" i="9"/>
  <c r="X363" i="9"/>
  <c r="P363" i="9"/>
  <c r="H363" i="9"/>
  <c r="I355" i="9"/>
  <c r="R355" i="9"/>
  <c r="AA355" i="9"/>
  <c r="G356" i="9"/>
  <c r="P356" i="9"/>
  <c r="Y356" i="9"/>
  <c r="E357" i="9"/>
  <c r="O357" i="9"/>
  <c r="X357" i="9"/>
  <c r="J359" i="9"/>
  <c r="S359" i="9"/>
  <c r="AC359" i="9"/>
  <c r="G361" i="9"/>
  <c r="S361" i="9"/>
  <c r="AC361" i="9"/>
  <c r="C363" i="9"/>
  <c r="M363" i="9"/>
  <c r="Y363" i="9"/>
  <c r="F365" i="9"/>
  <c r="P365" i="9"/>
  <c r="L366" i="9"/>
  <c r="Z366" i="9"/>
  <c r="J355" i="9"/>
  <c r="S355" i="9"/>
  <c r="AB355" i="9"/>
  <c r="H356" i="9"/>
  <c r="Q356" i="9"/>
  <c r="Z356" i="9"/>
  <c r="G357" i="9"/>
  <c r="P357" i="9"/>
  <c r="Y357" i="9"/>
  <c r="B359" i="9"/>
  <c r="K359" i="9"/>
  <c r="U359" i="9"/>
  <c r="H361" i="9"/>
  <c r="T361" i="9"/>
  <c r="D363" i="9"/>
  <c r="N363" i="9"/>
  <c r="Z363" i="9"/>
  <c r="G365" i="9"/>
  <c r="Q365" i="9"/>
  <c r="B366" i="9"/>
  <c r="P366" i="9"/>
  <c r="AA366" i="9"/>
  <c r="Q464" i="9"/>
  <c r="I464" i="9"/>
  <c r="Y464" i="9"/>
  <c r="AC468" i="9"/>
  <c r="E468" i="9"/>
  <c r="B459" i="9"/>
  <c r="R459" i="9"/>
  <c r="Y459" i="9"/>
  <c r="AB460" i="9"/>
  <c r="X464" i="9"/>
  <c r="AB468" i="9"/>
  <c r="AA475" i="9"/>
  <c r="S475" i="9"/>
  <c r="K475" i="9"/>
  <c r="C475" i="9"/>
  <c r="Z475" i="9"/>
  <c r="R475" i="9"/>
  <c r="J475" i="9"/>
  <c r="B475" i="9"/>
  <c r="X475" i="9"/>
  <c r="P475" i="9"/>
  <c r="H475" i="9"/>
  <c r="C459" i="9"/>
  <c r="K459" i="9"/>
  <c r="S459" i="9"/>
  <c r="AA459" i="9"/>
  <c r="F460" i="9"/>
  <c r="N460" i="9"/>
  <c r="V460" i="9"/>
  <c r="I461" i="9"/>
  <c r="Q461" i="9"/>
  <c r="Y461" i="9"/>
  <c r="D462" i="9"/>
  <c r="L462" i="9"/>
  <c r="T462" i="9"/>
  <c r="AB462" i="9"/>
  <c r="G463" i="9"/>
  <c r="O463" i="9"/>
  <c r="W463" i="9"/>
  <c r="B464" i="9"/>
  <c r="J464" i="9"/>
  <c r="R464" i="9"/>
  <c r="Z464" i="9"/>
  <c r="H466" i="9"/>
  <c r="P466" i="9"/>
  <c r="X466" i="9"/>
  <c r="C467" i="9"/>
  <c r="K467" i="9"/>
  <c r="S467" i="9"/>
  <c r="AA467" i="9"/>
  <c r="F468" i="9"/>
  <c r="N468" i="9"/>
  <c r="V468" i="9"/>
  <c r="I470" i="9"/>
  <c r="Q470" i="9"/>
  <c r="Y470" i="9"/>
  <c r="D471" i="9"/>
  <c r="L471" i="9"/>
  <c r="T471" i="9"/>
  <c r="AB471" i="9"/>
  <c r="G472" i="9"/>
  <c r="O472" i="9"/>
  <c r="W472" i="9"/>
  <c r="L475" i="9"/>
  <c r="W475" i="9"/>
  <c r="D459" i="9"/>
  <c r="L459" i="9"/>
  <c r="T459" i="9"/>
  <c r="AB459" i="9"/>
  <c r="G460" i="9"/>
  <c r="O460" i="9"/>
  <c r="W460" i="9"/>
  <c r="B461" i="9"/>
  <c r="J461" i="9"/>
  <c r="R461" i="9"/>
  <c r="Z461" i="9"/>
  <c r="E462" i="9"/>
  <c r="M462" i="9"/>
  <c r="U462" i="9"/>
  <c r="AC462" i="9"/>
  <c r="H463" i="9"/>
  <c r="P463" i="9"/>
  <c r="X463" i="9"/>
  <c r="C464" i="9"/>
  <c r="K464" i="9"/>
  <c r="S464" i="9"/>
  <c r="AA464" i="9"/>
  <c r="I466" i="9"/>
  <c r="Q466" i="9"/>
  <c r="Y466" i="9"/>
  <c r="D467" i="9"/>
  <c r="L467" i="9"/>
  <c r="T467" i="9"/>
  <c r="AB467" i="9"/>
  <c r="G468" i="9"/>
  <c r="O468" i="9"/>
  <c r="W468" i="9"/>
  <c r="B470" i="9"/>
  <c r="J470" i="9"/>
  <c r="R470" i="9"/>
  <c r="Z470" i="9"/>
  <c r="E471" i="9"/>
  <c r="M471" i="9"/>
  <c r="U471" i="9"/>
  <c r="AC471" i="9"/>
  <c r="H472" i="9"/>
  <c r="P472" i="9"/>
  <c r="X472" i="9"/>
  <c r="M475" i="9"/>
  <c r="Y475" i="9"/>
  <c r="E459" i="9"/>
  <c r="M459" i="9"/>
  <c r="U459" i="9"/>
  <c r="AC459" i="9"/>
  <c r="H460" i="9"/>
  <c r="P460" i="9"/>
  <c r="X460" i="9"/>
  <c r="C461" i="9"/>
  <c r="K461" i="9"/>
  <c r="S461" i="9"/>
  <c r="AA461" i="9"/>
  <c r="F462" i="9"/>
  <c r="N462" i="9"/>
  <c r="V462" i="9"/>
  <c r="I463" i="9"/>
  <c r="Q463" i="9"/>
  <c r="Y463" i="9"/>
  <c r="D464" i="9"/>
  <c r="L464" i="9"/>
  <c r="T464" i="9"/>
  <c r="AB464" i="9"/>
  <c r="B466" i="9"/>
  <c r="J466" i="9"/>
  <c r="R466" i="9"/>
  <c r="Z466" i="9"/>
  <c r="E467" i="9"/>
  <c r="M467" i="9"/>
  <c r="U467" i="9"/>
  <c r="AC467" i="9"/>
  <c r="H468" i="9"/>
  <c r="P468" i="9"/>
  <c r="X468" i="9"/>
  <c r="C470" i="9"/>
  <c r="K470" i="9"/>
  <c r="S470" i="9"/>
  <c r="AA470" i="9"/>
  <c r="F471" i="9"/>
  <c r="N471" i="9"/>
  <c r="V471" i="9"/>
  <c r="I472" i="9"/>
  <c r="Q472" i="9"/>
  <c r="Y472" i="9"/>
  <c r="N475" i="9"/>
  <c r="AB475" i="9"/>
  <c r="F459" i="9"/>
  <c r="N459" i="9"/>
  <c r="V459" i="9"/>
  <c r="I460" i="9"/>
  <c r="Q460" i="9"/>
  <c r="Y460" i="9"/>
  <c r="D461" i="9"/>
  <c r="L461" i="9"/>
  <c r="T461" i="9"/>
  <c r="AB461" i="9"/>
  <c r="G462" i="9"/>
  <c r="O462" i="9"/>
  <c r="W462" i="9"/>
  <c r="B463" i="9"/>
  <c r="J463" i="9"/>
  <c r="R463" i="9"/>
  <c r="Z463" i="9"/>
  <c r="E464" i="9"/>
  <c r="M464" i="9"/>
  <c r="U464" i="9"/>
  <c r="AC464" i="9"/>
  <c r="C466" i="9"/>
  <c r="K466" i="9"/>
  <c r="S466" i="9"/>
  <c r="AA466" i="9"/>
  <c r="F467" i="9"/>
  <c r="N467" i="9"/>
  <c r="V467" i="9"/>
  <c r="I468" i="9"/>
  <c r="Q468" i="9"/>
  <c r="Y468" i="9"/>
  <c r="D470" i="9"/>
  <c r="L470" i="9"/>
  <c r="T470" i="9"/>
  <c r="AB470" i="9"/>
  <c r="G471" i="9"/>
  <c r="O471" i="9"/>
  <c r="W471" i="9"/>
  <c r="B472" i="9"/>
  <c r="J472" i="9"/>
  <c r="R472" i="9"/>
  <c r="Z472" i="9"/>
  <c r="D475" i="9"/>
  <c r="O475" i="9"/>
  <c r="AC475" i="9"/>
  <c r="G459" i="9"/>
  <c r="O459" i="9"/>
  <c r="W459" i="9"/>
  <c r="B460" i="9"/>
  <c r="J460" i="9"/>
  <c r="R460" i="9"/>
  <c r="Z460" i="9"/>
  <c r="E461" i="9"/>
  <c r="M461" i="9"/>
  <c r="U461" i="9"/>
  <c r="AC461" i="9"/>
  <c r="H462" i="9"/>
  <c r="P462" i="9"/>
  <c r="X462" i="9"/>
  <c r="C463" i="9"/>
  <c r="K463" i="9"/>
  <c r="S463" i="9"/>
  <c r="AA463" i="9"/>
  <c r="F464" i="9"/>
  <c r="N464" i="9"/>
  <c r="V464" i="9"/>
  <c r="D466" i="9"/>
  <c r="L466" i="9"/>
  <c r="T466" i="9"/>
  <c r="AB466" i="9"/>
  <c r="G467" i="9"/>
  <c r="O467" i="9"/>
  <c r="W467" i="9"/>
  <c r="B468" i="9"/>
  <c r="J468" i="9"/>
  <c r="R468" i="9"/>
  <c r="Z468" i="9"/>
  <c r="E470" i="9"/>
  <c r="M470" i="9"/>
  <c r="U470" i="9"/>
  <c r="AC470" i="9"/>
  <c r="H471" i="9"/>
  <c r="P471" i="9"/>
  <c r="X471" i="9"/>
  <c r="C472" i="9"/>
  <c r="K472" i="9"/>
  <c r="S472" i="9"/>
  <c r="AA472" i="9"/>
  <c r="E475" i="9"/>
  <c r="Q475" i="9"/>
  <c r="H459" i="9"/>
  <c r="P459" i="9"/>
  <c r="X459" i="9"/>
  <c r="C460" i="9"/>
  <c r="K460" i="9"/>
  <c r="S460" i="9"/>
  <c r="AA460" i="9"/>
  <c r="F461" i="9"/>
  <c r="N461" i="9"/>
  <c r="V461" i="9"/>
  <c r="I462" i="9"/>
  <c r="Q462" i="9"/>
  <c r="Y462" i="9"/>
  <c r="D463" i="9"/>
  <c r="L463" i="9"/>
  <c r="T463" i="9"/>
  <c r="AB463" i="9"/>
  <c r="G464" i="9"/>
  <c r="O464" i="9"/>
  <c r="W464" i="9"/>
  <c r="E466" i="9"/>
  <c r="M466" i="9"/>
  <c r="U466" i="9"/>
  <c r="AC466" i="9"/>
  <c r="H467" i="9"/>
  <c r="P467" i="9"/>
  <c r="X467" i="9"/>
  <c r="C468" i="9"/>
  <c r="K468" i="9"/>
  <c r="S468" i="9"/>
  <c r="AA468" i="9"/>
  <c r="F470" i="9"/>
  <c r="N470" i="9"/>
  <c r="V470" i="9"/>
  <c r="I471" i="9"/>
  <c r="Q471" i="9"/>
  <c r="Y471" i="9"/>
  <c r="D472" i="9"/>
  <c r="L472" i="9"/>
  <c r="T472" i="9"/>
  <c r="AB472" i="9"/>
  <c r="F475" i="9"/>
  <c r="T475" i="9"/>
  <c r="I459" i="9"/>
  <c r="Q459" i="9"/>
  <c r="D460" i="9"/>
  <c r="L460" i="9"/>
  <c r="T460" i="9"/>
  <c r="G461" i="9"/>
  <c r="O461" i="9"/>
  <c r="B462" i="9"/>
  <c r="J462" i="9"/>
  <c r="R462" i="9"/>
  <c r="E463" i="9"/>
  <c r="M463" i="9"/>
  <c r="U463" i="9"/>
  <c r="H464" i="9"/>
  <c r="P464" i="9"/>
  <c r="F466" i="9"/>
  <c r="N466" i="9"/>
  <c r="I467" i="9"/>
  <c r="Q467" i="9"/>
  <c r="D468" i="9"/>
  <c r="L468" i="9"/>
  <c r="T468" i="9"/>
  <c r="G470" i="9"/>
  <c r="O470" i="9"/>
  <c r="B471" i="9"/>
  <c r="J471" i="9"/>
  <c r="R471" i="9"/>
  <c r="E472" i="9"/>
  <c r="M472" i="9"/>
  <c r="U472" i="9"/>
  <c r="G475" i="9"/>
  <c r="U475" i="9"/>
  <c r="A475" i="3"/>
  <c r="A473" i="3"/>
  <c r="A510" i="3" s="1"/>
  <c r="A472" i="3"/>
  <c r="A471" i="3"/>
  <c r="A470" i="3"/>
  <c r="A468" i="3"/>
  <c r="A485" i="3" s="1"/>
  <c r="A509" i="3" s="1"/>
  <c r="A467" i="3"/>
  <c r="A466" i="3"/>
  <c r="A484" i="3" s="1"/>
  <c r="A496" i="3" s="1"/>
  <c r="A465" i="3"/>
  <c r="A483" i="3" s="1"/>
  <c r="A495" i="3" s="1"/>
  <c r="A464" i="3"/>
  <c r="A482" i="3" s="1"/>
  <c r="A506" i="3" s="1"/>
  <c r="A463" i="3"/>
  <c r="A462" i="3"/>
  <c r="A481" i="3" s="1"/>
  <c r="A493" i="3" s="1"/>
  <c r="A461" i="3"/>
  <c r="A480" i="3" s="1"/>
  <c r="A460" i="3"/>
  <c r="A479" i="3" s="1"/>
  <c r="A459" i="3"/>
  <c r="A478" i="3" s="1"/>
  <c r="AR455" i="3"/>
  <c r="AQ455" i="3"/>
  <c r="AP455" i="3"/>
  <c r="AO455" i="3"/>
  <c r="AN455" i="3"/>
  <c r="AM455" i="3"/>
  <c r="AL455" i="3"/>
  <c r="AK455" i="3"/>
  <c r="AJ455" i="3"/>
  <c r="AI455" i="3"/>
  <c r="AH455" i="3"/>
  <c r="AG455" i="3"/>
  <c r="AF455" i="3"/>
  <c r="AE455" i="3"/>
  <c r="AD455" i="3"/>
  <c r="AC455" i="3"/>
  <c r="AB455" i="3"/>
  <c r="AA455" i="3"/>
  <c r="Z455" i="3"/>
  <c r="Y455" i="3"/>
  <c r="X455" i="3"/>
  <c r="W455" i="3"/>
  <c r="V455" i="3"/>
  <c r="U455" i="3"/>
  <c r="T455" i="3"/>
  <c r="S455" i="3"/>
  <c r="R455" i="3"/>
  <c r="Q455" i="3"/>
  <c r="AR454" i="3"/>
  <c r="AQ454" i="3"/>
  <c r="AP454" i="3"/>
  <c r="AO454" i="3"/>
  <c r="AN454" i="3"/>
  <c r="AM454" i="3"/>
  <c r="AL454" i="3"/>
  <c r="AK454" i="3"/>
  <c r="AJ454" i="3"/>
  <c r="AI454" i="3"/>
  <c r="AH454" i="3"/>
  <c r="AG454" i="3"/>
  <c r="AF454" i="3"/>
  <c r="AE454" i="3"/>
  <c r="AD454" i="3"/>
  <c r="AC454" i="3"/>
  <c r="AB454" i="3"/>
  <c r="AA454" i="3"/>
  <c r="Z454" i="3"/>
  <c r="Y454" i="3"/>
  <c r="X454" i="3"/>
  <c r="W454" i="3"/>
  <c r="V454" i="3"/>
  <c r="U454" i="3"/>
  <c r="T454" i="3"/>
  <c r="S454" i="3"/>
  <c r="R454" i="3"/>
  <c r="Q454" i="3"/>
  <c r="AR453" i="3"/>
  <c r="AQ453" i="3"/>
  <c r="AP453" i="3"/>
  <c r="AO453" i="3"/>
  <c r="AN453" i="3"/>
  <c r="AM453" i="3"/>
  <c r="AL453" i="3"/>
  <c r="AK453" i="3"/>
  <c r="AJ453" i="3"/>
  <c r="AI453" i="3"/>
  <c r="AH453" i="3"/>
  <c r="AG453" i="3"/>
  <c r="AF453" i="3"/>
  <c r="AE453" i="3"/>
  <c r="AD453" i="3"/>
  <c r="AC453" i="3"/>
  <c r="AB453" i="3"/>
  <c r="AA453" i="3"/>
  <c r="Z453" i="3"/>
  <c r="Y453" i="3"/>
  <c r="X453" i="3"/>
  <c r="W453" i="3"/>
  <c r="V453" i="3"/>
  <c r="U453" i="3"/>
  <c r="T453" i="3"/>
  <c r="S453" i="3"/>
  <c r="R453" i="3"/>
  <c r="Q453" i="3"/>
  <c r="AR452" i="3"/>
  <c r="AQ452" i="3"/>
  <c r="AP452" i="3"/>
  <c r="AO452" i="3"/>
  <c r="AN452" i="3"/>
  <c r="AM452" i="3"/>
  <c r="AL452" i="3"/>
  <c r="AK452" i="3"/>
  <c r="AJ452" i="3"/>
  <c r="AI452" i="3"/>
  <c r="AH452" i="3"/>
  <c r="AG452" i="3"/>
  <c r="AF452" i="3"/>
  <c r="AE452" i="3"/>
  <c r="AD452" i="3"/>
  <c r="AC452" i="3"/>
  <c r="AB452" i="3"/>
  <c r="AA452" i="3"/>
  <c r="Z452" i="3"/>
  <c r="Y452" i="3"/>
  <c r="X452" i="3"/>
  <c r="W452" i="3"/>
  <c r="V452" i="3"/>
  <c r="U452" i="3"/>
  <c r="T452" i="3"/>
  <c r="S452" i="3"/>
  <c r="R452" i="3"/>
  <c r="Q452" i="3"/>
  <c r="AR451" i="3"/>
  <c r="AC471" i="3" s="1"/>
  <c r="AQ451" i="3"/>
  <c r="AB471" i="3" s="1"/>
  <c r="AP451" i="3"/>
  <c r="AA471" i="3" s="1"/>
  <c r="AO451" i="3"/>
  <c r="Z471" i="3" s="1"/>
  <c r="AN451" i="3"/>
  <c r="Y471" i="3" s="1"/>
  <c r="AM451" i="3"/>
  <c r="X471" i="3" s="1"/>
  <c r="AL451" i="3"/>
  <c r="W471" i="3" s="1"/>
  <c r="AK451" i="3"/>
  <c r="V471" i="3" s="1"/>
  <c r="AJ451" i="3"/>
  <c r="U471" i="3" s="1"/>
  <c r="AI451" i="3"/>
  <c r="T471" i="3" s="1"/>
  <c r="AH451" i="3"/>
  <c r="S471" i="3" s="1"/>
  <c r="AG451" i="3"/>
  <c r="R471" i="3" s="1"/>
  <c r="AF451" i="3"/>
  <c r="Q471" i="3" s="1"/>
  <c r="AE451" i="3"/>
  <c r="P471" i="3" s="1"/>
  <c r="AD451" i="3"/>
  <c r="O471" i="3" s="1"/>
  <c r="AC451" i="3"/>
  <c r="N471" i="3" s="1"/>
  <c r="AB451" i="3"/>
  <c r="M471" i="3" s="1"/>
  <c r="AA451" i="3"/>
  <c r="L471" i="3" s="1"/>
  <c r="Z451" i="3"/>
  <c r="K471" i="3" s="1"/>
  <c r="Y451" i="3"/>
  <c r="J471" i="3" s="1"/>
  <c r="X451" i="3"/>
  <c r="I471" i="3" s="1"/>
  <c r="W451" i="3"/>
  <c r="H471" i="3" s="1"/>
  <c r="V451" i="3"/>
  <c r="G471" i="3" s="1"/>
  <c r="U451" i="3"/>
  <c r="F471" i="3" s="1"/>
  <c r="T451" i="3"/>
  <c r="E471" i="3" s="1"/>
  <c r="S451" i="3"/>
  <c r="D471" i="3" s="1"/>
  <c r="R451" i="3"/>
  <c r="C471" i="3" s="1"/>
  <c r="Q451" i="3"/>
  <c r="B471" i="3" s="1"/>
  <c r="AR450" i="3"/>
  <c r="AQ450" i="3"/>
  <c r="AP450" i="3"/>
  <c r="AO450" i="3"/>
  <c r="AN450" i="3"/>
  <c r="AM450" i="3"/>
  <c r="AL450" i="3"/>
  <c r="W470" i="3" s="1"/>
  <c r="AK450" i="3"/>
  <c r="AJ450" i="3"/>
  <c r="AI450" i="3"/>
  <c r="AH450" i="3"/>
  <c r="AG450" i="3"/>
  <c r="AF450" i="3"/>
  <c r="AE450" i="3"/>
  <c r="AD450" i="3"/>
  <c r="O470" i="3" s="1"/>
  <c r="AC450" i="3"/>
  <c r="AB450" i="3"/>
  <c r="AA450" i="3"/>
  <c r="Z450" i="3"/>
  <c r="Y450" i="3"/>
  <c r="X450" i="3"/>
  <c r="W450" i="3"/>
  <c r="V450" i="3"/>
  <c r="G470" i="3" s="1"/>
  <c r="U450" i="3"/>
  <c r="T450" i="3"/>
  <c r="S450" i="3"/>
  <c r="R450" i="3"/>
  <c r="Q450" i="3"/>
  <c r="AR448" i="3"/>
  <c r="AQ448" i="3"/>
  <c r="AP448" i="3"/>
  <c r="AO448" i="3"/>
  <c r="AN448" i="3"/>
  <c r="Y468" i="3" s="1"/>
  <c r="AM448" i="3"/>
  <c r="X468" i="3" s="1"/>
  <c r="AL448" i="3"/>
  <c r="AK448" i="3"/>
  <c r="AJ448" i="3"/>
  <c r="AI448" i="3"/>
  <c r="AH448" i="3"/>
  <c r="AG448" i="3"/>
  <c r="AF448" i="3"/>
  <c r="AE448" i="3"/>
  <c r="P468" i="3" s="1"/>
  <c r="AD448" i="3"/>
  <c r="AC448" i="3"/>
  <c r="AB448" i="3"/>
  <c r="AA448" i="3"/>
  <c r="Z448" i="3"/>
  <c r="Y448" i="3"/>
  <c r="X448" i="3"/>
  <c r="I468" i="3" s="1"/>
  <c r="W448" i="3"/>
  <c r="H468" i="3" s="1"/>
  <c r="V448" i="3"/>
  <c r="U448" i="3"/>
  <c r="T448" i="3"/>
  <c r="S448" i="3"/>
  <c r="R448" i="3"/>
  <c r="Q448" i="3"/>
  <c r="AR447" i="3"/>
  <c r="AQ447" i="3"/>
  <c r="AP447" i="3"/>
  <c r="AO447" i="3"/>
  <c r="AN447" i="3"/>
  <c r="Y467" i="3" s="1"/>
  <c r="AM447" i="3"/>
  <c r="AL447" i="3"/>
  <c r="AK447" i="3"/>
  <c r="AJ447" i="3"/>
  <c r="AI447" i="3"/>
  <c r="AH447" i="3"/>
  <c r="AG447" i="3"/>
  <c r="AF447" i="3"/>
  <c r="Q467" i="3" s="1"/>
  <c r="AE447" i="3"/>
  <c r="AD447" i="3"/>
  <c r="AC447" i="3"/>
  <c r="AB447" i="3"/>
  <c r="AA447" i="3"/>
  <c r="Z447" i="3"/>
  <c r="Y447" i="3"/>
  <c r="X447" i="3"/>
  <c r="I467" i="3" s="1"/>
  <c r="W447" i="3"/>
  <c r="V447" i="3"/>
  <c r="U447" i="3"/>
  <c r="T447" i="3"/>
  <c r="S447" i="3"/>
  <c r="R447" i="3"/>
  <c r="Q447" i="3"/>
  <c r="AR446" i="3"/>
  <c r="AC466" i="3" s="1"/>
  <c r="AQ446" i="3"/>
  <c r="AB466" i="3" s="1"/>
  <c r="AP446" i="3"/>
  <c r="AA466" i="3" s="1"/>
  <c r="AO446" i="3"/>
  <c r="Z466" i="3" s="1"/>
  <c r="AN446" i="3"/>
  <c r="Y466" i="3" s="1"/>
  <c r="AM446" i="3"/>
  <c r="X466" i="3" s="1"/>
  <c r="AL446" i="3"/>
  <c r="W466" i="3" s="1"/>
  <c r="AK446" i="3"/>
  <c r="V466" i="3" s="1"/>
  <c r="AJ446" i="3"/>
  <c r="U466" i="3" s="1"/>
  <c r="AI446" i="3"/>
  <c r="T466" i="3" s="1"/>
  <c r="AH446" i="3"/>
  <c r="S466" i="3" s="1"/>
  <c r="AG446" i="3"/>
  <c r="R466" i="3" s="1"/>
  <c r="AF446" i="3"/>
  <c r="Q466" i="3" s="1"/>
  <c r="AE446" i="3"/>
  <c r="P466" i="3" s="1"/>
  <c r="AD446" i="3"/>
  <c r="O466" i="3" s="1"/>
  <c r="AC446" i="3"/>
  <c r="N466" i="3" s="1"/>
  <c r="AB446" i="3"/>
  <c r="M466" i="3" s="1"/>
  <c r="AA446" i="3"/>
  <c r="L466" i="3" s="1"/>
  <c r="Z446" i="3"/>
  <c r="K466" i="3" s="1"/>
  <c r="Y446" i="3"/>
  <c r="J466" i="3" s="1"/>
  <c r="X446" i="3"/>
  <c r="I466" i="3" s="1"/>
  <c r="W446" i="3"/>
  <c r="H466" i="3" s="1"/>
  <c r="V446" i="3"/>
  <c r="G466" i="3" s="1"/>
  <c r="U446" i="3"/>
  <c r="F466" i="3" s="1"/>
  <c r="T446" i="3"/>
  <c r="E466" i="3" s="1"/>
  <c r="S446" i="3"/>
  <c r="D466" i="3" s="1"/>
  <c r="R446" i="3"/>
  <c r="C466" i="3" s="1"/>
  <c r="Q446" i="3"/>
  <c r="B466" i="3" s="1"/>
  <c r="AR445" i="3"/>
  <c r="AC465" i="3" s="1"/>
  <c r="AC483" i="3" s="1"/>
  <c r="AQ445" i="3"/>
  <c r="AB465" i="3" s="1"/>
  <c r="AB483" i="3" s="1"/>
  <c r="AP445" i="3"/>
  <c r="AA465" i="3" s="1"/>
  <c r="AA483" i="3" s="1"/>
  <c r="AO445" i="3"/>
  <c r="Z465" i="3" s="1"/>
  <c r="Z483" i="3" s="1"/>
  <c r="AN445" i="3"/>
  <c r="Y465" i="3" s="1"/>
  <c r="Y483" i="3" s="1"/>
  <c r="AM445" i="3"/>
  <c r="X465" i="3" s="1"/>
  <c r="X483" i="3" s="1"/>
  <c r="AL445" i="3"/>
  <c r="W465" i="3" s="1"/>
  <c r="W483" i="3" s="1"/>
  <c r="AK445" i="3"/>
  <c r="V465" i="3" s="1"/>
  <c r="V483" i="3" s="1"/>
  <c r="AJ445" i="3"/>
  <c r="U465" i="3" s="1"/>
  <c r="U483" i="3" s="1"/>
  <c r="AI445" i="3"/>
  <c r="T465" i="3" s="1"/>
  <c r="T483" i="3" s="1"/>
  <c r="AH445" i="3"/>
  <c r="S465" i="3" s="1"/>
  <c r="S483" i="3" s="1"/>
  <c r="AG445" i="3"/>
  <c r="R465" i="3" s="1"/>
  <c r="R483" i="3" s="1"/>
  <c r="AF445" i="3"/>
  <c r="Q465" i="3" s="1"/>
  <c r="Q483" i="3" s="1"/>
  <c r="AE445" i="3"/>
  <c r="P465" i="3" s="1"/>
  <c r="P483" i="3" s="1"/>
  <c r="AD445" i="3"/>
  <c r="O465" i="3" s="1"/>
  <c r="O483" i="3" s="1"/>
  <c r="AC445" i="3"/>
  <c r="N465" i="3" s="1"/>
  <c r="N483" i="3" s="1"/>
  <c r="AB445" i="3"/>
  <c r="M465" i="3" s="1"/>
  <c r="M483" i="3" s="1"/>
  <c r="AA445" i="3"/>
  <c r="L465" i="3" s="1"/>
  <c r="L483" i="3" s="1"/>
  <c r="Z445" i="3"/>
  <c r="K465" i="3" s="1"/>
  <c r="K483" i="3" s="1"/>
  <c r="Y445" i="3"/>
  <c r="J465" i="3" s="1"/>
  <c r="J483" i="3" s="1"/>
  <c r="X445" i="3"/>
  <c r="I465" i="3" s="1"/>
  <c r="I483" i="3" s="1"/>
  <c r="W445" i="3"/>
  <c r="H465" i="3" s="1"/>
  <c r="H483" i="3" s="1"/>
  <c r="V445" i="3"/>
  <c r="G465" i="3" s="1"/>
  <c r="G483" i="3" s="1"/>
  <c r="U445" i="3"/>
  <c r="F465" i="3" s="1"/>
  <c r="F483" i="3" s="1"/>
  <c r="T445" i="3"/>
  <c r="E465" i="3" s="1"/>
  <c r="E483" i="3" s="1"/>
  <c r="S445" i="3"/>
  <c r="D465" i="3" s="1"/>
  <c r="D483" i="3" s="1"/>
  <c r="R445" i="3"/>
  <c r="C465" i="3" s="1"/>
  <c r="C483" i="3" s="1"/>
  <c r="Q445" i="3"/>
  <c r="B465" i="3" s="1"/>
  <c r="B483" i="3" s="1"/>
  <c r="AR444" i="3"/>
  <c r="AQ444" i="3"/>
  <c r="AP444" i="3"/>
  <c r="AO444" i="3"/>
  <c r="AN444" i="3"/>
  <c r="Y464" i="3" s="1"/>
  <c r="Y482" i="3" s="1"/>
  <c r="AM444" i="3"/>
  <c r="AL444" i="3"/>
  <c r="AK444" i="3"/>
  <c r="AJ444" i="3"/>
  <c r="AI444" i="3"/>
  <c r="AH444" i="3"/>
  <c r="AG444" i="3"/>
  <c r="AF444" i="3"/>
  <c r="Q464" i="3" s="1"/>
  <c r="Q482" i="3" s="1"/>
  <c r="AE444" i="3"/>
  <c r="AD444" i="3"/>
  <c r="AC444" i="3"/>
  <c r="AB444" i="3"/>
  <c r="AA444" i="3"/>
  <c r="Z444" i="3"/>
  <c r="Y444" i="3"/>
  <c r="X444" i="3"/>
  <c r="I464" i="3" s="1"/>
  <c r="I482" i="3" s="1"/>
  <c r="W444" i="3"/>
  <c r="V444" i="3"/>
  <c r="U444" i="3"/>
  <c r="T444" i="3"/>
  <c r="S444" i="3"/>
  <c r="R444" i="3"/>
  <c r="Q444" i="3"/>
  <c r="AR443" i="3"/>
  <c r="AQ443" i="3"/>
  <c r="AP443" i="3"/>
  <c r="AO443" i="3"/>
  <c r="AN443" i="3"/>
  <c r="AM443" i="3"/>
  <c r="AL443" i="3"/>
  <c r="AK443" i="3"/>
  <c r="AJ443" i="3"/>
  <c r="AI443" i="3"/>
  <c r="AH443" i="3"/>
  <c r="AG443" i="3"/>
  <c r="AF443" i="3"/>
  <c r="AE443" i="3"/>
  <c r="AD443" i="3"/>
  <c r="AC443" i="3"/>
  <c r="AB443" i="3"/>
  <c r="AA443" i="3"/>
  <c r="Z443" i="3"/>
  <c r="Y443" i="3"/>
  <c r="X443" i="3"/>
  <c r="W443" i="3"/>
  <c r="V443" i="3"/>
  <c r="U443" i="3"/>
  <c r="T443" i="3"/>
  <c r="S443" i="3"/>
  <c r="R443" i="3"/>
  <c r="Q443" i="3"/>
  <c r="AR442" i="3"/>
  <c r="AQ442" i="3"/>
  <c r="AP442" i="3"/>
  <c r="AO442" i="3"/>
  <c r="AN442" i="3"/>
  <c r="AM442" i="3"/>
  <c r="AL442" i="3"/>
  <c r="AK442" i="3"/>
  <c r="V462" i="3" s="1"/>
  <c r="AJ442" i="3"/>
  <c r="AI442" i="3"/>
  <c r="AH442" i="3"/>
  <c r="AG442" i="3"/>
  <c r="AF442" i="3"/>
  <c r="AE442" i="3"/>
  <c r="AD442" i="3"/>
  <c r="AC442" i="3"/>
  <c r="N462" i="3" s="1"/>
  <c r="AB442" i="3"/>
  <c r="AA442" i="3"/>
  <c r="Z442" i="3"/>
  <c r="Y442" i="3"/>
  <c r="X442" i="3"/>
  <c r="W442" i="3"/>
  <c r="V442" i="3"/>
  <c r="U442" i="3"/>
  <c r="F462" i="3" s="1"/>
  <c r="T442" i="3"/>
  <c r="S442" i="3"/>
  <c r="R442" i="3"/>
  <c r="Q442" i="3"/>
  <c r="AR441" i="3"/>
  <c r="AC461" i="3" s="1"/>
  <c r="AQ441" i="3"/>
  <c r="AB461" i="3" s="1"/>
  <c r="AP441" i="3"/>
  <c r="AA461" i="3" s="1"/>
  <c r="AO441" i="3"/>
  <c r="Z461" i="3" s="1"/>
  <c r="AN441" i="3"/>
  <c r="Y461" i="3" s="1"/>
  <c r="AM441" i="3"/>
  <c r="X461" i="3" s="1"/>
  <c r="AL441" i="3"/>
  <c r="W461" i="3" s="1"/>
  <c r="AK441" i="3"/>
  <c r="V461" i="3" s="1"/>
  <c r="AJ441" i="3"/>
  <c r="U461" i="3" s="1"/>
  <c r="AI441" i="3"/>
  <c r="T461" i="3" s="1"/>
  <c r="AH441" i="3"/>
  <c r="S461" i="3" s="1"/>
  <c r="AG441" i="3"/>
  <c r="R461" i="3" s="1"/>
  <c r="AF441" i="3"/>
  <c r="Q461" i="3" s="1"/>
  <c r="AE441" i="3"/>
  <c r="P461" i="3" s="1"/>
  <c r="AD441" i="3"/>
  <c r="O461" i="3" s="1"/>
  <c r="AC441" i="3"/>
  <c r="N461" i="3" s="1"/>
  <c r="AB441" i="3"/>
  <c r="M461" i="3" s="1"/>
  <c r="AA441" i="3"/>
  <c r="L461" i="3" s="1"/>
  <c r="Z441" i="3"/>
  <c r="K461" i="3" s="1"/>
  <c r="Y441" i="3"/>
  <c r="J461" i="3" s="1"/>
  <c r="X441" i="3"/>
  <c r="I461" i="3" s="1"/>
  <c r="W441" i="3"/>
  <c r="H461" i="3" s="1"/>
  <c r="V441" i="3"/>
  <c r="G461" i="3" s="1"/>
  <c r="U441" i="3"/>
  <c r="F461" i="3" s="1"/>
  <c r="T441" i="3"/>
  <c r="E461" i="3" s="1"/>
  <c r="S441" i="3"/>
  <c r="D461" i="3" s="1"/>
  <c r="R441" i="3"/>
  <c r="C461" i="3" s="1"/>
  <c r="Q441" i="3"/>
  <c r="B461" i="3" s="1"/>
  <c r="AR440" i="3"/>
  <c r="AQ440" i="3"/>
  <c r="AP440" i="3"/>
  <c r="AO440" i="3"/>
  <c r="Z460" i="3" s="1"/>
  <c r="AN440" i="3"/>
  <c r="AM440" i="3"/>
  <c r="AL440" i="3"/>
  <c r="AK440" i="3"/>
  <c r="AJ440" i="3"/>
  <c r="AI440" i="3"/>
  <c r="AH440" i="3"/>
  <c r="AG440" i="3"/>
  <c r="R460" i="3" s="1"/>
  <c r="AF440" i="3"/>
  <c r="AE440" i="3"/>
  <c r="AD440" i="3"/>
  <c r="AC440" i="3"/>
  <c r="AB440" i="3"/>
  <c r="AA440" i="3"/>
  <c r="Z440" i="3"/>
  <c r="Y440" i="3"/>
  <c r="J460" i="3" s="1"/>
  <c r="X440" i="3"/>
  <c r="W440" i="3"/>
  <c r="V440" i="3"/>
  <c r="U440" i="3"/>
  <c r="T440" i="3"/>
  <c r="S440" i="3"/>
  <c r="R440" i="3"/>
  <c r="Q440" i="3"/>
  <c r="B460" i="3" s="1"/>
  <c r="AR439" i="3"/>
  <c r="AQ439" i="3"/>
  <c r="AP439" i="3"/>
  <c r="AO439" i="3"/>
  <c r="AN439" i="3"/>
  <c r="AM439" i="3"/>
  <c r="AL439" i="3"/>
  <c r="AK439" i="3"/>
  <c r="AJ439" i="3"/>
  <c r="AI439" i="3"/>
  <c r="AH439" i="3"/>
  <c r="AG439" i="3"/>
  <c r="AF439" i="3"/>
  <c r="AE439" i="3"/>
  <c r="AD439" i="3"/>
  <c r="AC439" i="3"/>
  <c r="AB439" i="3"/>
  <c r="AA439" i="3"/>
  <c r="Z439" i="3"/>
  <c r="Y439" i="3"/>
  <c r="X439" i="3"/>
  <c r="W439" i="3"/>
  <c r="V439" i="3"/>
  <c r="U439" i="3"/>
  <c r="T439" i="3"/>
  <c r="S439" i="3"/>
  <c r="R439" i="3"/>
  <c r="Q439" i="3"/>
  <c r="A370" i="3"/>
  <c r="A368" i="3"/>
  <c r="A405" i="3" s="1"/>
  <c r="A367" i="3"/>
  <c r="A366" i="3"/>
  <c r="A365" i="3"/>
  <c r="A363" i="3"/>
  <c r="A380" i="3" s="1"/>
  <c r="A404" i="3" s="1"/>
  <c r="A362" i="3"/>
  <c r="A361" i="3"/>
  <c r="A379" i="3" s="1"/>
  <c r="A403" i="3" s="1"/>
  <c r="A360" i="3"/>
  <c r="A378" i="3" s="1"/>
  <c r="A390" i="3" s="1"/>
  <c r="A359" i="3"/>
  <c r="A377" i="3" s="1"/>
  <c r="A401" i="3" s="1"/>
  <c r="A358" i="3"/>
  <c r="A357" i="3"/>
  <c r="A376" i="3" s="1"/>
  <c r="A356" i="3"/>
  <c r="A375" i="3" s="1"/>
  <c r="A355" i="3"/>
  <c r="A374" i="3" s="1"/>
  <c r="A398" i="3" s="1"/>
  <c r="A354" i="3"/>
  <c r="A373" i="3" s="1"/>
  <c r="AR350" i="3"/>
  <c r="AQ350" i="3"/>
  <c r="AP350" i="3"/>
  <c r="AO350" i="3"/>
  <c r="AN350" i="3"/>
  <c r="AM350" i="3"/>
  <c r="AL350" i="3"/>
  <c r="AK350" i="3"/>
  <c r="AJ350" i="3"/>
  <c r="AI350" i="3"/>
  <c r="AH350" i="3"/>
  <c r="AG350" i="3"/>
  <c r="AF350" i="3"/>
  <c r="AE350" i="3"/>
  <c r="AD350" i="3"/>
  <c r="AC350" i="3"/>
  <c r="AB350" i="3"/>
  <c r="AA350" i="3"/>
  <c r="Z350" i="3"/>
  <c r="Y350" i="3"/>
  <c r="X350" i="3"/>
  <c r="W350" i="3"/>
  <c r="V350" i="3"/>
  <c r="U350" i="3"/>
  <c r="T350" i="3"/>
  <c r="S350" i="3"/>
  <c r="R350" i="3"/>
  <c r="Q350" i="3"/>
  <c r="AR349" i="3"/>
  <c r="AQ349" i="3"/>
  <c r="AP349" i="3"/>
  <c r="AO349" i="3"/>
  <c r="AN349" i="3"/>
  <c r="AM349" i="3"/>
  <c r="AL349" i="3"/>
  <c r="AK349" i="3"/>
  <c r="AJ349" i="3"/>
  <c r="AI349" i="3"/>
  <c r="AH349" i="3"/>
  <c r="AG349" i="3"/>
  <c r="AF349" i="3"/>
  <c r="AE349" i="3"/>
  <c r="AD349" i="3"/>
  <c r="AC349" i="3"/>
  <c r="AB349" i="3"/>
  <c r="AA349" i="3"/>
  <c r="Z349" i="3"/>
  <c r="Y349" i="3"/>
  <c r="X349" i="3"/>
  <c r="W349" i="3"/>
  <c r="V349" i="3"/>
  <c r="U349" i="3"/>
  <c r="T349" i="3"/>
  <c r="S349" i="3"/>
  <c r="R349" i="3"/>
  <c r="Q349" i="3"/>
  <c r="AR348" i="3"/>
  <c r="AQ348" i="3"/>
  <c r="AP348" i="3"/>
  <c r="AO348" i="3"/>
  <c r="AN348" i="3"/>
  <c r="AM348" i="3"/>
  <c r="AL348" i="3"/>
  <c r="AK348" i="3"/>
  <c r="AJ348" i="3"/>
  <c r="AI348" i="3"/>
  <c r="AH348" i="3"/>
  <c r="AG348" i="3"/>
  <c r="AF348" i="3"/>
  <c r="AE348" i="3"/>
  <c r="AD348" i="3"/>
  <c r="AC348" i="3"/>
  <c r="AB348" i="3"/>
  <c r="AA348" i="3"/>
  <c r="Z348" i="3"/>
  <c r="Y348" i="3"/>
  <c r="X348" i="3"/>
  <c r="W348" i="3"/>
  <c r="V348" i="3"/>
  <c r="U348" i="3"/>
  <c r="T348" i="3"/>
  <c r="S348" i="3"/>
  <c r="R348" i="3"/>
  <c r="Q348" i="3"/>
  <c r="AR347" i="3"/>
  <c r="AQ347" i="3"/>
  <c r="AP347" i="3"/>
  <c r="AO347" i="3"/>
  <c r="AN347" i="3"/>
  <c r="AM347" i="3"/>
  <c r="AL347" i="3"/>
  <c r="AK347" i="3"/>
  <c r="AJ347" i="3"/>
  <c r="AI347" i="3"/>
  <c r="AH347" i="3"/>
  <c r="AG347" i="3"/>
  <c r="AF347" i="3"/>
  <c r="AE347" i="3"/>
  <c r="AD347" i="3"/>
  <c r="AC347" i="3"/>
  <c r="AB347" i="3"/>
  <c r="AA347" i="3"/>
  <c r="Z347" i="3"/>
  <c r="Y347" i="3"/>
  <c r="X347" i="3"/>
  <c r="W347" i="3"/>
  <c r="V347" i="3"/>
  <c r="U347" i="3"/>
  <c r="T347" i="3"/>
  <c r="S347" i="3"/>
  <c r="R347" i="3"/>
  <c r="Q347" i="3"/>
  <c r="AR346" i="3"/>
  <c r="AC366" i="3" s="1"/>
  <c r="AQ346" i="3"/>
  <c r="AB366" i="3" s="1"/>
  <c r="AP346" i="3"/>
  <c r="AA366" i="3" s="1"/>
  <c r="AO346" i="3"/>
  <c r="Z366" i="3" s="1"/>
  <c r="AN346" i="3"/>
  <c r="Y366" i="3" s="1"/>
  <c r="AM346" i="3"/>
  <c r="X366" i="3" s="1"/>
  <c r="AL346" i="3"/>
  <c r="W366" i="3" s="1"/>
  <c r="AK346" i="3"/>
  <c r="V366" i="3" s="1"/>
  <c r="AJ346" i="3"/>
  <c r="U366" i="3" s="1"/>
  <c r="AI346" i="3"/>
  <c r="T366" i="3" s="1"/>
  <c r="AH346" i="3"/>
  <c r="S366" i="3" s="1"/>
  <c r="AG346" i="3"/>
  <c r="R366" i="3" s="1"/>
  <c r="AF346" i="3"/>
  <c r="Q366" i="3" s="1"/>
  <c r="AE346" i="3"/>
  <c r="P366" i="3" s="1"/>
  <c r="AD346" i="3"/>
  <c r="O366" i="3" s="1"/>
  <c r="AC346" i="3"/>
  <c r="N366" i="3" s="1"/>
  <c r="AB346" i="3"/>
  <c r="M366" i="3" s="1"/>
  <c r="AA346" i="3"/>
  <c r="L366" i="3" s="1"/>
  <c r="Z346" i="3"/>
  <c r="K366" i="3" s="1"/>
  <c r="Y346" i="3"/>
  <c r="J366" i="3" s="1"/>
  <c r="X346" i="3"/>
  <c r="I366" i="3" s="1"/>
  <c r="W346" i="3"/>
  <c r="H366" i="3" s="1"/>
  <c r="V346" i="3"/>
  <c r="G366" i="3" s="1"/>
  <c r="U346" i="3"/>
  <c r="F366" i="3" s="1"/>
  <c r="T346" i="3"/>
  <c r="E366" i="3" s="1"/>
  <c r="S346" i="3"/>
  <c r="D366" i="3" s="1"/>
  <c r="R346" i="3"/>
  <c r="C366" i="3" s="1"/>
  <c r="Q346" i="3"/>
  <c r="B366" i="3" s="1"/>
  <c r="AR345" i="3"/>
  <c r="AQ345" i="3"/>
  <c r="AP345" i="3"/>
  <c r="AO345" i="3"/>
  <c r="AN345" i="3"/>
  <c r="AM345" i="3"/>
  <c r="AL345" i="3"/>
  <c r="AK345" i="3"/>
  <c r="V365" i="3" s="1"/>
  <c r="AJ345" i="3"/>
  <c r="AI345" i="3"/>
  <c r="AH345" i="3"/>
  <c r="AG345" i="3"/>
  <c r="AF345" i="3"/>
  <c r="AE345" i="3"/>
  <c r="AD345" i="3"/>
  <c r="AC345" i="3"/>
  <c r="AB345" i="3"/>
  <c r="M365" i="3" s="1"/>
  <c r="AA345" i="3"/>
  <c r="Z345" i="3"/>
  <c r="Y345" i="3"/>
  <c r="X345" i="3"/>
  <c r="W345" i="3"/>
  <c r="V345" i="3"/>
  <c r="U345" i="3"/>
  <c r="T345" i="3"/>
  <c r="S345" i="3"/>
  <c r="D365" i="3" s="1"/>
  <c r="R345" i="3"/>
  <c r="Q345" i="3"/>
  <c r="AR343" i="3"/>
  <c r="AQ343" i="3"/>
  <c r="AP343" i="3"/>
  <c r="AO343" i="3"/>
  <c r="AN343" i="3"/>
  <c r="AM343" i="3"/>
  <c r="AL343" i="3"/>
  <c r="AK343" i="3"/>
  <c r="AJ343" i="3"/>
  <c r="AI343" i="3"/>
  <c r="AH343" i="3"/>
  <c r="AG343" i="3"/>
  <c r="AF343" i="3"/>
  <c r="AE343" i="3"/>
  <c r="AD343" i="3"/>
  <c r="O363" i="3" s="1"/>
  <c r="AC343" i="3"/>
  <c r="N363" i="3" s="1"/>
  <c r="AB343" i="3"/>
  <c r="AA343" i="3"/>
  <c r="Z343" i="3"/>
  <c r="Y343" i="3"/>
  <c r="X343" i="3"/>
  <c r="W343" i="3"/>
  <c r="V343" i="3"/>
  <c r="U343" i="3"/>
  <c r="F363" i="3" s="1"/>
  <c r="T343" i="3"/>
  <c r="S343" i="3"/>
  <c r="R343" i="3"/>
  <c r="Q343" i="3"/>
  <c r="AR342" i="3"/>
  <c r="AQ342" i="3"/>
  <c r="AP342" i="3"/>
  <c r="AO342" i="3"/>
  <c r="AN342" i="3"/>
  <c r="AM342" i="3"/>
  <c r="X362" i="3" s="1"/>
  <c r="AL342" i="3"/>
  <c r="AK342" i="3"/>
  <c r="V362" i="3" s="1"/>
  <c r="AJ342" i="3"/>
  <c r="AI342" i="3"/>
  <c r="AH342" i="3"/>
  <c r="AG342" i="3"/>
  <c r="AF342" i="3"/>
  <c r="AE342" i="3"/>
  <c r="AD342" i="3"/>
  <c r="AC342" i="3"/>
  <c r="N362" i="3" s="1"/>
  <c r="AB342" i="3"/>
  <c r="AA342" i="3"/>
  <c r="Z342" i="3"/>
  <c r="Y342" i="3"/>
  <c r="X342" i="3"/>
  <c r="W342" i="3"/>
  <c r="V342" i="3"/>
  <c r="U342" i="3"/>
  <c r="T342" i="3"/>
  <c r="E362" i="3" s="1"/>
  <c r="S342" i="3"/>
  <c r="R342" i="3"/>
  <c r="Q342" i="3"/>
  <c r="AR341" i="3"/>
  <c r="AC361" i="3" s="1"/>
  <c r="AQ341" i="3"/>
  <c r="AB361" i="3" s="1"/>
  <c r="AP341" i="3"/>
  <c r="AA361" i="3" s="1"/>
  <c r="AO341" i="3"/>
  <c r="Z361" i="3" s="1"/>
  <c r="AN341" i="3"/>
  <c r="Y361" i="3" s="1"/>
  <c r="AM341" i="3"/>
  <c r="X361" i="3" s="1"/>
  <c r="AL341" i="3"/>
  <c r="W361" i="3" s="1"/>
  <c r="AK341" i="3"/>
  <c r="V361" i="3" s="1"/>
  <c r="AJ341" i="3"/>
  <c r="U361" i="3" s="1"/>
  <c r="AI341" i="3"/>
  <c r="T361" i="3" s="1"/>
  <c r="AH341" i="3"/>
  <c r="S361" i="3" s="1"/>
  <c r="AG341" i="3"/>
  <c r="R361" i="3" s="1"/>
  <c r="AF341" i="3"/>
  <c r="Q361" i="3" s="1"/>
  <c r="AE341" i="3"/>
  <c r="P361" i="3" s="1"/>
  <c r="AD341" i="3"/>
  <c r="O361" i="3" s="1"/>
  <c r="AC341" i="3"/>
  <c r="N361" i="3" s="1"/>
  <c r="AB341" i="3"/>
  <c r="M361" i="3" s="1"/>
  <c r="AA341" i="3"/>
  <c r="L361" i="3" s="1"/>
  <c r="Z341" i="3"/>
  <c r="K361" i="3" s="1"/>
  <c r="Y341" i="3"/>
  <c r="J361" i="3" s="1"/>
  <c r="X341" i="3"/>
  <c r="I361" i="3" s="1"/>
  <c r="W341" i="3"/>
  <c r="H361" i="3" s="1"/>
  <c r="V341" i="3"/>
  <c r="G361" i="3" s="1"/>
  <c r="U341" i="3"/>
  <c r="F361" i="3" s="1"/>
  <c r="T341" i="3"/>
  <c r="E361" i="3" s="1"/>
  <c r="S341" i="3"/>
  <c r="D361" i="3" s="1"/>
  <c r="R341" i="3"/>
  <c r="C361" i="3" s="1"/>
  <c r="Q341" i="3"/>
  <c r="B361" i="3" s="1"/>
  <c r="AR340" i="3"/>
  <c r="AC360" i="3" s="1"/>
  <c r="AC378" i="3" s="1"/>
  <c r="AQ340" i="3"/>
  <c r="AB360" i="3" s="1"/>
  <c r="AB378" i="3" s="1"/>
  <c r="AP340" i="3"/>
  <c r="AA360" i="3" s="1"/>
  <c r="AA378" i="3" s="1"/>
  <c r="AO340" i="3"/>
  <c r="Z360" i="3" s="1"/>
  <c r="Z378" i="3" s="1"/>
  <c r="AN340" i="3"/>
  <c r="Y360" i="3" s="1"/>
  <c r="Y378" i="3" s="1"/>
  <c r="AM340" i="3"/>
  <c r="X360" i="3" s="1"/>
  <c r="X378" i="3" s="1"/>
  <c r="AL340" i="3"/>
  <c r="W360" i="3" s="1"/>
  <c r="W378" i="3" s="1"/>
  <c r="AK340" i="3"/>
  <c r="V360" i="3" s="1"/>
  <c r="V378" i="3" s="1"/>
  <c r="AJ340" i="3"/>
  <c r="U360" i="3" s="1"/>
  <c r="U378" i="3" s="1"/>
  <c r="AI340" i="3"/>
  <c r="T360" i="3" s="1"/>
  <c r="T378" i="3" s="1"/>
  <c r="AH340" i="3"/>
  <c r="S360" i="3" s="1"/>
  <c r="S378" i="3" s="1"/>
  <c r="AG340" i="3"/>
  <c r="R360" i="3" s="1"/>
  <c r="R378" i="3" s="1"/>
  <c r="AF340" i="3"/>
  <c r="Q360" i="3" s="1"/>
  <c r="Q378" i="3" s="1"/>
  <c r="AE340" i="3"/>
  <c r="P360" i="3" s="1"/>
  <c r="P378" i="3" s="1"/>
  <c r="AD340" i="3"/>
  <c r="O360" i="3" s="1"/>
  <c r="O378" i="3" s="1"/>
  <c r="AC340" i="3"/>
  <c r="N360" i="3" s="1"/>
  <c r="N378" i="3" s="1"/>
  <c r="AB340" i="3"/>
  <c r="M360" i="3" s="1"/>
  <c r="M378" i="3" s="1"/>
  <c r="AA340" i="3"/>
  <c r="L360" i="3" s="1"/>
  <c r="L378" i="3" s="1"/>
  <c r="Z340" i="3"/>
  <c r="K360" i="3" s="1"/>
  <c r="K378" i="3" s="1"/>
  <c r="Y340" i="3"/>
  <c r="J360" i="3" s="1"/>
  <c r="J378" i="3" s="1"/>
  <c r="X340" i="3"/>
  <c r="I360" i="3" s="1"/>
  <c r="I378" i="3" s="1"/>
  <c r="W340" i="3"/>
  <c r="H360" i="3" s="1"/>
  <c r="H378" i="3" s="1"/>
  <c r="V340" i="3"/>
  <c r="G360" i="3" s="1"/>
  <c r="G378" i="3" s="1"/>
  <c r="U340" i="3"/>
  <c r="F360" i="3" s="1"/>
  <c r="F378" i="3" s="1"/>
  <c r="T340" i="3"/>
  <c r="E360" i="3" s="1"/>
  <c r="E378" i="3" s="1"/>
  <c r="S340" i="3"/>
  <c r="D360" i="3" s="1"/>
  <c r="D378" i="3" s="1"/>
  <c r="R340" i="3"/>
  <c r="C360" i="3" s="1"/>
  <c r="C378" i="3" s="1"/>
  <c r="Q340" i="3"/>
  <c r="B360" i="3" s="1"/>
  <c r="B378" i="3" s="1"/>
  <c r="AR339" i="3"/>
  <c r="AQ339" i="3"/>
  <c r="AP339" i="3"/>
  <c r="AO339" i="3"/>
  <c r="AN339" i="3"/>
  <c r="AM339" i="3"/>
  <c r="AL339" i="3"/>
  <c r="AK339" i="3"/>
  <c r="AJ339" i="3"/>
  <c r="AI339" i="3"/>
  <c r="AH339" i="3"/>
  <c r="AG339" i="3"/>
  <c r="AF339" i="3"/>
  <c r="AE339" i="3"/>
  <c r="AD339" i="3"/>
  <c r="AC339" i="3"/>
  <c r="AB339" i="3"/>
  <c r="AA339" i="3"/>
  <c r="Z339" i="3"/>
  <c r="Y339" i="3"/>
  <c r="X339" i="3"/>
  <c r="W339" i="3"/>
  <c r="V339" i="3"/>
  <c r="U339" i="3"/>
  <c r="T339" i="3"/>
  <c r="S339" i="3"/>
  <c r="R339" i="3"/>
  <c r="Q339" i="3"/>
  <c r="AR338" i="3"/>
  <c r="AQ338" i="3"/>
  <c r="AP338" i="3"/>
  <c r="AO338" i="3"/>
  <c r="AN338" i="3"/>
  <c r="AM338" i="3"/>
  <c r="AL338" i="3"/>
  <c r="AK338" i="3"/>
  <c r="AJ338" i="3"/>
  <c r="AI338" i="3"/>
  <c r="AH338" i="3"/>
  <c r="AG338" i="3"/>
  <c r="AF338" i="3"/>
  <c r="AE338" i="3"/>
  <c r="AD338" i="3"/>
  <c r="AC338" i="3"/>
  <c r="AB338" i="3"/>
  <c r="AA338" i="3"/>
  <c r="Z338" i="3"/>
  <c r="Y338" i="3"/>
  <c r="X338" i="3"/>
  <c r="W338" i="3"/>
  <c r="V338" i="3"/>
  <c r="U338" i="3"/>
  <c r="T338" i="3"/>
  <c r="S338" i="3"/>
  <c r="R338" i="3"/>
  <c r="Q338" i="3"/>
  <c r="AR337" i="3"/>
  <c r="AQ337" i="3"/>
  <c r="AP337" i="3"/>
  <c r="AO337" i="3"/>
  <c r="AN337" i="3"/>
  <c r="AM337" i="3"/>
  <c r="AL337" i="3"/>
  <c r="AK337" i="3"/>
  <c r="V357" i="3" s="1"/>
  <c r="AJ337" i="3"/>
  <c r="AI337" i="3"/>
  <c r="AH337" i="3"/>
  <c r="AG337" i="3"/>
  <c r="AF337" i="3"/>
  <c r="AE337" i="3"/>
  <c r="AD337" i="3"/>
  <c r="AC337" i="3"/>
  <c r="AB337" i="3"/>
  <c r="M357" i="3" s="1"/>
  <c r="AA337" i="3"/>
  <c r="Z337" i="3"/>
  <c r="Y337" i="3"/>
  <c r="X337" i="3"/>
  <c r="W337" i="3"/>
  <c r="V337" i="3"/>
  <c r="U337" i="3"/>
  <c r="T337" i="3"/>
  <c r="S337" i="3"/>
  <c r="D357" i="3" s="1"/>
  <c r="R337" i="3"/>
  <c r="Q337" i="3"/>
  <c r="AR336" i="3"/>
  <c r="AC356" i="3" s="1"/>
  <c r="AQ336" i="3"/>
  <c r="AB356" i="3" s="1"/>
  <c r="AP336" i="3"/>
  <c r="AA356" i="3" s="1"/>
  <c r="AO336" i="3"/>
  <c r="Z356" i="3" s="1"/>
  <c r="AN336" i="3"/>
  <c r="Y356" i="3" s="1"/>
  <c r="AM336" i="3"/>
  <c r="X356" i="3" s="1"/>
  <c r="AL336" i="3"/>
  <c r="W356" i="3" s="1"/>
  <c r="AK336" i="3"/>
  <c r="V356" i="3" s="1"/>
  <c r="AJ336" i="3"/>
  <c r="U356" i="3" s="1"/>
  <c r="AI336" i="3"/>
  <c r="T356" i="3" s="1"/>
  <c r="AH336" i="3"/>
  <c r="S356" i="3" s="1"/>
  <c r="AG336" i="3"/>
  <c r="R356" i="3" s="1"/>
  <c r="AF336" i="3"/>
  <c r="Q356" i="3" s="1"/>
  <c r="AE336" i="3"/>
  <c r="P356" i="3" s="1"/>
  <c r="AD336" i="3"/>
  <c r="O356" i="3" s="1"/>
  <c r="AC336" i="3"/>
  <c r="N356" i="3" s="1"/>
  <c r="AB336" i="3"/>
  <c r="M356" i="3" s="1"/>
  <c r="AA336" i="3"/>
  <c r="L356" i="3" s="1"/>
  <c r="Z336" i="3"/>
  <c r="K356" i="3" s="1"/>
  <c r="Y336" i="3"/>
  <c r="J356" i="3" s="1"/>
  <c r="X336" i="3"/>
  <c r="I356" i="3" s="1"/>
  <c r="W336" i="3"/>
  <c r="H356" i="3" s="1"/>
  <c r="V336" i="3"/>
  <c r="G356" i="3" s="1"/>
  <c r="U336" i="3"/>
  <c r="F356" i="3" s="1"/>
  <c r="T336" i="3"/>
  <c r="E356" i="3" s="1"/>
  <c r="S336" i="3"/>
  <c r="D356" i="3" s="1"/>
  <c r="R336" i="3"/>
  <c r="C356" i="3" s="1"/>
  <c r="Q336" i="3"/>
  <c r="B356" i="3" s="1"/>
  <c r="AR335" i="3"/>
  <c r="AC355" i="3" s="1"/>
  <c r="AQ335" i="3"/>
  <c r="AP335" i="3"/>
  <c r="AO335" i="3"/>
  <c r="AN335" i="3"/>
  <c r="AM335" i="3"/>
  <c r="AL335" i="3"/>
  <c r="AK335" i="3"/>
  <c r="AJ335" i="3"/>
  <c r="AI335" i="3"/>
  <c r="T355" i="3" s="1"/>
  <c r="AH335" i="3"/>
  <c r="AG335" i="3"/>
  <c r="AF335" i="3"/>
  <c r="AE335" i="3"/>
  <c r="AD335" i="3"/>
  <c r="AC335" i="3"/>
  <c r="AB335" i="3"/>
  <c r="AA335" i="3"/>
  <c r="Z335" i="3"/>
  <c r="Y335" i="3"/>
  <c r="J355" i="3" s="1"/>
  <c r="X335" i="3"/>
  <c r="W335" i="3"/>
  <c r="V335" i="3"/>
  <c r="U335" i="3"/>
  <c r="T335" i="3"/>
  <c r="S335" i="3"/>
  <c r="R335" i="3"/>
  <c r="Q335" i="3"/>
  <c r="AR334" i="3"/>
  <c r="AQ334" i="3"/>
  <c r="AP334" i="3"/>
  <c r="AO334" i="3"/>
  <c r="AN334" i="3"/>
  <c r="AM334" i="3"/>
  <c r="AL334" i="3"/>
  <c r="AK334" i="3"/>
  <c r="AJ334" i="3"/>
  <c r="AI334" i="3"/>
  <c r="AH334" i="3"/>
  <c r="AG334" i="3"/>
  <c r="AF334" i="3"/>
  <c r="AE334" i="3"/>
  <c r="AD334" i="3"/>
  <c r="AC334" i="3"/>
  <c r="AB334" i="3"/>
  <c r="AA334" i="3"/>
  <c r="Z334" i="3"/>
  <c r="Y334" i="3"/>
  <c r="X334" i="3"/>
  <c r="W334" i="3"/>
  <c r="V334" i="3"/>
  <c r="U334" i="3"/>
  <c r="T334" i="3"/>
  <c r="S334" i="3"/>
  <c r="R334" i="3"/>
  <c r="Q334" i="3"/>
  <c r="A261" i="3"/>
  <c r="A259" i="3"/>
  <c r="A296" i="3" s="1"/>
  <c r="A258" i="3"/>
  <c r="A257" i="3"/>
  <c r="A256" i="3"/>
  <c r="A254" i="3"/>
  <c r="A271" i="3" s="1"/>
  <c r="A295" i="3" s="1"/>
  <c r="A253" i="3"/>
  <c r="A252" i="3"/>
  <c r="A270" i="3" s="1"/>
  <c r="A294" i="3" s="1"/>
  <c r="A251" i="3"/>
  <c r="A269" i="3" s="1"/>
  <c r="A281" i="3" s="1"/>
  <c r="A250" i="3"/>
  <c r="A268" i="3" s="1"/>
  <c r="A292" i="3" s="1"/>
  <c r="A249" i="3"/>
  <c r="A248" i="3"/>
  <c r="A267" i="3" s="1"/>
  <c r="A279" i="3" s="1"/>
  <c r="A247" i="3"/>
  <c r="A266" i="3" s="1"/>
  <c r="A246" i="3"/>
  <c r="A265" i="3" s="1"/>
  <c r="A289" i="3" s="1"/>
  <c r="A245" i="3"/>
  <c r="A264" i="3" s="1"/>
  <c r="A276" i="3" s="1"/>
  <c r="AR241" i="3"/>
  <c r="AQ241" i="3"/>
  <c r="AP241" i="3"/>
  <c r="AO241" i="3"/>
  <c r="AN241" i="3"/>
  <c r="AM241" i="3"/>
  <c r="AL241" i="3"/>
  <c r="AK241" i="3"/>
  <c r="AJ241" i="3"/>
  <c r="AI241" i="3"/>
  <c r="AH241" i="3"/>
  <c r="AG241" i="3"/>
  <c r="AF241" i="3"/>
  <c r="AE241" i="3"/>
  <c r="AD241" i="3"/>
  <c r="AC241" i="3"/>
  <c r="AB241" i="3"/>
  <c r="AA241" i="3"/>
  <c r="Z241" i="3"/>
  <c r="Y241" i="3"/>
  <c r="X241" i="3"/>
  <c r="W241" i="3"/>
  <c r="V241" i="3"/>
  <c r="U241" i="3"/>
  <c r="T241" i="3"/>
  <c r="S241" i="3"/>
  <c r="R241" i="3"/>
  <c r="Q241" i="3"/>
  <c r="AR240" i="3"/>
  <c r="AQ240" i="3"/>
  <c r="AP240" i="3"/>
  <c r="AO240" i="3"/>
  <c r="AN240" i="3"/>
  <c r="AM240" i="3"/>
  <c r="AL240" i="3"/>
  <c r="AK240" i="3"/>
  <c r="AJ240" i="3"/>
  <c r="AI240" i="3"/>
  <c r="AH240" i="3"/>
  <c r="AG240" i="3"/>
  <c r="AF240" i="3"/>
  <c r="AE240" i="3"/>
  <c r="AD240" i="3"/>
  <c r="AC240" i="3"/>
  <c r="AB240" i="3"/>
  <c r="AA240" i="3"/>
  <c r="Z240" i="3"/>
  <c r="Y240" i="3"/>
  <c r="X240" i="3"/>
  <c r="W240" i="3"/>
  <c r="V240" i="3"/>
  <c r="U240" i="3"/>
  <c r="T240" i="3"/>
  <c r="S240" i="3"/>
  <c r="R240" i="3"/>
  <c r="Q240" i="3"/>
  <c r="AR239" i="3"/>
  <c r="AQ239" i="3"/>
  <c r="AP239" i="3"/>
  <c r="AO239" i="3"/>
  <c r="AN239" i="3"/>
  <c r="AM239" i="3"/>
  <c r="AL239" i="3"/>
  <c r="AK239" i="3"/>
  <c r="AJ239" i="3"/>
  <c r="AI239" i="3"/>
  <c r="AH239" i="3"/>
  <c r="AG239" i="3"/>
  <c r="AF239" i="3"/>
  <c r="AE239" i="3"/>
  <c r="AD239" i="3"/>
  <c r="AC239" i="3"/>
  <c r="AB239" i="3"/>
  <c r="AA239" i="3"/>
  <c r="Z239" i="3"/>
  <c r="Y239" i="3"/>
  <c r="X239" i="3"/>
  <c r="W239" i="3"/>
  <c r="V239" i="3"/>
  <c r="U239" i="3"/>
  <c r="T239" i="3"/>
  <c r="S239" i="3"/>
  <c r="R239" i="3"/>
  <c r="Q239" i="3"/>
  <c r="AR238" i="3"/>
  <c r="AQ238" i="3"/>
  <c r="AP238" i="3"/>
  <c r="AO238" i="3"/>
  <c r="AN238" i="3"/>
  <c r="AM238" i="3"/>
  <c r="AL238" i="3"/>
  <c r="AK238" i="3"/>
  <c r="AJ238" i="3"/>
  <c r="AI238" i="3"/>
  <c r="AH238" i="3"/>
  <c r="AG238" i="3"/>
  <c r="AF238" i="3"/>
  <c r="AE238" i="3"/>
  <c r="AD238" i="3"/>
  <c r="AC238" i="3"/>
  <c r="AB238" i="3"/>
  <c r="AA238" i="3"/>
  <c r="Z238" i="3"/>
  <c r="Y238" i="3"/>
  <c r="X238" i="3"/>
  <c r="W238" i="3"/>
  <c r="V238" i="3"/>
  <c r="U238" i="3"/>
  <c r="T238" i="3"/>
  <c r="S238" i="3"/>
  <c r="R238" i="3"/>
  <c r="Q238" i="3"/>
  <c r="AR237" i="3"/>
  <c r="AC257" i="3" s="1"/>
  <c r="AQ237" i="3"/>
  <c r="AB257" i="3" s="1"/>
  <c r="AP237" i="3"/>
  <c r="AA257" i="3" s="1"/>
  <c r="AO237" i="3"/>
  <c r="Z257" i="3" s="1"/>
  <c r="AN237" i="3"/>
  <c r="Y257" i="3" s="1"/>
  <c r="AM237" i="3"/>
  <c r="X257" i="3" s="1"/>
  <c r="AL237" i="3"/>
  <c r="W257" i="3" s="1"/>
  <c r="AK237" i="3"/>
  <c r="V257" i="3" s="1"/>
  <c r="AJ237" i="3"/>
  <c r="U257" i="3" s="1"/>
  <c r="AI237" i="3"/>
  <c r="T257" i="3" s="1"/>
  <c r="AH237" i="3"/>
  <c r="S257" i="3" s="1"/>
  <c r="AG237" i="3"/>
  <c r="R257" i="3" s="1"/>
  <c r="AF237" i="3"/>
  <c r="Q257" i="3" s="1"/>
  <c r="AE237" i="3"/>
  <c r="P257" i="3" s="1"/>
  <c r="AD237" i="3"/>
  <c r="O257" i="3" s="1"/>
  <c r="AC237" i="3"/>
  <c r="N257" i="3" s="1"/>
  <c r="AB237" i="3"/>
  <c r="M257" i="3" s="1"/>
  <c r="AA237" i="3"/>
  <c r="L257" i="3" s="1"/>
  <c r="Z237" i="3"/>
  <c r="K257" i="3" s="1"/>
  <c r="Y237" i="3"/>
  <c r="J257" i="3" s="1"/>
  <c r="X237" i="3"/>
  <c r="I257" i="3" s="1"/>
  <c r="W237" i="3"/>
  <c r="H257" i="3" s="1"/>
  <c r="V237" i="3"/>
  <c r="G257" i="3" s="1"/>
  <c r="U237" i="3"/>
  <c r="F257" i="3" s="1"/>
  <c r="T237" i="3"/>
  <c r="E257" i="3" s="1"/>
  <c r="S237" i="3"/>
  <c r="D257" i="3" s="1"/>
  <c r="R237" i="3"/>
  <c r="C257" i="3" s="1"/>
  <c r="Q237" i="3"/>
  <c r="B257" i="3" s="1"/>
  <c r="AR236" i="3"/>
  <c r="AC256" i="3" s="1"/>
  <c r="AQ236" i="3"/>
  <c r="AP236" i="3"/>
  <c r="AO236" i="3"/>
  <c r="AN236" i="3"/>
  <c r="AM236" i="3"/>
  <c r="AL236" i="3"/>
  <c r="AK236" i="3"/>
  <c r="AJ236" i="3"/>
  <c r="U256" i="3" s="1"/>
  <c r="AI236" i="3"/>
  <c r="AH236" i="3"/>
  <c r="AG236" i="3"/>
  <c r="AF236" i="3"/>
  <c r="AE236" i="3"/>
  <c r="AD236" i="3"/>
  <c r="AC236" i="3"/>
  <c r="AB236" i="3"/>
  <c r="M256" i="3" s="1"/>
  <c r="AA236" i="3"/>
  <c r="Z236" i="3"/>
  <c r="Y236" i="3"/>
  <c r="X236" i="3"/>
  <c r="W236" i="3"/>
  <c r="V236" i="3"/>
  <c r="U236" i="3"/>
  <c r="T236" i="3"/>
  <c r="E256" i="3" s="1"/>
  <c r="S236" i="3"/>
  <c r="R236" i="3"/>
  <c r="Q236" i="3"/>
  <c r="AR234" i="3"/>
  <c r="AC254" i="3" s="1"/>
  <c r="AQ234" i="3"/>
  <c r="AB254" i="3" s="1"/>
  <c r="AP234" i="3"/>
  <c r="AA254" i="3" s="1"/>
  <c r="AO234" i="3"/>
  <c r="Z254" i="3" s="1"/>
  <c r="AN234" i="3"/>
  <c r="Y254" i="3" s="1"/>
  <c r="AM234" i="3"/>
  <c r="X254" i="3" s="1"/>
  <c r="AL234" i="3"/>
  <c r="W254" i="3" s="1"/>
  <c r="AK234" i="3"/>
  <c r="V254" i="3" s="1"/>
  <c r="AJ234" i="3"/>
  <c r="U254" i="3" s="1"/>
  <c r="AI234" i="3"/>
  <c r="T254" i="3" s="1"/>
  <c r="AH234" i="3"/>
  <c r="S254" i="3" s="1"/>
  <c r="AG234" i="3"/>
  <c r="R254" i="3" s="1"/>
  <c r="AF234" i="3"/>
  <c r="Q254" i="3" s="1"/>
  <c r="AE234" i="3"/>
  <c r="P254" i="3" s="1"/>
  <c r="AD234" i="3"/>
  <c r="O254" i="3" s="1"/>
  <c r="AC234" i="3"/>
  <c r="N254" i="3" s="1"/>
  <c r="AB234" i="3"/>
  <c r="M254" i="3" s="1"/>
  <c r="AA234" i="3"/>
  <c r="L254" i="3" s="1"/>
  <c r="Z234" i="3"/>
  <c r="K254" i="3" s="1"/>
  <c r="Y234" i="3"/>
  <c r="J254" i="3" s="1"/>
  <c r="X234" i="3"/>
  <c r="I254" i="3" s="1"/>
  <c r="W234" i="3"/>
  <c r="H254" i="3" s="1"/>
  <c r="V234" i="3"/>
  <c r="G254" i="3" s="1"/>
  <c r="U234" i="3"/>
  <c r="F254" i="3" s="1"/>
  <c r="T234" i="3"/>
  <c r="E254" i="3" s="1"/>
  <c r="S234" i="3"/>
  <c r="D254" i="3" s="1"/>
  <c r="R234" i="3"/>
  <c r="C254" i="3" s="1"/>
  <c r="Q234" i="3"/>
  <c r="AR233" i="3"/>
  <c r="AQ233" i="3"/>
  <c r="AP233" i="3"/>
  <c r="AO233" i="3"/>
  <c r="Z253" i="3" s="1"/>
  <c r="AN233" i="3"/>
  <c r="AM233" i="3"/>
  <c r="AL233" i="3"/>
  <c r="AK233" i="3"/>
  <c r="AJ233" i="3"/>
  <c r="AI233" i="3"/>
  <c r="AH233" i="3"/>
  <c r="AG233" i="3"/>
  <c r="R253" i="3" s="1"/>
  <c r="AF233" i="3"/>
  <c r="AE233" i="3"/>
  <c r="AD233" i="3"/>
  <c r="AC233" i="3"/>
  <c r="AB233" i="3"/>
  <c r="AA233" i="3"/>
  <c r="Z233" i="3"/>
  <c r="Y233" i="3"/>
  <c r="J253" i="3" s="1"/>
  <c r="X233" i="3"/>
  <c r="W233" i="3"/>
  <c r="V233" i="3"/>
  <c r="U233" i="3"/>
  <c r="T233" i="3"/>
  <c r="S233" i="3"/>
  <c r="R233" i="3"/>
  <c r="Q233" i="3"/>
  <c r="B253" i="3" s="1"/>
  <c r="AR232" i="3"/>
  <c r="AC252" i="3" s="1"/>
  <c r="AQ232" i="3"/>
  <c r="AB252" i="3" s="1"/>
  <c r="AP232" i="3"/>
  <c r="AA252" i="3" s="1"/>
  <c r="AO232" i="3"/>
  <c r="Z252" i="3" s="1"/>
  <c r="AN232" i="3"/>
  <c r="Y252" i="3" s="1"/>
  <c r="AM232" i="3"/>
  <c r="X252" i="3" s="1"/>
  <c r="AL232" i="3"/>
  <c r="W252" i="3" s="1"/>
  <c r="AK232" i="3"/>
  <c r="V252" i="3" s="1"/>
  <c r="AJ232" i="3"/>
  <c r="U252" i="3" s="1"/>
  <c r="AI232" i="3"/>
  <c r="T252" i="3" s="1"/>
  <c r="AH232" i="3"/>
  <c r="S252" i="3" s="1"/>
  <c r="AG232" i="3"/>
  <c r="R252" i="3" s="1"/>
  <c r="AF232" i="3"/>
  <c r="Q252" i="3" s="1"/>
  <c r="AE232" i="3"/>
  <c r="P252" i="3" s="1"/>
  <c r="AD232" i="3"/>
  <c r="O252" i="3" s="1"/>
  <c r="AC232" i="3"/>
  <c r="N252" i="3" s="1"/>
  <c r="AB232" i="3"/>
  <c r="M252" i="3" s="1"/>
  <c r="AA232" i="3"/>
  <c r="L252" i="3" s="1"/>
  <c r="Z232" i="3"/>
  <c r="K252" i="3" s="1"/>
  <c r="Y232" i="3"/>
  <c r="J252" i="3" s="1"/>
  <c r="X232" i="3"/>
  <c r="I252" i="3" s="1"/>
  <c r="W232" i="3"/>
  <c r="H252" i="3" s="1"/>
  <c r="V232" i="3"/>
  <c r="G252" i="3" s="1"/>
  <c r="U232" i="3"/>
  <c r="F252" i="3" s="1"/>
  <c r="T232" i="3"/>
  <c r="E252" i="3" s="1"/>
  <c r="S232" i="3"/>
  <c r="D252" i="3" s="1"/>
  <c r="R232" i="3"/>
  <c r="C252" i="3" s="1"/>
  <c r="Q232" i="3"/>
  <c r="B252" i="3" s="1"/>
  <c r="AR231" i="3"/>
  <c r="AC251" i="3" s="1"/>
  <c r="AC269" i="3" s="1"/>
  <c r="AQ231" i="3"/>
  <c r="AB251" i="3" s="1"/>
  <c r="AB269" i="3" s="1"/>
  <c r="AP231" i="3"/>
  <c r="AA251" i="3" s="1"/>
  <c r="AA269" i="3" s="1"/>
  <c r="AO231" i="3"/>
  <c r="Z251" i="3" s="1"/>
  <c r="Z269" i="3" s="1"/>
  <c r="AN231" i="3"/>
  <c r="Y251" i="3" s="1"/>
  <c r="Y269" i="3" s="1"/>
  <c r="AM231" i="3"/>
  <c r="X251" i="3" s="1"/>
  <c r="X269" i="3" s="1"/>
  <c r="AL231" i="3"/>
  <c r="W251" i="3" s="1"/>
  <c r="W269" i="3" s="1"/>
  <c r="AK231" i="3"/>
  <c r="V251" i="3" s="1"/>
  <c r="V269" i="3" s="1"/>
  <c r="AJ231" i="3"/>
  <c r="U251" i="3" s="1"/>
  <c r="U269" i="3" s="1"/>
  <c r="AI231" i="3"/>
  <c r="T251" i="3" s="1"/>
  <c r="T269" i="3" s="1"/>
  <c r="AH231" i="3"/>
  <c r="S251" i="3" s="1"/>
  <c r="S269" i="3" s="1"/>
  <c r="AG231" i="3"/>
  <c r="R251" i="3" s="1"/>
  <c r="R269" i="3" s="1"/>
  <c r="AF231" i="3"/>
  <c r="Q251" i="3" s="1"/>
  <c r="Q269" i="3" s="1"/>
  <c r="AE231" i="3"/>
  <c r="P251" i="3" s="1"/>
  <c r="P269" i="3" s="1"/>
  <c r="AD231" i="3"/>
  <c r="O251" i="3" s="1"/>
  <c r="O269" i="3" s="1"/>
  <c r="AC231" i="3"/>
  <c r="N251" i="3" s="1"/>
  <c r="N269" i="3" s="1"/>
  <c r="AB231" i="3"/>
  <c r="M251" i="3" s="1"/>
  <c r="M269" i="3" s="1"/>
  <c r="AA231" i="3"/>
  <c r="L251" i="3" s="1"/>
  <c r="L269" i="3" s="1"/>
  <c r="Z231" i="3"/>
  <c r="K251" i="3" s="1"/>
  <c r="K269" i="3" s="1"/>
  <c r="Y231" i="3"/>
  <c r="J251" i="3" s="1"/>
  <c r="J269" i="3" s="1"/>
  <c r="X231" i="3"/>
  <c r="I251" i="3" s="1"/>
  <c r="I269" i="3" s="1"/>
  <c r="W231" i="3"/>
  <c r="H251" i="3" s="1"/>
  <c r="H269" i="3" s="1"/>
  <c r="V231" i="3"/>
  <c r="G251" i="3" s="1"/>
  <c r="G269" i="3" s="1"/>
  <c r="U231" i="3"/>
  <c r="F251" i="3" s="1"/>
  <c r="F269" i="3" s="1"/>
  <c r="T231" i="3"/>
  <c r="E251" i="3" s="1"/>
  <c r="E269" i="3" s="1"/>
  <c r="S231" i="3"/>
  <c r="D251" i="3" s="1"/>
  <c r="D269" i="3" s="1"/>
  <c r="R231" i="3"/>
  <c r="C251" i="3" s="1"/>
  <c r="C269" i="3" s="1"/>
  <c r="Q231" i="3"/>
  <c r="B251" i="3" s="1"/>
  <c r="B269" i="3" s="1"/>
  <c r="AR230" i="3"/>
  <c r="AQ230" i="3"/>
  <c r="AP230" i="3"/>
  <c r="AO230" i="3"/>
  <c r="AN230" i="3"/>
  <c r="AM230" i="3"/>
  <c r="AL230" i="3"/>
  <c r="AK230" i="3"/>
  <c r="AJ230" i="3"/>
  <c r="AI230" i="3"/>
  <c r="AH230" i="3"/>
  <c r="AG230" i="3"/>
  <c r="AF230" i="3"/>
  <c r="AE230" i="3"/>
  <c r="AD230" i="3"/>
  <c r="AC230" i="3"/>
  <c r="AB230" i="3"/>
  <c r="AA230" i="3"/>
  <c r="Z230" i="3"/>
  <c r="Y230" i="3"/>
  <c r="X230" i="3"/>
  <c r="W230" i="3"/>
  <c r="V230" i="3"/>
  <c r="U230" i="3"/>
  <c r="T230" i="3"/>
  <c r="S230" i="3"/>
  <c r="R230" i="3"/>
  <c r="Q230" i="3"/>
  <c r="AR229" i="3"/>
  <c r="AQ229" i="3"/>
  <c r="AP229" i="3"/>
  <c r="AO229" i="3"/>
  <c r="AN229" i="3"/>
  <c r="AM229" i="3"/>
  <c r="AL229" i="3"/>
  <c r="AK229" i="3"/>
  <c r="AJ229" i="3"/>
  <c r="AI229" i="3"/>
  <c r="AH229" i="3"/>
  <c r="AG229" i="3"/>
  <c r="AF229" i="3"/>
  <c r="AE229" i="3"/>
  <c r="AD229" i="3"/>
  <c r="AC229" i="3"/>
  <c r="AB229" i="3"/>
  <c r="AA229" i="3"/>
  <c r="Z229" i="3"/>
  <c r="Y229" i="3"/>
  <c r="X229" i="3"/>
  <c r="W229" i="3"/>
  <c r="V229" i="3"/>
  <c r="U229" i="3"/>
  <c r="T229" i="3"/>
  <c r="S229" i="3"/>
  <c r="R229" i="3"/>
  <c r="Q229" i="3"/>
  <c r="AR228" i="3"/>
  <c r="AC248" i="3" s="1"/>
  <c r="AQ228" i="3"/>
  <c r="AP228" i="3"/>
  <c r="AO228" i="3"/>
  <c r="AN228" i="3"/>
  <c r="AM228" i="3"/>
  <c r="AL228" i="3"/>
  <c r="AK228" i="3"/>
  <c r="AJ228" i="3"/>
  <c r="U248" i="3" s="1"/>
  <c r="AI228" i="3"/>
  <c r="AH228" i="3"/>
  <c r="AG228" i="3"/>
  <c r="AF228" i="3"/>
  <c r="AE228" i="3"/>
  <c r="AD228" i="3"/>
  <c r="AC228" i="3"/>
  <c r="AB228" i="3"/>
  <c r="M248" i="3" s="1"/>
  <c r="AA228" i="3"/>
  <c r="Z228" i="3"/>
  <c r="Y228" i="3"/>
  <c r="X228" i="3"/>
  <c r="W228" i="3"/>
  <c r="V228" i="3"/>
  <c r="U228" i="3"/>
  <c r="T228" i="3"/>
  <c r="E248" i="3" s="1"/>
  <c r="S228" i="3"/>
  <c r="R228" i="3"/>
  <c r="Q228" i="3"/>
  <c r="AR227" i="3"/>
  <c r="AC247" i="3" s="1"/>
  <c r="AQ227" i="3"/>
  <c r="AB247" i="3" s="1"/>
  <c r="AP227" i="3"/>
  <c r="AA247" i="3" s="1"/>
  <c r="AO227" i="3"/>
  <c r="Z247" i="3" s="1"/>
  <c r="AN227" i="3"/>
  <c r="Y247" i="3" s="1"/>
  <c r="AM227" i="3"/>
  <c r="X247" i="3" s="1"/>
  <c r="AL227" i="3"/>
  <c r="W247" i="3" s="1"/>
  <c r="AK227" i="3"/>
  <c r="V247" i="3" s="1"/>
  <c r="AJ227" i="3"/>
  <c r="U247" i="3" s="1"/>
  <c r="AI227" i="3"/>
  <c r="T247" i="3" s="1"/>
  <c r="AH227" i="3"/>
  <c r="S247" i="3" s="1"/>
  <c r="AG227" i="3"/>
  <c r="R247" i="3" s="1"/>
  <c r="AF227" i="3"/>
  <c r="Q247" i="3" s="1"/>
  <c r="AE227" i="3"/>
  <c r="P247" i="3" s="1"/>
  <c r="AD227" i="3"/>
  <c r="O247" i="3" s="1"/>
  <c r="AC227" i="3"/>
  <c r="N247" i="3" s="1"/>
  <c r="AB227" i="3"/>
  <c r="M247" i="3" s="1"/>
  <c r="AA227" i="3"/>
  <c r="L247" i="3" s="1"/>
  <c r="Z227" i="3"/>
  <c r="K247" i="3" s="1"/>
  <c r="Y227" i="3"/>
  <c r="J247" i="3" s="1"/>
  <c r="X227" i="3"/>
  <c r="I247" i="3" s="1"/>
  <c r="W227" i="3"/>
  <c r="H247" i="3" s="1"/>
  <c r="V227" i="3"/>
  <c r="G247" i="3" s="1"/>
  <c r="U227" i="3"/>
  <c r="F247" i="3" s="1"/>
  <c r="T227" i="3"/>
  <c r="E247" i="3" s="1"/>
  <c r="S227" i="3"/>
  <c r="D247" i="3" s="1"/>
  <c r="R227" i="3"/>
  <c r="C247" i="3" s="1"/>
  <c r="Q227" i="3"/>
  <c r="B247" i="3" s="1"/>
  <c r="AR226" i="3"/>
  <c r="AQ226" i="3"/>
  <c r="AP226" i="3"/>
  <c r="AO226" i="3"/>
  <c r="AN226" i="3"/>
  <c r="Y246" i="3" s="1"/>
  <c r="AM226" i="3"/>
  <c r="AL226" i="3"/>
  <c r="AK226" i="3"/>
  <c r="AJ226" i="3"/>
  <c r="AI226" i="3"/>
  <c r="AH226" i="3"/>
  <c r="AG226" i="3"/>
  <c r="AF226" i="3"/>
  <c r="Q246" i="3" s="1"/>
  <c r="AE226" i="3"/>
  <c r="AD226" i="3"/>
  <c r="AC226" i="3"/>
  <c r="AB226" i="3"/>
  <c r="AA226" i="3"/>
  <c r="Z226" i="3"/>
  <c r="Y226" i="3"/>
  <c r="X226" i="3"/>
  <c r="I246" i="3" s="1"/>
  <c r="W226" i="3"/>
  <c r="V226" i="3"/>
  <c r="U226" i="3"/>
  <c r="T226" i="3"/>
  <c r="S226" i="3"/>
  <c r="R226" i="3"/>
  <c r="Q226" i="3"/>
  <c r="AR225" i="3"/>
  <c r="AQ225" i="3"/>
  <c r="AP225" i="3"/>
  <c r="AO225" i="3"/>
  <c r="AN225" i="3"/>
  <c r="AM225" i="3"/>
  <c r="AL225" i="3"/>
  <c r="AK225" i="3"/>
  <c r="AJ225" i="3"/>
  <c r="AI225" i="3"/>
  <c r="AH225" i="3"/>
  <c r="AG225" i="3"/>
  <c r="AF225" i="3"/>
  <c r="AE225" i="3"/>
  <c r="AD225" i="3"/>
  <c r="AC225" i="3"/>
  <c r="AB225" i="3"/>
  <c r="AA225" i="3"/>
  <c r="Z225" i="3"/>
  <c r="Y225" i="3"/>
  <c r="X225" i="3"/>
  <c r="W225" i="3"/>
  <c r="V225" i="3"/>
  <c r="U225" i="3"/>
  <c r="T225" i="3"/>
  <c r="S225" i="3"/>
  <c r="R225" i="3"/>
  <c r="Q225" i="3"/>
  <c r="A153" i="3"/>
  <c r="A151" i="3"/>
  <c r="A188" i="3" s="1"/>
  <c r="A150" i="3"/>
  <c r="A149" i="3"/>
  <c r="A148" i="3"/>
  <c r="A146" i="3"/>
  <c r="A163" i="3" s="1"/>
  <c r="A187" i="3" s="1"/>
  <c r="A145" i="3"/>
  <c r="A144" i="3"/>
  <c r="A162" i="3" s="1"/>
  <c r="A186" i="3" s="1"/>
  <c r="A143" i="3"/>
  <c r="A161" i="3" s="1"/>
  <c r="A173" i="3" s="1"/>
  <c r="A142" i="3"/>
  <c r="A160" i="3" s="1"/>
  <c r="A184" i="3" s="1"/>
  <c r="A141" i="3"/>
  <c r="A140" i="3"/>
  <c r="A159" i="3" s="1"/>
  <c r="A171" i="3" s="1"/>
  <c r="A139" i="3"/>
  <c r="A158" i="3" s="1"/>
  <c r="A138" i="3"/>
  <c r="A157" i="3" s="1"/>
  <c r="A181" i="3" s="1"/>
  <c r="A137" i="3"/>
  <c r="A156" i="3" s="1"/>
  <c r="A168" i="3" s="1"/>
  <c r="AR133" i="3"/>
  <c r="AQ133" i="3"/>
  <c r="AP133" i="3"/>
  <c r="AO133" i="3"/>
  <c r="AN133" i="3"/>
  <c r="AM133" i="3"/>
  <c r="AL133" i="3"/>
  <c r="AK133" i="3"/>
  <c r="AJ133" i="3"/>
  <c r="AI133" i="3"/>
  <c r="AH133" i="3"/>
  <c r="AG133" i="3"/>
  <c r="AF133" i="3"/>
  <c r="AE133" i="3"/>
  <c r="AD133" i="3"/>
  <c r="AC133" i="3"/>
  <c r="AB133" i="3"/>
  <c r="AA133" i="3"/>
  <c r="Z133" i="3"/>
  <c r="Y133" i="3"/>
  <c r="X133" i="3"/>
  <c r="W133" i="3"/>
  <c r="V133" i="3"/>
  <c r="U133" i="3"/>
  <c r="T133" i="3"/>
  <c r="S133" i="3"/>
  <c r="R133" i="3"/>
  <c r="Q133" i="3"/>
  <c r="AR132" i="3"/>
  <c r="AQ132" i="3"/>
  <c r="AP132" i="3"/>
  <c r="AO132" i="3"/>
  <c r="AN132" i="3"/>
  <c r="AM132" i="3"/>
  <c r="AL132" i="3"/>
  <c r="AK132" i="3"/>
  <c r="AJ132" i="3"/>
  <c r="AI132" i="3"/>
  <c r="AH132" i="3"/>
  <c r="AG132" i="3"/>
  <c r="AF132" i="3"/>
  <c r="AE132" i="3"/>
  <c r="AD132" i="3"/>
  <c r="AC132" i="3"/>
  <c r="AB132" i="3"/>
  <c r="AA132" i="3"/>
  <c r="Z132" i="3"/>
  <c r="Y132" i="3"/>
  <c r="X132" i="3"/>
  <c r="W132" i="3"/>
  <c r="V132" i="3"/>
  <c r="U132" i="3"/>
  <c r="T132" i="3"/>
  <c r="S132" i="3"/>
  <c r="R132" i="3"/>
  <c r="Q132" i="3"/>
  <c r="AR131" i="3"/>
  <c r="AQ131" i="3"/>
  <c r="AP131" i="3"/>
  <c r="AO131" i="3"/>
  <c r="AN131" i="3"/>
  <c r="AM131" i="3"/>
  <c r="AL131" i="3"/>
  <c r="AK131" i="3"/>
  <c r="AJ131" i="3"/>
  <c r="AI131" i="3"/>
  <c r="AH131" i="3"/>
  <c r="AG131" i="3"/>
  <c r="AF131" i="3"/>
  <c r="AE131" i="3"/>
  <c r="AD131" i="3"/>
  <c r="AC131" i="3"/>
  <c r="AB131" i="3"/>
  <c r="AA131" i="3"/>
  <c r="Z131" i="3"/>
  <c r="Y131" i="3"/>
  <c r="X131" i="3"/>
  <c r="W131" i="3"/>
  <c r="V131" i="3"/>
  <c r="U131" i="3"/>
  <c r="T131" i="3"/>
  <c r="S131" i="3"/>
  <c r="R131" i="3"/>
  <c r="Q131" i="3"/>
  <c r="AR130" i="3"/>
  <c r="AQ130" i="3"/>
  <c r="AP130" i="3"/>
  <c r="AO130" i="3"/>
  <c r="AN130" i="3"/>
  <c r="AM130" i="3"/>
  <c r="AL130" i="3"/>
  <c r="AK130" i="3"/>
  <c r="AJ130" i="3"/>
  <c r="AI130" i="3"/>
  <c r="AH130" i="3"/>
  <c r="AG130" i="3"/>
  <c r="AF130" i="3"/>
  <c r="AE130" i="3"/>
  <c r="AD130" i="3"/>
  <c r="AC130" i="3"/>
  <c r="AB130" i="3"/>
  <c r="AA130" i="3"/>
  <c r="Z130" i="3"/>
  <c r="Y130" i="3"/>
  <c r="X130" i="3"/>
  <c r="W130" i="3"/>
  <c r="V130" i="3"/>
  <c r="U130" i="3"/>
  <c r="T130" i="3"/>
  <c r="S130" i="3"/>
  <c r="R130" i="3"/>
  <c r="Q130" i="3"/>
  <c r="AR129" i="3"/>
  <c r="AQ129" i="3"/>
  <c r="AP129" i="3"/>
  <c r="AA149" i="3" s="1"/>
  <c r="AO129" i="3"/>
  <c r="AN129" i="3"/>
  <c r="AM129" i="3"/>
  <c r="AL129" i="3"/>
  <c r="AK129" i="3"/>
  <c r="AJ129" i="3"/>
  <c r="AI129" i="3"/>
  <c r="AH129" i="3"/>
  <c r="S149" i="3" s="1"/>
  <c r="AG129" i="3"/>
  <c r="AF129" i="3"/>
  <c r="AE129" i="3"/>
  <c r="AD129" i="3"/>
  <c r="AC129" i="3"/>
  <c r="AB129" i="3"/>
  <c r="AA129" i="3"/>
  <c r="Z129" i="3"/>
  <c r="K149" i="3" s="1"/>
  <c r="Y129" i="3"/>
  <c r="X129" i="3"/>
  <c r="W129" i="3"/>
  <c r="V129" i="3"/>
  <c r="U129" i="3"/>
  <c r="T129" i="3"/>
  <c r="S129" i="3"/>
  <c r="R129" i="3"/>
  <c r="C149" i="3" s="1"/>
  <c r="Q129" i="3"/>
  <c r="AR128" i="3"/>
  <c r="AC148" i="3" s="1"/>
  <c r="AQ128" i="3"/>
  <c r="AP128" i="3"/>
  <c r="AO128" i="3"/>
  <c r="AN128" i="3"/>
  <c r="AM128" i="3"/>
  <c r="AL128" i="3"/>
  <c r="AK128" i="3"/>
  <c r="AJ128" i="3"/>
  <c r="U148" i="3" s="1"/>
  <c r="AI128" i="3"/>
  <c r="AH128" i="3"/>
  <c r="AG128" i="3"/>
  <c r="AF128" i="3"/>
  <c r="AE128" i="3"/>
  <c r="AD128" i="3"/>
  <c r="AC128" i="3"/>
  <c r="AB128" i="3"/>
  <c r="M148" i="3" s="1"/>
  <c r="AA128" i="3"/>
  <c r="Z128" i="3"/>
  <c r="Y128" i="3"/>
  <c r="X128" i="3"/>
  <c r="W128" i="3"/>
  <c r="V128" i="3"/>
  <c r="U128" i="3"/>
  <c r="T128" i="3"/>
  <c r="E148" i="3" s="1"/>
  <c r="S128" i="3"/>
  <c r="R128" i="3"/>
  <c r="Q128" i="3"/>
  <c r="Q126" i="3"/>
  <c r="B146" i="3" s="1"/>
  <c r="AR125" i="3"/>
  <c r="AQ125" i="3"/>
  <c r="AP125" i="3"/>
  <c r="AO125" i="3"/>
  <c r="AN125" i="3"/>
  <c r="AM125" i="3"/>
  <c r="AL125" i="3"/>
  <c r="AK125" i="3"/>
  <c r="AJ125" i="3"/>
  <c r="AI125" i="3"/>
  <c r="AH125" i="3"/>
  <c r="AG125" i="3"/>
  <c r="AF125" i="3"/>
  <c r="AE125" i="3"/>
  <c r="AD125" i="3"/>
  <c r="AC125" i="3"/>
  <c r="AB125" i="3"/>
  <c r="AA125" i="3"/>
  <c r="Z125" i="3"/>
  <c r="Y125" i="3"/>
  <c r="X125" i="3"/>
  <c r="W125" i="3"/>
  <c r="V125" i="3"/>
  <c r="U125" i="3"/>
  <c r="T125" i="3"/>
  <c r="S125" i="3"/>
  <c r="R125" i="3"/>
  <c r="Q125" i="3"/>
  <c r="AR124" i="3"/>
  <c r="AQ124" i="3"/>
  <c r="AP124" i="3"/>
  <c r="AA144" i="3" s="1"/>
  <c r="AO124" i="3"/>
  <c r="AN124" i="3"/>
  <c r="AM124" i="3"/>
  <c r="AL124" i="3"/>
  <c r="AK124" i="3"/>
  <c r="AJ124" i="3"/>
  <c r="AI124" i="3"/>
  <c r="AH124" i="3"/>
  <c r="S144" i="3" s="1"/>
  <c r="AG124" i="3"/>
  <c r="AF124" i="3"/>
  <c r="AE124" i="3"/>
  <c r="AD124" i="3"/>
  <c r="AC124" i="3"/>
  <c r="AB124" i="3"/>
  <c r="AA124" i="3"/>
  <c r="Z124" i="3"/>
  <c r="K144" i="3" s="1"/>
  <c r="Y124" i="3"/>
  <c r="X124" i="3"/>
  <c r="W124" i="3"/>
  <c r="V124" i="3"/>
  <c r="U124" i="3"/>
  <c r="T124" i="3"/>
  <c r="S124" i="3"/>
  <c r="R124" i="3"/>
  <c r="C144" i="3" s="1"/>
  <c r="Q124" i="3"/>
  <c r="AR123" i="3"/>
  <c r="AC143" i="3" s="1"/>
  <c r="AC161" i="3" s="1"/>
  <c r="AQ123" i="3"/>
  <c r="AB143" i="3" s="1"/>
  <c r="AB161" i="3" s="1"/>
  <c r="AP123" i="3"/>
  <c r="AA143" i="3" s="1"/>
  <c r="AA161" i="3" s="1"/>
  <c r="AO123" i="3"/>
  <c r="Z143" i="3" s="1"/>
  <c r="Z161" i="3" s="1"/>
  <c r="AN123" i="3"/>
  <c r="Y143" i="3" s="1"/>
  <c r="Y161" i="3" s="1"/>
  <c r="AM123" i="3"/>
  <c r="X143" i="3" s="1"/>
  <c r="X161" i="3" s="1"/>
  <c r="AL123" i="3"/>
  <c r="W143" i="3" s="1"/>
  <c r="W161" i="3" s="1"/>
  <c r="AK123" i="3"/>
  <c r="V143" i="3" s="1"/>
  <c r="V161" i="3" s="1"/>
  <c r="AJ123" i="3"/>
  <c r="U143" i="3" s="1"/>
  <c r="U161" i="3" s="1"/>
  <c r="AI123" i="3"/>
  <c r="T143" i="3" s="1"/>
  <c r="T161" i="3" s="1"/>
  <c r="AH123" i="3"/>
  <c r="S143" i="3" s="1"/>
  <c r="S161" i="3" s="1"/>
  <c r="AG123" i="3"/>
  <c r="R143" i="3" s="1"/>
  <c r="R161" i="3" s="1"/>
  <c r="AF123" i="3"/>
  <c r="Q143" i="3" s="1"/>
  <c r="Q161" i="3" s="1"/>
  <c r="AE123" i="3"/>
  <c r="P143" i="3" s="1"/>
  <c r="P161" i="3" s="1"/>
  <c r="AD123" i="3"/>
  <c r="O143" i="3" s="1"/>
  <c r="O161" i="3" s="1"/>
  <c r="AC123" i="3"/>
  <c r="N143" i="3" s="1"/>
  <c r="N161" i="3" s="1"/>
  <c r="AB123" i="3"/>
  <c r="M143" i="3" s="1"/>
  <c r="M161" i="3" s="1"/>
  <c r="AA123" i="3"/>
  <c r="L143" i="3" s="1"/>
  <c r="L161" i="3" s="1"/>
  <c r="Z123" i="3"/>
  <c r="K143" i="3" s="1"/>
  <c r="K161" i="3" s="1"/>
  <c r="Y123" i="3"/>
  <c r="J143" i="3" s="1"/>
  <c r="J161" i="3" s="1"/>
  <c r="X123" i="3"/>
  <c r="I143" i="3" s="1"/>
  <c r="I161" i="3" s="1"/>
  <c r="W123" i="3"/>
  <c r="H143" i="3" s="1"/>
  <c r="H161" i="3" s="1"/>
  <c r="V123" i="3"/>
  <c r="G143" i="3" s="1"/>
  <c r="G161" i="3" s="1"/>
  <c r="U123" i="3"/>
  <c r="F143" i="3" s="1"/>
  <c r="F161" i="3" s="1"/>
  <c r="T123" i="3"/>
  <c r="E143" i="3" s="1"/>
  <c r="E161" i="3" s="1"/>
  <c r="S123" i="3"/>
  <c r="D143" i="3" s="1"/>
  <c r="D161" i="3" s="1"/>
  <c r="R123" i="3"/>
  <c r="C143" i="3" s="1"/>
  <c r="C161" i="3" s="1"/>
  <c r="Q123" i="3"/>
  <c r="B143" i="3" s="1"/>
  <c r="AR122" i="3"/>
  <c r="AC142" i="3" s="1"/>
  <c r="AC160" i="3" s="1"/>
  <c r="AQ122" i="3"/>
  <c r="AB142" i="3" s="1"/>
  <c r="AB160" i="3" s="1"/>
  <c r="AP122" i="3"/>
  <c r="AA142" i="3" s="1"/>
  <c r="AA160" i="3" s="1"/>
  <c r="AO122" i="3"/>
  <c r="Z142" i="3" s="1"/>
  <c r="Z160" i="3" s="1"/>
  <c r="AN122" i="3"/>
  <c r="Y142" i="3" s="1"/>
  <c r="Y160" i="3" s="1"/>
  <c r="AM122" i="3"/>
  <c r="X142" i="3" s="1"/>
  <c r="X160" i="3" s="1"/>
  <c r="AL122" i="3"/>
  <c r="W142" i="3" s="1"/>
  <c r="W160" i="3" s="1"/>
  <c r="AK122" i="3"/>
  <c r="V142" i="3" s="1"/>
  <c r="V160" i="3" s="1"/>
  <c r="AJ122" i="3"/>
  <c r="U142" i="3" s="1"/>
  <c r="U160" i="3" s="1"/>
  <c r="AI122" i="3"/>
  <c r="T142" i="3" s="1"/>
  <c r="T160" i="3" s="1"/>
  <c r="AH122" i="3"/>
  <c r="S142" i="3" s="1"/>
  <c r="S160" i="3" s="1"/>
  <c r="AG122" i="3"/>
  <c r="R142" i="3" s="1"/>
  <c r="R160" i="3" s="1"/>
  <c r="AF122" i="3"/>
  <c r="Q142" i="3" s="1"/>
  <c r="Q160" i="3" s="1"/>
  <c r="AE122" i="3"/>
  <c r="P142" i="3" s="1"/>
  <c r="P160" i="3" s="1"/>
  <c r="AD122" i="3"/>
  <c r="O142" i="3" s="1"/>
  <c r="O160" i="3" s="1"/>
  <c r="AC122" i="3"/>
  <c r="N142" i="3" s="1"/>
  <c r="N160" i="3" s="1"/>
  <c r="AB122" i="3"/>
  <c r="M142" i="3" s="1"/>
  <c r="M160" i="3" s="1"/>
  <c r="AA122" i="3"/>
  <c r="L142" i="3" s="1"/>
  <c r="L160" i="3" s="1"/>
  <c r="Z122" i="3"/>
  <c r="K142" i="3" s="1"/>
  <c r="K160" i="3" s="1"/>
  <c r="Y122" i="3"/>
  <c r="J142" i="3" s="1"/>
  <c r="J160" i="3" s="1"/>
  <c r="X122" i="3"/>
  <c r="I142" i="3" s="1"/>
  <c r="I160" i="3" s="1"/>
  <c r="W122" i="3"/>
  <c r="H142" i="3" s="1"/>
  <c r="H160" i="3" s="1"/>
  <c r="V122" i="3"/>
  <c r="G142" i="3" s="1"/>
  <c r="G160" i="3" s="1"/>
  <c r="U122" i="3"/>
  <c r="F142" i="3" s="1"/>
  <c r="F160" i="3" s="1"/>
  <c r="T122" i="3"/>
  <c r="E142" i="3" s="1"/>
  <c r="E160" i="3" s="1"/>
  <c r="S122" i="3"/>
  <c r="D142" i="3" s="1"/>
  <c r="D160" i="3" s="1"/>
  <c r="R122" i="3"/>
  <c r="C142" i="3" s="1"/>
  <c r="C160" i="3" s="1"/>
  <c r="Q122" i="3"/>
  <c r="B142" i="3" s="1"/>
  <c r="B160" i="3" s="1"/>
  <c r="AR121" i="3"/>
  <c r="AQ121" i="3"/>
  <c r="AP121" i="3"/>
  <c r="AO121" i="3"/>
  <c r="AN121" i="3"/>
  <c r="AM121" i="3"/>
  <c r="AL121" i="3"/>
  <c r="AK121" i="3"/>
  <c r="AJ121" i="3"/>
  <c r="AI121" i="3"/>
  <c r="AH121" i="3"/>
  <c r="AG121" i="3"/>
  <c r="AF121" i="3"/>
  <c r="AE121" i="3"/>
  <c r="AD121" i="3"/>
  <c r="AC121" i="3"/>
  <c r="AB121" i="3"/>
  <c r="AA121" i="3"/>
  <c r="Z121" i="3"/>
  <c r="Y121" i="3"/>
  <c r="X121" i="3"/>
  <c r="W121" i="3"/>
  <c r="V121" i="3"/>
  <c r="U121" i="3"/>
  <c r="T121" i="3"/>
  <c r="S121" i="3"/>
  <c r="R121" i="3"/>
  <c r="Q121" i="3"/>
  <c r="AR120" i="3"/>
  <c r="AQ120" i="3"/>
  <c r="AP120" i="3"/>
  <c r="AO120" i="3"/>
  <c r="AN120" i="3"/>
  <c r="AM120" i="3"/>
  <c r="AL120" i="3"/>
  <c r="AK120" i="3"/>
  <c r="AJ120" i="3"/>
  <c r="AI120" i="3"/>
  <c r="AH120" i="3"/>
  <c r="AG120" i="3"/>
  <c r="AF120" i="3"/>
  <c r="AE120" i="3"/>
  <c r="AD120" i="3"/>
  <c r="AC120" i="3"/>
  <c r="AB120" i="3"/>
  <c r="AA120" i="3"/>
  <c r="Z120" i="3"/>
  <c r="Y120" i="3"/>
  <c r="X120" i="3"/>
  <c r="W120" i="3"/>
  <c r="V120" i="3"/>
  <c r="U120" i="3"/>
  <c r="T120" i="3"/>
  <c r="S120" i="3"/>
  <c r="R120" i="3"/>
  <c r="Q120" i="3"/>
  <c r="AR119" i="3"/>
  <c r="AC139" i="3" s="1"/>
  <c r="AQ119" i="3"/>
  <c r="AB139" i="3" s="1"/>
  <c r="AP119" i="3"/>
  <c r="AA139" i="3" s="1"/>
  <c r="AO119" i="3"/>
  <c r="Z139" i="3" s="1"/>
  <c r="AN119" i="3"/>
  <c r="Y139" i="3" s="1"/>
  <c r="AM119" i="3"/>
  <c r="X139" i="3" s="1"/>
  <c r="AL119" i="3"/>
  <c r="W139" i="3" s="1"/>
  <c r="AK119" i="3"/>
  <c r="V139" i="3" s="1"/>
  <c r="AJ119" i="3"/>
  <c r="U139" i="3" s="1"/>
  <c r="AI119" i="3"/>
  <c r="T139" i="3" s="1"/>
  <c r="AH119" i="3"/>
  <c r="S139" i="3" s="1"/>
  <c r="AG119" i="3"/>
  <c r="R139" i="3" s="1"/>
  <c r="AF119" i="3"/>
  <c r="Q139" i="3" s="1"/>
  <c r="AE119" i="3"/>
  <c r="P139" i="3" s="1"/>
  <c r="AD119" i="3"/>
  <c r="O139" i="3" s="1"/>
  <c r="AC119" i="3"/>
  <c r="N139" i="3" s="1"/>
  <c r="AB119" i="3"/>
  <c r="M139" i="3" s="1"/>
  <c r="AA119" i="3"/>
  <c r="L139" i="3" s="1"/>
  <c r="Z119" i="3"/>
  <c r="K139" i="3" s="1"/>
  <c r="Y119" i="3"/>
  <c r="J139" i="3" s="1"/>
  <c r="X119" i="3"/>
  <c r="I139" i="3" s="1"/>
  <c r="W119" i="3"/>
  <c r="H139" i="3" s="1"/>
  <c r="V119" i="3"/>
  <c r="G139" i="3" s="1"/>
  <c r="U119" i="3"/>
  <c r="F139" i="3" s="1"/>
  <c r="T119" i="3"/>
  <c r="E139" i="3" s="1"/>
  <c r="S119" i="3"/>
  <c r="D139" i="3" s="1"/>
  <c r="R119" i="3"/>
  <c r="C139" i="3" s="1"/>
  <c r="Q119" i="3"/>
  <c r="B139" i="3" s="1"/>
  <c r="AR118" i="3"/>
  <c r="AC138" i="3" s="1"/>
  <c r="AQ118" i="3"/>
  <c r="AB138" i="3" s="1"/>
  <c r="AP118" i="3"/>
  <c r="AA138" i="3" s="1"/>
  <c r="AO118" i="3"/>
  <c r="Z138" i="3" s="1"/>
  <c r="AN118" i="3"/>
  <c r="Y138" i="3" s="1"/>
  <c r="AM118" i="3"/>
  <c r="X138" i="3" s="1"/>
  <c r="AL118" i="3"/>
  <c r="W138" i="3" s="1"/>
  <c r="AK118" i="3"/>
  <c r="V138" i="3" s="1"/>
  <c r="AJ118" i="3"/>
  <c r="U138" i="3" s="1"/>
  <c r="AI118" i="3"/>
  <c r="T138" i="3" s="1"/>
  <c r="AH118" i="3"/>
  <c r="S138" i="3" s="1"/>
  <c r="AG118" i="3"/>
  <c r="R138" i="3" s="1"/>
  <c r="AF118" i="3"/>
  <c r="Q138" i="3" s="1"/>
  <c r="AE118" i="3"/>
  <c r="P138" i="3" s="1"/>
  <c r="AD118" i="3"/>
  <c r="O138" i="3" s="1"/>
  <c r="AC118" i="3"/>
  <c r="N138" i="3" s="1"/>
  <c r="AB118" i="3"/>
  <c r="M138" i="3" s="1"/>
  <c r="AA118" i="3"/>
  <c r="L138" i="3" s="1"/>
  <c r="Z118" i="3"/>
  <c r="K138" i="3" s="1"/>
  <c r="Y118" i="3"/>
  <c r="J138" i="3" s="1"/>
  <c r="X118" i="3"/>
  <c r="I138" i="3" s="1"/>
  <c r="W118" i="3"/>
  <c r="H138" i="3" s="1"/>
  <c r="V118" i="3"/>
  <c r="G138" i="3" s="1"/>
  <c r="U118" i="3"/>
  <c r="F138" i="3" s="1"/>
  <c r="T118" i="3"/>
  <c r="E138" i="3" s="1"/>
  <c r="S118" i="3"/>
  <c r="D138" i="3" s="1"/>
  <c r="R118" i="3"/>
  <c r="C138" i="3" s="1"/>
  <c r="Q118" i="3"/>
  <c r="B138" i="3" s="1"/>
  <c r="AR117" i="3"/>
  <c r="AQ117" i="3"/>
  <c r="AP117" i="3"/>
  <c r="AO117" i="3"/>
  <c r="AN117" i="3"/>
  <c r="AM117" i="3"/>
  <c r="AL117" i="3"/>
  <c r="W137" i="3" s="1"/>
  <c r="AK117" i="3"/>
  <c r="V137" i="3" s="1"/>
  <c r="AJ117" i="3"/>
  <c r="AI117" i="3"/>
  <c r="AH117" i="3"/>
  <c r="AG117" i="3"/>
  <c r="AF117" i="3"/>
  <c r="AE117" i="3"/>
  <c r="AD117" i="3"/>
  <c r="O137" i="3" s="1"/>
  <c r="AC117" i="3"/>
  <c r="N137" i="3" s="1"/>
  <c r="AB117" i="3"/>
  <c r="AA117" i="3"/>
  <c r="Z117" i="3"/>
  <c r="Y117" i="3"/>
  <c r="X117" i="3"/>
  <c r="W117" i="3"/>
  <c r="V117" i="3"/>
  <c r="G137" i="3" s="1"/>
  <c r="U117" i="3"/>
  <c r="F137" i="3" s="1"/>
  <c r="T117" i="3"/>
  <c r="S117" i="3"/>
  <c r="R117" i="3"/>
  <c r="Q117" i="3"/>
  <c r="A83" i="3"/>
  <c r="A47" i="3"/>
  <c r="A45" i="3"/>
  <c r="A82" i="3" s="1"/>
  <c r="A44" i="3"/>
  <c r="A43" i="3"/>
  <c r="A42" i="3"/>
  <c r="A40" i="3"/>
  <c r="A57" i="3" s="1"/>
  <c r="A39" i="3"/>
  <c r="A38" i="3"/>
  <c r="A56" i="3" s="1"/>
  <c r="A37" i="3"/>
  <c r="A55" i="3" s="1"/>
  <c r="A36" i="3"/>
  <c r="A54" i="3" s="1"/>
  <c r="A35" i="3"/>
  <c r="A34" i="3"/>
  <c r="A53" i="3" s="1"/>
  <c r="A33" i="3"/>
  <c r="A52" i="3" s="1"/>
  <c r="A32" i="3"/>
  <c r="A51" i="3" s="1"/>
  <c r="A31" i="3"/>
  <c r="A50" i="3" s="1"/>
  <c r="AR27" i="3"/>
  <c r="AQ27" i="3"/>
  <c r="AP27" i="3"/>
  <c r="AO27" i="3"/>
  <c r="AN27" i="3"/>
  <c r="AM27" i="3"/>
  <c r="AL27" i="3"/>
  <c r="AK27" i="3"/>
  <c r="AJ27" i="3"/>
  <c r="AI27" i="3"/>
  <c r="AH27" i="3"/>
  <c r="AG27" i="3"/>
  <c r="AF27" i="3"/>
  <c r="AE27" i="3"/>
  <c r="AD27" i="3"/>
  <c r="AC27" i="3"/>
  <c r="AB27" i="3"/>
  <c r="AA27" i="3"/>
  <c r="Z27" i="3"/>
  <c r="Y27" i="3"/>
  <c r="X27" i="3"/>
  <c r="W27" i="3"/>
  <c r="V27" i="3"/>
  <c r="U27" i="3"/>
  <c r="T27" i="3"/>
  <c r="S27" i="3"/>
  <c r="R27" i="3"/>
  <c r="Q27" i="3"/>
  <c r="AR26" i="3"/>
  <c r="AQ26" i="3"/>
  <c r="AP26" i="3"/>
  <c r="AO26" i="3"/>
  <c r="AN26" i="3"/>
  <c r="AM26" i="3"/>
  <c r="AL26" i="3"/>
  <c r="AK26" i="3"/>
  <c r="AJ26" i="3"/>
  <c r="AI26" i="3"/>
  <c r="AH26" i="3"/>
  <c r="AG26" i="3"/>
  <c r="AF26" i="3"/>
  <c r="AE26" i="3"/>
  <c r="AD26" i="3"/>
  <c r="AC26" i="3"/>
  <c r="AB26" i="3"/>
  <c r="AA26" i="3"/>
  <c r="Z26" i="3"/>
  <c r="Y26" i="3"/>
  <c r="X26" i="3"/>
  <c r="W26" i="3"/>
  <c r="V26" i="3"/>
  <c r="U26" i="3"/>
  <c r="T26" i="3"/>
  <c r="S26" i="3"/>
  <c r="R26" i="3"/>
  <c r="Q26" i="3"/>
  <c r="AR25" i="3"/>
  <c r="AQ25" i="3"/>
  <c r="AP25" i="3"/>
  <c r="AO25" i="3"/>
  <c r="AN25" i="3"/>
  <c r="AM25" i="3"/>
  <c r="AL25" i="3"/>
  <c r="AK25" i="3"/>
  <c r="AJ25" i="3"/>
  <c r="AI25" i="3"/>
  <c r="AH25" i="3"/>
  <c r="AG25" i="3"/>
  <c r="AF25" i="3"/>
  <c r="AE25" i="3"/>
  <c r="AD25" i="3"/>
  <c r="AC25" i="3"/>
  <c r="AB25" i="3"/>
  <c r="AA25" i="3"/>
  <c r="Z25" i="3"/>
  <c r="Y25" i="3"/>
  <c r="X25" i="3"/>
  <c r="W25" i="3"/>
  <c r="V25" i="3"/>
  <c r="U25" i="3"/>
  <c r="T25" i="3"/>
  <c r="S25" i="3"/>
  <c r="R25" i="3"/>
  <c r="Q25" i="3"/>
  <c r="AR24" i="3"/>
  <c r="AQ24" i="3"/>
  <c r="AP24" i="3"/>
  <c r="AO24" i="3"/>
  <c r="AN24" i="3"/>
  <c r="AM24" i="3"/>
  <c r="AL24" i="3"/>
  <c r="AK24" i="3"/>
  <c r="AJ24" i="3"/>
  <c r="AI24" i="3"/>
  <c r="AH24" i="3"/>
  <c r="AG24" i="3"/>
  <c r="AF24" i="3"/>
  <c r="AE24" i="3"/>
  <c r="AD24" i="3"/>
  <c r="AC24" i="3"/>
  <c r="AB24" i="3"/>
  <c r="AA24" i="3"/>
  <c r="Z24" i="3"/>
  <c r="Y24" i="3"/>
  <c r="J44" i="3" s="1"/>
  <c r="X24" i="3"/>
  <c r="W24" i="3"/>
  <c r="V24" i="3"/>
  <c r="U24" i="3"/>
  <c r="T24" i="3"/>
  <c r="S24" i="3"/>
  <c r="R24" i="3"/>
  <c r="Q24" i="3"/>
  <c r="AR23" i="3"/>
  <c r="AC43" i="3" s="1"/>
  <c r="AQ23" i="3"/>
  <c r="AB43" i="3" s="1"/>
  <c r="AP23" i="3"/>
  <c r="AA43" i="3" s="1"/>
  <c r="AO23" i="3"/>
  <c r="Z43" i="3" s="1"/>
  <c r="AN23" i="3"/>
  <c r="Y43" i="3" s="1"/>
  <c r="AM23" i="3"/>
  <c r="X43" i="3" s="1"/>
  <c r="AL23" i="3"/>
  <c r="W43" i="3" s="1"/>
  <c r="AK23" i="3"/>
  <c r="V43" i="3" s="1"/>
  <c r="AJ23" i="3"/>
  <c r="U43" i="3" s="1"/>
  <c r="AI23" i="3"/>
  <c r="T43" i="3" s="1"/>
  <c r="AH23" i="3"/>
  <c r="S43" i="3" s="1"/>
  <c r="AG23" i="3"/>
  <c r="R43" i="3" s="1"/>
  <c r="AF23" i="3"/>
  <c r="Q43" i="3" s="1"/>
  <c r="AE23" i="3"/>
  <c r="P43" i="3" s="1"/>
  <c r="AD23" i="3"/>
  <c r="O43" i="3" s="1"/>
  <c r="AC23" i="3"/>
  <c r="N43" i="3" s="1"/>
  <c r="AB23" i="3"/>
  <c r="M43" i="3" s="1"/>
  <c r="AA23" i="3"/>
  <c r="L43" i="3" s="1"/>
  <c r="Z23" i="3"/>
  <c r="K43" i="3" s="1"/>
  <c r="Y23" i="3"/>
  <c r="J43" i="3" s="1"/>
  <c r="X23" i="3"/>
  <c r="I43" i="3" s="1"/>
  <c r="W23" i="3"/>
  <c r="H43" i="3" s="1"/>
  <c r="V23" i="3"/>
  <c r="G43" i="3" s="1"/>
  <c r="U23" i="3"/>
  <c r="F43" i="3" s="1"/>
  <c r="T23" i="3"/>
  <c r="E43" i="3" s="1"/>
  <c r="S23" i="3"/>
  <c r="D43" i="3" s="1"/>
  <c r="R23" i="3"/>
  <c r="C43" i="3" s="1"/>
  <c r="Q23" i="3"/>
  <c r="B43" i="3" s="1"/>
  <c r="AR22" i="3"/>
  <c r="AC42" i="3" s="1"/>
  <c r="AQ22" i="3"/>
  <c r="AB42" i="3" s="1"/>
  <c r="AP22" i="3"/>
  <c r="AA42" i="3" s="1"/>
  <c r="AO22" i="3"/>
  <c r="Z42" i="3" s="1"/>
  <c r="AN22" i="3"/>
  <c r="Y42" i="3" s="1"/>
  <c r="AM22" i="3"/>
  <c r="X42" i="3" s="1"/>
  <c r="AL22" i="3"/>
  <c r="W42" i="3" s="1"/>
  <c r="AK22" i="3"/>
  <c r="V42" i="3" s="1"/>
  <c r="AJ22" i="3"/>
  <c r="U42" i="3" s="1"/>
  <c r="AI22" i="3"/>
  <c r="T42" i="3" s="1"/>
  <c r="AH22" i="3"/>
  <c r="S42" i="3" s="1"/>
  <c r="AG22" i="3"/>
  <c r="R42" i="3" s="1"/>
  <c r="AF22" i="3"/>
  <c r="Q42" i="3" s="1"/>
  <c r="AE22" i="3"/>
  <c r="P42" i="3" s="1"/>
  <c r="AD22" i="3"/>
  <c r="O42" i="3" s="1"/>
  <c r="AC22" i="3"/>
  <c r="N42" i="3" s="1"/>
  <c r="AB22" i="3"/>
  <c r="M42" i="3" s="1"/>
  <c r="AA22" i="3"/>
  <c r="L42" i="3" s="1"/>
  <c r="Z22" i="3"/>
  <c r="K42" i="3" s="1"/>
  <c r="Y22" i="3"/>
  <c r="J42" i="3" s="1"/>
  <c r="X22" i="3"/>
  <c r="I42" i="3" s="1"/>
  <c r="W22" i="3"/>
  <c r="H42" i="3" s="1"/>
  <c r="V22" i="3"/>
  <c r="G42" i="3" s="1"/>
  <c r="U22" i="3"/>
  <c r="F42" i="3" s="1"/>
  <c r="T22" i="3"/>
  <c r="E42" i="3" s="1"/>
  <c r="S22" i="3"/>
  <c r="D42" i="3" s="1"/>
  <c r="R22" i="3"/>
  <c r="C42" i="3" s="1"/>
  <c r="Q22" i="3"/>
  <c r="B42" i="3" s="1"/>
  <c r="Q20" i="3"/>
  <c r="B40" i="3" s="1"/>
  <c r="AR19" i="3"/>
  <c r="AC39" i="3" s="1"/>
  <c r="AQ19" i="3"/>
  <c r="AB39" i="3" s="1"/>
  <c r="AP19" i="3"/>
  <c r="AA39" i="3" s="1"/>
  <c r="AO19" i="3"/>
  <c r="Z39" i="3" s="1"/>
  <c r="AN19" i="3"/>
  <c r="Y39" i="3" s="1"/>
  <c r="AM19" i="3"/>
  <c r="X39" i="3" s="1"/>
  <c r="AL19" i="3"/>
  <c r="W39" i="3" s="1"/>
  <c r="AK19" i="3"/>
  <c r="V39" i="3" s="1"/>
  <c r="AJ19" i="3"/>
  <c r="U39" i="3" s="1"/>
  <c r="AI19" i="3"/>
  <c r="T39" i="3" s="1"/>
  <c r="AH19" i="3"/>
  <c r="S39" i="3" s="1"/>
  <c r="AG19" i="3"/>
  <c r="R39" i="3" s="1"/>
  <c r="AF19" i="3"/>
  <c r="Q39" i="3" s="1"/>
  <c r="AE19" i="3"/>
  <c r="P39" i="3" s="1"/>
  <c r="AD19" i="3"/>
  <c r="O39" i="3" s="1"/>
  <c r="AC19" i="3"/>
  <c r="N39" i="3" s="1"/>
  <c r="AB19" i="3"/>
  <c r="M39" i="3" s="1"/>
  <c r="AA19" i="3"/>
  <c r="L39" i="3" s="1"/>
  <c r="Z19" i="3"/>
  <c r="K39" i="3" s="1"/>
  <c r="Y19" i="3"/>
  <c r="J39" i="3" s="1"/>
  <c r="X19" i="3"/>
  <c r="I39" i="3" s="1"/>
  <c r="W19" i="3"/>
  <c r="H39" i="3" s="1"/>
  <c r="V19" i="3"/>
  <c r="G39" i="3" s="1"/>
  <c r="U19" i="3"/>
  <c r="F39" i="3" s="1"/>
  <c r="T19" i="3"/>
  <c r="E39" i="3" s="1"/>
  <c r="S19" i="3"/>
  <c r="D39" i="3" s="1"/>
  <c r="R19" i="3"/>
  <c r="C39" i="3" s="1"/>
  <c r="Q19" i="3"/>
  <c r="B39" i="3" s="1"/>
  <c r="AR18" i="3"/>
  <c r="AC38" i="3" s="1"/>
  <c r="AQ18" i="3"/>
  <c r="AB38" i="3" s="1"/>
  <c r="AP18" i="3"/>
  <c r="AA38" i="3" s="1"/>
  <c r="AO18" i="3"/>
  <c r="Z38" i="3" s="1"/>
  <c r="AN18" i="3"/>
  <c r="Y38" i="3" s="1"/>
  <c r="AM18" i="3"/>
  <c r="X38" i="3" s="1"/>
  <c r="AL18" i="3"/>
  <c r="W38" i="3" s="1"/>
  <c r="AK18" i="3"/>
  <c r="V38" i="3" s="1"/>
  <c r="AJ18" i="3"/>
  <c r="U38" i="3" s="1"/>
  <c r="AI18" i="3"/>
  <c r="T38" i="3" s="1"/>
  <c r="AH18" i="3"/>
  <c r="S38" i="3" s="1"/>
  <c r="AG18" i="3"/>
  <c r="R38" i="3" s="1"/>
  <c r="AF18" i="3"/>
  <c r="Q38" i="3" s="1"/>
  <c r="AE18" i="3"/>
  <c r="P38" i="3" s="1"/>
  <c r="AD18" i="3"/>
  <c r="O38" i="3" s="1"/>
  <c r="AC18" i="3"/>
  <c r="N38" i="3" s="1"/>
  <c r="AB18" i="3"/>
  <c r="M38" i="3" s="1"/>
  <c r="AA18" i="3"/>
  <c r="L38" i="3" s="1"/>
  <c r="Z18" i="3"/>
  <c r="K38" i="3" s="1"/>
  <c r="Y18" i="3"/>
  <c r="J38" i="3" s="1"/>
  <c r="X18" i="3"/>
  <c r="I38" i="3" s="1"/>
  <c r="W18" i="3"/>
  <c r="H38" i="3" s="1"/>
  <c r="V18" i="3"/>
  <c r="G38" i="3" s="1"/>
  <c r="U18" i="3"/>
  <c r="F38" i="3" s="1"/>
  <c r="T18" i="3"/>
  <c r="E38" i="3" s="1"/>
  <c r="S18" i="3"/>
  <c r="D38" i="3" s="1"/>
  <c r="R18" i="3"/>
  <c r="C38" i="3" s="1"/>
  <c r="Q18" i="3"/>
  <c r="B38" i="3" s="1"/>
  <c r="AR17" i="3"/>
  <c r="AC37" i="3" s="1"/>
  <c r="AC55" i="3" s="1"/>
  <c r="AQ17" i="3"/>
  <c r="AB37" i="3" s="1"/>
  <c r="AB55" i="3" s="1"/>
  <c r="AP17" i="3"/>
  <c r="AA37" i="3" s="1"/>
  <c r="AA55" i="3" s="1"/>
  <c r="AO17" i="3"/>
  <c r="Z37" i="3" s="1"/>
  <c r="Z55" i="3" s="1"/>
  <c r="AN17" i="3"/>
  <c r="Y37" i="3" s="1"/>
  <c r="Y55" i="3" s="1"/>
  <c r="AM17" i="3"/>
  <c r="X37" i="3" s="1"/>
  <c r="X55" i="3" s="1"/>
  <c r="AL17" i="3"/>
  <c r="W37" i="3" s="1"/>
  <c r="W55" i="3" s="1"/>
  <c r="AK17" i="3"/>
  <c r="V37" i="3" s="1"/>
  <c r="V55" i="3" s="1"/>
  <c r="AJ17" i="3"/>
  <c r="U37" i="3" s="1"/>
  <c r="U55" i="3" s="1"/>
  <c r="AI17" i="3"/>
  <c r="T37" i="3" s="1"/>
  <c r="T55" i="3" s="1"/>
  <c r="AH17" i="3"/>
  <c r="S37" i="3" s="1"/>
  <c r="S55" i="3" s="1"/>
  <c r="AG17" i="3"/>
  <c r="R37" i="3" s="1"/>
  <c r="R55" i="3" s="1"/>
  <c r="AF17" i="3"/>
  <c r="Q37" i="3" s="1"/>
  <c r="Q55" i="3" s="1"/>
  <c r="AE17" i="3"/>
  <c r="P37" i="3" s="1"/>
  <c r="P55" i="3" s="1"/>
  <c r="AD17" i="3"/>
  <c r="O37" i="3" s="1"/>
  <c r="O55" i="3" s="1"/>
  <c r="AC17" i="3"/>
  <c r="N37" i="3" s="1"/>
  <c r="N55" i="3" s="1"/>
  <c r="AB17" i="3"/>
  <c r="M37" i="3" s="1"/>
  <c r="M55" i="3" s="1"/>
  <c r="AA17" i="3"/>
  <c r="L37" i="3" s="1"/>
  <c r="L55" i="3" s="1"/>
  <c r="Z17" i="3"/>
  <c r="K37" i="3" s="1"/>
  <c r="K55" i="3" s="1"/>
  <c r="Y17" i="3"/>
  <c r="J37" i="3" s="1"/>
  <c r="J55" i="3" s="1"/>
  <c r="X17" i="3"/>
  <c r="I37" i="3" s="1"/>
  <c r="I55" i="3" s="1"/>
  <c r="W17" i="3"/>
  <c r="H37" i="3" s="1"/>
  <c r="H55" i="3" s="1"/>
  <c r="V17" i="3"/>
  <c r="G37" i="3" s="1"/>
  <c r="G55" i="3" s="1"/>
  <c r="U17" i="3"/>
  <c r="F37" i="3" s="1"/>
  <c r="F55" i="3" s="1"/>
  <c r="T17" i="3"/>
  <c r="E37" i="3" s="1"/>
  <c r="E55" i="3" s="1"/>
  <c r="S17" i="3"/>
  <c r="D37" i="3" s="1"/>
  <c r="D55" i="3" s="1"/>
  <c r="R17" i="3"/>
  <c r="C37" i="3" s="1"/>
  <c r="C55" i="3" s="1"/>
  <c r="Q17" i="3"/>
  <c r="B37" i="3" s="1"/>
  <c r="B55" i="3" s="1"/>
  <c r="AR16" i="3"/>
  <c r="AC36" i="3" s="1"/>
  <c r="AC54" i="3" s="1"/>
  <c r="AQ16" i="3"/>
  <c r="AB36" i="3" s="1"/>
  <c r="AB54" i="3" s="1"/>
  <c r="AP16" i="3"/>
  <c r="AA36" i="3" s="1"/>
  <c r="AA54" i="3" s="1"/>
  <c r="AO16" i="3"/>
  <c r="Z36" i="3" s="1"/>
  <c r="Z54" i="3" s="1"/>
  <c r="AN16" i="3"/>
  <c r="Y36" i="3" s="1"/>
  <c r="Y54" i="3" s="1"/>
  <c r="AM16" i="3"/>
  <c r="X36" i="3" s="1"/>
  <c r="X54" i="3" s="1"/>
  <c r="AL16" i="3"/>
  <c r="W36" i="3" s="1"/>
  <c r="W54" i="3" s="1"/>
  <c r="AK16" i="3"/>
  <c r="V36" i="3" s="1"/>
  <c r="V54" i="3" s="1"/>
  <c r="AJ16" i="3"/>
  <c r="U36" i="3" s="1"/>
  <c r="U54" i="3" s="1"/>
  <c r="AI16" i="3"/>
  <c r="T36" i="3" s="1"/>
  <c r="T54" i="3" s="1"/>
  <c r="AH16" i="3"/>
  <c r="S36" i="3" s="1"/>
  <c r="S54" i="3" s="1"/>
  <c r="AG16" i="3"/>
  <c r="R36" i="3" s="1"/>
  <c r="R54" i="3" s="1"/>
  <c r="AF16" i="3"/>
  <c r="Q36" i="3" s="1"/>
  <c r="Q54" i="3" s="1"/>
  <c r="AE16" i="3"/>
  <c r="P36" i="3" s="1"/>
  <c r="P54" i="3" s="1"/>
  <c r="AD16" i="3"/>
  <c r="O36" i="3" s="1"/>
  <c r="O54" i="3" s="1"/>
  <c r="AC16" i="3"/>
  <c r="N36" i="3" s="1"/>
  <c r="N54" i="3" s="1"/>
  <c r="AB16" i="3"/>
  <c r="M36" i="3" s="1"/>
  <c r="M54" i="3" s="1"/>
  <c r="AA16" i="3"/>
  <c r="L36" i="3" s="1"/>
  <c r="L54" i="3" s="1"/>
  <c r="Z16" i="3"/>
  <c r="K36" i="3" s="1"/>
  <c r="K54" i="3" s="1"/>
  <c r="Y16" i="3"/>
  <c r="J36" i="3" s="1"/>
  <c r="J54" i="3" s="1"/>
  <c r="X16" i="3"/>
  <c r="I36" i="3" s="1"/>
  <c r="I54" i="3" s="1"/>
  <c r="W16" i="3"/>
  <c r="H36" i="3" s="1"/>
  <c r="H54" i="3" s="1"/>
  <c r="V16" i="3"/>
  <c r="G36" i="3" s="1"/>
  <c r="G54" i="3" s="1"/>
  <c r="U16" i="3"/>
  <c r="F36" i="3" s="1"/>
  <c r="F54" i="3" s="1"/>
  <c r="T16" i="3"/>
  <c r="E36" i="3" s="1"/>
  <c r="E54" i="3" s="1"/>
  <c r="S16" i="3"/>
  <c r="D36" i="3" s="1"/>
  <c r="D54" i="3" s="1"/>
  <c r="R16" i="3"/>
  <c r="C36" i="3" s="1"/>
  <c r="C54" i="3" s="1"/>
  <c r="Q16" i="3"/>
  <c r="B36" i="3" s="1"/>
  <c r="B54" i="3" s="1"/>
  <c r="AR15" i="3"/>
  <c r="AC35" i="3" s="1"/>
  <c r="AQ15" i="3"/>
  <c r="AB35" i="3" s="1"/>
  <c r="AP15" i="3"/>
  <c r="AA35" i="3" s="1"/>
  <c r="AO15" i="3"/>
  <c r="Z35" i="3" s="1"/>
  <c r="AN15" i="3"/>
  <c r="Y35" i="3" s="1"/>
  <c r="AM15" i="3"/>
  <c r="X35" i="3" s="1"/>
  <c r="AL15" i="3"/>
  <c r="W35" i="3" s="1"/>
  <c r="AK15" i="3"/>
  <c r="V35" i="3" s="1"/>
  <c r="AJ15" i="3"/>
  <c r="U35" i="3" s="1"/>
  <c r="AI15" i="3"/>
  <c r="T35" i="3" s="1"/>
  <c r="AH15" i="3"/>
  <c r="S35" i="3" s="1"/>
  <c r="AG15" i="3"/>
  <c r="R35" i="3" s="1"/>
  <c r="AF15" i="3"/>
  <c r="Q35" i="3" s="1"/>
  <c r="AE15" i="3"/>
  <c r="P35" i="3" s="1"/>
  <c r="AD15" i="3"/>
  <c r="O35" i="3" s="1"/>
  <c r="AC15" i="3"/>
  <c r="N35" i="3" s="1"/>
  <c r="AB15" i="3"/>
  <c r="M35" i="3" s="1"/>
  <c r="AA15" i="3"/>
  <c r="L35" i="3" s="1"/>
  <c r="Z15" i="3"/>
  <c r="K35" i="3" s="1"/>
  <c r="Y15" i="3"/>
  <c r="J35" i="3" s="1"/>
  <c r="X15" i="3"/>
  <c r="I35" i="3" s="1"/>
  <c r="W15" i="3"/>
  <c r="H35" i="3" s="1"/>
  <c r="V15" i="3"/>
  <c r="G35" i="3" s="1"/>
  <c r="U15" i="3"/>
  <c r="F35" i="3" s="1"/>
  <c r="T15" i="3"/>
  <c r="E35" i="3" s="1"/>
  <c r="S15" i="3"/>
  <c r="D35" i="3" s="1"/>
  <c r="R15" i="3"/>
  <c r="C35" i="3" s="1"/>
  <c r="Q15" i="3"/>
  <c r="B35" i="3" s="1"/>
  <c r="AR14" i="3"/>
  <c r="AC34" i="3" s="1"/>
  <c r="AQ14" i="3"/>
  <c r="AB34" i="3" s="1"/>
  <c r="AP14" i="3"/>
  <c r="AA34" i="3" s="1"/>
  <c r="AO14" i="3"/>
  <c r="Z34" i="3" s="1"/>
  <c r="AN14" i="3"/>
  <c r="Y34" i="3" s="1"/>
  <c r="AM14" i="3"/>
  <c r="X34" i="3" s="1"/>
  <c r="AL14" i="3"/>
  <c r="W34" i="3" s="1"/>
  <c r="AK14" i="3"/>
  <c r="V34" i="3" s="1"/>
  <c r="AJ14" i="3"/>
  <c r="U34" i="3" s="1"/>
  <c r="AI14" i="3"/>
  <c r="T34" i="3" s="1"/>
  <c r="AH14" i="3"/>
  <c r="S34" i="3" s="1"/>
  <c r="AG14" i="3"/>
  <c r="R34" i="3" s="1"/>
  <c r="AF14" i="3"/>
  <c r="Q34" i="3" s="1"/>
  <c r="AE14" i="3"/>
  <c r="P34" i="3" s="1"/>
  <c r="AD14" i="3"/>
  <c r="O34" i="3" s="1"/>
  <c r="AC14" i="3"/>
  <c r="N34" i="3" s="1"/>
  <c r="AB14" i="3"/>
  <c r="M34" i="3" s="1"/>
  <c r="AA14" i="3"/>
  <c r="L34" i="3" s="1"/>
  <c r="Z14" i="3"/>
  <c r="K34" i="3" s="1"/>
  <c r="Y14" i="3"/>
  <c r="J34" i="3" s="1"/>
  <c r="X14" i="3"/>
  <c r="I34" i="3" s="1"/>
  <c r="W14" i="3"/>
  <c r="H34" i="3" s="1"/>
  <c r="V14" i="3"/>
  <c r="G34" i="3" s="1"/>
  <c r="U14" i="3"/>
  <c r="F34" i="3" s="1"/>
  <c r="T14" i="3"/>
  <c r="E34" i="3" s="1"/>
  <c r="S14" i="3"/>
  <c r="D34" i="3" s="1"/>
  <c r="R14" i="3"/>
  <c r="C34" i="3" s="1"/>
  <c r="Q14" i="3"/>
  <c r="B34" i="3" s="1"/>
  <c r="AR13" i="3"/>
  <c r="AC33" i="3" s="1"/>
  <c r="AQ13" i="3"/>
  <c r="AB33" i="3" s="1"/>
  <c r="AP13" i="3"/>
  <c r="AA33" i="3" s="1"/>
  <c r="AO13" i="3"/>
  <c r="Z33" i="3" s="1"/>
  <c r="AN13" i="3"/>
  <c r="Y33" i="3" s="1"/>
  <c r="AM13" i="3"/>
  <c r="X33" i="3" s="1"/>
  <c r="AL13" i="3"/>
  <c r="W33" i="3" s="1"/>
  <c r="AK13" i="3"/>
  <c r="V33" i="3" s="1"/>
  <c r="AJ13" i="3"/>
  <c r="U33" i="3" s="1"/>
  <c r="AI13" i="3"/>
  <c r="T33" i="3" s="1"/>
  <c r="AH13" i="3"/>
  <c r="S33" i="3" s="1"/>
  <c r="AG13" i="3"/>
  <c r="R33" i="3" s="1"/>
  <c r="AF13" i="3"/>
  <c r="Q33" i="3" s="1"/>
  <c r="AE13" i="3"/>
  <c r="P33" i="3" s="1"/>
  <c r="AD13" i="3"/>
  <c r="O33" i="3" s="1"/>
  <c r="AC13" i="3"/>
  <c r="N33" i="3" s="1"/>
  <c r="AB13" i="3"/>
  <c r="M33" i="3" s="1"/>
  <c r="AA13" i="3"/>
  <c r="L33" i="3" s="1"/>
  <c r="Z13" i="3"/>
  <c r="K33" i="3" s="1"/>
  <c r="Y13" i="3"/>
  <c r="J33" i="3" s="1"/>
  <c r="X13" i="3"/>
  <c r="I33" i="3" s="1"/>
  <c r="W13" i="3"/>
  <c r="H33" i="3" s="1"/>
  <c r="V13" i="3"/>
  <c r="G33" i="3" s="1"/>
  <c r="U13" i="3"/>
  <c r="F33" i="3" s="1"/>
  <c r="T13" i="3"/>
  <c r="E33" i="3" s="1"/>
  <c r="S13" i="3"/>
  <c r="D33" i="3" s="1"/>
  <c r="R13" i="3"/>
  <c r="C33" i="3" s="1"/>
  <c r="Q13" i="3"/>
  <c r="B33" i="3" s="1"/>
  <c r="AR12" i="3"/>
  <c r="AC32" i="3" s="1"/>
  <c r="AQ12" i="3"/>
  <c r="AB32" i="3" s="1"/>
  <c r="AP12" i="3"/>
  <c r="AA32" i="3" s="1"/>
  <c r="AO12" i="3"/>
  <c r="Z32" i="3" s="1"/>
  <c r="AN12" i="3"/>
  <c r="Y32" i="3" s="1"/>
  <c r="AM12" i="3"/>
  <c r="X32" i="3" s="1"/>
  <c r="AL12" i="3"/>
  <c r="W32" i="3" s="1"/>
  <c r="AK12" i="3"/>
  <c r="V32" i="3" s="1"/>
  <c r="AJ12" i="3"/>
  <c r="U32" i="3" s="1"/>
  <c r="AI12" i="3"/>
  <c r="T32" i="3" s="1"/>
  <c r="AH12" i="3"/>
  <c r="S32" i="3" s="1"/>
  <c r="AG12" i="3"/>
  <c r="R32" i="3" s="1"/>
  <c r="AF12" i="3"/>
  <c r="Q32" i="3" s="1"/>
  <c r="AE12" i="3"/>
  <c r="P32" i="3" s="1"/>
  <c r="AD12" i="3"/>
  <c r="O32" i="3" s="1"/>
  <c r="AC12" i="3"/>
  <c r="N32" i="3" s="1"/>
  <c r="AB12" i="3"/>
  <c r="M32" i="3" s="1"/>
  <c r="AA12" i="3"/>
  <c r="L32" i="3" s="1"/>
  <c r="Z12" i="3"/>
  <c r="K32" i="3" s="1"/>
  <c r="Y12" i="3"/>
  <c r="J32" i="3" s="1"/>
  <c r="X12" i="3"/>
  <c r="I32" i="3" s="1"/>
  <c r="W12" i="3"/>
  <c r="H32" i="3" s="1"/>
  <c r="V12" i="3"/>
  <c r="G32" i="3" s="1"/>
  <c r="U12" i="3"/>
  <c r="F32" i="3" s="1"/>
  <c r="T12" i="3"/>
  <c r="E32" i="3" s="1"/>
  <c r="S12" i="3"/>
  <c r="D32" i="3" s="1"/>
  <c r="R12" i="3"/>
  <c r="C32" i="3" s="1"/>
  <c r="Q12" i="3"/>
  <c r="B32" i="3" s="1"/>
  <c r="AR11" i="3"/>
  <c r="AC31" i="3" s="1"/>
  <c r="AQ11" i="3"/>
  <c r="AB31" i="3" s="1"/>
  <c r="AP11" i="3"/>
  <c r="AA31" i="3" s="1"/>
  <c r="AO11" i="3"/>
  <c r="Z31" i="3" s="1"/>
  <c r="AN11" i="3"/>
  <c r="Y31" i="3" s="1"/>
  <c r="AM11" i="3"/>
  <c r="X31" i="3" s="1"/>
  <c r="AL11" i="3"/>
  <c r="W31" i="3" s="1"/>
  <c r="AK11" i="3"/>
  <c r="V31" i="3" s="1"/>
  <c r="AJ11" i="3"/>
  <c r="U31" i="3" s="1"/>
  <c r="AI11" i="3"/>
  <c r="T31" i="3" s="1"/>
  <c r="AH11" i="3"/>
  <c r="S31" i="3" s="1"/>
  <c r="AG11" i="3"/>
  <c r="R31" i="3" s="1"/>
  <c r="AF11" i="3"/>
  <c r="Q31" i="3" s="1"/>
  <c r="AE11" i="3"/>
  <c r="P31" i="3" s="1"/>
  <c r="AD11" i="3"/>
  <c r="O31" i="3" s="1"/>
  <c r="AC11" i="3"/>
  <c r="N31" i="3" s="1"/>
  <c r="AB11" i="3"/>
  <c r="M31" i="3" s="1"/>
  <c r="AA11" i="3"/>
  <c r="L31" i="3" s="1"/>
  <c r="Z11" i="3"/>
  <c r="K31" i="3" s="1"/>
  <c r="Y11" i="3"/>
  <c r="J31" i="3" s="1"/>
  <c r="X11" i="3"/>
  <c r="I31" i="3" s="1"/>
  <c r="W11" i="3"/>
  <c r="H31" i="3" s="1"/>
  <c r="V11" i="3"/>
  <c r="G31" i="3" s="1"/>
  <c r="U11" i="3"/>
  <c r="F31" i="3" s="1"/>
  <c r="E31" i="3"/>
  <c r="S11" i="3"/>
  <c r="D31" i="3" s="1"/>
  <c r="R11" i="3"/>
  <c r="C31" i="3" s="1"/>
  <c r="Q11" i="3"/>
  <c r="B31" i="3" s="1"/>
  <c r="Z368" i="13" l="1"/>
  <c r="I84" i="13"/>
  <c r="C84" i="13"/>
  <c r="X84" i="13"/>
  <c r="K84" i="13"/>
  <c r="P50" i="3"/>
  <c r="X50" i="3"/>
  <c r="H50" i="3"/>
  <c r="L84" i="13"/>
  <c r="J84" i="13"/>
  <c r="AC84" i="13"/>
  <c r="DI16" i="33" s="1"/>
  <c r="V407" i="13"/>
  <c r="B84" i="13"/>
  <c r="C16" i="33" s="1"/>
  <c r="S84" i="13"/>
  <c r="T84" i="13"/>
  <c r="U59" i="13"/>
  <c r="G84" i="13"/>
  <c r="N84" i="13"/>
  <c r="O84" i="13"/>
  <c r="E84" i="13"/>
  <c r="H84" i="13"/>
  <c r="F84" i="13"/>
  <c r="AB84" i="13"/>
  <c r="Q84" i="13"/>
  <c r="Y84" i="13"/>
  <c r="V84" i="13"/>
  <c r="Z84" i="13"/>
  <c r="M84" i="13"/>
  <c r="BF16" i="33" s="1"/>
  <c r="P84" i="13"/>
  <c r="W84" i="13"/>
  <c r="D84" i="13"/>
  <c r="B80" i="13"/>
  <c r="C12" i="33" s="1"/>
  <c r="I50" i="3"/>
  <c r="B50" i="3"/>
  <c r="J50" i="3"/>
  <c r="R50" i="3"/>
  <c r="Z50" i="3"/>
  <c r="L50" i="3"/>
  <c r="AB50" i="3"/>
  <c r="D50" i="3"/>
  <c r="T50" i="3"/>
  <c r="Y50" i="3"/>
  <c r="B294" i="9"/>
  <c r="AD12" i="33" s="1"/>
  <c r="B403" i="9"/>
  <c r="AH12" i="33" s="1"/>
  <c r="U71" i="13"/>
  <c r="U83" i="13" s="1"/>
  <c r="D512" i="9"/>
  <c r="D486" i="9"/>
  <c r="M512" i="9"/>
  <c r="CO16" i="33" s="1"/>
  <c r="M486" i="9"/>
  <c r="P512" i="9"/>
  <c r="P486" i="9"/>
  <c r="S486" i="9"/>
  <c r="S512" i="9"/>
  <c r="F407" i="9"/>
  <c r="F381" i="9"/>
  <c r="C407" i="9"/>
  <c r="C381" i="9"/>
  <c r="H407" i="9"/>
  <c r="H381" i="9"/>
  <c r="S272" i="9"/>
  <c r="S298" i="9"/>
  <c r="U298" i="9"/>
  <c r="U272" i="9"/>
  <c r="N164" i="9"/>
  <c r="N190" i="9"/>
  <c r="D190" i="9"/>
  <c r="D164" i="9"/>
  <c r="T190" i="9"/>
  <c r="T164" i="9"/>
  <c r="J190" i="9"/>
  <c r="J164" i="9"/>
  <c r="J381" i="13"/>
  <c r="W381" i="13"/>
  <c r="AA381" i="13"/>
  <c r="H381" i="13"/>
  <c r="Q381" i="13"/>
  <c r="P272" i="13"/>
  <c r="O272" i="13"/>
  <c r="V272" i="13"/>
  <c r="J272" i="13"/>
  <c r="C62" i="13"/>
  <c r="C58" i="13"/>
  <c r="AA58" i="13"/>
  <c r="G57" i="13"/>
  <c r="G58" i="13"/>
  <c r="X64" i="13"/>
  <c r="X58" i="13"/>
  <c r="N58" i="13"/>
  <c r="B161" i="3"/>
  <c r="Q486" i="9"/>
  <c r="Q512" i="9"/>
  <c r="B508" i="9"/>
  <c r="AL12" i="33" s="1"/>
  <c r="X512" i="9"/>
  <c r="X486" i="9"/>
  <c r="AA512" i="9"/>
  <c r="AA486" i="9"/>
  <c r="V407" i="9"/>
  <c r="V381" i="9"/>
  <c r="K407" i="9"/>
  <c r="K381" i="9"/>
  <c r="P381" i="9"/>
  <c r="P407" i="9"/>
  <c r="Y272" i="9"/>
  <c r="Y298" i="9"/>
  <c r="AA298" i="9"/>
  <c r="AA272" i="9"/>
  <c r="AC298" i="9"/>
  <c r="EJ16" i="33" s="1"/>
  <c r="AC272" i="9"/>
  <c r="E164" i="9"/>
  <c r="E190" i="9"/>
  <c r="K164" i="9"/>
  <c r="K190" i="9"/>
  <c r="B186" i="9"/>
  <c r="Z12" i="33" s="1"/>
  <c r="G381" i="13"/>
  <c r="E381" i="13"/>
  <c r="P381" i="13"/>
  <c r="N272" i="13"/>
  <c r="H272" i="13"/>
  <c r="R272" i="13"/>
  <c r="S57" i="13"/>
  <c r="S58" i="13"/>
  <c r="R58" i="13"/>
  <c r="O58" i="13"/>
  <c r="E58" i="13"/>
  <c r="U190" i="9"/>
  <c r="U164" i="9"/>
  <c r="E512" i="9"/>
  <c r="E486" i="9"/>
  <c r="B512" i="9"/>
  <c r="AL16" i="33" s="1"/>
  <c r="B486" i="9"/>
  <c r="G407" i="9"/>
  <c r="G381" i="9"/>
  <c r="S407" i="9"/>
  <c r="S381" i="9"/>
  <c r="X407" i="9"/>
  <c r="X381" i="9"/>
  <c r="B298" i="9"/>
  <c r="AD16" i="33" s="1"/>
  <c r="B272" i="9"/>
  <c r="D298" i="9"/>
  <c r="D272" i="9"/>
  <c r="G298" i="9"/>
  <c r="G272" i="9"/>
  <c r="I298" i="9"/>
  <c r="I272" i="9"/>
  <c r="L190" i="9"/>
  <c r="L164" i="9"/>
  <c r="B164" i="9"/>
  <c r="B190" i="9"/>
  <c r="Z16" i="33" s="1"/>
  <c r="T381" i="13"/>
  <c r="M381" i="13"/>
  <c r="X381" i="13"/>
  <c r="W272" i="13"/>
  <c r="Q272" i="13"/>
  <c r="Z272" i="13"/>
  <c r="J62" i="13"/>
  <c r="J58" i="13"/>
  <c r="H57" i="13"/>
  <c r="H58" i="13"/>
  <c r="F69" i="13"/>
  <c r="F58" i="13"/>
  <c r="G164" i="9"/>
  <c r="G190" i="9"/>
  <c r="AB512" i="9"/>
  <c r="AB486" i="9"/>
  <c r="J512" i="9"/>
  <c r="J486" i="9"/>
  <c r="W407" i="9"/>
  <c r="W381" i="9"/>
  <c r="AA389" i="9"/>
  <c r="AA381" i="9"/>
  <c r="AA407" i="9"/>
  <c r="B381" i="9"/>
  <c r="B407" i="9"/>
  <c r="AH16" i="33" s="1"/>
  <c r="Q298" i="9"/>
  <c r="Q272" i="9"/>
  <c r="J272" i="9"/>
  <c r="J298" i="9"/>
  <c r="L298" i="9"/>
  <c r="L272" i="9"/>
  <c r="O298" i="9"/>
  <c r="O272" i="9"/>
  <c r="C190" i="9"/>
  <c r="C164" i="9"/>
  <c r="L381" i="13"/>
  <c r="Y381" i="13"/>
  <c r="D381" i="13"/>
  <c r="U381" i="13"/>
  <c r="E272" i="13"/>
  <c r="C272" i="13"/>
  <c r="K272" i="13"/>
  <c r="AA272" i="13"/>
  <c r="X272" i="13"/>
  <c r="I58" i="13"/>
  <c r="Z164" i="9"/>
  <c r="Z190" i="9"/>
  <c r="AB57" i="13"/>
  <c r="AB58" i="13"/>
  <c r="N512" i="9"/>
  <c r="N486" i="9"/>
  <c r="W512" i="9"/>
  <c r="W486" i="9"/>
  <c r="R512" i="9"/>
  <c r="R486" i="9"/>
  <c r="O381" i="9"/>
  <c r="O407" i="9"/>
  <c r="I407" i="9"/>
  <c r="I381" i="9"/>
  <c r="D407" i="9"/>
  <c r="D381" i="9"/>
  <c r="J381" i="9"/>
  <c r="J407" i="9"/>
  <c r="R298" i="9"/>
  <c r="R272" i="9"/>
  <c r="T298" i="9"/>
  <c r="T272" i="9"/>
  <c r="W298" i="9"/>
  <c r="W272" i="9"/>
  <c r="I190" i="9"/>
  <c r="I164" i="9"/>
  <c r="I381" i="13"/>
  <c r="AC381" i="13"/>
  <c r="L272" i="13"/>
  <c r="T272" i="13"/>
  <c r="I272" i="13"/>
  <c r="F272" i="13"/>
  <c r="X164" i="13"/>
  <c r="AC63" i="13"/>
  <c r="AC58" i="13"/>
  <c r="Q57" i="13"/>
  <c r="Q58" i="13"/>
  <c r="N407" i="9"/>
  <c r="N381" i="9"/>
  <c r="Y272" i="13"/>
  <c r="L512" i="9"/>
  <c r="L486" i="9"/>
  <c r="Z512" i="9"/>
  <c r="Z486" i="9"/>
  <c r="Q407" i="9"/>
  <c r="Q381" i="9"/>
  <c r="Y381" i="9"/>
  <c r="Y407" i="9"/>
  <c r="L407" i="9"/>
  <c r="L381" i="9"/>
  <c r="R407" i="9"/>
  <c r="R381" i="9"/>
  <c r="V272" i="9"/>
  <c r="V298" i="9"/>
  <c r="Z298" i="9"/>
  <c r="Z272" i="9"/>
  <c r="AB298" i="9"/>
  <c r="AB272" i="9"/>
  <c r="H298" i="9"/>
  <c r="H272" i="9"/>
  <c r="AA190" i="9"/>
  <c r="AA164" i="9"/>
  <c r="Q190" i="9"/>
  <c r="Q164" i="9"/>
  <c r="C381" i="13"/>
  <c r="F381" i="13"/>
  <c r="AC272" i="13"/>
  <c r="S272" i="13"/>
  <c r="T58" i="13"/>
  <c r="Y64" i="13"/>
  <c r="Y58" i="13"/>
  <c r="V63" i="13"/>
  <c r="V58" i="13"/>
  <c r="AB381" i="13"/>
  <c r="U512" i="9"/>
  <c r="U486" i="9"/>
  <c r="T512" i="9"/>
  <c r="T486" i="9"/>
  <c r="AC512" i="9"/>
  <c r="ER16" i="33" s="1"/>
  <c r="AC486" i="9"/>
  <c r="C512" i="9"/>
  <c r="C486" i="9"/>
  <c r="E407" i="9"/>
  <c r="E381" i="9"/>
  <c r="M381" i="9"/>
  <c r="M407" i="9"/>
  <c r="CK16" i="33" s="1"/>
  <c r="T381" i="9"/>
  <c r="T407" i="9"/>
  <c r="Z407" i="9"/>
  <c r="Z381" i="9"/>
  <c r="C272" i="9"/>
  <c r="C298" i="9"/>
  <c r="E298" i="9"/>
  <c r="E272" i="9"/>
  <c r="P272" i="9"/>
  <c r="P298" i="9"/>
  <c r="R164" i="9"/>
  <c r="R190" i="9"/>
  <c r="V190" i="9"/>
  <c r="V164" i="9"/>
  <c r="Y190" i="9"/>
  <c r="Y164" i="9"/>
  <c r="AB190" i="9"/>
  <c r="AB164" i="9"/>
  <c r="K381" i="13"/>
  <c r="N381" i="13"/>
  <c r="R381" i="13"/>
  <c r="D272" i="13"/>
  <c r="AB272" i="13"/>
  <c r="G272" i="13"/>
  <c r="K65" i="13"/>
  <c r="K58" i="13"/>
  <c r="Z62" i="13"/>
  <c r="Z58" i="13"/>
  <c r="M65" i="13"/>
  <c r="M58" i="13"/>
  <c r="O164" i="9"/>
  <c r="O190" i="9"/>
  <c r="F190" i="9"/>
  <c r="F164" i="9"/>
  <c r="E50" i="3"/>
  <c r="M50" i="3"/>
  <c r="U50" i="3"/>
  <c r="AC50" i="3"/>
  <c r="G512" i="9"/>
  <c r="G486" i="9"/>
  <c r="F486" i="9"/>
  <c r="F512" i="9"/>
  <c r="O512" i="9"/>
  <c r="O486" i="9"/>
  <c r="Y486" i="9"/>
  <c r="Y512" i="9"/>
  <c r="H512" i="9"/>
  <c r="H486" i="9"/>
  <c r="K512" i="9"/>
  <c r="K486" i="9"/>
  <c r="U407" i="9"/>
  <c r="U381" i="9"/>
  <c r="AC407" i="9"/>
  <c r="EN16" i="33" s="1"/>
  <c r="AC381" i="9"/>
  <c r="AB407" i="9"/>
  <c r="AB381" i="9"/>
  <c r="K298" i="9"/>
  <c r="K272" i="9"/>
  <c r="M272" i="9"/>
  <c r="M298" i="9"/>
  <c r="CG16" i="33" s="1"/>
  <c r="X272" i="9"/>
  <c r="X298" i="9"/>
  <c r="F298" i="9"/>
  <c r="F272" i="9"/>
  <c r="H164" i="9"/>
  <c r="H190" i="9"/>
  <c r="W190" i="9"/>
  <c r="W164" i="9"/>
  <c r="M190" i="9"/>
  <c r="CC16" i="33" s="1"/>
  <c r="M164" i="9"/>
  <c r="AC164" i="9"/>
  <c r="AC190" i="9"/>
  <c r="EF16" i="33" s="1"/>
  <c r="S164" i="9"/>
  <c r="S190" i="9"/>
  <c r="Z381" i="13"/>
  <c r="S381" i="13"/>
  <c r="V381" i="13"/>
  <c r="B381" i="13"/>
  <c r="M272" i="13"/>
  <c r="B272" i="13"/>
  <c r="L58" i="13"/>
  <c r="B69" i="13"/>
  <c r="B58" i="13"/>
  <c r="P65" i="13"/>
  <c r="P58" i="13"/>
  <c r="W58" i="13"/>
  <c r="D58" i="13"/>
  <c r="P190" i="9"/>
  <c r="P164" i="9"/>
  <c r="I512" i="9"/>
  <c r="I486" i="9"/>
  <c r="N50" i="3"/>
  <c r="V50" i="3"/>
  <c r="F50" i="3"/>
  <c r="O50" i="3"/>
  <c r="W50" i="3"/>
  <c r="A502" i="3"/>
  <c r="A490" i="3"/>
  <c r="A283" i="3"/>
  <c r="A505" i="3"/>
  <c r="A397" i="3"/>
  <c r="A385" i="3"/>
  <c r="A503" i="3"/>
  <c r="A491" i="3"/>
  <c r="A391" i="3"/>
  <c r="A497" i="3"/>
  <c r="A504" i="3"/>
  <c r="A492" i="3"/>
  <c r="A282" i="3"/>
  <c r="A402" i="3"/>
  <c r="A508" i="3"/>
  <c r="A399" i="3"/>
  <c r="A387" i="3"/>
  <c r="A293" i="3"/>
  <c r="A386" i="3"/>
  <c r="A290" i="3"/>
  <c r="A278" i="3"/>
  <c r="A400" i="3"/>
  <c r="A388" i="3"/>
  <c r="A277" i="3"/>
  <c r="A389" i="3"/>
  <c r="A288" i="3"/>
  <c r="A392" i="3"/>
  <c r="A280" i="3"/>
  <c r="A507" i="3"/>
  <c r="A291" i="3"/>
  <c r="A494" i="3"/>
  <c r="A183" i="3"/>
  <c r="A175" i="3"/>
  <c r="A174" i="3"/>
  <c r="A185" i="3"/>
  <c r="A169" i="3"/>
  <c r="A182" i="3"/>
  <c r="A170" i="3"/>
  <c r="A180" i="3"/>
  <c r="A172" i="3"/>
  <c r="Z369" i="13"/>
  <c r="Z481" i="9"/>
  <c r="G50" i="3"/>
  <c r="U270" i="13"/>
  <c r="M367" i="13"/>
  <c r="M399" i="13" s="1"/>
  <c r="BU8" i="33" s="1"/>
  <c r="Z260" i="13"/>
  <c r="B52" i="3"/>
  <c r="J52" i="3"/>
  <c r="R52" i="3"/>
  <c r="Z52" i="3"/>
  <c r="H52" i="3"/>
  <c r="W77" i="13"/>
  <c r="V484" i="9"/>
  <c r="M282" i="9"/>
  <c r="U379" i="9"/>
  <c r="U174" i="9"/>
  <c r="K37" i="9"/>
  <c r="K55" i="9" s="1"/>
  <c r="F37" i="9"/>
  <c r="F55" i="9" s="1"/>
  <c r="B37" i="9"/>
  <c r="B55" i="9" s="1"/>
  <c r="AC37" i="9"/>
  <c r="AC55" i="9" s="1"/>
  <c r="Y37" i="9"/>
  <c r="Y55" i="9" s="1"/>
  <c r="U37" i="9"/>
  <c r="U55" i="9" s="1"/>
  <c r="I37" i="9"/>
  <c r="I55" i="9" s="1"/>
  <c r="E37" i="9"/>
  <c r="E55" i="9" s="1"/>
  <c r="W37" i="9"/>
  <c r="W55" i="9" s="1"/>
  <c r="T37" i="9"/>
  <c r="T55" i="9" s="1"/>
  <c r="K158" i="9"/>
  <c r="G37" i="9"/>
  <c r="G55" i="9" s="1"/>
  <c r="AA37" i="9"/>
  <c r="AA55" i="9" s="1"/>
  <c r="L37" i="9"/>
  <c r="L55" i="9" s="1"/>
  <c r="Z37" i="9"/>
  <c r="Z55" i="9" s="1"/>
  <c r="X37" i="9"/>
  <c r="X55" i="9" s="1"/>
  <c r="D37" i="9"/>
  <c r="D55" i="9" s="1"/>
  <c r="R37" i="9"/>
  <c r="R55" i="9" s="1"/>
  <c r="AV31" i="9"/>
  <c r="J37" i="9"/>
  <c r="J55" i="9" s="1"/>
  <c r="H37" i="9"/>
  <c r="H55" i="9" s="1"/>
  <c r="M37" i="9"/>
  <c r="M55" i="9" s="1"/>
  <c r="S37" i="9"/>
  <c r="S55" i="9" s="1"/>
  <c r="N37" i="9"/>
  <c r="N55" i="9" s="1"/>
  <c r="O37" i="9"/>
  <c r="O55" i="9" s="1"/>
  <c r="AB37" i="9"/>
  <c r="AB55" i="9" s="1"/>
  <c r="C37" i="9"/>
  <c r="C55" i="9" s="1"/>
  <c r="Q37" i="9"/>
  <c r="Q55" i="9" s="1"/>
  <c r="V37" i="9"/>
  <c r="V55" i="9" s="1"/>
  <c r="B53" i="3"/>
  <c r="AB354" i="3"/>
  <c r="U358" i="3"/>
  <c r="U375" i="3" s="1"/>
  <c r="J53" i="3"/>
  <c r="V359" i="3"/>
  <c r="V377" i="3" s="1"/>
  <c r="V363" i="3"/>
  <c r="Q468" i="3"/>
  <c r="R53" i="3"/>
  <c r="O52" i="3"/>
  <c r="Q50" i="3"/>
  <c r="P52" i="3"/>
  <c r="X52" i="3"/>
  <c r="H51" i="3"/>
  <c r="P51" i="3"/>
  <c r="X51" i="3"/>
  <c r="I51" i="3"/>
  <c r="Q51" i="3"/>
  <c r="Y51" i="3"/>
  <c r="I53" i="3"/>
  <c r="Q53" i="3"/>
  <c r="Y53" i="3"/>
  <c r="C53" i="3"/>
  <c r="K53" i="3"/>
  <c r="C50" i="3"/>
  <c r="K50" i="3"/>
  <c r="C52" i="3"/>
  <c r="K52" i="3"/>
  <c r="W52" i="3"/>
  <c r="G52" i="3"/>
  <c r="D52" i="3"/>
  <c r="L52" i="3"/>
  <c r="T52" i="3"/>
  <c r="AB52" i="3"/>
  <c r="N52" i="3"/>
  <c r="F52" i="3"/>
  <c r="V52" i="3"/>
  <c r="G149" i="3"/>
  <c r="I52" i="3"/>
  <c r="Q52" i="3"/>
  <c r="Y52" i="3"/>
  <c r="AB256" i="3"/>
  <c r="U365" i="3"/>
  <c r="C51" i="3"/>
  <c r="K51" i="3"/>
  <c r="H363" i="3"/>
  <c r="Q363" i="3"/>
  <c r="W363" i="3"/>
  <c r="C468" i="3"/>
  <c r="K468" i="3"/>
  <c r="S468" i="3"/>
  <c r="AA468" i="3"/>
  <c r="X363" i="3"/>
  <c r="E363" i="3"/>
  <c r="Z363" i="3"/>
  <c r="G363" i="3"/>
  <c r="P363" i="3"/>
  <c r="Y363" i="3"/>
  <c r="B468" i="3"/>
  <c r="J468" i="3"/>
  <c r="R468" i="3"/>
  <c r="Z468" i="3"/>
  <c r="B254" i="3"/>
  <c r="I363" i="3"/>
  <c r="R363" i="3"/>
  <c r="AB363" i="3"/>
  <c r="D468" i="3"/>
  <c r="AB468" i="3"/>
  <c r="L468" i="3"/>
  <c r="J363" i="3"/>
  <c r="T363" i="3"/>
  <c r="AC363" i="3"/>
  <c r="E468" i="3"/>
  <c r="M468" i="3"/>
  <c r="U468" i="3"/>
  <c r="AC468" i="3"/>
  <c r="C363" i="3"/>
  <c r="K363" i="3"/>
  <c r="S363" i="3"/>
  <c r="AA363" i="3"/>
  <c r="B363" i="3"/>
  <c r="L363" i="3"/>
  <c r="U363" i="3"/>
  <c r="F468" i="3"/>
  <c r="N468" i="3"/>
  <c r="V468" i="3"/>
  <c r="T468" i="3"/>
  <c r="D363" i="3"/>
  <c r="M363" i="3"/>
  <c r="G468" i="3"/>
  <c r="O468" i="3"/>
  <c r="W468" i="3"/>
  <c r="F145" i="3"/>
  <c r="N145" i="3"/>
  <c r="V145" i="3"/>
  <c r="G145" i="3"/>
  <c r="O145" i="3"/>
  <c r="W145" i="3"/>
  <c r="L467" i="3"/>
  <c r="F359" i="3"/>
  <c r="F377" i="3" s="1"/>
  <c r="O359" i="3"/>
  <c r="O377" i="3" s="1"/>
  <c r="X359" i="3"/>
  <c r="X377" i="3" s="1"/>
  <c r="H250" i="3"/>
  <c r="H268" i="3" s="1"/>
  <c r="P250" i="3"/>
  <c r="P268" i="3" s="1"/>
  <c r="X250" i="3"/>
  <c r="X268" i="3" s="1"/>
  <c r="Z53" i="3"/>
  <c r="AA51" i="3"/>
  <c r="F141" i="3"/>
  <c r="N141" i="3"/>
  <c r="V141" i="3"/>
  <c r="S51" i="3"/>
  <c r="S53" i="3"/>
  <c r="AA53" i="3"/>
  <c r="G141" i="3"/>
  <c r="D51" i="3"/>
  <c r="L51" i="3"/>
  <c r="T51" i="3"/>
  <c r="AB51" i="3"/>
  <c r="D53" i="3"/>
  <c r="L53" i="3"/>
  <c r="T53" i="3"/>
  <c r="AB53" i="3"/>
  <c r="O141" i="3"/>
  <c r="E51" i="3"/>
  <c r="M51" i="3"/>
  <c r="U51" i="3"/>
  <c r="AC51" i="3"/>
  <c r="W141" i="3"/>
  <c r="S50" i="3"/>
  <c r="AA50" i="3"/>
  <c r="S52" i="3"/>
  <c r="B463" i="3"/>
  <c r="H359" i="3"/>
  <c r="H377" i="3" s="1"/>
  <c r="K464" i="3"/>
  <c r="K482" i="3" s="1"/>
  <c r="G250" i="3"/>
  <c r="G268" i="3" s="1"/>
  <c r="O250" i="3"/>
  <c r="O268" i="3" s="1"/>
  <c r="W250" i="3"/>
  <c r="W268" i="3" s="1"/>
  <c r="E359" i="3"/>
  <c r="E377" i="3" s="1"/>
  <c r="N359" i="3"/>
  <c r="N377" i="3" s="1"/>
  <c r="W359" i="3"/>
  <c r="W377" i="3" s="1"/>
  <c r="H464" i="3"/>
  <c r="H482" i="3" s="1"/>
  <c r="P464" i="3"/>
  <c r="P482" i="3" s="1"/>
  <c r="X464" i="3"/>
  <c r="X482" i="3" s="1"/>
  <c r="I250" i="3"/>
  <c r="I268" i="3" s="1"/>
  <c r="Q250" i="3"/>
  <c r="Q268" i="3" s="1"/>
  <c r="Y250" i="3"/>
  <c r="Y268" i="3" s="1"/>
  <c r="G359" i="3"/>
  <c r="G377" i="3" s="1"/>
  <c r="P359" i="3"/>
  <c r="P377" i="3" s="1"/>
  <c r="Y359" i="3"/>
  <c r="Y377" i="3" s="1"/>
  <c r="B464" i="3"/>
  <c r="B482" i="3" s="1"/>
  <c r="J464" i="3"/>
  <c r="J482" i="3" s="1"/>
  <c r="R464" i="3"/>
  <c r="R482" i="3" s="1"/>
  <c r="Z464" i="3"/>
  <c r="Z482" i="3" s="1"/>
  <c r="AA464" i="3"/>
  <c r="AA482" i="3" s="1"/>
  <c r="J250" i="3"/>
  <c r="J268" i="3" s="1"/>
  <c r="C250" i="3"/>
  <c r="C268" i="3" s="1"/>
  <c r="K250" i="3"/>
  <c r="K268" i="3" s="1"/>
  <c r="S250" i="3"/>
  <c r="S268" i="3" s="1"/>
  <c r="AA250" i="3"/>
  <c r="AA268" i="3" s="1"/>
  <c r="I359" i="3"/>
  <c r="I377" i="3" s="1"/>
  <c r="R359" i="3"/>
  <c r="R377" i="3" s="1"/>
  <c r="AB359" i="3"/>
  <c r="AB377" i="3" s="1"/>
  <c r="D464" i="3"/>
  <c r="D482" i="3" s="1"/>
  <c r="L464" i="3"/>
  <c r="L482" i="3" s="1"/>
  <c r="T464" i="3"/>
  <c r="T482" i="3" s="1"/>
  <c r="AB464" i="3"/>
  <c r="AB482" i="3" s="1"/>
  <c r="Z250" i="3"/>
  <c r="Z268" i="3" s="1"/>
  <c r="Z359" i="3"/>
  <c r="Z377" i="3" s="1"/>
  <c r="S464" i="3"/>
  <c r="S482" i="3" s="1"/>
  <c r="D250" i="3"/>
  <c r="D268" i="3" s="1"/>
  <c r="L250" i="3"/>
  <c r="L268" i="3" s="1"/>
  <c r="T250" i="3"/>
  <c r="T268" i="3" s="1"/>
  <c r="AB250" i="3"/>
  <c r="AB268" i="3" s="1"/>
  <c r="C359" i="3"/>
  <c r="C377" i="3" s="1"/>
  <c r="K359" i="3"/>
  <c r="K377" i="3" s="1"/>
  <c r="S359" i="3"/>
  <c r="S377" i="3" s="1"/>
  <c r="AA359" i="3"/>
  <c r="AA377" i="3" s="1"/>
  <c r="J359" i="3"/>
  <c r="J377" i="3" s="1"/>
  <c r="T359" i="3"/>
  <c r="T377" i="3" s="1"/>
  <c r="AC359" i="3"/>
  <c r="AC377" i="3" s="1"/>
  <c r="E464" i="3"/>
  <c r="E482" i="3" s="1"/>
  <c r="M464" i="3"/>
  <c r="M482" i="3" s="1"/>
  <c r="U464" i="3"/>
  <c r="U482" i="3" s="1"/>
  <c r="AC464" i="3"/>
  <c r="AC482" i="3" s="1"/>
  <c r="B250" i="3"/>
  <c r="B268" i="3" s="1"/>
  <c r="E250" i="3"/>
  <c r="E268" i="3" s="1"/>
  <c r="M250" i="3"/>
  <c r="M268" i="3" s="1"/>
  <c r="U250" i="3"/>
  <c r="U268" i="3" s="1"/>
  <c r="AC250" i="3"/>
  <c r="AC268" i="3" s="1"/>
  <c r="B359" i="3"/>
  <c r="B377" i="3" s="1"/>
  <c r="L359" i="3"/>
  <c r="L377" i="3" s="1"/>
  <c r="U359" i="3"/>
  <c r="U377" i="3" s="1"/>
  <c r="F464" i="3"/>
  <c r="F482" i="3" s="1"/>
  <c r="N464" i="3"/>
  <c r="N482" i="3" s="1"/>
  <c r="V464" i="3"/>
  <c r="V482" i="3" s="1"/>
  <c r="R250" i="3"/>
  <c r="R268" i="3" s="1"/>
  <c r="Q359" i="3"/>
  <c r="Q377" i="3" s="1"/>
  <c r="C464" i="3"/>
  <c r="C482" i="3" s="1"/>
  <c r="F250" i="3"/>
  <c r="F268" i="3" s="1"/>
  <c r="N250" i="3"/>
  <c r="N268" i="3" s="1"/>
  <c r="V250" i="3"/>
  <c r="V268" i="3" s="1"/>
  <c r="D359" i="3"/>
  <c r="D377" i="3" s="1"/>
  <c r="M359" i="3"/>
  <c r="M377" i="3" s="1"/>
  <c r="G464" i="3"/>
  <c r="G482" i="3" s="1"/>
  <c r="O464" i="3"/>
  <c r="O482" i="3" s="1"/>
  <c r="W464" i="3"/>
  <c r="W482" i="3" s="1"/>
  <c r="Z51" i="3"/>
  <c r="P53" i="3"/>
  <c r="C358" i="3"/>
  <c r="C375" i="3" s="1"/>
  <c r="L358" i="3"/>
  <c r="L375" i="3" s="1"/>
  <c r="E53" i="3"/>
  <c r="M53" i="3"/>
  <c r="U53" i="3"/>
  <c r="AC53" i="3"/>
  <c r="B249" i="3"/>
  <c r="B266" i="3" s="1"/>
  <c r="J249" i="3"/>
  <c r="J266" i="3" s="1"/>
  <c r="Z249" i="3"/>
  <c r="Z266" i="3" s="1"/>
  <c r="F51" i="3"/>
  <c r="N51" i="3"/>
  <c r="V51" i="3"/>
  <c r="F53" i="3"/>
  <c r="N53" i="3"/>
  <c r="V53" i="3"/>
  <c r="I463" i="3"/>
  <c r="I480" i="3" s="1"/>
  <c r="Q463" i="3"/>
  <c r="Q480" i="3" s="1"/>
  <c r="Y463" i="3"/>
  <c r="Y480" i="3" s="1"/>
  <c r="AA52" i="3"/>
  <c r="R249" i="3"/>
  <c r="R266" i="3" s="1"/>
  <c r="AC358" i="3"/>
  <c r="R51" i="3"/>
  <c r="H53" i="3"/>
  <c r="X53" i="3"/>
  <c r="E52" i="3"/>
  <c r="M52" i="3"/>
  <c r="G51" i="3"/>
  <c r="O51" i="3"/>
  <c r="W51" i="3"/>
  <c r="G53" i="3"/>
  <c r="O53" i="3"/>
  <c r="W53" i="3"/>
  <c r="U52" i="3"/>
  <c r="B51" i="3"/>
  <c r="AC52" i="3"/>
  <c r="J51" i="3"/>
  <c r="Z355" i="3"/>
  <c r="H246" i="3"/>
  <c r="P246" i="3"/>
  <c r="X246" i="3"/>
  <c r="I355" i="3"/>
  <c r="R355" i="3"/>
  <c r="AB355" i="3"/>
  <c r="I460" i="3"/>
  <c r="Q460" i="3"/>
  <c r="Y460" i="3"/>
  <c r="B246" i="3"/>
  <c r="J246" i="3"/>
  <c r="R246" i="3"/>
  <c r="Z246" i="3"/>
  <c r="B355" i="3"/>
  <c r="L355" i="3"/>
  <c r="U355" i="3"/>
  <c r="C460" i="3"/>
  <c r="K460" i="3"/>
  <c r="S460" i="3"/>
  <c r="AA460" i="3"/>
  <c r="C246" i="3"/>
  <c r="K246" i="3"/>
  <c r="S246" i="3"/>
  <c r="AA246" i="3"/>
  <c r="D355" i="3"/>
  <c r="M355" i="3"/>
  <c r="V355" i="3"/>
  <c r="D460" i="3"/>
  <c r="L460" i="3"/>
  <c r="T460" i="3"/>
  <c r="AB460" i="3"/>
  <c r="D246" i="3"/>
  <c r="L246" i="3"/>
  <c r="T246" i="3"/>
  <c r="AB246" i="3"/>
  <c r="C355" i="3"/>
  <c r="K355" i="3"/>
  <c r="S355" i="3"/>
  <c r="AA355" i="3"/>
  <c r="E355" i="3"/>
  <c r="N355" i="3"/>
  <c r="W355" i="3"/>
  <c r="E460" i="3"/>
  <c r="M460" i="3"/>
  <c r="U460" i="3"/>
  <c r="AC460" i="3"/>
  <c r="E246" i="3"/>
  <c r="M246" i="3"/>
  <c r="U246" i="3"/>
  <c r="AC246" i="3"/>
  <c r="F355" i="3"/>
  <c r="O355" i="3"/>
  <c r="X355" i="3"/>
  <c r="F460" i="3"/>
  <c r="N460" i="3"/>
  <c r="V460" i="3"/>
  <c r="F246" i="3"/>
  <c r="N246" i="3"/>
  <c r="V246" i="3"/>
  <c r="G355" i="3"/>
  <c r="P355" i="3"/>
  <c r="Y355" i="3"/>
  <c r="G460" i="3"/>
  <c r="O460" i="3"/>
  <c r="W460" i="3"/>
  <c r="G246" i="3"/>
  <c r="O246" i="3"/>
  <c r="W246" i="3"/>
  <c r="H355" i="3"/>
  <c r="Q355" i="3"/>
  <c r="H460" i="3"/>
  <c r="P460" i="3"/>
  <c r="X460" i="3"/>
  <c r="S354" i="3"/>
  <c r="B245" i="3"/>
  <c r="J245" i="3"/>
  <c r="R245" i="3"/>
  <c r="Z245" i="3"/>
  <c r="I459" i="3"/>
  <c r="Q459" i="3"/>
  <c r="Y459" i="3"/>
  <c r="J354" i="3"/>
  <c r="AA354" i="3"/>
  <c r="AB459" i="3"/>
  <c r="T260" i="13"/>
  <c r="M368" i="13"/>
  <c r="J368" i="13"/>
  <c r="T152" i="13"/>
  <c r="X152" i="13"/>
  <c r="X369" i="13"/>
  <c r="J260" i="13"/>
  <c r="T368" i="13"/>
  <c r="O367" i="13"/>
  <c r="D367" i="13"/>
  <c r="D401" i="13" s="1"/>
  <c r="Y151" i="13"/>
  <c r="K369" i="13"/>
  <c r="V508" i="9"/>
  <c r="D44" i="9"/>
  <c r="D368" i="9" s="1"/>
  <c r="M44" i="9"/>
  <c r="M368" i="9" s="1"/>
  <c r="P44" i="9"/>
  <c r="P46" i="9" s="1"/>
  <c r="C44" i="3"/>
  <c r="C45" i="3" s="1"/>
  <c r="K44" i="3"/>
  <c r="K151" i="3" s="1"/>
  <c r="S44" i="3"/>
  <c r="S259" i="3" s="1"/>
  <c r="AA44" i="3"/>
  <c r="AA151" i="3" s="1"/>
  <c r="R44" i="9"/>
  <c r="R151" i="9" s="1"/>
  <c r="AB153" i="3"/>
  <c r="E44" i="3"/>
  <c r="E151" i="3" s="1"/>
  <c r="M44" i="3"/>
  <c r="M368" i="3" s="1"/>
  <c r="U44" i="3"/>
  <c r="U45" i="3" s="1"/>
  <c r="AC44" i="3"/>
  <c r="AC369" i="3" s="1"/>
  <c r="F44" i="3"/>
  <c r="F152" i="3" s="1"/>
  <c r="N44" i="3"/>
  <c r="N46" i="3" s="1"/>
  <c r="V44" i="3"/>
  <c r="V152" i="3" s="1"/>
  <c r="G44" i="3"/>
  <c r="G368" i="3" s="1"/>
  <c r="O44" i="3"/>
  <c r="O474" i="3" s="1"/>
  <c r="W44" i="3"/>
  <c r="W474" i="3" s="1"/>
  <c r="H44" i="3"/>
  <c r="H260" i="3" s="1"/>
  <c r="X44" i="3"/>
  <c r="X474" i="3" s="1"/>
  <c r="I44" i="3"/>
  <c r="I473" i="3" s="1"/>
  <c r="Q44" i="3"/>
  <c r="Q260" i="3" s="1"/>
  <c r="Y44" i="3"/>
  <c r="Y152" i="3" s="1"/>
  <c r="P44" i="3"/>
  <c r="P152" i="3" s="1"/>
  <c r="B44" i="3"/>
  <c r="B473" i="3" s="1"/>
  <c r="R44" i="3"/>
  <c r="R260" i="3" s="1"/>
  <c r="Z44" i="3"/>
  <c r="Z45" i="3" s="1"/>
  <c r="D44" i="3"/>
  <c r="D45" i="3" s="1"/>
  <c r="L44" i="3"/>
  <c r="L152" i="3" s="1"/>
  <c r="T44" i="3"/>
  <c r="T45" i="3" s="1"/>
  <c r="AB44" i="3"/>
  <c r="AB260" i="3" s="1"/>
  <c r="S367" i="3"/>
  <c r="F153" i="3"/>
  <c r="N153" i="3"/>
  <c r="V153" i="3"/>
  <c r="J367" i="13"/>
  <c r="J402" i="13" s="1"/>
  <c r="R367" i="13"/>
  <c r="R400" i="13" s="1"/>
  <c r="B367" i="13"/>
  <c r="B402" i="13" s="1"/>
  <c r="R11" i="33" s="1"/>
  <c r="I367" i="13"/>
  <c r="I402" i="13" s="1"/>
  <c r="L367" i="13"/>
  <c r="L404" i="13" s="1"/>
  <c r="Z367" i="13"/>
  <c r="Z403" i="13" s="1"/>
  <c r="W152" i="13"/>
  <c r="P76" i="13"/>
  <c r="F367" i="13"/>
  <c r="F400" i="13" s="1"/>
  <c r="P367" i="13"/>
  <c r="P400" i="13" s="1"/>
  <c r="Q367" i="13"/>
  <c r="Q397" i="13" s="1"/>
  <c r="T367" i="13"/>
  <c r="T401" i="13" s="1"/>
  <c r="N367" i="13"/>
  <c r="N404" i="13" s="1"/>
  <c r="W260" i="13"/>
  <c r="U367" i="13"/>
  <c r="U403" i="13" s="1"/>
  <c r="E367" i="13"/>
  <c r="E403" i="13" s="1"/>
  <c r="Y367" i="13"/>
  <c r="Y403" i="13" s="1"/>
  <c r="AB367" i="13"/>
  <c r="AB397" i="13" s="1"/>
  <c r="W369" i="13"/>
  <c r="H367" i="13"/>
  <c r="H399" i="13" s="1"/>
  <c r="G367" i="13"/>
  <c r="G397" i="13" s="1"/>
  <c r="C367" i="13"/>
  <c r="C399" i="13" s="1"/>
  <c r="K367" i="13"/>
  <c r="K401" i="13" s="1"/>
  <c r="S367" i="13"/>
  <c r="S402" i="13" s="1"/>
  <c r="D81" i="13"/>
  <c r="AC367" i="13"/>
  <c r="AC403" i="13" s="1"/>
  <c r="DX12" i="33" s="1"/>
  <c r="AA367" i="13"/>
  <c r="AA401" i="13" s="1"/>
  <c r="X367" i="13"/>
  <c r="X397" i="13" s="1"/>
  <c r="AB81" i="13"/>
  <c r="AB62" i="13"/>
  <c r="AB68" i="13"/>
  <c r="AB56" i="13"/>
  <c r="AB64" i="13"/>
  <c r="AB63" i="13"/>
  <c r="AB66" i="13"/>
  <c r="AB65" i="13"/>
  <c r="AB67" i="13"/>
  <c r="AB69" i="13"/>
  <c r="I153" i="3"/>
  <c r="J259" i="9"/>
  <c r="J151" i="9"/>
  <c r="AC44" i="9"/>
  <c r="AC151" i="9" s="1"/>
  <c r="R47" i="9"/>
  <c r="R63" i="9" s="1"/>
  <c r="H44" i="9"/>
  <c r="H45" i="9" s="1"/>
  <c r="B368" i="13"/>
  <c r="J368" i="9"/>
  <c r="B44" i="9"/>
  <c r="B473" i="9" s="1"/>
  <c r="F44" i="9"/>
  <c r="F259" i="9" s="1"/>
  <c r="L44" i="9"/>
  <c r="L369" i="9" s="1"/>
  <c r="X44" i="9"/>
  <c r="X259" i="9" s="1"/>
  <c r="H153" i="3"/>
  <c r="P153" i="3"/>
  <c r="X153" i="3"/>
  <c r="J474" i="9"/>
  <c r="T44" i="9"/>
  <c r="T474" i="9" s="1"/>
  <c r="I44" i="9"/>
  <c r="I45" i="9" s="1"/>
  <c r="O152" i="13"/>
  <c r="H388" i="9"/>
  <c r="J369" i="9"/>
  <c r="AB44" i="9"/>
  <c r="AB45" i="9" s="1"/>
  <c r="Q44" i="9"/>
  <c r="Y153" i="3"/>
  <c r="B153" i="3"/>
  <c r="J153" i="3"/>
  <c r="R153" i="3"/>
  <c r="Z153" i="3"/>
  <c r="D261" i="3"/>
  <c r="W47" i="9"/>
  <c r="U44" i="9"/>
  <c r="U45" i="9" s="1"/>
  <c r="G44" i="9"/>
  <c r="G151" i="9" s="1"/>
  <c r="Y44" i="9"/>
  <c r="Y151" i="9" s="1"/>
  <c r="K386" i="13"/>
  <c r="Q153" i="3"/>
  <c r="C153" i="3"/>
  <c r="K153" i="3"/>
  <c r="S153" i="3"/>
  <c r="AA153" i="3"/>
  <c r="J473" i="9"/>
  <c r="N44" i="9"/>
  <c r="N369" i="9" s="1"/>
  <c r="E44" i="9"/>
  <c r="E151" i="9" s="1"/>
  <c r="O44" i="9"/>
  <c r="O45" i="9" s="1"/>
  <c r="D153" i="3"/>
  <c r="L153" i="3"/>
  <c r="C261" i="3"/>
  <c r="K261" i="3"/>
  <c r="S261" i="3"/>
  <c r="AA261" i="3"/>
  <c r="F47" i="9"/>
  <c r="F57" i="9" s="1"/>
  <c r="W44" i="9"/>
  <c r="W45" i="9" s="1"/>
  <c r="C44" i="9"/>
  <c r="C45" i="9" s="1"/>
  <c r="O47" i="9"/>
  <c r="J47" i="9"/>
  <c r="I367" i="3"/>
  <c r="X47" i="9"/>
  <c r="G47" i="9"/>
  <c r="N47" i="9"/>
  <c r="N64" i="9" s="1"/>
  <c r="Z47" i="9"/>
  <c r="H47" i="9"/>
  <c r="V47" i="9"/>
  <c r="C47" i="9"/>
  <c r="C69" i="9" s="1"/>
  <c r="N152" i="13"/>
  <c r="T47" i="9"/>
  <c r="I47" i="9"/>
  <c r="K47" i="9"/>
  <c r="K62" i="9" s="1"/>
  <c r="N368" i="13"/>
  <c r="I152" i="13"/>
  <c r="AB47" i="9"/>
  <c r="U47" i="9"/>
  <c r="AC47" i="9"/>
  <c r="Q47" i="9"/>
  <c r="S47" i="9"/>
  <c r="L47" i="9"/>
  <c r="N259" i="13"/>
  <c r="E47" i="9"/>
  <c r="M47" i="9"/>
  <c r="Y47" i="9"/>
  <c r="AA47" i="9"/>
  <c r="AA62" i="9" s="1"/>
  <c r="B47" i="9"/>
  <c r="D47" i="9"/>
  <c r="B261" i="3"/>
  <c r="J261" i="3"/>
  <c r="R261" i="3"/>
  <c r="Z261" i="3"/>
  <c r="L261" i="3"/>
  <c r="T261" i="3"/>
  <c r="AB261" i="3"/>
  <c r="E261" i="3"/>
  <c r="M261" i="3"/>
  <c r="U261" i="3"/>
  <c r="AC261" i="3"/>
  <c r="L368" i="13"/>
  <c r="F261" i="3"/>
  <c r="N261" i="3"/>
  <c r="V261" i="3"/>
  <c r="G261" i="3"/>
  <c r="O261" i="3"/>
  <c r="W261" i="3"/>
  <c r="H261" i="3"/>
  <c r="P261" i="3"/>
  <c r="X261" i="3"/>
  <c r="G171" i="9"/>
  <c r="I261" i="3"/>
  <c r="Q261" i="3"/>
  <c r="Y261" i="3"/>
  <c r="E472" i="3"/>
  <c r="M472" i="3"/>
  <c r="U472" i="3"/>
  <c r="AC472" i="3"/>
  <c r="Q369" i="13"/>
  <c r="F472" i="3"/>
  <c r="N472" i="3"/>
  <c r="V472" i="3"/>
  <c r="W45" i="13"/>
  <c r="H472" i="3"/>
  <c r="G74" i="13"/>
  <c r="Q260" i="13"/>
  <c r="U367" i="3"/>
  <c r="J45" i="9"/>
  <c r="Z74" i="13"/>
  <c r="O260" i="13"/>
  <c r="Z258" i="13"/>
  <c r="Z290" i="13" s="1"/>
  <c r="C367" i="3"/>
  <c r="AC398" i="9"/>
  <c r="EN7" i="33" s="1"/>
  <c r="B260" i="13"/>
  <c r="P258" i="13"/>
  <c r="P294" i="13" s="1"/>
  <c r="H367" i="3"/>
  <c r="V45" i="9"/>
  <c r="Y369" i="13"/>
  <c r="O258" i="13"/>
  <c r="O294" i="13" s="1"/>
  <c r="M76" i="13"/>
  <c r="BF8" i="33" s="1"/>
  <c r="Y368" i="13"/>
  <c r="Q152" i="13"/>
  <c r="N76" i="13"/>
  <c r="E81" i="13"/>
  <c r="R260" i="13"/>
  <c r="K152" i="13"/>
  <c r="R368" i="13"/>
  <c r="G260" i="13"/>
  <c r="O75" i="13"/>
  <c r="R367" i="3"/>
  <c r="D368" i="13"/>
  <c r="G369" i="13"/>
  <c r="S258" i="13"/>
  <c r="S293" i="13" s="1"/>
  <c r="R258" i="13"/>
  <c r="R295" i="13" s="1"/>
  <c r="Q258" i="13"/>
  <c r="Q290" i="13" s="1"/>
  <c r="H258" i="13"/>
  <c r="H294" i="13" s="1"/>
  <c r="F258" i="13"/>
  <c r="F293" i="13" s="1"/>
  <c r="S369" i="13"/>
  <c r="C258" i="13"/>
  <c r="C294" i="13" s="1"/>
  <c r="X258" i="13"/>
  <c r="X295" i="13" s="1"/>
  <c r="L258" i="13"/>
  <c r="L292" i="13" s="1"/>
  <c r="AC258" i="13"/>
  <c r="AC295" i="13" s="1"/>
  <c r="DS13" i="33" s="1"/>
  <c r="AB258" i="13"/>
  <c r="AB291" i="13" s="1"/>
  <c r="E258" i="13"/>
  <c r="E288" i="13" s="1"/>
  <c r="U258" i="13"/>
  <c r="U298" i="13" s="1"/>
  <c r="T258" i="13"/>
  <c r="T295" i="13" s="1"/>
  <c r="K258" i="13"/>
  <c r="K293" i="13" s="1"/>
  <c r="J258" i="13"/>
  <c r="J293" i="13" s="1"/>
  <c r="N258" i="13"/>
  <c r="N294" i="13" s="1"/>
  <c r="D258" i="13"/>
  <c r="D294" i="13" s="1"/>
  <c r="B386" i="9"/>
  <c r="B258" i="13"/>
  <c r="B290" i="13" s="1"/>
  <c r="M8" i="33" s="1"/>
  <c r="W258" i="13"/>
  <c r="W289" i="13" s="1"/>
  <c r="M258" i="13"/>
  <c r="M292" i="13" s="1"/>
  <c r="BP10" i="33" s="1"/>
  <c r="G258" i="13"/>
  <c r="G293" i="13" s="1"/>
  <c r="V258" i="13"/>
  <c r="V292" i="13" s="1"/>
  <c r="I258" i="13"/>
  <c r="I289" i="13" s="1"/>
  <c r="Y258" i="13"/>
  <c r="Y289" i="13" s="1"/>
  <c r="AC271" i="13"/>
  <c r="P47" i="9"/>
  <c r="J151" i="13"/>
  <c r="Q151" i="13"/>
  <c r="Z151" i="13"/>
  <c r="K151" i="13"/>
  <c r="U151" i="13"/>
  <c r="V151" i="13"/>
  <c r="P151" i="13"/>
  <c r="L151" i="13"/>
  <c r="W151" i="13"/>
  <c r="N151" i="13"/>
  <c r="R151" i="13"/>
  <c r="D151" i="13"/>
  <c r="W367" i="13"/>
  <c r="W403" i="13" s="1"/>
  <c r="E367" i="3"/>
  <c r="X367" i="3"/>
  <c r="J367" i="3"/>
  <c r="B472" i="3"/>
  <c r="W492" i="9"/>
  <c r="V369" i="9"/>
  <c r="N367" i="3"/>
  <c r="P368" i="13"/>
  <c r="K368" i="13"/>
  <c r="O368" i="13"/>
  <c r="I369" i="13"/>
  <c r="N260" i="13"/>
  <c r="Y152" i="13"/>
  <c r="G152" i="13"/>
  <c r="U153" i="13"/>
  <c r="U190" i="13" s="1"/>
  <c r="T151" i="13"/>
  <c r="O151" i="13"/>
  <c r="AA62" i="13"/>
  <c r="AA64" i="13"/>
  <c r="N57" i="13"/>
  <c r="N65" i="13"/>
  <c r="W368" i="13"/>
  <c r="D369" i="13"/>
  <c r="P152" i="13"/>
  <c r="F153" i="13"/>
  <c r="F190" i="13" s="1"/>
  <c r="X175" i="13"/>
  <c r="I65" i="13"/>
  <c r="I63" i="13"/>
  <c r="R69" i="13"/>
  <c r="R63" i="13"/>
  <c r="R64" i="13"/>
  <c r="O63" i="13"/>
  <c r="O69" i="13"/>
  <c r="O62" i="13"/>
  <c r="E65" i="13"/>
  <c r="E57" i="13"/>
  <c r="E62" i="13"/>
  <c r="K153" i="13"/>
  <c r="K190" i="13" s="1"/>
  <c r="C75" i="13"/>
  <c r="V74" i="13"/>
  <c r="J152" i="9"/>
  <c r="J46" i="9"/>
  <c r="Z391" i="13"/>
  <c r="Z379" i="13"/>
  <c r="B153" i="13"/>
  <c r="V380" i="13"/>
  <c r="Q153" i="13"/>
  <c r="Q190" i="13" s="1"/>
  <c r="X45" i="13"/>
  <c r="Y153" i="13"/>
  <c r="Y190" i="13" s="1"/>
  <c r="N153" i="13"/>
  <c r="N190" i="13" s="1"/>
  <c r="AA153" i="13"/>
  <c r="AA190" i="13" s="1"/>
  <c r="W63" i="13"/>
  <c r="W64" i="13"/>
  <c r="D69" i="13"/>
  <c r="D62" i="13"/>
  <c r="O370" i="13"/>
  <c r="U186" i="9"/>
  <c r="K44" i="9"/>
  <c r="Z44" i="9"/>
  <c r="Z478" i="9"/>
  <c r="Z493" i="9"/>
  <c r="AA401" i="9"/>
  <c r="AV24" i="9"/>
  <c r="S44" i="9"/>
  <c r="AA44" i="9"/>
  <c r="V404" i="13"/>
  <c r="X187" i="13"/>
  <c r="X163" i="13"/>
  <c r="AC283" i="13"/>
  <c r="V392" i="13"/>
  <c r="V379" i="13"/>
  <c r="V391" i="13"/>
  <c r="V403" i="13"/>
  <c r="P282" i="13"/>
  <c r="P270" i="13"/>
  <c r="V282" i="13"/>
  <c r="V270" i="13"/>
  <c r="T282" i="13"/>
  <c r="T270" i="13"/>
  <c r="B379" i="13"/>
  <c r="B391" i="13"/>
  <c r="C282" i="13"/>
  <c r="C270" i="13"/>
  <c r="AA294" i="13"/>
  <c r="AA282" i="13"/>
  <c r="AA270" i="13"/>
  <c r="F282" i="13"/>
  <c r="F270" i="13"/>
  <c r="H282" i="13"/>
  <c r="H270" i="13"/>
  <c r="M379" i="13"/>
  <c r="M391" i="13"/>
  <c r="U379" i="13"/>
  <c r="U391" i="13"/>
  <c r="N282" i="13"/>
  <c r="N270" i="13"/>
  <c r="O282" i="13"/>
  <c r="O270" i="13"/>
  <c r="S282" i="13"/>
  <c r="S270" i="13"/>
  <c r="X174" i="13"/>
  <c r="X162" i="13"/>
  <c r="X186" i="13"/>
  <c r="L379" i="13"/>
  <c r="L391" i="13"/>
  <c r="AC379" i="13"/>
  <c r="AC391" i="13"/>
  <c r="T379" i="13"/>
  <c r="T391" i="13"/>
  <c r="Y379" i="13"/>
  <c r="Y391" i="13"/>
  <c r="B270" i="13"/>
  <c r="B282" i="13"/>
  <c r="Z270" i="13"/>
  <c r="Z282" i="13"/>
  <c r="X282" i="13"/>
  <c r="X270" i="13"/>
  <c r="G282" i="13"/>
  <c r="G270" i="13"/>
  <c r="E379" i="13"/>
  <c r="E391" i="13"/>
  <c r="AB282" i="13"/>
  <c r="AB270" i="13"/>
  <c r="M282" i="13"/>
  <c r="M270" i="13"/>
  <c r="E282" i="13"/>
  <c r="E270" i="13"/>
  <c r="D379" i="13"/>
  <c r="D391" i="13"/>
  <c r="S379" i="13"/>
  <c r="S391" i="13"/>
  <c r="AA379" i="13"/>
  <c r="AA391" i="13"/>
  <c r="AB379" i="13"/>
  <c r="AB391" i="13"/>
  <c r="P391" i="13"/>
  <c r="P379" i="13"/>
  <c r="X391" i="13"/>
  <c r="X379" i="13"/>
  <c r="W379" i="13"/>
  <c r="W391" i="13"/>
  <c r="L282" i="13"/>
  <c r="L270" i="13"/>
  <c r="I270" i="13"/>
  <c r="I282" i="13"/>
  <c r="K379" i="13"/>
  <c r="K391" i="13"/>
  <c r="R379" i="13"/>
  <c r="R391" i="13"/>
  <c r="Q391" i="13"/>
  <c r="Q379" i="13"/>
  <c r="H391" i="13"/>
  <c r="H379" i="13"/>
  <c r="N379" i="13"/>
  <c r="N391" i="13"/>
  <c r="W282" i="13"/>
  <c r="W270" i="13"/>
  <c r="Q270" i="13"/>
  <c r="Q282" i="13"/>
  <c r="J282" i="13"/>
  <c r="J270" i="13"/>
  <c r="AC282" i="13"/>
  <c r="AC270" i="13"/>
  <c r="C379" i="13"/>
  <c r="C391" i="13"/>
  <c r="J379" i="13"/>
  <c r="J391" i="13"/>
  <c r="I391" i="13"/>
  <c r="I379" i="13"/>
  <c r="G379" i="13"/>
  <c r="G391" i="13"/>
  <c r="F379" i="13"/>
  <c r="F391" i="13"/>
  <c r="K282" i="13"/>
  <c r="K270" i="13"/>
  <c r="D282" i="13"/>
  <c r="D270" i="13"/>
  <c r="Y270" i="13"/>
  <c r="Y282" i="13"/>
  <c r="R270" i="13"/>
  <c r="R282" i="13"/>
  <c r="C378" i="13"/>
  <c r="C390" i="13"/>
  <c r="AC281" i="13"/>
  <c r="AC269" i="13"/>
  <c r="E161" i="13"/>
  <c r="K378" i="13"/>
  <c r="K390" i="13"/>
  <c r="M378" i="13"/>
  <c r="M390" i="13"/>
  <c r="W390" i="13"/>
  <c r="W378" i="13"/>
  <c r="M281" i="13"/>
  <c r="M269" i="13"/>
  <c r="E269" i="13"/>
  <c r="E281" i="13"/>
  <c r="Y269" i="13"/>
  <c r="Y281" i="13"/>
  <c r="Y161" i="13"/>
  <c r="K161" i="13"/>
  <c r="M161" i="13"/>
  <c r="X161" i="13"/>
  <c r="X185" i="13"/>
  <c r="X173" i="13"/>
  <c r="AA161" i="13"/>
  <c r="S378" i="13"/>
  <c r="S390" i="13"/>
  <c r="U378" i="13"/>
  <c r="U390" i="13"/>
  <c r="H390" i="13"/>
  <c r="H378" i="13"/>
  <c r="Z269" i="13"/>
  <c r="Z281" i="13"/>
  <c r="S269" i="13"/>
  <c r="S281" i="13"/>
  <c r="I269" i="13"/>
  <c r="I281" i="13"/>
  <c r="B161" i="13"/>
  <c r="S161" i="13"/>
  <c r="U161" i="13"/>
  <c r="AA378" i="13"/>
  <c r="AA390" i="13"/>
  <c r="AC390" i="13"/>
  <c r="AC378" i="13"/>
  <c r="P390" i="13"/>
  <c r="P378" i="13"/>
  <c r="C281" i="13"/>
  <c r="C269" i="13"/>
  <c r="H269" i="13"/>
  <c r="H281" i="13"/>
  <c r="R269" i="13"/>
  <c r="R281" i="13"/>
  <c r="AB161" i="13"/>
  <c r="F161" i="13"/>
  <c r="B269" i="13"/>
  <c r="B281" i="13"/>
  <c r="W161" i="13"/>
  <c r="D378" i="13"/>
  <c r="D390" i="13"/>
  <c r="F390" i="13"/>
  <c r="F378" i="13"/>
  <c r="X390" i="13"/>
  <c r="X378" i="13"/>
  <c r="K281" i="13"/>
  <c r="K269" i="13"/>
  <c r="O269" i="13"/>
  <c r="O281" i="13"/>
  <c r="T281" i="13"/>
  <c r="T269" i="13"/>
  <c r="AA293" i="13"/>
  <c r="AA281" i="13"/>
  <c r="AA269" i="13"/>
  <c r="D161" i="13"/>
  <c r="N161" i="13"/>
  <c r="P269" i="13"/>
  <c r="P281" i="13"/>
  <c r="R161" i="13"/>
  <c r="L378" i="13"/>
  <c r="L390" i="13"/>
  <c r="N390" i="13"/>
  <c r="N378" i="13"/>
  <c r="I378" i="13"/>
  <c r="I390" i="13"/>
  <c r="W269" i="13"/>
  <c r="W281" i="13"/>
  <c r="AB281" i="13"/>
  <c r="AB269" i="13"/>
  <c r="J269" i="13"/>
  <c r="J281" i="13"/>
  <c r="F269" i="13"/>
  <c r="F281" i="13"/>
  <c r="J161" i="13"/>
  <c r="I161" i="13"/>
  <c r="L161" i="13"/>
  <c r="V161" i="13"/>
  <c r="E378" i="13"/>
  <c r="E390" i="13"/>
  <c r="C161" i="13"/>
  <c r="B378" i="13"/>
  <c r="B390" i="13"/>
  <c r="T378" i="13"/>
  <c r="T390" i="13"/>
  <c r="V402" i="13"/>
  <c r="V390" i="13"/>
  <c r="V378" i="13"/>
  <c r="Q390" i="13"/>
  <c r="Q378" i="13"/>
  <c r="L281" i="13"/>
  <c r="L269" i="13"/>
  <c r="D281" i="13"/>
  <c r="D269" i="13"/>
  <c r="U281" i="13"/>
  <c r="U269" i="13"/>
  <c r="N269" i="13"/>
  <c r="N281" i="13"/>
  <c r="H161" i="13"/>
  <c r="Q161" i="13"/>
  <c r="T161" i="13"/>
  <c r="G161" i="13"/>
  <c r="Z378" i="13"/>
  <c r="Z390" i="13"/>
  <c r="O378" i="13"/>
  <c r="J378" i="13"/>
  <c r="J390" i="13"/>
  <c r="AB378" i="13"/>
  <c r="AB390" i="13"/>
  <c r="G390" i="13"/>
  <c r="G378" i="13"/>
  <c r="Y378" i="13"/>
  <c r="Y390" i="13"/>
  <c r="R378" i="13"/>
  <c r="R390" i="13"/>
  <c r="X269" i="13"/>
  <c r="X281" i="13"/>
  <c r="Q269" i="13"/>
  <c r="Q281" i="13"/>
  <c r="G269" i="13"/>
  <c r="G281" i="13"/>
  <c r="V269" i="13"/>
  <c r="V281" i="13"/>
  <c r="Z161" i="13"/>
  <c r="AC161" i="13"/>
  <c r="O161" i="13"/>
  <c r="G389" i="13"/>
  <c r="G377" i="13"/>
  <c r="O280" i="13"/>
  <c r="O268" i="13"/>
  <c r="I280" i="13"/>
  <c r="I268" i="13"/>
  <c r="Y280" i="13"/>
  <c r="Y268" i="13"/>
  <c r="K268" i="13"/>
  <c r="K280" i="13"/>
  <c r="V160" i="13"/>
  <c r="K160" i="13"/>
  <c r="R160" i="13"/>
  <c r="N389" i="13"/>
  <c r="N377" i="13"/>
  <c r="AB280" i="13"/>
  <c r="AB268" i="13"/>
  <c r="V280" i="13"/>
  <c r="V268" i="13"/>
  <c r="H280" i="13"/>
  <c r="H268" i="13"/>
  <c r="S268" i="13"/>
  <c r="S280" i="13"/>
  <c r="O160" i="13"/>
  <c r="H160" i="13"/>
  <c r="S160" i="13"/>
  <c r="Z389" i="13"/>
  <c r="Z377" i="13"/>
  <c r="AA268" i="13"/>
  <c r="AA292" i="13"/>
  <c r="AA280" i="13"/>
  <c r="AC389" i="13"/>
  <c r="AC377" i="13"/>
  <c r="AA377" i="13"/>
  <c r="AA389" i="13"/>
  <c r="R377" i="13"/>
  <c r="R389" i="13"/>
  <c r="Y377" i="13"/>
  <c r="Y389" i="13"/>
  <c r="X389" i="13"/>
  <c r="X377" i="13"/>
  <c r="P280" i="13"/>
  <c r="P268" i="13"/>
  <c r="W280" i="13"/>
  <c r="W268" i="13"/>
  <c r="Z268" i="13"/>
  <c r="Z280" i="13"/>
  <c r="AC160" i="13"/>
  <c r="W160" i="13"/>
  <c r="X184" i="13"/>
  <c r="X172" i="13"/>
  <c r="X160" i="13"/>
  <c r="D160" i="13"/>
  <c r="F389" i="13"/>
  <c r="F377" i="13"/>
  <c r="E280" i="13"/>
  <c r="E268" i="13"/>
  <c r="AA160" i="13"/>
  <c r="U389" i="13"/>
  <c r="U377" i="13"/>
  <c r="AB389" i="13"/>
  <c r="AB377" i="13"/>
  <c r="S377" i="13"/>
  <c r="S389" i="13"/>
  <c r="J389" i="13"/>
  <c r="J377" i="13"/>
  <c r="Q377" i="13"/>
  <c r="Q389" i="13"/>
  <c r="P389" i="13"/>
  <c r="P377" i="13"/>
  <c r="F280" i="13"/>
  <c r="F268" i="13"/>
  <c r="M280" i="13"/>
  <c r="M268" i="13"/>
  <c r="J268" i="13"/>
  <c r="J280" i="13"/>
  <c r="G160" i="13"/>
  <c r="Z160" i="13"/>
  <c r="B160" i="13"/>
  <c r="I160" i="13"/>
  <c r="L160" i="13"/>
  <c r="Q268" i="13"/>
  <c r="Q280" i="13"/>
  <c r="M389" i="13"/>
  <c r="M377" i="13"/>
  <c r="T389" i="13"/>
  <c r="T377" i="13"/>
  <c r="K389" i="13"/>
  <c r="K377" i="13"/>
  <c r="B389" i="13"/>
  <c r="B377" i="13"/>
  <c r="I377" i="13"/>
  <c r="I389" i="13"/>
  <c r="H389" i="13"/>
  <c r="H377" i="13"/>
  <c r="V401" i="13"/>
  <c r="V389" i="13"/>
  <c r="V377" i="13"/>
  <c r="R268" i="13"/>
  <c r="R280" i="13"/>
  <c r="X280" i="13"/>
  <c r="X268" i="13"/>
  <c r="T268" i="13"/>
  <c r="T280" i="13"/>
  <c r="M160" i="13"/>
  <c r="E160" i="13"/>
  <c r="Q160" i="13"/>
  <c r="T160" i="13"/>
  <c r="L280" i="13"/>
  <c r="L268" i="13"/>
  <c r="E389" i="13"/>
  <c r="E377" i="13"/>
  <c r="L389" i="13"/>
  <c r="L377" i="13"/>
  <c r="C377" i="13"/>
  <c r="C389" i="13"/>
  <c r="W389" i="13"/>
  <c r="W377" i="13"/>
  <c r="G280" i="13"/>
  <c r="G268" i="13"/>
  <c r="B268" i="13"/>
  <c r="B280" i="13"/>
  <c r="AC268" i="13"/>
  <c r="AC280" i="13"/>
  <c r="J160" i="13"/>
  <c r="F160" i="13"/>
  <c r="Y160" i="13"/>
  <c r="AB160" i="13"/>
  <c r="O377" i="13"/>
  <c r="P160" i="13"/>
  <c r="D389" i="13"/>
  <c r="D377" i="13"/>
  <c r="D268" i="13"/>
  <c r="D280" i="13"/>
  <c r="U268" i="13"/>
  <c r="U280" i="13"/>
  <c r="N280" i="13"/>
  <c r="N268" i="13"/>
  <c r="C268" i="13"/>
  <c r="C280" i="13"/>
  <c r="N160" i="13"/>
  <c r="C160" i="13"/>
  <c r="T68" i="13"/>
  <c r="T56" i="13"/>
  <c r="T66" i="13"/>
  <c r="T67" i="13"/>
  <c r="T57" i="13"/>
  <c r="L56" i="13"/>
  <c r="L68" i="13"/>
  <c r="L67" i="13"/>
  <c r="L57" i="13"/>
  <c r="L66" i="13"/>
  <c r="K68" i="13"/>
  <c r="K66" i="13"/>
  <c r="K56" i="13"/>
  <c r="K69" i="13"/>
  <c r="K67" i="13"/>
  <c r="AC77" i="13"/>
  <c r="DI9" i="33" s="1"/>
  <c r="S74" i="13"/>
  <c r="X62" i="13"/>
  <c r="G62" i="13"/>
  <c r="O64" i="13"/>
  <c r="M64" i="13"/>
  <c r="S64" i="13"/>
  <c r="J64" i="13"/>
  <c r="W65" i="13"/>
  <c r="F65" i="13"/>
  <c r="Y69" i="13"/>
  <c r="X69" i="13"/>
  <c r="G69" i="13"/>
  <c r="W57" i="13"/>
  <c r="M69" i="13"/>
  <c r="J63" i="13"/>
  <c r="N63" i="13"/>
  <c r="S65" i="13"/>
  <c r="C68" i="13"/>
  <c r="C66" i="13"/>
  <c r="C56" i="13"/>
  <c r="C67" i="13"/>
  <c r="C69" i="13"/>
  <c r="B68" i="13"/>
  <c r="B66" i="13"/>
  <c r="B56" i="13"/>
  <c r="B67" i="13"/>
  <c r="T81" i="13"/>
  <c r="J81" i="13"/>
  <c r="P62" i="13"/>
  <c r="G64" i="13"/>
  <c r="E64" i="13"/>
  <c r="K64" i="13"/>
  <c r="B64" i="13"/>
  <c r="L77" i="13"/>
  <c r="O65" i="13"/>
  <c r="Q69" i="13"/>
  <c r="P69" i="13"/>
  <c r="X57" i="13"/>
  <c r="O57" i="13"/>
  <c r="E69" i="13"/>
  <c r="T69" i="13"/>
  <c r="B63" i="13"/>
  <c r="AA57" i="13"/>
  <c r="F63" i="13"/>
  <c r="AC65" i="13"/>
  <c r="Y68" i="13"/>
  <c r="Y66" i="13"/>
  <c r="Y56" i="13"/>
  <c r="Y67" i="13"/>
  <c r="Y81" i="13"/>
  <c r="K74" i="13"/>
  <c r="V67" i="13"/>
  <c r="V56" i="13"/>
  <c r="V68" i="13"/>
  <c r="V66" i="13"/>
  <c r="Y62" i="13"/>
  <c r="H62" i="13"/>
  <c r="Q64" i="13"/>
  <c r="V64" i="13"/>
  <c r="L76" i="13"/>
  <c r="C64" i="13"/>
  <c r="Y65" i="13"/>
  <c r="X65" i="13"/>
  <c r="G65" i="13"/>
  <c r="I69" i="13"/>
  <c r="H69" i="13"/>
  <c r="P57" i="13"/>
  <c r="V57" i="13"/>
  <c r="L69" i="13"/>
  <c r="T63" i="13"/>
  <c r="Z65" i="13"/>
  <c r="C65" i="13"/>
  <c r="Z68" i="13"/>
  <c r="Z66" i="13"/>
  <c r="Z56" i="13"/>
  <c r="Z67" i="13"/>
  <c r="B81" i="13"/>
  <c r="C13" i="33" s="1"/>
  <c r="M56" i="13"/>
  <c r="M67" i="13"/>
  <c r="M68" i="13"/>
  <c r="M66" i="13"/>
  <c r="Q62" i="13"/>
  <c r="I64" i="13"/>
  <c r="N64" i="13"/>
  <c r="Q65" i="13"/>
  <c r="Z57" i="13"/>
  <c r="Y57" i="13"/>
  <c r="L63" i="13"/>
  <c r="X74" i="13"/>
  <c r="R65" i="13"/>
  <c r="C63" i="13"/>
  <c r="K57" i="13"/>
  <c r="R62" i="13"/>
  <c r="T65" i="13"/>
  <c r="H68" i="13"/>
  <c r="H66" i="13"/>
  <c r="H56" i="13"/>
  <c r="H67" i="13"/>
  <c r="Q76" i="13"/>
  <c r="F81" i="13"/>
  <c r="S68" i="13"/>
  <c r="S66" i="13"/>
  <c r="S56" i="13"/>
  <c r="S69" i="13"/>
  <c r="S67" i="13"/>
  <c r="P68" i="13"/>
  <c r="P66" i="13"/>
  <c r="P67" i="13"/>
  <c r="P56" i="13"/>
  <c r="W67" i="13"/>
  <c r="W68" i="13"/>
  <c r="W66" i="13"/>
  <c r="W56" i="13"/>
  <c r="D66" i="13"/>
  <c r="D56" i="13"/>
  <c r="D67" i="13"/>
  <c r="D57" i="13"/>
  <c r="D68" i="13"/>
  <c r="I62" i="13"/>
  <c r="V62" i="13"/>
  <c r="AC62" i="13"/>
  <c r="X75" i="13"/>
  <c r="X63" i="13"/>
  <c r="F64" i="13"/>
  <c r="T64" i="13"/>
  <c r="H65" i="13"/>
  <c r="Z69" i="13"/>
  <c r="R57" i="13"/>
  <c r="F57" i="13"/>
  <c r="AC57" i="13"/>
  <c r="D63" i="13"/>
  <c r="J65" i="13"/>
  <c r="K63" i="13"/>
  <c r="C57" i="13"/>
  <c r="L65" i="13"/>
  <c r="I68" i="13"/>
  <c r="I66" i="13"/>
  <c r="I56" i="13"/>
  <c r="I67" i="13"/>
  <c r="J68" i="13"/>
  <c r="J66" i="13"/>
  <c r="J56" i="13"/>
  <c r="J67" i="13"/>
  <c r="AA68" i="13"/>
  <c r="AA66" i="13"/>
  <c r="AA69" i="13"/>
  <c r="AA56" i="13"/>
  <c r="AA67" i="13"/>
  <c r="G67" i="13"/>
  <c r="G68" i="13"/>
  <c r="G66" i="13"/>
  <c r="G56" i="13"/>
  <c r="X67" i="13"/>
  <c r="X68" i="13"/>
  <c r="X66" i="13"/>
  <c r="X56" i="13"/>
  <c r="N67" i="13"/>
  <c r="N56" i="13"/>
  <c r="N68" i="13"/>
  <c r="N66" i="13"/>
  <c r="AA77" i="13"/>
  <c r="N62" i="13"/>
  <c r="T62" i="13"/>
  <c r="S62" i="13"/>
  <c r="Y63" i="13"/>
  <c r="P63" i="13"/>
  <c r="G63" i="13"/>
  <c r="P64" i="13"/>
  <c r="L64" i="13"/>
  <c r="J57" i="13"/>
  <c r="I57" i="13"/>
  <c r="V69" i="13"/>
  <c r="M81" i="13"/>
  <c r="BF13" i="33" s="1"/>
  <c r="B65" i="13"/>
  <c r="AA65" i="13"/>
  <c r="B62" i="13"/>
  <c r="M63" i="13"/>
  <c r="D65" i="13"/>
  <c r="F67" i="13"/>
  <c r="F68" i="13"/>
  <c r="F66" i="13"/>
  <c r="F56" i="13"/>
  <c r="AC56" i="13"/>
  <c r="AC67" i="13"/>
  <c r="AC68" i="13"/>
  <c r="AC66" i="13"/>
  <c r="Q68" i="13"/>
  <c r="Q66" i="13"/>
  <c r="Q56" i="13"/>
  <c r="Q67" i="13"/>
  <c r="R68" i="13"/>
  <c r="R66" i="13"/>
  <c r="R56" i="13"/>
  <c r="R67" i="13"/>
  <c r="L74" i="13"/>
  <c r="O67" i="13"/>
  <c r="O68" i="13"/>
  <c r="O66" i="13"/>
  <c r="O56" i="13"/>
  <c r="E56" i="13"/>
  <c r="E67" i="13"/>
  <c r="E68" i="13"/>
  <c r="E66" i="13"/>
  <c r="W62" i="13"/>
  <c r="F62" i="13"/>
  <c r="M62" i="13"/>
  <c r="L62" i="13"/>
  <c r="K62" i="13"/>
  <c r="Q63" i="13"/>
  <c r="H63" i="13"/>
  <c r="H64" i="13"/>
  <c r="AC64" i="13"/>
  <c r="D64" i="13"/>
  <c r="Z64" i="13"/>
  <c r="V65" i="13"/>
  <c r="J69" i="13"/>
  <c r="B57" i="13"/>
  <c r="W69" i="13"/>
  <c r="N69" i="13"/>
  <c r="AC69" i="13"/>
  <c r="M57" i="13"/>
  <c r="T74" i="13"/>
  <c r="Z63" i="13"/>
  <c r="AA63" i="13"/>
  <c r="E63" i="13"/>
  <c r="S63" i="13"/>
  <c r="AA368" i="13"/>
  <c r="AB368" i="13"/>
  <c r="AA369" i="13"/>
  <c r="AC260" i="13"/>
  <c r="V260" i="13"/>
  <c r="AA151" i="13"/>
  <c r="C152" i="13"/>
  <c r="Y74" i="13"/>
  <c r="E368" i="13"/>
  <c r="E260" i="13"/>
  <c r="Q77" i="13"/>
  <c r="G77" i="13"/>
  <c r="AC369" i="13"/>
  <c r="C369" i="13"/>
  <c r="AA259" i="13"/>
  <c r="S368" i="13"/>
  <c r="AC368" i="13"/>
  <c r="K76" i="13"/>
  <c r="O81" i="13"/>
  <c r="C368" i="13"/>
  <c r="AA260" i="13"/>
  <c r="AB151" i="13"/>
  <c r="C151" i="13"/>
  <c r="AC151" i="13"/>
  <c r="AB152" i="13"/>
  <c r="AA152" i="13"/>
  <c r="V76" i="13"/>
  <c r="N81" i="13"/>
  <c r="P81" i="13"/>
  <c r="E369" i="13"/>
  <c r="I368" i="13"/>
  <c r="AB260" i="13"/>
  <c r="S152" i="13"/>
  <c r="S75" i="13"/>
  <c r="H80" i="13"/>
  <c r="H78" i="13"/>
  <c r="H79" i="13"/>
  <c r="H369" i="13"/>
  <c r="F152" i="13"/>
  <c r="AA46" i="13"/>
  <c r="AA80" i="13"/>
  <c r="AA78" i="13"/>
  <c r="AA81" i="13"/>
  <c r="AA79" i="13"/>
  <c r="P75" i="13"/>
  <c r="K75" i="13"/>
  <c r="E76" i="13"/>
  <c r="D76" i="13"/>
  <c r="C76" i="13"/>
  <c r="Z76" i="13"/>
  <c r="D77" i="13"/>
  <c r="S77" i="13"/>
  <c r="G81" i="13"/>
  <c r="AA74" i="13"/>
  <c r="X368" i="13"/>
  <c r="X80" i="13"/>
  <c r="X78" i="13"/>
  <c r="X79" i="13"/>
  <c r="F369" i="13"/>
  <c r="F79" i="13"/>
  <c r="F80" i="13"/>
  <c r="F78" i="13"/>
  <c r="N369" i="13"/>
  <c r="N79" i="13"/>
  <c r="N80" i="13"/>
  <c r="N78" i="13"/>
  <c r="L78" i="13"/>
  <c r="L79" i="13"/>
  <c r="L80" i="13"/>
  <c r="R152" i="13"/>
  <c r="R80" i="13"/>
  <c r="R78" i="13"/>
  <c r="R79" i="13"/>
  <c r="H75" i="13"/>
  <c r="V75" i="13"/>
  <c r="Z75" i="13"/>
  <c r="W76" i="13"/>
  <c r="F76" i="13"/>
  <c r="R76" i="13"/>
  <c r="K77" i="13"/>
  <c r="Z77" i="13"/>
  <c r="P74" i="13"/>
  <c r="W74" i="13"/>
  <c r="Y75" i="13"/>
  <c r="D74" i="13"/>
  <c r="Z81" i="13"/>
  <c r="H151" i="13"/>
  <c r="E79" i="13"/>
  <c r="E80" i="13"/>
  <c r="E78" i="13"/>
  <c r="C46" i="13"/>
  <c r="C80" i="13"/>
  <c r="C78" i="13"/>
  <c r="C79" i="13"/>
  <c r="C81" i="13"/>
  <c r="AB78" i="13"/>
  <c r="AB80" i="13"/>
  <c r="AB79" i="13"/>
  <c r="I46" i="13"/>
  <c r="I80" i="13"/>
  <c r="I78" i="13"/>
  <c r="I79" i="13"/>
  <c r="N75" i="13"/>
  <c r="R75" i="13"/>
  <c r="O76" i="13"/>
  <c r="J76" i="13"/>
  <c r="C77" i="13"/>
  <c r="R77" i="13"/>
  <c r="H74" i="13"/>
  <c r="O74" i="13"/>
  <c r="N74" i="13"/>
  <c r="Q75" i="13"/>
  <c r="L81" i="13"/>
  <c r="I74" i="13"/>
  <c r="R81" i="13"/>
  <c r="H45" i="13"/>
  <c r="V369" i="13"/>
  <c r="V79" i="13"/>
  <c r="V80" i="13"/>
  <c r="V78" i="13"/>
  <c r="AC79" i="13"/>
  <c r="DI11" i="33" s="1"/>
  <c r="AC80" i="13"/>
  <c r="DI12" i="33" s="1"/>
  <c r="AC78" i="13"/>
  <c r="DI10" i="33" s="1"/>
  <c r="S46" i="13"/>
  <c r="S80" i="13"/>
  <c r="S78" i="13"/>
  <c r="S81" i="13"/>
  <c r="S79" i="13"/>
  <c r="Q46" i="13"/>
  <c r="W75" i="13"/>
  <c r="F75" i="13"/>
  <c r="AC75" i="13"/>
  <c r="DI7" i="33" s="1"/>
  <c r="AB75" i="13"/>
  <c r="J75" i="13"/>
  <c r="G76" i="13"/>
  <c r="B76" i="13"/>
  <c r="C8" i="33" s="1"/>
  <c r="V77" i="13"/>
  <c r="J77" i="13"/>
  <c r="Y77" i="13"/>
  <c r="H81" i="13"/>
  <c r="F74" i="13"/>
  <c r="I75" i="13"/>
  <c r="X81" i="13"/>
  <c r="C74" i="13"/>
  <c r="G151" i="13"/>
  <c r="G79" i="13"/>
  <c r="G80" i="13"/>
  <c r="G78" i="13"/>
  <c r="M46" i="13"/>
  <c r="M79" i="13"/>
  <c r="BF11" i="33" s="1"/>
  <c r="M80" i="13"/>
  <c r="BF12" i="33" s="1"/>
  <c r="M78" i="13"/>
  <c r="BF10" i="33" s="1"/>
  <c r="T46" i="13"/>
  <c r="T78" i="13"/>
  <c r="T80" i="13"/>
  <c r="T79" i="13"/>
  <c r="J80" i="13"/>
  <c r="J78" i="13"/>
  <c r="J79" i="13"/>
  <c r="R74" i="13"/>
  <c r="T75" i="13"/>
  <c r="B75" i="13"/>
  <c r="C7" i="33" s="1"/>
  <c r="N77" i="13"/>
  <c r="M77" i="13"/>
  <c r="BF9" i="33" s="1"/>
  <c r="B77" i="13"/>
  <c r="C9" i="33" s="1"/>
  <c r="X76" i="13"/>
  <c r="Q81" i="13"/>
  <c r="Q74" i="13"/>
  <c r="AC74" i="13"/>
  <c r="DI6" i="33" s="1"/>
  <c r="X77" i="13"/>
  <c r="X46" i="13"/>
  <c r="F368" i="13"/>
  <c r="H152" i="13"/>
  <c r="Z46" i="13"/>
  <c r="Z80" i="13"/>
  <c r="Z78" i="13"/>
  <c r="Z79" i="13"/>
  <c r="Y46" i="13"/>
  <c r="Y80" i="13"/>
  <c r="Y78" i="13"/>
  <c r="Y79" i="13"/>
  <c r="O46" i="13"/>
  <c r="O79" i="13"/>
  <c r="O80" i="13"/>
  <c r="O78" i="13"/>
  <c r="D46" i="13"/>
  <c r="D80" i="13"/>
  <c r="D79" i="13"/>
  <c r="D78" i="13"/>
  <c r="K46" i="13"/>
  <c r="K80" i="13"/>
  <c r="K78" i="13"/>
  <c r="K81" i="13"/>
  <c r="K79" i="13"/>
  <c r="J74" i="13"/>
  <c r="G75" i="13"/>
  <c r="M75" i="13"/>
  <c r="BF7" i="33" s="1"/>
  <c r="L75" i="13"/>
  <c r="AC76" i="13"/>
  <c r="DI8" i="33" s="1"/>
  <c r="AB76" i="13"/>
  <c r="AA76" i="13"/>
  <c r="F77" i="13"/>
  <c r="E77" i="13"/>
  <c r="AB77" i="13"/>
  <c r="I76" i="13"/>
  <c r="I77" i="13"/>
  <c r="AC81" i="13"/>
  <c r="DI13" i="33" s="1"/>
  <c r="M74" i="13"/>
  <c r="BF6" i="33" s="1"/>
  <c r="H77" i="13"/>
  <c r="I81" i="13"/>
  <c r="F260" i="13"/>
  <c r="Q80" i="13"/>
  <c r="Q78" i="13"/>
  <c r="Q79" i="13"/>
  <c r="P260" i="13"/>
  <c r="P80" i="13"/>
  <c r="P78" i="13"/>
  <c r="P79" i="13"/>
  <c r="W46" i="13"/>
  <c r="W79" i="13"/>
  <c r="W80" i="13"/>
  <c r="W78" i="13"/>
  <c r="B151" i="13"/>
  <c r="B78" i="13"/>
  <c r="C10" i="33" s="1"/>
  <c r="B79" i="13"/>
  <c r="C11" i="33" s="1"/>
  <c r="B74" i="13"/>
  <c r="C6" i="33" s="1"/>
  <c r="E75" i="13"/>
  <c r="D75" i="13"/>
  <c r="AA75" i="13"/>
  <c r="T76" i="13"/>
  <c r="S76" i="13"/>
  <c r="T77" i="13"/>
  <c r="P77" i="13"/>
  <c r="H76" i="13"/>
  <c r="W81" i="13"/>
  <c r="V81" i="13"/>
  <c r="E74" i="13"/>
  <c r="AB74" i="13"/>
  <c r="O77" i="13"/>
  <c r="Y76" i="13"/>
  <c r="K374" i="13"/>
  <c r="N157" i="13"/>
  <c r="U283" i="13"/>
  <c r="U271" i="13"/>
  <c r="P392" i="13"/>
  <c r="P380" i="13"/>
  <c r="E380" i="13"/>
  <c r="E392" i="13"/>
  <c r="G392" i="13"/>
  <c r="G380" i="13"/>
  <c r="H271" i="13"/>
  <c r="H283" i="13"/>
  <c r="E283" i="13"/>
  <c r="E271" i="13"/>
  <c r="AB283" i="13"/>
  <c r="AB271" i="13"/>
  <c r="H392" i="13"/>
  <c r="H380" i="13"/>
  <c r="AB392" i="13"/>
  <c r="AB380" i="13"/>
  <c r="F380" i="13"/>
  <c r="F392" i="13"/>
  <c r="M380" i="13"/>
  <c r="M392" i="13"/>
  <c r="S271" i="13"/>
  <c r="S283" i="13"/>
  <c r="Q271" i="13"/>
  <c r="Q283" i="13"/>
  <c r="N283" i="13"/>
  <c r="N271" i="13"/>
  <c r="T392" i="13"/>
  <c r="T380" i="13"/>
  <c r="S392" i="13"/>
  <c r="S380" i="13"/>
  <c r="W392" i="13"/>
  <c r="W380" i="13"/>
  <c r="D392" i="13"/>
  <c r="D380" i="13"/>
  <c r="U380" i="13"/>
  <c r="U392" i="13"/>
  <c r="G283" i="13"/>
  <c r="G271" i="13"/>
  <c r="F283" i="13"/>
  <c r="F271" i="13"/>
  <c r="W283" i="13"/>
  <c r="W271" i="13"/>
  <c r="AC380" i="13"/>
  <c r="AC392" i="13"/>
  <c r="O283" i="13"/>
  <c r="O271" i="13"/>
  <c r="J392" i="13"/>
  <c r="J380" i="13"/>
  <c r="L392" i="13"/>
  <c r="L380" i="13"/>
  <c r="Y271" i="13"/>
  <c r="Y283" i="13"/>
  <c r="R271" i="13"/>
  <c r="R283" i="13"/>
  <c r="Z271" i="13"/>
  <c r="Z283" i="13"/>
  <c r="K392" i="13"/>
  <c r="K380" i="13"/>
  <c r="Y392" i="13"/>
  <c r="Y380" i="13"/>
  <c r="AA392" i="13"/>
  <c r="AA380" i="13"/>
  <c r="C392" i="13"/>
  <c r="C380" i="13"/>
  <c r="J271" i="13"/>
  <c r="J283" i="13"/>
  <c r="P283" i="13"/>
  <c r="P271" i="13"/>
  <c r="AA271" i="13"/>
  <c r="AA295" i="13"/>
  <c r="AA283" i="13"/>
  <c r="M283" i="13"/>
  <c r="M271" i="13"/>
  <c r="T283" i="13"/>
  <c r="T271" i="13"/>
  <c r="R392" i="13"/>
  <c r="R380" i="13"/>
  <c r="Z392" i="13"/>
  <c r="Z380" i="13"/>
  <c r="X271" i="13"/>
  <c r="X283" i="13"/>
  <c r="C271" i="13"/>
  <c r="C283" i="13"/>
  <c r="B271" i="13"/>
  <c r="B283" i="13"/>
  <c r="D271" i="13"/>
  <c r="D283" i="13"/>
  <c r="N380" i="13"/>
  <c r="N392" i="13"/>
  <c r="V283" i="13"/>
  <c r="V271" i="13"/>
  <c r="I392" i="13"/>
  <c r="I380" i="13"/>
  <c r="Q392" i="13"/>
  <c r="Q380" i="13"/>
  <c r="X392" i="13"/>
  <c r="X380" i="13"/>
  <c r="I271" i="13"/>
  <c r="I283" i="13"/>
  <c r="K271" i="13"/>
  <c r="K283" i="13"/>
  <c r="L283" i="13"/>
  <c r="L271" i="13"/>
  <c r="B392" i="13"/>
  <c r="B380" i="13"/>
  <c r="D267" i="13"/>
  <c r="D279" i="13"/>
  <c r="E159" i="13"/>
  <c r="Y388" i="13"/>
  <c r="Y376" i="13"/>
  <c r="AA388" i="13"/>
  <c r="AA376" i="13"/>
  <c r="AC388" i="13"/>
  <c r="AC376" i="13"/>
  <c r="P388" i="13"/>
  <c r="P376" i="13"/>
  <c r="E267" i="13"/>
  <c r="E279" i="13"/>
  <c r="X279" i="13"/>
  <c r="X267" i="13"/>
  <c r="C267" i="13"/>
  <c r="C279" i="13"/>
  <c r="B279" i="13"/>
  <c r="B267" i="13"/>
  <c r="D159" i="13"/>
  <c r="P159" i="13"/>
  <c r="S159" i="13"/>
  <c r="V159" i="13"/>
  <c r="AC267" i="13"/>
  <c r="AC279" i="13"/>
  <c r="B388" i="13"/>
  <c r="B376" i="13"/>
  <c r="D376" i="13"/>
  <c r="D388" i="13"/>
  <c r="F388" i="13"/>
  <c r="F376" i="13"/>
  <c r="X388" i="13"/>
  <c r="X376" i="13"/>
  <c r="N267" i="13"/>
  <c r="N279" i="13"/>
  <c r="K267" i="13"/>
  <c r="K279" i="13"/>
  <c r="Y159" i="13"/>
  <c r="X183" i="13"/>
  <c r="X171" i="13"/>
  <c r="X159" i="13"/>
  <c r="AA159" i="13"/>
  <c r="J388" i="13"/>
  <c r="J376" i="13"/>
  <c r="S267" i="13"/>
  <c r="S279" i="13"/>
  <c r="R388" i="13"/>
  <c r="R376" i="13"/>
  <c r="T376" i="13"/>
  <c r="T388" i="13"/>
  <c r="V400" i="13"/>
  <c r="V388" i="13"/>
  <c r="V376" i="13"/>
  <c r="R279" i="13"/>
  <c r="R267" i="13"/>
  <c r="AA291" i="13"/>
  <c r="AA267" i="13"/>
  <c r="AA279" i="13"/>
  <c r="V267" i="13"/>
  <c r="V279" i="13"/>
  <c r="H279" i="13"/>
  <c r="H267" i="13"/>
  <c r="AB159" i="13"/>
  <c r="J159" i="13"/>
  <c r="M159" i="13"/>
  <c r="N388" i="13"/>
  <c r="N376" i="13"/>
  <c r="Z388" i="13"/>
  <c r="Z376" i="13"/>
  <c r="AB376" i="13"/>
  <c r="AB388" i="13"/>
  <c r="G388" i="13"/>
  <c r="G376" i="13"/>
  <c r="G279" i="13"/>
  <c r="G267" i="13"/>
  <c r="AB267" i="13"/>
  <c r="AB279" i="13"/>
  <c r="L267" i="13"/>
  <c r="L279" i="13"/>
  <c r="U267" i="13"/>
  <c r="U279" i="13"/>
  <c r="I159" i="13"/>
  <c r="R159" i="13"/>
  <c r="U159" i="13"/>
  <c r="B159" i="13"/>
  <c r="C388" i="13"/>
  <c r="C376" i="13"/>
  <c r="E388" i="13"/>
  <c r="E376" i="13"/>
  <c r="O376" i="13"/>
  <c r="P279" i="13"/>
  <c r="P267" i="13"/>
  <c r="I279" i="13"/>
  <c r="I267" i="13"/>
  <c r="J279" i="13"/>
  <c r="J267" i="13"/>
  <c r="W279" i="13"/>
  <c r="W267" i="13"/>
  <c r="Q159" i="13"/>
  <c r="L159" i="13"/>
  <c r="Z159" i="13"/>
  <c r="AC159" i="13"/>
  <c r="L376" i="13"/>
  <c r="L388" i="13"/>
  <c r="T267" i="13"/>
  <c r="T279" i="13"/>
  <c r="G159" i="13"/>
  <c r="I388" i="13"/>
  <c r="I376" i="13"/>
  <c r="K388" i="13"/>
  <c r="K376" i="13"/>
  <c r="M388" i="13"/>
  <c r="M376" i="13"/>
  <c r="W388" i="13"/>
  <c r="W376" i="13"/>
  <c r="F267" i="13"/>
  <c r="F279" i="13"/>
  <c r="Z279" i="13"/>
  <c r="Z267" i="13"/>
  <c r="Q279" i="13"/>
  <c r="Q267" i="13"/>
  <c r="T159" i="13"/>
  <c r="O159" i="13"/>
  <c r="C159" i="13"/>
  <c r="F159" i="13"/>
  <c r="Q388" i="13"/>
  <c r="Q376" i="13"/>
  <c r="S388" i="13"/>
  <c r="S376" i="13"/>
  <c r="U388" i="13"/>
  <c r="U376" i="13"/>
  <c r="H388" i="13"/>
  <c r="H376" i="13"/>
  <c r="O279" i="13"/>
  <c r="O267" i="13"/>
  <c r="Y279" i="13"/>
  <c r="Y267" i="13"/>
  <c r="M267" i="13"/>
  <c r="M279" i="13"/>
  <c r="W159" i="13"/>
  <c r="H159" i="13"/>
  <c r="K159" i="13"/>
  <c r="N159" i="13"/>
  <c r="Y375" i="13"/>
  <c r="Y387" i="13"/>
  <c r="O375" i="13"/>
  <c r="B387" i="13"/>
  <c r="B375" i="13"/>
  <c r="D375" i="13"/>
  <c r="D387" i="13"/>
  <c r="T278" i="13"/>
  <c r="T266" i="13"/>
  <c r="Y278" i="13"/>
  <c r="Y266" i="13"/>
  <c r="N278" i="13"/>
  <c r="N266" i="13"/>
  <c r="AC158" i="13"/>
  <c r="J158" i="13"/>
  <c r="G375" i="13"/>
  <c r="G387" i="13"/>
  <c r="F278" i="13"/>
  <c r="F266" i="13"/>
  <c r="W375" i="13"/>
  <c r="W387" i="13"/>
  <c r="J387" i="13"/>
  <c r="J375" i="13"/>
  <c r="L375" i="13"/>
  <c r="L387" i="13"/>
  <c r="G278" i="13"/>
  <c r="G266" i="13"/>
  <c r="K278" i="13"/>
  <c r="K266" i="13"/>
  <c r="D278" i="13"/>
  <c r="D266" i="13"/>
  <c r="V278" i="13"/>
  <c r="V266" i="13"/>
  <c r="Y158" i="13"/>
  <c r="G158" i="13"/>
  <c r="R158" i="13"/>
  <c r="AA387" i="13"/>
  <c r="AA375" i="13"/>
  <c r="U158" i="13"/>
  <c r="H375" i="13"/>
  <c r="H387" i="13"/>
  <c r="R387" i="13"/>
  <c r="R375" i="13"/>
  <c r="T375" i="13"/>
  <c r="T387" i="13"/>
  <c r="R278" i="13"/>
  <c r="R266" i="13"/>
  <c r="U278" i="13"/>
  <c r="U266" i="13"/>
  <c r="O278" i="13"/>
  <c r="O266" i="13"/>
  <c r="H278" i="13"/>
  <c r="H266" i="13"/>
  <c r="V158" i="13"/>
  <c r="AB158" i="13"/>
  <c r="D158" i="13"/>
  <c r="O158" i="13"/>
  <c r="Z158" i="13"/>
  <c r="I158" i="13"/>
  <c r="B158" i="13"/>
  <c r="P375" i="13"/>
  <c r="P387" i="13"/>
  <c r="Z387" i="13"/>
  <c r="Z375" i="13"/>
  <c r="AB375" i="13"/>
  <c r="AB387" i="13"/>
  <c r="AB278" i="13"/>
  <c r="AB266" i="13"/>
  <c r="B278" i="13"/>
  <c r="B266" i="13"/>
  <c r="Z278" i="13"/>
  <c r="Z266" i="13"/>
  <c r="P278" i="13"/>
  <c r="P266" i="13"/>
  <c r="F158" i="13"/>
  <c r="W158" i="13"/>
  <c r="C158" i="13"/>
  <c r="F375" i="13"/>
  <c r="F387" i="13"/>
  <c r="X375" i="13"/>
  <c r="X387" i="13"/>
  <c r="C387" i="13"/>
  <c r="C375" i="13"/>
  <c r="E375" i="13"/>
  <c r="E387" i="13"/>
  <c r="I278" i="13"/>
  <c r="I266" i="13"/>
  <c r="L278" i="13"/>
  <c r="L266" i="13"/>
  <c r="E278" i="13"/>
  <c r="E266" i="13"/>
  <c r="X278" i="13"/>
  <c r="X266" i="13"/>
  <c r="H158" i="13"/>
  <c r="K158" i="13"/>
  <c r="J278" i="13"/>
  <c r="J266" i="13"/>
  <c r="N375" i="13"/>
  <c r="N387" i="13"/>
  <c r="I375" i="13"/>
  <c r="I387" i="13"/>
  <c r="K387" i="13"/>
  <c r="K375" i="13"/>
  <c r="M375" i="13"/>
  <c r="M387" i="13"/>
  <c r="S278" i="13"/>
  <c r="S266" i="13"/>
  <c r="W278" i="13"/>
  <c r="W266" i="13"/>
  <c r="Q278" i="13"/>
  <c r="Q266" i="13"/>
  <c r="E158" i="13"/>
  <c r="P158" i="13"/>
  <c r="S158" i="13"/>
  <c r="AC375" i="13"/>
  <c r="AC387" i="13"/>
  <c r="M278" i="13"/>
  <c r="M266" i="13"/>
  <c r="V375" i="13"/>
  <c r="V399" i="13"/>
  <c r="V387" i="13"/>
  <c r="Q375" i="13"/>
  <c r="Q387" i="13"/>
  <c r="S387" i="13"/>
  <c r="S375" i="13"/>
  <c r="U375" i="13"/>
  <c r="U387" i="13"/>
  <c r="AC278" i="13"/>
  <c r="AC266" i="13"/>
  <c r="C278" i="13"/>
  <c r="C266" i="13"/>
  <c r="AA290" i="13"/>
  <c r="AA278" i="13"/>
  <c r="AA266" i="13"/>
  <c r="T158" i="13"/>
  <c r="Q158" i="13"/>
  <c r="N158" i="13"/>
  <c r="L158" i="13"/>
  <c r="M158" i="13"/>
  <c r="X182" i="13"/>
  <c r="X158" i="13"/>
  <c r="X170" i="13"/>
  <c r="AA158" i="13"/>
  <c r="C157" i="13"/>
  <c r="T386" i="13"/>
  <c r="T374" i="13"/>
  <c r="V374" i="13"/>
  <c r="V398" i="13"/>
  <c r="V386" i="13"/>
  <c r="Q386" i="13"/>
  <c r="Q374" i="13"/>
  <c r="Y277" i="13"/>
  <c r="Y265" i="13"/>
  <c r="R277" i="13"/>
  <c r="R265" i="13"/>
  <c r="N265" i="13"/>
  <c r="N277" i="13"/>
  <c r="U265" i="13"/>
  <c r="U277" i="13"/>
  <c r="R157" i="13"/>
  <c r="U157" i="13"/>
  <c r="T277" i="13"/>
  <c r="T265" i="13"/>
  <c r="AB386" i="13"/>
  <c r="AB374" i="13"/>
  <c r="G386" i="13"/>
  <c r="G374" i="13"/>
  <c r="Y386" i="13"/>
  <c r="Y374" i="13"/>
  <c r="F265" i="13"/>
  <c r="F277" i="13"/>
  <c r="I277" i="13"/>
  <c r="I265" i="13"/>
  <c r="X265" i="13"/>
  <c r="X277" i="13"/>
  <c r="AC265" i="13"/>
  <c r="AC277" i="13"/>
  <c r="AA157" i="13"/>
  <c r="Y157" i="13"/>
  <c r="V157" i="13"/>
  <c r="S157" i="13"/>
  <c r="Z157" i="13"/>
  <c r="AC157" i="13"/>
  <c r="C386" i="13"/>
  <c r="C374" i="13"/>
  <c r="M374" i="13"/>
  <c r="M386" i="13"/>
  <c r="W386" i="13"/>
  <c r="W374" i="13"/>
  <c r="J386" i="13"/>
  <c r="J374" i="13"/>
  <c r="Z277" i="13"/>
  <c r="Z265" i="13"/>
  <c r="J277" i="13"/>
  <c r="J265" i="13"/>
  <c r="K277" i="13"/>
  <c r="K265" i="13"/>
  <c r="L157" i="13"/>
  <c r="O157" i="13"/>
  <c r="C277" i="13"/>
  <c r="C265" i="13"/>
  <c r="G157" i="13"/>
  <c r="S386" i="13"/>
  <c r="S374" i="13"/>
  <c r="U374" i="13"/>
  <c r="U386" i="13"/>
  <c r="H386" i="13"/>
  <c r="H374" i="13"/>
  <c r="R386" i="13"/>
  <c r="R374" i="13"/>
  <c r="G265" i="13"/>
  <c r="G277" i="13"/>
  <c r="V265" i="13"/>
  <c r="V277" i="13"/>
  <c r="S277" i="13"/>
  <c r="S265" i="13"/>
  <c r="T157" i="13"/>
  <c r="W157" i="13"/>
  <c r="B386" i="13"/>
  <c r="B374" i="13"/>
  <c r="Q157" i="13"/>
  <c r="AA386" i="13"/>
  <c r="AA374" i="13"/>
  <c r="AC374" i="13"/>
  <c r="AC386" i="13"/>
  <c r="P386" i="13"/>
  <c r="P374" i="13"/>
  <c r="Z386" i="13"/>
  <c r="Z374" i="13"/>
  <c r="Q277" i="13"/>
  <c r="Q265" i="13"/>
  <c r="L277" i="13"/>
  <c r="L265" i="13"/>
  <c r="AA277" i="13"/>
  <c r="AA289" i="13"/>
  <c r="AA265" i="13"/>
  <c r="I157" i="13"/>
  <c r="AB157" i="13"/>
  <c r="H157" i="13"/>
  <c r="K157" i="13"/>
  <c r="O374" i="13"/>
  <c r="F157" i="13"/>
  <c r="D386" i="13"/>
  <c r="D374" i="13"/>
  <c r="F374" i="13"/>
  <c r="F386" i="13"/>
  <c r="X386" i="13"/>
  <c r="X374" i="13"/>
  <c r="D277" i="13"/>
  <c r="D265" i="13"/>
  <c r="AB277" i="13"/>
  <c r="AB265" i="13"/>
  <c r="W265" i="13"/>
  <c r="W277" i="13"/>
  <c r="E265" i="13"/>
  <c r="E277" i="13"/>
  <c r="B157" i="13"/>
  <c r="E157" i="13"/>
  <c r="P157" i="13"/>
  <c r="E374" i="13"/>
  <c r="E386" i="13"/>
  <c r="P265" i="13"/>
  <c r="P277" i="13"/>
  <c r="D157" i="13"/>
  <c r="L386" i="13"/>
  <c r="L374" i="13"/>
  <c r="N374" i="13"/>
  <c r="N386" i="13"/>
  <c r="I386" i="13"/>
  <c r="I374" i="13"/>
  <c r="O265" i="13"/>
  <c r="O277" i="13"/>
  <c r="H265" i="13"/>
  <c r="H277" i="13"/>
  <c r="B277" i="13"/>
  <c r="B265" i="13"/>
  <c r="M265" i="13"/>
  <c r="M277" i="13"/>
  <c r="J157" i="13"/>
  <c r="M157" i="13"/>
  <c r="X181" i="13"/>
  <c r="X157" i="13"/>
  <c r="X169" i="13"/>
  <c r="U156" i="13"/>
  <c r="G373" i="13"/>
  <c r="G385" i="13"/>
  <c r="F373" i="13"/>
  <c r="F385" i="13"/>
  <c r="M373" i="13"/>
  <c r="M385" i="13"/>
  <c r="L385" i="13"/>
  <c r="L373" i="13"/>
  <c r="K373" i="13"/>
  <c r="K385" i="13"/>
  <c r="R373" i="13"/>
  <c r="R385" i="13"/>
  <c r="D276" i="13"/>
  <c r="D264" i="13"/>
  <c r="AB276" i="13"/>
  <c r="AB264" i="13"/>
  <c r="H276" i="13"/>
  <c r="H264" i="13"/>
  <c r="S156" i="13"/>
  <c r="N156" i="13"/>
  <c r="B156" i="13"/>
  <c r="E156" i="13"/>
  <c r="Y373" i="13"/>
  <c r="Y385" i="13"/>
  <c r="S276" i="13"/>
  <c r="S264" i="13"/>
  <c r="E373" i="13"/>
  <c r="E385" i="13"/>
  <c r="D385" i="13"/>
  <c r="D373" i="13"/>
  <c r="C373" i="13"/>
  <c r="C385" i="13"/>
  <c r="J373" i="13"/>
  <c r="J385" i="13"/>
  <c r="N276" i="13"/>
  <c r="N264" i="13"/>
  <c r="G276" i="13"/>
  <c r="G264" i="13"/>
  <c r="P276" i="13"/>
  <c r="P264" i="13"/>
  <c r="V156" i="13"/>
  <c r="P156" i="13"/>
  <c r="J156" i="13"/>
  <c r="M156" i="13"/>
  <c r="C156" i="13"/>
  <c r="Q373" i="13"/>
  <c r="Q385" i="13"/>
  <c r="P373" i="13"/>
  <c r="P385" i="13"/>
  <c r="L276" i="13"/>
  <c r="L264" i="13"/>
  <c r="E276" i="13"/>
  <c r="E264" i="13"/>
  <c r="AC276" i="13"/>
  <c r="AC264" i="13"/>
  <c r="B276" i="13"/>
  <c r="B264" i="13"/>
  <c r="X180" i="13"/>
  <c r="X168" i="13"/>
  <c r="X156" i="13"/>
  <c r="O156" i="13"/>
  <c r="Z156" i="13"/>
  <c r="AC156" i="13"/>
  <c r="I373" i="13"/>
  <c r="I385" i="13"/>
  <c r="X373" i="13"/>
  <c r="X385" i="13"/>
  <c r="V276" i="13"/>
  <c r="V264" i="13"/>
  <c r="O276" i="13"/>
  <c r="O264" i="13"/>
  <c r="I276" i="13"/>
  <c r="I264" i="13"/>
  <c r="J276" i="13"/>
  <c r="J264" i="13"/>
  <c r="F156" i="13"/>
  <c r="W156" i="13"/>
  <c r="D156" i="13"/>
  <c r="G156" i="13"/>
  <c r="C276" i="13"/>
  <c r="C264" i="13"/>
  <c r="AA288" i="13"/>
  <c r="AA276" i="13"/>
  <c r="AA264" i="13"/>
  <c r="T276" i="13"/>
  <c r="T264" i="13"/>
  <c r="R276" i="13"/>
  <c r="R264" i="13"/>
  <c r="AA156" i="13"/>
  <c r="I156" i="13"/>
  <c r="L156" i="13"/>
  <c r="W373" i="13"/>
  <c r="W385" i="13"/>
  <c r="Y276" i="13"/>
  <c r="Y264" i="13"/>
  <c r="R156" i="13"/>
  <c r="V397" i="13"/>
  <c r="V373" i="13"/>
  <c r="V385" i="13"/>
  <c r="AC373" i="13"/>
  <c r="AC385" i="13"/>
  <c r="AB385" i="13"/>
  <c r="AB373" i="13"/>
  <c r="AA373" i="13"/>
  <c r="AA385" i="13"/>
  <c r="M276" i="13"/>
  <c r="M264" i="13"/>
  <c r="F276" i="13"/>
  <c r="F264" i="13"/>
  <c r="K276" i="13"/>
  <c r="K264" i="13"/>
  <c r="Z276" i="13"/>
  <c r="Z264" i="13"/>
  <c r="H156" i="13"/>
  <c r="Q156" i="13"/>
  <c r="T156" i="13"/>
  <c r="B373" i="13"/>
  <c r="B385" i="13"/>
  <c r="H373" i="13"/>
  <c r="H385" i="13"/>
  <c r="X276" i="13"/>
  <c r="X264" i="13"/>
  <c r="O373" i="13"/>
  <c r="N373" i="13"/>
  <c r="N385" i="13"/>
  <c r="U373" i="13"/>
  <c r="U385" i="13"/>
  <c r="T385" i="13"/>
  <c r="T373" i="13"/>
  <c r="S373" i="13"/>
  <c r="S385" i="13"/>
  <c r="Z373" i="13"/>
  <c r="Z385" i="13"/>
  <c r="W276" i="13"/>
  <c r="W264" i="13"/>
  <c r="Q276" i="13"/>
  <c r="Q264" i="13"/>
  <c r="U276" i="13"/>
  <c r="U264" i="13"/>
  <c r="K156" i="13"/>
  <c r="Y156" i="13"/>
  <c r="AB156" i="13"/>
  <c r="Y509" i="9"/>
  <c r="Z505" i="9"/>
  <c r="U391" i="9"/>
  <c r="U403" i="9"/>
  <c r="AB387" i="9"/>
  <c r="M270" i="9"/>
  <c r="M294" i="9"/>
  <c r="CG12" i="33" s="1"/>
  <c r="D182" i="9"/>
  <c r="E180" i="9"/>
  <c r="Y497" i="9"/>
  <c r="Y485" i="9"/>
  <c r="U162" i="9"/>
  <c r="C508" i="9"/>
  <c r="C484" i="9"/>
  <c r="C496" i="9"/>
  <c r="G379" i="9"/>
  <c r="G391" i="9"/>
  <c r="G403" i="9"/>
  <c r="U294" i="9"/>
  <c r="U270" i="9"/>
  <c r="U282" i="9"/>
  <c r="O484" i="9"/>
  <c r="O496" i="9"/>
  <c r="O508" i="9"/>
  <c r="N508" i="9"/>
  <c r="N484" i="9"/>
  <c r="N496" i="9"/>
  <c r="B496" i="9"/>
  <c r="B484" i="9"/>
  <c r="H484" i="9"/>
  <c r="H496" i="9"/>
  <c r="H508" i="9"/>
  <c r="AA403" i="9"/>
  <c r="AA379" i="9"/>
  <c r="AA391" i="9"/>
  <c r="X379" i="9"/>
  <c r="X391" i="9"/>
  <c r="X403" i="9"/>
  <c r="Y379" i="9"/>
  <c r="Y391" i="9"/>
  <c r="Y403" i="9"/>
  <c r="Y282" i="9"/>
  <c r="Y294" i="9"/>
  <c r="Y270" i="9"/>
  <c r="AA294" i="9"/>
  <c r="AA270" i="9"/>
  <c r="AA282" i="9"/>
  <c r="G270" i="9"/>
  <c r="G282" i="9"/>
  <c r="G294" i="9"/>
  <c r="H270" i="9"/>
  <c r="H282" i="9"/>
  <c r="H294" i="9"/>
  <c r="C186" i="9"/>
  <c r="C162" i="9"/>
  <c r="C174" i="9"/>
  <c r="G162" i="9"/>
  <c r="G174" i="9"/>
  <c r="G186" i="9"/>
  <c r="AB186" i="9"/>
  <c r="AB162" i="9"/>
  <c r="AB174" i="9"/>
  <c r="Q282" i="9"/>
  <c r="Q294" i="9"/>
  <c r="Q270" i="9"/>
  <c r="Y174" i="9"/>
  <c r="Y186" i="9"/>
  <c r="Y162" i="9"/>
  <c r="T186" i="9"/>
  <c r="T162" i="9"/>
  <c r="T174" i="9"/>
  <c r="F508" i="9"/>
  <c r="F484" i="9"/>
  <c r="F496" i="9"/>
  <c r="AB403" i="9"/>
  <c r="AB379" i="9"/>
  <c r="AB391" i="9"/>
  <c r="O379" i="9"/>
  <c r="O391" i="9"/>
  <c r="O403" i="9"/>
  <c r="N379" i="9"/>
  <c r="N391" i="9"/>
  <c r="N403" i="9"/>
  <c r="B282" i="9"/>
  <c r="B270" i="9"/>
  <c r="D294" i="9"/>
  <c r="D270" i="9"/>
  <c r="D282" i="9"/>
  <c r="O270" i="9"/>
  <c r="O282" i="9"/>
  <c r="O294" i="9"/>
  <c r="E294" i="9"/>
  <c r="E270" i="9"/>
  <c r="E282" i="9"/>
  <c r="Q174" i="9"/>
  <c r="Q186" i="9"/>
  <c r="Q162" i="9"/>
  <c r="D186" i="9"/>
  <c r="D162" i="9"/>
  <c r="D174" i="9"/>
  <c r="K403" i="9"/>
  <c r="K379" i="9"/>
  <c r="K391" i="9"/>
  <c r="S294" i="9"/>
  <c r="S270" i="9"/>
  <c r="S282" i="9"/>
  <c r="AC508" i="9"/>
  <c r="ER12" i="33" s="1"/>
  <c r="AC484" i="9"/>
  <c r="AC496" i="9"/>
  <c r="AB508" i="9"/>
  <c r="AB484" i="9"/>
  <c r="AB496" i="9"/>
  <c r="T403" i="9"/>
  <c r="T379" i="9"/>
  <c r="T391" i="9"/>
  <c r="P379" i="9"/>
  <c r="P391" i="9"/>
  <c r="P403" i="9"/>
  <c r="E403" i="9"/>
  <c r="E379" i="9"/>
  <c r="E391" i="9"/>
  <c r="D403" i="9"/>
  <c r="D379" i="9"/>
  <c r="D391" i="9"/>
  <c r="B391" i="9"/>
  <c r="B379" i="9"/>
  <c r="L403" i="9"/>
  <c r="L379" i="9"/>
  <c r="L391" i="9"/>
  <c r="X270" i="9"/>
  <c r="X282" i="9"/>
  <c r="X294" i="9"/>
  <c r="J282" i="9"/>
  <c r="J294" i="9"/>
  <c r="J270" i="9"/>
  <c r="L294" i="9"/>
  <c r="L270" i="9"/>
  <c r="L282" i="9"/>
  <c r="W270" i="9"/>
  <c r="W282" i="9"/>
  <c r="W294" i="9"/>
  <c r="AC294" i="9"/>
  <c r="EJ12" i="33" s="1"/>
  <c r="AC270" i="9"/>
  <c r="AC282" i="9"/>
  <c r="AC186" i="9"/>
  <c r="EF12" i="33" s="1"/>
  <c r="AC162" i="9"/>
  <c r="AC174" i="9"/>
  <c r="E186" i="9"/>
  <c r="E162" i="9"/>
  <c r="E174" i="9"/>
  <c r="Z174" i="9"/>
  <c r="Z186" i="9"/>
  <c r="Z162" i="9"/>
  <c r="M186" i="9"/>
  <c r="CC12" i="33" s="1"/>
  <c r="M162" i="9"/>
  <c r="M174" i="9"/>
  <c r="L186" i="9"/>
  <c r="L162" i="9"/>
  <c r="L174" i="9"/>
  <c r="G484" i="9"/>
  <c r="G496" i="9"/>
  <c r="G508" i="9"/>
  <c r="V294" i="9"/>
  <c r="V270" i="9"/>
  <c r="V282" i="9"/>
  <c r="U508" i="9"/>
  <c r="U484" i="9"/>
  <c r="U496" i="9"/>
  <c r="T508" i="9"/>
  <c r="T484" i="9"/>
  <c r="T496" i="9"/>
  <c r="Y496" i="9"/>
  <c r="Y508" i="9"/>
  <c r="Y484" i="9"/>
  <c r="H379" i="9"/>
  <c r="H391" i="9"/>
  <c r="H403" i="9"/>
  <c r="F379" i="9"/>
  <c r="F391" i="9"/>
  <c r="F403" i="9"/>
  <c r="J391" i="9"/>
  <c r="J403" i="9"/>
  <c r="J379" i="9"/>
  <c r="R282" i="9"/>
  <c r="R294" i="9"/>
  <c r="R270" i="9"/>
  <c r="T294" i="9"/>
  <c r="T270" i="9"/>
  <c r="T282" i="9"/>
  <c r="N162" i="9"/>
  <c r="N174" i="9"/>
  <c r="N186" i="9"/>
  <c r="I174" i="9"/>
  <c r="I186" i="9"/>
  <c r="I162" i="9"/>
  <c r="V162" i="9"/>
  <c r="V174" i="9"/>
  <c r="V186" i="9"/>
  <c r="M508" i="9"/>
  <c r="CO12" i="33" s="1"/>
  <c r="M484" i="9"/>
  <c r="M496" i="9"/>
  <c r="L508" i="9"/>
  <c r="L484" i="9"/>
  <c r="L496" i="9"/>
  <c r="AA508" i="9"/>
  <c r="AA484" i="9"/>
  <c r="AA496" i="9"/>
  <c r="Q496" i="9"/>
  <c r="Q508" i="9"/>
  <c r="Q484" i="9"/>
  <c r="W379" i="9"/>
  <c r="W391" i="9"/>
  <c r="W403" i="9"/>
  <c r="R391" i="9"/>
  <c r="R403" i="9"/>
  <c r="R379" i="9"/>
  <c r="Z282" i="9"/>
  <c r="Z294" i="9"/>
  <c r="Z270" i="9"/>
  <c r="AB294" i="9"/>
  <c r="AB270" i="9"/>
  <c r="AB282" i="9"/>
  <c r="W162" i="9"/>
  <c r="W174" i="9"/>
  <c r="W186" i="9"/>
  <c r="R174" i="9"/>
  <c r="R186" i="9"/>
  <c r="R162" i="9"/>
  <c r="H162" i="9"/>
  <c r="H174" i="9"/>
  <c r="H186" i="9"/>
  <c r="P484" i="9"/>
  <c r="P496" i="9"/>
  <c r="P508" i="9"/>
  <c r="P270" i="9"/>
  <c r="P282" i="9"/>
  <c r="P294" i="9"/>
  <c r="E508" i="9"/>
  <c r="E484" i="9"/>
  <c r="E496" i="9"/>
  <c r="D508" i="9"/>
  <c r="D484" i="9"/>
  <c r="D496" i="9"/>
  <c r="S508" i="9"/>
  <c r="S484" i="9"/>
  <c r="S496" i="9"/>
  <c r="Z496" i="9"/>
  <c r="Z508" i="9"/>
  <c r="Z484" i="9"/>
  <c r="I496" i="9"/>
  <c r="I508" i="9"/>
  <c r="I484" i="9"/>
  <c r="AC403" i="9"/>
  <c r="EN12" i="33" s="1"/>
  <c r="AC379" i="9"/>
  <c r="AC391" i="9"/>
  <c r="M403" i="9"/>
  <c r="CK12" i="33" s="1"/>
  <c r="M379" i="9"/>
  <c r="M391" i="9"/>
  <c r="Z391" i="9"/>
  <c r="Z403" i="9"/>
  <c r="Z379" i="9"/>
  <c r="V379" i="9"/>
  <c r="V391" i="9"/>
  <c r="V403" i="9"/>
  <c r="C294" i="9"/>
  <c r="C270" i="9"/>
  <c r="C282" i="9"/>
  <c r="F294" i="9"/>
  <c r="F270" i="9"/>
  <c r="F282" i="9"/>
  <c r="K186" i="9"/>
  <c r="K162" i="9"/>
  <c r="K174" i="9"/>
  <c r="B174" i="9"/>
  <c r="B162" i="9"/>
  <c r="F162" i="9"/>
  <c r="F174" i="9"/>
  <c r="F186" i="9"/>
  <c r="AA186" i="9"/>
  <c r="AA162" i="9"/>
  <c r="AA174" i="9"/>
  <c r="P162" i="9"/>
  <c r="P174" i="9"/>
  <c r="P186" i="9"/>
  <c r="W484" i="9"/>
  <c r="W496" i="9"/>
  <c r="W508" i="9"/>
  <c r="J496" i="9"/>
  <c r="J508" i="9"/>
  <c r="J484" i="9"/>
  <c r="Q379" i="9"/>
  <c r="Q391" i="9"/>
  <c r="Q403" i="9"/>
  <c r="S186" i="9"/>
  <c r="S162" i="9"/>
  <c r="S174" i="9"/>
  <c r="K508" i="9"/>
  <c r="K484" i="9"/>
  <c r="K496" i="9"/>
  <c r="R496" i="9"/>
  <c r="R508" i="9"/>
  <c r="R484" i="9"/>
  <c r="X484" i="9"/>
  <c r="X496" i="9"/>
  <c r="X508" i="9"/>
  <c r="S403" i="9"/>
  <c r="S379" i="9"/>
  <c r="S391" i="9"/>
  <c r="C403" i="9"/>
  <c r="C379" i="9"/>
  <c r="C391" i="9"/>
  <c r="I379" i="9"/>
  <c r="I391" i="9"/>
  <c r="I403" i="9"/>
  <c r="I282" i="9"/>
  <c r="I294" i="9"/>
  <c r="I270" i="9"/>
  <c r="K294" i="9"/>
  <c r="K270" i="9"/>
  <c r="K282" i="9"/>
  <c r="N294" i="9"/>
  <c r="N270" i="9"/>
  <c r="N282" i="9"/>
  <c r="O162" i="9"/>
  <c r="O174" i="9"/>
  <c r="O186" i="9"/>
  <c r="J174" i="9"/>
  <c r="J186" i="9"/>
  <c r="J162" i="9"/>
  <c r="X162" i="9"/>
  <c r="X174" i="9"/>
  <c r="X186" i="9"/>
  <c r="F69" i="9"/>
  <c r="F64" i="9"/>
  <c r="E152" i="9"/>
  <c r="V152" i="9"/>
  <c r="V368" i="9"/>
  <c r="V260" i="9"/>
  <c r="V151" i="9"/>
  <c r="V474" i="9"/>
  <c r="V259" i="9"/>
  <c r="V46" i="9"/>
  <c r="V473" i="9"/>
  <c r="AB399" i="9"/>
  <c r="AB375" i="9"/>
  <c r="D158" i="9"/>
  <c r="H400" i="9"/>
  <c r="H376" i="9"/>
  <c r="W504" i="9"/>
  <c r="D170" i="9"/>
  <c r="W480" i="9"/>
  <c r="G183" i="9"/>
  <c r="G159" i="9"/>
  <c r="K170" i="9"/>
  <c r="B374" i="9"/>
  <c r="AC386" i="9"/>
  <c r="E168" i="9"/>
  <c r="E156" i="9"/>
  <c r="AC374" i="9"/>
  <c r="B398" i="9"/>
  <c r="AH7" i="33" s="1"/>
  <c r="Z490" i="9"/>
  <c r="N485" i="9"/>
  <c r="N509" i="9"/>
  <c r="N497" i="9"/>
  <c r="T509" i="9"/>
  <c r="T497" i="9"/>
  <c r="T485" i="9"/>
  <c r="Z163" i="9"/>
  <c r="Z187" i="9"/>
  <c r="Z175" i="9"/>
  <c r="Q509" i="9"/>
  <c r="Q497" i="9"/>
  <c r="Q485" i="9"/>
  <c r="F485" i="9"/>
  <c r="F509" i="9"/>
  <c r="F497" i="9"/>
  <c r="U509" i="9"/>
  <c r="U497" i="9"/>
  <c r="U485" i="9"/>
  <c r="L509" i="9"/>
  <c r="L497" i="9"/>
  <c r="L485" i="9"/>
  <c r="F404" i="9"/>
  <c r="F392" i="9"/>
  <c r="F380" i="9"/>
  <c r="I380" i="9"/>
  <c r="I404" i="9"/>
  <c r="I392" i="9"/>
  <c r="U404" i="9"/>
  <c r="U392" i="9"/>
  <c r="U380" i="9"/>
  <c r="X295" i="9"/>
  <c r="X283" i="9"/>
  <c r="X271" i="9"/>
  <c r="AC295" i="9"/>
  <c r="EJ13" i="33" s="1"/>
  <c r="AC283" i="9"/>
  <c r="AC271" i="9"/>
  <c r="Q295" i="9"/>
  <c r="Q283" i="9"/>
  <c r="Q271" i="9"/>
  <c r="AB187" i="9"/>
  <c r="AB175" i="9"/>
  <c r="AB163" i="9"/>
  <c r="O187" i="9"/>
  <c r="O175" i="9"/>
  <c r="O163" i="9"/>
  <c r="J163" i="9"/>
  <c r="J187" i="9"/>
  <c r="J175" i="9"/>
  <c r="S187" i="9"/>
  <c r="S175" i="9"/>
  <c r="S163" i="9"/>
  <c r="X404" i="9"/>
  <c r="X392" i="9"/>
  <c r="X380" i="9"/>
  <c r="M404" i="9"/>
  <c r="CK13" i="33" s="1"/>
  <c r="M392" i="9"/>
  <c r="M380" i="9"/>
  <c r="U295" i="9"/>
  <c r="U283" i="9"/>
  <c r="U271" i="9"/>
  <c r="R163" i="9"/>
  <c r="R187" i="9"/>
  <c r="R175" i="9"/>
  <c r="I509" i="9"/>
  <c r="I497" i="9"/>
  <c r="I485" i="9"/>
  <c r="X509" i="9"/>
  <c r="X497" i="9"/>
  <c r="X485" i="9"/>
  <c r="M509" i="9"/>
  <c r="CO13" i="33" s="1"/>
  <c r="M497" i="9"/>
  <c r="M485" i="9"/>
  <c r="D509" i="9"/>
  <c r="D497" i="9"/>
  <c r="D485" i="9"/>
  <c r="P404" i="9"/>
  <c r="P392" i="9"/>
  <c r="P380" i="9"/>
  <c r="S380" i="9"/>
  <c r="S404" i="9"/>
  <c r="S392" i="9"/>
  <c r="AC404" i="9"/>
  <c r="EN13" i="33" s="1"/>
  <c r="AC392" i="9"/>
  <c r="AC380" i="9"/>
  <c r="D295" i="9"/>
  <c r="D283" i="9"/>
  <c r="D271" i="9"/>
  <c r="F271" i="9"/>
  <c r="F295" i="9"/>
  <c r="F283" i="9"/>
  <c r="Y295" i="9"/>
  <c r="Y283" i="9"/>
  <c r="Y271" i="9"/>
  <c r="D187" i="9"/>
  <c r="D175" i="9"/>
  <c r="D163" i="9"/>
  <c r="X187" i="9"/>
  <c r="X175" i="9"/>
  <c r="X163" i="9"/>
  <c r="T187" i="9"/>
  <c r="T175" i="9"/>
  <c r="T163" i="9"/>
  <c r="AA187" i="9"/>
  <c r="AA175" i="9"/>
  <c r="AA163" i="9"/>
  <c r="P509" i="9"/>
  <c r="P497" i="9"/>
  <c r="P485" i="9"/>
  <c r="E509" i="9"/>
  <c r="E497" i="9"/>
  <c r="E485" i="9"/>
  <c r="AA509" i="9"/>
  <c r="AA497" i="9"/>
  <c r="AA485" i="9"/>
  <c r="Z380" i="9"/>
  <c r="Z404" i="9"/>
  <c r="Z392" i="9"/>
  <c r="J380" i="9"/>
  <c r="J404" i="9"/>
  <c r="J392" i="9"/>
  <c r="D404" i="9"/>
  <c r="D392" i="9"/>
  <c r="D380" i="9"/>
  <c r="AA295" i="9"/>
  <c r="AA283" i="9"/>
  <c r="AA271" i="9"/>
  <c r="L295" i="9"/>
  <c r="L283" i="9"/>
  <c r="L271" i="9"/>
  <c r="N271" i="9"/>
  <c r="N295" i="9"/>
  <c r="N283" i="9"/>
  <c r="B295" i="9"/>
  <c r="AD13" i="33" s="1"/>
  <c r="B283" i="9"/>
  <c r="B271" i="9"/>
  <c r="M187" i="9"/>
  <c r="CC13" i="33" s="1"/>
  <c r="M175" i="9"/>
  <c r="M163" i="9"/>
  <c r="G187" i="9"/>
  <c r="G175" i="9"/>
  <c r="G163" i="9"/>
  <c r="AC187" i="9"/>
  <c r="EF13" i="33" s="1"/>
  <c r="AC175" i="9"/>
  <c r="AC163" i="9"/>
  <c r="R380" i="9"/>
  <c r="R404" i="9"/>
  <c r="R392" i="9"/>
  <c r="S295" i="9"/>
  <c r="S283" i="9"/>
  <c r="S271" i="9"/>
  <c r="F187" i="9"/>
  <c r="F175" i="9"/>
  <c r="F163" i="9"/>
  <c r="B509" i="9"/>
  <c r="AL13" i="33" s="1"/>
  <c r="B497" i="9"/>
  <c r="B485" i="9"/>
  <c r="H509" i="9"/>
  <c r="H497" i="9"/>
  <c r="H485" i="9"/>
  <c r="W509" i="9"/>
  <c r="W497" i="9"/>
  <c r="W485" i="9"/>
  <c r="S509" i="9"/>
  <c r="S497" i="9"/>
  <c r="S485" i="9"/>
  <c r="N404" i="9"/>
  <c r="N392" i="9"/>
  <c r="N380" i="9"/>
  <c r="G404" i="9"/>
  <c r="G392" i="9"/>
  <c r="G380" i="9"/>
  <c r="V404" i="9"/>
  <c r="V392" i="9"/>
  <c r="V380" i="9"/>
  <c r="L404" i="9"/>
  <c r="L392" i="9"/>
  <c r="L380" i="9"/>
  <c r="C295" i="9"/>
  <c r="C283" i="9"/>
  <c r="C271" i="9"/>
  <c r="T295" i="9"/>
  <c r="T283" i="9"/>
  <c r="T271" i="9"/>
  <c r="V271" i="9"/>
  <c r="V295" i="9"/>
  <c r="V283" i="9"/>
  <c r="J295" i="9"/>
  <c r="J283" i="9"/>
  <c r="J271" i="9"/>
  <c r="V187" i="9"/>
  <c r="V175" i="9"/>
  <c r="V163" i="9"/>
  <c r="P187" i="9"/>
  <c r="P175" i="9"/>
  <c r="P163" i="9"/>
  <c r="B163" i="9"/>
  <c r="B187" i="9"/>
  <c r="Z13" i="33" s="1"/>
  <c r="B175" i="9"/>
  <c r="J509" i="9"/>
  <c r="J497" i="9"/>
  <c r="J485" i="9"/>
  <c r="O509" i="9"/>
  <c r="O497" i="9"/>
  <c r="O485" i="9"/>
  <c r="K509" i="9"/>
  <c r="K497" i="9"/>
  <c r="K485" i="9"/>
  <c r="B380" i="9"/>
  <c r="B404" i="9"/>
  <c r="AH13" i="33" s="1"/>
  <c r="B392" i="9"/>
  <c r="Q380" i="9"/>
  <c r="Q404" i="9"/>
  <c r="Q392" i="9"/>
  <c r="K380" i="9"/>
  <c r="K404" i="9"/>
  <c r="K392" i="9"/>
  <c r="T404" i="9"/>
  <c r="T392" i="9"/>
  <c r="T380" i="9"/>
  <c r="H295" i="9"/>
  <c r="H283" i="9"/>
  <c r="H271" i="9"/>
  <c r="AB295" i="9"/>
  <c r="AB283" i="9"/>
  <c r="AB271" i="9"/>
  <c r="G295" i="9"/>
  <c r="G283" i="9"/>
  <c r="G271" i="9"/>
  <c r="R295" i="9"/>
  <c r="R283" i="9"/>
  <c r="R271" i="9"/>
  <c r="E187" i="9"/>
  <c r="E175" i="9"/>
  <c r="E163" i="9"/>
  <c r="Y163" i="9"/>
  <c r="Y187" i="9"/>
  <c r="Y175" i="9"/>
  <c r="L187" i="9"/>
  <c r="L175" i="9"/>
  <c r="L163" i="9"/>
  <c r="AC509" i="9"/>
  <c r="ER13" i="33" s="1"/>
  <c r="AC497" i="9"/>
  <c r="AC485" i="9"/>
  <c r="Y380" i="9"/>
  <c r="Y404" i="9"/>
  <c r="Y392" i="9"/>
  <c r="I295" i="9"/>
  <c r="I283" i="9"/>
  <c r="I271" i="9"/>
  <c r="K187" i="9"/>
  <c r="K175" i="9"/>
  <c r="K163" i="9"/>
  <c r="G509" i="9"/>
  <c r="G497" i="9"/>
  <c r="G485" i="9"/>
  <c r="C509" i="9"/>
  <c r="C497" i="9"/>
  <c r="C485" i="9"/>
  <c r="C380" i="9"/>
  <c r="C404" i="9"/>
  <c r="C392" i="9"/>
  <c r="AA380" i="9"/>
  <c r="AA404" i="9"/>
  <c r="AA392" i="9"/>
  <c r="W404" i="9"/>
  <c r="W392" i="9"/>
  <c r="W380" i="9"/>
  <c r="AB404" i="9"/>
  <c r="AB392" i="9"/>
  <c r="AB380" i="9"/>
  <c r="K295" i="9"/>
  <c r="K283" i="9"/>
  <c r="K271" i="9"/>
  <c r="E295" i="9"/>
  <c r="E283" i="9"/>
  <c r="E271" i="9"/>
  <c r="O295" i="9"/>
  <c r="O283" i="9"/>
  <c r="O271" i="9"/>
  <c r="Z295" i="9"/>
  <c r="Z283" i="9"/>
  <c r="Z271" i="9"/>
  <c r="N187" i="9"/>
  <c r="N175" i="9"/>
  <c r="N163" i="9"/>
  <c r="H187" i="9"/>
  <c r="H175" i="9"/>
  <c r="H163" i="9"/>
  <c r="U187" i="9"/>
  <c r="U175" i="9"/>
  <c r="U163" i="9"/>
  <c r="Z509" i="9"/>
  <c r="Z497" i="9"/>
  <c r="Z485" i="9"/>
  <c r="V485" i="9"/>
  <c r="V509" i="9"/>
  <c r="V497" i="9"/>
  <c r="AB509" i="9"/>
  <c r="AB497" i="9"/>
  <c r="AB485" i="9"/>
  <c r="O404" i="9"/>
  <c r="O392" i="9"/>
  <c r="O380" i="9"/>
  <c r="H404" i="9"/>
  <c r="H392" i="9"/>
  <c r="H380" i="9"/>
  <c r="E404" i="9"/>
  <c r="E392" i="9"/>
  <c r="E380" i="9"/>
  <c r="P295" i="9"/>
  <c r="P283" i="9"/>
  <c r="P271" i="9"/>
  <c r="M295" i="9"/>
  <c r="CG13" i="33" s="1"/>
  <c r="M283" i="9"/>
  <c r="M271" i="9"/>
  <c r="W295" i="9"/>
  <c r="W283" i="9"/>
  <c r="W271" i="9"/>
  <c r="I163" i="9"/>
  <c r="I187" i="9"/>
  <c r="I175" i="9"/>
  <c r="W187" i="9"/>
  <c r="W175" i="9"/>
  <c r="W163" i="9"/>
  <c r="Q163" i="9"/>
  <c r="Q187" i="9"/>
  <c r="Q175" i="9"/>
  <c r="C187" i="9"/>
  <c r="C175" i="9"/>
  <c r="C163" i="9"/>
  <c r="R509" i="9"/>
  <c r="R497" i="9"/>
  <c r="R485" i="9"/>
  <c r="B184" i="9"/>
  <c r="Z10" i="33" s="1"/>
  <c r="B172" i="9"/>
  <c r="B160" i="9"/>
  <c r="H482" i="9"/>
  <c r="H506" i="9"/>
  <c r="H494" i="9"/>
  <c r="AC506" i="9"/>
  <c r="ER10" i="33" s="1"/>
  <c r="AC494" i="9"/>
  <c r="AC482" i="9"/>
  <c r="AA482" i="9"/>
  <c r="AA506" i="9"/>
  <c r="AA494" i="9"/>
  <c r="B482" i="9"/>
  <c r="B506" i="9"/>
  <c r="AL10" i="33" s="1"/>
  <c r="B494" i="9"/>
  <c r="Q482" i="9"/>
  <c r="Q506" i="9"/>
  <c r="Q494" i="9"/>
  <c r="D377" i="9"/>
  <c r="D401" i="9"/>
  <c r="D389" i="9"/>
  <c r="I401" i="9"/>
  <c r="I389" i="9"/>
  <c r="I377" i="9"/>
  <c r="H377" i="9"/>
  <c r="H401" i="9"/>
  <c r="H389" i="9"/>
  <c r="G377" i="9"/>
  <c r="G401" i="9"/>
  <c r="G389" i="9"/>
  <c r="L292" i="9"/>
  <c r="L280" i="9"/>
  <c r="L268" i="9"/>
  <c r="N292" i="9"/>
  <c r="N280" i="9"/>
  <c r="N268" i="9"/>
  <c r="H184" i="9"/>
  <c r="H172" i="9"/>
  <c r="H160" i="9"/>
  <c r="AC160" i="9"/>
  <c r="AC184" i="9"/>
  <c r="EF10" i="33" s="1"/>
  <c r="AC172" i="9"/>
  <c r="P184" i="9"/>
  <c r="P172" i="9"/>
  <c r="P160" i="9"/>
  <c r="W160" i="9"/>
  <c r="W184" i="9"/>
  <c r="W172" i="9"/>
  <c r="AB506" i="9"/>
  <c r="AB494" i="9"/>
  <c r="AB482" i="9"/>
  <c r="AB292" i="9"/>
  <c r="AB280" i="9"/>
  <c r="AB268" i="9"/>
  <c r="AA172" i="9"/>
  <c r="AA160" i="9"/>
  <c r="AA184" i="9"/>
  <c r="U506" i="9"/>
  <c r="U494" i="9"/>
  <c r="U482" i="9"/>
  <c r="S482" i="9"/>
  <c r="S506" i="9"/>
  <c r="S494" i="9"/>
  <c r="AC377" i="9"/>
  <c r="AC401" i="9"/>
  <c r="EN10" i="33" s="1"/>
  <c r="AC389" i="9"/>
  <c r="L377" i="9"/>
  <c r="L401" i="9"/>
  <c r="L389" i="9"/>
  <c r="W377" i="9"/>
  <c r="W401" i="9"/>
  <c r="W389" i="9"/>
  <c r="W292" i="9"/>
  <c r="W280" i="9"/>
  <c r="W268" i="9"/>
  <c r="O292" i="9"/>
  <c r="O280" i="9"/>
  <c r="O268" i="9"/>
  <c r="T292" i="9"/>
  <c r="T280" i="9"/>
  <c r="T268" i="9"/>
  <c r="V292" i="9"/>
  <c r="V280" i="9"/>
  <c r="V268" i="9"/>
  <c r="Q184" i="9"/>
  <c r="Q172" i="9"/>
  <c r="Q160" i="9"/>
  <c r="C172" i="9"/>
  <c r="C160" i="9"/>
  <c r="C184" i="9"/>
  <c r="Y184" i="9"/>
  <c r="Y172" i="9"/>
  <c r="Y160" i="9"/>
  <c r="M506" i="9"/>
  <c r="CO10" i="33" s="1"/>
  <c r="M494" i="9"/>
  <c r="M482" i="9"/>
  <c r="T377" i="9"/>
  <c r="T401" i="9"/>
  <c r="T389" i="9"/>
  <c r="H268" i="9"/>
  <c r="H292" i="9"/>
  <c r="H280" i="9"/>
  <c r="L160" i="9"/>
  <c r="L184" i="9"/>
  <c r="L172" i="9"/>
  <c r="E506" i="9"/>
  <c r="E494" i="9"/>
  <c r="E482" i="9"/>
  <c r="T506" i="9"/>
  <c r="T494" i="9"/>
  <c r="T482" i="9"/>
  <c r="C482" i="9"/>
  <c r="C506" i="9"/>
  <c r="C494" i="9"/>
  <c r="J401" i="9"/>
  <c r="J389" i="9"/>
  <c r="J377" i="9"/>
  <c r="AB377" i="9"/>
  <c r="AB401" i="9"/>
  <c r="AB389" i="9"/>
  <c r="X377" i="9"/>
  <c r="X401" i="9"/>
  <c r="X389" i="9"/>
  <c r="E377" i="9"/>
  <c r="E401" i="9"/>
  <c r="E389" i="9"/>
  <c r="C268" i="9"/>
  <c r="C292" i="9"/>
  <c r="C280" i="9"/>
  <c r="E292" i="9"/>
  <c r="E280" i="9"/>
  <c r="E268" i="9"/>
  <c r="P268" i="9"/>
  <c r="P292" i="9"/>
  <c r="P280" i="9"/>
  <c r="I184" i="9"/>
  <c r="I172" i="9"/>
  <c r="I160" i="9"/>
  <c r="U160" i="9"/>
  <c r="U184" i="9"/>
  <c r="U172" i="9"/>
  <c r="J184" i="9"/>
  <c r="J172" i="9"/>
  <c r="J160" i="9"/>
  <c r="K482" i="9"/>
  <c r="K506" i="9"/>
  <c r="K494" i="9"/>
  <c r="S389" i="9"/>
  <c r="S377" i="9"/>
  <c r="S401" i="9"/>
  <c r="N377" i="9"/>
  <c r="N401" i="9"/>
  <c r="N389" i="9"/>
  <c r="W506" i="9"/>
  <c r="W494" i="9"/>
  <c r="W482" i="9"/>
  <c r="L506" i="9"/>
  <c r="L494" i="9"/>
  <c r="L482" i="9"/>
  <c r="U377" i="9"/>
  <c r="U401" i="9"/>
  <c r="U389" i="9"/>
  <c r="O377" i="9"/>
  <c r="O401" i="9"/>
  <c r="O389" i="9"/>
  <c r="J268" i="9"/>
  <c r="J292" i="9"/>
  <c r="J280" i="9"/>
  <c r="K268" i="9"/>
  <c r="K292" i="9"/>
  <c r="K280" i="9"/>
  <c r="M292" i="9"/>
  <c r="CG10" i="33" s="1"/>
  <c r="M280" i="9"/>
  <c r="M268" i="9"/>
  <c r="X268" i="9"/>
  <c r="X292" i="9"/>
  <c r="X280" i="9"/>
  <c r="S172" i="9"/>
  <c r="S160" i="9"/>
  <c r="S184" i="9"/>
  <c r="D160" i="9"/>
  <c r="D184" i="9"/>
  <c r="D172" i="9"/>
  <c r="R184" i="9"/>
  <c r="R172" i="9"/>
  <c r="R160" i="9"/>
  <c r="V377" i="9"/>
  <c r="V401" i="9"/>
  <c r="V389" i="9"/>
  <c r="R268" i="9"/>
  <c r="R292" i="9"/>
  <c r="R280" i="9"/>
  <c r="E160" i="9"/>
  <c r="E184" i="9"/>
  <c r="E172" i="9"/>
  <c r="O506" i="9"/>
  <c r="O494" i="9"/>
  <c r="O482" i="9"/>
  <c r="V506" i="9"/>
  <c r="V494" i="9"/>
  <c r="V482" i="9"/>
  <c r="D506" i="9"/>
  <c r="D494" i="9"/>
  <c r="D482" i="9"/>
  <c r="Z482" i="9"/>
  <c r="Z506" i="9"/>
  <c r="Z494" i="9"/>
  <c r="K389" i="9"/>
  <c r="K377" i="9"/>
  <c r="K401" i="9"/>
  <c r="F377" i="9"/>
  <c r="F401" i="9"/>
  <c r="F389" i="9"/>
  <c r="Z268" i="9"/>
  <c r="Z292" i="9"/>
  <c r="Z280" i="9"/>
  <c r="G292" i="9"/>
  <c r="G280" i="9"/>
  <c r="G268" i="9"/>
  <c r="S268" i="9"/>
  <c r="S292" i="9"/>
  <c r="S280" i="9"/>
  <c r="U292" i="9"/>
  <c r="U280" i="9"/>
  <c r="U268" i="9"/>
  <c r="I268" i="9"/>
  <c r="I292" i="9"/>
  <c r="I280" i="9"/>
  <c r="AB160" i="9"/>
  <c r="AB184" i="9"/>
  <c r="AB172" i="9"/>
  <c r="M160" i="9"/>
  <c r="M184" i="9"/>
  <c r="CC10" i="33" s="1"/>
  <c r="M172" i="9"/>
  <c r="Z184" i="9"/>
  <c r="Z172" i="9"/>
  <c r="Z160" i="9"/>
  <c r="X184" i="9"/>
  <c r="X172" i="9"/>
  <c r="X160" i="9"/>
  <c r="N160" i="9"/>
  <c r="N184" i="9"/>
  <c r="N172" i="9"/>
  <c r="X482" i="9"/>
  <c r="X506" i="9"/>
  <c r="X494" i="9"/>
  <c r="G506" i="9"/>
  <c r="G494" i="9"/>
  <c r="G482" i="9"/>
  <c r="N506" i="9"/>
  <c r="N494" i="9"/>
  <c r="N482" i="9"/>
  <c r="R482" i="9"/>
  <c r="R506" i="9"/>
  <c r="R494" i="9"/>
  <c r="Y482" i="9"/>
  <c r="Y506" i="9"/>
  <c r="Y494" i="9"/>
  <c r="B401" i="9"/>
  <c r="AH10" i="33" s="1"/>
  <c r="B389" i="9"/>
  <c r="B377" i="9"/>
  <c r="Z401" i="9"/>
  <c r="Z389" i="9"/>
  <c r="Z377" i="9"/>
  <c r="Y401" i="9"/>
  <c r="Y389" i="9"/>
  <c r="Y377" i="9"/>
  <c r="B268" i="9"/>
  <c r="B292" i="9"/>
  <c r="AD10" i="33" s="1"/>
  <c r="B280" i="9"/>
  <c r="AA268" i="9"/>
  <c r="AA292" i="9"/>
  <c r="AA280" i="9"/>
  <c r="AC292" i="9"/>
  <c r="EJ10" i="33" s="1"/>
  <c r="AC280" i="9"/>
  <c r="AC268" i="9"/>
  <c r="Q268" i="9"/>
  <c r="Q292" i="9"/>
  <c r="Q280" i="9"/>
  <c r="K172" i="9"/>
  <c r="K160" i="9"/>
  <c r="K184" i="9"/>
  <c r="V160" i="9"/>
  <c r="V184" i="9"/>
  <c r="V172" i="9"/>
  <c r="O160" i="9"/>
  <c r="O184" i="9"/>
  <c r="O172" i="9"/>
  <c r="F160" i="9"/>
  <c r="F184" i="9"/>
  <c r="F172" i="9"/>
  <c r="M377" i="9"/>
  <c r="M401" i="9"/>
  <c r="CK10" i="33" s="1"/>
  <c r="M389" i="9"/>
  <c r="P482" i="9"/>
  <c r="P506" i="9"/>
  <c r="P494" i="9"/>
  <c r="F506" i="9"/>
  <c r="F494" i="9"/>
  <c r="F482" i="9"/>
  <c r="J482" i="9"/>
  <c r="J506" i="9"/>
  <c r="J494" i="9"/>
  <c r="I482" i="9"/>
  <c r="I506" i="9"/>
  <c r="I494" i="9"/>
  <c r="R401" i="9"/>
  <c r="R389" i="9"/>
  <c r="R377" i="9"/>
  <c r="Q401" i="9"/>
  <c r="Q389" i="9"/>
  <c r="Q377" i="9"/>
  <c r="P377" i="9"/>
  <c r="P401" i="9"/>
  <c r="P389" i="9"/>
  <c r="D292" i="9"/>
  <c r="D280" i="9"/>
  <c r="D268" i="9"/>
  <c r="F292" i="9"/>
  <c r="F280" i="9"/>
  <c r="F268" i="9"/>
  <c r="Y268" i="9"/>
  <c r="Y292" i="9"/>
  <c r="Y280" i="9"/>
  <c r="T160" i="9"/>
  <c r="T184" i="9"/>
  <c r="T172" i="9"/>
  <c r="G160" i="9"/>
  <c r="G184" i="9"/>
  <c r="G172" i="9"/>
  <c r="C389" i="9"/>
  <c r="C377" i="9"/>
  <c r="C401" i="9"/>
  <c r="C388" i="9"/>
  <c r="C376" i="9"/>
  <c r="C400" i="9"/>
  <c r="X159" i="9"/>
  <c r="X183" i="9"/>
  <c r="X171" i="9"/>
  <c r="K505" i="9"/>
  <c r="K493" i="9"/>
  <c r="K481" i="9"/>
  <c r="R505" i="9"/>
  <c r="R493" i="9"/>
  <c r="R481" i="9"/>
  <c r="Q505" i="9"/>
  <c r="Q493" i="9"/>
  <c r="Q481" i="9"/>
  <c r="X481" i="9"/>
  <c r="X505" i="9"/>
  <c r="X493" i="9"/>
  <c r="AB493" i="9"/>
  <c r="AB481" i="9"/>
  <c r="AB505" i="9"/>
  <c r="X388" i="9"/>
  <c r="X376" i="9"/>
  <c r="X400" i="9"/>
  <c r="B400" i="9"/>
  <c r="AH9" i="33" s="1"/>
  <c r="B388" i="9"/>
  <c r="B376" i="9"/>
  <c r="N388" i="9"/>
  <c r="N376" i="9"/>
  <c r="N400" i="9"/>
  <c r="R400" i="9"/>
  <c r="R388" i="9"/>
  <c r="R376" i="9"/>
  <c r="T279" i="9"/>
  <c r="T267" i="9"/>
  <c r="T291" i="9"/>
  <c r="N279" i="9"/>
  <c r="N267" i="9"/>
  <c r="N291" i="9"/>
  <c r="B291" i="9"/>
  <c r="AD9" i="33" s="1"/>
  <c r="B279" i="9"/>
  <c r="B267" i="9"/>
  <c r="Z183" i="9"/>
  <c r="Z171" i="9"/>
  <c r="Z159" i="9"/>
  <c r="AB171" i="9"/>
  <c r="AB159" i="9"/>
  <c r="AB183" i="9"/>
  <c r="C505" i="9"/>
  <c r="C493" i="9"/>
  <c r="C481" i="9"/>
  <c r="Q376" i="9"/>
  <c r="Q400" i="9"/>
  <c r="Q388" i="9"/>
  <c r="T171" i="9"/>
  <c r="T159" i="9"/>
  <c r="T183" i="9"/>
  <c r="J505" i="9"/>
  <c r="J493" i="9"/>
  <c r="J481" i="9"/>
  <c r="I505" i="9"/>
  <c r="I493" i="9"/>
  <c r="I481" i="9"/>
  <c r="P481" i="9"/>
  <c r="P505" i="9"/>
  <c r="P493" i="9"/>
  <c r="T493" i="9"/>
  <c r="T481" i="9"/>
  <c r="T505" i="9"/>
  <c r="O388" i="9"/>
  <c r="O376" i="9"/>
  <c r="O400" i="9"/>
  <c r="V388" i="9"/>
  <c r="V376" i="9"/>
  <c r="V400" i="9"/>
  <c r="I376" i="9"/>
  <c r="I400" i="9"/>
  <c r="I388" i="9"/>
  <c r="Y291" i="9"/>
  <c r="Y279" i="9"/>
  <c r="Y267" i="9"/>
  <c r="V279" i="9"/>
  <c r="V267" i="9"/>
  <c r="V291" i="9"/>
  <c r="J291" i="9"/>
  <c r="J279" i="9"/>
  <c r="J267" i="9"/>
  <c r="C171" i="9"/>
  <c r="C159" i="9"/>
  <c r="C183" i="9"/>
  <c r="E171" i="9"/>
  <c r="E159" i="9"/>
  <c r="E183" i="9"/>
  <c r="F493" i="9"/>
  <c r="F481" i="9"/>
  <c r="F505" i="9"/>
  <c r="D388" i="9"/>
  <c r="D376" i="9"/>
  <c r="D400" i="9"/>
  <c r="F279" i="9"/>
  <c r="F267" i="9"/>
  <c r="F291" i="9"/>
  <c r="B505" i="9"/>
  <c r="AL9" i="33" s="1"/>
  <c r="B493" i="9"/>
  <c r="B481" i="9"/>
  <c r="H481" i="9"/>
  <c r="H505" i="9"/>
  <c r="H493" i="9"/>
  <c r="L493" i="9"/>
  <c r="L481" i="9"/>
  <c r="L505" i="9"/>
  <c r="E388" i="9"/>
  <c r="E376" i="9"/>
  <c r="E400" i="9"/>
  <c r="AB388" i="9"/>
  <c r="AB376" i="9"/>
  <c r="AB400" i="9"/>
  <c r="AB279" i="9"/>
  <c r="AB267" i="9"/>
  <c r="AB291" i="9"/>
  <c r="G279" i="9"/>
  <c r="G267" i="9"/>
  <c r="G291" i="9"/>
  <c r="R291" i="9"/>
  <c r="R279" i="9"/>
  <c r="R267" i="9"/>
  <c r="I183" i="9"/>
  <c r="I171" i="9"/>
  <c r="I159" i="9"/>
  <c r="K171" i="9"/>
  <c r="K159" i="9"/>
  <c r="K183" i="9"/>
  <c r="M171" i="9"/>
  <c r="M159" i="9"/>
  <c r="M183" i="9"/>
  <c r="CC9" i="33" s="1"/>
  <c r="F171" i="9"/>
  <c r="F159" i="9"/>
  <c r="F183" i="9"/>
  <c r="AA505" i="9"/>
  <c r="AA493" i="9"/>
  <c r="AA481" i="9"/>
  <c r="AC493" i="9"/>
  <c r="AC481" i="9"/>
  <c r="AC505" i="9"/>
  <c r="ER9" i="33" s="1"/>
  <c r="D493" i="9"/>
  <c r="D481" i="9"/>
  <c r="D505" i="9"/>
  <c r="Y376" i="9"/>
  <c r="Y400" i="9"/>
  <c r="Y388" i="9"/>
  <c r="S388" i="9"/>
  <c r="S376" i="9"/>
  <c r="S400" i="9"/>
  <c r="E279" i="9"/>
  <c r="E267" i="9"/>
  <c r="E291" i="9"/>
  <c r="O279" i="9"/>
  <c r="O267" i="9"/>
  <c r="O291" i="9"/>
  <c r="Z291" i="9"/>
  <c r="Z279" i="9"/>
  <c r="Z267" i="9"/>
  <c r="Q183" i="9"/>
  <c r="Q171" i="9"/>
  <c r="Q159" i="9"/>
  <c r="S171" i="9"/>
  <c r="S159" i="9"/>
  <c r="S183" i="9"/>
  <c r="U171" i="9"/>
  <c r="U159" i="9"/>
  <c r="U183" i="9"/>
  <c r="N171" i="9"/>
  <c r="N159" i="9"/>
  <c r="N183" i="9"/>
  <c r="S505" i="9"/>
  <c r="S493" i="9"/>
  <c r="S481" i="9"/>
  <c r="Y505" i="9"/>
  <c r="Y493" i="9"/>
  <c r="Y481" i="9"/>
  <c r="F388" i="9"/>
  <c r="F376" i="9"/>
  <c r="F400" i="9"/>
  <c r="AA291" i="9"/>
  <c r="AA279" i="9"/>
  <c r="AA267" i="9"/>
  <c r="W171" i="9"/>
  <c r="W159" i="9"/>
  <c r="W183" i="9"/>
  <c r="W493" i="9"/>
  <c r="W481" i="9"/>
  <c r="W505" i="9"/>
  <c r="U493" i="9"/>
  <c r="U481" i="9"/>
  <c r="U505" i="9"/>
  <c r="P388" i="9"/>
  <c r="P376" i="9"/>
  <c r="P400" i="9"/>
  <c r="J400" i="9"/>
  <c r="J388" i="9"/>
  <c r="J376" i="9"/>
  <c r="D279" i="9"/>
  <c r="D267" i="9"/>
  <c r="D291" i="9"/>
  <c r="M279" i="9"/>
  <c r="M267" i="9"/>
  <c r="M291" i="9"/>
  <c r="CG9" i="33" s="1"/>
  <c r="W279" i="9"/>
  <c r="W267" i="9"/>
  <c r="W291" i="9"/>
  <c r="C291" i="9"/>
  <c r="C279" i="9"/>
  <c r="C267" i="9"/>
  <c r="Y183" i="9"/>
  <c r="Y171" i="9"/>
  <c r="Y159" i="9"/>
  <c r="AA171" i="9"/>
  <c r="AA159" i="9"/>
  <c r="AA183" i="9"/>
  <c r="AC171" i="9"/>
  <c r="AC159" i="9"/>
  <c r="AC183" i="9"/>
  <c r="EF9" i="33" s="1"/>
  <c r="Z400" i="9"/>
  <c r="Z388" i="9"/>
  <c r="Z376" i="9"/>
  <c r="K388" i="9"/>
  <c r="K376" i="9"/>
  <c r="K400" i="9"/>
  <c r="X267" i="9"/>
  <c r="X291" i="9"/>
  <c r="X279" i="9"/>
  <c r="R183" i="9"/>
  <c r="R171" i="9"/>
  <c r="R159" i="9"/>
  <c r="O493" i="9"/>
  <c r="O481" i="9"/>
  <c r="O505" i="9"/>
  <c r="V493" i="9"/>
  <c r="V481" i="9"/>
  <c r="V505" i="9"/>
  <c r="M493" i="9"/>
  <c r="M481" i="9"/>
  <c r="M505" i="9"/>
  <c r="CO9" i="33" s="1"/>
  <c r="G388" i="9"/>
  <c r="G376" i="9"/>
  <c r="G400" i="9"/>
  <c r="W388" i="9"/>
  <c r="W376" i="9"/>
  <c r="W400" i="9"/>
  <c r="U388" i="9"/>
  <c r="U376" i="9"/>
  <c r="U400" i="9"/>
  <c r="AC388" i="9"/>
  <c r="AC376" i="9"/>
  <c r="AC400" i="9"/>
  <c r="EN9" i="33" s="1"/>
  <c r="AA388" i="9"/>
  <c r="AA376" i="9"/>
  <c r="AA400" i="9"/>
  <c r="I291" i="9"/>
  <c r="I279" i="9"/>
  <c r="I267" i="9"/>
  <c r="U279" i="9"/>
  <c r="U267" i="9"/>
  <c r="U291" i="9"/>
  <c r="H267" i="9"/>
  <c r="H291" i="9"/>
  <c r="H279" i="9"/>
  <c r="K291" i="9"/>
  <c r="K279" i="9"/>
  <c r="K267" i="9"/>
  <c r="V171" i="9"/>
  <c r="V159" i="9"/>
  <c r="V183" i="9"/>
  <c r="O171" i="9"/>
  <c r="O159" i="9"/>
  <c r="O183" i="9"/>
  <c r="B183" i="9"/>
  <c r="Z9" i="33" s="1"/>
  <c r="B171" i="9"/>
  <c r="B159" i="9"/>
  <c r="D171" i="9"/>
  <c r="D159" i="9"/>
  <c r="D183" i="9"/>
  <c r="H159" i="9"/>
  <c r="H183" i="9"/>
  <c r="H171" i="9"/>
  <c r="Q291" i="9"/>
  <c r="Q279" i="9"/>
  <c r="Q267" i="9"/>
  <c r="G493" i="9"/>
  <c r="G481" i="9"/>
  <c r="G505" i="9"/>
  <c r="N493" i="9"/>
  <c r="N481" i="9"/>
  <c r="N505" i="9"/>
  <c r="E493" i="9"/>
  <c r="E481" i="9"/>
  <c r="E505" i="9"/>
  <c r="M388" i="9"/>
  <c r="M376" i="9"/>
  <c r="M400" i="9"/>
  <c r="CK9" i="33" s="1"/>
  <c r="L388" i="9"/>
  <c r="L376" i="9"/>
  <c r="L400" i="9"/>
  <c r="T388" i="9"/>
  <c r="T376" i="9"/>
  <c r="T400" i="9"/>
  <c r="L279" i="9"/>
  <c r="L267" i="9"/>
  <c r="L291" i="9"/>
  <c r="AC279" i="9"/>
  <c r="AC267" i="9"/>
  <c r="AC291" i="9"/>
  <c r="EJ9" i="33" s="1"/>
  <c r="P267" i="9"/>
  <c r="P291" i="9"/>
  <c r="P279" i="9"/>
  <c r="S291" i="9"/>
  <c r="S279" i="9"/>
  <c r="S267" i="9"/>
  <c r="J183" i="9"/>
  <c r="J171" i="9"/>
  <c r="J159" i="9"/>
  <c r="L171" i="9"/>
  <c r="L159" i="9"/>
  <c r="L183" i="9"/>
  <c r="P159" i="9"/>
  <c r="P183" i="9"/>
  <c r="P171" i="9"/>
  <c r="K182" i="9"/>
  <c r="AC399" i="9"/>
  <c r="EN8" i="33" s="1"/>
  <c r="AC375" i="9"/>
  <c r="AC387" i="9"/>
  <c r="U266" i="9"/>
  <c r="U290" i="9"/>
  <c r="U278" i="9"/>
  <c r="O504" i="9"/>
  <c r="O492" i="9"/>
  <c r="O480" i="9"/>
  <c r="N504" i="9"/>
  <c r="N492" i="9"/>
  <c r="N480" i="9"/>
  <c r="AC480" i="9"/>
  <c r="AC504" i="9"/>
  <c r="ER8" i="33" s="1"/>
  <c r="AC492" i="9"/>
  <c r="C480" i="9"/>
  <c r="C504" i="9"/>
  <c r="C492" i="9"/>
  <c r="Y399" i="9"/>
  <c r="Y375" i="9"/>
  <c r="Y387" i="9"/>
  <c r="C387" i="9"/>
  <c r="C399" i="9"/>
  <c r="C375" i="9"/>
  <c r="T387" i="9"/>
  <c r="T399" i="9"/>
  <c r="T375" i="9"/>
  <c r="AA266" i="9"/>
  <c r="AA290" i="9"/>
  <c r="AA278" i="9"/>
  <c r="AC266" i="9"/>
  <c r="AC290" i="9"/>
  <c r="EJ8" i="33" s="1"/>
  <c r="AC278" i="9"/>
  <c r="AB158" i="9"/>
  <c r="AB182" i="9"/>
  <c r="AB170" i="9"/>
  <c r="V158" i="9"/>
  <c r="V182" i="9"/>
  <c r="V170" i="9"/>
  <c r="Q158" i="9"/>
  <c r="Q182" i="9"/>
  <c r="Q170" i="9"/>
  <c r="U158" i="9"/>
  <c r="U182" i="9"/>
  <c r="U170" i="9"/>
  <c r="L158" i="9"/>
  <c r="L182" i="9"/>
  <c r="L170" i="9"/>
  <c r="H480" i="9"/>
  <c r="H504" i="9"/>
  <c r="H492" i="9"/>
  <c r="N158" i="9"/>
  <c r="N182" i="9"/>
  <c r="N170" i="9"/>
  <c r="G504" i="9"/>
  <c r="G492" i="9"/>
  <c r="G480" i="9"/>
  <c r="F504" i="9"/>
  <c r="F492" i="9"/>
  <c r="F480" i="9"/>
  <c r="U480" i="9"/>
  <c r="U504" i="9"/>
  <c r="U492" i="9"/>
  <c r="Y480" i="9"/>
  <c r="Y504" i="9"/>
  <c r="Y492" i="9"/>
  <c r="P399" i="9"/>
  <c r="P375" i="9"/>
  <c r="P387" i="9"/>
  <c r="K387" i="9"/>
  <c r="K399" i="9"/>
  <c r="K375" i="9"/>
  <c r="J399" i="9"/>
  <c r="J375" i="9"/>
  <c r="J387" i="9"/>
  <c r="B266" i="9"/>
  <c r="B290" i="9"/>
  <c r="AD8" i="33" s="1"/>
  <c r="B278" i="9"/>
  <c r="D266" i="9"/>
  <c r="D290" i="9"/>
  <c r="D278" i="9"/>
  <c r="G290" i="9"/>
  <c r="G278" i="9"/>
  <c r="G266" i="9"/>
  <c r="G158" i="9"/>
  <c r="G182" i="9"/>
  <c r="G170" i="9"/>
  <c r="Y158" i="9"/>
  <c r="Y182" i="9"/>
  <c r="Y170" i="9"/>
  <c r="AC158" i="9"/>
  <c r="AC182" i="9"/>
  <c r="EF8" i="33" s="1"/>
  <c r="AC170" i="9"/>
  <c r="X480" i="9"/>
  <c r="X504" i="9"/>
  <c r="X492" i="9"/>
  <c r="F399" i="9"/>
  <c r="F375" i="9"/>
  <c r="F387" i="9"/>
  <c r="M480" i="9"/>
  <c r="M504" i="9"/>
  <c r="CO8" i="33" s="1"/>
  <c r="M492" i="9"/>
  <c r="Q480" i="9"/>
  <c r="Q504" i="9"/>
  <c r="Q492" i="9"/>
  <c r="G399" i="9"/>
  <c r="G375" i="9"/>
  <c r="G387" i="9"/>
  <c r="S387" i="9"/>
  <c r="S399" i="9"/>
  <c r="S375" i="9"/>
  <c r="U399" i="9"/>
  <c r="U375" i="9"/>
  <c r="U387" i="9"/>
  <c r="J266" i="9"/>
  <c r="J290" i="9"/>
  <c r="J278" i="9"/>
  <c r="L266" i="9"/>
  <c r="L290" i="9"/>
  <c r="L278" i="9"/>
  <c r="O290" i="9"/>
  <c r="O278" i="9"/>
  <c r="O266" i="9"/>
  <c r="O158" i="9"/>
  <c r="O182" i="9"/>
  <c r="O170" i="9"/>
  <c r="B182" i="9"/>
  <c r="Z8" i="33" s="1"/>
  <c r="B170" i="9"/>
  <c r="B158" i="9"/>
  <c r="K480" i="9"/>
  <c r="K504" i="9"/>
  <c r="K492" i="9"/>
  <c r="D387" i="9"/>
  <c r="D399" i="9"/>
  <c r="D375" i="9"/>
  <c r="F290" i="9"/>
  <c r="F278" i="9"/>
  <c r="F266" i="9"/>
  <c r="E480" i="9"/>
  <c r="E504" i="9"/>
  <c r="E492" i="9"/>
  <c r="I480" i="9"/>
  <c r="I504" i="9"/>
  <c r="I492" i="9"/>
  <c r="Z399" i="9"/>
  <c r="Z375" i="9"/>
  <c r="Z387" i="9"/>
  <c r="AA387" i="9"/>
  <c r="AA399" i="9"/>
  <c r="AA375" i="9"/>
  <c r="L387" i="9"/>
  <c r="L399" i="9"/>
  <c r="L375" i="9"/>
  <c r="V399" i="9"/>
  <c r="V375" i="9"/>
  <c r="V387" i="9"/>
  <c r="R266" i="9"/>
  <c r="R290" i="9"/>
  <c r="R278" i="9"/>
  <c r="T266" i="9"/>
  <c r="T290" i="9"/>
  <c r="T278" i="9"/>
  <c r="W290" i="9"/>
  <c r="W278" i="9"/>
  <c r="W266" i="9"/>
  <c r="N290" i="9"/>
  <c r="N278" i="9"/>
  <c r="N266" i="9"/>
  <c r="V290" i="9"/>
  <c r="V278" i="9"/>
  <c r="V266" i="9"/>
  <c r="W158" i="9"/>
  <c r="W182" i="9"/>
  <c r="W170" i="9"/>
  <c r="J182" i="9"/>
  <c r="J170" i="9"/>
  <c r="J158" i="9"/>
  <c r="S170" i="9"/>
  <c r="S158" i="9"/>
  <c r="S182" i="9"/>
  <c r="Y266" i="9"/>
  <c r="Y290" i="9"/>
  <c r="Y278" i="9"/>
  <c r="M158" i="9"/>
  <c r="M182" i="9"/>
  <c r="CC8" i="33" s="1"/>
  <c r="M170" i="9"/>
  <c r="AB480" i="9"/>
  <c r="AB504" i="9"/>
  <c r="AB492" i="9"/>
  <c r="Z480" i="9"/>
  <c r="Z504" i="9"/>
  <c r="Z492" i="9"/>
  <c r="Q399" i="9"/>
  <c r="Q375" i="9"/>
  <c r="Q387" i="9"/>
  <c r="B399" i="9"/>
  <c r="AH8" i="33" s="1"/>
  <c r="B375" i="9"/>
  <c r="B387" i="9"/>
  <c r="Z266" i="9"/>
  <c r="Z290" i="9"/>
  <c r="Z278" i="9"/>
  <c r="AB266" i="9"/>
  <c r="AB290" i="9"/>
  <c r="AB278" i="9"/>
  <c r="H266" i="9"/>
  <c r="H290" i="9"/>
  <c r="H278" i="9"/>
  <c r="Q266" i="9"/>
  <c r="Q290" i="9"/>
  <c r="Q278" i="9"/>
  <c r="C170" i="9"/>
  <c r="C158" i="9"/>
  <c r="C182" i="9"/>
  <c r="H158" i="9"/>
  <c r="H182" i="9"/>
  <c r="H170" i="9"/>
  <c r="R182" i="9"/>
  <c r="R170" i="9"/>
  <c r="R158" i="9"/>
  <c r="V504" i="9"/>
  <c r="V492" i="9"/>
  <c r="V480" i="9"/>
  <c r="B480" i="9"/>
  <c r="B504" i="9"/>
  <c r="AL8" i="33" s="1"/>
  <c r="B492" i="9"/>
  <c r="E399" i="9"/>
  <c r="E375" i="9"/>
  <c r="E387" i="9"/>
  <c r="S266" i="9"/>
  <c r="S290" i="9"/>
  <c r="S278" i="9"/>
  <c r="I158" i="9"/>
  <c r="I182" i="9"/>
  <c r="I170" i="9"/>
  <c r="T480" i="9"/>
  <c r="T504" i="9"/>
  <c r="T492" i="9"/>
  <c r="AA480" i="9"/>
  <c r="AA504" i="9"/>
  <c r="AA492" i="9"/>
  <c r="R480" i="9"/>
  <c r="R504" i="9"/>
  <c r="R492" i="9"/>
  <c r="H399" i="9"/>
  <c r="H375" i="9"/>
  <c r="H387" i="9"/>
  <c r="X399" i="9"/>
  <c r="X375" i="9"/>
  <c r="X387" i="9"/>
  <c r="W399" i="9"/>
  <c r="W375" i="9"/>
  <c r="W387" i="9"/>
  <c r="R399" i="9"/>
  <c r="R375" i="9"/>
  <c r="R387" i="9"/>
  <c r="C266" i="9"/>
  <c r="C290" i="9"/>
  <c r="C278" i="9"/>
  <c r="E266" i="9"/>
  <c r="E290" i="9"/>
  <c r="E278" i="9"/>
  <c r="P266" i="9"/>
  <c r="P290" i="9"/>
  <c r="P278" i="9"/>
  <c r="AA170" i="9"/>
  <c r="AA158" i="9"/>
  <c r="AA182" i="9"/>
  <c r="P158" i="9"/>
  <c r="P182" i="9"/>
  <c r="P170" i="9"/>
  <c r="Z182" i="9"/>
  <c r="Z170" i="9"/>
  <c r="Z158" i="9"/>
  <c r="D480" i="9"/>
  <c r="D504" i="9"/>
  <c r="D492" i="9"/>
  <c r="L480" i="9"/>
  <c r="L504" i="9"/>
  <c r="L492" i="9"/>
  <c r="S480" i="9"/>
  <c r="S504" i="9"/>
  <c r="S492" i="9"/>
  <c r="J480" i="9"/>
  <c r="J504" i="9"/>
  <c r="J492" i="9"/>
  <c r="O399" i="9"/>
  <c r="O375" i="9"/>
  <c r="O387" i="9"/>
  <c r="N399" i="9"/>
  <c r="N375" i="9"/>
  <c r="N387" i="9"/>
  <c r="M399" i="9"/>
  <c r="CK8" i="33" s="1"/>
  <c r="M375" i="9"/>
  <c r="M387" i="9"/>
  <c r="I399" i="9"/>
  <c r="I375" i="9"/>
  <c r="I387" i="9"/>
  <c r="K266" i="9"/>
  <c r="K290" i="9"/>
  <c r="K278" i="9"/>
  <c r="M266" i="9"/>
  <c r="M290" i="9"/>
  <c r="CG8" i="33" s="1"/>
  <c r="M278" i="9"/>
  <c r="X266" i="9"/>
  <c r="X290" i="9"/>
  <c r="X278" i="9"/>
  <c r="I266" i="9"/>
  <c r="I290" i="9"/>
  <c r="I278" i="9"/>
  <c r="F158" i="9"/>
  <c r="F182" i="9"/>
  <c r="F170" i="9"/>
  <c r="X158" i="9"/>
  <c r="X182" i="9"/>
  <c r="X170" i="9"/>
  <c r="E158" i="9"/>
  <c r="E182" i="9"/>
  <c r="E170" i="9"/>
  <c r="T158" i="9"/>
  <c r="T182" i="9"/>
  <c r="T170" i="9"/>
  <c r="P480" i="9"/>
  <c r="P504" i="9"/>
  <c r="P492" i="9"/>
  <c r="I386" i="9"/>
  <c r="I398" i="9"/>
  <c r="I374" i="9"/>
  <c r="V169" i="9"/>
  <c r="V181" i="9"/>
  <c r="V157" i="9"/>
  <c r="J479" i="9"/>
  <c r="J503" i="9"/>
  <c r="J491" i="9"/>
  <c r="F491" i="9"/>
  <c r="F479" i="9"/>
  <c r="F503" i="9"/>
  <c r="AB386" i="9"/>
  <c r="AB398" i="9"/>
  <c r="AB374" i="9"/>
  <c r="P386" i="9"/>
  <c r="P398" i="9"/>
  <c r="P374" i="9"/>
  <c r="M386" i="9"/>
  <c r="M398" i="9"/>
  <c r="CK7" i="33" s="1"/>
  <c r="M374" i="9"/>
  <c r="X277" i="9"/>
  <c r="X265" i="9"/>
  <c r="X289" i="9"/>
  <c r="D277" i="9"/>
  <c r="D265" i="9"/>
  <c r="D289" i="9"/>
  <c r="AB169" i="9"/>
  <c r="AB181" i="9"/>
  <c r="AB157" i="9"/>
  <c r="G169" i="9"/>
  <c r="G181" i="9"/>
  <c r="G157" i="9"/>
  <c r="T169" i="9"/>
  <c r="T181" i="9"/>
  <c r="T157" i="9"/>
  <c r="B479" i="9"/>
  <c r="B503" i="9"/>
  <c r="AL7" i="33" s="1"/>
  <c r="B491" i="9"/>
  <c r="S374" i="9"/>
  <c r="S386" i="9"/>
  <c r="S398" i="9"/>
  <c r="X386" i="9"/>
  <c r="X398" i="9"/>
  <c r="X374" i="9"/>
  <c r="D386" i="9"/>
  <c r="D398" i="9"/>
  <c r="D374" i="9"/>
  <c r="T386" i="9"/>
  <c r="T398" i="9"/>
  <c r="T374" i="9"/>
  <c r="K374" i="9"/>
  <c r="K386" i="9"/>
  <c r="K398" i="9"/>
  <c r="F277" i="9"/>
  <c r="F265" i="9"/>
  <c r="F289" i="9"/>
  <c r="I265" i="9"/>
  <c r="I289" i="9"/>
  <c r="I277" i="9"/>
  <c r="L277" i="9"/>
  <c r="L265" i="9"/>
  <c r="L289" i="9"/>
  <c r="AA289" i="9"/>
  <c r="AA277" i="9"/>
  <c r="AA265" i="9"/>
  <c r="C169" i="9"/>
  <c r="C181" i="9"/>
  <c r="C157" i="9"/>
  <c r="E169" i="9"/>
  <c r="E181" i="9"/>
  <c r="E157" i="9"/>
  <c r="O169" i="9"/>
  <c r="O181" i="9"/>
  <c r="O157" i="9"/>
  <c r="Y181" i="9"/>
  <c r="Y157" i="9"/>
  <c r="Y169" i="9"/>
  <c r="V386" i="9"/>
  <c r="V398" i="9"/>
  <c r="V374" i="9"/>
  <c r="N277" i="9"/>
  <c r="N265" i="9"/>
  <c r="N289" i="9"/>
  <c r="AC277" i="9"/>
  <c r="AC265" i="9"/>
  <c r="AC289" i="9"/>
  <c r="EJ7" i="33" s="1"/>
  <c r="Y479" i="9"/>
  <c r="Y503" i="9"/>
  <c r="Y491" i="9"/>
  <c r="W491" i="9"/>
  <c r="W479" i="9"/>
  <c r="W503" i="9"/>
  <c r="J398" i="9"/>
  <c r="J374" i="9"/>
  <c r="J386" i="9"/>
  <c r="M491" i="9"/>
  <c r="M479" i="9"/>
  <c r="M503" i="9"/>
  <c r="CO7" i="33" s="1"/>
  <c r="Q386" i="9"/>
  <c r="Q398" i="9"/>
  <c r="Q374" i="9"/>
  <c r="Y386" i="9"/>
  <c r="Y398" i="9"/>
  <c r="Y374" i="9"/>
  <c r="W386" i="9"/>
  <c r="W398" i="9"/>
  <c r="W374" i="9"/>
  <c r="V277" i="9"/>
  <c r="V265" i="9"/>
  <c r="V289" i="9"/>
  <c r="C289" i="9"/>
  <c r="C277" i="9"/>
  <c r="C265" i="9"/>
  <c r="Q265" i="9"/>
  <c r="Q289" i="9"/>
  <c r="Q277" i="9"/>
  <c r="T277" i="9"/>
  <c r="T265" i="9"/>
  <c r="T289" i="9"/>
  <c r="K169" i="9"/>
  <c r="K181" i="9"/>
  <c r="K157" i="9"/>
  <c r="M169" i="9"/>
  <c r="M181" i="9"/>
  <c r="CC7" i="33" s="1"/>
  <c r="M157" i="9"/>
  <c r="W169" i="9"/>
  <c r="W181" i="9"/>
  <c r="W157" i="9"/>
  <c r="H169" i="9"/>
  <c r="H181" i="9"/>
  <c r="H157" i="9"/>
  <c r="Z265" i="9"/>
  <c r="Z289" i="9"/>
  <c r="Z277" i="9"/>
  <c r="Q479" i="9"/>
  <c r="Q503" i="9"/>
  <c r="Q491" i="9"/>
  <c r="X491" i="9"/>
  <c r="X479" i="9"/>
  <c r="X503" i="9"/>
  <c r="O491" i="9"/>
  <c r="O479" i="9"/>
  <c r="O503" i="9"/>
  <c r="E491" i="9"/>
  <c r="E479" i="9"/>
  <c r="E503" i="9"/>
  <c r="G386" i="9"/>
  <c r="G398" i="9"/>
  <c r="G374" i="9"/>
  <c r="O386" i="9"/>
  <c r="O398" i="9"/>
  <c r="O374" i="9"/>
  <c r="N386" i="9"/>
  <c r="N398" i="9"/>
  <c r="N374" i="9"/>
  <c r="Z398" i="9"/>
  <c r="Z374" i="9"/>
  <c r="Z386" i="9"/>
  <c r="G277" i="9"/>
  <c r="G265" i="9"/>
  <c r="G289" i="9"/>
  <c r="Y265" i="9"/>
  <c r="Y289" i="9"/>
  <c r="Y277" i="9"/>
  <c r="AB277" i="9"/>
  <c r="AB265" i="9"/>
  <c r="AB289" i="9"/>
  <c r="S169" i="9"/>
  <c r="S181" i="9"/>
  <c r="S157" i="9"/>
  <c r="U169" i="9"/>
  <c r="U181" i="9"/>
  <c r="U157" i="9"/>
  <c r="B181" i="9"/>
  <c r="Z7" i="33" s="1"/>
  <c r="B157" i="9"/>
  <c r="B169" i="9"/>
  <c r="P169" i="9"/>
  <c r="P181" i="9"/>
  <c r="P157" i="9"/>
  <c r="R479" i="9"/>
  <c r="R503" i="9"/>
  <c r="R491" i="9"/>
  <c r="P277" i="9"/>
  <c r="P265" i="9"/>
  <c r="P289" i="9"/>
  <c r="T491" i="9"/>
  <c r="T479" i="9"/>
  <c r="T503" i="9"/>
  <c r="AA503" i="9"/>
  <c r="AA491" i="9"/>
  <c r="AA479" i="9"/>
  <c r="I479" i="9"/>
  <c r="I503" i="9"/>
  <c r="I491" i="9"/>
  <c r="P491" i="9"/>
  <c r="P479" i="9"/>
  <c r="P503" i="9"/>
  <c r="G491" i="9"/>
  <c r="G479" i="9"/>
  <c r="G503" i="9"/>
  <c r="U491" i="9"/>
  <c r="U479" i="9"/>
  <c r="U503" i="9"/>
  <c r="F386" i="9"/>
  <c r="F398" i="9"/>
  <c r="F374" i="9"/>
  <c r="E386" i="9"/>
  <c r="E398" i="9"/>
  <c r="E374" i="9"/>
  <c r="U386" i="9"/>
  <c r="U398" i="9"/>
  <c r="U374" i="9"/>
  <c r="O277" i="9"/>
  <c r="O265" i="9"/>
  <c r="O289" i="9"/>
  <c r="B265" i="9"/>
  <c r="B289" i="9"/>
  <c r="AD7" i="33" s="1"/>
  <c r="B277" i="9"/>
  <c r="E277" i="9"/>
  <c r="E265" i="9"/>
  <c r="E289" i="9"/>
  <c r="AA169" i="9"/>
  <c r="AA181" i="9"/>
  <c r="AA157" i="9"/>
  <c r="AC169" i="9"/>
  <c r="AC181" i="9"/>
  <c r="EF7" i="33" s="1"/>
  <c r="AC157" i="9"/>
  <c r="J181" i="9"/>
  <c r="J157" i="9"/>
  <c r="J169" i="9"/>
  <c r="L491" i="9"/>
  <c r="L479" i="9"/>
  <c r="L503" i="9"/>
  <c r="S503" i="9"/>
  <c r="S491" i="9"/>
  <c r="S479" i="9"/>
  <c r="H491" i="9"/>
  <c r="H479" i="9"/>
  <c r="H503" i="9"/>
  <c r="AA374" i="9"/>
  <c r="AA386" i="9"/>
  <c r="AA398" i="9"/>
  <c r="AC491" i="9"/>
  <c r="AC479" i="9"/>
  <c r="AC503" i="9"/>
  <c r="ER7" i="33" s="1"/>
  <c r="L386" i="9"/>
  <c r="L398" i="9"/>
  <c r="L374" i="9"/>
  <c r="S289" i="9"/>
  <c r="S277" i="9"/>
  <c r="S265" i="9"/>
  <c r="W277" i="9"/>
  <c r="W265" i="9"/>
  <c r="W289" i="9"/>
  <c r="J265" i="9"/>
  <c r="J289" i="9"/>
  <c r="J277" i="9"/>
  <c r="M277" i="9"/>
  <c r="M265" i="9"/>
  <c r="M289" i="9"/>
  <c r="CG7" i="33" s="1"/>
  <c r="D169" i="9"/>
  <c r="D181" i="9"/>
  <c r="D157" i="9"/>
  <c r="F169" i="9"/>
  <c r="F181" i="9"/>
  <c r="F157" i="9"/>
  <c r="R181" i="9"/>
  <c r="R157" i="9"/>
  <c r="R169" i="9"/>
  <c r="X169" i="9"/>
  <c r="X181" i="9"/>
  <c r="X157" i="9"/>
  <c r="C503" i="9"/>
  <c r="C491" i="9"/>
  <c r="C479" i="9"/>
  <c r="N491" i="9"/>
  <c r="N479" i="9"/>
  <c r="N503" i="9"/>
  <c r="H386" i="9"/>
  <c r="H398" i="9"/>
  <c r="H374" i="9"/>
  <c r="I181" i="9"/>
  <c r="I157" i="9"/>
  <c r="I169" i="9"/>
  <c r="D491" i="9"/>
  <c r="D479" i="9"/>
  <c r="D503" i="9"/>
  <c r="K503" i="9"/>
  <c r="K491" i="9"/>
  <c r="K479" i="9"/>
  <c r="Z479" i="9"/>
  <c r="Z503" i="9"/>
  <c r="Z491" i="9"/>
  <c r="V491" i="9"/>
  <c r="V479" i="9"/>
  <c r="V503" i="9"/>
  <c r="AB491" i="9"/>
  <c r="AB479" i="9"/>
  <c r="AB503" i="9"/>
  <c r="R398" i="9"/>
  <c r="R374" i="9"/>
  <c r="R386" i="9"/>
  <c r="C374" i="9"/>
  <c r="C386" i="9"/>
  <c r="C398" i="9"/>
  <c r="K289" i="9"/>
  <c r="K277" i="9"/>
  <c r="K265" i="9"/>
  <c r="H277" i="9"/>
  <c r="H265" i="9"/>
  <c r="H289" i="9"/>
  <c r="R265" i="9"/>
  <c r="R289" i="9"/>
  <c r="R277" i="9"/>
  <c r="U277" i="9"/>
  <c r="U265" i="9"/>
  <c r="U289" i="9"/>
  <c r="L169" i="9"/>
  <c r="L181" i="9"/>
  <c r="L157" i="9"/>
  <c r="N169" i="9"/>
  <c r="N181" i="9"/>
  <c r="N157" i="9"/>
  <c r="Z181" i="9"/>
  <c r="Z157" i="9"/>
  <c r="Z169" i="9"/>
  <c r="Q181" i="9"/>
  <c r="Q157" i="9"/>
  <c r="Q169" i="9"/>
  <c r="Z502" i="9"/>
  <c r="C373" i="9"/>
  <c r="C385" i="9"/>
  <c r="C397" i="9"/>
  <c r="P276" i="9"/>
  <c r="P288" i="9"/>
  <c r="P264" i="9"/>
  <c r="Q502" i="9"/>
  <c r="Q478" i="9"/>
  <c r="Q490" i="9"/>
  <c r="F502" i="9"/>
  <c r="F478" i="9"/>
  <c r="F490" i="9"/>
  <c r="U502" i="9"/>
  <c r="U478" i="9"/>
  <c r="U490" i="9"/>
  <c r="L502" i="9"/>
  <c r="L478" i="9"/>
  <c r="L490" i="9"/>
  <c r="F397" i="9"/>
  <c r="F373" i="9"/>
  <c r="F385" i="9"/>
  <c r="Z397" i="9"/>
  <c r="Z373" i="9"/>
  <c r="Z385" i="9"/>
  <c r="K373" i="9"/>
  <c r="K385" i="9"/>
  <c r="K397" i="9"/>
  <c r="H276" i="9"/>
  <c r="H288" i="9"/>
  <c r="H264" i="9"/>
  <c r="AB288" i="9"/>
  <c r="AB264" i="9"/>
  <c r="AB276" i="9"/>
  <c r="G288" i="9"/>
  <c r="G264" i="9"/>
  <c r="G276" i="9"/>
  <c r="R288" i="9"/>
  <c r="R264" i="9"/>
  <c r="R276" i="9"/>
  <c r="P180" i="9"/>
  <c r="P156" i="9"/>
  <c r="P168" i="9"/>
  <c r="Z180" i="9"/>
  <c r="Z156" i="9"/>
  <c r="Z168" i="9"/>
  <c r="AB168" i="9"/>
  <c r="AB180" i="9"/>
  <c r="AB156" i="9"/>
  <c r="X397" i="9"/>
  <c r="X373" i="9"/>
  <c r="X385" i="9"/>
  <c r="M288" i="9"/>
  <c r="CG6" i="33" s="1"/>
  <c r="M264" i="9"/>
  <c r="M276" i="9"/>
  <c r="K156" i="9"/>
  <c r="K168" i="9"/>
  <c r="K180" i="9"/>
  <c r="I502" i="9"/>
  <c r="I478" i="9"/>
  <c r="I490" i="9"/>
  <c r="X490" i="9"/>
  <c r="X502" i="9"/>
  <c r="X478" i="9"/>
  <c r="M502" i="9"/>
  <c r="CO6" i="33" s="1"/>
  <c r="M478" i="9"/>
  <c r="M490" i="9"/>
  <c r="D502" i="9"/>
  <c r="D478" i="9"/>
  <c r="D490" i="9"/>
  <c r="R502" i="9"/>
  <c r="R478" i="9"/>
  <c r="R490" i="9"/>
  <c r="O397" i="9"/>
  <c r="O373" i="9"/>
  <c r="O385" i="9"/>
  <c r="I397" i="9"/>
  <c r="I373" i="9"/>
  <c r="I385" i="9"/>
  <c r="T373" i="9"/>
  <c r="T385" i="9"/>
  <c r="T397" i="9"/>
  <c r="K288" i="9"/>
  <c r="K264" i="9"/>
  <c r="K276" i="9"/>
  <c r="E288" i="9"/>
  <c r="E264" i="9"/>
  <c r="E276" i="9"/>
  <c r="O288" i="9"/>
  <c r="O264" i="9"/>
  <c r="O276" i="9"/>
  <c r="Z288" i="9"/>
  <c r="Z264" i="9"/>
  <c r="Z276" i="9"/>
  <c r="F180" i="9"/>
  <c r="F156" i="9"/>
  <c r="F168" i="9"/>
  <c r="X180" i="9"/>
  <c r="X156" i="9"/>
  <c r="X168" i="9"/>
  <c r="C156" i="9"/>
  <c r="C168" i="9"/>
  <c r="C180" i="9"/>
  <c r="G180" i="9"/>
  <c r="G156" i="9"/>
  <c r="G168" i="9"/>
  <c r="P490" i="9"/>
  <c r="P502" i="9"/>
  <c r="P478" i="9"/>
  <c r="AA502" i="9"/>
  <c r="AA478" i="9"/>
  <c r="AA490" i="9"/>
  <c r="E385" i="9"/>
  <c r="E397" i="9"/>
  <c r="E373" i="9"/>
  <c r="I180" i="9"/>
  <c r="I156" i="9"/>
  <c r="I168" i="9"/>
  <c r="H490" i="9"/>
  <c r="H502" i="9"/>
  <c r="H478" i="9"/>
  <c r="W502" i="9"/>
  <c r="W478" i="9"/>
  <c r="W490" i="9"/>
  <c r="S502" i="9"/>
  <c r="S478" i="9"/>
  <c r="S490" i="9"/>
  <c r="L373" i="9"/>
  <c r="L385" i="9"/>
  <c r="L397" i="9"/>
  <c r="G397" i="9"/>
  <c r="G373" i="9"/>
  <c r="G385" i="9"/>
  <c r="AA373" i="9"/>
  <c r="AA385" i="9"/>
  <c r="AA397" i="9"/>
  <c r="M385" i="9"/>
  <c r="M397" i="9"/>
  <c r="CK6" i="33" s="1"/>
  <c r="M373" i="9"/>
  <c r="S288" i="9"/>
  <c r="S264" i="9"/>
  <c r="S276" i="9"/>
  <c r="U288" i="9"/>
  <c r="U264" i="9"/>
  <c r="U276" i="9"/>
  <c r="I288" i="9"/>
  <c r="I264" i="9"/>
  <c r="I276" i="9"/>
  <c r="N180" i="9"/>
  <c r="N156" i="9"/>
  <c r="N168" i="9"/>
  <c r="Q180" i="9"/>
  <c r="Q156" i="9"/>
  <c r="Q168" i="9"/>
  <c r="S156" i="9"/>
  <c r="S168" i="9"/>
  <c r="S180" i="9"/>
  <c r="W180" i="9"/>
  <c r="W156" i="9"/>
  <c r="W168" i="9"/>
  <c r="O502" i="9"/>
  <c r="O478" i="9"/>
  <c r="O490" i="9"/>
  <c r="K502" i="9"/>
  <c r="K478" i="9"/>
  <c r="K490" i="9"/>
  <c r="Y502" i="9"/>
  <c r="Y478" i="9"/>
  <c r="Y490" i="9"/>
  <c r="V397" i="9"/>
  <c r="V373" i="9"/>
  <c r="V385" i="9"/>
  <c r="P397" i="9"/>
  <c r="P373" i="9"/>
  <c r="P385" i="9"/>
  <c r="J397" i="9"/>
  <c r="J373" i="9"/>
  <c r="J385" i="9"/>
  <c r="U385" i="9"/>
  <c r="U397" i="9"/>
  <c r="U373" i="9"/>
  <c r="X276" i="9"/>
  <c r="X288" i="9"/>
  <c r="X264" i="9"/>
  <c r="AC288" i="9"/>
  <c r="EJ6" i="33" s="1"/>
  <c r="AC264" i="9"/>
  <c r="AC276" i="9"/>
  <c r="Q288" i="9"/>
  <c r="Q264" i="9"/>
  <c r="Q276" i="9"/>
  <c r="U180" i="9"/>
  <c r="U156" i="9"/>
  <c r="U168" i="9"/>
  <c r="Y180" i="9"/>
  <c r="Y156" i="9"/>
  <c r="Y168" i="9"/>
  <c r="AA156" i="9"/>
  <c r="AA168" i="9"/>
  <c r="AA180" i="9"/>
  <c r="B502" i="9"/>
  <c r="AL6" i="33" s="1"/>
  <c r="B478" i="9"/>
  <c r="B490" i="9"/>
  <c r="R397" i="9"/>
  <c r="R373" i="9"/>
  <c r="R385" i="9"/>
  <c r="G502" i="9"/>
  <c r="G478" i="9"/>
  <c r="G490" i="9"/>
  <c r="C502" i="9"/>
  <c r="C478" i="9"/>
  <c r="C490" i="9"/>
  <c r="D373" i="9"/>
  <c r="D385" i="9"/>
  <c r="D397" i="9"/>
  <c r="Y397" i="9"/>
  <c r="Y373" i="9"/>
  <c r="Y385" i="9"/>
  <c r="S373" i="9"/>
  <c r="S385" i="9"/>
  <c r="S397" i="9"/>
  <c r="AC385" i="9"/>
  <c r="AC397" i="9"/>
  <c r="EN6" i="33" s="1"/>
  <c r="AC373" i="9"/>
  <c r="D288" i="9"/>
  <c r="D264" i="9"/>
  <c r="D276" i="9"/>
  <c r="F288" i="9"/>
  <c r="F264" i="9"/>
  <c r="F276" i="9"/>
  <c r="Y288" i="9"/>
  <c r="Y264" i="9"/>
  <c r="Y276" i="9"/>
  <c r="V180" i="9"/>
  <c r="V156" i="9"/>
  <c r="V168" i="9"/>
  <c r="B180" i="9"/>
  <c r="Z6" i="33" s="1"/>
  <c r="B156" i="9"/>
  <c r="B168" i="9"/>
  <c r="D168" i="9"/>
  <c r="D180" i="9"/>
  <c r="D156" i="9"/>
  <c r="O180" i="9"/>
  <c r="O156" i="9"/>
  <c r="O168" i="9"/>
  <c r="V502" i="9"/>
  <c r="V478" i="9"/>
  <c r="V490" i="9"/>
  <c r="AB502" i="9"/>
  <c r="AB478" i="9"/>
  <c r="AB490" i="9"/>
  <c r="N397" i="9"/>
  <c r="N373" i="9"/>
  <c r="N385" i="9"/>
  <c r="H397" i="9"/>
  <c r="H373" i="9"/>
  <c r="H385" i="9"/>
  <c r="AB373" i="9"/>
  <c r="AB385" i="9"/>
  <c r="AB397" i="9"/>
  <c r="AA288" i="9"/>
  <c r="AA264" i="9"/>
  <c r="AA276" i="9"/>
  <c r="L288" i="9"/>
  <c r="L264" i="9"/>
  <c r="L276" i="9"/>
  <c r="N288" i="9"/>
  <c r="N264" i="9"/>
  <c r="N276" i="9"/>
  <c r="B288" i="9"/>
  <c r="AD6" i="33" s="1"/>
  <c r="B264" i="9"/>
  <c r="B276" i="9"/>
  <c r="AC180" i="9"/>
  <c r="EF6" i="33" s="1"/>
  <c r="AC156" i="9"/>
  <c r="AC168" i="9"/>
  <c r="J180" i="9"/>
  <c r="J156" i="9"/>
  <c r="J168" i="9"/>
  <c r="L168" i="9"/>
  <c r="L180" i="9"/>
  <c r="L156" i="9"/>
  <c r="J502" i="9"/>
  <c r="J478" i="9"/>
  <c r="J490" i="9"/>
  <c r="E502" i="9"/>
  <c r="E478" i="9"/>
  <c r="E490" i="9"/>
  <c r="W288" i="9"/>
  <c r="W264" i="9"/>
  <c r="W276" i="9"/>
  <c r="M180" i="9"/>
  <c r="CC6" i="33" s="1"/>
  <c r="M156" i="9"/>
  <c r="M168" i="9"/>
  <c r="N502" i="9"/>
  <c r="N478" i="9"/>
  <c r="N490" i="9"/>
  <c r="AC502" i="9"/>
  <c r="ER6" i="33" s="1"/>
  <c r="AC478" i="9"/>
  <c r="AC490" i="9"/>
  <c r="T502" i="9"/>
  <c r="T478" i="9"/>
  <c r="T490" i="9"/>
  <c r="W397" i="9"/>
  <c r="W373" i="9"/>
  <c r="W385" i="9"/>
  <c r="Q397" i="9"/>
  <c r="Q373" i="9"/>
  <c r="Q385" i="9"/>
  <c r="B397" i="9"/>
  <c r="AH6" i="33" s="1"/>
  <c r="B373" i="9"/>
  <c r="B385" i="9"/>
  <c r="C288" i="9"/>
  <c r="C264" i="9"/>
  <c r="C276" i="9"/>
  <c r="T288" i="9"/>
  <c r="T264" i="9"/>
  <c r="T276" i="9"/>
  <c r="V288" i="9"/>
  <c r="V264" i="9"/>
  <c r="V276" i="9"/>
  <c r="J288" i="9"/>
  <c r="J264" i="9"/>
  <c r="J276" i="9"/>
  <c r="H180" i="9"/>
  <c r="H156" i="9"/>
  <c r="H168" i="9"/>
  <c r="R180" i="9"/>
  <c r="R156" i="9"/>
  <c r="R168" i="9"/>
  <c r="T168" i="9"/>
  <c r="T180" i="9"/>
  <c r="T156" i="9"/>
  <c r="J370" i="3"/>
  <c r="AB357" i="3"/>
  <c r="T470" i="3"/>
  <c r="G140" i="3"/>
  <c r="C248" i="3"/>
  <c r="K248" i="3"/>
  <c r="S248" i="3"/>
  <c r="AA248" i="3"/>
  <c r="J357" i="3"/>
  <c r="T357" i="3"/>
  <c r="AC357" i="3"/>
  <c r="D462" i="3"/>
  <c r="L462" i="3"/>
  <c r="T462" i="3"/>
  <c r="AB462" i="3"/>
  <c r="D248" i="3"/>
  <c r="L248" i="3"/>
  <c r="T248" i="3"/>
  <c r="AB248" i="3"/>
  <c r="B357" i="3"/>
  <c r="L357" i="3"/>
  <c r="U357" i="3"/>
  <c r="E462" i="3"/>
  <c r="M462" i="3"/>
  <c r="U462" i="3"/>
  <c r="AC462" i="3"/>
  <c r="F248" i="3"/>
  <c r="N248" i="3"/>
  <c r="V248" i="3"/>
  <c r="E357" i="3"/>
  <c r="N357" i="3"/>
  <c r="W357" i="3"/>
  <c r="G462" i="3"/>
  <c r="O462" i="3"/>
  <c r="W462" i="3"/>
  <c r="G248" i="3"/>
  <c r="O248" i="3"/>
  <c r="W248" i="3"/>
  <c r="F357" i="3"/>
  <c r="O357" i="3"/>
  <c r="X357" i="3"/>
  <c r="H462" i="3"/>
  <c r="P462" i="3"/>
  <c r="X462" i="3"/>
  <c r="H248" i="3"/>
  <c r="P248" i="3"/>
  <c r="X248" i="3"/>
  <c r="G357" i="3"/>
  <c r="P357" i="3"/>
  <c r="Y357" i="3"/>
  <c r="I462" i="3"/>
  <c r="Q462" i="3"/>
  <c r="Y462" i="3"/>
  <c r="I248" i="3"/>
  <c r="Q248" i="3"/>
  <c r="Y248" i="3"/>
  <c r="C357" i="3"/>
  <c r="K357" i="3"/>
  <c r="S357" i="3"/>
  <c r="AA357" i="3"/>
  <c r="H357" i="3"/>
  <c r="Q357" i="3"/>
  <c r="Z357" i="3"/>
  <c r="B462" i="3"/>
  <c r="J462" i="3"/>
  <c r="R462" i="3"/>
  <c r="Z462" i="3"/>
  <c r="B248" i="3"/>
  <c r="J248" i="3"/>
  <c r="R248" i="3"/>
  <c r="Z248" i="3"/>
  <c r="I357" i="3"/>
  <c r="R357" i="3"/>
  <c r="C462" i="3"/>
  <c r="K462" i="3"/>
  <c r="S462" i="3"/>
  <c r="AA462" i="3"/>
  <c r="C140" i="3"/>
  <c r="K140" i="3"/>
  <c r="S140" i="3"/>
  <c r="AA140" i="3"/>
  <c r="F148" i="3"/>
  <c r="N148" i="3"/>
  <c r="V148" i="3"/>
  <c r="F256" i="3"/>
  <c r="N256" i="3"/>
  <c r="V256" i="3"/>
  <c r="E365" i="3"/>
  <c r="N365" i="3"/>
  <c r="X365" i="3"/>
  <c r="H470" i="3"/>
  <c r="P470" i="3"/>
  <c r="X470" i="3"/>
  <c r="G148" i="3"/>
  <c r="O148" i="3"/>
  <c r="W148" i="3"/>
  <c r="G256" i="3"/>
  <c r="O256" i="3"/>
  <c r="W256" i="3"/>
  <c r="F365" i="3"/>
  <c r="P365" i="3"/>
  <c r="Y365" i="3"/>
  <c r="I470" i="3"/>
  <c r="Q470" i="3"/>
  <c r="Y470" i="3"/>
  <c r="H148" i="3"/>
  <c r="X148" i="3"/>
  <c r="P256" i="3"/>
  <c r="H365" i="3"/>
  <c r="Z365" i="3"/>
  <c r="B470" i="3"/>
  <c r="R470" i="3"/>
  <c r="I148" i="3"/>
  <c r="Q148" i="3"/>
  <c r="Y148" i="3"/>
  <c r="I256" i="3"/>
  <c r="Q256" i="3"/>
  <c r="Y256" i="3"/>
  <c r="I365" i="3"/>
  <c r="R365" i="3"/>
  <c r="AA365" i="3"/>
  <c r="C470" i="3"/>
  <c r="K470" i="3"/>
  <c r="S470" i="3"/>
  <c r="AA470" i="3"/>
  <c r="P148" i="3"/>
  <c r="H256" i="3"/>
  <c r="X256" i="3"/>
  <c r="Q365" i="3"/>
  <c r="J470" i="3"/>
  <c r="Z470" i="3"/>
  <c r="B148" i="3"/>
  <c r="J148" i="3"/>
  <c r="R148" i="3"/>
  <c r="Z148" i="3"/>
  <c r="B256" i="3"/>
  <c r="J256" i="3"/>
  <c r="R256" i="3"/>
  <c r="Z256" i="3"/>
  <c r="G365" i="3"/>
  <c r="O365" i="3"/>
  <c r="W365" i="3"/>
  <c r="J365" i="3"/>
  <c r="S365" i="3"/>
  <c r="AB365" i="3"/>
  <c r="D470" i="3"/>
  <c r="L470" i="3"/>
  <c r="AB470" i="3"/>
  <c r="C148" i="3"/>
  <c r="K148" i="3"/>
  <c r="S148" i="3"/>
  <c r="AA148" i="3"/>
  <c r="C256" i="3"/>
  <c r="K256" i="3"/>
  <c r="S256" i="3"/>
  <c r="AA256" i="3"/>
  <c r="B365" i="3"/>
  <c r="K365" i="3"/>
  <c r="T365" i="3"/>
  <c r="AC365" i="3"/>
  <c r="E470" i="3"/>
  <c r="M470" i="3"/>
  <c r="U470" i="3"/>
  <c r="AC470" i="3"/>
  <c r="D148" i="3"/>
  <c r="L148" i="3"/>
  <c r="T148" i="3"/>
  <c r="AB148" i="3"/>
  <c r="D256" i="3"/>
  <c r="L256" i="3"/>
  <c r="T256" i="3"/>
  <c r="C365" i="3"/>
  <c r="L365" i="3"/>
  <c r="F470" i="3"/>
  <c r="N470" i="3"/>
  <c r="V470" i="3"/>
  <c r="AB259" i="13"/>
  <c r="F259" i="13"/>
  <c r="U259" i="13"/>
  <c r="E153" i="13"/>
  <c r="E190" i="13" s="1"/>
  <c r="AC153" i="13"/>
  <c r="AC190" i="13" s="1"/>
  <c r="DN16" i="33" s="1"/>
  <c r="D153" i="13"/>
  <c r="D190" i="13" s="1"/>
  <c r="S151" i="13"/>
  <c r="I151" i="13"/>
  <c r="X151" i="13"/>
  <c r="M151" i="13"/>
  <c r="L152" i="13"/>
  <c r="F46" i="13"/>
  <c r="V45" i="13"/>
  <c r="J45" i="13"/>
  <c r="S45" i="13"/>
  <c r="F151" i="13"/>
  <c r="G46" i="13"/>
  <c r="I259" i="13"/>
  <c r="O259" i="13"/>
  <c r="C259" i="13"/>
  <c r="P153" i="13"/>
  <c r="P190" i="13" s="1"/>
  <c r="I153" i="13"/>
  <c r="I190" i="13" s="1"/>
  <c r="L153" i="13"/>
  <c r="L190" i="13" s="1"/>
  <c r="M45" i="13"/>
  <c r="U45" i="13"/>
  <c r="R45" i="13"/>
  <c r="I45" i="13"/>
  <c r="X259" i="13"/>
  <c r="K259" i="13"/>
  <c r="Z153" i="13"/>
  <c r="Z190" i="13" s="1"/>
  <c r="S153" i="13"/>
  <c r="S190" i="13" s="1"/>
  <c r="T153" i="13"/>
  <c r="T190" i="13" s="1"/>
  <c r="H368" i="13"/>
  <c r="H260" i="13"/>
  <c r="D45" i="13"/>
  <c r="L45" i="13"/>
  <c r="Z45" i="13"/>
  <c r="AC152" i="13"/>
  <c r="AC46" i="13"/>
  <c r="AA45" i="13"/>
  <c r="J259" i="13"/>
  <c r="S259" i="13"/>
  <c r="D260" i="13"/>
  <c r="V153" i="13"/>
  <c r="V190" i="13" s="1"/>
  <c r="C153" i="13"/>
  <c r="C190" i="13" s="1"/>
  <c r="G153" i="13"/>
  <c r="G190" i="13" s="1"/>
  <c r="J153" i="13"/>
  <c r="J190" i="13" s="1"/>
  <c r="AB153" i="13"/>
  <c r="AB190" i="13" s="1"/>
  <c r="C45" i="13"/>
  <c r="Q45" i="13"/>
  <c r="T259" i="13"/>
  <c r="E152" i="13"/>
  <c r="E46" i="13"/>
  <c r="Z259" i="13"/>
  <c r="H259" i="13"/>
  <c r="Y259" i="13"/>
  <c r="G259" i="13"/>
  <c r="W259" i="13"/>
  <c r="E259" i="13"/>
  <c r="R259" i="13"/>
  <c r="Q259" i="13"/>
  <c r="P259" i="13"/>
  <c r="D259" i="13"/>
  <c r="AC259" i="13"/>
  <c r="AC45" i="13"/>
  <c r="T45" i="13"/>
  <c r="K45" i="13"/>
  <c r="AB45" i="13"/>
  <c r="M260" i="13"/>
  <c r="M152" i="13"/>
  <c r="B152" i="13"/>
  <c r="B46" i="13"/>
  <c r="AB369" i="13"/>
  <c r="AB46" i="13"/>
  <c r="Y45" i="13"/>
  <c r="M259" i="13"/>
  <c r="B259" i="13"/>
  <c r="M153" i="13"/>
  <c r="M190" i="13" s="1"/>
  <c r="BK16" i="33" s="1"/>
  <c r="H153" i="13"/>
  <c r="H190" i="13" s="1"/>
  <c r="O153" i="13"/>
  <c r="O190" i="13" s="1"/>
  <c r="O45" i="13"/>
  <c r="N45" i="13"/>
  <c r="V46" i="13"/>
  <c r="V152" i="13"/>
  <c r="P45" i="13"/>
  <c r="P46" i="13"/>
  <c r="R46" i="13"/>
  <c r="V259" i="13"/>
  <c r="L259" i="13"/>
  <c r="W153" i="13"/>
  <c r="W190" i="13" s="1"/>
  <c r="R153" i="13"/>
  <c r="R190" i="13" s="1"/>
  <c r="E151" i="13"/>
  <c r="F45" i="13"/>
  <c r="E45" i="13"/>
  <c r="B45" i="13"/>
  <c r="L369" i="13"/>
  <c r="L46" i="13"/>
  <c r="J152" i="13"/>
  <c r="J46" i="13"/>
  <c r="G45" i="13"/>
  <c r="H46" i="13"/>
  <c r="I152" i="9"/>
  <c r="D369" i="9"/>
  <c r="D46" i="9"/>
  <c r="I473" i="9"/>
  <c r="I369" i="9"/>
  <c r="B459" i="3"/>
  <c r="J459" i="3"/>
  <c r="R459" i="3"/>
  <c r="Z459" i="3"/>
  <c r="J463" i="3"/>
  <c r="R463" i="3"/>
  <c r="R480" i="3" s="1"/>
  <c r="Z463" i="3"/>
  <c r="B467" i="3"/>
  <c r="J467" i="3"/>
  <c r="R467" i="3"/>
  <c r="Z467" i="3"/>
  <c r="C459" i="3"/>
  <c r="K459" i="3"/>
  <c r="S459" i="3"/>
  <c r="AA459" i="3"/>
  <c r="C463" i="3"/>
  <c r="C480" i="3" s="1"/>
  <c r="K463" i="3"/>
  <c r="K480" i="3" s="1"/>
  <c r="S463" i="3"/>
  <c r="S480" i="3" s="1"/>
  <c r="AA463" i="3"/>
  <c r="AA480" i="3" s="1"/>
  <c r="C467" i="3"/>
  <c r="K467" i="3"/>
  <c r="S467" i="3"/>
  <c r="AA467" i="3"/>
  <c r="D459" i="3"/>
  <c r="L459" i="3"/>
  <c r="T459" i="3"/>
  <c r="D463" i="3"/>
  <c r="D480" i="3" s="1"/>
  <c r="L463" i="3"/>
  <c r="L480" i="3" s="1"/>
  <c r="T463" i="3"/>
  <c r="T480" i="3" s="1"/>
  <c r="AB463" i="3"/>
  <c r="AB480" i="3" s="1"/>
  <c r="D467" i="3"/>
  <c r="T467" i="3"/>
  <c r="AB467" i="3"/>
  <c r="E459" i="3"/>
  <c r="M459" i="3"/>
  <c r="U459" i="3"/>
  <c r="AC459" i="3"/>
  <c r="E463" i="3"/>
  <c r="E480" i="3" s="1"/>
  <c r="M463" i="3"/>
  <c r="M480" i="3" s="1"/>
  <c r="U463" i="3"/>
  <c r="U480" i="3" s="1"/>
  <c r="AC463" i="3"/>
  <c r="AC480" i="3" s="1"/>
  <c r="E467" i="3"/>
  <c r="M467" i="3"/>
  <c r="U467" i="3"/>
  <c r="AC467" i="3"/>
  <c r="F459" i="3"/>
  <c r="N459" i="3"/>
  <c r="V459" i="3"/>
  <c r="F463" i="3"/>
  <c r="F481" i="3" s="1"/>
  <c r="N463" i="3"/>
  <c r="N480" i="3" s="1"/>
  <c r="V463" i="3"/>
  <c r="V480" i="3" s="1"/>
  <c r="F467" i="3"/>
  <c r="N467" i="3"/>
  <c r="V467" i="3"/>
  <c r="G459" i="3"/>
  <c r="O459" i="3"/>
  <c r="W459" i="3"/>
  <c r="G463" i="3"/>
  <c r="G480" i="3" s="1"/>
  <c r="O463" i="3"/>
  <c r="O480" i="3" s="1"/>
  <c r="W463" i="3"/>
  <c r="W480" i="3" s="1"/>
  <c r="G467" i="3"/>
  <c r="O467" i="3"/>
  <c r="W467" i="3"/>
  <c r="H459" i="3"/>
  <c r="P459" i="3"/>
  <c r="X459" i="3"/>
  <c r="H463" i="3"/>
  <c r="H480" i="3" s="1"/>
  <c r="P463" i="3"/>
  <c r="P480" i="3" s="1"/>
  <c r="X463" i="3"/>
  <c r="X480" i="3" s="1"/>
  <c r="H467" i="3"/>
  <c r="P467" i="3"/>
  <c r="X467" i="3"/>
  <c r="B354" i="3"/>
  <c r="K354" i="3"/>
  <c r="T354" i="3"/>
  <c r="AC354" i="3"/>
  <c r="D358" i="3"/>
  <c r="D375" i="3" s="1"/>
  <c r="M358" i="3"/>
  <c r="M376" i="3" s="1"/>
  <c r="V358" i="3"/>
  <c r="V376" i="3" s="1"/>
  <c r="F362" i="3"/>
  <c r="P362" i="3"/>
  <c r="Y362" i="3"/>
  <c r="C354" i="3"/>
  <c r="L354" i="3"/>
  <c r="U354" i="3"/>
  <c r="E358" i="3"/>
  <c r="E375" i="3" s="1"/>
  <c r="N358" i="3"/>
  <c r="N375" i="3" s="1"/>
  <c r="X358" i="3"/>
  <c r="X375" i="3" s="1"/>
  <c r="H362" i="3"/>
  <c r="Q362" i="3"/>
  <c r="Z362" i="3"/>
  <c r="D354" i="3"/>
  <c r="M354" i="3"/>
  <c r="V354" i="3"/>
  <c r="F358" i="3"/>
  <c r="F375" i="3" s="1"/>
  <c r="P358" i="3"/>
  <c r="P375" i="3" s="1"/>
  <c r="Y358" i="3"/>
  <c r="Y375" i="3" s="1"/>
  <c r="I362" i="3"/>
  <c r="R362" i="3"/>
  <c r="AA362" i="3"/>
  <c r="E354" i="3"/>
  <c r="N354" i="3"/>
  <c r="X354" i="3"/>
  <c r="H358" i="3"/>
  <c r="H375" i="3" s="1"/>
  <c r="Q358" i="3"/>
  <c r="Q375" i="3" s="1"/>
  <c r="Z358" i="3"/>
  <c r="Z375" i="3" s="1"/>
  <c r="J362" i="3"/>
  <c r="S362" i="3"/>
  <c r="AB362" i="3"/>
  <c r="G354" i="3"/>
  <c r="O354" i="3"/>
  <c r="G358" i="3"/>
  <c r="G375" i="3" s="1"/>
  <c r="O358" i="3"/>
  <c r="O375" i="3" s="1"/>
  <c r="W358" i="3"/>
  <c r="W375" i="3" s="1"/>
  <c r="G362" i="3"/>
  <c r="O362" i="3"/>
  <c r="W362" i="3"/>
  <c r="F354" i="3"/>
  <c r="P354" i="3"/>
  <c r="Y354" i="3"/>
  <c r="I358" i="3"/>
  <c r="I375" i="3" s="1"/>
  <c r="R358" i="3"/>
  <c r="R375" i="3" s="1"/>
  <c r="AA358" i="3"/>
  <c r="AA375" i="3" s="1"/>
  <c r="B362" i="3"/>
  <c r="K362" i="3"/>
  <c r="T362" i="3"/>
  <c r="AC362" i="3"/>
  <c r="H354" i="3"/>
  <c r="Q354" i="3"/>
  <c r="Z354" i="3"/>
  <c r="J358" i="3"/>
  <c r="S358" i="3"/>
  <c r="S375" i="3" s="1"/>
  <c r="AB358" i="3"/>
  <c r="C362" i="3"/>
  <c r="L362" i="3"/>
  <c r="U362" i="3"/>
  <c r="W354" i="3"/>
  <c r="I354" i="3"/>
  <c r="R354" i="3"/>
  <c r="B358" i="3"/>
  <c r="B375" i="3" s="1"/>
  <c r="K358" i="3"/>
  <c r="K375" i="3" s="1"/>
  <c r="T358" i="3"/>
  <c r="D362" i="3"/>
  <c r="M362" i="3"/>
  <c r="C245" i="3"/>
  <c r="K245" i="3"/>
  <c r="S245" i="3"/>
  <c r="AA245" i="3"/>
  <c r="C249" i="3"/>
  <c r="C266" i="3" s="1"/>
  <c r="K249" i="3"/>
  <c r="K266" i="3" s="1"/>
  <c r="S249" i="3"/>
  <c r="S266" i="3" s="1"/>
  <c r="AA249" i="3"/>
  <c r="AA266" i="3" s="1"/>
  <c r="C253" i="3"/>
  <c r="K253" i="3"/>
  <c r="S253" i="3"/>
  <c r="AA253" i="3"/>
  <c r="D245" i="3"/>
  <c r="L245" i="3"/>
  <c r="T245" i="3"/>
  <c r="AB245" i="3"/>
  <c r="D249" i="3"/>
  <c r="D266" i="3" s="1"/>
  <c r="L249" i="3"/>
  <c r="L266" i="3" s="1"/>
  <c r="T249" i="3"/>
  <c r="T266" i="3" s="1"/>
  <c r="AB249" i="3"/>
  <c r="D253" i="3"/>
  <c r="L253" i="3"/>
  <c r="T253" i="3"/>
  <c r="AB253" i="3"/>
  <c r="E245" i="3"/>
  <c r="M245" i="3"/>
  <c r="U245" i="3"/>
  <c r="AC245" i="3"/>
  <c r="E249" i="3"/>
  <c r="E266" i="3" s="1"/>
  <c r="M249" i="3"/>
  <c r="M267" i="3" s="1"/>
  <c r="U249" i="3"/>
  <c r="U267" i="3" s="1"/>
  <c r="AC249" i="3"/>
  <c r="AC267" i="3" s="1"/>
  <c r="E253" i="3"/>
  <c r="M253" i="3"/>
  <c r="U253" i="3"/>
  <c r="AC253" i="3"/>
  <c r="F245" i="3"/>
  <c r="N245" i="3"/>
  <c r="V245" i="3"/>
  <c r="F249" i="3"/>
  <c r="F266" i="3" s="1"/>
  <c r="N249" i="3"/>
  <c r="N266" i="3" s="1"/>
  <c r="V249" i="3"/>
  <c r="F253" i="3"/>
  <c r="N253" i="3"/>
  <c r="V253" i="3"/>
  <c r="G245" i="3"/>
  <c r="O245" i="3"/>
  <c r="W245" i="3"/>
  <c r="G249" i="3"/>
  <c r="O249" i="3"/>
  <c r="O266" i="3" s="1"/>
  <c r="W249" i="3"/>
  <c r="W266" i="3" s="1"/>
  <c r="G253" i="3"/>
  <c r="O253" i="3"/>
  <c r="W253" i="3"/>
  <c r="H245" i="3"/>
  <c r="P245" i="3"/>
  <c r="X245" i="3"/>
  <c r="H249" i="3"/>
  <c r="H266" i="3" s="1"/>
  <c r="P249" i="3"/>
  <c r="P266" i="3" s="1"/>
  <c r="X249" i="3"/>
  <c r="X266" i="3" s="1"/>
  <c r="H253" i="3"/>
  <c r="P253" i="3"/>
  <c r="X253" i="3"/>
  <c r="I245" i="3"/>
  <c r="Q245" i="3"/>
  <c r="Y245" i="3"/>
  <c r="I249" i="3"/>
  <c r="I266" i="3" s="1"/>
  <c r="Q249" i="3"/>
  <c r="Y249" i="3"/>
  <c r="I253" i="3"/>
  <c r="Q253" i="3"/>
  <c r="Y253" i="3"/>
  <c r="H137" i="3"/>
  <c r="H141" i="3"/>
  <c r="I137" i="3"/>
  <c r="Q137" i="3"/>
  <c r="Y137" i="3"/>
  <c r="I141" i="3"/>
  <c r="Q141" i="3"/>
  <c r="Y141" i="3"/>
  <c r="I145" i="3"/>
  <c r="Q145" i="3"/>
  <c r="Y145" i="3"/>
  <c r="P137" i="3"/>
  <c r="B137" i="3"/>
  <c r="J137" i="3"/>
  <c r="R137" i="3"/>
  <c r="Z137" i="3"/>
  <c r="B141" i="3"/>
  <c r="J141" i="3"/>
  <c r="R141" i="3"/>
  <c r="Z141" i="3"/>
  <c r="B145" i="3"/>
  <c r="J145" i="3"/>
  <c r="J163" i="3" s="1"/>
  <c r="R145" i="3"/>
  <c r="Z145" i="3"/>
  <c r="X141" i="3"/>
  <c r="P145" i="3"/>
  <c r="C137" i="3"/>
  <c r="K137" i="3"/>
  <c r="S137" i="3"/>
  <c r="AA137" i="3"/>
  <c r="C141" i="3"/>
  <c r="K141" i="3"/>
  <c r="S141" i="3"/>
  <c r="AA141" i="3"/>
  <c r="C145" i="3"/>
  <c r="K145" i="3"/>
  <c r="S145" i="3"/>
  <c r="AA145" i="3"/>
  <c r="X137" i="3"/>
  <c r="D137" i="3"/>
  <c r="L137" i="3"/>
  <c r="T137" i="3"/>
  <c r="AB137" i="3"/>
  <c r="D141" i="3"/>
  <c r="L141" i="3"/>
  <c r="T141" i="3"/>
  <c r="AB141" i="3"/>
  <c r="D145" i="3"/>
  <c r="L145" i="3"/>
  <c r="T145" i="3"/>
  <c r="AB145" i="3"/>
  <c r="P141" i="3"/>
  <c r="H145" i="3"/>
  <c r="X145" i="3"/>
  <c r="E137" i="3"/>
  <c r="M137" i="3"/>
  <c r="U137" i="3"/>
  <c r="AC137" i="3"/>
  <c r="E141" i="3"/>
  <c r="M141" i="3"/>
  <c r="M157" i="3" s="1"/>
  <c r="U141" i="3"/>
  <c r="U157" i="3" s="1"/>
  <c r="AC141" i="3"/>
  <c r="AC157" i="3" s="1"/>
  <c r="E145" i="3"/>
  <c r="M145" i="3"/>
  <c r="U145" i="3"/>
  <c r="AC145" i="3"/>
  <c r="AB144" i="3"/>
  <c r="AB149" i="3"/>
  <c r="E140" i="3"/>
  <c r="M140" i="3"/>
  <c r="U140" i="3"/>
  <c r="AC140" i="3"/>
  <c r="E144" i="3"/>
  <c r="M144" i="3"/>
  <c r="U144" i="3"/>
  <c r="AC144" i="3"/>
  <c r="E149" i="3"/>
  <c r="M149" i="3"/>
  <c r="U149" i="3"/>
  <c r="AC149" i="3"/>
  <c r="T140" i="3"/>
  <c r="L144" i="3"/>
  <c r="F140" i="3"/>
  <c r="N140" i="3"/>
  <c r="V140" i="3"/>
  <c r="F144" i="3"/>
  <c r="N144" i="3"/>
  <c r="V144" i="3"/>
  <c r="F149" i="3"/>
  <c r="N149" i="3"/>
  <c r="V149" i="3"/>
  <c r="L140" i="3"/>
  <c r="O140" i="3"/>
  <c r="W140" i="3"/>
  <c r="G144" i="3"/>
  <c r="O144" i="3"/>
  <c r="W144" i="3"/>
  <c r="O149" i="3"/>
  <c r="W149" i="3"/>
  <c r="D140" i="3"/>
  <c r="L149" i="3"/>
  <c r="H140" i="3"/>
  <c r="P140" i="3"/>
  <c r="X140" i="3"/>
  <c r="H144" i="3"/>
  <c r="P144" i="3"/>
  <c r="X144" i="3"/>
  <c r="H149" i="3"/>
  <c r="P149" i="3"/>
  <c r="X149" i="3"/>
  <c r="AB140" i="3"/>
  <c r="D144" i="3"/>
  <c r="T149" i="3"/>
  <c r="I140" i="3"/>
  <c r="Q140" i="3"/>
  <c r="Y140" i="3"/>
  <c r="I144" i="3"/>
  <c r="Q144" i="3"/>
  <c r="Y144" i="3"/>
  <c r="I149" i="3"/>
  <c r="Q149" i="3"/>
  <c r="Y149" i="3"/>
  <c r="T144" i="3"/>
  <c r="D149" i="3"/>
  <c r="B140" i="3"/>
  <c r="J140" i="3"/>
  <c r="R140" i="3"/>
  <c r="Z140" i="3"/>
  <c r="B144" i="3"/>
  <c r="J144" i="3"/>
  <c r="J174" i="3" s="1"/>
  <c r="R144" i="3"/>
  <c r="Z144" i="3"/>
  <c r="B149" i="3"/>
  <c r="J149" i="3"/>
  <c r="R149" i="3"/>
  <c r="Z149" i="3"/>
  <c r="L475" i="3"/>
  <c r="Z150" i="3"/>
  <c r="T370" i="3"/>
  <c r="T153" i="3"/>
  <c r="Y367" i="3"/>
  <c r="AC370" i="3"/>
  <c r="D150" i="3"/>
  <c r="L150" i="3"/>
  <c r="T150" i="3"/>
  <c r="AB150" i="3"/>
  <c r="R150" i="3"/>
  <c r="AB370" i="3"/>
  <c r="Z367" i="3"/>
  <c r="F258" i="3"/>
  <c r="N258" i="3"/>
  <c r="N294" i="3" s="1"/>
  <c r="V258" i="3"/>
  <c r="L367" i="3"/>
  <c r="AA367" i="3"/>
  <c r="Z472" i="3"/>
  <c r="AB367" i="3"/>
  <c r="D47" i="3"/>
  <c r="L47" i="3"/>
  <c r="T47" i="3"/>
  <c r="AB47" i="3"/>
  <c r="Q367" i="3"/>
  <c r="R258" i="3"/>
  <c r="J475" i="3"/>
  <c r="E150" i="3"/>
  <c r="M150" i="3"/>
  <c r="U150" i="3"/>
  <c r="AC150" i="3"/>
  <c r="B370" i="3"/>
  <c r="L370" i="3"/>
  <c r="U370" i="3"/>
  <c r="F150" i="3"/>
  <c r="N150" i="3"/>
  <c r="V150" i="3"/>
  <c r="C370" i="3"/>
  <c r="K370" i="3"/>
  <c r="S370" i="3"/>
  <c r="AA370" i="3"/>
  <c r="D370" i="3"/>
  <c r="M370" i="3"/>
  <c r="V370" i="3"/>
  <c r="G150" i="3"/>
  <c r="O150" i="3"/>
  <c r="W150" i="3"/>
  <c r="E370" i="3"/>
  <c r="N370" i="3"/>
  <c r="W370" i="3"/>
  <c r="H150" i="3"/>
  <c r="P150" i="3"/>
  <c r="X150" i="3"/>
  <c r="F370" i="3"/>
  <c r="O370" i="3"/>
  <c r="X370" i="3"/>
  <c r="I150" i="3"/>
  <c r="Q150" i="3"/>
  <c r="Y150" i="3"/>
  <c r="B150" i="3"/>
  <c r="G370" i="3"/>
  <c r="P370" i="3"/>
  <c r="Y370" i="3"/>
  <c r="J150" i="3"/>
  <c r="H370" i="3"/>
  <c r="Q370" i="3"/>
  <c r="Z370" i="3"/>
  <c r="C150" i="3"/>
  <c r="K150" i="3"/>
  <c r="S150" i="3"/>
  <c r="AA150" i="3"/>
  <c r="I370" i="3"/>
  <c r="R370" i="3"/>
  <c r="E47" i="3"/>
  <c r="M47" i="3"/>
  <c r="U47" i="3"/>
  <c r="AC47" i="3"/>
  <c r="C475" i="3"/>
  <c r="K475" i="3"/>
  <c r="S475" i="3"/>
  <c r="AA475" i="3"/>
  <c r="X472" i="3"/>
  <c r="R475" i="3"/>
  <c r="F47" i="3"/>
  <c r="N47" i="3"/>
  <c r="V47" i="3"/>
  <c r="J152" i="3"/>
  <c r="T475" i="3"/>
  <c r="G47" i="3"/>
  <c r="O47" i="3"/>
  <c r="W47" i="3"/>
  <c r="E475" i="3"/>
  <c r="M475" i="3"/>
  <c r="U475" i="3"/>
  <c r="AC475" i="3"/>
  <c r="Z475" i="3"/>
  <c r="H47" i="3"/>
  <c r="P47" i="3"/>
  <c r="X47" i="3"/>
  <c r="F475" i="3"/>
  <c r="N475" i="3"/>
  <c r="V475" i="3"/>
  <c r="AB475" i="3"/>
  <c r="I47" i="3"/>
  <c r="Q47" i="3"/>
  <c r="Y47" i="3"/>
  <c r="C258" i="3"/>
  <c r="K258" i="3"/>
  <c r="S258" i="3"/>
  <c r="AA258" i="3"/>
  <c r="C472" i="3"/>
  <c r="K472" i="3"/>
  <c r="S472" i="3"/>
  <c r="AA472" i="3"/>
  <c r="G475" i="3"/>
  <c r="O475" i="3"/>
  <c r="W475" i="3"/>
  <c r="B475" i="3"/>
  <c r="B47" i="3"/>
  <c r="J47" i="3"/>
  <c r="R47" i="3"/>
  <c r="Z47" i="3"/>
  <c r="J258" i="3"/>
  <c r="D472" i="3"/>
  <c r="L472" i="3"/>
  <c r="T472" i="3"/>
  <c r="AB472" i="3"/>
  <c r="H475" i="3"/>
  <c r="P475" i="3"/>
  <c r="X475" i="3"/>
  <c r="D475" i="3"/>
  <c r="C47" i="3"/>
  <c r="K47" i="3"/>
  <c r="S47" i="3"/>
  <c r="AA47" i="3"/>
  <c r="E258" i="3"/>
  <c r="M258" i="3"/>
  <c r="U258" i="3"/>
  <c r="AC258" i="3"/>
  <c r="I475" i="3"/>
  <c r="Q475" i="3"/>
  <c r="Y475" i="3"/>
  <c r="R472" i="3"/>
  <c r="G472" i="3"/>
  <c r="O472" i="3"/>
  <c r="W472" i="3"/>
  <c r="J472" i="3"/>
  <c r="P472" i="3"/>
  <c r="I472" i="3"/>
  <c r="Q472" i="3"/>
  <c r="Y472" i="3"/>
  <c r="B367" i="3"/>
  <c r="K367" i="3"/>
  <c r="T367" i="3"/>
  <c r="AC367" i="3"/>
  <c r="G367" i="3"/>
  <c r="O367" i="3"/>
  <c r="W367" i="3"/>
  <c r="D367" i="3"/>
  <c r="M367" i="3"/>
  <c r="V367" i="3"/>
  <c r="F367" i="3"/>
  <c r="P367" i="3"/>
  <c r="B258" i="3"/>
  <c r="G258" i="3"/>
  <c r="O258" i="3"/>
  <c r="W258" i="3"/>
  <c r="Z258" i="3"/>
  <c r="H258" i="3"/>
  <c r="P258" i="3"/>
  <c r="X258" i="3"/>
  <c r="I258" i="3"/>
  <c r="Q258" i="3"/>
  <c r="Y258" i="3"/>
  <c r="D258" i="3"/>
  <c r="L258" i="3"/>
  <c r="T258" i="3"/>
  <c r="AB258" i="3"/>
  <c r="E153" i="3"/>
  <c r="M153" i="3"/>
  <c r="U153" i="3"/>
  <c r="AC153" i="3"/>
  <c r="G153" i="3"/>
  <c r="O153" i="3"/>
  <c r="W153" i="3"/>
  <c r="H151" i="3"/>
  <c r="J260" i="3"/>
  <c r="J369" i="3"/>
  <c r="J368" i="3"/>
  <c r="J151" i="3"/>
  <c r="J259" i="3"/>
  <c r="J473" i="3"/>
  <c r="J474" i="3"/>
  <c r="A75" i="3"/>
  <c r="A63" i="3"/>
  <c r="A65" i="3"/>
  <c r="A77" i="3"/>
  <c r="J46" i="3"/>
  <c r="A62" i="3"/>
  <c r="A74" i="3"/>
  <c r="A79" i="3"/>
  <c r="A67" i="3"/>
  <c r="A78" i="3"/>
  <c r="A66" i="3"/>
  <c r="A76" i="3"/>
  <c r="A64" i="3"/>
  <c r="A68" i="3"/>
  <c r="A80" i="3"/>
  <c r="A81" i="3"/>
  <c r="A69" i="3"/>
  <c r="J45" i="3"/>
  <c r="A79" i="1"/>
  <c r="A43" i="1"/>
  <c r="Q25" i="1"/>
  <c r="R25" i="1"/>
  <c r="S25" i="1"/>
  <c r="T25" i="1"/>
  <c r="U25" i="1"/>
  <c r="V25" i="1"/>
  <c r="W25" i="1"/>
  <c r="X25" i="1"/>
  <c r="Y25" i="1"/>
  <c r="Z25" i="1"/>
  <c r="AA25" i="1"/>
  <c r="AB25" i="1"/>
  <c r="AC25" i="1"/>
  <c r="AD25" i="1"/>
  <c r="AE25" i="1"/>
  <c r="AF25" i="1"/>
  <c r="AG25" i="1"/>
  <c r="AH25" i="1"/>
  <c r="AI25" i="1"/>
  <c r="AJ25" i="1"/>
  <c r="AK25" i="1"/>
  <c r="AL25" i="1"/>
  <c r="AM25" i="1"/>
  <c r="AN25" i="1"/>
  <c r="AO25" i="1"/>
  <c r="AP25" i="1"/>
  <c r="AQ25" i="1"/>
  <c r="AR25" i="1"/>
  <c r="AA260" i="3" l="1"/>
  <c r="L473" i="3"/>
  <c r="L259" i="3"/>
  <c r="L45" i="3"/>
  <c r="F369" i="3"/>
  <c r="I45" i="3"/>
  <c r="I368" i="3"/>
  <c r="I369" i="3"/>
  <c r="L46" i="3"/>
  <c r="F473" i="3"/>
  <c r="L151" i="3"/>
  <c r="F368" i="3"/>
  <c r="I152" i="3"/>
  <c r="I46" i="3"/>
  <c r="I260" i="3"/>
  <c r="I259" i="3"/>
  <c r="I151" i="3"/>
  <c r="F474" i="3"/>
  <c r="I474" i="3"/>
  <c r="L260" i="3"/>
  <c r="L369" i="3"/>
  <c r="L368" i="3"/>
  <c r="L474" i="3"/>
  <c r="F151" i="3"/>
  <c r="F259" i="3"/>
  <c r="F260" i="3"/>
  <c r="I474" i="9"/>
  <c r="F45" i="3"/>
  <c r="F46" i="3"/>
  <c r="E473" i="9"/>
  <c r="E260" i="9"/>
  <c r="R473" i="3"/>
  <c r="R151" i="3"/>
  <c r="B59" i="13"/>
  <c r="Z59" i="13"/>
  <c r="C376" i="3"/>
  <c r="H174" i="3"/>
  <c r="P473" i="3"/>
  <c r="G152" i="3"/>
  <c r="AB273" i="13"/>
  <c r="Z382" i="13"/>
  <c r="C59" i="13"/>
  <c r="AA382" i="13"/>
  <c r="I382" i="13"/>
  <c r="P273" i="13"/>
  <c r="W273" i="13"/>
  <c r="D59" i="13"/>
  <c r="K59" i="13"/>
  <c r="O407" i="13"/>
  <c r="AC382" i="13"/>
  <c r="X165" i="13"/>
  <c r="M273" i="13"/>
  <c r="I273" i="13"/>
  <c r="R273" i="13"/>
  <c r="P382" i="13"/>
  <c r="L382" i="13"/>
  <c r="U273" i="13"/>
  <c r="R382" i="13"/>
  <c r="F382" i="13"/>
  <c r="M59" i="13"/>
  <c r="X273" i="13"/>
  <c r="V382" i="13"/>
  <c r="X382" i="13"/>
  <c r="S273" i="13"/>
  <c r="Q273" i="13"/>
  <c r="J382" i="13"/>
  <c r="K382" i="13"/>
  <c r="G382" i="13"/>
  <c r="J59" i="13"/>
  <c r="H382" i="13"/>
  <c r="AB382" i="13"/>
  <c r="O273" i="13"/>
  <c r="L59" i="13"/>
  <c r="T273" i="13"/>
  <c r="Q382" i="13"/>
  <c r="F273" i="13"/>
  <c r="E273" i="13"/>
  <c r="M382" i="13"/>
  <c r="K273" i="13"/>
  <c r="Y273" i="13"/>
  <c r="AC273" i="13"/>
  <c r="C382" i="13"/>
  <c r="Y382" i="13"/>
  <c r="F59" i="13"/>
  <c r="S59" i="13"/>
  <c r="U382" i="13"/>
  <c r="G273" i="13"/>
  <c r="D382" i="13"/>
  <c r="D273" i="13"/>
  <c r="B382" i="13"/>
  <c r="V273" i="13"/>
  <c r="N382" i="13"/>
  <c r="W382" i="13"/>
  <c r="AA273" i="13"/>
  <c r="N273" i="13"/>
  <c r="J273" i="13"/>
  <c r="L273" i="13"/>
  <c r="E382" i="13"/>
  <c r="T59" i="13"/>
  <c r="S382" i="13"/>
  <c r="H273" i="13"/>
  <c r="V59" i="13"/>
  <c r="T382" i="13"/>
  <c r="Z273" i="13"/>
  <c r="C273" i="13"/>
  <c r="B273" i="13"/>
  <c r="I59" i="13"/>
  <c r="B58" i="3"/>
  <c r="B84" i="3"/>
  <c r="AP16" i="33" s="1"/>
  <c r="Z407" i="13"/>
  <c r="I407" i="13"/>
  <c r="P407" i="13"/>
  <c r="R407" i="13"/>
  <c r="U407" i="13"/>
  <c r="E407" i="13"/>
  <c r="N407" i="13"/>
  <c r="D407" i="13"/>
  <c r="G407" i="13"/>
  <c r="K407" i="13"/>
  <c r="Y407" i="13"/>
  <c r="Q407" i="13"/>
  <c r="AB407" i="13"/>
  <c r="L407" i="13"/>
  <c r="H407" i="13"/>
  <c r="F407" i="13"/>
  <c r="X407" i="13"/>
  <c r="AA407" i="13"/>
  <c r="B407" i="13"/>
  <c r="R16" i="33" s="1"/>
  <c r="C407" i="13"/>
  <c r="M407" i="13"/>
  <c r="BU16" i="33" s="1"/>
  <c r="W407" i="13"/>
  <c r="S407" i="13"/>
  <c r="AC407" i="13"/>
  <c r="DX16" i="33" s="1"/>
  <c r="T407" i="13"/>
  <c r="J407" i="13"/>
  <c r="O298" i="13"/>
  <c r="AC298" i="13"/>
  <c r="DS16" i="33" s="1"/>
  <c r="C298" i="13"/>
  <c r="P298" i="13"/>
  <c r="Y298" i="13"/>
  <c r="E298" i="13"/>
  <c r="B298" i="13"/>
  <c r="M16" i="33" s="1"/>
  <c r="F298" i="13"/>
  <c r="Z298" i="13"/>
  <c r="M298" i="13"/>
  <c r="BP16" i="33" s="1"/>
  <c r="I298" i="13"/>
  <c r="Q298" i="13"/>
  <c r="G298" i="13"/>
  <c r="T298" i="13"/>
  <c r="W298" i="13"/>
  <c r="AB298" i="13"/>
  <c r="L298" i="13"/>
  <c r="R298" i="13"/>
  <c r="J298" i="13"/>
  <c r="D298" i="13"/>
  <c r="X298" i="13"/>
  <c r="H298" i="13"/>
  <c r="V298" i="13"/>
  <c r="S298" i="13"/>
  <c r="K298" i="13"/>
  <c r="N298" i="13"/>
  <c r="B186" i="13"/>
  <c r="H12" i="33" s="1"/>
  <c r="B190" i="13"/>
  <c r="H16" i="33" s="1"/>
  <c r="R59" i="13"/>
  <c r="Y59" i="13"/>
  <c r="O59" i="13"/>
  <c r="X59" i="13"/>
  <c r="Q59" i="13"/>
  <c r="H59" i="13"/>
  <c r="W59" i="13"/>
  <c r="P59" i="13"/>
  <c r="AA59" i="13"/>
  <c r="E59" i="13"/>
  <c r="N59" i="13"/>
  <c r="AC59" i="13"/>
  <c r="AB59" i="13"/>
  <c r="G59" i="13"/>
  <c r="E259" i="9"/>
  <c r="C64" i="9"/>
  <c r="E368" i="9"/>
  <c r="E474" i="9"/>
  <c r="C57" i="9"/>
  <c r="E369" i="9"/>
  <c r="F63" i="9"/>
  <c r="E45" i="9"/>
  <c r="E46" i="9"/>
  <c r="B190" i="3"/>
  <c r="AS16" i="33" s="1"/>
  <c r="T397" i="13"/>
  <c r="H397" i="13"/>
  <c r="AA397" i="13"/>
  <c r="D78" i="9"/>
  <c r="D77" i="9"/>
  <c r="D57" i="9"/>
  <c r="AB151" i="9"/>
  <c r="E260" i="3"/>
  <c r="E474" i="3"/>
  <c r="E152" i="3"/>
  <c r="Y265" i="3"/>
  <c r="X162" i="3"/>
  <c r="M260" i="3"/>
  <c r="R474" i="3"/>
  <c r="R46" i="3"/>
  <c r="M474" i="3"/>
  <c r="M369" i="3"/>
  <c r="G158" i="3"/>
  <c r="M398" i="13"/>
  <c r="BU7" i="33" s="1"/>
  <c r="G260" i="3"/>
  <c r="G259" i="3"/>
  <c r="AB46" i="9"/>
  <c r="AA64" i="9"/>
  <c r="K394" i="13"/>
  <c r="K406" i="13" s="1"/>
  <c r="G394" i="13"/>
  <c r="G406" i="13" s="1"/>
  <c r="H163" i="3"/>
  <c r="AB152" i="9"/>
  <c r="G46" i="3"/>
  <c r="G289" i="13"/>
  <c r="G151" i="3"/>
  <c r="AB174" i="3"/>
  <c r="Q481" i="3"/>
  <c r="B394" i="13"/>
  <c r="B406" i="13" s="1"/>
  <c r="R15" i="33" s="1"/>
  <c r="K285" i="13"/>
  <c r="K297" i="13" s="1"/>
  <c r="Q394" i="13"/>
  <c r="Q406" i="13" s="1"/>
  <c r="M402" i="13"/>
  <c r="BU11" i="33" s="1"/>
  <c r="G473" i="3"/>
  <c r="G45" i="3"/>
  <c r="G369" i="3"/>
  <c r="G474" i="3"/>
  <c r="L174" i="3"/>
  <c r="E399" i="13"/>
  <c r="T394" i="13"/>
  <c r="T406" i="13" s="1"/>
  <c r="H394" i="13"/>
  <c r="H406" i="13" s="1"/>
  <c r="J285" i="13"/>
  <c r="J297" i="13" s="1"/>
  <c r="L71" i="13"/>
  <c r="L83" i="13" s="1"/>
  <c r="Z285" i="13"/>
  <c r="Z297" i="13" s="1"/>
  <c r="U285" i="13"/>
  <c r="U297" i="13" s="1"/>
  <c r="T285" i="13"/>
  <c r="T297" i="13" s="1"/>
  <c r="I71" i="13"/>
  <c r="F285" i="13"/>
  <c r="F297" i="13" s="1"/>
  <c r="G285" i="13"/>
  <c r="G297" i="13" s="1"/>
  <c r="D285" i="13"/>
  <c r="AC401" i="13"/>
  <c r="DX10" i="33" s="1"/>
  <c r="V394" i="13"/>
  <c r="V406" i="13" s="1"/>
  <c r="AA285" i="13"/>
  <c r="AA297" i="13" s="1"/>
  <c r="AA394" i="13"/>
  <c r="AA406" i="13" s="1"/>
  <c r="L285" i="13"/>
  <c r="J394" i="13"/>
  <c r="O71" i="13"/>
  <c r="H285" i="13"/>
  <c r="H297" i="13" s="1"/>
  <c r="Z394" i="13"/>
  <c r="Z406" i="13" s="1"/>
  <c r="B285" i="13"/>
  <c r="B297" i="13" s="1"/>
  <c r="M15" i="33" s="1"/>
  <c r="M486" i="3"/>
  <c r="M512" i="3"/>
  <c r="DE16" i="33" s="1"/>
  <c r="F381" i="3"/>
  <c r="F407" i="3"/>
  <c r="AC407" i="3"/>
  <c r="FE16" i="33" s="1"/>
  <c r="AC381" i="3"/>
  <c r="AA58" i="3"/>
  <c r="AA84" i="3"/>
  <c r="B80" i="3"/>
  <c r="AP12" i="33" s="1"/>
  <c r="AB512" i="3"/>
  <c r="AB486" i="3"/>
  <c r="I407" i="3"/>
  <c r="I381" i="3"/>
  <c r="X381" i="3"/>
  <c r="X407" i="3"/>
  <c r="S407" i="3"/>
  <c r="S381" i="3"/>
  <c r="AB58" i="3"/>
  <c r="AB84" i="3"/>
  <c r="AC190" i="3"/>
  <c r="EY16" i="33" s="1"/>
  <c r="AC164" i="3"/>
  <c r="Y486" i="3"/>
  <c r="Y512" i="3"/>
  <c r="S58" i="3"/>
  <c r="S84" i="3"/>
  <c r="B512" i="3"/>
  <c r="BB16" i="33" s="1"/>
  <c r="B486" i="3"/>
  <c r="B508" i="3"/>
  <c r="BB12" i="33" s="1"/>
  <c r="V486" i="3"/>
  <c r="V512" i="3"/>
  <c r="U512" i="3"/>
  <c r="U486" i="3"/>
  <c r="K512" i="3"/>
  <c r="K486" i="3"/>
  <c r="Y381" i="3"/>
  <c r="Y407" i="3"/>
  <c r="O407" i="3"/>
  <c r="O381" i="3"/>
  <c r="K407" i="3"/>
  <c r="K381" i="3"/>
  <c r="T58" i="3"/>
  <c r="T84" i="3"/>
  <c r="O162" i="13"/>
  <c r="O164" i="13"/>
  <c r="AB174" i="13"/>
  <c r="AB164" i="13"/>
  <c r="T173" i="13"/>
  <c r="T164" i="13"/>
  <c r="P381" i="3"/>
  <c r="P407" i="3"/>
  <c r="H186" i="13"/>
  <c r="H164" i="13"/>
  <c r="L171" i="13"/>
  <c r="L164" i="13"/>
  <c r="N512" i="3"/>
  <c r="N486" i="3"/>
  <c r="J172" i="13"/>
  <c r="J164" i="13"/>
  <c r="O486" i="3"/>
  <c r="O512" i="3"/>
  <c r="Z174" i="13"/>
  <c r="Z164" i="13"/>
  <c r="I162" i="13"/>
  <c r="I164" i="13"/>
  <c r="D187" i="13"/>
  <c r="D164" i="13"/>
  <c r="S186" i="13"/>
  <c r="S164" i="13"/>
  <c r="F486" i="3"/>
  <c r="F512" i="3"/>
  <c r="G407" i="3"/>
  <c r="G381" i="3"/>
  <c r="D58" i="3"/>
  <c r="D84" i="3"/>
  <c r="M173" i="13"/>
  <c r="M164" i="13"/>
  <c r="E190" i="3"/>
  <c r="E164" i="3"/>
  <c r="D512" i="3"/>
  <c r="D486" i="3"/>
  <c r="G486" i="3"/>
  <c r="G512" i="3"/>
  <c r="X58" i="3"/>
  <c r="X84" i="3"/>
  <c r="W58" i="3"/>
  <c r="W84" i="3"/>
  <c r="F58" i="3"/>
  <c r="F84" i="3"/>
  <c r="U58" i="3"/>
  <c r="U84" i="3"/>
  <c r="V407" i="3"/>
  <c r="V381" i="3"/>
  <c r="AB381" i="3"/>
  <c r="AB407" i="3"/>
  <c r="T190" i="3"/>
  <c r="T164" i="3"/>
  <c r="C183" i="13"/>
  <c r="C164" i="13"/>
  <c r="P174" i="13"/>
  <c r="P164" i="13"/>
  <c r="AC187" i="13"/>
  <c r="DN13" i="33" s="1"/>
  <c r="AC164" i="13"/>
  <c r="U190" i="3"/>
  <c r="U164" i="3"/>
  <c r="K58" i="3"/>
  <c r="K84" i="3"/>
  <c r="V58" i="3"/>
  <c r="V84" i="3"/>
  <c r="I512" i="3"/>
  <c r="I486" i="3"/>
  <c r="AC58" i="3"/>
  <c r="AC84" i="3"/>
  <c r="EV16" i="33" s="1"/>
  <c r="G163" i="13"/>
  <c r="G164" i="13"/>
  <c r="X486" i="3"/>
  <c r="X512" i="3"/>
  <c r="Z58" i="3"/>
  <c r="Z84" i="3"/>
  <c r="Y58" i="3"/>
  <c r="Y84" i="3"/>
  <c r="P58" i="3"/>
  <c r="P84" i="3"/>
  <c r="O58" i="3"/>
  <c r="O84" i="3"/>
  <c r="R486" i="3"/>
  <c r="R512" i="3"/>
  <c r="M58" i="3"/>
  <c r="M84" i="3"/>
  <c r="CS16" i="33" s="1"/>
  <c r="Z407" i="3"/>
  <c r="Z381" i="3"/>
  <c r="M407" i="3"/>
  <c r="DB16" i="33" s="1"/>
  <c r="M381" i="3"/>
  <c r="J486" i="3"/>
  <c r="J512" i="3"/>
  <c r="T407" i="3"/>
  <c r="T381" i="3"/>
  <c r="V185" i="13"/>
  <c r="V164" i="13"/>
  <c r="E186" i="13"/>
  <c r="E164" i="13"/>
  <c r="B185" i="3"/>
  <c r="AS11" i="33" s="1"/>
  <c r="C407" i="3"/>
  <c r="C381" i="3"/>
  <c r="M164" i="3"/>
  <c r="M190" i="3"/>
  <c r="CV16" i="33" s="1"/>
  <c r="C58" i="3"/>
  <c r="C84" i="3"/>
  <c r="E486" i="3"/>
  <c r="E512" i="3"/>
  <c r="W190" i="3"/>
  <c r="W164" i="3"/>
  <c r="P512" i="3"/>
  <c r="P486" i="3"/>
  <c r="R58" i="3"/>
  <c r="R84" i="3"/>
  <c r="Q58" i="3"/>
  <c r="Q84" i="3"/>
  <c r="H58" i="3"/>
  <c r="H84" i="3"/>
  <c r="G58" i="3"/>
  <c r="G84" i="3"/>
  <c r="E58" i="3"/>
  <c r="E84" i="3"/>
  <c r="Q407" i="3"/>
  <c r="Q381" i="3"/>
  <c r="W407" i="3"/>
  <c r="W381" i="3"/>
  <c r="D407" i="3"/>
  <c r="D381" i="3"/>
  <c r="U407" i="3"/>
  <c r="U381" i="3"/>
  <c r="R163" i="13"/>
  <c r="R164" i="13"/>
  <c r="W486" i="3"/>
  <c r="W512" i="3"/>
  <c r="N58" i="3"/>
  <c r="N84" i="3"/>
  <c r="O190" i="3"/>
  <c r="O164" i="3"/>
  <c r="H512" i="3"/>
  <c r="H486" i="3"/>
  <c r="J58" i="3"/>
  <c r="J84" i="3"/>
  <c r="I58" i="3"/>
  <c r="I84" i="3"/>
  <c r="Z486" i="3"/>
  <c r="Z512" i="3"/>
  <c r="T486" i="3"/>
  <c r="T512" i="3"/>
  <c r="AA486" i="3"/>
  <c r="AA512" i="3"/>
  <c r="R407" i="3"/>
  <c r="R381" i="3"/>
  <c r="H381" i="3"/>
  <c r="H407" i="3"/>
  <c r="N407" i="3"/>
  <c r="N381" i="3"/>
  <c r="AA407" i="3"/>
  <c r="AA381" i="3"/>
  <c r="L381" i="3"/>
  <c r="L407" i="3"/>
  <c r="L512" i="3"/>
  <c r="L486" i="3"/>
  <c r="B186" i="3"/>
  <c r="AS12" i="33" s="1"/>
  <c r="W172" i="13"/>
  <c r="W164" i="13"/>
  <c r="Q486" i="3"/>
  <c r="Q512" i="3"/>
  <c r="C512" i="3"/>
  <c r="C486" i="3"/>
  <c r="L58" i="3"/>
  <c r="L84" i="3"/>
  <c r="G190" i="3"/>
  <c r="G164" i="3"/>
  <c r="AC512" i="3"/>
  <c r="FH16" i="33" s="1"/>
  <c r="AC486" i="3"/>
  <c r="S486" i="3"/>
  <c r="S512" i="3"/>
  <c r="E407" i="3"/>
  <c r="E381" i="3"/>
  <c r="B407" i="3"/>
  <c r="AY16" i="33" s="1"/>
  <c r="B381" i="3"/>
  <c r="B403" i="3"/>
  <c r="AY12" i="33" s="1"/>
  <c r="J407" i="3"/>
  <c r="J381" i="3"/>
  <c r="N185" i="13"/>
  <c r="N164" i="13"/>
  <c r="AA71" i="13"/>
  <c r="U294" i="13"/>
  <c r="I272" i="3"/>
  <c r="I298" i="3"/>
  <c r="G282" i="3"/>
  <c r="G298" i="3"/>
  <c r="G272" i="3"/>
  <c r="M272" i="3"/>
  <c r="M298" i="3"/>
  <c r="CY16" i="33" s="1"/>
  <c r="B281" i="3"/>
  <c r="B298" i="3"/>
  <c r="AV16" i="33" s="1"/>
  <c r="B272" i="3"/>
  <c r="M66" i="9"/>
  <c r="M84" i="9"/>
  <c r="BY16" i="33" s="1"/>
  <c r="M58" i="9"/>
  <c r="U56" i="9"/>
  <c r="U84" i="9"/>
  <c r="U58" i="9"/>
  <c r="T69" i="9"/>
  <c r="T84" i="9"/>
  <c r="T58" i="9"/>
  <c r="G65" i="9"/>
  <c r="G84" i="9"/>
  <c r="G58" i="9"/>
  <c r="D190" i="3"/>
  <c r="D164" i="3"/>
  <c r="C162" i="3"/>
  <c r="C190" i="3"/>
  <c r="C164" i="3"/>
  <c r="Z190" i="3"/>
  <c r="Z164" i="3"/>
  <c r="F172" i="3"/>
  <c r="F190" i="3"/>
  <c r="F164" i="3"/>
  <c r="C71" i="13"/>
  <c r="W285" i="13"/>
  <c r="W297" i="13" s="1"/>
  <c r="U394" i="13"/>
  <c r="U406" i="13" s="1"/>
  <c r="I394" i="13"/>
  <c r="P394" i="13"/>
  <c r="P406" i="13" s="1"/>
  <c r="S285" i="13"/>
  <c r="M71" i="13"/>
  <c r="M83" i="13" s="1"/>
  <c r="BF15" i="33" s="1"/>
  <c r="Y185" i="13"/>
  <c r="Y164" i="13"/>
  <c r="F186" i="13"/>
  <c r="F164" i="13"/>
  <c r="V270" i="3"/>
  <c r="V298" i="3"/>
  <c r="V272" i="3"/>
  <c r="E282" i="3"/>
  <c r="E298" i="3"/>
  <c r="E272" i="3"/>
  <c r="E84" i="9"/>
  <c r="E58" i="9"/>
  <c r="AB84" i="9"/>
  <c r="AB58" i="9"/>
  <c r="X63" i="9"/>
  <c r="X58" i="9"/>
  <c r="X84" i="9"/>
  <c r="Q173" i="3"/>
  <c r="Q190" i="3"/>
  <c r="Q164" i="3"/>
  <c r="R172" i="3"/>
  <c r="R190" i="3"/>
  <c r="R164" i="3"/>
  <c r="Z71" i="13"/>
  <c r="B294" i="3"/>
  <c r="AV12" i="33" s="1"/>
  <c r="C285" i="13"/>
  <c r="I285" i="13"/>
  <c r="C394" i="13"/>
  <c r="Y394" i="13"/>
  <c r="Y406" i="13" s="1"/>
  <c r="F71" i="13"/>
  <c r="F83" i="13" s="1"/>
  <c r="R71" i="13"/>
  <c r="R83" i="13" s="1"/>
  <c r="P71" i="13"/>
  <c r="O381" i="13"/>
  <c r="N282" i="3"/>
  <c r="N298" i="3"/>
  <c r="N272" i="3"/>
  <c r="AB282" i="3"/>
  <c r="AB298" i="3"/>
  <c r="AB272" i="3"/>
  <c r="C84" i="9"/>
  <c r="C58" i="9"/>
  <c r="F65" i="9"/>
  <c r="F84" i="9"/>
  <c r="F58" i="9"/>
  <c r="J172" i="3"/>
  <c r="J164" i="3"/>
  <c r="J190" i="3"/>
  <c r="B403" i="13"/>
  <c r="R12" i="33" s="1"/>
  <c r="N394" i="13"/>
  <c r="N406" i="13" s="1"/>
  <c r="R285" i="13"/>
  <c r="R297" i="13" s="1"/>
  <c r="P285" i="13"/>
  <c r="P297" i="13" s="1"/>
  <c r="AB285" i="13"/>
  <c r="AB297" i="13" s="1"/>
  <c r="L394" i="13"/>
  <c r="W71" i="13"/>
  <c r="S71" i="13"/>
  <c r="S83" i="13" s="1"/>
  <c r="D71" i="13"/>
  <c r="D83" i="13" s="1"/>
  <c r="Q174" i="13"/>
  <c r="Q164" i="13"/>
  <c r="U185" i="13"/>
  <c r="U164" i="13"/>
  <c r="X298" i="3"/>
  <c r="X272" i="3"/>
  <c r="F282" i="3"/>
  <c r="F298" i="3"/>
  <c r="F272" i="3"/>
  <c r="T281" i="3"/>
  <c r="T272" i="3"/>
  <c r="T298" i="3"/>
  <c r="D84" i="9"/>
  <c r="D58" i="9"/>
  <c r="V57" i="9"/>
  <c r="V84" i="9"/>
  <c r="V58" i="9"/>
  <c r="AA298" i="3"/>
  <c r="AA272" i="3"/>
  <c r="B173" i="3"/>
  <c r="B164" i="3"/>
  <c r="I164" i="3"/>
  <c r="I190" i="3"/>
  <c r="S394" i="13"/>
  <c r="AB394" i="13"/>
  <c r="AB406" i="13" s="1"/>
  <c r="Y285" i="13"/>
  <c r="Y297" i="13" s="1"/>
  <c r="O285" i="13"/>
  <c r="AC285" i="13"/>
  <c r="M394" i="13"/>
  <c r="T71" i="13"/>
  <c r="G71" i="13"/>
  <c r="G83" i="13" s="1"/>
  <c r="K181" i="13"/>
  <c r="K164" i="13"/>
  <c r="P84" i="9"/>
  <c r="P58" i="9"/>
  <c r="P298" i="3"/>
  <c r="P272" i="3"/>
  <c r="L270" i="3"/>
  <c r="L298" i="3"/>
  <c r="L272" i="3"/>
  <c r="B69" i="9"/>
  <c r="B84" i="9"/>
  <c r="V16" i="33" s="1"/>
  <c r="B58" i="9"/>
  <c r="B80" i="9"/>
  <c r="V12" i="33" s="1"/>
  <c r="L68" i="9"/>
  <c r="L58" i="9"/>
  <c r="L84" i="9"/>
  <c r="K68" i="9"/>
  <c r="K58" i="9"/>
  <c r="K84" i="9"/>
  <c r="H69" i="9"/>
  <c r="H84" i="9"/>
  <c r="H58" i="9"/>
  <c r="J80" i="9"/>
  <c r="J84" i="9"/>
  <c r="J58" i="9"/>
  <c r="S298" i="3"/>
  <c r="S272" i="3"/>
  <c r="Y164" i="3"/>
  <c r="Y190" i="3"/>
  <c r="AC394" i="13"/>
  <c r="AC406" i="13" s="1"/>
  <c r="DX15" i="33" s="1"/>
  <c r="W394" i="13"/>
  <c r="W406" i="13" s="1"/>
  <c r="D394" i="13"/>
  <c r="D406" i="13" s="1"/>
  <c r="N71" i="13"/>
  <c r="Q71" i="13"/>
  <c r="Q83" i="13" s="1"/>
  <c r="X71" i="13"/>
  <c r="B185" i="13"/>
  <c r="H11" i="33" s="1"/>
  <c r="B164" i="13"/>
  <c r="E71" i="13"/>
  <c r="E83" i="13" s="1"/>
  <c r="H298" i="3"/>
  <c r="H272" i="3"/>
  <c r="Z270" i="3"/>
  <c r="Z298" i="3"/>
  <c r="Z272" i="3"/>
  <c r="S64" i="9"/>
  <c r="S84" i="9"/>
  <c r="S58" i="9"/>
  <c r="I84" i="9"/>
  <c r="I58" i="9"/>
  <c r="O62" i="9"/>
  <c r="O84" i="9"/>
  <c r="O58" i="9"/>
  <c r="K270" i="3"/>
  <c r="K298" i="3"/>
  <c r="K272" i="3"/>
  <c r="AA172" i="3"/>
  <c r="AA190" i="3"/>
  <c r="AA164" i="3"/>
  <c r="X173" i="3"/>
  <c r="X190" i="3"/>
  <c r="X164" i="3"/>
  <c r="AB71" i="13"/>
  <c r="AB83" i="13" s="1"/>
  <c r="V285" i="13"/>
  <c r="V297" i="13" s="1"/>
  <c r="E285" i="13"/>
  <c r="E394" i="13"/>
  <c r="R394" i="13"/>
  <c r="R406" i="13" s="1"/>
  <c r="F394" i="13"/>
  <c r="F406" i="13" s="1"/>
  <c r="AC71" i="13"/>
  <c r="AC83" i="13" s="1"/>
  <c r="DI15" i="33" s="1"/>
  <c r="H71" i="13"/>
  <c r="H83" i="13" s="1"/>
  <c r="Y298" i="3"/>
  <c r="Y272" i="3"/>
  <c r="W298" i="3"/>
  <c r="W272" i="3"/>
  <c r="AC281" i="3"/>
  <c r="AC272" i="3"/>
  <c r="AC298" i="3"/>
  <c r="FB16" i="33" s="1"/>
  <c r="R282" i="3"/>
  <c r="R272" i="3"/>
  <c r="R298" i="3"/>
  <c r="AA65" i="9"/>
  <c r="AA58" i="9"/>
  <c r="AA84" i="9"/>
  <c r="Q65" i="9"/>
  <c r="Q58" i="9"/>
  <c r="Q84" i="9"/>
  <c r="Z68" i="9"/>
  <c r="Z58" i="9"/>
  <c r="Z84" i="9"/>
  <c r="C270" i="3"/>
  <c r="C272" i="3"/>
  <c r="C298" i="3"/>
  <c r="S173" i="3"/>
  <c r="S190" i="3"/>
  <c r="S164" i="3"/>
  <c r="W62" i="9"/>
  <c r="W84" i="9"/>
  <c r="W58" i="9"/>
  <c r="P172" i="3"/>
  <c r="P190" i="3"/>
  <c r="P164" i="3"/>
  <c r="V190" i="3"/>
  <c r="V164" i="3"/>
  <c r="B294" i="13"/>
  <c r="M12" i="33" s="1"/>
  <c r="J71" i="13"/>
  <c r="Q285" i="13"/>
  <c r="X285" i="13"/>
  <c r="M285" i="13"/>
  <c r="M297" i="13" s="1"/>
  <c r="BP15" i="33" s="1"/>
  <c r="X394" i="13"/>
  <c r="X406" i="13" s="1"/>
  <c r="X177" i="13"/>
  <c r="X189" i="13" s="1"/>
  <c r="N285" i="13"/>
  <c r="N297" i="13" s="1"/>
  <c r="K71" i="13"/>
  <c r="B71" i="13"/>
  <c r="B83" i="13" s="1"/>
  <c r="C15" i="33" s="1"/>
  <c r="V71" i="13"/>
  <c r="Y71" i="13"/>
  <c r="Y83" i="13" s="1"/>
  <c r="AA185" i="13"/>
  <c r="AA164" i="13"/>
  <c r="Q282" i="3"/>
  <c r="Q298" i="3"/>
  <c r="Q272" i="3"/>
  <c r="O298" i="3"/>
  <c r="O272" i="3"/>
  <c r="U272" i="3"/>
  <c r="U298" i="3"/>
  <c r="J282" i="3"/>
  <c r="J272" i="3"/>
  <c r="J298" i="3"/>
  <c r="Y65" i="9"/>
  <c r="Y84" i="9"/>
  <c r="Y58" i="9"/>
  <c r="AC66" i="9"/>
  <c r="AC84" i="9"/>
  <c r="EB16" i="33" s="1"/>
  <c r="AC58" i="9"/>
  <c r="N65" i="9"/>
  <c r="N84" i="9"/>
  <c r="N58" i="9"/>
  <c r="L172" i="3"/>
  <c r="L190" i="3"/>
  <c r="L164" i="3"/>
  <c r="K162" i="3"/>
  <c r="K190" i="3"/>
  <c r="K164" i="3"/>
  <c r="D298" i="3"/>
  <c r="D272" i="3"/>
  <c r="H172" i="3"/>
  <c r="H190" i="3"/>
  <c r="H164" i="3"/>
  <c r="R65" i="9"/>
  <c r="R84" i="9"/>
  <c r="R58" i="9"/>
  <c r="N172" i="3"/>
  <c r="N190" i="3"/>
  <c r="N164" i="3"/>
  <c r="AB173" i="3"/>
  <c r="AB190" i="3"/>
  <c r="AB164" i="3"/>
  <c r="J291" i="13"/>
  <c r="O289" i="13"/>
  <c r="X290" i="13"/>
  <c r="S289" i="13"/>
  <c r="O288" i="13"/>
  <c r="S288" i="13"/>
  <c r="S404" i="13"/>
  <c r="X288" i="13"/>
  <c r="K65" i="9"/>
  <c r="L56" i="9"/>
  <c r="H57" i="9"/>
  <c r="K67" i="9"/>
  <c r="I77" i="9"/>
  <c r="S66" i="9"/>
  <c r="S57" i="9"/>
  <c r="D81" i="9"/>
  <c r="S63" i="9"/>
  <c r="U46" i="9"/>
  <c r="S62" i="9"/>
  <c r="S65" i="9"/>
  <c r="S56" i="9"/>
  <c r="S68" i="9"/>
  <c r="S69" i="9"/>
  <c r="H76" i="9"/>
  <c r="K57" i="9"/>
  <c r="H65" i="9"/>
  <c r="L65" i="9"/>
  <c r="K69" i="9"/>
  <c r="H62" i="9"/>
  <c r="K64" i="9"/>
  <c r="H66" i="9"/>
  <c r="H68" i="9"/>
  <c r="K63" i="9"/>
  <c r="H64" i="9"/>
  <c r="H56" i="9"/>
  <c r="L64" i="9"/>
  <c r="L66" i="9"/>
  <c r="L62" i="9"/>
  <c r="L69" i="9"/>
  <c r="K56" i="9"/>
  <c r="H63" i="9"/>
  <c r="K66" i="9"/>
  <c r="L63" i="9"/>
  <c r="L57" i="9"/>
  <c r="M46" i="3"/>
  <c r="M473" i="3"/>
  <c r="O158" i="3"/>
  <c r="E46" i="3"/>
  <c r="O45" i="3"/>
  <c r="B474" i="3"/>
  <c r="R259" i="3"/>
  <c r="E368" i="3"/>
  <c r="C369" i="3"/>
  <c r="O369" i="3"/>
  <c r="M45" i="3"/>
  <c r="M151" i="3"/>
  <c r="E369" i="3"/>
  <c r="R152" i="3"/>
  <c r="E45" i="3"/>
  <c r="E473" i="3"/>
  <c r="E259" i="3"/>
  <c r="R45" i="3"/>
  <c r="R368" i="3"/>
  <c r="M259" i="3"/>
  <c r="X175" i="3"/>
  <c r="C46" i="3"/>
  <c r="C473" i="3"/>
  <c r="O152" i="3"/>
  <c r="M152" i="3"/>
  <c r="R369" i="3"/>
  <c r="L376" i="3"/>
  <c r="U152" i="3"/>
  <c r="U151" i="3"/>
  <c r="H473" i="3"/>
  <c r="U474" i="3"/>
  <c r="H259" i="3"/>
  <c r="U46" i="3"/>
  <c r="H152" i="3"/>
  <c r="U260" i="3"/>
  <c r="U369" i="3"/>
  <c r="H46" i="3"/>
  <c r="U473" i="3"/>
  <c r="F157" i="3"/>
  <c r="U368" i="3"/>
  <c r="H368" i="3"/>
  <c r="U259" i="3"/>
  <c r="B481" i="3"/>
  <c r="H45" i="3"/>
  <c r="H474" i="3"/>
  <c r="H369" i="3"/>
  <c r="L283" i="3"/>
  <c r="S473" i="3"/>
  <c r="P157" i="3"/>
  <c r="K169" i="3"/>
  <c r="X368" i="3"/>
  <c r="S474" i="3"/>
  <c r="S260" i="3"/>
  <c r="B174" i="3"/>
  <c r="D74" i="9"/>
  <c r="T151" i="9"/>
  <c r="Y46" i="9"/>
  <c r="AC398" i="13"/>
  <c r="DX7" i="33" s="1"/>
  <c r="V67" i="9"/>
  <c r="D62" i="9"/>
  <c r="V64" i="9"/>
  <c r="Q399" i="13"/>
  <c r="AC399" i="13"/>
  <c r="DX8" i="33" s="1"/>
  <c r="M401" i="13"/>
  <c r="BU10" i="33" s="1"/>
  <c r="T45" i="9"/>
  <c r="T259" i="9"/>
  <c r="T152" i="9"/>
  <c r="V68" i="9"/>
  <c r="D68" i="9"/>
  <c r="M400" i="13"/>
  <c r="BU9" i="33" s="1"/>
  <c r="AC404" i="13"/>
  <c r="DX13" i="33" s="1"/>
  <c r="M403" i="13"/>
  <c r="BU12" i="33" s="1"/>
  <c r="X369" i="3"/>
  <c r="S45" i="3"/>
  <c r="S368" i="3"/>
  <c r="D152" i="3"/>
  <c r="D259" i="3"/>
  <c r="I174" i="3"/>
  <c r="B163" i="3"/>
  <c r="T260" i="9"/>
  <c r="T368" i="9"/>
  <c r="T46" i="9"/>
  <c r="V80" i="9"/>
  <c r="V74" i="9"/>
  <c r="D63" i="9"/>
  <c r="H67" i="9"/>
  <c r="V56" i="9"/>
  <c r="AC397" i="13"/>
  <c r="DX6" i="33" s="1"/>
  <c r="D151" i="3"/>
  <c r="S152" i="3"/>
  <c r="T473" i="9"/>
  <c r="T369" i="9"/>
  <c r="V78" i="9"/>
  <c r="V75" i="9"/>
  <c r="V65" i="9"/>
  <c r="V62" i="9"/>
  <c r="V63" i="9"/>
  <c r="V66" i="9"/>
  <c r="S290" i="13"/>
  <c r="AC400" i="13"/>
  <c r="DX9" i="33" s="1"/>
  <c r="M404" i="13"/>
  <c r="BU13" i="33" s="1"/>
  <c r="S46" i="3"/>
  <c r="X46" i="3"/>
  <c r="S151" i="3"/>
  <c r="S369" i="3"/>
  <c r="D75" i="9"/>
  <c r="V77" i="9"/>
  <c r="V81" i="9"/>
  <c r="V76" i="9"/>
  <c r="V69" i="9"/>
  <c r="D80" i="9"/>
  <c r="D65" i="9"/>
  <c r="M397" i="13"/>
  <c r="BU6" i="33" s="1"/>
  <c r="AC259" i="3"/>
  <c r="D76" i="9"/>
  <c r="Q402" i="13"/>
  <c r="AC402" i="13"/>
  <c r="DX11" i="33" s="1"/>
  <c r="O291" i="13"/>
  <c r="O290" i="13"/>
  <c r="O295" i="13"/>
  <c r="D295" i="13"/>
  <c r="D289" i="13"/>
  <c r="D290" i="13"/>
  <c r="U80" i="9"/>
  <c r="AC152" i="9"/>
  <c r="Q46" i="3"/>
  <c r="Q152" i="3"/>
  <c r="X62" i="9"/>
  <c r="F181" i="13"/>
  <c r="T151" i="3"/>
  <c r="T152" i="3"/>
  <c r="L78" i="9"/>
  <c r="F171" i="13"/>
  <c r="R78" i="9"/>
  <c r="Q473" i="3"/>
  <c r="F175" i="13"/>
  <c r="R162" i="3"/>
  <c r="L473" i="9"/>
  <c r="L474" i="9"/>
  <c r="V368" i="3"/>
  <c r="AB277" i="3"/>
  <c r="U77" i="9"/>
  <c r="M68" i="9"/>
  <c r="W158" i="3"/>
  <c r="U376" i="3"/>
  <c r="U295" i="13"/>
  <c r="AB152" i="3"/>
  <c r="P76" i="9"/>
  <c r="I481" i="3"/>
  <c r="AB46" i="3"/>
  <c r="AB474" i="3"/>
  <c r="V474" i="3"/>
  <c r="Y259" i="3"/>
  <c r="V369" i="3"/>
  <c r="F184" i="3"/>
  <c r="G66" i="9"/>
  <c r="F169" i="13"/>
  <c r="F183" i="13"/>
  <c r="F163" i="13"/>
  <c r="E78" i="9"/>
  <c r="M293" i="3"/>
  <c r="CY11" i="33" s="1"/>
  <c r="U69" i="9"/>
  <c r="F180" i="13"/>
  <c r="Z399" i="13"/>
  <c r="F173" i="13"/>
  <c r="Y46" i="3"/>
  <c r="Y473" i="3"/>
  <c r="Y368" i="3"/>
  <c r="P75" i="9"/>
  <c r="P74" i="9"/>
  <c r="G62" i="9"/>
  <c r="U76" i="9"/>
  <c r="G63" i="9"/>
  <c r="F170" i="13"/>
  <c r="U290" i="13"/>
  <c r="U291" i="13"/>
  <c r="F185" i="13"/>
  <c r="P77" i="9"/>
  <c r="P81" i="9"/>
  <c r="U57" i="9"/>
  <c r="G64" i="9"/>
  <c r="G57" i="9"/>
  <c r="F168" i="13"/>
  <c r="P80" i="9"/>
  <c r="Y369" i="3"/>
  <c r="Y260" i="3"/>
  <c r="Y474" i="3"/>
  <c r="AB45" i="3"/>
  <c r="V259" i="3"/>
  <c r="AB369" i="3"/>
  <c r="AB259" i="3"/>
  <c r="U74" i="9"/>
  <c r="U78" i="9"/>
  <c r="U63" i="9"/>
  <c r="U64" i="9"/>
  <c r="G68" i="9"/>
  <c r="F182" i="13"/>
  <c r="Z185" i="3"/>
  <c r="AB473" i="3"/>
  <c r="AB368" i="3"/>
  <c r="Y151" i="3"/>
  <c r="AC46" i="9"/>
  <c r="P79" i="9"/>
  <c r="U62" i="9"/>
  <c r="U75" i="9"/>
  <c r="U66" i="9"/>
  <c r="G69" i="9"/>
  <c r="G56" i="9"/>
  <c r="U68" i="9"/>
  <c r="Z398" i="13"/>
  <c r="Y45" i="3"/>
  <c r="V45" i="3"/>
  <c r="AB151" i="3"/>
  <c r="AC45" i="9"/>
  <c r="U81" i="9"/>
  <c r="G76" i="9"/>
  <c r="P78" i="9"/>
  <c r="U65" i="9"/>
  <c r="W291" i="13"/>
  <c r="F187" i="13"/>
  <c r="F172" i="13"/>
  <c r="P368" i="9"/>
  <c r="Y402" i="13"/>
  <c r="K175" i="3"/>
  <c r="B267" i="3"/>
  <c r="L368" i="9"/>
  <c r="X65" i="9"/>
  <c r="E295" i="13"/>
  <c r="H292" i="13"/>
  <c r="T473" i="3"/>
  <c r="T368" i="3"/>
  <c r="R45" i="9"/>
  <c r="L259" i="9"/>
  <c r="L45" i="9"/>
  <c r="X68" i="9"/>
  <c r="X57" i="9"/>
  <c r="H288" i="13"/>
  <c r="H289" i="13"/>
  <c r="T260" i="3"/>
  <c r="T369" i="3"/>
  <c r="E283" i="3"/>
  <c r="R46" i="9"/>
  <c r="L81" i="9"/>
  <c r="E81" i="9"/>
  <c r="L152" i="9"/>
  <c r="X56" i="9"/>
  <c r="H295" i="13"/>
  <c r="T46" i="3"/>
  <c r="Q368" i="3"/>
  <c r="Q259" i="3"/>
  <c r="V294" i="3"/>
  <c r="R152" i="9"/>
  <c r="L75" i="9"/>
  <c r="X66" i="9"/>
  <c r="L398" i="13"/>
  <c r="L399" i="13"/>
  <c r="Q369" i="3"/>
  <c r="Q151" i="3"/>
  <c r="T259" i="3"/>
  <c r="R175" i="3"/>
  <c r="Q283" i="3"/>
  <c r="L76" i="9"/>
  <c r="L80" i="9"/>
  <c r="H290" i="13"/>
  <c r="F292" i="3"/>
  <c r="L151" i="9"/>
  <c r="L74" i="9"/>
  <c r="L77" i="9"/>
  <c r="L46" i="9"/>
  <c r="X64" i="9"/>
  <c r="L397" i="13"/>
  <c r="T474" i="3"/>
  <c r="Q474" i="3"/>
  <c r="Q45" i="3"/>
  <c r="U373" i="3"/>
  <c r="L260" i="9"/>
  <c r="X69" i="9"/>
  <c r="H291" i="13"/>
  <c r="R81" i="9"/>
  <c r="W398" i="13"/>
  <c r="U400" i="13"/>
  <c r="X293" i="13"/>
  <c r="H81" i="9"/>
  <c r="H78" i="9"/>
  <c r="G288" i="13"/>
  <c r="E398" i="13"/>
  <c r="G290" i="13"/>
  <c r="O292" i="13"/>
  <c r="H75" i="9"/>
  <c r="H74" i="9"/>
  <c r="H80" i="9"/>
  <c r="AA56" i="9"/>
  <c r="AA57" i="9"/>
  <c r="Q64" i="9"/>
  <c r="C295" i="13"/>
  <c r="H368" i="9"/>
  <c r="AA68" i="9"/>
  <c r="Q68" i="9"/>
  <c r="AA63" i="9"/>
  <c r="G295" i="13"/>
  <c r="H77" i="9"/>
  <c r="AA69" i="9"/>
  <c r="G291" i="13"/>
  <c r="E404" i="13"/>
  <c r="AA66" i="9"/>
  <c r="E397" i="13"/>
  <c r="E400" i="13"/>
  <c r="O293" i="13"/>
  <c r="AB74" i="9"/>
  <c r="Z64" i="9"/>
  <c r="X292" i="13"/>
  <c r="S78" i="9"/>
  <c r="R74" i="9"/>
  <c r="R66" i="9"/>
  <c r="N63" i="9"/>
  <c r="U399" i="13"/>
  <c r="W67" i="9"/>
  <c r="R77" i="9"/>
  <c r="R62" i="9"/>
  <c r="D400" i="13"/>
  <c r="W404" i="13"/>
  <c r="U401" i="13"/>
  <c r="R64" i="9"/>
  <c r="Y56" i="9"/>
  <c r="N57" i="9"/>
  <c r="N68" i="9"/>
  <c r="M288" i="13"/>
  <c r="BP6" i="33" s="1"/>
  <c r="M289" i="13"/>
  <c r="BP7" i="33" s="1"/>
  <c r="W399" i="13"/>
  <c r="D402" i="13"/>
  <c r="Y63" i="9"/>
  <c r="R56" i="9"/>
  <c r="R69" i="9"/>
  <c r="N56" i="9"/>
  <c r="U397" i="13"/>
  <c r="W397" i="13"/>
  <c r="M290" i="13"/>
  <c r="BP8" i="33" s="1"/>
  <c r="W400" i="13"/>
  <c r="M295" i="13"/>
  <c r="BP13" i="33" s="1"/>
  <c r="U404" i="13"/>
  <c r="R75" i="9"/>
  <c r="R76" i="9"/>
  <c r="N62" i="9"/>
  <c r="R57" i="9"/>
  <c r="R68" i="9"/>
  <c r="K403" i="13"/>
  <c r="Y75" i="9"/>
  <c r="N66" i="9"/>
  <c r="U398" i="13"/>
  <c r="K398" i="13"/>
  <c r="R80" i="9"/>
  <c r="D397" i="13"/>
  <c r="M291" i="13"/>
  <c r="BP9" i="33" s="1"/>
  <c r="R187" i="3"/>
  <c r="F162" i="13"/>
  <c r="F184" i="13"/>
  <c r="U402" i="13"/>
  <c r="F174" i="13"/>
  <c r="G292" i="13"/>
  <c r="E401" i="13"/>
  <c r="G294" i="13"/>
  <c r="E402" i="13"/>
  <c r="J281" i="3"/>
  <c r="N69" i="9"/>
  <c r="V281" i="3"/>
  <c r="O473" i="9"/>
  <c r="D260" i="9"/>
  <c r="H293" i="13"/>
  <c r="L373" i="3"/>
  <c r="N289" i="13"/>
  <c r="S291" i="13"/>
  <c r="S295" i="13"/>
  <c r="J283" i="3"/>
  <c r="D293" i="13"/>
  <c r="W292" i="13"/>
  <c r="S292" i="13"/>
  <c r="H373" i="3"/>
  <c r="N290" i="13"/>
  <c r="N291" i="13"/>
  <c r="N295" i="13"/>
  <c r="W401" i="13"/>
  <c r="L293" i="13"/>
  <c r="N292" i="13"/>
  <c r="M294" i="13"/>
  <c r="BP12" i="33" s="1"/>
  <c r="N288" i="13"/>
  <c r="U293" i="13"/>
  <c r="M293" i="13"/>
  <c r="BP11" i="33" s="1"/>
  <c r="S294" i="13"/>
  <c r="AB172" i="3"/>
  <c r="L173" i="3"/>
  <c r="P259" i="9"/>
  <c r="H173" i="3"/>
  <c r="D292" i="13"/>
  <c r="U292" i="13"/>
  <c r="N293" i="13"/>
  <c r="W402" i="13"/>
  <c r="K75" i="9"/>
  <c r="K174" i="3"/>
  <c r="K173" i="3"/>
  <c r="D474" i="9"/>
  <c r="AA398" i="13"/>
  <c r="H402" i="13"/>
  <c r="H398" i="13"/>
  <c r="H400" i="13"/>
  <c r="T400" i="13"/>
  <c r="AA402" i="13"/>
  <c r="J173" i="3"/>
  <c r="AA399" i="13"/>
  <c r="AA400" i="13"/>
  <c r="AA404" i="13"/>
  <c r="H401" i="13"/>
  <c r="K169" i="13"/>
  <c r="H404" i="13"/>
  <c r="H403" i="13"/>
  <c r="AA403" i="13"/>
  <c r="D152" i="9"/>
  <c r="J398" i="13"/>
  <c r="S399" i="13"/>
  <c r="J397" i="13"/>
  <c r="S398" i="13"/>
  <c r="J401" i="13"/>
  <c r="S403" i="13"/>
  <c r="S397" i="13"/>
  <c r="S400" i="13"/>
  <c r="S401" i="13"/>
  <c r="N402" i="13"/>
  <c r="X291" i="13"/>
  <c r="U289" i="13"/>
  <c r="D291" i="13"/>
  <c r="X294" i="13"/>
  <c r="U288" i="13"/>
  <c r="AC288" i="13"/>
  <c r="DS6" i="33" s="1"/>
  <c r="AC294" i="13"/>
  <c r="DS12" i="33" s="1"/>
  <c r="D288" i="13"/>
  <c r="F295" i="13"/>
  <c r="AC292" i="13"/>
  <c r="DS10" i="33" s="1"/>
  <c r="F290" i="13"/>
  <c r="AC291" i="13"/>
  <c r="DS9" i="33" s="1"/>
  <c r="X289" i="13"/>
  <c r="AC290" i="13"/>
  <c r="DS8" i="33" s="1"/>
  <c r="F288" i="13"/>
  <c r="AC293" i="13"/>
  <c r="DS11" i="33" s="1"/>
  <c r="AC289" i="13"/>
  <c r="DS7" i="33" s="1"/>
  <c r="F289" i="13"/>
  <c r="F292" i="13"/>
  <c r="F291" i="13"/>
  <c r="E289" i="13"/>
  <c r="K289" i="13"/>
  <c r="Y293" i="13"/>
  <c r="Y294" i="13"/>
  <c r="K288" i="13"/>
  <c r="K290" i="13"/>
  <c r="E291" i="13"/>
  <c r="Y292" i="13"/>
  <c r="Y290" i="13"/>
  <c r="K291" i="13"/>
  <c r="Y288" i="13"/>
  <c r="Y291" i="13"/>
  <c r="Y295" i="13"/>
  <c r="K295" i="13"/>
  <c r="P473" i="9"/>
  <c r="AB291" i="3"/>
  <c r="R173" i="3"/>
  <c r="N163" i="3"/>
  <c r="X172" i="3"/>
  <c r="O368" i="9"/>
  <c r="S157" i="3"/>
  <c r="T157" i="3"/>
  <c r="T374" i="3"/>
  <c r="D473" i="9"/>
  <c r="D45" i="9"/>
  <c r="D151" i="9"/>
  <c r="L281" i="3"/>
  <c r="E74" i="9"/>
  <c r="V282" i="3"/>
  <c r="V280" i="3"/>
  <c r="L282" i="3"/>
  <c r="T289" i="13"/>
  <c r="B187" i="13"/>
  <c r="H13" i="33" s="1"/>
  <c r="T293" i="13"/>
  <c r="T292" i="13"/>
  <c r="T290" i="13"/>
  <c r="U163" i="13"/>
  <c r="U162" i="13"/>
  <c r="T288" i="13"/>
  <c r="T291" i="13"/>
  <c r="B184" i="13"/>
  <c r="H10" i="33" s="1"/>
  <c r="T294" i="13"/>
  <c r="Q270" i="3"/>
  <c r="G281" i="3"/>
  <c r="J270" i="3"/>
  <c r="P152" i="9"/>
  <c r="P45" i="9"/>
  <c r="P151" i="9"/>
  <c r="K172" i="3"/>
  <c r="P260" i="9"/>
  <c r="N175" i="3"/>
  <c r="V175" i="3"/>
  <c r="N281" i="3"/>
  <c r="O152" i="9"/>
  <c r="O259" i="9"/>
  <c r="G259" i="9"/>
  <c r="G474" i="9"/>
  <c r="O369" i="9"/>
  <c r="AA291" i="3"/>
  <c r="Y76" i="9"/>
  <c r="Y78" i="9"/>
  <c r="Z65" i="9"/>
  <c r="L294" i="13"/>
  <c r="E281" i="3"/>
  <c r="G369" i="9"/>
  <c r="Z67" i="9"/>
  <c r="Y81" i="9"/>
  <c r="Y64" i="9"/>
  <c r="L288" i="13"/>
  <c r="P289" i="13"/>
  <c r="L289" i="13"/>
  <c r="L290" i="13"/>
  <c r="Z63" i="9"/>
  <c r="Y66" i="9"/>
  <c r="G78" i="9"/>
  <c r="P291" i="13"/>
  <c r="P292" i="13"/>
  <c r="G75" i="9"/>
  <c r="Y80" i="9"/>
  <c r="G74" i="9"/>
  <c r="Z62" i="9"/>
  <c r="Z66" i="9"/>
  <c r="Y62" i="9"/>
  <c r="P288" i="13"/>
  <c r="N398" i="13"/>
  <c r="L291" i="13"/>
  <c r="Y77" i="9"/>
  <c r="Y57" i="9"/>
  <c r="Y69" i="9"/>
  <c r="P293" i="13"/>
  <c r="Z69" i="9"/>
  <c r="Y74" i="9"/>
  <c r="G80" i="9"/>
  <c r="I78" i="9"/>
  <c r="Z56" i="9"/>
  <c r="X398" i="13"/>
  <c r="P290" i="13"/>
  <c r="L295" i="13"/>
  <c r="G81" i="9"/>
  <c r="G46" i="9"/>
  <c r="G77" i="9"/>
  <c r="Y68" i="9"/>
  <c r="Z57" i="9"/>
  <c r="R290" i="13"/>
  <c r="P295" i="13"/>
  <c r="N403" i="13"/>
  <c r="B169" i="3"/>
  <c r="B172" i="3"/>
  <c r="Y474" i="9"/>
  <c r="Y369" i="9"/>
  <c r="Y45" i="9"/>
  <c r="Q185" i="13"/>
  <c r="Y152" i="9"/>
  <c r="Y259" i="9"/>
  <c r="C373" i="3"/>
  <c r="Y260" i="9"/>
  <c r="G260" i="9"/>
  <c r="U156" i="3"/>
  <c r="L156" i="3"/>
  <c r="Y368" i="9"/>
  <c r="P369" i="9"/>
  <c r="Y473" i="9"/>
  <c r="U67" i="9"/>
  <c r="L79" i="9"/>
  <c r="U79" i="9"/>
  <c r="N67" i="9"/>
  <c r="G79" i="9"/>
  <c r="G67" i="9"/>
  <c r="Q62" i="9"/>
  <c r="Q56" i="9"/>
  <c r="E68" i="9"/>
  <c r="Q81" i="9"/>
  <c r="E76" i="9"/>
  <c r="T79" i="9"/>
  <c r="E57" i="9"/>
  <c r="Q66" i="9"/>
  <c r="E56" i="9"/>
  <c r="E77" i="9"/>
  <c r="Q69" i="9"/>
  <c r="E75" i="9"/>
  <c r="E80" i="9"/>
  <c r="Q57" i="9"/>
  <c r="E63" i="9"/>
  <c r="E64" i="9"/>
  <c r="T67" i="9"/>
  <c r="E69" i="9"/>
  <c r="Q63" i="9"/>
  <c r="B259" i="9"/>
  <c r="M46" i="9"/>
  <c r="N78" i="9"/>
  <c r="B45" i="9"/>
  <c r="B151" i="9"/>
  <c r="B260" i="9"/>
  <c r="C74" i="9"/>
  <c r="M474" i="9"/>
  <c r="W74" i="9"/>
  <c r="AA67" i="9"/>
  <c r="Y79" i="9"/>
  <c r="Y67" i="9"/>
  <c r="AA79" i="9"/>
  <c r="L67" i="9"/>
  <c r="O74" i="9"/>
  <c r="AC79" i="9"/>
  <c r="EB11" i="33" s="1"/>
  <c r="O78" i="9"/>
  <c r="O77" i="9"/>
  <c r="AC81" i="9"/>
  <c r="EB13" i="33" s="1"/>
  <c r="B68" i="9"/>
  <c r="O63" i="9"/>
  <c r="O65" i="9"/>
  <c r="O67" i="9"/>
  <c r="B65" i="9"/>
  <c r="B57" i="9"/>
  <c r="B66" i="9"/>
  <c r="O81" i="9"/>
  <c r="O76" i="9"/>
  <c r="O80" i="9"/>
  <c r="O69" i="9"/>
  <c r="AC69" i="9"/>
  <c r="AC57" i="9"/>
  <c r="O57" i="9"/>
  <c r="B63" i="9"/>
  <c r="O79" i="9"/>
  <c r="O75" i="9"/>
  <c r="B67" i="9"/>
  <c r="B56" i="9"/>
  <c r="AC56" i="9"/>
  <c r="B62" i="9"/>
  <c r="B64" i="9"/>
  <c r="M45" i="9"/>
  <c r="M151" i="9"/>
  <c r="C259" i="9"/>
  <c r="N260" i="9"/>
  <c r="N152" i="9"/>
  <c r="M473" i="9"/>
  <c r="N474" i="9"/>
  <c r="M152" i="9"/>
  <c r="AB368" i="9"/>
  <c r="M369" i="9"/>
  <c r="M75" i="9"/>
  <c r="BY7" i="33" s="1"/>
  <c r="F474" i="9"/>
  <c r="M259" i="9"/>
  <c r="M81" i="9"/>
  <c r="BY13" i="33" s="1"/>
  <c r="C75" i="9"/>
  <c r="B77" i="9"/>
  <c r="V9" i="33" s="1"/>
  <c r="B78" i="9"/>
  <c r="V10" i="33" s="1"/>
  <c r="B46" i="9"/>
  <c r="Q77" i="9"/>
  <c r="B152" i="9"/>
  <c r="Q151" i="9"/>
  <c r="B368" i="9"/>
  <c r="B74" i="9"/>
  <c r="V6" i="33" s="1"/>
  <c r="B76" i="9"/>
  <c r="V8" i="33" s="1"/>
  <c r="B81" i="9"/>
  <c r="V13" i="33" s="1"/>
  <c r="K77" i="9"/>
  <c r="B369" i="9"/>
  <c r="Q74" i="9"/>
  <c r="C76" i="9"/>
  <c r="C81" i="9"/>
  <c r="B474" i="9"/>
  <c r="Q45" i="9"/>
  <c r="Q75" i="9"/>
  <c r="Q80" i="9"/>
  <c r="C46" i="9"/>
  <c r="W259" i="9"/>
  <c r="Q46" i="9"/>
  <c r="C77" i="9"/>
  <c r="B75" i="9"/>
  <c r="V7" i="33" s="1"/>
  <c r="Q76" i="9"/>
  <c r="M260" i="9"/>
  <c r="Q78" i="9"/>
  <c r="C474" i="9"/>
  <c r="W368" i="9"/>
  <c r="N77" i="9"/>
  <c r="N259" i="9"/>
  <c r="B79" i="9"/>
  <c r="V11" i="33" s="1"/>
  <c r="N473" i="9"/>
  <c r="C78" i="9"/>
  <c r="X79" i="9"/>
  <c r="Q67" i="9"/>
  <c r="X67" i="9"/>
  <c r="E67" i="9"/>
  <c r="Q79" i="9"/>
  <c r="E79" i="9"/>
  <c r="C67" i="9"/>
  <c r="C79" i="9"/>
  <c r="I79" i="9"/>
  <c r="I67" i="9"/>
  <c r="R67" i="9"/>
  <c r="D79" i="9"/>
  <c r="R79" i="9"/>
  <c r="M67" i="9"/>
  <c r="V79" i="9"/>
  <c r="T360" i="9"/>
  <c r="U360" i="9"/>
  <c r="D360" i="9"/>
  <c r="O360" i="9"/>
  <c r="F360" i="9"/>
  <c r="Q360" i="9"/>
  <c r="I360" i="9"/>
  <c r="W360" i="9"/>
  <c r="K360" i="9"/>
  <c r="M360" i="9"/>
  <c r="E360" i="9"/>
  <c r="G360" i="9"/>
  <c r="P360" i="9"/>
  <c r="Z360" i="9"/>
  <c r="R360" i="9"/>
  <c r="J360" i="9"/>
  <c r="AC360" i="9"/>
  <c r="L360" i="9"/>
  <c r="H360" i="9"/>
  <c r="V360" i="9"/>
  <c r="N360" i="9"/>
  <c r="Y360" i="9"/>
  <c r="AA360" i="9"/>
  <c r="S360" i="9"/>
  <c r="AB360" i="9"/>
  <c r="X360" i="9"/>
  <c r="B360" i="9"/>
  <c r="C360" i="9"/>
  <c r="T465" i="9"/>
  <c r="H465" i="9"/>
  <c r="I465" i="9"/>
  <c r="J465" i="9"/>
  <c r="G465" i="9"/>
  <c r="P465" i="9"/>
  <c r="Q465" i="9"/>
  <c r="R465" i="9"/>
  <c r="C465" i="9"/>
  <c r="E465" i="9"/>
  <c r="F465" i="9"/>
  <c r="O465" i="9"/>
  <c r="X465" i="9"/>
  <c r="Y465" i="9"/>
  <c r="Z465" i="9"/>
  <c r="K465" i="9"/>
  <c r="D465" i="9"/>
  <c r="B465" i="9"/>
  <c r="L465" i="9"/>
  <c r="M465" i="9"/>
  <c r="N465" i="9"/>
  <c r="W465" i="9"/>
  <c r="S465" i="9"/>
  <c r="AB465" i="9"/>
  <c r="U465" i="9"/>
  <c r="V465" i="9"/>
  <c r="AC465" i="9"/>
  <c r="AA465" i="9"/>
  <c r="S67" i="9"/>
  <c r="W143" i="9"/>
  <c r="X143" i="9"/>
  <c r="J143" i="9"/>
  <c r="P143" i="9"/>
  <c r="C143" i="9"/>
  <c r="E143" i="9"/>
  <c r="O143" i="9"/>
  <c r="AA143" i="9"/>
  <c r="G143" i="9"/>
  <c r="V143" i="9"/>
  <c r="F143" i="9"/>
  <c r="R143" i="9"/>
  <c r="D143" i="9"/>
  <c r="T143" i="9"/>
  <c r="I143" i="9"/>
  <c r="AC143" i="9"/>
  <c r="K143" i="9"/>
  <c r="Z143" i="9"/>
  <c r="N143" i="9"/>
  <c r="Y143" i="9"/>
  <c r="U143" i="9"/>
  <c r="B143" i="9"/>
  <c r="Q143" i="9"/>
  <c r="L143" i="9"/>
  <c r="M143" i="9"/>
  <c r="AB143" i="9"/>
  <c r="H143" i="9"/>
  <c r="S143" i="9"/>
  <c r="AC251" i="9"/>
  <c r="C251" i="9"/>
  <c r="O251" i="9"/>
  <c r="R251" i="9"/>
  <c r="AB251" i="9"/>
  <c r="Y251" i="9"/>
  <c r="G251" i="9"/>
  <c r="Z251" i="9"/>
  <c r="T251" i="9"/>
  <c r="Q251" i="9"/>
  <c r="V251" i="9"/>
  <c r="L251" i="9"/>
  <c r="I251" i="9"/>
  <c r="N251" i="9"/>
  <c r="K251" i="9"/>
  <c r="E251" i="9"/>
  <c r="D251" i="9"/>
  <c r="X251" i="9"/>
  <c r="F251" i="9"/>
  <c r="W251" i="9"/>
  <c r="U251" i="9"/>
  <c r="J251" i="9"/>
  <c r="M251" i="9"/>
  <c r="AA251" i="9"/>
  <c r="P251" i="9"/>
  <c r="B251" i="9"/>
  <c r="S251" i="9"/>
  <c r="H251" i="9"/>
  <c r="B478" i="3"/>
  <c r="W478" i="3"/>
  <c r="P478" i="3"/>
  <c r="J374" i="3"/>
  <c r="D373" i="3"/>
  <c r="AC376" i="3"/>
  <c r="V277" i="3"/>
  <c r="J479" i="3"/>
  <c r="Z157" i="3"/>
  <c r="AC373" i="3"/>
  <c r="O294" i="3"/>
  <c r="T295" i="3"/>
  <c r="K271" i="3"/>
  <c r="Z267" i="3"/>
  <c r="J271" i="3"/>
  <c r="C282" i="3"/>
  <c r="R281" i="3"/>
  <c r="G270" i="3"/>
  <c r="C271" i="3"/>
  <c r="C281" i="3"/>
  <c r="R270" i="3"/>
  <c r="Z294" i="3"/>
  <c r="E270" i="3"/>
  <c r="R283" i="3"/>
  <c r="Q295" i="3"/>
  <c r="Q281" i="3"/>
  <c r="B290" i="3"/>
  <c r="AV8" i="33" s="1"/>
  <c r="H283" i="3"/>
  <c r="Q280" i="3"/>
  <c r="K282" i="3"/>
  <c r="AC294" i="3"/>
  <c r="FB12" i="33" s="1"/>
  <c r="Q277" i="3"/>
  <c r="AC271" i="3"/>
  <c r="K281" i="3"/>
  <c r="U294" i="3"/>
  <c r="R271" i="3"/>
  <c r="AB271" i="3"/>
  <c r="V283" i="3"/>
  <c r="R280" i="3"/>
  <c r="K280" i="3"/>
  <c r="C280" i="3"/>
  <c r="R267" i="3"/>
  <c r="X264" i="3"/>
  <c r="R278" i="3"/>
  <c r="C290" i="3"/>
  <c r="R288" i="3"/>
  <c r="Y264" i="3"/>
  <c r="E264" i="3"/>
  <c r="R276" i="3"/>
  <c r="N173" i="3"/>
  <c r="N162" i="3"/>
  <c r="Q172" i="3"/>
  <c r="V172" i="3"/>
  <c r="V163" i="3"/>
  <c r="Q175" i="3"/>
  <c r="N186" i="3"/>
  <c r="G157" i="3"/>
  <c r="AC156" i="3"/>
  <c r="T156" i="3"/>
  <c r="V174" i="3"/>
  <c r="C174" i="3"/>
  <c r="Y162" i="3"/>
  <c r="C173" i="3"/>
  <c r="C172" i="3"/>
  <c r="Q174" i="3"/>
  <c r="V173" i="3"/>
  <c r="C163" i="3"/>
  <c r="H157" i="3"/>
  <c r="H186" i="3"/>
  <c r="O157" i="3"/>
  <c r="E156" i="3"/>
  <c r="N168" i="3"/>
  <c r="F159" i="3"/>
  <c r="G159" i="3"/>
  <c r="AC474" i="3"/>
  <c r="P474" i="3"/>
  <c r="C259" i="3"/>
  <c r="C152" i="3"/>
  <c r="K152" i="3"/>
  <c r="P45" i="3"/>
  <c r="C474" i="3"/>
  <c r="AC151" i="3"/>
  <c r="C151" i="3"/>
  <c r="K260" i="3"/>
  <c r="P151" i="3"/>
  <c r="O46" i="3"/>
  <c r="C368" i="3"/>
  <c r="O473" i="3"/>
  <c r="AC45" i="3"/>
  <c r="C260" i="3"/>
  <c r="P368" i="3"/>
  <c r="AC260" i="3"/>
  <c r="P259" i="3"/>
  <c r="K473" i="3"/>
  <c r="O259" i="3"/>
  <c r="AC473" i="3"/>
  <c r="P260" i="3"/>
  <c r="O151" i="3"/>
  <c r="P46" i="3"/>
  <c r="P369" i="3"/>
  <c r="O368" i="3"/>
  <c r="AC368" i="3"/>
  <c r="AC46" i="3"/>
  <c r="O260" i="3"/>
  <c r="AC152" i="3"/>
  <c r="K46" i="3"/>
  <c r="K368" i="3"/>
  <c r="K474" i="3"/>
  <c r="W260" i="3"/>
  <c r="W368" i="3"/>
  <c r="K369" i="3"/>
  <c r="W46" i="3"/>
  <c r="B259" i="3"/>
  <c r="B368" i="3"/>
  <c r="B152" i="3"/>
  <c r="W259" i="3"/>
  <c r="B45" i="3"/>
  <c r="W45" i="3"/>
  <c r="W473" i="3"/>
  <c r="B369" i="3"/>
  <c r="B46" i="3"/>
  <c r="W369" i="3"/>
  <c r="K259" i="3"/>
  <c r="W152" i="3"/>
  <c r="B151" i="3"/>
  <c r="B260" i="3"/>
  <c r="K45" i="3"/>
  <c r="W151" i="3"/>
  <c r="Z369" i="3"/>
  <c r="AA45" i="3"/>
  <c r="N152" i="3"/>
  <c r="N45" i="3"/>
  <c r="AA46" i="3"/>
  <c r="Z368" i="3"/>
  <c r="V473" i="3"/>
  <c r="N474" i="3"/>
  <c r="V260" i="3"/>
  <c r="X152" i="3"/>
  <c r="D260" i="3"/>
  <c r="Z151" i="3"/>
  <c r="N368" i="3"/>
  <c r="N259" i="3"/>
  <c r="X151" i="3"/>
  <c r="D46" i="3"/>
  <c r="D474" i="3"/>
  <c r="N473" i="3"/>
  <c r="D473" i="3"/>
  <c r="N260" i="3"/>
  <c r="AA152" i="3"/>
  <c r="X259" i="3"/>
  <c r="N369" i="3"/>
  <c r="AA369" i="3"/>
  <c r="D368" i="3"/>
  <c r="X260" i="3"/>
  <c r="V151" i="3"/>
  <c r="V46" i="3"/>
  <c r="X45" i="3"/>
  <c r="Z46" i="3"/>
  <c r="AA368" i="3"/>
  <c r="X473" i="3"/>
  <c r="Z473" i="3"/>
  <c r="AA259" i="3"/>
  <c r="Z152" i="3"/>
  <c r="D369" i="3"/>
  <c r="N151" i="3"/>
  <c r="Z259" i="3"/>
  <c r="Z260" i="3"/>
  <c r="Z474" i="3"/>
  <c r="AA473" i="3"/>
  <c r="AA474" i="3"/>
  <c r="AB171" i="3"/>
  <c r="Q171" i="3"/>
  <c r="L183" i="3"/>
  <c r="F158" i="3"/>
  <c r="O159" i="3"/>
  <c r="L170" i="3"/>
  <c r="D171" i="3"/>
  <c r="X169" i="3"/>
  <c r="L478" i="3"/>
  <c r="R277" i="3"/>
  <c r="U374" i="3"/>
  <c r="F156" i="3"/>
  <c r="W264" i="3"/>
  <c r="Z479" i="3"/>
  <c r="W156" i="3"/>
  <c r="Y478" i="3"/>
  <c r="AB373" i="3"/>
  <c r="N157" i="3"/>
  <c r="C374" i="3"/>
  <c r="B479" i="3"/>
  <c r="O156" i="3"/>
  <c r="J157" i="3"/>
  <c r="X478" i="3"/>
  <c r="B264" i="3"/>
  <c r="G156" i="3"/>
  <c r="Q264" i="3"/>
  <c r="G277" i="3"/>
  <c r="C264" i="3"/>
  <c r="Q373" i="3"/>
  <c r="C157" i="3"/>
  <c r="AA478" i="3"/>
  <c r="Y479" i="3"/>
  <c r="I169" i="3"/>
  <c r="L374" i="3"/>
  <c r="AC374" i="3"/>
  <c r="V157" i="3"/>
  <c r="AB163" i="3"/>
  <c r="AB187" i="3"/>
  <c r="L175" i="3"/>
  <c r="K283" i="3"/>
  <c r="J175" i="3"/>
  <c r="J187" i="3"/>
  <c r="I295" i="3"/>
  <c r="AA187" i="3"/>
  <c r="Q163" i="3"/>
  <c r="H175" i="3"/>
  <c r="S187" i="3"/>
  <c r="E271" i="3"/>
  <c r="AB175" i="3"/>
  <c r="Q271" i="3"/>
  <c r="K163" i="3"/>
  <c r="C175" i="3"/>
  <c r="I283" i="3"/>
  <c r="AA283" i="3"/>
  <c r="L163" i="3"/>
  <c r="R163" i="3"/>
  <c r="V271" i="3"/>
  <c r="L271" i="3"/>
  <c r="C283" i="3"/>
  <c r="X163" i="3"/>
  <c r="W283" i="3"/>
  <c r="Y175" i="3"/>
  <c r="B175" i="3"/>
  <c r="H295" i="3"/>
  <c r="Y295" i="3"/>
  <c r="O271" i="3"/>
  <c r="B187" i="3"/>
  <c r="AS13" i="33" s="1"/>
  <c r="V186" i="3"/>
  <c r="E280" i="3"/>
  <c r="L280" i="3"/>
  <c r="V168" i="3"/>
  <c r="V170" i="3"/>
  <c r="N170" i="3"/>
  <c r="V159" i="3"/>
  <c r="K290" i="3"/>
  <c r="T264" i="3"/>
  <c r="P373" i="3"/>
  <c r="X373" i="3"/>
  <c r="V158" i="3"/>
  <c r="V156" i="3"/>
  <c r="R264" i="3"/>
  <c r="N159" i="3"/>
  <c r="N156" i="3"/>
  <c r="K183" i="3"/>
  <c r="F264" i="3"/>
  <c r="E373" i="3"/>
  <c r="M373" i="3"/>
  <c r="V169" i="3"/>
  <c r="N169" i="3"/>
  <c r="R265" i="3"/>
  <c r="N158" i="3"/>
  <c r="Y481" i="3"/>
  <c r="V171" i="3"/>
  <c r="N171" i="3"/>
  <c r="D156" i="3"/>
  <c r="Z156" i="3"/>
  <c r="B265" i="3"/>
  <c r="J289" i="3"/>
  <c r="J277" i="3"/>
  <c r="X182" i="3"/>
  <c r="J276" i="3"/>
  <c r="W159" i="3"/>
  <c r="J267" i="3"/>
  <c r="W157" i="3"/>
  <c r="B480" i="3"/>
  <c r="M264" i="3"/>
  <c r="K264" i="3"/>
  <c r="J278" i="3"/>
  <c r="J264" i="3"/>
  <c r="J265" i="3"/>
  <c r="B182" i="13"/>
  <c r="H8" i="33" s="1"/>
  <c r="B171" i="13"/>
  <c r="B162" i="13"/>
  <c r="AB281" i="3"/>
  <c r="B172" i="13"/>
  <c r="B174" i="13"/>
  <c r="AB270" i="3"/>
  <c r="B181" i="13"/>
  <c r="H7" i="33" s="1"/>
  <c r="AB283" i="3"/>
  <c r="S79" i="9"/>
  <c r="S76" i="9"/>
  <c r="S77" i="9"/>
  <c r="B169" i="13"/>
  <c r="AB280" i="3"/>
  <c r="S81" i="9"/>
  <c r="S75" i="9"/>
  <c r="B168" i="13"/>
  <c r="B180" i="13"/>
  <c r="H6" i="33" s="1"/>
  <c r="B163" i="13"/>
  <c r="B173" i="13"/>
  <c r="B170" i="13"/>
  <c r="B183" i="13"/>
  <c r="H9" i="33" s="1"/>
  <c r="B175" i="13"/>
  <c r="D259" i="9"/>
  <c r="P474" i="9"/>
  <c r="I478" i="3"/>
  <c r="I479" i="3"/>
  <c r="Z264" i="3"/>
  <c r="Z265" i="3"/>
  <c r="P264" i="3"/>
  <c r="Q478" i="3"/>
  <c r="Q479" i="3"/>
  <c r="M156" i="3"/>
  <c r="I264" i="3"/>
  <c r="J280" i="3"/>
  <c r="B162" i="3"/>
  <c r="N174" i="3"/>
  <c r="AB162" i="3"/>
  <c r="X174" i="3"/>
  <c r="V162" i="3"/>
  <c r="J162" i="3"/>
  <c r="R174" i="3"/>
  <c r="L162" i="3"/>
  <c r="Q162" i="3"/>
  <c r="H162" i="3"/>
  <c r="F373" i="3"/>
  <c r="G373" i="3"/>
  <c r="N373" i="3"/>
  <c r="V373" i="3"/>
  <c r="Q265" i="3"/>
  <c r="C169" i="3"/>
  <c r="K171" i="3"/>
  <c r="AC375" i="3"/>
  <c r="X171" i="3"/>
  <c r="D376" i="3"/>
  <c r="Y266" i="3"/>
  <c r="Q182" i="3"/>
  <c r="I373" i="3"/>
  <c r="K373" i="3"/>
  <c r="E478" i="3"/>
  <c r="T478" i="3"/>
  <c r="J478" i="3"/>
  <c r="K481" i="3"/>
  <c r="Z481" i="3"/>
  <c r="S376" i="3"/>
  <c r="P481" i="3"/>
  <c r="W481" i="3"/>
  <c r="F267" i="3"/>
  <c r="AB267" i="3"/>
  <c r="X157" i="3"/>
  <c r="B373" i="3"/>
  <c r="F480" i="3"/>
  <c r="K157" i="3"/>
  <c r="Q374" i="3"/>
  <c r="Y374" i="3"/>
  <c r="F479" i="3"/>
  <c r="AC479" i="3"/>
  <c r="S374" i="3"/>
  <c r="T479" i="3"/>
  <c r="K265" i="3"/>
  <c r="B374" i="3"/>
  <c r="AB374" i="3"/>
  <c r="L290" i="3"/>
  <c r="E158" i="3"/>
  <c r="E159" i="3"/>
  <c r="AB156" i="3"/>
  <c r="C156" i="3"/>
  <c r="R158" i="3"/>
  <c r="R159" i="3"/>
  <c r="I156" i="3"/>
  <c r="U264" i="3"/>
  <c r="S264" i="3"/>
  <c r="R373" i="3"/>
  <c r="T373" i="3"/>
  <c r="M478" i="3"/>
  <c r="R478" i="3"/>
  <c r="S481" i="3"/>
  <c r="AA376" i="3"/>
  <c r="X481" i="3"/>
  <c r="G267" i="3"/>
  <c r="N267" i="3"/>
  <c r="B376" i="3"/>
  <c r="D481" i="3"/>
  <c r="Q278" i="3"/>
  <c r="J171" i="3"/>
  <c r="C278" i="3"/>
  <c r="L171" i="3"/>
  <c r="P169" i="3"/>
  <c r="I170" i="3"/>
  <c r="H479" i="3"/>
  <c r="G479" i="3"/>
  <c r="N479" i="3"/>
  <c r="E265" i="3"/>
  <c r="AA374" i="3"/>
  <c r="AB479" i="3"/>
  <c r="S265" i="3"/>
  <c r="V266" i="3"/>
  <c r="R479" i="3"/>
  <c r="J480" i="3"/>
  <c r="E267" i="3"/>
  <c r="G266" i="3"/>
  <c r="S158" i="3"/>
  <c r="S159" i="3"/>
  <c r="X159" i="3"/>
  <c r="X158" i="3"/>
  <c r="B158" i="3"/>
  <c r="B159" i="3"/>
  <c r="H156" i="3"/>
  <c r="W373" i="3"/>
  <c r="C481" i="3"/>
  <c r="R481" i="3"/>
  <c r="K376" i="3"/>
  <c r="Y376" i="3"/>
  <c r="H481" i="3"/>
  <c r="O481" i="3"/>
  <c r="AC481" i="3"/>
  <c r="T267" i="3"/>
  <c r="T376" i="3"/>
  <c r="E279" i="3"/>
  <c r="AB169" i="3"/>
  <c r="T278" i="3"/>
  <c r="C277" i="3"/>
  <c r="B171" i="3"/>
  <c r="C171" i="3"/>
  <c r="R169" i="3"/>
  <c r="H169" i="3"/>
  <c r="H277" i="3"/>
  <c r="AC279" i="3"/>
  <c r="H374" i="3"/>
  <c r="P374" i="3"/>
  <c r="X374" i="3"/>
  <c r="U479" i="3"/>
  <c r="K374" i="3"/>
  <c r="L479" i="3"/>
  <c r="C265" i="3"/>
  <c r="R374" i="3"/>
  <c r="R157" i="3"/>
  <c r="D157" i="3"/>
  <c r="I265" i="3"/>
  <c r="AB157" i="3"/>
  <c r="V375" i="3"/>
  <c r="T375" i="3"/>
  <c r="AB375" i="3"/>
  <c r="Q266" i="3"/>
  <c r="AA159" i="3"/>
  <c r="AA158" i="3"/>
  <c r="K158" i="3"/>
  <c r="K159" i="3"/>
  <c r="Y159" i="3"/>
  <c r="Y158" i="3"/>
  <c r="AB264" i="3"/>
  <c r="Y373" i="3"/>
  <c r="H478" i="3"/>
  <c r="O478" i="3"/>
  <c r="V478" i="3"/>
  <c r="D478" i="3"/>
  <c r="R376" i="3"/>
  <c r="J481" i="3"/>
  <c r="P376" i="3"/>
  <c r="X376" i="3"/>
  <c r="G481" i="3"/>
  <c r="U481" i="3"/>
  <c r="L267" i="3"/>
  <c r="J376" i="3"/>
  <c r="J170" i="3"/>
  <c r="S170" i="3"/>
  <c r="R171" i="3"/>
  <c r="H171" i="3"/>
  <c r="AB478" i="3"/>
  <c r="W265" i="3"/>
  <c r="G374" i="3"/>
  <c r="O374" i="3"/>
  <c r="M479" i="3"/>
  <c r="D479" i="3"/>
  <c r="AA479" i="3"/>
  <c r="I374" i="3"/>
  <c r="AB266" i="3"/>
  <c r="Y157" i="3"/>
  <c r="V481" i="3"/>
  <c r="M375" i="3"/>
  <c r="AB158" i="3"/>
  <c r="AB159" i="3"/>
  <c r="X156" i="3"/>
  <c r="C158" i="3"/>
  <c r="C159" i="3"/>
  <c r="R156" i="3"/>
  <c r="Q159" i="3"/>
  <c r="Q158" i="3"/>
  <c r="H264" i="3"/>
  <c r="O264" i="3"/>
  <c r="V264" i="3"/>
  <c r="O373" i="3"/>
  <c r="G478" i="3"/>
  <c r="N478" i="3"/>
  <c r="I376" i="3"/>
  <c r="Y267" i="3"/>
  <c r="G376" i="3"/>
  <c r="O376" i="3"/>
  <c r="W376" i="3"/>
  <c r="M481" i="3"/>
  <c r="D267" i="3"/>
  <c r="AA267" i="3"/>
  <c r="AB278" i="3"/>
  <c r="Q170" i="3"/>
  <c r="K170" i="3"/>
  <c r="AA373" i="3"/>
  <c r="O265" i="3"/>
  <c r="V265" i="3"/>
  <c r="F374" i="3"/>
  <c r="E479" i="3"/>
  <c r="AB265" i="3"/>
  <c r="V374" i="3"/>
  <c r="S479" i="3"/>
  <c r="X265" i="3"/>
  <c r="B157" i="3"/>
  <c r="AC266" i="3"/>
  <c r="Q157" i="3"/>
  <c r="N481" i="3"/>
  <c r="J375" i="3"/>
  <c r="AC158" i="3"/>
  <c r="AC159" i="3"/>
  <c r="T158" i="3"/>
  <c r="T159" i="3"/>
  <c r="AA156" i="3"/>
  <c r="J156" i="3"/>
  <c r="I159" i="3"/>
  <c r="I158" i="3"/>
  <c r="G264" i="3"/>
  <c r="N264" i="3"/>
  <c r="L264" i="3"/>
  <c r="F478" i="3"/>
  <c r="S478" i="3"/>
  <c r="Z376" i="3"/>
  <c r="Q267" i="3"/>
  <c r="X267" i="3"/>
  <c r="F376" i="3"/>
  <c r="N376" i="3"/>
  <c r="E481" i="3"/>
  <c r="AB481" i="3"/>
  <c r="S267" i="3"/>
  <c r="AB376" i="3"/>
  <c r="K278" i="3"/>
  <c r="B170" i="3"/>
  <c r="C170" i="3"/>
  <c r="X170" i="3"/>
  <c r="D169" i="3"/>
  <c r="J373" i="3"/>
  <c r="S373" i="3"/>
  <c r="G265" i="3"/>
  <c r="N265" i="3"/>
  <c r="AC265" i="3"/>
  <c r="W374" i="3"/>
  <c r="T265" i="3"/>
  <c r="M374" i="3"/>
  <c r="K479" i="3"/>
  <c r="P265" i="3"/>
  <c r="U266" i="3"/>
  <c r="I157" i="3"/>
  <c r="H159" i="3"/>
  <c r="H158" i="3"/>
  <c r="Z373" i="3"/>
  <c r="V278" i="3"/>
  <c r="L277" i="3"/>
  <c r="U158" i="3"/>
  <c r="U159" i="3"/>
  <c r="L158" i="3"/>
  <c r="L159" i="3"/>
  <c r="S156" i="3"/>
  <c r="B156" i="3"/>
  <c r="Y156" i="3"/>
  <c r="D264" i="3"/>
  <c r="AC478" i="3"/>
  <c r="K478" i="3"/>
  <c r="Q376" i="3"/>
  <c r="I267" i="3"/>
  <c r="P267" i="3"/>
  <c r="W267" i="3"/>
  <c r="E376" i="3"/>
  <c r="T481" i="3"/>
  <c r="K267" i="3"/>
  <c r="AB170" i="3"/>
  <c r="K277" i="3"/>
  <c r="R170" i="3"/>
  <c r="X479" i="3"/>
  <c r="W479" i="3"/>
  <c r="F265" i="3"/>
  <c r="U265" i="3"/>
  <c r="N374" i="3"/>
  <c r="L265" i="3"/>
  <c r="D374" i="3"/>
  <c r="C479" i="3"/>
  <c r="H265" i="3"/>
  <c r="M266" i="3"/>
  <c r="Z480" i="3"/>
  <c r="J158" i="3"/>
  <c r="J159" i="3"/>
  <c r="M158" i="3"/>
  <c r="M159" i="3"/>
  <c r="P159" i="3"/>
  <c r="P158" i="3"/>
  <c r="D158" i="3"/>
  <c r="D159" i="3"/>
  <c r="K156" i="3"/>
  <c r="Z158" i="3"/>
  <c r="Z159" i="3"/>
  <c r="P156" i="3"/>
  <c r="Q156" i="3"/>
  <c r="AC264" i="3"/>
  <c r="AA264" i="3"/>
  <c r="U478" i="3"/>
  <c r="C478" i="3"/>
  <c r="Z478" i="3"/>
  <c r="AA481" i="3"/>
  <c r="H376" i="3"/>
  <c r="H267" i="3"/>
  <c r="O267" i="3"/>
  <c r="V267" i="3"/>
  <c r="L481" i="3"/>
  <c r="C267" i="3"/>
  <c r="E278" i="3"/>
  <c r="L278" i="3"/>
  <c r="J169" i="3"/>
  <c r="L169" i="3"/>
  <c r="Q169" i="3"/>
  <c r="H170" i="3"/>
  <c r="P479" i="3"/>
  <c r="O479" i="3"/>
  <c r="V479" i="3"/>
  <c r="M265" i="3"/>
  <c r="E374" i="3"/>
  <c r="D265" i="3"/>
  <c r="AA265" i="3"/>
  <c r="Z374" i="3"/>
  <c r="E157" i="3"/>
  <c r="AA157" i="3"/>
  <c r="L157" i="3"/>
  <c r="V279" i="3"/>
  <c r="Q279" i="3"/>
  <c r="J279" i="3"/>
  <c r="G291" i="3"/>
  <c r="AB279" i="3"/>
  <c r="C279" i="3"/>
  <c r="R279" i="3"/>
  <c r="I279" i="3"/>
  <c r="L279" i="3"/>
  <c r="K279" i="3"/>
  <c r="E289" i="3"/>
  <c r="E277" i="3"/>
  <c r="S277" i="3"/>
  <c r="S289" i="3"/>
  <c r="C180" i="3"/>
  <c r="AB276" i="3"/>
  <c r="R168" i="3"/>
  <c r="V276" i="3"/>
  <c r="Q168" i="3"/>
  <c r="Z276" i="3"/>
  <c r="K276" i="3"/>
  <c r="X168" i="3"/>
  <c r="Q276" i="3"/>
  <c r="J168" i="3"/>
  <c r="B168" i="3"/>
  <c r="D276" i="3"/>
  <c r="H168" i="3"/>
  <c r="Z168" i="3"/>
  <c r="D288" i="3"/>
  <c r="K168" i="3"/>
  <c r="E276" i="3"/>
  <c r="AB168" i="3"/>
  <c r="L276" i="3"/>
  <c r="C276" i="3"/>
  <c r="L168" i="3"/>
  <c r="C168" i="3"/>
  <c r="D398" i="13"/>
  <c r="L400" i="13"/>
  <c r="T402" i="13"/>
  <c r="K81" i="9"/>
  <c r="K78" i="9"/>
  <c r="T399" i="13"/>
  <c r="D403" i="13"/>
  <c r="L403" i="13"/>
  <c r="S162" i="3"/>
  <c r="T398" i="13"/>
  <c r="AB293" i="13"/>
  <c r="K76" i="9"/>
  <c r="K79" i="9"/>
  <c r="K80" i="9"/>
  <c r="L402" i="13"/>
  <c r="T403" i="13"/>
  <c r="D399" i="13"/>
  <c r="D404" i="13"/>
  <c r="L401" i="13"/>
  <c r="T404" i="13"/>
  <c r="Z163" i="3"/>
  <c r="S280" i="3"/>
  <c r="P174" i="3"/>
  <c r="B278" i="3"/>
  <c r="N171" i="13"/>
  <c r="S283" i="3"/>
  <c r="S168" i="3"/>
  <c r="S175" i="3"/>
  <c r="Z174" i="3"/>
  <c r="K294" i="13"/>
  <c r="F294" i="13"/>
  <c r="S276" i="3"/>
  <c r="S172" i="3"/>
  <c r="Z169" i="3"/>
  <c r="S279" i="3"/>
  <c r="S282" i="3"/>
  <c r="S174" i="3"/>
  <c r="Z171" i="3"/>
  <c r="S271" i="3"/>
  <c r="S270" i="3"/>
  <c r="S163" i="3"/>
  <c r="Z173" i="3"/>
  <c r="S281" i="3"/>
  <c r="S169" i="3"/>
  <c r="Z175" i="3"/>
  <c r="F171" i="3"/>
  <c r="S278" i="3"/>
  <c r="S171" i="3"/>
  <c r="Z170" i="3"/>
  <c r="Z162" i="3"/>
  <c r="K292" i="13"/>
  <c r="F163" i="3"/>
  <c r="Z172" i="3"/>
  <c r="H79" i="9"/>
  <c r="X278" i="3"/>
  <c r="X283" i="3"/>
  <c r="M281" i="3"/>
  <c r="M276" i="3"/>
  <c r="P294" i="3"/>
  <c r="K163" i="13"/>
  <c r="K174" i="13"/>
  <c r="E294" i="13"/>
  <c r="E293" i="13"/>
  <c r="E290" i="13"/>
  <c r="E292" i="13"/>
  <c r="C290" i="13"/>
  <c r="C292" i="13"/>
  <c r="C288" i="13"/>
  <c r="C289" i="13"/>
  <c r="C291" i="13"/>
  <c r="C293" i="13"/>
  <c r="Q294" i="13"/>
  <c r="Q291" i="13"/>
  <c r="Q289" i="13"/>
  <c r="Q292" i="13"/>
  <c r="Q295" i="13"/>
  <c r="Q288" i="13"/>
  <c r="Q293" i="13"/>
  <c r="Z292" i="13"/>
  <c r="Z289" i="13"/>
  <c r="Z294" i="13"/>
  <c r="Y278" i="3"/>
  <c r="Y282" i="3"/>
  <c r="Y277" i="3"/>
  <c r="C398" i="13"/>
  <c r="C404" i="13"/>
  <c r="C401" i="13"/>
  <c r="AB402" i="13"/>
  <c r="AB403" i="13"/>
  <c r="P399" i="13"/>
  <c r="P397" i="13"/>
  <c r="P404" i="13"/>
  <c r="B398" i="13"/>
  <c r="R7" i="33" s="1"/>
  <c r="B397" i="13"/>
  <c r="R6" i="33" s="1"/>
  <c r="B404" i="13"/>
  <c r="R13" i="33" s="1"/>
  <c r="B401" i="13"/>
  <c r="R10" i="33" s="1"/>
  <c r="K175" i="13"/>
  <c r="K162" i="13"/>
  <c r="W295" i="13"/>
  <c r="W288" i="13"/>
  <c r="W293" i="13"/>
  <c r="W290" i="13"/>
  <c r="W294" i="13"/>
  <c r="X403" i="13"/>
  <c r="X400" i="13"/>
  <c r="X402" i="13"/>
  <c r="X399" i="13"/>
  <c r="X401" i="13"/>
  <c r="X404" i="13"/>
  <c r="G400" i="13"/>
  <c r="G403" i="13"/>
  <c r="G402" i="13"/>
  <c r="G401" i="13"/>
  <c r="G399" i="13"/>
  <c r="G398" i="13"/>
  <c r="G404" i="13"/>
  <c r="Y398" i="13"/>
  <c r="Y404" i="13"/>
  <c r="Y401" i="13"/>
  <c r="Y400" i="13"/>
  <c r="Y399" i="13"/>
  <c r="Y397" i="13"/>
  <c r="F401" i="13"/>
  <c r="F402" i="13"/>
  <c r="F399" i="13"/>
  <c r="F398" i="13"/>
  <c r="F397" i="13"/>
  <c r="F404" i="13"/>
  <c r="F403" i="13"/>
  <c r="R401" i="13"/>
  <c r="R398" i="13"/>
  <c r="R402" i="13"/>
  <c r="R403" i="13"/>
  <c r="R404" i="13"/>
  <c r="R397" i="13"/>
  <c r="R399" i="13"/>
  <c r="J400" i="13"/>
  <c r="J403" i="13"/>
  <c r="J404" i="13"/>
  <c r="J399" i="13"/>
  <c r="O402" i="13"/>
  <c r="O386" i="13"/>
  <c r="O400" i="13"/>
  <c r="I293" i="13"/>
  <c r="I288" i="13"/>
  <c r="I292" i="13"/>
  <c r="I294" i="13"/>
  <c r="I295" i="13"/>
  <c r="I290" i="13"/>
  <c r="I291" i="13"/>
  <c r="P280" i="3"/>
  <c r="P282" i="3"/>
  <c r="P271" i="3"/>
  <c r="N181" i="13"/>
  <c r="N182" i="13"/>
  <c r="N168" i="13"/>
  <c r="N175" i="13"/>
  <c r="N163" i="13"/>
  <c r="N170" i="13"/>
  <c r="N180" i="13"/>
  <c r="N184" i="13"/>
  <c r="N187" i="13"/>
  <c r="N186" i="13"/>
  <c r="N183" i="13"/>
  <c r="D64" i="9"/>
  <c r="D66" i="9"/>
  <c r="D69" i="9"/>
  <c r="D56" i="9"/>
  <c r="D67" i="9"/>
  <c r="E62" i="9"/>
  <c r="E66" i="9"/>
  <c r="E65" i="9"/>
  <c r="AB63" i="9"/>
  <c r="AB66" i="9"/>
  <c r="AB65" i="9"/>
  <c r="J74" i="9"/>
  <c r="J65" i="9"/>
  <c r="J81" i="9"/>
  <c r="Z75" i="9"/>
  <c r="Z74" i="9"/>
  <c r="K171" i="13"/>
  <c r="K180" i="13"/>
  <c r="K173" i="13"/>
  <c r="K172" i="13"/>
  <c r="K182" i="13"/>
  <c r="K168" i="13"/>
  <c r="K185" i="13"/>
  <c r="K183" i="13"/>
  <c r="K184" i="13"/>
  <c r="K170" i="13"/>
  <c r="K186" i="13"/>
  <c r="K187" i="13"/>
  <c r="U281" i="3"/>
  <c r="U283" i="3"/>
  <c r="U271" i="3"/>
  <c r="C66" i="9"/>
  <c r="C62" i="9"/>
  <c r="C68" i="9"/>
  <c r="C56" i="9"/>
  <c r="C63" i="9"/>
  <c r="C65" i="9"/>
  <c r="C80" i="9"/>
  <c r="O66" i="9"/>
  <c r="O64" i="9"/>
  <c r="O56" i="9"/>
  <c r="O68" i="9"/>
  <c r="R473" i="9"/>
  <c r="R259" i="9"/>
  <c r="R369" i="9"/>
  <c r="R368" i="9"/>
  <c r="R260" i="9"/>
  <c r="R474" i="9"/>
  <c r="G271" i="3"/>
  <c r="G279" i="3"/>
  <c r="G278" i="3"/>
  <c r="G283" i="3"/>
  <c r="G280" i="3"/>
  <c r="G276" i="3"/>
  <c r="AB399" i="13"/>
  <c r="B399" i="13"/>
  <c r="R8" i="33" s="1"/>
  <c r="R291" i="13"/>
  <c r="B295" i="13"/>
  <c r="M13" i="33" s="1"/>
  <c r="P401" i="13"/>
  <c r="C402" i="13"/>
  <c r="M277" i="3"/>
  <c r="M283" i="3"/>
  <c r="F174" i="3"/>
  <c r="Y270" i="3"/>
  <c r="Y280" i="3"/>
  <c r="P276" i="3"/>
  <c r="M271" i="3"/>
  <c r="F173" i="3"/>
  <c r="F169" i="3"/>
  <c r="Y276" i="3"/>
  <c r="P281" i="3"/>
  <c r="P279" i="3"/>
  <c r="Z288" i="13"/>
  <c r="AB398" i="13"/>
  <c r="Z291" i="13"/>
  <c r="Q175" i="13"/>
  <c r="Z295" i="13"/>
  <c r="AB404" i="13"/>
  <c r="P402" i="13"/>
  <c r="C403" i="13"/>
  <c r="AB294" i="13"/>
  <c r="M278" i="3"/>
  <c r="F175" i="3"/>
  <c r="Y271" i="3"/>
  <c r="P278" i="3"/>
  <c r="D282" i="3"/>
  <c r="M280" i="3"/>
  <c r="F162" i="3"/>
  <c r="Y279" i="3"/>
  <c r="P270" i="3"/>
  <c r="C397" i="13"/>
  <c r="P398" i="13"/>
  <c r="B400" i="13"/>
  <c r="R9" i="33" s="1"/>
  <c r="AB401" i="13"/>
  <c r="P403" i="13"/>
  <c r="M282" i="3"/>
  <c r="F168" i="3"/>
  <c r="AA280" i="3"/>
  <c r="AA174" i="3"/>
  <c r="Y281" i="3"/>
  <c r="P277" i="3"/>
  <c r="V288" i="13"/>
  <c r="Y181" i="13"/>
  <c r="C400" i="13"/>
  <c r="AB400" i="13"/>
  <c r="Z293" i="13"/>
  <c r="M279" i="3"/>
  <c r="F170" i="3"/>
  <c r="Y283" i="3"/>
  <c r="P283" i="3"/>
  <c r="AB289" i="13"/>
  <c r="M270" i="3"/>
  <c r="O385" i="13"/>
  <c r="O398" i="13"/>
  <c r="O387" i="13"/>
  <c r="O380" i="13"/>
  <c r="O399" i="13"/>
  <c r="O392" i="13"/>
  <c r="O397" i="13"/>
  <c r="O404" i="13"/>
  <c r="O388" i="13"/>
  <c r="X78" i="9"/>
  <c r="P186" i="3"/>
  <c r="N151" i="9"/>
  <c r="F80" i="9"/>
  <c r="T78" i="9"/>
  <c r="W79" i="9"/>
  <c r="X474" i="9"/>
  <c r="X75" i="9"/>
  <c r="X76" i="9"/>
  <c r="N79" i="9"/>
  <c r="I75" i="9"/>
  <c r="M69" i="9"/>
  <c r="F67" i="9"/>
  <c r="X80" i="9"/>
  <c r="W66" i="9"/>
  <c r="AC64" i="9"/>
  <c r="Z78" i="9"/>
  <c r="F68" i="9"/>
  <c r="W69" i="9"/>
  <c r="W68" i="9"/>
  <c r="I63" i="9"/>
  <c r="B289" i="13"/>
  <c r="M7" i="33" s="1"/>
  <c r="Z400" i="13"/>
  <c r="AB295" i="13"/>
  <c r="R292" i="13"/>
  <c r="R293" i="13"/>
  <c r="U270" i="3"/>
  <c r="D162" i="3"/>
  <c r="D173" i="3"/>
  <c r="X280" i="3"/>
  <c r="Y168" i="3"/>
  <c r="P171" i="3"/>
  <c r="Y187" i="3"/>
  <c r="I46" i="9"/>
  <c r="I74" i="9"/>
  <c r="W78" i="9"/>
  <c r="T74" i="9"/>
  <c r="X368" i="9"/>
  <c r="N81" i="9"/>
  <c r="X152" i="9"/>
  <c r="AC77" i="9"/>
  <c r="EB9" i="33" s="1"/>
  <c r="AC74" i="9"/>
  <c r="EB6" i="33" s="1"/>
  <c r="M63" i="9"/>
  <c r="T63" i="9"/>
  <c r="T68" i="9"/>
  <c r="F56" i="9"/>
  <c r="W56" i="9"/>
  <c r="I81" i="9"/>
  <c r="AC65" i="9"/>
  <c r="N397" i="13"/>
  <c r="AB288" i="13"/>
  <c r="R289" i="13"/>
  <c r="N399" i="13"/>
  <c r="AB290" i="13"/>
  <c r="Z404" i="13"/>
  <c r="B292" i="13"/>
  <c r="M10" i="33" s="1"/>
  <c r="AB292" i="13"/>
  <c r="Z402" i="13"/>
  <c r="B293" i="13"/>
  <c r="M11" i="33" s="1"/>
  <c r="U277" i="3"/>
  <c r="D168" i="3"/>
  <c r="D175" i="3"/>
  <c r="X276" i="3"/>
  <c r="Y170" i="3"/>
  <c r="P173" i="3"/>
  <c r="I151" i="9"/>
  <c r="I368" i="9"/>
  <c r="X81" i="9"/>
  <c r="X45" i="9"/>
  <c r="AC76" i="9"/>
  <c r="EB8" i="33" s="1"/>
  <c r="M77" i="9"/>
  <c r="BY9" i="33" s="1"/>
  <c r="X260" i="9"/>
  <c r="W76" i="9"/>
  <c r="N368" i="9"/>
  <c r="AC78" i="9"/>
  <c r="EB10" i="33" s="1"/>
  <c r="I57" i="9"/>
  <c r="I66" i="9"/>
  <c r="I62" i="9"/>
  <c r="W63" i="9"/>
  <c r="W65" i="9"/>
  <c r="AC63" i="9"/>
  <c r="T57" i="9"/>
  <c r="T56" i="9"/>
  <c r="AC68" i="9"/>
  <c r="M65" i="9"/>
  <c r="T64" i="9"/>
  <c r="V290" i="13"/>
  <c r="Z401" i="13"/>
  <c r="N401" i="13"/>
  <c r="V294" i="13"/>
  <c r="U278" i="3"/>
  <c r="D170" i="3"/>
  <c r="X282" i="3"/>
  <c r="Y163" i="3"/>
  <c r="Y172" i="3"/>
  <c r="P175" i="3"/>
  <c r="D172" i="3"/>
  <c r="X279" i="3"/>
  <c r="Y169" i="3"/>
  <c r="Y174" i="3"/>
  <c r="P162" i="3"/>
  <c r="AC75" i="9"/>
  <c r="EB7" i="33" s="1"/>
  <c r="W77" i="9"/>
  <c r="X77" i="9"/>
  <c r="I76" i="9"/>
  <c r="X74" i="9"/>
  <c r="N76" i="9"/>
  <c r="Z79" i="9"/>
  <c r="M56" i="9"/>
  <c r="Z81" i="9"/>
  <c r="W64" i="9"/>
  <c r="I68" i="9"/>
  <c r="AA81" i="9"/>
  <c r="T65" i="9"/>
  <c r="AC67" i="9"/>
  <c r="B291" i="13"/>
  <c r="M9" i="33" s="1"/>
  <c r="V295" i="13"/>
  <c r="R294" i="13"/>
  <c r="U282" i="3"/>
  <c r="D174" i="3"/>
  <c r="X271" i="3"/>
  <c r="Y171" i="3"/>
  <c r="P168" i="3"/>
  <c r="D180" i="3"/>
  <c r="X473" i="9"/>
  <c r="N74" i="9"/>
  <c r="T81" i="9"/>
  <c r="W81" i="9"/>
  <c r="I80" i="9"/>
  <c r="X46" i="9"/>
  <c r="M74" i="9"/>
  <c r="BY6" i="33" s="1"/>
  <c r="N75" i="9"/>
  <c r="N80" i="9"/>
  <c r="T77" i="9"/>
  <c r="T62" i="9"/>
  <c r="M57" i="9"/>
  <c r="AC62" i="9"/>
  <c r="F62" i="9"/>
  <c r="M79" i="9"/>
  <c r="BY11" i="33" s="1"/>
  <c r="I65" i="9"/>
  <c r="W80" i="9"/>
  <c r="I64" i="9"/>
  <c r="I56" i="9"/>
  <c r="T66" i="9"/>
  <c r="F81" i="9"/>
  <c r="Z80" i="9"/>
  <c r="Z397" i="13"/>
  <c r="R288" i="13"/>
  <c r="B288" i="13"/>
  <c r="M6" i="33" s="1"/>
  <c r="N400" i="13"/>
  <c r="AA171" i="13"/>
  <c r="V293" i="13"/>
  <c r="M62" i="9"/>
  <c r="U279" i="3"/>
  <c r="D163" i="3"/>
  <c r="X270" i="3"/>
  <c r="X281" i="3"/>
  <c r="Y173" i="3"/>
  <c r="P170" i="3"/>
  <c r="U280" i="3"/>
  <c r="X293" i="3"/>
  <c r="I260" i="9"/>
  <c r="N45" i="9"/>
  <c r="I259" i="9"/>
  <c r="M76" i="9"/>
  <c r="BY8" i="33" s="1"/>
  <c r="X369" i="9"/>
  <c r="X151" i="9"/>
  <c r="T75" i="9"/>
  <c r="T76" i="9"/>
  <c r="M80" i="9"/>
  <c r="BY12" i="33" s="1"/>
  <c r="W75" i="9"/>
  <c r="N46" i="9"/>
  <c r="M64" i="9"/>
  <c r="I69" i="9"/>
  <c r="Z76" i="9"/>
  <c r="W57" i="9"/>
  <c r="F66" i="9"/>
  <c r="V289" i="13"/>
  <c r="V291" i="13"/>
  <c r="U276" i="3"/>
  <c r="X277" i="3"/>
  <c r="P163" i="3"/>
  <c r="AB78" i="9"/>
  <c r="J64" i="9"/>
  <c r="J79" i="9"/>
  <c r="AB56" i="9"/>
  <c r="J292" i="13"/>
  <c r="Q173" i="13"/>
  <c r="K402" i="13"/>
  <c r="I403" i="13"/>
  <c r="N279" i="3"/>
  <c r="I163" i="3"/>
  <c r="I172" i="3"/>
  <c r="I281" i="3"/>
  <c r="F473" i="9"/>
  <c r="F151" i="9"/>
  <c r="F78" i="9"/>
  <c r="AB77" i="9"/>
  <c r="F152" i="9"/>
  <c r="J67" i="9"/>
  <c r="J69" i="9"/>
  <c r="J63" i="9"/>
  <c r="U180" i="13"/>
  <c r="Q181" i="13"/>
  <c r="J289" i="13"/>
  <c r="Q398" i="13"/>
  <c r="Q400" i="13"/>
  <c r="K400" i="13"/>
  <c r="Q183" i="13"/>
  <c r="Q187" i="13"/>
  <c r="U175" i="13"/>
  <c r="Q184" i="13"/>
  <c r="U174" i="13"/>
  <c r="Q403" i="13"/>
  <c r="N278" i="3"/>
  <c r="I171" i="3"/>
  <c r="I278" i="3"/>
  <c r="F77" i="9"/>
  <c r="AB64" i="9"/>
  <c r="Q169" i="13"/>
  <c r="U181" i="13"/>
  <c r="Q163" i="13"/>
  <c r="K404" i="13"/>
  <c r="U187" i="13"/>
  <c r="U186" i="13"/>
  <c r="J62" i="9"/>
  <c r="N276" i="3"/>
  <c r="I173" i="3"/>
  <c r="I276" i="3"/>
  <c r="I280" i="3"/>
  <c r="F46" i="9"/>
  <c r="F74" i="9"/>
  <c r="AB75" i="9"/>
  <c r="F76" i="9"/>
  <c r="AB79" i="9"/>
  <c r="J75" i="9"/>
  <c r="AB69" i="9"/>
  <c r="J77" i="9"/>
  <c r="U168" i="13"/>
  <c r="U169" i="13"/>
  <c r="U182" i="13"/>
  <c r="Q171" i="13"/>
  <c r="Q404" i="13"/>
  <c r="Q172" i="13"/>
  <c r="Q401" i="13"/>
  <c r="J294" i="13"/>
  <c r="N283" i="3"/>
  <c r="N271" i="3"/>
  <c r="I175" i="3"/>
  <c r="I271" i="3"/>
  <c r="I282" i="3"/>
  <c r="AC80" i="9"/>
  <c r="EB12" i="33" s="1"/>
  <c r="F369" i="9"/>
  <c r="AB81" i="9"/>
  <c r="F79" i="9"/>
  <c r="AB76" i="9"/>
  <c r="J66" i="9"/>
  <c r="J56" i="9"/>
  <c r="J76" i="9"/>
  <c r="K397" i="13"/>
  <c r="Q170" i="13"/>
  <c r="K399" i="13"/>
  <c r="U170" i="13"/>
  <c r="I400" i="13"/>
  <c r="U171" i="13"/>
  <c r="Q186" i="13"/>
  <c r="N270" i="3"/>
  <c r="N277" i="3"/>
  <c r="I162" i="3"/>
  <c r="I270" i="3"/>
  <c r="W293" i="3"/>
  <c r="F45" i="9"/>
  <c r="F368" i="9"/>
  <c r="J68" i="9"/>
  <c r="J57" i="9"/>
  <c r="AB62" i="9"/>
  <c r="J78" i="9"/>
  <c r="AB57" i="9"/>
  <c r="Q168" i="13"/>
  <c r="I397" i="13"/>
  <c r="I398" i="13"/>
  <c r="J290" i="13"/>
  <c r="U183" i="13"/>
  <c r="J295" i="13"/>
  <c r="I401" i="13"/>
  <c r="U173" i="13"/>
  <c r="Q162" i="13"/>
  <c r="N280" i="3"/>
  <c r="I168" i="3"/>
  <c r="I277" i="3"/>
  <c r="W276" i="3"/>
  <c r="I182" i="3"/>
  <c r="F260" i="9"/>
  <c r="F75" i="9"/>
  <c r="AB68" i="9"/>
  <c r="AB67" i="9"/>
  <c r="Q180" i="13"/>
  <c r="J288" i="13"/>
  <c r="Q182" i="13"/>
  <c r="I399" i="13"/>
  <c r="I404" i="13"/>
  <c r="W270" i="3"/>
  <c r="O278" i="3"/>
  <c r="N162" i="13"/>
  <c r="O281" i="3"/>
  <c r="N173" i="13"/>
  <c r="N174" i="13"/>
  <c r="F279" i="3"/>
  <c r="N172" i="13"/>
  <c r="O151" i="9"/>
  <c r="G152" i="9"/>
  <c r="O260" i="9"/>
  <c r="G45" i="9"/>
  <c r="G368" i="9"/>
  <c r="G473" i="9"/>
  <c r="AC270" i="3"/>
  <c r="AC283" i="3"/>
  <c r="T270" i="3"/>
  <c r="AA276" i="3"/>
  <c r="B283" i="3"/>
  <c r="AA163" i="3"/>
  <c r="D279" i="3"/>
  <c r="AC277" i="3"/>
  <c r="T277" i="3"/>
  <c r="AA282" i="3"/>
  <c r="B271" i="3"/>
  <c r="AA169" i="3"/>
  <c r="D278" i="3"/>
  <c r="D271" i="3"/>
  <c r="AA75" i="9"/>
  <c r="AC276" i="3"/>
  <c r="T276" i="3"/>
  <c r="T283" i="3"/>
  <c r="AA271" i="3"/>
  <c r="AA279" i="3"/>
  <c r="B270" i="3"/>
  <c r="B277" i="3"/>
  <c r="AA171" i="3"/>
  <c r="D270" i="3"/>
  <c r="D281" i="3"/>
  <c r="AA77" i="9"/>
  <c r="AC278" i="3"/>
  <c r="T282" i="3"/>
  <c r="T280" i="3"/>
  <c r="AA281" i="3"/>
  <c r="AA270" i="3"/>
  <c r="B280" i="3"/>
  <c r="B276" i="3"/>
  <c r="AA173" i="3"/>
  <c r="D277" i="3"/>
  <c r="AA74" i="9"/>
  <c r="AC280" i="3"/>
  <c r="T279" i="3"/>
  <c r="AA278" i="3"/>
  <c r="B282" i="3"/>
  <c r="AA168" i="3"/>
  <c r="AA175" i="3"/>
  <c r="D283" i="3"/>
  <c r="AA76" i="9"/>
  <c r="AC282" i="3"/>
  <c r="T271" i="3"/>
  <c r="AA277" i="3"/>
  <c r="B279" i="3"/>
  <c r="AA170" i="3"/>
  <c r="AA162" i="3"/>
  <c r="D280" i="3"/>
  <c r="AA78" i="9"/>
  <c r="AA80" i="9"/>
  <c r="AB80" i="9"/>
  <c r="H260" i="9"/>
  <c r="H46" i="9"/>
  <c r="H152" i="9"/>
  <c r="H259" i="9"/>
  <c r="H369" i="9"/>
  <c r="H474" i="9"/>
  <c r="H473" i="9"/>
  <c r="H151" i="9"/>
  <c r="Q369" i="9"/>
  <c r="Q152" i="9"/>
  <c r="Q474" i="9"/>
  <c r="Q368" i="9"/>
  <c r="Q473" i="9"/>
  <c r="Q259" i="9"/>
  <c r="Q260" i="9"/>
  <c r="AB259" i="9"/>
  <c r="AB369" i="9"/>
  <c r="AB474" i="9"/>
  <c r="AB260" i="9"/>
  <c r="AB473" i="9"/>
  <c r="AC259" i="9"/>
  <c r="AC369" i="9"/>
  <c r="AC474" i="9"/>
  <c r="AC260" i="9"/>
  <c r="AC368" i="9"/>
  <c r="AC473" i="9"/>
  <c r="C152" i="9"/>
  <c r="C369" i="9"/>
  <c r="C151" i="9"/>
  <c r="C473" i="9"/>
  <c r="C260" i="9"/>
  <c r="C368" i="9"/>
  <c r="O474" i="9"/>
  <c r="O46" i="9"/>
  <c r="W369" i="9"/>
  <c r="W473" i="9"/>
  <c r="W260" i="9"/>
  <c r="W151" i="9"/>
  <c r="W46" i="9"/>
  <c r="W474" i="9"/>
  <c r="W152" i="9"/>
  <c r="U152" i="9"/>
  <c r="U368" i="9"/>
  <c r="U369" i="9"/>
  <c r="U151" i="9"/>
  <c r="U474" i="9"/>
  <c r="U259" i="9"/>
  <c r="U260" i="9"/>
  <c r="U473" i="9"/>
  <c r="M78" i="9"/>
  <c r="BY10" i="33" s="1"/>
  <c r="T80" i="9"/>
  <c r="Z280" i="3"/>
  <c r="O277" i="3"/>
  <c r="O270" i="3"/>
  <c r="F276" i="3"/>
  <c r="Z282" i="3"/>
  <c r="O283" i="3"/>
  <c r="F281" i="3"/>
  <c r="F271" i="3"/>
  <c r="S74" i="9"/>
  <c r="Z279" i="3"/>
  <c r="O280" i="3"/>
  <c r="F278" i="3"/>
  <c r="F277" i="3"/>
  <c r="Z281" i="3"/>
  <c r="O276" i="3"/>
  <c r="F283" i="3"/>
  <c r="Z271" i="3"/>
  <c r="O282" i="3"/>
  <c r="F270" i="3"/>
  <c r="Z278" i="3"/>
  <c r="Z277" i="3"/>
  <c r="O279" i="3"/>
  <c r="F280" i="3"/>
  <c r="Z283" i="3"/>
  <c r="W282" i="3"/>
  <c r="W279" i="3"/>
  <c r="W271" i="3"/>
  <c r="W281" i="3"/>
  <c r="W278" i="3"/>
  <c r="W277" i="3"/>
  <c r="W280" i="3"/>
  <c r="H280" i="3"/>
  <c r="H279" i="3"/>
  <c r="H276" i="3"/>
  <c r="H271" i="3"/>
  <c r="H282" i="3"/>
  <c r="H281" i="3"/>
  <c r="AA184" i="13"/>
  <c r="H278" i="3"/>
  <c r="H270" i="3"/>
  <c r="AA182" i="13"/>
  <c r="AA163" i="13"/>
  <c r="AA173" i="13"/>
  <c r="AA186" i="13"/>
  <c r="AA168" i="13"/>
  <c r="AA175" i="13"/>
  <c r="AA162" i="13"/>
  <c r="AA180" i="13"/>
  <c r="AA181" i="13"/>
  <c r="AA187" i="13"/>
  <c r="AA174" i="13"/>
  <c r="AA169" i="13"/>
  <c r="O401" i="13"/>
  <c r="AA183" i="13"/>
  <c r="AA170" i="13"/>
  <c r="O389" i="13"/>
  <c r="AA172" i="13"/>
  <c r="Y169" i="13"/>
  <c r="Y183" i="13"/>
  <c r="Y168" i="13"/>
  <c r="Y170" i="13"/>
  <c r="Y175" i="13"/>
  <c r="Y180" i="13"/>
  <c r="Y171" i="13"/>
  <c r="Y187" i="13"/>
  <c r="Y184" i="13"/>
  <c r="Y182" i="13"/>
  <c r="Y163" i="13"/>
  <c r="Y172" i="13"/>
  <c r="Y173" i="13"/>
  <c r="P56" i="9"/>
  <c r="P68" i="9"/>
  <c r="P67" i="9"/>
  <c r="P65" i="9"/>
  <c r="P63" i="9"/>
  <c r="P62" i="9"/>
  <c r="P64" i="9"/>
  <c r="P57" i="9"/>
  <c r="P69" i="9"/>
  <c r="P66" i="9"/>
  <c r="O403" i="13"/>
  <c r="O391" i="13"/>
  <c r="O390" i="13"/>
  <c r="O379" i="13"/>
  <c r="E509" i="3"/>
  <c r="E507" i="3"/>
  <c r="E505" i="3"/>
  <c r="E503" i="3"/>
  <c r="E497" i="3"/>
  <c r="E495" i="3"/>
  <c r="E493" i="3"/>
  <c r="E484" i="3"/>
  <c r="E491" i="3"/>
  <c r="E485" i="3"/>
  <c r="E508" i="3"/>
  <c r="E506" i="3"/>
  <c r="E504" i="3"/>
  <c r="E502" i="3"/>
  <c r="E496" i="3"/>
  <c r="E494" i="3"/>
  <c r="E492" i="3"/>
  <c r="E490" i="3"/>
  <c r="O186" i="3"/>
  <c r="O184" i="3"/>
  <c r="O182" i="3"/>
  <c r="O180" i="3"/>
  <c r="O174" i="3"/>
  <c r="O172" i="3"/>
  <c r="O170" i="3"/>
  <c r="O168" i="3"/>
  <c r="O162" i="3"/>
  <c r="O187" i="3"/>
  <c r="O185" i="3"/>
  <c r="O183" i="3"/>
  <c r="O181" i="3"/>
  <c r="O175" i="3"/>
  <c r="O173" i="3"/>
  <c r="O171" i="3"/>
  <c r="O169" i="3"/>
  <c r="O163" i="3"/>
  <c r="H485" i="3"/>
  <c r="H508" i="3"/>
  <c r="H506" i="3"/>
  <c r="H504" i="3"/>
  <c r="H502" i="3"/>
  <c r="H496" i="3"/>
  <c r="H494" i="3"/>
  <c r="H492" i="3"/>
  <c r="H490" i="3"/>
  <c r="H509" i="3"/>
  <c r="H507" i="3"/>
  <c r="H505" i="3"/>
  <c r="H503" i="3"/>
  <c r="H497" i="3"/>
  <c r="H495" i="3"/>
  <c r="H493" i="3"/>
  <c r="H484" i="3"/>
  <c r="H491" i="3"/>
  <c r="J74" i="3"/>
  <c r="J68" i="3"/>
  <c r="J56" i="3"/>
  <c r="J77" i="3"/>
  <c r="J63" i="3"/>
  <c r="J80" i="3"/>
  <c r="J66" i="3"/>
  <c r="J75" i="3"/>
  <c r="J69" i="3"/>
  <c r="J57" i="3"/>
  <c r="J78" i="3"/>
  <c r="J64" i="3"/>
  <c r="J81" i="3"/>
  <c r="J67" i="3"/>
  <c r="J76" i="3"/>
  <c r="J62" i="3"/>
  <c r="J79" i="3"/>
  <c r="J65" i="3"/>
  <c r="I77" i="3"/>
  <c r="I63" i="3"/>
  <c r="I80" i="3"/>
  <c r="I66" i="3"/>
  <c r="I75" i="3"/>
  <c r="I69" i="3"/>
  <c r="I57" i="3"/>
  <c r="I78" i="3"/>
  <c r="I64" i="3"/>
  <c r="I81" i="3"/>
  <c r="I67" i="3"/>
  <c r="I76" i="3"/>
  <c r="I62" i="3"/>
  <c r="I79" i="3"/>
  <c r="I65" i="3"/>
  <c r="I74" i="3"/>
  <c r="I68" i="3"/>
  <c r="I56" i="3"/>
  <c r="Z508" i="3"/>
  <c r="Z506" i="3"/>
  <c r="Z504" i="3"/>
  <c r="Z502" i="3"/>
  <c r="Z496" i="3"/>
  <c r="Z494" i="3"/>
  <c r="Z492" i="3"/>
  <c r="Z490" i="3"/>
  <c r="Z509" i="3"/>
  <c r="Z507" i="3"/>
  <c r="Z505" i="3"/>
  <c r="Z503" i="3"/>
  <c r="Z497" i="3"/>
  <c r="Z495" i="3"/>
  <c r="Z493" i="3"/>
  <c r="Z484" i="3"/>
  <c r="Z491" i="3"/>
  <c r="Z485" i="3"/>
  <c r="T490" i="3"/>
  <c r="T509" i="3"/>
  <c r="T507" i="3"/>
  <c r="T505" i="3"/>
  <c r="T503" i="3"/>
  <c r="T497" i="3"/>
  <c r="T495" i="3"/>
  <c r="T493" i="3"/>
  <c r="T484" i="3"/>
  <c r="T491" i="3"/>
  <c r="T485" i="3"/>
  <c r="T508" i="3"/>
  <c r="T506" i="3"/>
  <c r="T504" i="3"/>
  <c r="T502" i="3"/>
  <c r="T496" i="3"/>
  <c r="T494" i="3"/>
  <c r="T492" i="3"/>
  <c r="R508" i="3"/>
  <c r="R506" i="3"/>
  <c r="R504" i="3"/>
  <c r="R502" i="3"/>
  <c r="R496" i="3"/>
  <c r="R494" i="3"/>
  <c r="R492" i="3"/>
  <c r="R490" i="3"/>
  <c r="R509" i="3"/>
  <c r="R507" i="3"/>
  <c r="R505" i="3"/>
  <c r="R503" i="3"/>
  <c r="R497" i="3"/>
  <c r="R495" i="3"/>
  <c r="R493" i="3"/>
  <c r="R484" i="3"/>
  <c r="R491" i="3"/>
  <c r="R485" i="3"/>
  <c r="M81" i="3"/>
  <c r="CS13" i="33" s="1"/>
  <c r="M67" i="3"/>
  <c r="M76" i="3"/>
  <c r="CS8" i="33" s="1"/>
  <c r="M62" i="3"/>
  <c r="M79" i="3"/>
  <c r="CS11" i="33" s="1"/>
  <c r="M65" i="3"/>
  <c r="M74" i="3"/>
  <c r="CS6" i="33" s="1"/>
  <c r="M68" i="3"/>
  <c r="M56" i="3"/>
  <c r="M77" i="3"/>
  <c r="CS9" i="33" s="1"/>
  <c r="M63" i="3"/>
  <c r="M80" i="3"/>
  <c r="CS12" i="33" s="1"/>
  <c r="M66" i="3"/>
  <c r="M75" i="3"/>
  <c r="CS7" i="33" s="1"/>
  <c r="M69" i="3"/>
  <c r="M57" i="3"/>
  <c r="M78" i="3"/>
  <c r="CS10" i="33" s="1"/>
  <c r="M64" i="3"/>
  <c r="Z404" i="3"/>
  <c r="Z402" i="3"/>
  <c r="Z400" i="3"/>
  <c r="Z398" i="3"/>
  <c r="Z386" i="3"/>
  <c r="Z403" i="3"/>
  <c r="Z401" i="3"/>
  <c r="Z385" i="3"/>
  <c r="Z397" i="3"/>
  <c r="Z379" i="3"/>
  <c r="Z390" i="3"/>
  <c r="Z387" i="3"/>
  <c r="Z380" i="3"/>
  <c r="Z388" i="3"/>
  <c r="Z391" i="3"/>
  <c r="Z399" i="3"/>
  <c r="Z389" i="3"/>
  <c r="Z392" i="3"/>
  <c r="M403" i="3"/>
  <c r="DB12" i="33" s="1"/>
  <c r="M401" i="3"/>
  <c r="DB10" i="33" s="1"/>
  <c r="M387" i="3"/>
  <c r="M404" i="3"/>
  <c r="DB13" i="33" s="1"/>
  <c r="M402" i="3"/>
  <c r="DB11" i="33" s="1"/>
  <c r="M400" i="3"/>
  <c r="DB9" i="33" s="1"/>
  <c r="M398" i="3"/>
  <c r="DB7" i="33" s="1"/>
  <c r="M389" i="3"/>
  <c r="M399" i="3"/>
  <c r="DB8" i="33" s="1"/>
  <c r="M392" i="3"/>
  <c r="M386" i="3"/>
  <c r="M379" i="3"/>
  <c r="M390" i="3"/>
  <c r="M380" i="3"/>
  <c r="M388" i="3"/>
  <c r="M397" i="3"/>
  <c r="DB6" i="33" s="1"/>
  <c r="M391" i="3"/>
  <c r="M385" i="3"/>
  <c r="J508" i="3"/>
  <c r="J506" i="3"/>
  <c r="J504" i="3"/>
  <c r="J502" i="3"/>
  <c r="J496" i="3"/>
  <c r="J494" i="3"/>
  <c r="J492" i="3"/>
  <c r="J490" i="3"/>
  <c r="J509" i="3"/>
  <c r="J507" i="3"/>
  <c r="J505" i="3"/>
  <c r="J503" i="3"/>
  <c r="J497" i="3"/>
  <c r="J495" i="3"/>
  <c r="J493" i="3"/>
  <c r="J484" i="3"/>
  <c r="J491" i="3"/>
  <c r="J485" i="3"/>
  <c r="T403" i="3"/>
  <c r="T401" i="3"/>
  <c r="T399" i="3"/>
  <c r="T397" i="3"/>
  <c r="T391" i="3"/>
  <c r="T389" i="3"/>
  <c r="T404" i="3"/>
  <c r="T402" i="3"/>
  <c r="T400" i="3"/>
  <c r="T398" i="3"/>
  <c r="T392" i="3"/>
  <c r="T390" i="3"/>
  <c r="T388" i="3"/>
  <c r="T379" i="3"/>
  <c r="T385" i="3"/>
  <c r="T386" i="3"/>
  <c r="T387" i="3"/>
  <c r="T380" i="3"/>
  <c r="I168" i="13"/>
  <c r="W168" i="13"/>
  <c r="M180" i="13"/>
  <c r="BK6" i="33" s="1"/>
  <c r="P180" i="13"/>
  <c r="J181" i="13"/>
  <c r="D181" i="13"/>
  <c r="I181" i="13"/>
  <c r="W181" i="13"/>
  <c r="O169" i="13"/>
  <c r="Z169" i="13"/>
  <c r="P182" i="13"/>
  <c r="Z182" i="13"/>
  <c r="AC183" i="13"/>
  <c r="DN9" i="33" s="1"/>
  <c r="J183" i="13"/>
  <c r="V183" i="13"/>
  <c r="D183" i="13"/>
  <c r="T175" i="13"/>
  <c r="C163" i="13"/>
  <c r="AB187" i="13"/>
  <c r="V187" i="13"/>
  <c r="P187" i="13"/>
  <c r="R175" i="13"/>
  <c r="P172" i="13"/>
  <c r="T184" i="13"/>
  <c r="E184" i="13"/>
  <c r="I184" i="13"/>
  <c r="Z172" i="13"/>
  <c r="D172" i="13"/>
  <c r="W184" i="13"/>
  <c r="O184" i="13"/>
  <c r="V172" i="13"/>
  <c r="T185" i="13"/>
  <c r="J173" i="13"/>
  <c r="R173" i="13"/>
  <c r="D173" i="13"/>
  <c r="W173" i="13"/>
  <c r="M185" i="13"/>
  <c r="BK11" i="33" s="1"/>
  <c r="I174" i="13"/>
  <c r="S174" i="13"/>
  <c r="H162" i="13"/>
  <c r="C162" i="13"/>
  <c r="V162" i="13"/>
  <c r="O174" i="13"/>
  <c r="AB186" i="13"/>
  <c r="P186" i="13"/>
  <c r="Y162" i="13"/>
  <c r="Y174" i="13"/>
  <c r="Y186" i="13"/>
  <c r="U172" i="13"/>
  <c r="U184" i="13"/>
  <c r="V295" i="3"/>
  <c r="N295" i="3"/>
  <c r="N291" i="3"/>
  <c r="M292" i="3"/>
  <c r="CY10" i="33" s="1"/>
  <c r="M295" i="3"/>
  <c r="CY13" i="33" s="1"/>
  <c r="E288" i="3"/>
  <c r="E291" i="3"/>
  <c r="AB180" i="3"/>
  <c r="V181" i="3"/>
  <c r="F186" i="3"/>
  <c r="T293" i="3"/>
  <c r="T292" i="3"/>
  <c r="I187" i="3"/>
  <c r="I184" i="3"/>
  <c r="AA288" i="3"/>
  <c r="C295" i="3"/>
  <c r="C291" i="3"/>
  <c r="L186" i="3"/>
  <c r="L185" i="3"/>
  <c r="D182" i="3"/>
  <c r="D181" i="3"/>
  <c r="Q187" i="3"/>
  <c r="Q184" i="3"/>
  <c r="Z295" i="3"/>
  <c r="Z291" i="3"/>
  <c r="R292" i="3"/>
  <c r="K186" i="3"/>
  <c r="K185" i="3"/>
  <c r="C182" i="3"/>
  <c r="C181" i="3"/>
  <c r="R180" i="3"/>
  <c r="Z187" i="3"/>
  <c r="X294" i="3"/>
  <c r="X290" i="3"/>
  <c r="H293" i="3"/>
  <c r="H292" i="3"/>
  <c r="D292" i="3"/>
  <c r="W294" i="3"/>
  <c r="W290" i="3"/>
  <c r="X185" i="3"/>
  <c r="X184" i="3"/>
  <c r="P181" i="3"/>
  <c r="F293" i="3"/>
  <c r="F289" i="3"/>
  <c r="I485" i="3"/>
  <c r="I508" i="3"/>
  <c r="I506" i="3"/>
  <c r="I504" i="3"/>
  <c r="I502" i="3"/>
  <c r="I496" i="3"/>
  <c r="I494" i="3"/>
  <c r="I492" i="3"/>
  <c r="I490" i="3"/>
  <c r="I509" i="3"/>
  <c r="I507" i="3"/>
  <c r="I505" i="3"/>
  <c r="I503" i="3"/>
  <c r="I497" i="3"/>
  <c r="I495" i="3"/>
  <c r="I493" i="3"/>
  <c r="I484" i="3"/>
  <c r="I491" i="3"/>
  <c r="K490" i="3"/>
  <c r="K509" i="3"/>
  <c r="K507" i="3"/>
  <c r="K505" i="3"/>
  <c r="K503" i="3"/>
  <c r="K497" i="3"/>
  <c r="K495" i="3"/>
  <c r="K493" i="3"/>
  <c r="K484" i="3"/>
  <c r="K491" i="3"/>
  <c r="K485" i="3"/>
  <c r="K508" i="3"/>
  <c r="K506" i="3"/>
  <c r="K504" i="3"/>
  <c r="K502" i="3"/>
  <c r="K496" i="3"/>
  <c r="K494" i="3"/>
  <c r="K492" i="3"/>
  <c r="G186" i="3"/>
  <c r="G184" i="3"/>
  <c r="G182" i="3"/>
  <c r="G180" i="3"/>
  <c r="G174" i="3"/>
  <c r="G172" i="3"/>
  <c r="G170" i="3"/>
  <c r="G168" i="3"/>
  <c r="G162" i="3"/>
  <c r="G187" i="3"/>
  <c r="G185" i="3"/>
  <c r="G183" i="3"/>
  <c r="G181" i="3"/>
  <c r="G175" i="3"/>
  <c r="G173" i="3"/>
  <c r="G171" i="3"/>
  <c r="G169" i="3"/>
  <c r="G163" i="3"/>
  <c r="AA79" i="3"/>
  <c r="AA65" i="3"/>
  <c r="AA74" i="3"/>
  <c r="AA68" i="3"/>
  <c r="AA56" i="3"/>
  <c r="AA77" i="3"/>
  <c r="AA63" i="3"/>
  <c r="AA80" i="3"/>
  <c r="AA66" i="3"/>
  <c r="AA75" i="3"/>
  <c r="AA69" i="3"/>
  <c r="AA57" i="3"/>
  <c r="AA78" i="3"/>
  <c r="AA64" i="3"/>
  <c r="AA81" i="3"/>
  <c r="AA67" i="3"/>
  <c r="AA76" i="3"/>
  <c r="AA62" i="3"/>
  <c r="B68" i="3"/>
  <c r="B56" i="3"/>
  <c r="B79" i="3"/>
  <c r="AP11" i="33" s="1"/>
  <c r="B67" i="3"/>
  <c r="B78" i="3"/>
  <c r="AP10" i="33" s="1"/>
  <c r="B66" i="3"/>
  <c r="B77" i="3"/>
  <c r="AP9" i="33" s="1"/>
  <c r="B65" i="3"/>
  <c r="B76" i="3"/>
  <c r="AP8" i="33" s="1"/>
  <c r="B64" i="3"/>
  <c r="B75" i="3"/>
  <c r="AP7" i="33" s="1"/>
  <c r="B63" i="3"/>
  <c r="B74" i="3"/>
  <c r="AP6" i="33" s="1"/>
  <c r="B62" i="3"/>
  <c r="B81" i="3"/>
  <c r="AP13" i="33" s="1"/>
  <c r="B69" i="3"/>
  <c r="B57" i="3"/>
  <c r="AB490" i="3"/>
  <c r="AB509" i="3"/>
  <c r="AB507" i="3"/>
  <c r="AB505" i="3"/>
  <c r="AB503" i="3"/>
  <c r="AB497" i="3"/>
  <c r="AB495" i="3"/>
  <c r="AB493" i="3"/>
  <c r="AB484" i="3"/>
  <c r="AB491" i="3"/>
  <c r="AB485" i="3"/>
  <c r="AB508" i="3"/>
  <c r="AB506" i="3"/>
  <c r="AB504" i="3"/>
  <c r="AB502" i="3"/>
  <c r="AB496" i="3"/>
  <c r="AB494" i="3"/>
  <c r="AB492" i="3"/>
  <c r="AC509" i="3"/>
  <c r="FH13" i="33" s="1"/>
  <c r="AC507" i="3"/>
  <c r="FH11" i="33" s="1"/>
  <c r="AC505" i="3"/>
  <c r="FH9" i="33" s="1"/>
  <c r="AC503" i="3"/>
  <c r="FH7" i="33" s="1"/>
  <c r="AC497" i="3"/>
  <c r="AC495" i="3"/>
  <c r="AC493" i="3"/>
  <c r="AC484" i="3"/>
  <c r="AC491" i="3"/>
  <c r="AC485" i="3"/>
  <c r="AC508" i="3"/>
  <c r="FH12" i="33" s="1"/>
  <c r="AC506" i="3"/>
  <c r="FH10" i="33" s="1"/>
  <c r="AC504" i="3"/>
  <c r="FH8" i="33" s="1"/>
  <c r="AC502" i="3"/>
  <c r="FH6" i="33" s="1"/>
  <c r="AC496" i="3"/>
  <c r="AC494" i="3"/>
  <c r="AC492" i="3"/>
  <c r="AC490" i="3"/>
  <c r="E81" i="3"/>
  <c r="E67" i="3"/>
  <c r="E76" i="3"/>
  <c r="E62" i="3"/>
  <c r="E79" i="3"/>
  <c r="E65" i="3"/>
  <c r="E74" i="3"/>
  <c r="E68" i="3"/>
  <c r="E56" i="3"/>
  <c r="E77" i="3"/>
  <c r="E63" i="3"/>
  <c r="E80" i="3"/>
  <c r="E66" i="3"/>
  <c r="E75" i="3"/>
  <c r="E69" i="3"/>
  <c r="E57" i="3"/>
  <c r="E78" i="3"/>
  <c r="E64" i="3"/>
  <c r="Q404" i="3"/>
  <c r="Q402" i="3"/>
  <c r="Q400" i="3"/>
  <c r="Q403" i="3"/>
  <c r="Q401" i="3"/>
  <c r="Q399" i="3"/>
  <c r="Q397" i="3"/>
  <c r="Q387" i="3"/>
  <c r="Q390" i="3"/>
  <c r="Q380" i="3"/>
  <c r="Q388" i="3"/>
  <c r="Q391" i="3"/>
  <c r="Q385" i="3"/>
  <c r="Q389" i="3"/>
  <c r="Q392" i="3"/>
  <c r="Q386" i="3"/>
  <c r="Q398" i="3"/>
  <c r="Q379" i="3"/>
  <c r="W403" i="3"/>
  <c r="W401" i="3"/>
  <c r="W399" i="3"/>
  <c r="W397" i="3"/>
  <c r="W404" i="3"/>
  <c r="W402" i="3"/>
  <c r="W400" i="3"/>
  <c r="W398" i="3"/>
  <c r="W380" i="3"/>
  <c r="W389" i="3"/>
  <c r="W392" i="3"/>
  <c r="W386" i="3"/>
  <c r="W379" i="3"/>
  <c r="W390" i="3"/>
  <c r="W387" i="3"/>
  <c r="W388" i="3"/>
  <c r="W391" i="3"/>
  <c r="W385" i="3"/>
  <c r="D403" i="3"/>
  <c r="D401" i="3"/>
  <c r="D399" i="3"/>
  <c r="D397" i="3"/>
  <c r="D391" i="3"/>
  <c r="D389" i="3"/>
  <c r="D404" i="3"/>
  <c r="D402" i="3"/>
  <c r="D400" i="3"/>
  <c r="D398" i="3"/>
  <c r="D392" i="3"/>
  <c r="D390" i="3"/>
  <c r="D388" i="3"/>
  <c r="D379" i="3"/>
  <c r="D386" i="3"/>
  <c r="D387" i="3"/>
  <c r="D380" i="3"/>
  <c r="D385" i="3"/>
  <c r="U403" i="3"/>
  <c r="U401" i="3"/>
  <c r="U387" i="3"/>
  <c r="U404" i="3"/>
  <c r="U402" i="3"/>
  <c r="U400" i="3"/>
  <c r="U398" i="3"/>
  <c r="U391" i="3"/>
  <c r="U385" i="3"/>
  <c r="U397" i="3"/>
  <c r="U389" i="3"/>
  <c r="U392" i="3"/>
  <c r="U386" i="3"/>
  <c r="U379" i="3"/>
  <c r="U390" i="3"/>
  <c r="U380" i="3"/>
  <c r="U399" i="3"/>
  <c r="U388" i="3"/>
  <c r="H168" i="13"/>
  <c r="I180" i="13"/>
  <c r="W180" i="13"/>
  <c r="AC168" i="13"/>
  <c r="V180" i="13"/>
  <c r="E168" i="13"/>
  <c r="S168" i="13"/>
  <c r="J169" i="13"/>
  <c r="D169" i="13"/>
  <c r="I169" i="13"/>
  <c r="R181" i="13"/>
  <c r="C181" i="13"/>
  <c r="H182" i="13"/>
  <c r="O170" i="13"/>
  <c r="AB182" i="13"/>
  <c r="R170" i="13"/>
  <c r="J182" i="13"/>
  <c r="H171" i="13"/>
  <c r="C171" i="13"/>
  <c r="R171" i="13"/>
  <c r="T187" i="13"/>
  <c r="C175" i="13"/>
  <c r="Z163" i="13"/>
  <c r="L163" i="13"/>
  <c r="H175" i="13"/>
  <c r="V163" i="13"/>
  <c r="P163" i="13"/>
  <c r="R187" i="13"/>
  <c r="W175" i="13"/>
  <c r="C172" i="13"/>
  <c r="T172" i="13"/>
  <c r="M172" i="13"/>
  <c r="D184" i="13"/>
  <c r="AC172" i="13"/>
  <c r="Z173" i="13"/>
  <c r="C185" i="13"/>
  <c r="L173" i="13"/>
  <c r="J185" i="13"/>
  <c r="R185" i="13"/>
  <c r="D185" i="13"/>
  <c r="W185" i="13"/>
  <c r="AB173" i="13"/>
  <c r="H174" i="13"/>
  <c r="C174" i="13"/>
  <c r="V174" i="13"/>
  <c r="P162" i="13"/>
  <c r="K259" i="9"/>
  <c r="K368" i="9"/>
  <c r="K474" i="9"/>
  <c r="K369" i="9"/>
  <c r="K152" i="9"/>
  <c r="K151" i="9"/>
  <c r="K46" i="9"/>
  <c r="K45" i="9"/>
  <c r="K260" i="9"/>
  <c r="K473" i="9"/>
  <c r="N169" i="13"/>
  <c r="V291" i="3"/>
  <c r="N288" i="3"/>
  <c r="AC289" i="3"/>
  <c r="FB7" i="33" s="1"/>
  <c r="M294" i="3"/>
  <c r="CY12" i="33" s="1"/>
  <c r="E290" i="3"/>
  <c r="E293" i="3"/>
  <c r="AB182" i="3"/>
  <c r="V183" i="3"/>
  <c r="V180" i="3"/>
  <c r="AB293" i="3"/>
  <c r="AB292" i="3"/>
  <c r="T289" i="3"/>
  <c r="L291" i="3"/>
  <c r="J180" i="3"/>
  <c r="I186" i="3"/>
  <c r="AA292" i="3"/>
  <c r="S290" i="3"/>
  <c r="K291" i="3"/>
  <c r="C288" i="3"/>
  <c r="L187" i="3"/>
  <c r="D184" i="3"/>
  <c r="D183" i="3"/>
  <c r="B180" i="3"/>
  <c r="AS6" i="33" s="1"/>
  <c r="Q186" i="3"/>
  <c r="Z288" i="3"/>
  <c r="R293" i="3"/>
  <c r="R289" i="3"/>
  <c r="J290" i="3"/>
  <c r="B295" i="3"/>
  <c r="AV13" i="33" s="1"/>
  <c r="AA180" i="3"/>
  <c r="K187" i="3"/>
  <c r="C184" i="3"/>
  <c r="C183" i="3"/>
  <c r="R182" i="3"/>
  <c r="R181" i="3"/>
  <c r="P295" i="3"/>
  <c r="P291" i="3"/>
  <c r="H289" i="3"/>
  <c r="D289" i="3"/>
  <c r="O295" i="3"/>
  <c r="O291" i="3"/>
  <c r="G292" i="3"/>
  <c r="X186" i="3"/>
  <c r="P183" i="3"/>
  <c r="P180" i="3"/>
  <c r="F509" i="3"/>
  <c r="F507" i="3"/>
  <c r="F505" i="3"/>
  <c r="F503" i="3"/>
  <c r="F497" i="3"/>
  <c r="F495" i="3"/>
  <c r="F493" i="3"/>
  <c r="F484" i="3"/>
  <c r="F491" i="3"/>
  <c r="F485" i="3"/>
  <c r="F508" i="3"/>
  <c r="F506" i="3"/>
  <c r="F504" i="3"/>
  <c r="F502" i="3"/>
  <c r="F496" i="3"/>
  <c r="F494" i="3"/>
  <c r="F492" i="3"/>
  <c r="F490" i="3"/>
  <c r="O403" i="3"/>
  <c r="O401" i="3"/>
  <c r="O399" i="3"/>
  <c r="O397" i="3"/>
  <c r="O404" i="3"/>
  <c r="O402" i="3"/>
  <c r="O400" i="3"/>
  <c r="O398" i="3"/>
  <c r="O380" i="3"/>
  <c r="O386" i="3"/>
  <c r="O379" i="3"/>
  <c r="O390" i="3"/>
  <c r="O387" i="3"/>
  <c r="O388" i="3"/>
  <c r="O391" i="3"/>
  <c r="O385" i="3"/>
  <c r="O389" i="3"/>
  <c r="O392" i="3"/>
  <c r="AC185" i="3"/>
  <c r="EY11" i="33" s="1"/>
  <c r="AC183" i="3"/>
  <c r="EY9" i="33" s="1"/>
  <c r="AC181" i="3"/>
  <c r="EY7" i="33" s="1"/>
  <c r="AC175" i="3"/>
  <c r="AC173" i="3"/>
  <c r="AC171" i="3"/>
  <c r="AC187" i="3"/>
  <c r="EY13" i="33" s="1"/>
  <c r="AC169" i="3"/>
  <c r="AC163" i="3"/>
  <c r="AC186" i="3"/>
  <c r="EY12" i="33" s="1"/>
  <c r="AC184" i="3"/>
  <c r="EY10" i="33" s="1"/>
  <c r="AC182" i="3"/>
  <c r="EY8" i="33" s="1"/>
  <c r="AC180" i="3"/>
  <c r="EY6" i="33" s="1"/>
  <c r="AC174" i="3"/>
  <c r="AC172" i="3"/>
  <c r="AC170" i="3"/>
  <c r="AC168" i="3"/>
  <c r="AC162" i="3"/>
  <c r="Y485" i="3"/>
  <c r="Y508" i="3"/>
  <c r="Y506" i="3"/>
  <c r="Y504" i="3"/>
  <c r="Y502" i="3"/>
  <c r="Y496" i="3"/>
  <c r="Y494" i="3"/>
  <c r="Y492" i="3"/>
  <c r="Y490" i="3"/>
  <c r="Y509" i="3"/>
  <c r="Y507" i="3"/>
  <c r="Y505" i="3"/>
  <c r="Y503" i="3"/>
  <c r="Y497" i="3"/>
  <c r="Y495" i="3"/>
  <c r="Y493" i="3"/>
  <c r="Y484" i="3"/>
  <c r="Y491" i="3"/>
  <c r="S79" i="3"/>
  <c r="S65" i="3"/>
  <c r="S74" i="3"/>
  <c r="S68" i="3"/>
  <c r="S56" i="3"/>
  <c r="S77" i="3"/>
  <c r="S63" i="3"/>
  <c r="S80" i="3"/>
  <c r="S66" i="3"/>
  <c r="S75" i="3"/>
  <c r="S69" i="3"/>
  <c r="S57" i="3"/>
  <c r="S78" i="3"/>
  <c r="S64" i="3"/>
  <c r="S81" i="3"/>
  <c r="S67" i="3"/>
  <c r="S76" i="3"/>
  <c r="S62" i="3"/>
  <c r="B506" i="3"/>
  <c r="BB10" i="33" s="1"/>
  <c r="B504" i="3"/>
  <c r="BB8" i="33" s="1"/>
  <c r="B502" i="3"/>
  <c r="BB6" i="33" s="1"/>
  <c r="B496" i="3"/>
  <c r="B494" i="3"/>
  <c r="B492" i="3"/>
  <c r="B490" i="3"/>
  <c r="B509" i="3"/>
  <c r="BB13" i="33" s="1"/>
  <c r="B507" i="3"/>
  <c r="BB11" i="33" s="1"/>
  <c r="B505" i="3"/>
  <c r="BB9" i="33" s="1"/>
  <c r="B503" i="3"/>
  <c r="BB7" i="33" s="1"/>
  <c r="B497" i="3"/>
  <c r="B495" i="3"/>
  <c r="B493" i="3"/>
  <c r="B484" i="3"/>
  <c r="B491" i="3"/>
  <c r="B485" i="3"/>
  <c r="V509" i="3"/>
  <c r="V507" i="3"/>
  <c r="V505" i="3"/>
  <c r="V503" i="3"/>
  <c r="V497" i="3"/>
  <c r="V495" i="3"/>
  <c r="V493" i="3"/>
  <c r="V484" i="3"/>
  <c r="V491" i="3"/>
  <c r="V485" i="3"/>
  <c r="V508" i="3"/>
  <c r="V506" i="3"/>
  <c r="V504" i="3"/>
  <c r="V502" i="3"/>
  <c r="V496" i="3"/>
  <c r="V494" i="3"/>
  <c r="V492" i="3"/>
  <c r="V490" i="3"/>
  <c r="U509" i="3"/>
  <c r="U507" i="3"/>
  <c r="U505" i="3"/>
  <c r="U503" i="3"/>
  <c r="U497" i="3"/>
  <c r="U495" i="3"/>
  <c r="U493" i="3"/>
  <c r="U484" i="3"/>
  <c r="U491" i="3"/>
  <c r="U485" i="3"/>
  <c r="U508" i="3"/>
  <c r="U506" i="3"/>
  <c r="U504" i="3"/>
  <c r="U502" i="3"/>
  <c r="U496" i="3"/>
  <c r="U494" i="3"/>
  <c r="U492" i="3"/>
  <c r="U490" i="3"/>
  <c r="AA490" i="3"/>
  <c r="AA509" i="3"/>
  <c r="AA507" i="3"/>
  <c r="AA505" i="3"/>
  <c r="AA503" i="3"/>
  <c r="AA497" i="3"/>
  <c r="AA495" i="3"/>
  <c r="AA493" i="3"/>
  <c r="AA484" i="3"/>
  <c r="AA491" i="3"/>
  <c r="AA485" i="3"/>
  <c r="AA508" i="3"/>
  <c r="AA506" i="3"/>
  <c r="AA504" i="3"/>
  <c r="AA502" i="3"/>
  <c r="AA496" i="3"/>
  <c r="AA494" i="3"/>
  <c r="AA492" i="3"/>
  <c r="R404" i="3"/>
  <c r="R402" i="3"/>
  <c r="R400" i="3"/>
  <c r="R398" i="3"/>
  <c r="R386" i="3"/>
  <c r="R403" i="3"/>
  <c r="R401" i="3"/>
  <c r="R385" i="3"/>
  <c r="R399" i="3"/>
  <c r="R380" i="3"/>
  <c r="R388" i="3"/>
  <c r="R391" i="3"/>
  <c r="R397" i="3"/>
  <c r="R389" i="3"/>
  <c r="R392" i="3"/>
  <c r="R379" i="3"/>
  <c r="R390" i="3"/>
  <c r="R387" i="3"/>
  <c r="H404" i="3"/>
  <c r="H402" i="3"/>
  <c r="H400" i="3"/>
  <c r="H398" i="3"/>
  <c r="H392" i="3"/>
  <c r="H390" i="3"/>
  <c r="H388" i="3"/>
  <c r="H379" i="3"/>
  <c r="H403" i="3"/>
  <c r="H401" i="3"/>
  <c r="H399" i="3"/>
  <c r="H397" i="3"/>
  <c r="H391" i="3"/>
  <c r="H389" i="3"/>
  <c r="H380" i="3"/>
  <c r="H385" i="3"/>
  <c r="H386" i="3"/>
  <c r="H387" i="3"/>
  <c r="N403" i="3"/>
  <c r="N401" i="3"/>
  <c r="N399" i="3"/>
  <c r="N385" i="3"/>
  <c r="N404" i="3"/>
  <c r="N402" i="3"/>
  <c r="N400" i="3"/>
  <c r="N386" i="3"/>
  <c r="N398" i="3"/>
  <c r="N392" i="3"/>
  <c r="N379" i="3"/>
  <c r="N390" i="3"/>
  <c r="N387" i="3"/>
  <c r="N380" i="3"/>
  <c r="N388" i="3"/>
  <c r="N397" i="3"/>
  <c r="N391" i="3"/>
  <c r="N389" i="3"/>
  <c r="AA404" i="3"/>
  <c r="AA402" i="3"/>
  <c r="AA400" i="3"/>
  <c r="AA398" i="3"/>
  <c r="AA380" i="3"/>
  <c r="AA403" i="3"/>
  <c r="AA401" i="3"/>
  <c r="AA399" i="3"/>
  <c r="AA390" i="3"/>
  <c r="AA387" i="3"/>
  <c r="AA388" i="3"/>
  <c r="AA391" i="3"/>
  <c r="AA385" i="3"/>
  <c r="AA389" i="3"/>
  <c r="AA392" i="3"/>
  <c r="AA397" i="3"/>
  <c r="AA386" i="3"/>
  <c r="AA379" i="3"/>
  <c r="L403" i="3"/>
  <c r="L401" i="3"/>
  <c r="L399" i="3"/>
  <c r="L397" i="3"/>
  <c r="L391" i="3"/>
  <c r="L389" i="3"/>
  <c r="L404" i="3"/>
  <c r="L402" i="3"/>
  <c r="L400" i="3"/>
  <c r="L398" i="3"/>
  <c r="L392" i="3"/>
  <c r="L390" i="3"/>
  <c r="L388" i="3"/>
  <c r="L379" i="3"/>
  <c r="L386" i="3"/>
  <c r="L387" i="3"/>
  <c r="L380" i="3"/>
  <c r="L385" i="3"/>
  <c r="H180" i="13"/>
  <c r="G168" i="13"/>
  <c r="M168" i="13"/>
  <c r="S180" i="13"/>
  <c r="P169" i="13"/>
  <c r="H169" i="13"/>
  <c r="T181" i="13"/>
  <c r="G169" i="13"/>
  <c r="O181" i="13"/>
  <c r="S181" i="13"/>
  <c r="R169" i="13"/>
  <c r="C169" i="13"/>
  <c r="M182" i="13"/>
  <c r="BK8" i="33" s="1"/>
  <c r="E182" i="13"/>
  <c r="C170" i="13"/>
  <c r="V170" i="13"/>
  <c r="H183" i="13"/>
  <c r="O171" i="13"/>
  <c r="Z183" i="13"/>
  <c r="I183" i="13"/>
  <c r="J171" i="13"/>
  <c r="S183" i="13"/>
  <c r="D171" i="13"/>
  <c r="I163" i="13"/>
  <c r="C187" i="13"/>
  <c r="Z175" i="13"/>
  <c r="L175" i="13"/>
  <c r="H187" i="13"/>
  <c r="S163" i="13"/>
  <c r="W187" i="13"/>
  <c r="C184" i="13"/>
  <c r="M184" i="13"/>
  <c r="BK10" i="33" s="1"/>
  <c r="I172" i="13"/>
  <c r="G172" i="13"/>
  <c r="S172" i="13"/>
  <c r="O172" i="13"/>
  <c r="R184" i="13"/>
  <c r="V184" i="13"/>
  <c r="O173" i="13"/>
  <c r="Z185" i="13"/>
  <c r="C173" i="13"/>
  <c r="L185" i="13"/>
  <c r="AB185" i="13"/>
  <c r="S173" i="13"/>
  <c r="E173" i="13"/>
  <c r="L162" i="13"/>
  <c r="D162" i="13"/>
  <c r="G162" i="13"/>
  <c r="C186" i="13"/>
  <c r="V186" i="13"/>
  <c r="Z474" i="9"/>
  <c r="Z151" i="9"/>
  <c r="Z473" i="9"/>
  <c r="Z259" i="9"/>
  <c r="Z369" i="9"/>
  <c r="Z152" i="9"/>
  <c r="Z260" i="9"/>
  <c r="Z368" i="9"/>
  <c r="Z45" i="9"/>
  <c r="V288" i="3"/>
  <c r="AC288" i="3"/>
  <c r="FB6" i="33" s="1"/>
  <c r="AC291" i="3"/>
  <c r="FB9" i="33" s="1"/>
  <c r="E292" i="3"/>
  <c r="E295" i="3"/>
  <c r="AB184" i="3"/>
  <c r="AB181" i="3"/>
  <c r="V185" i="3"/>
  <c r="V182" i="3"/>
  <c r="N181" i="3"/>
  <c r="AB289" i="3"/>
  <c r="T294" i="3"/>
  <c r="T290" i="3"/>
  <c r="L288" i="3"/>
  <c r="Q288" i="3"/>
  <c r="J182" i="3"/>
  <c r="J181" i="3"/>
  <c r="AA293" i="3"/>
  <c r="AA289" i="3"/>
  <c r="S294" i="3"/>
  <c r="K288" i="3"/>
  <c r="K295" i="3"/>
  <c r="C292" i="3"/>
  <c r="D186" i="3"/>
  <c r="D185" i="3"/>
  <c r="I288" i="3"/>
  <c r="B182" i="3"/>
  <c r="AS8" i="33" s="1"/>
  <c r="B181" i="3"/>
  <c r="AS7" i="33" s="1"/>
  <c r="J294" i="3"/>
  <c r="B291" i="3"/>
  <c r="AV9" i="33" s="1"/>
  <c r="AA182" i="3"/>
  <c r="C186" i="3"/>
  <c r="C185" i="3"/>
  <c r="R184" i="3"/>
  <c r="R183" i="3"/>
  <c r="Z180" i="3"/>
  <c r="X295" i="3"/>
  <c r="X291" i="3"/>
  <c r="P288" i="3"/>
  <c r="H290" i="3"/>
  <c r="D290" i="3"/>
  <c r="D293" i="3"/>
  <c r="W291" i="3"/>
  <c r="O288" i="3"/>
  <c r="G293" i="3"/>
  <c r="G289" i="3"/>
  <c r="X187" i="3"/>
  <c r="P185" i="3"/>
  <c r="P182" i="3"/>
  <c r="H181" i="3"/>
  <c r="F290" i="3"/>
  <c r="F294" i="3"/>
  <c r="O491" i="3"/>
  <c r="O485" i="3"/>
  <c r="O508" i="3"/>
  <c r="O506" i="3"/>
  <c r="O504" i="3"/>
  <c r="O502" i="3"/>
  <c r="O496" i="3"/>
  <c r="O494" i="3"/>
  <c r="O492" i="3"/>
  <c r="O490" i="3"/>
  <c r="O509" i="3"/>
  <c r="O507" i="3"/>
  <c r="O505" i="3"/>
  <c r="O503" i="3"/>
  <c r="O497" i="3"/>
  <c r="O495" i="3"/>
  <c r="O493" i="3"/>
  <c r="O484" i="3"/>
  <c r="T76" i="3"/>
  <c r="T62" i="3"/>
  <c r="T79" i="3"/>
  <c r="T65" i="3"/>
  <c r="T74" i="3"/>
  <c r="T68" i="3"/>
  <c r="T56" i="3"/>
  <c r="T77" i="3"/>
  <c r="T63" i="3"/>
  <c r="T80" i="3"/>
  <c r="T66" i="3"/>
  <c r="T75" i="3"/>
  <c r="T69" i="3"/>
  <c r="T57" i="3"/>
  <c r="T78" i="3"/>
  <c r="T64" i="3"/>
  <c r="T81" i="3"/>
  <c r="T67" i="3"/>
  <c r="U187" i="3"/>
  <c r="U185" i="3"/>
  <c r="U183" i="3"/>
  <c r="U181" i="3"/>
  <c r="U175" i="3"/>
  <c r="U173" i="3"/>
  <c r="U171" i="3"/>
  <c r="U169" i="3"/>
  <c r="U163" i="3"/>
  <c r="U186" i="3"/>
  <c r="U184" i="3"/>
  <c r="U182" i="3"/>
  <c r="U180" i="3"/>
  <c r="U174" i="3"/>
  <c r="U172" i="3"/>
  <c r="U170" i="3"/>
  <c r="U168" i="3"/>
  <c r="U162" i="3"/>
  <c r="Q485" i="3"/>
  <c r="Q508" i="3"/>
  <c r="Q506" i="3"/>
  <c r="Q504" i="3"/>
  <c r="Q502" i="3"/>
  <c r="Q496" i="3"/>
  <c r="Q494" i="3"/>
  <c r="Q492" i="3"/>
  <c r="Q490" i="3"/>
  <c r="Q509" i="3"/>
  <c r="Q507" i="3"/>
  <c r="Q505" i="3"/>
  <c r="Q503" i="3"/>
  <c r="Q497" i="3"/>
  <c r="Q495" i="3"/>
  <c r="Q493" i="3"/>
  <c r="Q484" i="3"/>
  <c r="Q491" i="3"/>
  <c r="K79" i="3"/>
  <c r="K65" i="3"/>
  <c r="K74" i="3"/>
  <c r="K68" i="3"/>
  <c r="K56" i="3"/>
  <c r="K77" i="3"/>
  <c r="K63" i="3"/>
  <c r="K80" i="3"/>
  <c r="K66" i="3"/>
  <c r="K75" i="3"/>
  <c r="K69" i="3"/>
  <c r="K57" i="3"/>
  <c r="K78" i="3"/>
  <c r="K64" i="3"/>
  <c r="K81" i="3"/>
  <c r="K67" i="3"/>
  <c r="K76" i="3"/>
  <c r="K62" i="3"/>
  <c r="W491" i="3"/>
  <c r="W485" i="3"/>
  <c r="W508" i="3"/>
  <c r="W506" i="3"/>
  <c r="W504" i="3"/>
  <c r="W502" i="3"/>
  <c r="W496" i="3"/>
  <c r="W494" i="3"/>
  <c r="W492" i="3"/>
  <c r="W490" i="3"/>
  <c r="W509" i="3"/>
  <c r="W507" i="3"/>
  <c r="W505" i="3"/>
  <c r="W503" i="3"/>
  <c r="W497" i="3"/>
  <c r="W495" i="3"/>
  <c r="W493" i="3"/>
  <c r="W484" i="3"/>
  <c r="N509" i="3"/>
  <c r="N507" i="3"/>
  <c r="N505" i="3"/>
  <c r="N503" i="3"/>
  <c r="N497" i="3"/>
  <c r="N495" i="3"/>
  <c r="N493" i="3"/>
  <c r="N484" i="3"/>
  <c r="N491" i="3"/>
  <c r="N485" i="3"/>
  <c r="N508" i="3"/>
  <c r="N506" i="3"/>
  <c r="N504" i="3"/>
  <c r="N502" i="3"/>
  <c r="N496" i="3"/>
  <c r="N494" i="3"/>
  <c r="N492" i="3"/>
  <c r="N490" i="3"/>
  <c r="M509" i="3"/>
  <c r="DE13" i="33" s="1"/>
  <c r="M507" i="3"/>
  <c r="DE11" i="33" s="1"/>
  <c r="M505" i="3"/>
  <c r="DE9" i="33" s="1"/>
  <c r="M503" i="3"/>
  <c r="DE7" i="33" s="1"/>
  <c r="M497" i="3"/>
  <c r="M495" i="3"/>
  <c r="M493" i="3"/>
  <c r="M484" i="3"/>
  <c r="M491" i="3"/>
  <c r="M485" i="3"/>
  <c r="M508" i="3"/>
  <c r="DE12" i="33" s="1"/>
  <c r="M506" i="3"/>
  <c r="DE10" i="33" s="1"/>
  <c r="M504" i="3"/>
  <c r="DE8" i="33" s="1"/>
  <c r="M502" i="3"/>
  <c r="DE6" i="33" s="1"/>
  <c r="M496" i="3"/>
  <c r="M494" i="3"/>
  <c r="M492" i="3"/>
  <c r="M490" i="3"/>
  <c r="S490" i="3"/>
  <c r="S509" i="3"/>
  <c r="S507" i="3"/>
  <c r="S505" i="3"/>
  <c r="S503" i="3"/>
  <c r="S497" i="3"/>
  <c r="S495" i="3"/>
  <c r="S493" i="3"/>
  <c r="S484" i="3"/>
  <c r="S491" i="3"/>
  <c r="S485" i="3"/>
  <c r="S508" i="3"/>
  <c r="S506" i="3"/>
  <c r="S504" i="3"/>
  <c r="S502" i="3"/>
  <c r="S496" i="3"/>
  <c r="S494" i="3"/>
  <c r="S492" i="3"/>
  <c r="I404" i="3"/>
  <c r="I402" i="3"/>
  <c r="I400" i="3"/>
  <c r="I403" i="3"/>
  <c r="I401" i="3"/>
  <c r="I399" i="3"/>
  <c r="I397" i="3"/>
  <c r="I387" i="3"/>
  <c r="I388" i="3"/>
  <c r="I391" i="3"/>
  <c r="I385" i="3"/>
  <c r="I398" i="3"/>
  <c r="I389" i="3"/>
  <c r="I392" i="3"/>
  <c r="I386" i="3"/>
  <c r="I379" i="3"/>
  <c r="I390" i="3"/>
  <c r="I380" i="3"/>
  <c r="X404" i="3"/>
  <c r="X402" i="3"/>
  <c r="X400" i="3"/>
  <c r="X398" i="3"/>
  <c r="X392" i="3"/>
  <c r="X390" i="3"/>
  <c r="X388" i="3"/>
  <c r="X379" i="3"/>
  <c r="X403" i="3"/>
  <c r="X401" i="3"/>
  <c r="X399" i="3"/>
  <c r="X397" i="3"/>
  <c r="X391" i="3"/>
  <c r="X389" i="3"/>
  <c r="X386" i="3"/>
  <c r="X387" i="3"/>
  <c r="X380" i="3"/>
  <c r="X385" i="3"/>
  <c r="E403" i="3"/>
  <c r="E401" i="3"/>
  <c r="E387" i="3"/>
  <c r="E404" i="3"/>
  <c r="E402" i="3"/>
  <c r="E400" i="3"/>
  <c r="E398" i="3"/>
  <c r="E379" i="3"/>
  <c r="E390" i="3"/>
  <c r="E397" i="3"/>
  <c r="E380" i="3"/>
  <c r="E399" i="3"/>
  <c r="E388" i="3"/>
  <c r="E391" i="3"/>
  <c r="E385" i="3"/>
  <c r="E389" i="3"/>
  <c r="E392" i="3"/>
  <c r="E386" i="3"/>
  <c r="S404" i="3"/>
  <c r="S402" i="3"/>
  <c r="S400" i="3"/>
  <c r="S398" i="3"/>
  <c r="S380" i="3"/>
  <c r="S403" i="3"/>
  <c r="S401" i="3"/>
  <c r="S399" i="3"/>
  <c r="S388" i="3"/>
  <c r="S391" i="3"/>
  <c r="S385" i="3"/>
  <c r="S397" i="3"/>
  <c r="S389" i="3"/>
  <c r="S392" i="3"/>
  <c r="S386" i="3"/>
  <c r="S379" i="3"/>
  <c r="S390" i="3"/>
  <c r="S387" i="3"/>
  <c r="B404" i="3"/>
  <c r="AY13" i="33" s="1"/>
  <c r="B402" i="3"/>
  <c r="AY11" i="33" s="1"/>
  <c r="B400" i="3"/>
  <c r="AY9" i="33" s="1"/>
  <c r="B386" i="3"/>
  <c r="B401" i="3"/>
  <c r="AY10" i="33" s="1"/>
  <c r="B385" i="3"/>
  <c r="B389" i="3"/>
  <c r="B392" i="3"/>
  <c r="B379" i="3"/>
  <c r="B390" i="3"/>
  <c r="B387" i="3"/>
  <c r="B399" i="3"/>
  <c r="AY8" i="33" s="1"/>
  <c r="B397" i="3"/>
  <c r="AY6" i="33" s="1"/>
  <c r="B380" i="3"/>
  <c r="B398" i="3"/>
  <c r="AY7" i="33" s="1"/>
  <c r="B388" i="3"/>
  <c r="B391" i="3"/>
  <c r="AB76" i="3"/>
  <c r="AB62" i="3"/>
  <c r="AB79" i="3"/>
  <c r="AB65" i="3"/>
  <c r="AB74" i="3"/>
  <c r="AB68" i="3"/>
  <c r="AB56" i="3"/>
  <c r="AB77" i="3"/>
  <c r="AB63" i="3"/>
  <c r="AB80" i="3"/>
  <c r="AB66" i="3"/>
  <c r="AB75" i="3"/>
  <c r="AB69" i="3"/>
  <c r="AB57" i="3"/>
  <c r="AB78" i="3"/>
  <c r="AB64" i="3"/>
  <c r="AB81" i="3"/>
  <c r="AB67" i="3"/>
  <c r="L490" i="3"/>
  <c r="L509" i="3"/>
  <c r="L507" i="3"/>
  <c r="L505" i="3"/>
  <c r="L503" i="3"/>
  <c r="L497" i="3"/>
  <c r="L495" i="3"/>
  <c r="L493" i="3"/>
  <c r="L484" i="3"/>
  <c r="L491" i="3"/>
  <c r="L485" i="3"/>
  <c r="L508" i="3"/>
  <c r="L506" i="3"/>
  <c r="L504" i="3"/>
  <c r="L502" i="3"/>
  <c r="L496" i="3"/>
  <c r="L494" i="3"/>
  <c r="L492" i="3"/>
  <c r="P173" i="13"/>
  <c r="P185" i="13"/>
  <c r="T168" i="13"/>
  <c r="G180" i="13"/>
  <c r="Z168" i="13"/>
  <c r="V168" i="13"/>
  <c r="T169" i="13"/>
  <c r="S169" i="13"/>
  <c r="M170" i="13"/>
  <c r="S170" i="13"/>
  <c r="E170" i="13"/>
  <c r="I170" i="13"/>
  <c r="O182" i="13"/>
  <c r="R182" i="13"/>
  <c r="AC182" i="13"/>
  <c r="DN8" i="33" s="1"/>
  <c r="W171" i="13"/>
  <c r="O183" i="13"/>
  <c r="AB183" i="13"/>
  <c r="E171" i="13"/>
  <c r="I175" i="13"/>
  <c r="Z187" i="13"/>
  <c r="L187" i="13"/>
  <c r="H163" i="13"/>
  <c r="S175" i="13"/>
  <c r="W163" i="13"/>
  <c r="G184" i="13"/>
  <c r="AC184" i="13"/>
  <c r="DN10" i="33" s="1"/>
  <c r="S184" i="13"/>
  <c r="O185" i="13"/>
  <c r="S185" i="13"/>
  <c r="E185" i="13"/>
  <c r="L174" i="13"/>
  <c r="D174" i="13"/>
  <c r="G174" i="13"/>
  <c r="T162" i="13"/>
  <c r="J186" i="13"/>
  <c r="M162" i="13"/>
  <c r="R186" i="13"/>
  <c r="K74" i="9"/>
  <c r="V292" i="3"/>
  <c r="N292" i="3"/>
  <c r="N293" i="3"/>
  <c r="AC290" i="3"/>
  <c r="FB8" i="33" s="1"/>
  <c r="AC293" i="3"/>
  <c r="FB11" i="33" s="1"/>
  <c r="U289" i="3"/>
  <c r="E294" i="3"/>
  <c r="AB186" i="3"/>
  <c r="AB183" i="3"/>
  <c r="V187" i="3"/>
  <c r="V184" i="3"/>
  <c r="N183" i="3"/>
  <c r="N180" i="3"/>
  <c r="AB290" i="3"/>
  <c r="L292" i="3"/>
  <c r="L295" i="3"/>
  <c r="Q289" i="3"/>
  <c r="Q290" i="3"/>
  <c r="J184" i="3"/>
  <c r="J183" i="3"/>
  <c r="S291" i="3"/>
  <c r="C289" i="3"/>
  <c r="D187" i="3"/>
  <c r="I289" i="3"/>
  <c r="I290" i="3"/>
  <c r="B184" i="3"/>
  <c r="AS10" i="33" s="1"/>
  <c r="B183" i="3"/>
  <c r="AS9" i="33" s="1"/>
  <c r="Z292" i="3"/>
  <c r="Z293" i="3"/>
  <c r="R290" i="3"/>
  <c r="R294" i="3"/>
  <c r="J295" i="3"/>
  <c r="B288" i="3"/>
  <c r="AV6" i="33" s="1"/>
  <c r="AA184" i="3"/>
  <c r="AA181" i="3"/>
  <c r="S180" i="3"/>
  <c r="C187" i="3"/>
  <c r="R186" i="3"/>
  <c r="R185" i="3"/>
  <c r="Y288" i="3"/>
  <c r="Z182" i="3"/>
  <c r="X288" i="3"/>
  <c r="P293" i="3"/>
  <c r="P292" i="3"/>
  <c r="Y181" i="3"/>
  <c r="Y180" i="3"/>
  <c r="W288" i="3"/>
  <c r="W295" i="3"/>
  <c r="O292" i="3"/>
  <c r="P187" i="3"/>
  <c r="P184" i="3"/>
  <c r="H183" i="3"/>
  <c r="H180" i="3"/>
  <c r="T180" i="13"/>
  <c r="R168" i="13"/>
  <c r="Z180" i="13"/>
  <c r="J168" i="13"/>
  <c r="P181" i="13"/>
  <c r="H181" i="13"/>
  <c r="G181" i="13"/>
  <c r="L181" i="13"/>
  <c r="AC181" i="13"/>
  <c r="DN7" i="33" s="1"/>
  <c r="L170" i="13"/>
  <c r="C182" i="13"/>
  <c r="D170" i="13"/>
  <c r="V182" i="13"/>
  <c r="G170" i="13"/>
  <c r="AC170" i="13"/>
  <c r="W183" i="13"/>
  <c r="Z171" i="13"/>
  <c r="I171" i="13"/>
  <c r="S171" i="13"/>
  <c r="E183" i="13"/>
  <c r="O175" i="13"/>
  <c r="I187" i="13"/>
  <c r="D163" i="13"/>
  <c r="E163" i="13"/>
  <c r="S187" i="13"/>
  <c r="J163" i="13"/>
  <c r="G175" i="13"/>
  <c r="AB172" i="13"/>
  <c r="R172" i="13"/>
  <c r="G173" i="13"/>
  <c r="W186" i="13"/>
  <c r="L186" i="13"/>
  <c r="D186" i="13"/>
  <c r="AC162" i="13"/>
  <c r="G186" i="13"/>
  <c r="T174" i="13"/>
  <c r="J162" i="13"/>
  <c r="M174" i="13"/>
  <c r="R162" i="13"/>
  <c r="V293" i="3"/>
  <c r="N289" i="3"/>
  <c r="AC292" i="3"/>
  <c r="FB10" i="33" s="1"/>
  <c r="AC295" i="3"/>
  <c r="FB13" i="33" s="1"/>
  <c r="U288" i="3"/>
  <c r="U291" i="3"/>
  <c r="AB185" i="3"/>
  <c r="N185" i="3"/>
  <c r="N182" i="3"/>
  <c r="F181" i="3"/>
  <c r="Z77" i="9"/>
  <c r="T291" i="3"/>
  <c r="L289" i="3"/>
  <c r="Q291" i="3"/>
  <c r="Q292" i="3"/>
  <c r="J186" i="3"/>
  <c r="J185" i="3"/>
  <c r="AA290" i="3"/>
  <c r="S288" i="3"/>
  <c r="S295" i="3"/>
  <c r="K289" i="3"/>
  <c r="K292" i="3"/>
  <c r="C293" i="3"/>
  <c r="I291" i="3"/>
  <c r="I292" i="3"/>
  <c r="Z289" i="3"/>
  <c r="J291" i="3"/>
  <c r="AA186" i="3"/>
  <c r="AA183" i="3"/>
  <c r="S182" i="3"/>
  <c r="S181" i="3"/>
  <c r="Y289" i="3"/>
  <c r="Y290" i="3"/>
  <c r="Z184" i="3"/>
  <c r="Z181" i="3"/>
  <c r="X292" i="3"/>
  <c r="P289" i="3"/>
  <c r="H291" i="3"/>
  <c r="H294" i="3"/>
  <c r="Y183" i="3"/>
  <c r="Y182" i="3"/>
  <c r="D294" i="3"/>
  <c r="W292" i="3"/>
  <c r="O289" i="3"/>
  <c r="G290" i="3"/>
  <c r="H185" i="3"/>
  <c r="H182" i="3"/>
  <c r="F295" i="3"/>
  <c r="F291" i="3"/>
  <c r="M187" i="3"/>
  <c r="CV13" i="33" s="1"/>
  <c r="M185" i="3"/>
  <c r="CV11" i="33" s="1"/>
  <c r="M183" i="3"/>
  <c r="CV9" i="33" s="1"/>
  <c r="M181" i="3"/>
  <c r="CV7" i="33" s="1"/>
  <c r="M175" i="3"/>
  <c r="M173" i="3"/>
  <c r="M171" i="3"/>
  <c r="M169" i="3"/>
  <c r="M163" i="3"/>
  <c r="M186" i="3"/>
  <c r="CV12" i="33" s="1"/>
  <c r="M184" i="3"/>
  <c r="CV10" i="33" s="1"/>
  <c r="M182" i="3"/>
  <c r="CV8" i="33" s="1"/>
  <c r="M180" i="3"/>
  <c r="CV6" i="33" s="1"/>
  <c r="M174" i="3"/>
  <c r="M172" i="3"/>
  <c r="M170" i="3"/>
  <c r="M168" i="3"/>
  <c r="M162" i="3"/>
  <c r="C79" i="3"/>
  <c r="C65" i="3"/>
  <c r="C74" i="3"/>
  <c r="C68" i="3"/>
  <c r="C56" i="3"/>
  <c r="C77" i="3"/>
  <c r="C63" i="3"/>
  <c r="C80" i="3"/>
  <c r="C66" i="3"/>
  <c r="C75" i="3"/>
  <c r="C69" i="3"/>
  <c r="C57" i="3"/>
  <c r="C78" i="3"/>
  <c r="C64" i="3"/>
  <c r="C81" i="3"/>
  <c r="C67" i="3"/>
  <c r="C76" i="3"/>
  <c r="C62" i="3"/>
  <c r="E187" i="3"/>
  <c r="E185" i="3"/>
  <c r="E183" i="3"/>
  <c r="E181" i="3"/>
  <c r="E175" i="3"/>
  <c r="E173" i="3"/>
  <c r="E171" i="3"/>
  <c r="E169" i="3"/>
  <c r="E163" i="3"/>
  <c r="E186" i="3"/>
  <c r="E184" i="3"/>
  <c r="E182" i="3"/>
  <c r="E180" i="3"/>
  <c r="E174" i="3"/>
  <c r="E172" i="3"/>
  <c r="E170" i="3"/>
  <c r="E168" i="3"/>
  <c r="E162" i="3"/>
  <c r="D490" i="3"/>
  <c r="D509" i="3"/>
  <c r="D507" i="3"/>
  <c r="D505" i="3"/>
  <c r="D503" i="3"/>
  <c r="D497" i="3"/>
  <c r="D495" i="3"/>
  <c r="D493" i="3"/>
  <c r="D484" i="3"/>
  <c r="D491" i="3"/>
  <c r="D485" i="3"/>
  <c r="D508" i="3"/>
  <c r="D506" i="3"/>
  <c r="D504" i="3"/>
  <c r="D502" i="3"/>
  <c r="D496" i="3"/>
  <c r="D494" i="3"/>
  <c r="D492" i="3"/>
  <c r="G491" i="3"/>
  <c r="G485" i="3"/>
  <c r="G508" i="3"/>
  <c r="G506" i="3"/>
  <c r="G504" i="3"/>
  <c r="G502" i="3"/>
  <c r="G496" i="3"/>
  <c r="G494" i="3"/>
  <c r="G492" i="3"/>
  <c r="G490" i="3"/>
  <c r="G509" i="3"/>
  <c r="G507" i="3"/>
  <c r="G505" i="3"/>
  <c r="G503" i="3"/>
  <c r="G497" i="3"/>
  <c r="G495" i="3"/>
  <c r="G493" i="3"/>
  <c r="G484" i="3"/>
  <c r="X80" i="3"/>
  <c r="X66" i="3"/>
  <c r="X75" i="3"/>
  <c r="X69" i="3"/>
  <c r="X57" i="3"/>
  <c r="X78" i="3"/>
  <c r="X64" i="3"/>
  <c r="X81" i="3"/>
  <c r="X67" i="3"/>
  <c r="X76" i="3"/>
  <c r="X62" i="3"/>
  <c r="X79" i="3"/>
  <c r="X65" i="3"/>
  <c r="X74" i="3"/>
  <c r="X68" i="3"/>
  <c r="X56" i="3"/>
  <c r="X77" i="3"/>
  <c r="X63" i="3"/>
  <c r="W75" i="3"/>
  <c r="W69" i="3"/>
  <c r="W57" i="3"/>
  <c r="W78" i="3"/>
  <c r="W64" i="3"/>
  <c r="W81" i="3"/>
  <c r="W67" i="3"/>
  <c r="W76" i="3"/>
  <c r="W62" i="3"/>
  <c r="W79" i="3"/>
  <c r="W65" i="3"/>
  <c r="W74" i="3"/>
  <c r="W68" i="3"/>
  <c r="W56" i="3"/>
  <c r="W77" i="3"/>
  <c r="W63" i="3"/>
  <c r="W80" i="3"/>
  <c r="W66" i="3"/>
  <c r="V78" i="3"/>
  <c r="V64" i="3"/>
  <c r="V81" i="3"/>
  <c r="V67" i="3"/>
  <c r="V76" i="3"/>
  <c r="V62" i="3"/>
  <c r="V79" i="3"/>
  <c r="V65" i="3"/>
  <c r="V74" i="3"/>
  <c r="V68" i="3"/>
  <c r="V56" i="3"/>
  <c r="V77" i="3"/>
  <c r="V63" i="3"/>
  <c r="V80" i="3"/>
  <c r="V66" i="3"/>
  <c r="V75" i="3"/>
  <c r="V69" i="3"/>
  <c r="V57" i="3"/>
  <c r="C490" i="3"/>
  <c r="C509" i="3"/>
  <c r="C507" i="3"/>
  <c r="C505" i="3"/>
  <c r="C503" i="3"/>
  <c r="C497" i="3"/>
  <c r="C495" i="3"/>
  <c r="C493" i="3"/>
  <c r="C484" i="3"/>
  <c r="C491" i="3"/>
  <c r="C485" i="3"/>
  <c r="C508" i="3"/>
  <c r="C506" i="3"/>
  <c r="C504" i="3"/>
  <c r="C502" i="3"/>
  <c r="C496" i="3"/>
  <c r="C494" i="3"/>
  <c r="C492" i="3"/>
  <c r="P404" i="3"/>
  <c r="P402" i="3"/>
  <c r="P400" i="3"/>
  <c r="P398" i="3"/>
  <c r="P392" i="3"/>
  <c r="P390" i="3"/>
  <c r="P388" i="3"/>
  <c r="P379" i="3"/>
  <c r="P403" i="3"/>
  <c r="P401" i="3"/>
  <c r="P399" i="3"/>
  <c r="P397" i="3"/>
  <c r="P391" i="3"/>
  <c r="P389" i="3"/>
  <c r="P387" i="3"/>
  <c r="P380" i="3"/>
  <c r="P385" i="3"/>
  <c r="P386" i="3"/>
  <c r="F403" i="3"/>
  <c r="F401" i="3"/>
  <c r="F399" i="3"/>
  <c r="F385" i="3"/>
  <c r="F404" i="3"/>
  <c r="F402" i="3"/>
  <c r="F400" i="3"/>
  <c r="F386" i="3"/>
  <c r="F390" i="3"/>
  <c r="F387" i="3"/>
  <c r="F397" i="3"/>
  <c r="F380" i="3"/>
  <c r="F388" i="3"/>
  <c r="F391" i="3"/>
  <c r="F398" i="3"/>
  <c r="F389" i="3"/>
  <c r="F392" i="3"/>
  <c r="F379" i="3"/>
  <c r="C404" i="3"/>
  <c r="C402" i="3"/>
  <c r="C400" i="3"/>
  <c r="C398" i="3"/>
  <c r="C380" i="3"/>
  <c r="C403" i="3"/>
  <c r="C401" i="3"/>
  <c r="C399" i="3"/>
  <c r="C392" i="3"/>
  <c r="C386" i="3"/>
  <c r="C379" i="3"/>
  <c r="C390" i="3"/>
  <c r="C387" i="3"/>
  <c r="C397" i="3"/>
  <c r="C388" i="3"/>
  <c r="C391" i="3"/>
  <c r="C385" i="3"/>
  <c r="C389" i="3"/>
  <c r="L76" i="3"/>
  <c r="L62" i="3"/>
  <c r="L79" i="3"/>
  <c r="L65" i="3"/>
  <c r="L74" i="3"/>
  <c r="L68" i="3"/>
  <c r="L56" i="3"/>
  <c r="L77" i="3"/>
  <c r="L63" i="3"/>
  <c r="L80" i="3"/>
  <c r="L66" i="3"/>
  <c r="L75" i="3"/>
  <c r="L69" i="3"/>
  <c r="L57" i="3"/>
  <c r="L78" i="3"/>
  <c r="L64" i="3"/>
  <c r="L81" i="3"/>
  <c r="L67" i="3"/>
  <c r="AC403" i="3"/>
  <c r="FE12" i="33" s="1"/>
  <c r="AC401" i="3"/>
  <c r="FE10" i="33" s="1"/>
  <c r="AC387" i="3"/>
  <c r="AC404" i="3"/>
  <c r="FE13" i="33" s="1"/>
  <c r="AC402" i="3"/>
  <c r="FE11" i="33" s="1"/>
  <c r="AC400" i="3"/>
  <c r="FE9" i="33" s="1"/>
  <c r="AC398" i="3"/>
  <c r="FE7" i="33" s="1"/>
  <c r="AC380" i="3"/>
  <c r="AC388" i="3"/>
  <c r="AC391" i="3"/>
  <c r="AC385" i="3"/>
  <c r="AC389" i="3"/>
  <c r="AC399" i="3"/>
  <c r="FE8" i="33" s="1"/>
  <c r="AC392" i="3"/>
  <c r="AC386" i="3"/>
  <c r="AC397" i="3"/>
  <c r="FE6" i="33" s="1"/>
  <c r="AC379" i="3"/>
  <c r="AC390" i="3"/>
  <c r="J404" i="3"/>
  <c r="J402" i="3"/>
  <c r="J400" i="3"/>
  <c r="J386" i="3"/>
  <c r="J403" i="3"/>
  <c r="J401" i="3"/>
  <c r="J385" i="3"/>
  <c r="J397" i="3"/>
  <c r="J391" i="3"/>
  <c r="J398" i="3"/>
  <c r="J399" i="3"/>
  <c r="J389" i="3"/>
  <c r="J392" i="3"/>
  <c r="J379" i="3"/>
  <c r="J390" i="3"/>
  <c r="J387" i="3"/>
  <c r="J380" i="3"/>
  <c r="J388" i="3"/>
  <c r="R180" i="13"/>
  <c r="L168" i="13"/>
  <c r="D168" i="13"/>
  <c r="J180" i="13"/>
  <c r="M181" i="13"/>
  <c r="BK7" i="33" s="1"/>
  <c r="L169" i="13"/>
  <c r="AC169" i="13"/>
  <c r="V181" i="13"/>
  <c r="T170" i="13"/>
  <c r="S182" i="13"/>
  <c r="W170" i="13"/>
  <c r="I182" i="13"/>
  <c r="T183" i="13"/>
  <c r="G171" i="13"/>
  <c r="L183" i="13"/>
  <c r="M171" i="13"/>
  <c r="AB171" i="13"/>
  <c r="O187" i="13"/>
  <c r="M163" i="13"/>
  <c r="AC163" i="13"/>
  <c r="D175" i="13"/>
  <c r="E175" i="13"/>
  <c r="J175" i="13"/>
  <c r="G187" i="13"/>
  <c r="AB184" i="13"/>
  <c r="J184" i="13"/>
  <c r="L172" i="13"/>
  <c r="H184" i="13"/>
  <c r="AC173" i="13"/>
  <c r="G185" i="13"/>
  <c r="I173" i="13"/>
  <c r="W162" i="13"/>
  <c r="Z186" i="13"/>
  <c r="AC174" i="13"/>
  <c r="T186" i="13"/>
  <c r="J174" i="13"/>
  <c r="E162" i="13"/>
  <c r="M186" i="13"/>
  <c r="BK12" i="33" s="1"/>
  <c r="R174" i="13"/>
  <c r="V289" i="3"/>
  <c r="N290" i="3"/>
  <c r="U290" i="3"/>
  <c r="U293" i="3"/>
  <c r="M289" i="3"/>
  <c r="CY7" i="33" s="1"/>
  <c r="N187" i="3"/>
  <c r="N184" i="3"/>
  <c r="F183" i="3"/>
  <c r="F180" i="3"/>
  <c r="AB294" i="3"/>
  <c r="T288" i="3"/>
  <c r="L293" i="3"/>
  <c r="Q293" i="3"/>
  <c r="Q294" i="3"/>
  <c r="I181" i="3"/>
  <c r="AA294" i="3"/>
  <c r="K293" i="3"/>
  <c r="L180" i="3"/>
  <c r="I293" i="3"/>
  <c r="I294" i="3"/>
  <c r="Q181" i="3"/>
  <c r="R295" i="3"/>
  <c r="R291" i="3"/>
  <c r="J288" i="3"/>
  <c r="B292" i="3"/>
  <c r="AV10" i="33" s="1"/>
  <c r="B293" i="3"/>
  <c r="AV11" i="33" s="1"/>
  <c r="AA185" i="3"/>
  <c r="S184" i="3"/>
  <c r="S183" i="3"/>
  <c r="K180" i="3"/>
  <c r="Y291" i="3"/>
  <c r="Y292" i="3"/>
  <c r="Z186" i="3"/>
  <c r="Z183" i="3"/>
  <c r="X289" i="3"/>
  <c r="P290" i="3"/>
  <c r="H288" i="3"/>
  <c r="Y185" i="3"/>
  <c r="Y184" i="3"/>
  <c r="W289" i="3"/>
  <c r="O293" i="3"/>
  <c r="G294" i="3"/>
  <c r="H187" i="3"/>
  <c r="H184" i="3"/>
  <c r="F288" i="3"/>
  <c r="Y404" i="3"/>
  <c r="Y402" i="3"/>
  <c r="Y400" i="3"/>
  <c r="Y403" i="3"/>
  <c r="Y401" i="3"/>
  <c r="Y399" i="3"/>
  <c r="Y397" i="3"/>
  <c r="Y387" i="3"/>
  <c r="Y392" i="3"/>
  <c r="Y386" i="3"/>
  <c r="Y379" i="3"/>
  <c r="Y390" i="3"/>
  <c r="Y380" i="3"/>
  <c r="Y388" i="3"/>
  <c r="Y398" i="3"/>
  <c r="Y391" i="3"/>
  <c r="Y385" i="3"/>
  <c r="Y389" i="3"/>
  <c r="X485" i="3"/>
  <c r="X508" i="3"/>
  <c r="X506" i="3"/>
  <c r="X504" i="3"/>
  <c r="X502" i="3"/>
  <c r="X496" i="3"/>
  <c r="X494" i="3"/>
  <c r="X492" i="3"/>
  <c r="X490" i="3"/>
  <c r="X509" i="3"/>
  <c r="X507" i="3"/>
  <c r="X505" i="3"/>
  <c r="X503" i="3"/>
  <c r="X497" i="3"/>
  <c r="X495" i="3"/>
  <c r="X493" i="3"/>
  <c r="X484" i="3"/>
  <c r="X491" i="3"/>
  <c r="Z74" i="3"/>
  <c r="Z68" i="3"/>
  <c r="Z56" i="3"/>
  <c r="Z77" i="3"/>
  <c r="Z63" i="3"/>
  <c r="Z80" i="3"/>
  <c r="Z66" i="3"/>
  <c r="Z75" i="3"/>
  <c r="Z69" i="3"/>
  <c r="Z57" i="3"/>
  <c r="Z78" i="3"/>
  <c r="Z64" i="3"/>
  <c r="Z81" i="3"/>
  <c r="Z67" i="3"/>
  <c r="Z76" i="3"/>
  <c r="Z62" i="3"/>
  <c r="Z79" i="3"/>
  <c r="Z65" i="3"/>
  <c r="Y77" i="3"/>
  <c r="Y63" i="3"/>
  <c r="Y80" i="3"/>
  <c r="Y66" i="3"/>
  <c r="Y75" i="3"/>
  <c r="Y69" i="3"/>
  <c r="Y57" i="3"/>
  <c r="Y78" i="3"/>
  <c r="Y64" i="3"/>
  <c r="Y81" i="3"/>
  <c r="Y67" i="3"/>
  <c r="Y76" i="3"/>
  <c r="Y62" i="3"/>
  <c r="Y79" i="3"/>
  <c r="Y65" i="3"/>
  <c r="Y74" i="3"/>
  <c r="Y68" i="3"/>
  <c r="Y56" i="3"/>
  <c r="P80" i="3"/>
  <c r="P66" i="3"/>
  <c r="P75" i="3"/>
  <c r="P69" i="3"/>
  <c r="P57" i="3"/>
  <c r="P78" i="3"/>
  <c r="P64" i="3"/>
  <c r="P81" i="3"/>
  <c r="P67" i="3"/>
  <c r="P76" i="3"/>
  <c r="P62" i="3"/>
  <c r="P79" i="3"/>
  <c r="P65" i="3"/>
  <c r="P74" i="3"/>
  <c r="P68" i="3"/>
  <c r="P56" i="3"/>
  <c r="P77" i="3"/>
  <c r="P63" i="3"/>
  <c r="O75" i="3"/>
  <c r="O69" i="3"/>
  <c r="O57" i="3"/>
  <c r="O78" i="3"/>
  <c r="O64" i="3"/>
  <c r="O81" i="3"/>
  <c r="O67" i="3"/>
  <c r="O76" i="3"/>
  <c r="O62" i="3"/>
  <c r="O79" i="3"/>
  <c r="O65" i="3"/>
  <c r="O74" i="3"/>
  <c r="O68" i="3"/>
  <c r="O56" i="3"/>
  <c r="O77" i="3"/>
  <c r="O63" i="3"/>
  <c r="O80" i="3"/>
  <c r="O66" i="3"/>
  <c r="N78" i="3"/>
  <c r="N64" i="3"/>
  <c r="N81" i="3"/>
  <c r="N67" i="3"/>
  <c r="N76" i="3"/>
  <c r="N62" i="3"/>
  <c r="N79" i="3"/>
  <c r="N65" i="3"/>
  <c r="N74" i="3"/>
  <c r="N68" i="3"/>
  <c r="N56" i="3"/>
  <c r="N77" i="3"/>
  <c r="N63" i="3"/>
  <c r="N80" i="3"/>
  <c r="N66" i="3"/>
  <c r="N75" i="3"/>
  <c r="N69" i="3"/>
  <c r="N57" i="3"/>
  <c r="AC81" i="3"/>
  <c r="EV13" i="33" s="1"/>
  <c r="AC67" i="3"/>
  <c r="AC76" i="3"/>
  <c r="EV8" i="33" s="1"/>
  <c r="AC62" i="3"/>
  <c r="AC79" i="3"/>
  <c r="EV11" i="33" s="1"/>
  <c r="AC65" i="3"/>
  <c r="AC74" i="3"/>
  <c r="EV6" i="33" s="1"/>
  <c r="AC68" i="3"/>
  <c r="AC56" i="3"/>
  <c r="AC77" i="3"/>
  <c r="EV9" i="33" s="1"/>
  <c r="AC63" i="3"/>
  <c r="AC80" i="3"/>
  <c r="EV12" i="33" s="1"/>
  <c r="AC66" i="3"/>
  <c r="AC75" i="3"/>
  <c r="EV7" i="33" s="1"/>
  <c r="AC69" i="3"/>
  <c r="AC57" i="3"/>
  <c r="AC78" i="3"/>
  <c r="EV10" i="33" s="1"/>
  <c r="AC64" i="3"/>
  <c r="G403" i="3"/>
  <c r="G401" i="3"/>
  <c r="G399" i="3"/>
  <c r="G397" i="3"/>
  <c r="G404" i="3"/>
  <c r="G402" i="3"/>
  <c r="G400" i="3"/>
  <c r="G380" i="3"/>
  <c r="G388" i="3"/>
  <c r="G391" i="3"/>
  <c r="G398" i="3"/>
  <c r="G385" i="3"/>
  <c r="G389" i="3"/>
  <c r="G392" i="3"/>
  <c r="G386" i="3"/>
  <c r="G379" i="3"/>
  <c r="G390" i="3"/>
  <c r="G387" i="3"/>
  <c r="D76" i="3"/>
  <c r="D62" i="3"/>
  <c r="D79" i="3"/>
  <c r="D65" i="3"/>
  <c r="D74" i="3"/>
  <c r="D68" i="3"/>
  <c r="D56" i="3"/>
  <c r="D77" i="3"/>
  <c r="D63" i="3"/>
  <c r="D80" i="3"/>
  <c r="D66" i="3"/>
  <c r="D75" i="3"/>
  <c r="D69" i="3"/>
  <c r="D57" i="3"/>
  <c r="D78" i="3"/>
  <c r="D64" i="3"/>
  <c r="D81" i="3"/>
  <c r="D67" i="3"/>
  <c r="AB168" i="13"/>
  <c r="L180" i="13"/>
  <c r="D180" i="13"/>
  <c r="O168" i="13"/>
  <c r="C168" i="13"/>
  <c r="M169" i="13"/>
  <c r="E181" i="13"/>
  <c r="AB181" i="13"/>
  <c r="W169" i="13"/>
  <c r="V169" i="13"/>
  <c r="L182" i="13"/>
  <c r="P170" i="13"/>
  <c r="Z170" i="13"/>
  <c r="D182" i="13"/>
  <c r="G182" i="13"/>
  <c r="G183" i="13"/>
  <c r="M183" i="13"/>
  <c r="BK9" i="33" s="1"/>
  <c r="P171" i="13"/>
  <c r="O163" i="13"/>
  <c r="M175" i="13"/>
  <c r="AC175" i="13"/>
  <c r="AB163" i="13"/>
  <c r="E187" i="13"/>
  <c r="J187" i="13"/>
  <c r="E172" i="13"/>
  <c r="L184" i="13"/>
  <c r="Z184" i="13"/>
  <c r="AC185" i="13"/>
  <c r="DN11" i="33" s="1"/>
  <c r="H173" i="13"/>
  <c r="V173" i="13"/>
  <c r="I185" i="13"/>
  <c r="I186" i="13"/>
  <c r="W174" i="13"/>
  <c r="Z162" i="13"/>
  <c r="S162" i="13"/>
  <c r="AC186" i="13"/>
  <c r="DN12" i="33" s="1"/>
  <c r="O186" i="13"/>
  <c r="E174" i="13"/>
  <c r="AB162" i="13"/>
  <c r="V290" i="3"/>
  <c r="U292" i="3"/>
  <c r="U295" i="3"/>
  <c r="M288" i="3"/>
  <c r="CY6" i="33" s="1"/>
  <c r="M291" i="3"/>
  <c r="CY9" i="33" s="1"/>
  <c r="F185" i="3"/>
  <c r="F182" i="3"/>
  <c r="AB288" i="3"/>
  <c r="I183" i="3"/>
  <c r="I180" i="3"/>
  <c r="S292" i="3"/>
  <c r="C294" i="3"/>
  <c r="L182" i="3"/>
  <c r="L181" i="3"/>
  <c r="Q183" i="3"/>
  <c r="Q180" i="3"/>
  <c r="Z290" i="3"/>
  <c r="J292" i="3"/>
  <c r="B289" i="3"/>
  <c r="AV7" i="33" s="1"/>
  <c r="S186" i="3"/>
  <c r="S185" i="3"/>
  <c r="K182" i="3"/>
  <c r="K181" i="3"/>
  <c r="Y293" i="3"/>
  <c r="Y294" i="3"/>
  <c r="Y186" i="3"/>
  <c r="D295" i="3"/>
  <c r="D291" i="3"/>
  <c r="O290" i="3"/>
  <c r="X181" i="3"/>
  <c r="X180" i="3"/>
  <c r="K404" i="3"/>
  <c r="K402" i="3"/>
  <c r="K400" i="3"/>
  <c r="K398" i="3"/>
  <c r="K380" i="3"/>
  <c r="K403" i="3"/>
  <c r="K401" i="3"/>
  <c r="K399" i="3"/>
  <c r="K385" i="3"/>
  <c r="K389" i="3"/>
  <c r="K392" i="3"/>
  <c r="K386" i="3"/>
  <c r="K379" i="3"/>
  <c r="K390" i="3"/>
  <c r="K387" i="3"/>
  <c r="K388" i="3"/>
  <c r="K397" i="3"/>
  <c r="K391" i="3"/>
  <c r="W186" i="3"/>
  <c r="W184" i="3"/>
  <c r="W182" i="3"/>
  <c r="W180" i="3"/>
  <c r="W174" i="3"/>
  <c r="W172" i="3"/>
  <c r="W170" i="3"/>
  <c r="W168" i="3"/>
  <c r="W162" i="3"/>
  <c r="W187" i="3"/>
  <c r="W185" i="3"/>
  <c r="W183" i="3"/>
  <c r="W181" i="3"/>
  <c r="W175" i="3"/>
  <c r="W173" i="3"/>
  <c r="W171" i="3"/>
  <c r="W169" i="3"/>
  <c r="W163" i="3"/>
  <c r="P485" i="3"/>
  <c r="P508" i="3"/>
  <c r="P506" i="3"/>
  <c r="P504" i="3"/>
  <c r="P502" i="3"/>
  <c r="P496" i="3"/>
  <c r="P494" i="3"/>
  <c r="P492" i="3"/>
  <c r="P490" i="3"/>
  <c r="P509" i="3"/>
  <c r="P507" i="3"/>
  <c r="P505" i="3"/>
  <c r="P503" i="3"/>
  <c r="P497" i="3"/>
  <c r="P495" i="3"/>
  <c r="P493" i="3"/>
  <c r="P484" i="3"/>
  <c r="P491" i="3"/>
  <c r="R74" i="3"/>
  <c r="R68" i="3"/>
  <c r="R56" i="3"/>
  <c r="R77" i="3"/>
  <c r="R63" i="3"/>
  <c r="R80" i="3"/>
  <c r="R66" i="3"/>
  <c r="R75" i="3"/>
  <c r="R69" i="3"/>
  <c r="R57" i="3"/>
  <c r="R78" i="3"/>
  <c r="R64" i="3"/>
  <c r="R81" i="3"/>
  <c r="R67" i="3"/>
  <c r="R76" i="3"/>
  <c r="R62" i="3"/>
  <c r="R79" i="3"/>
  <c r="R65" i="3"/>
  <c r="Q77" i="3"/>
  <c r="Q63" i="3"/>
  <c r="Q80" i="3"/>
  <c r="Q66" i="3"/>
  <c r="Q75" i="3"/>
  <c r="Q69" i="3"/>
  <c r="Q57" i="3"/>
  <c r="Q78" i="3"/>
  <c r="Q64" i="3"/>
  <c r="Q81" i="3"/>
  <c r="Q67" i="3"/>
  <c r="Q76" i="3"/>
  <c r="Q62" i="3"/>
  <c r="Q79" i="3"/>
  <c r="Q65" i="3"/>
  <c r="Q74" i="3"/>
  <c r="Q68" i="3"/>
  <c r="Q56" i="3"/>
  <c r="H80" i="3"/>
  <c r="H66" i="3"/>
  <c r="H75" i="3"/>
  <c r="H69" i="3"/>
  <c r="H57" i="3"/>
  <c r="H78" i="3"/>
  <c r="H64" i="3"/>
  <c r="H81" i="3"/>
  <c r="H67" i="3"/>
  <c r="H76" i="3"/>
  <c r="H62" i="3"/>
  <c r="H79" i="3"/>
  <c r="H65" i="3"/>
  <c r="H74" i="3"/>
  <c r="H68" i="3"/>
  <c r="H56" i="3"/>
  <c r="H77" i="3"/>
  <c r="H63" i="3"/>
  <c r="G75" i="3"/>
  <c r="G69" i="3"/>
  <c r="G57" i="3"/>
  <c r="G78" i="3"/>
  <c r="G64" i="3"/>
  <c r="G81" i="3"/>
  <c r="G67" i="3"/>
  <c r="G76" i="3"/>
  <c r="G62" i="3"/>
  <c r="G79" i="3"/>
  <c r="G65" i="3"/>
  <c r="G74" i="3"/>
  <c r="G68" i="3"/>
  <c r="G56" i="3"/>
  <c r="G77" i="3"/>
  <c r="G63" i="3"/>
  <c r="G80" i="3"/>
  <c r="G66" i="3"/>
  <c r="F78" i="3"/>
  <c r="F64" i="3"/>
  <c r="F81" i="3"/>
  <c r="F67" i="3"/>
  <c r="F76" i="3"/>
  <c r="F62" i="3"/>
  <c r="F79" i="3"/>
  <c r="F65" i="3"/>
  <c r="F74" i="3"/>
  <c r="F68" i="3"/>
  <c r="F56" i="3"/>
  <c r="F77" i="3"/>
  <c r="F63" i="3"/>
  <c r="F80" i="3"/>
  <c r="F66" i="3"/>
  <c r="F75" i="3"/>
  <c r="F69" i="3"/>
  <c r="F57" i="3"/>
  <c r="U81" i="3"/>
  <c r="U67" i="3"/>
  <c r="U76" i="3"/>
  <c r="U62" i="3"/>
  <c r="U79" i="3"/>
  <c r="U65" i="3"/>
  <c r="U74" i="3"/>
  <c r="U68" i="3"/>
  <c r="U56" i="3"/>
  <c r="U77" i="3"/>
  <c r="U63" i="3"/>
  <c r="U80" i="3"/>
  <c r="U66" i="3"/>
  <c r="U75" i="3"/>
  <c r="U69" i="3"/>
  <c r="U57" i="3"/>
  <c r="U78" i="3"/>
  <c r="U64" i="3"/>
  <c r="V403" i="3"/>
  <c r="V401" i="3"/>
  <c r="V399" i="3"/>
  <c r="V385" i="3"/>
  <c r="V404" i="3"/>
  <c r="V402" i="3"/>
  <c r="V400" i="3"/>
  <c r="V386" i="3"/>
  <c r="V397" i="3"/>
  <c r="V389" i="3"/>
  <c r="V392" i="3"/>
  <c r="V379" i="3"/>
  <c r="V390" i="3"/>
  <c r="V387" i="3"/>
  <c r="V380" i="3"/>
  <c r="V398" i="3"/>
  <c r="V388" i="3"/>
  <c r="V391" i="3"/>
  <c r="AB403" i="3"/>
  <c r="AB401" i="3"/>
  <c r="AB399" i="3"/>
  <c r="AB397" i="3"/>
  <c r="AB391" i="3"/>
  <c r="AB389" i="3"/>
  <c r="AB404" i="3"/>
  <c r="AB402" i="3"/>
  <c r="AB400" i="3"/>
  <c r="AB398" i="3"/>
  <c r="AB392" i="3"/>
  <c r="AB390" i="3"/>
  <c r="AB388" i="3"/>
  <c r="AB379" i="3"/>
  <c r="AB380" i="3"/>
  <c r="AB385" i="3"/>
  <c r="AB386" i="3"/>
  <c r="AB387" i="3"/>
  <c r="T187" i="3"/>
  <c r="T185" i="3"/>
  <c r="T183" i="3"/>
  <c r="T181" i="3"/>
  <c r="T175" i="3"/>
  <c r="T173" i="3"/>
  <c r="T171" i="3"/>
  <c r="T169" i="3"/>
  <c r="T163" i="3"/>
  <c r="T186" i="3"/>
  <c r="T184" i="3"/>
  <c r="T182" i="3"/>
  <c r="T180" i="3"/>
  <c r="T174" i="3"/>
  <c r="T172" i="3"/>
  <c r="T170" i="3"/>
  <c r="T168" i="3"/>
  <c r="T162" i="3"/>
  <c r="AB180" i="13"/>
  <c r="AC180" i="13"/>
  <c r="DN6" i="33" s="1"/>
  <c r="O180" i="13"/>
  <c r="C180" i="13"/>
  <c r="P168" i="13"/>
  <c r="E180" i="13"/>
  <c r="E169" i="13"/>
  <c r="AB169" i="13"/>
  <c r="Z181" i="13"/>
  <c r="T182" i="13"/>
  <c r="H170" i="13"/>
  <c r="W182" i="13"/>
  <c r="AB170" i="13"/>
  <c r="J170" i="13"/>
  <c r="T171" i="13"/>
  <c r="AC171" i="13"/>
  <c r="R183" i="13"/>
  <c r="V171" i="13"/>
  <c r="P183" i="13"/>
  <c r="T163" i="13"/>
  <c r="M187" i="13"/>
  <c r="BK13" i="33" s="1"/>
  <c r="AB175" i="13"/>
  <c r="V175" i="13"/>
  <c r="P175" i="13"/>
  <c r="P184" i="13"/>
  <c r="H172" i="13"/>
  <c r="H185" i="13"/>
  <c r="Z46" i="9"/>
  <c r="M290" i="3"/>
  <c r="CY8" i="33" s="1"/>
  <c r="F187" i="3"/>
  <c r="AB295" i="3"/>
  <c r="L294" i="3"/>
  <c r="I185" i="3"/>
  <c r="AA295" i="3"/>
  <c r="S293" i="3"/>
  <c r="K294" i="3"/>
  <c r="L184" i="3"/>
  <c r="Q185" i="3"/>
  <c r="J293" i="3"/>
  <c r="K184" i="3"/>
  <c r="G288" i="3"/>
  <c r="G295" i="3"/>
  <c r="X183" i="3"/>
  <c r="AA152" i="9"/>
  <c r="AA474" i="9"/>
  <c r="AA473" i="9"/>
  <c r="AA46" i="9"/>
  <c r="AA45" i="9"/>
  <c r="AA151" i="9"/>
  <c r="AA259" i="9"/>
  <c r="AA369" i="9"/>
  <c r="AA368" i="9"/>
  <c r="AA260" i="9"/>
  <c r="S369" i="9"/>
  <c r="S260" i="9"/>
  <c r="S474" i="9"/>
  <c r="S473" i="9"/>
  <c r="S152" i="9"/>
  <c r="S151" i="9"/>
  <c r="S46" i="9"/>
  <c r="S259" i="9"/>
  <c r="S45" i="9"/>
  <c r="S368" i="9"/>
  <c r="S80" i="9"/>
  <c r="U82" i="13"/>
  <c r="A31" i="1"/>
  <c r="A49" i="1" s="1"/>
  <c r="A60" i="1" s="1"/>
  <c r="A32" i="1"/>
  <c r="A50" i="1" s="1"/>
  <c r="A61" i="1" s="1"/>
  <c r="A33" i="1"/>
  <c r="A51" i="1" s="1"/>
  <c r="A62" i="1" s="1"/>
  <c r="A34" i="1"/>
  <c r="A35" i="1"/>
  <c r="A52" i="1" s="1"/>
  <c r="A63" i="1" s="1"/>
  <c r="A36" i="1"/>
  <c r="A53" i="1" s="1"/>
  <c r="A64" i="1" s="1"/>
  <c r="A37" i="1"/>
  <c r="A54" i="1" s="1"/>
  <c r="A65" i="1" s="1"/>
  <c r="A38" i="1"/>
  <c r="A39" i="1"/>
  <c r="A55" i="1" s="1"/>
  <c r="A66" i="1" s="1"/>
  <c r="A40" i="1"/>
  <c r="A41" i="1"/>
  <c r="A42" i="1"/>
  <c r="A45" i="1"/>
  <c r="Q17" i="1"/>
  <c r="B36" i="1" s="1"/>
  <c r="R17" i="1"/>
  <c r="C36" i="1" s="1"/>
  <c r="S17" i="1"/>
  <c r="D36" i="1" s="1"/>
  <c r="T17" i="1"/>
  <c r="E36" i="1" s="1"/>
  <c r="U17" i="1"/>
  <c r="F36" i="1" s="1"/>
  <c r="V17" i="1"/>
  <c r="G36" i="1" s="1"/>
  <c r="W17" i="1"/>
  <c r="H36" i="1" s="1"/>
  <c r="X17" i="1"/>
  <c r="I36" i="1" s="1"/>
  <c r="Y17" i="1"/>
  <c r="J36" i="1" s="1"/>
  <c r="Z17" i="1"/>
  <c r="K36" i="1" s="1"/>
  <c r="AA17" i="1"/>
  <c r="L36" i="1" s="1"/>
  <c r="AB17" i="1"/>
  <c r="M36" i="1" s="1"/>
  <c r="AC17" i="1"/>
  <c r="N36" i="1" s="1"/>
  <c r="AD17" i="1"/>
  <c r="O36" i="1" s="1"/>
  <c r="AE17" i="1"/>
  <c r="P36" i="1" s="1"/>
  <c r="AF17" i="1"/>
  <c r="Q36" i="1" s="1"/>
  <c r="AG17" i="1"/>
  <c r="R36" i="1" s="1"/>
  <c r="AH17" i="1"/>
  <c r="S36" i="1" s="1"/>
  <c r="AI17" i="1"/>
  <c r="T36" i="1" s="1"/>
  <c r="AJ17" i="1"/>
  <c r="U36" i="1" s="1"/>
  <c r="AK17" i="1"/>
  <c r="V36" i="1" s="1"/>
  <c r="AL17" i="1"/>
  <c r="W36" i="1" s="1"/>
  <c r="AM17" i="1"/>
  <c r="X36" i="1" s="1"/>
  <c r="AN17" i="1"/>
  <c r="Y36" i="1" s="1"/>
  <c r="AO17" i="1"/>
  <c r="Z36" i="1" s="1"/>
  <c r="AP17" i="1"/>
  <c r="AA36" i="1" s="1"/>
  <c r="AQ17" i="1"/>
  <c r="AB36" i="1" s="1"/>
  <c r="AR17" i="1"/>
  <c r="AC36" i="1" s="1"/>
  <c r="A30" i="1"/>
  <c r="A48" i="1" s="1"/>
  <c r="A59" i="1" s="1"/>
  <c r="T165" i="13" l="1"/>
  <c r="H405" i="13"/>
  <c r="H408" i="13" s="1"/>
  <c r="K41" i="28" s="1"/>
  <c r="K405" i="13"/>
  <c r="K408" i="13" s="1"/>
  <c r="N41" i="28" s="1"/>
  <c r="G405" i="13"/>
  <c r="G408" i="13" s="1"/>
  <c r="J41" i="28" s="1"/>
  <c r="F82" i="13"/>
  <c r="F85" i="13" s="1"/>
  <c r="I37" i="28" s="1"/>
  <c r="S82" i="13"/>
  <c r="S85" i="13" s="1"/>
  <c r="V37" i="28" s="1"/>
  <c r="AC165" i="13"/>
  <c r="Z405" i="13"/>
  <c r="Z408" i="13" s="1"/>
  <c r="AC41" i="28" s="1"/>
  <c r="X188" i="13"/>
  <c r="X191" i="13" s="1"/>
  <c r="AA39" i="28" s="1"/>
  <c r="N405" i="13"/>
  <c r="N408" i="13" s="1"/>
  <c r="Q41" i="28" s="1"/>
  <c r="I165" i="13"/>
  <c r="B165" i="13"/>
  <c r="O165" i="13"/>
  <c r="H165" i="13"/>
  <c r="M165" i="13"/>
  <c r="P165" i="13"/>
  <c r="D165" i="13"/>
  <c r="V165" i="13"/>
  <c r="K165" i="13"/>
  <c r="J165" i="13"/>
  <c r="U165" i="13"/>
  <c r="O382" i="13"/>
  <c r="E165" i="13"/>
  <c r="AB165" i="13"/>
  <c r="W165" i="13"/>
  <c r="L165" i="13"/>
  <c r="Y165" i="13"/>
  <c r="N165" i="13"/>
  <c r="R165" i="13"/>
  <c r="Z165" i="13"/>
  <c r="S165" i="13"/>
  <c r="AA165" i="13"/>
  <c r="Q165" i="13"/>
  <c r="F165" i="13"/>
  <c r="C165" i="13"/>
  <c r="G165" i="13"/>
  <c r="Q296" i="13"/>
  <c r="Q297" i="13"/>
  <c r="E296" i="13"/>
  <c r="E297" i="13"/>
  <c r="AA82" i="13"/>
  <c r="AA83" i="13"/>
  <c r="J405" i="13"/>
  <c r="J406" i="13"/>
  <c r="D296" i="13"/>
  <c r="D297" i="13"/>
  <c r="S405" i="13"/>
  <c r="S406" i="13"/>
  <c r="C405" i="13"/>
  <c r="C406" i="13"/>
  <c r="S296" i="13"/>
  <c r="S297" i="13"/>
  <c r="L296" i="13"/>
  <c r="L297" i="13"/>
  <c r="AC296" i="13"/>
  <c r="DS14" i="33" s="1"/>
  <c r="AC297" i="13"/>
  <c r="DS15" i="33" s="1"/>
  <c r="X82" i="13"/>
  <c r="X83" i="13"/>
  <c r="O296" i="13"/>
  <c r="O297" i="13"/>
  <c r="V82" i="13"/>
  <c r="V83" i="13"/>
  <c r="J82" i="13"/>
  <c r="J83" i="13"/>
  <c r="W82" i="13"/>
  <c r="W83" i="13"/>
  <c r="I296" i="13"/>
  <c r="I297" i="13"/>
  <c r="Z82" i="13"/>
  <c r="Z83" i="13"/>
  <c r="I405" i="13"/>
  <c r="I406" i="13"/>
  <c r="C82" i="13"/>
  <c r="C83" i="13"/>
  <c r="N82" i="13"/>
  <c r="N83" i="13"/>
  <c r="L405" i="13"/>
  <c r="L406" i="13"/>
  <c r="P82" i="13"/>
  <c r="P83" i="13"/>
  <c r="C296" i="13"/>
  <c r="C297" i="13"/>
  <c r="K82" i="13"/>
  <c r="K83" i="13"/>
  <c r="T82" i="13"/>
  <c r="T83" i="13"/>
  <c r="O82" i="13"/>
  <c r="O83" i="13"/>
  <c r="I82" i="13"/>
  <c r="I83" i="13"/>
  <c r="X296" i="13"/>
  <c r="X297" i="13"/>
  <c r="E405" i="13"/>
  <c r="E406" i="13"/>
  <c r="M405" i="13"/>
  <c r="BU14" i="33" s="1"/>
  <c r="M406" i="13"/>
  <c r="BU15" i="33" s="1"/>
  <c r="F59" i="9"/>
  <c r="C59" i="9"/>
  <c r="K59" i="9"/>
  <c r="I177" i="3"/>
  <c r="I189" i="3" s="1"/>
  <c r="AB177" i="3"/>
  <c r="AB189" i="3" s="1"/>
  <c r="E59" i="9"/>
  <c r="Q165" i="3"/>
  <c r="D59" i="3"/>
  <c r="O59" i="9"/>
  <c r="G59" i="9"/>
  <c r="X165" i="3"/>
  <c r="H59" i="9"/>
  <c r="D59" i="9"/>
  <c r="I59" i="9"/>
  <c r="L59" i="3"/>
  <c r="C59" i="3"/>
  <c r="T59" i="9"/>
  <c r="U85" i="13"/>
  <c r="X37" i="28" s="1"/>
  <c r="S59" i="3"/>
  <c r="K285" i="3"/>
  <c r="J59" i="9"/>
  <c r="L177" i="3"/>
  <c r="H177" i="3"/>
  <c r="H189" i="3" s="1"/>
  <c r="Q177" i="3"/>
  <c r="Q189" i="3" s="1"/>
  <c r="J273" i="3"/>
  <c r="P177" i="13"/>
  <c r="P189" i="13" s="1"/>
  <c r="G71" i="3"/>
  <c r="G83" i="3" s="1"/>
  <c r="H71" i="3"/>
  <c r="H83" i="3" s="1"/>
  <c r="Q71" i="3"/>
  <c r="Q83" i="3" s="1"/>
  <c r="AC59" i="3"/>
  <c r="N59" i="3"/>
  <c r="Z59" i="3"/>
  <c r="D177" i="13"/>
  <c r="D189" i="13" s="1"/>
  <c r="V59" i="3"/>
  <c r="M177" i="3"/>
  <c r="M189" i="3" s="1"/>
  <c r="CV15" i="33" s="1"/>
  <c r="E394" i="3"/>
  <c r="K59" i="3"/>
  <c r="U177" i="3"/>
  <c r="U189" i="3" s="1"/>
  <c r="Q394" i="3"/>
  <c r="Q406" i="3" s="1"/>
  <c r="Q177" i="13"/>
  <c r="L285" i="3"/>
  <c r="L297" i="3" s="1"/>
  <c r="I59" i="3"/>
  <c r="J177" i="3"/>
  <c r="B59" i="9"/>
  <c r="V59" i="9"/>
  <c r="AB59" i="3"/>
  <c r="K71" i="3"/>
  <c r="K83" i="3" s="1"/>
  <c r="M59" i="3"/>
  <c r="J59" i="3"/>
  <c r="Q285" i="3"/>
  <c r="Q297" i="3" s="1"/>
  <c r="X59" i="9"/>
  <c r="U59" i="3"/>
  <c r="F59" i="3"/>
  <c r="R59" i="3"/>
  <c r="K177" i="3"/>
  <c r="K189" i="3" s="1"/>
  <c r="E59" i="3"/>
  <c r="F71" i="9"/>
  <c r="F83" i="9" s="1"/>
  <c r="AA71" i="9"/>
  <c r="L59" i="9"/>
  <c r="U59" i="9"/>
  <c r="O59" i="3"/>
  <c r="P59" i="3"/>
  <c r="W59" i="3"/>
  <c r="X59" i="3"/>
  <c r="C165" i="3"/>
  <c r="B382" i="3"/>
  <c r="Q382" i="3"/>
  <c r="Y273" i="3"/>
  <c r="K71" i="9"/>
  <c r="K83" i="9" s="1"/>
  <c r="R177" i="13"/>
  <c r="V177" i="13"/>
  <c r="AB71" i="3"/>
  <c r="I394" i="3"/>
  <c r="I406" i="3" s="1"/>
  <c r="G177" i="3"/>
  <c r="G189" i="3" s="1"/>
  <c r="M71" i="3"/>
  <c r="AA59" i="3"/>
  <c r="AC59" i="9"/>
  <c r="Q59" i="9"/>
  <c r="B59" i="3"/>
  <c r="Z71" i="9"/>
  <c r="Z83" i="9" s="1"/>
  <c r="G59" i="3"/>
  <c r="H59" i="3"/>
  <c r="Q59" i="3"/>
  <c r="Z71" i="3"/>
  <c r="Z83" i="3" s="1"/>
  <c r="AA394" i="3"/>
  <c r="AA406" i="3" s="1"/>
  <c r="B285" i="3"/>
  <c r="B297" i="3" s="1"/>
  <c r="AV15" i="33" s="1"/>
  <c r="M59" i="9"/>
  <c r="N59" i="9"/>
  <c r="AC285" i="3"/>
  <c r="AC297" i="3" s="1"/>
  <c r="FB15" i="33" s="1"/>
  <c r="Z59" i="9"/>
  <c r="S59" i="9"/>
  <c r="AB59" i="9"/>
  <c r="R59" i="9"/>
  <c r="Y59" i="9"/>
  <c r="AA59" i="9"/>
  <c r="V394" i="3"/>
  <c r="V406" i="3" s="1"/>
  <c r="R71" i="3"/>
  <c r="R83" i="3" s="1"/>
  <c r="O177" i="13"/>
  <c r="O189" i="13" s="1"/>
  <c r="Y59" i="3"/>
  <c r="L71" i="3"/>
  <c r="L83" i="3" s="1"/>
  <c r="X394" i="3"/>
  <c r="X406" i="3" s="1"/>
  <c r="E177" i="13"/>
  <c r="E189" i="13" s="1"/>
  <c r="D394" i="3"/>
  <c r="D406" i="3" s="1"/>
  <c r="I71" i="3"/>
  <c r="I83" i="3" s="1"/>
  <c r="P71" i="9"/>
  <c r="P83" i="9" s="1"/>
  <c r="Y177" i="13"/>
  <c r="Y189" i="13" s="1"/>
  <c r="F285" i="3"/>
  <c r="M71" i="9"/>
  <c r="AC71" i="9"/>
  <c r="AC83" i="9" s="1"/>
  <c r="EB15" i="33" s="1"/>
  <c r="S285" i="3"/>
  <c r="S297" i="3" s="1"/>
  <c r="C177" i="3"/>
  <c r="Z177" i="3"/>
  <c r="Z189" i="3" s="1"/>
  <c r="Z285" i="3"/>
  <c r="Z297" i="3" s="1"/>
  <c r="AC273" i="3"/>
  <c r="S165" i="3"/>
  <c r="G273" i="3"/>
  <c r="H165" i="3"/>
  <c r="N382" i="3"/>
  <c r="E382" i="3"/>
  <c r="X382" i="3"/>
  <c r="N177" i="3"/>
  <c r="N189" i="3" s="1"/>
  <c r="E273" i="3"/>
  <c r="U382" i="3"/>
  <c r="G71" i="9"/>
  <c r="G83" i="9" s="1"/>
  <c r="AA285" i="3"/>
  <c r="U177" i="13"/>
  <c r="U189" i="13" s="1"/>
  <c r="O394" i="13"/>
  <c r="O406" i="13" s="1"/>
  <c r="G382" i="3"/>
  <c r="J285" i="3"/>
  <c r="J297" i="3" s="1"/>
  <c r="F273" i="3"/>
  <c r="P382" i="3"/>
  <c r="O165" i="3"/>
  <c r="W273" i="3"/>
  <c r="E165" i="3"/>
  <c r="W71" i="9"/>
  <c r="W177" i="13"/>
  <c r="AB394" i="3"/>
  <c r="AB406" i="3" s="1"/>
  <c r="U71" i="3"/>
  <c r="U83" i="3" s="1"/>
  <c r="F71" i="3"/>
  <c r="F83" i="3" s="1"/>
  <c r="L177" i="13"/>
  <c r="L189" i="13" s="1"/>
  <c r="F394" i="3"/>
  <c r="F406" i="3" s="1"/>
  <c r="Z177" i="13"/>
  <c r="Z189" i="13" s="1"/>
  <c r="T71" i="3"/>
  <c r="M177" i="13"/>
  <c r="M189" i="13" s="1"/>
  <c r="BK15" i="33" s="1"/>
  <c r="AC177" i="13"/>
  <c r="AC189" i="13" s="1"/>
  <c r="DN15" i="33" s="1"/>
  <c r="W394" i="3"/>
  <c r="W406" i="3" s="1"/>
  <c r="I177" i="13"/>
  <c r="H285" i="3"/>
  <c r="H297" i="3" s="1"/>
  <c r="T71" i="9"/>
  <c r="T83" i="9" s="1"/>
  <c r="X285" i="3"/>
  <c r="W59" i="9"/>
  <c r="Y177" i="3"/>
  <c r="P285" i="3"/>
  <c r="P297" i="3" s="1"/>
  <c r="C285" i="3"/>
  <c r="D285" i="3"/>
  <c r="V285" i="3"/>
  <c r="V297" i="3" s="1"/>
  <c r="P165" i="3"/>
  <c r="R165" i="3"/>
  <c r="T382" i="3"/>
  <c r="AB165" i="3"/>
  <c r="F382" i="3"/>
  <c r="P273" i="3"/>
  <c r="T273" i="3"/>
  <c r="C273" i="3"/>
  <c r="F165" i="3"/>
  <c r="B71" i="9"/>
  <c r="B83" i="9" s="1"/>
  <c r="V15" i="33" s="1"/>
  <c r="C382" i="3"/>
  <c r="Y71" i="9"/>
  <c r="Y83" i="9" s="1"/>
  <c r="H382" i="3"/>
  <c r="L382" i="3"/>
  <c r="AB177" i="13"/>
  <c r="AB189" i="13" s="1"/>
  <c r="C394" i="3"/>
  <c r="C406" i="3" s="1"/>
  <c r="S394" i="3"/>
  <c r="S406" i="3" s="1"/>
  <c r="G177" i="13"/>
  <c r="G189" i="13" s="1"/>
  <c r="AC177" i="3"/>
  <c r="AC189" i="3" s="1"/>
  <c r="EY15" i="33" s="1"/>
  <c r="Z394" i="3"/>
  <c r="Z406" i="3" s="1"/>
  <c r="O177" i="3"/>
  <c r="O189" i="3" s="1"/>
  <c r="I285" i="3"/>
  <c r="I297" i="3" s="1"/>
  <c r="I71" i="9"/>
  <c r="I83" i="9" s="1"/>
  <c r="F177" i="3"/>
  <c r="F189" i="3" s="1"/>
  <c r="C71" i="9"/>
  <c r="C83" i="9" s="1"/>
  <c r="B177" i="3"/>
  <c r="B189" i="3" s="1"/>
  <c r="AS15" i="33" s="1"/>
  <c r="R177" i="3"/>
  <c r="R189" i="3" s="1"/>
  <c r="J165" i="3"/>
  <c r="R382" i="3"/>
  <c r="K273" i="3"/>
  <c r="N165" i="3"/>
  <c r="D382" i="3"/>
  <c r="X71" i="9"/>
  <c r="X83" i="9" s="1"/>
  <c r="V71" i="9"/>
  <c r="W177" i="3"/>
  <c r="W189" i="3" s="1"/>
  <c r="D71" i="3"/>
  <c r="G394" i="3"/>
  <c r="G406" i="3" s="1"/>
  <c r="T177" i="13"/>
  <c r="T189" i="13" s="1"/>
  <c r="E71" i="3"/>
  <c r="E83" i="3" s="1"/>
  <c r="AA177" i="3"/>
  <c r="AA189" i="3" s="1"/>
  <c r="T285" i="3"/>
  <c r="AB71" i="9"/>
  <c r="AB83" i="9" s="1"/>
  <c r="D177" i="3"/>
  <c r="N177" i="13"/>
  <c r="N189" i="13" s="1"/>
  <c r="AB285" i="3"/>
  <c r="AB297" i="3" s="1"/>
  <c r="S382" i="3"/>
  <c r="AA165" i="3"/>
  <c r="O382" i="3"/>
  <c r="Y382" i="3"/>
  <c r="S273" i="3"/>
  <c r="Z273" i="3"/>
  <c r="M273" i="3"/>
  <c r="Q273" i="3"/>
  <c r="Q71" i="9"/>
  <c r="N71" i="9"/>
  <c r="R71" i="9"/>
  <c r="R83" i="9" s="1"/>
  <c r="F177" i="13"/>
  <c r="L71" i="9"/>
  <c r="K394" i="3"/>
  <c r="K406" i="3" s="1"/>
  <c r="O71" i="3"/>
  <c r="O83" i="3" s="1"/>
  <c r="P71" i="3"/>
  <c r="P83" i="3" s="1"/>
  <c r="Y71" i="3"/>
  <c r="Y83" i="3" s="1"/>
  <c r="AC394" i="3"/>
  <c r="AC406" i="3" s="1"/>
  <c r="FE15" i="33" s="1"/>
  <c r="W71" i="3"/>
  <c r="W83" i="3" s="1"/>
  <c r="X71" i="3"/>
  <c r="X83" i="3" s="1"/>
  <c r="E177" i="3"/>
  <c r="E189" i="3" s="1"/>
  <c r="T59" i="3"/>
  <c r="L394" i="3"/>
  <c r="L406" i="3" s="1"/>
  <c r="H394" i="3"/>
  <c r="H406" i="3" s="1"/>
  <c r="H177" i="13"/>
  <c r="AA71" i="3"/>
  <c r="AA83" i="3" s="1"/>
  <c r="P59" i="9"/>
  <c r="O285" i="3"/>
  <c r="W285" i="3"/>
  <c r="N285" i="3"/>
  <c r="U285" i="3"/>
  <c r="S177" i="3"/>
  <c r="S189" i="3" s="1"/>
  <c r="E285" i="3"/>
  <c r="K165" i="3"/>
  <c r="D273" i="3"/>
  <c r="J382" i="3"/>
  <c r="V273" i="3"/>
  <c r="AB273" i="3"/>
  <c r="U273" i="3"/>
  <c r="K382" i="3"/>
  <c r="R273" i="3"/>
  <c r="G165" i="3"/>
  <c r="AB382" i="3"/>
  <c r="T165" i="3"/>
  <c r="X273" i="3"/>
  <c r="H71" i="9"/>
  <c r="H83" i="9" s="1"/>
  <c r="AC71" i="3"/>
  <c r="N71" i="3"/>
  <c r="N83" i="3" s="1"/>
  <c r="V71" i="3"/>
  <c r="V83" i="3" s="1"/>
  <c r="C71" i="3"/>
  <c r="B394" i="3"/>
  <c r="B406" i="3" s="1"/>
  <c r="AY15" i="33" s="1"/>
  <c r="S71" i="3"/>
  <c r="S83" i="3" s="1"/>
  <c r="O394" i="3"/>
  <c r="O406" i="3" s="1"/>
  <c r="T394" i="3"/>
  <c r="J71" i="9"/>
  <c r="P177" i="3"/>
  <c r="P189" i="3" s="1"/>
  <c r="Y285" i="3"/>
  <c r="Y297" i="3" s="1"/>
  <c r="G285" i="3"/>
  <c r="K177" i="13"/>
  <c r="K189" i="13" s="1"/>
  <c r="E71" i="9"/>
  <c r="E83" i="9" s="1"/>
  <c r="M285" i="3"/>
  <c r="M297" i="3" s="1"/>
  <c r="CY15" i="33" s="1"/>
  <c r="X177" i="3"/>
  <c r="Y165" i="3"/>
  <c r="L273" i="3"/>
  <c r="AA382" i="3"/>
  <c r="O273" i="3"/>
  <c r="I165" i="3"/>
  <c r="I382" i="3"/>
  <c r="I273" i="3"/>
  <c r="Z165" i="3"/>
  <c r="V165" i="3"/>
  <c r="B273" i="3"/>
  <c r="AC165" i="3"/>
  <c r="AC382" i="3"/>
  <c r="L165" i="3"/>
  <c r="O71" i="9"/>
  <c r="O83" i="9" s="1"/>
  <c r="T177" i="3"/>
  <c r="T189" i="3" s="1"/>
  <c r="C177" i="13"/>
  <c r="C189" i="13" s="1"/>
  <c r="Y394" i="3"/>
  <c r="Y406" i="3" s="1"/>
  <c r="J394" i="3"/>
  <c r="J406" i="3" s="1"/>
  <c r="P394" i="3"/>
  <c r="P406" i="3" s="1"/>
  <c r="J177" i="13"/>
  <c r="J189" i="13" s="1"/>
  <c r="N394" i="3"/>
  <c r="N406" i="3" s="1"/>
  <c r="R394" i="3"/>
  <c r="R406" i="3" s="1"/>
  <c r="S177" i="13"/>
  <c r="S189" i="13" s="1"/>
  <c r="U394" i="3"/>
  <c r="U406" i="3" s="1"/>
  <c r="B71" i="3"/>
  <c r="M394" i="3"/>
  <c r="M406" i="3" s="1"/>
  <c r="DB15" i="33" s="1"/>
  <c r="J71" i="3"/>
  <c r="J83" i="3" s="1"/>
  <c r="AA177" i="13"/>
  <c r="AA189" i="13" s="1"/>
  <c r="AA273" i="3"/>
  <c r="B165" i="3"/>
  <c r="Z382" i="3"/>
  <c r="N273" i="3"/>
  <c r="H273" i="3"/>
  <c r="W382" i="3"/>
  <c r="V382" i="3"/>
  <c r="M165" i="3"/>
  <c r="B177" i="13"/>
  <c r="B189" i="13" s="1"/>
  <c r="H15" i="33" s="1"/>
  <c r="D165" i="3"/>
  <c r="M382" i="3"/>
  <c r="V177" i="3"/>
  <c r="W165" i="3"/>
  <c r="R285" i="3"/>
  <c r="R297" i="3" s="1"/>
  <c r="U165" i="3"/>
  <c r="U71" i="9"/>
  <c r="D71" i="9"/>
  <c r="S71" i="9"/>
  <c r="AB82" i="13"/>
  <c r="AB85" i="13" s="1"/>
  <c r="AE37" i="28" s="1"/>
  <c r="E161" i="9"/>
  <c r="E165" i="9" s="1"/>
  <c r="E173" i="9"/>
  <c r="E185" i="9"/>
  <c r="AA402" i="9"/>
  <c r="AA390" i="9"/>
  <c r="AA378" i="9"/>
  <c r="AA382" i="9" s="1"/>
  <c r="S293" i="9"/>
  <c r="S269" i="9"/>
  <c r="S273" i="9" s="1"/>
  <c r="S281" i="9"/>
  <c r="F293" i="9"/>
  <c r="F269" i="9"/>
  <c r="F273" i="9" s="1"/>
  <c r="F281" i="9"/>
  <c r="V269" i="9"/>
  <c r="V273" i="9" s="1"/>
  <c r="V281" i="9"/>
  <c r="V293" i="9"/>
  <c r="O269" i="9"/>
  <c r="O273" i="9" s="1"/>
  <c r="O281" i="9"/>
  <c r="O293" i="9"/>
  <c r="Q185" i="9"/>
  <c r="Q161" i="9"/>
  <c r="Q165" i="9" s="1"/>
  <c r="Q173" i="9"/>
  <c r="I161" i="9"/>
  <c r="I165" i="9" s="1"/>
  <c r="I185" i="9"/>
  <c r="I173" i="9"/>
  <c r="O161" i="9"/>
  <c r="O165" i="9" s="1"/>
  <c r="O173" i="9"/>
  <c r="O185" i="9"/>
  <c r="AA495" i="9"/>
  <c r="AA507" i="9"/>
  <c r="AA483" i="9"/>
  <c r="AA487" i="9" s="1"/>
  <c r="M507" i="9"/>
  <c r="CO11" i="33" s="1"/>
  <c r="M495" i="9"/>
  <c r="M483" i="9"/>
  <c r="M487" i="9" s="1"/>
  <c r="O507" i="9"/>
  <c r="O483" i="9"/>
  <c r="O487" i="9" s="1"/>
  <c r="O495" i="9"/>
  <c r="J507" i="9"/>
  <c r="J483" i="9"/>
  <c r="J487" i="9" s="1"/>
  <c r="J495" i="9"/>
  <c r="S402" i="9"/>
  <c r="S390" i="9"/>
  <c r="S378" i="9"/>
  <c r="S382" i="9" s="1"/>
  <c r="J402" i="9"/>
  <c r="J390" i="9"/>
  <c r="J378" i="9"/>
  <c r="J382" i="9" s="1"/>
  <c r="W402" i="9"/>
  <c r="W378" i="9"/>
  <c r="W382" i="9" s="1"/>
  <c r="W390" i="9"/>
  <c r="AC483" i="9"/>
  <c r="AC487" i="9" s="1"/>
  <c r="AC495" i="9"/>
  <c r="AC507" i="9"/>
  <c r="ER11" i="33" s="1"/>
  <c r="P293" i="9"/>
  <c r="P269" i="9"/>
  <c r="P273" i="9" s="1"/>
  <c r="P281" i="9"/>
  <c r="D293" i="9"/>
  <c r="D269" i="9"/>
  <c r="D273" i="9" s="1"/>
  <c r="D281" i="9"/>
  <c r="T293" i="9"/>
  <c r="T269" i="9"/>
  <c r="T273" i="9" s="1"/>
  <c r="T281" i="9"/>
  <c r="AC269" i="9"/>
  <c r="AC273" i="9" s="1"/>
  <c r="AC281" i="9"/>
  <c r="AC293" i="9"/>
  <c r="EJ11" i="33" s="1"/>
  <c r="U185" i="9"/>
  <c r="U161" i="9"/>
  <c r="U165" i="9" s="1"/>
  <c r="U173" i="9"/>
  <c r="D161" i="9"/>
  <c r="D165" i="9" s="1"/>
  <c r="D173" i="9"/>
  <c r="D185" i="9"/>
  <c r="C185" i="9"/>
  <c r="C161" i="9"/>
  <c r="C165" i="9" s="1"/>
  <c r="C173" i="9"/>
  <c r="V507" i="9"/>
  <c r="V483" i="9"/>
  <c r="V487" i="9" s="1"/>
  <c r="V495" i="9"/>
  <c r="B507" i="9"/>
  <c r="AL11" i="33" s="1"/>
  <c r="B483" i="9"/>
  <c r="B487" i="9" s="1"/>
  <c r="B495" i="9"/>
  <c r="E483" i="9"/>
  <c r="E487" i="9" s="1"/>
  <c r="E495" i="9"/>
  <c r="E507" i="9"/>
  <c r="H495" i="9"/>
  <c r="H507" i="9"/>
  <c r="H483" i="9"/>
  <c r="H487" i="9" s="1"/>
  <c r="Y402" i="9"/>
  <c r="Y390" i="9"/>
  <c r="Y378" i="9"/>
  <c r="Y382" i="9" s="1"/>
  <c r="Z378" i="9"/>
  <c r="Z382" i="9" s="1"/>
  <c r="Z390" i="9"/>
  <c r="Z402" i="9"/>
  <c r="Q402" i="9"/>
  <c r="Q390" i="9"/>
  <c r="Q378" i="9"/>
  <c r="Q382" i="9" s="1"/>
  <c r="B185" i="9"/>
  <c r="Z11" i="33" s="1"/>
  <c r="B161" i="9"/>
  <c r="B165" i="9" s="1"/>
  <c r="B173" i="9"/>
  <c r="L495" i="9"/>
  <c r="L507" i="9"/>
  <c r="L483" i="9"/>
  <c r="L487" i="9" s="1"/>
  <c r="AA293" i="9"/>
  <c r="AA269" i="9"/>
  <c r="AA273" i="9" s="1"/>
  <c r="AA281" i="9"/>
  <c r="E293" i="9"/>
  <c r="E281" i="9"/>
  <c r="E269" i="9"/>
  <c r="E273" i="9" s="1"/>
  <c r="Z293" i="9"/>
  <c r="Z269" i="9"/>
  <c r="Z273" i="9" s="1"/>
  <c r="Z281" i="9"/>
  <c r="S185" i="9"/>
  <c r="S161" i="9"/>
  <c r="S165" i="9" s="1"/>
  <c r="S173" i="9"/>
  <c r="Y161" i="9"/>
  <c r="Y165" i="9" s="1"/>
  <c r="Y173" i="9"/>
  <c r="Y185" i="9"/>
  <c r="R185" i="9"/>
  <c r="R161" i="9"/>
  <c r="R165" i="9" s="1"/>
  <c r="R173" i="9"/>
  <c r="P173" i="9"/>
  <c r="P185" i="9"/>
  <c r="P161" i="9"/>
  <c r="P165" i="9" s="1"/>
  <c r="U495" i="9"/>
  <c r="U507" i="9"/>
  <c r="U483" i="9"/>
  <c r="U487" i="9" s="1"/>
  <c r="D495" i="9"/>
  <c r="D483" i="9"/>
  <c r="D487" i="9" s="1"/>
  <c r="D507" i="9"/>
  <c r="C507" i="9"/>
  <c r="C483" i="9"/>
  <c r="C487" i="9" s="1"/>
  <c r="C495" i="9"/>
  <c r="T507" i="9"/>
  <c r="T483" i="9"/>
  <c r="T487" i="9" s="1"/>
  <c r="T495" i="9"/>
  <c r="N378" i="9"/>
  <c r="N382" i="9" s="1"/>
  <c r="N402" i="9"/>
  <c r="N390" i="9"/>
  <c r="P390" i="9"/>
  <c r="P378" i="9"/>
  <c r="P382" i="9" s="1"/>
  <c r="P402" i="9"/>
  <c r="F378" i="9"/>
  <c r="F382" i="9" s="1"/>
  <c r="F402" i="9"/>
  <c r="F390" i="9"/>
  <c r="B269" i="9"/>
  <c r="B273" i="9" s="1"/>
  <c r="B281" i="9"/>
  <c r="B293" i="9"/>
  <c r="AD11" i="33" s="1"/>
  <c r="T161" i="9"/>
  <c r="T165" i="9" s="1"/>
  <c r="T173" i="9"/>
  <c r="T185" i="9"/>
  <c r="F507" i="9"/>
  <c r="F483" i="9"/>
  <c r="F487" i="9" s="1"/>
  <c r="F495" i="9"/>
  <c r="M281" i="9"/>
  <c r="M293" i="9"/>
  <c r="CG11" i="33" s="1"/>
  <c r="M269" i="9"/>
  <c r="M273" i="9" s="1"/>
  <c r="K281" i="9"/>
  <c r="K269" i="9"/>
  <c r="K273" i="9" s="1"/>
  <c r="K293" i="9"/>
  <c r="G281" i="9"/>
  <c r="G293" i="9"/>
  <c r="G269" i="9"/>
  <c r="G273" i="9" s="1"/>
  <c r="H161" i="9"/>
  <c r="H165" i="9" s="1"/>
  <c r="H185" i="9"/>
  <c r="H173" i="9"/>
  <c r="N173" i="9"/>
  <c r="N185" i="9"/>
  <c r="N161" i="9"/>
  <c r="N165" i="9" s="1"/>
  <c r="F161" i="9"/>
  <c r="F165" i="9" s="1"/>
  <c r="F173" i="9"/>
  <c r="F185" i="9"/>
  <c r="J185" i="9"/>
  <c r="J161" i="9"/>
  <c r="J165" i="9" s="1"/>
  <c r="J173" i="9"/>
  <c r="AB483" i="9"/>
  <c r="AB487" i="9" s="1"/>
  <c r="AB507" i="9"/>
  <c r="AB495" i="9"/>
  <c r="K507" i="9"/>
  <c r="K483" i="9"/>
  <c r="K487" i="9" s="1"/>
  <c r="K495" i="9"/>
  <c r="R507" i="9"/>
  <c r="R483" i="9"/>
  <c r="R487" i="9" s="1"/>
  <c r="R495" i="9"/>
  <c r="C378" i="9"/>
  <c r="C382" i="9" s="1"/>
  <c r="C390" i="9"/>
  <c r="C402" i="9"/>
  <c r="V390" i="9"/>
  <c r="V378" i="9"/>
  <c r="V382" i="9" s="1"/>
  <c r="V402" i="9"/>
  <c r="G390" i="9"/>
  <c r="G378" i="9"/>
  <c r="G382" i="9" s="1"/>
  <c r="G402" i="9"/>
  <c r="O390" i="9"/>
  <c r="O378" i="9"/>
  <c r="O382" i="9" s="1"/>
  <c r="O402" i="9"/>
  <c r="X281" i="9"/>
  <c r="X293" i="9"/>
  <c r="X269" i="9"/>
  <c r="X273" i="9" s="1"/>
  <c r="R402" i="9"/>
  <c r="R390" i="9"/>
  <c r="R378" i="9"/>
  <c r="R382" i="9" s="1"/>
  <c r="J281" i="9"/>
  <c r="J293" i="9"/>
  <c r="J269" i="9"/>
  <c r="J273" i="9" s="1"/>
  <c r="N293" i="9"/>
  <c r="N269" i="9"/>
  <c r="N273" i="9" s="1"/>
  <c r="N281" i="9"/>
  <c r="Y293" i="9"/>
  <c r="Y269" i="9"/>
  <c r="Y273" i="9" s="1"/>
  <c r="Y281" i="9"/>
  <c r="AB161" i="9"/>
  <c r="AB165" i="9" s="1"/>
  <c r="AB173" i="9"/>
  <c r="AB185" i="9"/>
  <c r="Z185" i="9"/>
  <c r="Z161" i="9"/>
  <c r="Z165" i="9" s="1"/>
  <c r="Z173" i="9"/>
  <c r="V161" i="9"/>
  <c r="V165" i="9" s="1"/>
  <c r="V173" i="9"/>
  <c r="V185" i="9"/>
  <c r="X173" i="9"/>
  <c r="X185" i="9"/>
  <c r="X161" i="9"/>
  <c r="X165" i="9" s="1"/>
  <c r="S495" i="9"/>
  <c r="S507" i="9"/>
  <c r="S483" i="9"/>
  <c r="S487" i="9" s="1"/>
  <c r="Z507" i="9"/>
  <c r="Z483" i="9"/>
  <c r="Z487" i="9" s="1"/>
  <c r="Z495" i="9"/>
  <c r="Q507" i="9"/>
  <c r="Q483" i="9"/>
  <c r="Q487" i="9" s="1"/>
  <c r="Q495" i="9"/>
  <c r="B402" i="9"/>
  <c r="AH11" i="33" s="1"/>
  <c r="B390" i="9"/>
  <c r="B378" i="9"/>
  <c r="B382" i="9" s="1"/>
  <c r="H390" i="9"/>
  <c r="H378" i="9"/>
  <c r="H382" i="9" s="1"/>
  <c r="H402" i="9"/>
  <c r="E390" i="9"/>
  <c r="E378" i="9"/>
  <c r="E382" i="9" s="1"/>
  <c r="E402" i="9"/>
  <c r="D402" i="9"/>
  <c r="D390" i="9"/>
  <c r="D378" i="9"/>
  <c r="D382" i="9" s="1"/>
  <c r="Q269" i="9"/>
  <c r="Q273" i="9" s="1"/>
  <c r="Q281" i="9"/>
  <c r="Q293" i="9"/>
  <c r="I402" i="9"/>
  <c r="I390" i="9"/>
  <c r="I378" i="9"/>
  <c r="I382" i="9" s="1"/>
  <c r="U269" i="9"/>
  <c r="U273" i="9" s="1"/>
  <c r="U293" i="9"/>
  <c r="U281" i="9"/>
  <c r="I281" i="9"/>
  <c r="I269" i="9"/>
  <c r="I273" i="9" s="1"/>
  <c r="I293" i="9"/>
  <c r="AB281" i="9"/>
  <c r="AB293" i="9"/>
  <c r="AB269" i="9"/>
  <c r="AB273" i="9" s="1"/>
  <c r="M161" i="9"/>
  <c r="M165" i="9" s="1"/>
  <c r="M173" i="9"/>
  <c r="M185" i="9"/>
  <c r="CC11" i="33" s="1"/>
  <c r="K185" i="9"/>
  <c r="K161" i="9"/>
  <c r="K165" i="9" s="1"/>
  <c r="K173" i="9"/>
  <c r="G161" i="9"/>
  <c r="G165" i="9" s="1"/>
  <c r="G173" i="9"/>
  <c r="G185" i="9"/>
  <c r="W161" i="9"/>
  <c r="W165" i="9" s="1"/>
  <c r="W173" i="9"/>
  <c r="W185" i="9"/>
  <c r="W483" i="9"/>
  <c r="W487" i="9" s="1"/>
  <c r="W495" i="9"/>
  <c r="W507" i="9"/>
  <c r="Y507" i="9"/>
  <c r="Y483" i="9"/>
  <c r="Y487" i="9" s="1"/>
  <c r="Y495" i="9"/>
  <c r="P507" i="9"/>
  <c r="P483" i="9"/>
  <c r="P487" i="9" s="1"/>
  <c r="P495" i="9"/>
  <c r="X390" i="9"/>
  <c r="X402" i="9"/>
  <c r="X378" i="9"/>
  <c r="X382" i="9" s="1"/>
  <c r="L390" i="9"/>
  <c r="L378" i="9"/>
  <c r="L382" i="9" s="1"/>
  <c r="L402" i="9"/>
  <c r="M390" i="9"/>
  <c r="M378" i="9"/>
  <c r="M382" i="9" s="1"/>
  <c r="M402" i="9"/>
  <c r="CK11" i="33" s="1"/>
  <c r="U390" i="9"/>
  <c r="U378" i="9"/>
  <c r="U382" i="9" s="1"/>
  <c r="U402" i="9"/>
  <c r="C293" i="9"/>
  <c r="C269" i="9"/>
  <c r="C273" i="9" s="1"/>
  <c r="C281" i="9"/>
  <c r="I507" i="9"/>
  <c r="I483" i="9"/>
  <c r="I487" i="9" s="1"/>
  <c r="I495" i="9"/>
  <c r="H281" i="9"/>
  <c r="H293" i="9"/>
  <c r="H269" i="9"/>
  <c r="H273" i="9" s="1"/>
  <c r="W269" i="9"/>
  <c r="W273" i="9" s="1"/>
  <c r="W281" i="9"/>
  <c r="W293" i="9"/>
  <c r="L293" i="9"/>
  <c r="L269" i="9"/>
  <c r="L273" i="9" s="1"/>
  <c r="L281" i="9"/>
  <c r="R293" i="9"/>
  <c r="R269" i="9"/>
  <c r="R273" i="9" s="1"/>
  <c r="R281" i="9"/>
  <c r="L185" i="9"/>
  <c r="L173" i="9"/>
  <c r="L161" i="9"/>
  <c r="L165" i="9" s="1"/>
  <c r="AC173" i="9"/>
  <c r="AC185" i="9"/>
  <c r="EF11" i="33" s="1"/>
  <c r="AC161" i="9"/>
  <c r="AC165" i="9" s="1"/>
  <c r="AA173" i="9"/>
  <c r="AA161" i="9"/>
  <c r="AA165" i="9" s="1"/>
  <c r="AA185" i="9"/>
  <c r="N483" i="9"/>
  <c r="N487" i="9" s="1"/>
  <c r="N495" i="9"/>
  <c r="N507" i="9"/>
  <c r="X495" i="9"/>
  <c r="X507" i="9"/>
  <c r="X483" i="9"/>
  <c r="X487" i="9" s="1"/>
  <c r="G495" i="9"/>
  <c r="G483" i="9"/>
  <c r="G487" i="9" s="1"/>
  <c r="G507" i="9"/>
  <c r="AB402" i="9"/>
  <c r="AB390" i="9"/>
  <c r="AB378" i="9"/>
  <c r="AB382" i="9" s="1"/>
  <c r="AC390" i="9"/>
  <c r="AC378" i="9"/>
  <c r="AC382" i="9" s="1"/>
  <c r="AC402" i="9"/>
  <c r="EN11" i="33" s="1"/>
  <c r="K402" i="9"/>
  <c r="K390" i="9"/>
  <c r="K378" i="9"/>
  <c r="K382" i="9" s="1"/>
  <c r="T390" i="9"/>
  <c r="T378" i="9"/>
  <c r="T382" i="9" s="1"/>
  <c r="T402" i="9"/>
  <c r="Q487" i="3"/>
  <c r="Y487" i="3"/>
  <c r="G487" i="3"/>
  <c r="H487" i="3"/>
  <c r="I487" i="3"/>
  <c r="P487" i="3"/>
  <c r="O487" i="3"/>
  <c r="W487" i="3"/>
  <c r="T487" i="3"/>
  <c r="R405" i="13"/>
  <c r="R408" i="13" s="1"/>
  <c r="U41" i="28" s="1"/>
  <c r="J487" i="3"/>
  <c r="R487" i="3"/>
  <c r="V296" i="13"/>
  <c r="V299" i="13" s="1"/>
  <c r="Y40" i="28" s="1"/>
  <c r="Z296" i="13"/>
  <c r="Z299" i="13" s="1"/>
  <c r="AC40" i="28" s="1"/>
  <c r="Y296" i="13"/>
  <c r="Y299" i="13" s="1"/>
  <c r="AB40" i="28" s="1"/>
  <c r="M296" i="13"/>
  <c r="Z487" i="3"/>
  <c r="Z499" i="3"/>
  <c r="Z511" i="3" s="1"/>
  <c r="J499" i="3"/>
  <c r="J511" i="3" s="1"/>
  <c r="R499" i="3"/>
  <c r="R511" i="3" s="1"/>
  <c r="H499" i="3"/>
  <c r="H511" i="3" s="1"/>
  <c r="D405" i="13"/>
  <c r="D408" i="13" s="1"/>
  <c r="G41" i="28" s="1"/>
  <c r="B487" i="3"/>
  <c r="S487" i="3"/>
  <c r="M82" i="13"/>
  <c r="V405" i="13"/>
  <c r="V408" i="13" s="1"/>
  <c r="Y41" i="28" s="1"/>
  <c r="U405" i="13"/>
  <c r="U408" i="13" s="1"/>
  <c r="X41" i="28" s="1"/>
  <c r="M487" i="3"/>
  <c r="Q82" i="13"/>
  <c r="Q85" i="13" s="1"/>
  <c r="T37" i="28" s="1"/>
  <c r="X499" i="3"/>
  <c r="X511" i="3" s="1"/>
  <c r="V487" i="3"/>
  <c r="D487" i="3"/>
  <c r="D499" i="3"/>
  <c r="D511" i="3" s="1"/>
  <c r="I499" i="3"/>
  <c r="I511" i="3" s="1"/>
  <c r="AA487" i="3"/>
  <c r="L487" i="3"/>
  <c r="U499" i="3"/>
  <c r="F487" i="3"/>
  <c r="Y82" i="13"/>
  <c r="Y85" i="13" s="1"/>
  <c r="AB37" i="28" s="1"/>
  <c r="N487" i="3"/>
  <c r="Y499" i="3"/>
  <c r="Y511" i="3" s="1"/>
  <c r="T499" i="3"/>
  <c r="T511" i="3" s="1"/>
  <c r="W499" i="3"/>
  <c r="W511" i="3" s="1"/>
  <c r="O499" i="3"/>
  <c r="O511" i="3" s="1"/>
  <c r="U487" i="3"/>
  <c r="V499" i="3"/>
  <c r="V511" i="3" s="1"/>
  <c r="K487" i="3"/>
  <c r="K499" i="3"/>
  <c r="K511" i="3" s="1"/>
  <c r="AC499" i="3"/>
  <c r="AC511" i="3" s="1"/>
  <c r="FH15" i="33" s="1"/>
  <c r="E499" i="3"/>
  <c r="E511" i="3" s="1"/>
  <c r="L82" i="13"/>
  <c r="L85" i="13" s="1"/>
  <c r="O37" i="28" s="1"/>
  <c r="S499" i="3"/>
  <c r="S511" i="3" s="1"/>
  <c r="C487" i="3"/>
  <c r="C499" i="3"/>
  <c r="C511" i="3" s="1"/>
  <c r="G499" i="3"/>
  <c r="G511" i="3" s="1"/>
  <c r="M499" i="3"/>
  <c r="M511" i="3" s="1"/>
  <c r="DE15" i="33" s="1"/>
  <c r="AC487" i="3"/>
  <c r="E487" i="3"/>
  <c r="X487" i="3"/>
  <c r="P499" i="3"/>
  <c r="P511" i="3" s="1"/>
  <c r="Q499" i="3"/>
  <c r="Q511" i="3" s="1"/>
  <c r="F499" i="3"/>
  <c r="F511" i="3" s="1"/>
  <c r="AB487" i="3"/>
  <c r="L499" i="3"/>
  <c r="L511" i="3" s="1"/>
  <c r="N499" i="3"/>
  <c r="N511" i="3" s="1"/>
  <c r="AA499" i="3"/>
  <c r="AA511" i="3" s="1"/>
  <c r="B499" i="3"/>
  <c r="B511" i="3" s="1"/>
  <c r="BB15" i="33" s="1"/>
  <c r="AB499" i="3"/>
  <c r="AB511" i="3" s="1"/>
  <c r="D82" i="13"/>
  <c r="D85" i="13" s="1"/>
  <c r="G37" i="28" s="1"/>
  <c r="AB405" i="13"/>
  <c r="AB408" i="13" s="1"/>
  <c r="AE41" i="28" s="1"/>
  <c r="H296" i="13"/>
  <c r="H299" i="13" s="1"/>
  <c r="K40" i="28" s="1"/>
  <c r="H82" i="13"/>
  <c r="H85" i="13" s="1"/>
  <c r="K37" i="28" s="1"/>
  <c r="N296" i="13"/>
  <c r="N299" i="13" s="1"/>
  <c r="Q40" i="28" s="1"/>
  <c r="T405" i="13"/>
  <c r="T408" i="13" s="1"/>
  <c r="W41" i="28" s="1"/>
  <c r="E82" i="13"/>
  <c r="E85" i="13" s="1"/>
  <c r="H37" i="28" s="1"/>
  <c r="W405" i="13"/>
  <c r="W408" i="13" s="1"/>
  <c r="Z41" i="28" s="1"/>
  <c r="AA405" i="13"/>
  <c r="AA408" i="13" s="1"/>
  <c r="AD41" i="28" s="1"/>
  <c r="G82" i="13"/>
  <c r="G85" i="13" s="1"/>
  <c r="J37" i="28" s="1"/>
  <c r="J296" i="13"/>
  <c r="J299" i="13" s="1"/>
  <c r="M40" i="28" s="1"/>
  <c r="R82" i="13"/>
  <c r="R85" i="13" s="1"/>
  <c r="U37" i="28" s="1"/>
  <c r="AC82" i="13"/>
  <c r="B82" i="13"/>
  <c r="B296" i="13"/>
  <c r="F405" i="13"/>
  <c r="F408" i="13" s="1"/>
  <c r="I41" i="28" s="1"/>
  <c r="AB296" i="13"/>
  <c r="AB299" i="13" s="1"/>
  <c r="AE40" i="28" s="1"/>
  <c r="Y405" i="13"/>
  <c r="Y408" i="13" s="1"/>
  <c r="AB41" i="28" s="1"/>
  <c r="T296" i="13"/>
  <c r="T299" i="13" s="1"/>
  <c r="W40" i="28" s="1"/>
  <c r="R296" i="13"/>
  <c r="R299" i="13" s="1"/>
  <c r="U40" i="28" s="1"/>
  <c r="K296" i="13"/>
  <c r="K299" i="13" s="1"/>
  <c r="N40" i="28" s="1"/>
  <c r="G296" i="13"/>
  <c r="G299" i="13" s="1"/>
  <c r="J40" i="28" s="1"/>
  <c r="AC405" i="13"/>
  <c r="P296" i="13"/>
  <c r="P299" i="13" s="1"/>
  <c r="S40" i="28" s="1"/>
  <c r="W296" i="13"/>
  <c r="W299" i="13" s="1"/>
  <c r="Z40" i="28" s="1"/>
  <c r="F296" i="13"/>
  <c r="F299" i="13" s="1"/>
  <c r="I40" i="28" s="1"/>
  <c r="P405" i="13"/>
  <c r="P408" i="13" s="1"/>
  <c r="S41" i="28" s="1"/>
  <c r="Q405" i="13"/>
  <c r="Q408" i="13" s="1"/>
  <c r="T41" i="28" s="1"/>
  <c r="U296" i="13"/>
  <c r="U299" i="13" s="1"/>
  <c r="X40" i="28" s="1"/>
  <c r="AA296" i="13"/>
  <c r="AA299" i="13" s="1"/>
  <c r="AD40" i="28" s="1"/>
  <c r="B405" i="13"/>
  <c r="X405" i="13"/>
  <c r="X408" i="13" s="1"/>
  <c r="AA41" i="28" s="1"/>
  <c r="O53" i="1"/>
  <c r="AC53" i="1"/>
  <c r="U53" i="1"/>
  <c r="M53" i="1"/>
  <c r="E53" i="1"/>
  <c r="AB53" i="1"/>
  <c r="T53" i="1"/>
  <c r="L53" i="1"/>
  <c r="D53" i="1"/>
  <c r="W53" i="1"/>
  <c r="AA53" i="1"/>
  <c r="K53" i="1"/>
  <c r="C53" i="1"/>
  <c r="R53" i="1"/>
  <c r="I53" i="1"/>
  <c r="G53" i="1"/>
  <c r="S53" i="1"/>
  <c r="Z53" i="1"/>
  <c r="J53" i="1"/>
  <c r="Y53" i="1"/>
  <c r="Q53" i="1"/>
  <c r="X53" i="1"/>
  <c r="P53" i="1"/>
  <c r="H53" i="1"/>
  <c r="V53" i="1"/>
  <c r="N53" i="1"/>
  <c r="F53" i="1"/>
  <c r="A78" i="1"/>
  <c r="B53" i="1"/>
  <c r="A70" i="1"/>
  <c r="A77" i="1"/>
  <c r="A76" i="1"/>
  <c r="A71" i="1"/>
  <c r="A75" i="1"/>
  <c r="A74" i="1"/>
  <c r="A73" i="1"/>
  <c r="A72" i="1"/>
  <c r="Q12" i="1"/>
  <c r="B31" i="1" s="1"/>
  <c r="R12" i="1"/>
  <c r="C31" i="1" s="1"/>
  <c r="S12" i="1"/>
  <c r="D31" i="1" s="1"/>
  <c r="T12" i="1"/>
  <c r="E31" i="1" s="1"/>
  <c r="U12" i="1"/>
  <c r="F31" i="1" s="1"/>
  <c r="V12" i="1"/>
  <c r="G31" i="1" s="1"/>
  <c r="W12" i="1"/>
  <c r="H31" i="1" s="1"/>
  <c r="X12" i="1"/>
  <c r="I31" i="1" s="1"/>
  <c r="Y12" i="1"/>
  <c r="J31" i="1" s="1"/>
  <c r="Z12" i="1"/>
  <c r="K31" i="1" s="1"/>
  <c r="AA12" i="1"/>
  <c r="L31" i="1" s="1"/>
  <c r="AB12" i="1"/>
  <c r="M31" i="1" s="1"/>
  <c r="AC12" i="1"/>
  <c r="N31" i="1" s="1"/>
  <c r="AD12" i="1"/>
  <c r="O31" i="1" s="1"/>
  <c r="AE12" i="1"/>
  <c r="P31" i="1" s="1"/>
  <c r="AF12" i="1"/>
  <c r="Q31" i="1" s="1"/>
  <c r="AG12" i="1"/>
  <c r="R31" i="1" s="1"/>
  <c r="AH12" i="1"/>
  <c r="S31" i="1" s="1"/>
  <c r="AI12" i="1"/>
  <c r="T31" i="1" s="1"/>
  <c r="AJ12" i="1"/>
  <c r="U31" i="1" s="1"/>
  <c r="AK12" i="1"/>
  <c r="V31" i="1" s="1"/>
  <c r="AL12" i="1"/>
  <c r="W31" i="1" s="1"/>
  <c r="AM12" i="1"/>
  <c r="X31" i="1" s="1"/>
  <c r="AN12" i="1"/>
  <c r="Y31" i="1" s="1"/>
  <c r="AO12" i="1"/>
  <c r="Z31" i="1" s="1"/>
  <c r="AP12" i="1"/>
  <c r="AA31" i="1" s="1"/>
  <c r="AQ12" i="1"/>
  <c r="AB31" i="1" s="1"/>
  <c r="AR12" i="1"/>
  <c r="AC31" i="1" s="1"/>
  <c r="Q13" i="1"/>
  <c r="R13" i="1"/>
  <c r="C32" i="1" s="1"/>
  <c r="S13" i="1"/>
  <c r="D32" i="1" s="1"/>
  <c r="T13" i="1"/>
  <c r="E32" i="1" s="1"/>
  <c r="U13" i="1"/>
  <c r="F32" i="1" s="1"/>
  <c r="V13" i="1"/>
  <c r="G32" i="1" s="1"/>
  <c r="W13" i="1"/>
  <c r="H32" i="1" s="1"/>
  <c r="X13" i="1"/>
  <c r="I32" i="1" s="1"/>
  <c r="Y13" i="1"/>
  <c r="J32" i="1" s="1"/>
  <c r="Z13" i="1"/>
  <c r="K32" i="1" s="1"/>
  <c r="AA13" i="1"/>
  <c r="L32" i="1" s="1"/>
  <c r="AB13" i="1"/>
  <c r="M32" i="1" s="1"/>
  <c r="AC13" i="1"/>
  <c r="N32" i="1" s="1"/>
  <c r="AD13" i="1"/>
  <c r="O32" i="1" s="1"/>
  <c r="AE13" i="1"/>
  <c r="P32" i="1" s="1"/>
  <c r="AF13" i="1"/>
  <c r="Q32" i="1" s="1"/>
  <c r="AG13" i="1"/>
  <c r="R32" i="1" s="1"/>
  <c r="AH13" i="1"/>
  <c r="S32" i="1" s="1"/>
  <c r="AI13" i="1"/>
  <c r="T32" i="1" s="1"/>
  <c r="AJ13" i="1"/>
  <c r="U32" i="1" s="1"/>
  <c r="AK13" i="1"/>
  <c r="V32" i="1" s="1"/>
  <c r="AL13" i="1"/>
  <c r="W32" i="1" s="1"/>
  <c r="AM13" i="1"/>
  <c r="X32" i="1" s="1"/>
  <c r="AN13" i="1"/>
  <c r="Y32" i="1" s="1"/>
  <c r="AO13" i="1"/>
  <c r="Z32" i="1" s="1"/>
  <c r="AP13" i="1"/>
  <c r="AA32" i="1" s="1"/>
  <c r="AQ13" i="1"/>
  <c r="AB32" i="1" s="1"/>
  <c r="AR13" i="1"/>
  <c r="AC32" i="1" s="1"/>
  <c r="Q14" i="1"/>
  <c r="B33" i="1" s="1"/>
  <c r="R14" i="1"/>
  <c r="C33" i="1" s="1"/>
  <c r="S14" i="1"/>
  <c r="D33" i="1" s="1"/>
  <c r="T14" i="1"/>
  <c r="E33" i="1" s="1"/>
  <c r="U14" i="1"/>
  <c r="F33" i="1" s="1"/>
  <c r="V14" i="1"/>
  <c r="G33" i="1" s="1"/>
  <c r="W14" i="1"/>
  <c r="H33" i="1" s="1"/>
  <c r="X14" i="1"/>
  <c r="I33" i="1" s="1"/>
  <c r="Y14" i="1"/>
  <c r="J33" i="1" s="1"/>
  <c r="Z14" i="1"/>
  <c r="K33" i="1" s="1"/>
  <c r="AA14" i="1"/>
  <c r="L33" i="1" s="1"/>
  <c r="AB14" i="1"/>
  <c r="M33" i="1" s="1"/>
  <c r="AC14" i="1"/>
  <c r="N33" i="1" s="1"/>
  <c r="AD14" i="1"/>
  <c r="O33" i="1" s="1"/>
  <c r="AE14" i="1"/>
  <c r="P33" i="1" s="1"/>
  <c r="AF14" i="1"/>
  <c r="Q33" i="1" s="1"/>
  <c r="AG14" i="1"/>
  <c r="R33" i="1" s="1"/>
  <c r="AH14" i="1"/>
  <c r="S33" i="1" s="1"/>
  <c r="AI14" i="1"/>
  <c r="T33" i="1" s="1"/>
  <c r="AJ14" i="1"/>
  <c r="U33" i="1" s="1"/>
  <c r="AK14" i="1"/>
  <c r="V33" i="1" s="1"/>
  <c r="AL14" i="1"/>
  <c r="W33" i="1" s="1"/>
  <c r="AM14" i="1"/>
  <c r="X33" i="1" s="1"/>
  <c r="AN14" i="1"/>
  <c r="Y33" i="1" s="1"/>
  <c r="AO14" i="1"/>
  <c r="Z33" i="1" s="1"/>
  <c r="AP14" i="1"/>
  <c r="AA33" i="1" s="1"/>
  <c r="AQ14" i="1"/>
  <c r="AB33" i="1" s="1"/>
  <c r="AR14" i="1"/>
  <c r="AC33" i="1" s="1"/>
  <c r="Q15" i="1"/>
  <c r="R15" i="1"/>
  <c r="C34" i="1" s="1"/>
  <c r="S15" i="1"/>
  <c r="D34" i="1" s="1"/>
  <c r="T15" i="1"/>
  <c r="E34" i="1" s="1"/>
  <c r="U15" i="1"/>
  <c r="F34" i="1" s="1"/>
  <c r="V15" i="1"/>
  <c r="G34" i="1" s="1"/>
  <c r="W15" i="1"/>
  <c r="H34" i="1" s="1"/>
  <c r="X15" i="1"/>
  <c r="I34" i="1" s="1"/>
  <c r="Y15" i="1"/>
  <c r="J34" i="1" s="1"/>
  <c r="Z15" i="1"/>
  <c r="K34" i="1" s="1"/>
  <c r="AA15" i="1"/>
  <c r="L34" i="1" s="1"/>
  <c r="AB15" i="1"/>
  <c r="M34" i="1" s="1"/>
  <c r="AC15" i="1"/>
  <c r="N34" i="1" s="1"/>
  <c r="AD15" i="1"/>
  <c r="O34" i="1" s="1"/>
  <c r="AE15" i="1"/>
  <c r="P34" i="1" s="1"/>
  <c r="AF15" i="1"/>
  <c r="Q34" i="1" s="1"/>
  <c r="AG15" i="1"/>
  <c r="R34" i="1" s="1"/>
  <c r="AH15" i="1"/>
  <c r="S34" i="1" s="1"/>
  <c r="AI15" i="1"/>
  <c r="T34" i="1" s="1"/>
  <c r="AJ15" i="1"/>
  <c r="U34" i="1" s="1"/>
  <c r="AK15" i="1"/>
  <c r="V34" i="1" s="1"/>
  <c r="AL15" i="1"/>
  <c r="W34" i="1" s="1"/>
  <c r="AM15" i="1"/>
  <c r="X34" i="1" s="1"/>
  <c r="AN15" i="1"/>
  <c r="Y34" i="1" s="1"/>
  <c r="AO15" i="1"/>
  <c r="Z34" i="1" s="1"/>
  <c r="AP15" i="1"/>
  <c r="AA34" i="1" s="1"/>
  <c r="AQ15" i="1"/>
  <c r="AB34" i="1" s="1"/>
  <c r="AR15" i="1"/>
  <c r="AC34" i="1" s="1"/>
  <c r="Q16" i="1"/>
  <c r="R16" i="1"/>
  <c r="C35" i="1" s="1"/>
  <c r="S16" i="1"/>
  <c r="D35" i="1" s="1"/>
  <c r="T16" i="1"/>
  <c r="E35" i="1" s="1"/>
  <c r="U16" i="1"/>
  <c r="F35" i="1" s="1"/>
  <c r="V16" i="1"/>
  <c r="G35" i="1" s="1"/>
  <c r="W16" i="1"/>
  <c r="H35" i="1" s="1"/>
  <c r="X16" i="1"/>
  <c r="I35" i="1" s="1"/>
  <c r="Y16" i="1"/>
  <c r="J35" i="1" s="1"/>
  <c r="Z16" i="1"/>
  <c r="K35" i="1" s="1"/>
  <c r="AA16" i="1"/>
  <c r="L35" i="1" s="1"/>
  <c r="AB16" i="1"/>
  <c r="M35" i="1" s="1"/>
  <c r="AC16" i="1"/>
  <c r="N35" i="1" s="1"/>
  <c r="AD16" i="1"/>
  <c r="O35" i="1" s="1"/>
  <c r="AE16" i="1"/>
  <c r="P35" i="1" s="1"/>
  <c r="AF16" i="1"/>
  <c r="Q35" i="1" s="1"/>
  <c r="AG16" i="1"/>
  <c r="R35" i="1" s="1"/>
  <c r="AH16" i="1"/>
  <c r="S35" i="1" s="1"/>
  <c r="AI16" i="1"/>
  <c r="T35" i="1" s="1"/>
  <c r="AJ16" i="1"/>
  <c r="U35" i="1" s="1"/>
  <c r="AK16" i="1"/>
  <c r="V35" i="1" s="1"/>
  <c r="AL16" i="1"/>
  <c r="W35" i="1" s="1"/>
  <c r="AM16" i="1"/>
  <c r="X35" i="1" s="1"/>
  <c r="AN16" i="1"/>
  <c r="Y35" i="1" s="1"/>
  <c r="AO16" i="1"/>
  <c r="Z35" i="1" s="1"/>
  <c r="AP16" i="1"/>
  <c r="AA35" i="1" s="1"/>
  <c r="AQ16" i="1"/>
  <c r="AB35" i="1" s="1"/>
  <c r="AR16" i="1"/>
  <c r="AC35" i="1" s="1"/>
  <c r="Q18" i="1"/>
  <c r="R18" i="1"/>
  <c r="C37" i="1" s="1"/>
  <c r="S18" i="1"/>
  <c r="D37" i="1" s="1"/>
  <c r="T18" i="1"/>
  <c r="E37" i="1" s="1"/>
  <c r="U18" i="1"/>
  <c r="F37" i="1" s="1"/>
  <c r="V18" i="1"/>
  <c r="G37" i="1" s="1"/>
  <c r="W18" i="1"/>
  <c r="H37" i="1" s="1"/>
  <c r="X18" i="1"/>
  <c r="I37" i="1" s="1"/>
  <c r="Y18" i="1"/>
  <c r="J37" i="1" s="1"/>
  <c r="Z18" i="1"/>
  <c r="K37" i="1" s="1"/>
  <c r="AA18" i="1"/>
  <c r="L37" i="1" s="1"/>
  <c r="AB18" i="1"/>
  <c r="M37" i="1" s="1"/>
  <c r="AC18" i="1"/>
  <c r="N37" i="1" s="1"/>
  <c r="AD18" i="1"/>
  <c r="O37" i="1" s="1"/>
  <c r="AE18" i="1"/>
  <c r="P37" i="1" s="1"/>
  <c r="AF18" i="1"/>
  <c r="Q37" i="1" s="1"/>
  <c r="AG18" i="1"/>
  <c r="R37" i="1" s="1"/>
  <c r="AH18" i="1"/>
  <c r="S37" i="1" s="1"/>
  <c r="AI18" i="1"/>
  <c r="T37" i="1" s="1"/>
  <c r="AJ18" i="1"/>
  <c r="U37" i="1" s="1"/>
  <c r="AK18" i="1"/>
  <c r="V37" i="1" s="1"/>
  <c r="AL18" i="1"/>
  <c r="W37" i="1" s="1"/>
  <c r="AM18" i="1"/>
  <c r="X37" i="1" s="1"/>
  <c r="AN18" i="1"/>
  <c r="Y37" i="1" s="1"/>
  <c r="AO18" i="1"/>
  <c r="Z37" i="1" s="1"/>
  <c r="AP18" i="1"/>
  <c r="AA37" i="1" s="1"/>
  <c r="AQ18" i="1"/>
  <c r="AB37" i="1" s="1"/>
  <c r="AR18" i="1"/>
  <c r="AC37" i="1" s="1"/>
  <c r="Q19" i="1"/>
  <c r="R19" i="1"/>
  <c r="C38" i="1" s="1"/>
  <c r="S19" i="1"/>
  <c r="D38" i="1" s="1"/>
  <c r="T19" i="1"/>
  <c r="E38" i="1" s="1"/>
  <c r="U19" i="1"/>
  <c r="F38" i="1" s="1"/>
  <c r="V19" i="1"/>
  <c r="G38" i="1" s="1"/>
  <c r="W19" i="1"/>
  <c r="H38" i="1" s="1"/>
  <c r="X19" i="1"/>
  <c r="I38" i="1" s="1"/>
  <c r="Y19" i="1"/>
  <c r="J38" i="1" s="1"/>
  <c r="Z19" i="1"/>
  <c r="K38" i="1" s="1"/>
  <c r="AA19" i="1"/>
  <c r="L38" i="1" s="1"/>
  <c r="AB19" i="1"/>
  <c r="M38" i="1" s="1"/>
  <c r="AC19" i="1"/>
  <c r="N38" i="1" s="1"/>
  <c r="AD19" i="1"/>
  <c r="O38" i="1" s="1"/>
  <c r="AE19" i="1"/>
  <c r="P38" i="1" s="1"/>
  <c r="AF19" i="1"/>
  <c r="Q38" i="1" s="1"/>
  <c r="AG19" i="1"/>
  <c r="R38" i="1" s="1"/>
  <c r="AH19" i="1"/>
  <c r="S38" i="1" s="1"/>
  <c r="AI19" i="1"/>
  <c r="T38" i="1" s="1"/>
  <c r="AJ19" i="1"/>
  <c r="U38" i="1" s="1"/>
  <c r="AK19" i="1"/>
  <c r="V38" i="1" s="1"/>
  <c r="AL19" i="1"/>
  <c r="W38" i="1" s="1"/>
  <c r="AM19" i="1"/>
  <c r="X38" i="1" s="1"/>
  <c r="AN19" i="1"/>
  <c r="Y38" i="1" s="1"/>
  <c r="AO19" i="1"/>
  <c r="Z38" i="1" s="1"/>
  <c r="AP19" i="1"/>
  <c r="AA38" i="1" s="1"/>
  <c r="AQ19" i="1"/>
  <c r="AB38" i="1" s="1"/>
  <c r="AR19" i="1"/>
  <c r="AC38" i="1" s="1"/>
  <c r="Q20" i="1"/>
  <c r="R20" i="1"/>
  <c r="C39" i="1" s="1"/>
  <c r="S20" i="1"/>
  <c r="D39" i="1" s="1"/>
  <c r="T20" i="1"/>
  <c r="E39" i="1" s="1"/>
  <c r="U20" i="1"/>
  <c r="F39" i="1" s="1"/>
  <c r="V20" i="1"/>
  <c r="G39" i="1" s="1"/>
  <c r="W20" i="1"/>
  <c r="H39" i="1" s="1"/>
  <c r="X20" i="1"/>
  <c r="I39" i="1" s="1"/>
  <c r="Y20" i="1"/>
  <c r="J39" i="1" s="1"/>
  <c r="Z20" i="1"/>
  <c r="K39" i="1" s="1"/>
  <c r="AA20" i="1"/>
  <c r="L39" i="1" s="1"/>
  <c r="AB20" i="1"/>
  <c r="M39" i="1" s="1"/>
  <c r="AC20" i="1"/>
  <c r="N39" i="1" s="1"/>
  <c r="AD20" i="1"/>
  <c r="O39" i="1" s="1"/>
  <c r="AE20" i="1"/>
  <c r="P39" i="1" s="1"/>
  <c r="AF20" i="1"/>
  <c r="Q39" i="1" s="1"/>
  <c r="AG20" i="1"/>
  <c r="R39" i="1" s="1"/>
  <c r="AH20" i="1"/>
  <c r="S39" i="1" s="1"/>
  <c r="AI20" i="1"/>
  <c r="T39" i="1" s="1"/>
  <c r="AJ20" i="1"/>
  <c r="U39" i="1" s="1"/>
  <c r="AK20" i="1"/>
  <c r="V39" i="1" s="1"/>
  <c r="AL20" i="1"/>
  <c r="W39" i="1" s="1"/>
  <c r="AM20" i="1"/>
  <c r="X39" i="1" s="1"/>
  <c r="AN20" i="1"/>
  <c r="Y39" i="1" s="1"/>
  <c r="AO20" i="1"/>
  <c r="Z39" i="1" s="1"/>
  <c r="AP20" i="1"/>
  <c r="AA39" i="1" s="1"/>
  <c r="AQ20" i="1"/>
  <c r="AB39" i="1" s="1"/>
  <c r="AR20" i="1"/>
  <c r="AC39" i="1" s="1"/>
  <c r="Q21" i="1"/>
  <c r="R21" i="1"/>
  <c r="C40" i="1" s="1"/>
  <c r="S21" i="1"/>
  <c r="D40" i="1" s="1"/>
  <c r="T21" i="1"/>
  <c r="E40" i="1" s="1"/>
  <c r="U21" i="1"/>
  <c r="F40" i="1" s="1"/>
  <c r="V21" i="1"/>
  <c r="G40" i="1" s="1"/>
  <c r="W21" i="1"/>
  <c r="H40" i="1" s="1"/>
  <c r="X21" i="1"/>
  <c r="I40" i="1" s="1"/>
  <c r="Y21" i="1"/>
  <c r="J40" i="1" s="1"/>
  <c r="Z21" i="1"/>
  <c r="K40" i="1" s="1"/>
  <c r="AA21" i="1"/>
  <c r="L40" i="1" s="1"/>
  <c r="AB21" i="1"/>
  <c r="M40" i="1" s="1"/>
  <c r="AC21" i="1"/>
  <c r="N40" i="1" s="1"/>
  <c r="AD21" i="1"/>
  <c r="O40" i="1" s="1"/>
  <c r="AE21" i="1"/>
  <c r="P40" i="1" s="1"/>
  <c r="AF21" i="1"/>
  <c r="Q40" i="1" s="1"/>
  <c r="AG21" i="1"/>
  <c r="R40" i="1" s="1"/>
  <c r="AH21" i="1"/>
  <c r="S40" i="1" s="1"/>
  <c r="AI21" i="1"/>
  <c r="T40" i="1" s="1"/>
  <c r="AJ21" i="1"/>
  <c r="U40" i="1" s="1"/>
  <c r="AK21" i="1"/>
  <c r="V40" i="1" s="1"/>
  <c r="AL21" i="1"/>
  <c r="W40" i="1" s="1"/>
  <c r="AM21" i="1"/>
  <c r="X40" i="1" s="1"/>
  <c r="AN21" i="1"/>
  <c r="Y40" i="1" s="1"/>
  <c r="AO21" i="1"/>
  <c r="Z40" i="1" s="1"/>
  <c r="AP21" i="1"/>
  <c r="AA40" i="1" s="1"/>
  <c r="AQ21" i="1"/>
  <c r="AB40" i="1" s="1"/>
  <c r="AR21" i="1"/>
  <c r="AC40" i="1" s="1"/>
  <c r="Q22" i="1"/>
  <c r="R22" i="1"/>
  <c r="C41" i="1" s="1"/>
  <c r="S22" i="1"/>
  <c r="D41" i="1" s="1"/>
  <c r="T22" i="1"/>
  <c r="E41" i="1" s="1"/>
  <c r="U22" i="1"/>
  <c r="F41" i="1" s="1"/>
  <c r="V22" i="1"/>
  <c r="G41" i="1" s="1"/>
  <c r="W22" i="1"/>
  <c r="H41" i="1" s="1"/>
  <c r="X22" i="1"/>
  <c r="I41" i="1" s="1"/>
  <c r="Y22" i="1"/>
  <c r="J41" i="1" s="1"/>
  <c r="Z22" i="1"/>
  <c r="K41" i="1" s="1"/>
  <c r="AA22" i="1"/>
  <c r="L41" i="1" s="1"/>
  <c r="AB22" i="1"/>
  <c r="M41" i="1" s="1"/>
  <c r="AC22" i="1"/>
  <c r="N41" i="1" s="1"/>
  <c r="AD22" i="1"/>
  <c r="O41" i="1" s="1"/>
  <c r="AE22" i="1"/>
  <c r="P41" i="1" s="1"/>
  <c r="AF22" i="1"/>
  <c r="Q41" i="1" s="1"/>
  <c r="AG22" i="1"/>
  <c r="R41" i="1" s="1"/>
  <c r="AH22" i="1"/>
  <c r="S41" i="1" s="1"/>
  <c r="AI22" i="1"/>
  <c r="T41" i="1" s="1"/>
  <c r="AJ22" i="1"/>
  <c r="U41" i="1" s="1"/>
  <c r="AK22" i="1"/>
  <c r="V41" i="1" s="1"/>
  <c r="AL22" i="1"/>
  <c r="W41" i="1" s="1"/>
  <c r="AM22" i="1"/>
  <c r="X41" i="1" s="1"/>
  <c r="AN22" i="1"/>
  <c r="Y41" i="1" s="1"/>
  <c r="AO22" i="1"/>
  <c r="Z41" i="1" s="1"/>
  <c r="AP22" i="1"/>
  <c r="AA41" i="1" s="1"/>
  <c r="AQ22" i="1"/>
  <c r="AB41" i="1" s="1"/>
  <c r="AR22" i="1"/>
  <c r="AC41" i="1" s="1"/>
  <c r="Q23" i="1"/>
  <c r="R23" i="1"/>
  <c r="C42" i="1" s="1"/>
  <c r="C44" i="1" s="1"/>
  <c r="S23" i="1"/>
  <c r="D42" i="1" s="1"/>
  <c r="D44" i="1" s="1"/>
  <c r="T23" i="1"/>
  <c r="E42" i="1" s="1"/>
  <c r="E44" i="1" s="1"/>
  <c r="U23" i="1"/>
  <c r="F42" i="1" s="1"/>
  <c r="F44" i="1" s="1"/>
  <c r="V23" i="1"/>
  <c r="G42" i="1" s="1"/>
  <c r="G44" i="1" s="1"/>
  <c r="W23" i="1"/>
  <c r="H42" i="1" s="1"/>
  <c r="H44" i="1" s="1"/>
  <c r="X23" i="1"/>
  <c r="I42" i="1" s="1"/>
  <c r="I44" i="1" s="1"/>
  <c r="Y23" i="1"/>
  <c r="J42" i="1" s="1"/>
  <c r="J44" i="1" s="1"/>
  <c r="Z23" i="1"/>
  <c r="K42" i="1" s="1"/>
  <c r="K44" i="1" s="1"/>
  <c r="AA23" i="1"/>
  <c r="L42" i="1" s="1"/>
  <c r="L44" i="1" s="1"/>
  <c r="AB23" i="1"/>
  <c r="M42" i="1" s="1"/>
  <c r="M44" i="1" s="1"/>
  <c r="AC23" i="1"/>
  <c r="N42" i="1" s="1"/>
  <c r="N44" i="1" s="1"/>
  <c r="AD23" i="1"/>
  <c r="O42" i="1" s="1"/>
  <c r="O44" i="1" s="1"/>
  <c r="AE23" i="1"/>
  <c r="P42" i="1" s="1"/>
  <c r="P44" i="1" s="1"/>
  <c r="AF23" i="1"/>
  <c r="Q42" i="1" s="1"/>
  <c r="Q44" i="1" s="1"/>
  <c r="AG23" i="1"/>
  <c r="R42" i="1" s="1"/>
  <c r="R44" i="1" s="1"/>
  <c r="AH23" i="1"/>
  <c r="S42" i="1" s="1"/>
  <c r="S44" i="1" s="1"/>
  <c r="AI23" i="1"/>
  <c r="T42" i="1" s="1"/>
  <c r="T44" i="1" s="1"/>
  <c r="AJ23" i="1"/>
  <c r="U42" i="1" s="1"/>
  <c r="U44" i="1" s="1"/>
  <c r="AK23" i="1"/>
  <c r="V42" i="1" s="1"/>
  <c r="V44" i="1" s="1"/>
  <c r="AL23" i="1"/>
  <c r="W42" i="1" s="1"/>
  <c r="W44" i="1" s="1"/>
  <c r="AM23" i="1"/>
  <c r="X42" i="1" s="1"/>
  <c r="X44" i="1" s="1"/>
  <c r="AN23" i="1"/>
  <c r="Y42" i="1" s="1"/>
  <c r="Y44" i="1" s="1"/>
  <c r="AO23" i="1"/>
  <c r="Z42" i="1" s="1"/>
  <c r="Z44" i="1" s="1"/>
  <c r="AP23" i="1"/>
  <c r="AA42" i="1" s="1"/>
  <c r="AA44" i="1" s="1"/>
  <c r="AQ23" i="1"/>
  <c r="AB42" i="1" s="1"/>
  <c r="AB44" i="1" s="1"/>
  <c r="AR23" i="1"/>
  <c r="AC42" i="1" s="1"/>
  <c r="AC44" i="1" s="1"/>
  <c r="Q24" i="1"/>
  <c r="R24" i="1"/>
  <c r="C43" i="1" s="1"/>
  <c r="S24" i="1"/>
  <c r="T24" i="1"/>
  <c r="U24" i="1"/>
  <c r="V24" i="1"/>
  <c r="W24" i="1"/>
  <c r="X24" i="1"/>
  <c r="Y24" i="1"/>
  <c r="Z24" i="1"/>
  <c r="K43" i="1" s="1"/>
  <c r="AA24" i="1"/>
  <c r="AB24" i="1"/>
  <c r="AC24" i="1"/>
  <c r="AD24" i="1"/>
  <c r="AE24" i="1"/>
  <c r="AF24" i="1"/>
  <c r="AG24" i="1"/>
  <c r="AH24" i="1"/>
  <c r="AI24" i="1"/>
  <c r="AJ24" i="1"/>
  <c r="AK24" i="1"/>
  <c r="AL24" i="1"/>
  <c r="AM24" i="1"/>
  <c r="AN24" i="1"/>
  <c r="AO24" i="1"/>
  <c r="AP24" i="1"/>
  <c r="AQ24" i="1"/>
  <c r="AR24" i="1"/>
  <c r="Q26" i="1"/>
  <c r="R26" i="1"/>
  <c r="C45" i="1" s="1"/>
  <c r="C75" i="1" s="1"/>
  <c r="S26" i="1"/>
  <c r="D45" i="1" s="1"/>
  <c r="D75" i="1" s="1"/>
  <c r="T26" i="1"/>
  <c r="E45" i="1" s="1"/>
  <c r="U26" i="1"/>
  <c r="F45" i="1" s="1"/>
  <c r="F64" i="1" s="1"/>
  <c r="V26" i="1"/>
  <c r="G45" i="1" s="1"/>
  <c r="W26" i="1"/>
  <c r="H45" i="1" s="1"/>
  <c r="X26" i="1"/>
  <c r="I45" i="1" s="1"/>
  <c r="I64" i="1" s="1"/>
  <c r="Y26" i="1"/>
  <c r="J45" i="1" s="1"/>
  <c r="J75" i="1" s="1"/>
  <c r="Z26" i="1"/>
  <c r="K45" i="1" s="1"/>
  <c r="K75" i="1" s="1"/>
  <c r="AA26" i="1"/>
  <c r="L45" i="1" s="1"/>
  <c r="L75" i="1" s="1"/>
  <c r="AB26" i="1"/>
  <c r="M45" i="1" s="1"/>
  <c r="AC26" i="1"/>
  <c r="N45" i="1" s="1"/>
  <c r="N64" i="1" s="1"/>
  <c r="AD26" i="1"/>
  <c r="O45" i="1" s="1"/>
  <c r="O64" i="1" s="1"/>
  <c r="AE26" i="1"/>
  <c r="P45" i="1" s="1"/>
  <c r="AF26" i="1"/>
  <c r="Q45" i="1" s="1"/>
  <c r="AG26" i="1"/>
  <c r="R45" i="1" s="1"/>
  <c r="AH26" i="1"/>
  <c r="S45" i="1" s="1"/>
  <c r="AI26" i="1"/>
  <c r="T45" i="1" s="1"/>
  <c r="AJ26" i="1"/>
  <c r="U45" i="1" s="1"/>
  <c r="AK26" i="1"/>
  <c r="V45" i="1" s="1"/>
  <c r="V64" i="1" s="1"/>
  <c r="AL26" i="1"/>
  <c r="W45" i="1" s="1"/>
  <c r="W75" i="1" s="1"/>
  <c r="AM26" i="1"/>
  <c r="X45" i="1" s="1"/>
  <c r="AN26" i="1"/>
  <c r="Y45" i="1" s="1"/>
  <c r="Y64" i="1" s="1"/>
  <c r="AO26" i="1"/>
  <c r="Z45" i="1" s="1"/>
  <c r="AP26" i="1"/>
  <c r="AA45" i="1" s="1"/>
  <c r="AQ26" i="1"/>
  <c r="AB45" i="1" s="1"/>
  <c r="AR26" i="1"/>
  <c r="AC45" i="1" s="1"/>
  <c r="Q11" i="1"/>
  <c r="R11" i="1"/>
  <c r="C30" i="1" s="1"/>
  <c r="S11" i="1"/>
  <c r="D30" i="1" s="1"/>
  <c r="T11" i="1"/>
  <c r="E30" i="1" s="1"/>
  <c r="U11" i="1"/>
  <c r="F30" i="1" s="1"/>
  <c r="V11" i="1"/>
  <c r="G30" i="1" s="1"/>
  <c r="W11" i="1"/>
  <c r="H30" i="1" s="1"/>
  <c r="X11" i="1"/>
  <c r="I30" i="1" s="1"/>
  <c r="Y11" i="1"/>
  <c r="J30" i="1" s="1"/>
  <c r="Z11" i="1"/>
  <c r="K30" i="1" s="1"/>
  <c r="AA11" i="1"/>
  <c r="L30" i="1" s="1"/>
  <c r="AB11" i="1"/>
  <c r="M30" i="1" s="1"/>
  <c r="AC11" i="1"/>
  <c r="N30" i="1" s="1"/>
  <c r="AD11" i="1"/>
  <c r="O30" i="1" s="1"/>
  <c r="AE11" i="1"/>
  <c r="P30" i="1" s="1"/>
  <c r="AF11" i="1"/>
  <c r="Q30" i="1" s="1"/>
  <c r="AG11" i="1"/>
  <c r="R30" i="1" s="1"/>
  <c r="AH11" i="1"/>
  <c r="S30" i="1" s="1"/>
  <c r="AI11" i="1"/>
  <c r="T30" i="1" s="1"/>
  <c r="AJ11" i="1"/>
  <c r="U30" i="1" s="1"/>
  <c r="AK11" i="1"/>
  <c r="V30" i="1" s="1"/>
  <c r="AL11" i="1"/>
  <c r="W30" i="1" s="1"/>
  <c r="AM11" i="1"/>
  <c r="X30" i="1" s="1"/>
  <c r="AN11" i="1"/>
  <c r="Y30" i="1" s="1"/>
  <c r="AO11" i="1"/>
  <c r="Z30" i="1" s="1"/>
  <c r="AP11" i="1"/>
  <c r="AA30" i="1" s="1"/>
  <c r="AQ11" i="1"/>
  <c r="AB30" i="1" s="1"/>
  <c r="AR11" i="1"/>
  <c r="AC30" i="1" s="1"/>
  <c r="V43" i="1" l="1"/>
  <c r="AC43" i="1"/>
  <c r="M43" i="1"/>
  <c r="AB43" i="1"/>
  <c r="L43" i="1"/>
  <c r="BU17" i="33"/>
  <c r="N64" i="34" s="1"/>
  <c r="DS17" i="33"/>
  <c r="W59" i="34" s="1"/>
  <c r="B408" i="13"/>
  <c r="E41" i="28" s="1"/>
  <c r="R14" i="33"/>
  <c r="R17" i="33" s="1"/>
  <c r="D64" i="34" s="1"/>
  <c r="AC408" i="13"/>
  <c r="AF41" i="28" s="1"/>
  <c r="DX14" i="33"/>
  <c r="DX17" i="33" s="1"/>
  <c r="W64" i="34" s="1"/>
  <c r="B299" i="13"/>
  <c r="E40" i="28" s="1"/>
  <c r="M14" i="33"/>
  <c r="M17" i="33" s="1"/>
  <c r="D59" i="34" s="1"/>
  <c r="B85" i="13"/>
  <c r="E37" i="28" s="1"/>
  <c r="C14" i="33"/>
  <c r="C17" i="33" s="1"/>
  <c r="D49" i="34" s="1"/>
  <c r="AC85" i="13"/>
  <c r="AF37" i="28" s="1"/>
  <c r="DI14" i="33"/>
  <c r="DI17" i="33" s="1"/>
  <c r="W49" i="34" s="1"/>
  <c r="M85" i="13"/>
  <c r="P37" i="28" s="1"/>
  <c r="BF14" i="33"/>
  <c r="BF17" i="33" s="1"/>
  <c r="N49" i="34" s="1"/>
  <c r="M299" i="13"/>
  <c r="P40" i="28" s="1"/>
  <c r="BP14" i="33"/>
  <c r="BP17" i="33" s="1"/>
  <c r="N59" i="34" s="1"/>
  <c r="S75" i="1"/>
  <c r="E43" i="1"/>
  <c r="U75" i="1"/>
  <c r="AA43" i="1"/>
  <c r="R75" i="1"/>
  <c r="F43" i="1"/>
  <c r="D43" i="1"/>
  <c r="T75" i="1"/>
  <c r="U43" i="1"/>
  <c r="T43" i="1"/>
  <c r="S43" i="1"/>
  <c r="AA75" i="1"/>
  <c r="G75" i="1"/>
  <c r="Z75" i="1"/>
  <c r="N43" i="1"/>
  <c r="Q82" i="3"/>
  <c r="Q85" i="3" s="1"/>
  <c r="T2" i="28" s="1"/>
  <c r="AB76" i="1"/>
  <c r="T76" i="1"/>
  <c r="L76" i="1"/>
  <c r="D76" i="1"/>
  <c r="Z296" i="3"/>
  <c r="Z299" i="3" s="1"/>
  <c r="AC4" i="28" s="1"/>
  <c r="S188" i="3"/>
  <c r="S191" i="3" s="1"/>
  <c r="V3" i="28" s="1"/>
  <c r="D299" i="13"/>
  <c r="G40" i="28" s="1"/>
  <c r="I85" i="13"/>
  <c r="L37" i="28" s="1"/>
  <c r="C299" i="13"/>
  <c r="F40" i="28" s="1"/>
  <c r="C85" i="13"/>
  <c r="F37" i="28" s="1"/>
  <c r="W85" i="13"/>
  <c r="Z37" i="28" s="1"/>
  <c r="X85" i="13"/>
  <c r="AA37" i="28" s="1"/>
  <c r="C408" i="13"/>
  <c r="F41" i="28" s="1"/>
  <c r="AA85" i="13"/>
  <c r="AD37" i="28" s="1"/>
  <c r="O299" i="13"/>
  <c r="R40" i="28" s="1"/>
  <c r="P296" i="3"/>
  <c r="P299" i="3" s="1"/>
  <c r="S4" i="28" s="1"/>
  <c r="E408" i="13"/>
  <c r="H41" i="28" s="1"/>
  <c r="L408" i="13"/>
  <c r="O41" i="28" s="1"/>
  <c r="Z85" i="13"/>
  <c r="AC37" i="28" s="1"/>
  <c r="V85" i="13"/>
  <c r="Y37" i="28" s="1"/>
  <c r="L299" i="13"/>
  <c r="O40" i="28" s="1"/>
  <c r="Q299" i="13"/>
  <c r="T40" i="28" s="1"/>
  <c r="M408" i="13"/>
  <c r="P41" i="28" s="1"/>
  <c r="O85" i="13"/>
  <c r="R37" i="28" s="1"/>
  <c r="P85" i="13"/>
  <c r="S37" i="28" s="1"/>
  <c r="I408" i="13"/>
  <c r="L41" i="28" s="1"/>
  <c r="J85" i="13"/>
  <c r="M37" i="28" s="1"/>
  <c r="AC299" i="13"/>
  <c r="AF40" i="28" s="1"/>
  <c r="S408" i="13"/>
  <c r="V41" i="28" s="1"/>
  <c r="E299" i="13"/>
  <c r="H40" i="28" s="1"/>
  <c r="N85" i="13"/>
  <c r="Q37" i="28" s="1"/>
  <c r="X299" i="13"/>
  <c r="AA40" i="28" s="1"/>
  <c r="K85" i="13"/>
  <c r="N37" i="28" s="1"/>
  <c r="I299" i="13"/>
  <c r="L40" i="28" s="1"/>
  <c r="S299" i="13"/>
  <c r="V40" i="28" s="1"/>
  <c r="J408" i="13"/>
  <c r="M41" i="28" s="1"/>
  <c r="U188" i="3"/>
  <c r="U191" i="3" s="1"/>
  <c r="X3" i="28" s="1"/>
  <c r="T85" i="13"/>
  <c r="W37" i="28" s="1"/>
  <c r="J82" i="9"/>
  <c r="J83" i="9"/>
  <c r="W188" i="13"/>
  <c r="W189" i="13"/>
  <c r="AA82" i="9"/>
  <c r="AA83" i="9"/>
  <c r="W82" i="9"/>
  <c r="W83" i="9"/>
  <c r="L82" i="9"/>
  <c r="L83" i="9"/>
  <c r="V82" i="9"/>
  <c r="V83" i="9"/>
  <c r="V188" i="13"/>
  <c r="V189" i="13"/>
  <c r="S82" i="9"/>
  <c r="S83" i="9"/>
  <c r="F188" i="13"/>
  <c r="F189" i="13"/>
  <c r="R188" i="13"/>
  <c r="R189" i="13"/>
  <c r="D82" i="9"/>
  <c r="D83" i="9"/>
  <c r="M82" i="9"/>
  <c r="BY14" i="33" s="1"/>
  <c r="M83" i="9"/>
  <c r="BY15" i="33" s="1"/>
  <c r="Q188" i="13"/>
  <c r="Q189" i="13"/>
  <c r="U82" i="9"/>
  <c r="U83" i="9"/>
  <c r="N82" i="9"/>
  <c r="N83" i="9"/>
  <c r="I188" i="13"/>
  <c r="I189" i="13"/>
  <c r="H188" i="13"/>
  <c r="H189" i="13"/>
  <c r="Q82" i="9"/>
  <c r="Q83" i="9"/>
  <c r="F188" i="3"/>
  <c r="F191" i="3" s="1"/>
  <c r="I3" i="28" s="1"/>
  <c r="N188" i="3"/>
  <c r="N191" i="3" s="1"/>
  <c r="Q3" i="28" s="1"/>
  <c r="N82" i="3"/>
  <c r="N85" i="3" s="1"/>
  <c r="Q2" i="28" s="1"/>
  <c r="I188" i="3"/>
  <c r="I191" i="3" s="1"/>
  <c r="L3" i="28" s="1"/>
  <c r="O296" i="3"/>
  <c r="O297" i="3"/>
  <c r="T296" i="3"/>
  <c r="T297" i="3"/>
  <c r="AA296" i="3"/>
  <c r="AA297" i="3"/>
  <c r="K296" i="3"/>
  <c r="K297" i="3"/>
  <c r="G296" i="3"/>
  <c r="G297" i="3"/>
  <c r="C82" i="3"/>
  <c r="C83" i="3"/>
  <c r="D296" i="3"/>
  <c r="D297" i="3"/>
  <c r="F296" i="3"/>
  <c r="F297" i="3"/>
  <c r="M82" i="3"/>
  <c r="CS14" i="33" s="1"/>
  <c r="M83" i="3"/>
  <c r="CS15" i="33" s="1"/>
  <c r="K82" i="9"/>
  <c r="K85" i="9" s="1"/>
  <c r="N17" i="28" s="1"/>
  <c r="E296" i="3"/>
  <c r="E297" i="3"/>
  <c r="C296" i="3"/>
  <c r="C297" i="3"/>
  <c r="L188" i="3"/>
  <c r="L189" i="3"/>
  <c r="U510" i="3"/>
  <c r="U511" i="3"/>
  <c r="V296" i="3"/>
  <c r="V299" i="3" s="1"/>
  <c r="Y4" i="28" s="1"/>
  <c r="B82" i="3"/>
  <c r="AP14" i="33" s="1"/>
  <c r="B83" i="3"/>
  <c r="AP15" i="33" s="1"/>
  <c r="AC82" i="3"/>
  <c r="EV14" i="33" s="1"/>
  <c r="AC83" i="3"/>
  <c r="EV15" i="33" s="1"/>
  <c r="U296" i="3"/>
  <c r="U297" i="3"/>
  <c r="D82" i="3"/>
  <c r="D83" i="3"/>
  <c r="Y188" i="3"/>
  <c r="Y189" i="3"/>
  <c r="E405" i="3"/>
  <c r="E406" i="3"/>
  <c r="V188" i="3"/>
  <c r="V189" i="3"/>
  <c r="X188" i="3"/>
  <c r="X189" i="3"/>
  <c r="T405" i="3"/>
  <c r="T406" i="3"/>
  <c r="N296" i="3"/>
  <c r="N297" i="3"/>
  <c r="D188" i="3"/>
  <c r="D189" i="3"/>
  <c r="T82" i="3"/>
  <c r="T83" i="3"/>
  <c r="C188" i="3"/>
  <c r="C189" i="3"/>
  <c r="AB82" i="3"/>
  <c r="AB83" i="3"/>
  <c r="J188" i="3"/>
  <c r="J189" i="3"/>
  <c r="K82" i="3"/>
  <c r="K85" i="3" s="1"/>
  <c r="N2" i="28" s="1"/>
  <c r="AA188" i="3"/>
  <c r="AA191" i="3" s="1"/>
  <c r="AD3" i="28" s="1"/>
  <c r="W296" i="3"/>
  <c r="W297" i="3"/>
  <c r="X296" i="3"/>
  <c r="X297" i="3"/>
  <c r="W285" i="9"/>
  <c r="W297" i="9" s="1"/>
  <c r="C285" i="9"/>
  <c r="C297" i="9" s="1"/>
  <c r="M394" i="9"/>
  <c r="E394" i="9"/>
  <c r="E406" i="9" s="1"/>
  <c r="G394" i="9"/>
  <c r="J177" i="9"/>
  <c r="J189" i="9" s="1"/>
  <c r="N177" i="9"/>
  <c r="N189" i="9" s="1"/>
  <c r="V499" i="9"/>
  <c r="G499" i="9"/>
  <c r="R285" i="9"/>
  <c r="W177" i="9"/>
  <c r="W189" i="9" s="1"/>
  <c r="I285" i="9"/>
  <c r="I297" i="9" s="1"/>
  <c r="Q285" i="9"/>
  <c r="Q297" i="9" s="1"/>
  <c r="H177" i="9"/>
  <c r="K285" i="9"/>
  <c r="K297" i="9" s="1"/>
  <c r="T177" i="9"/>
  <c r="H499" i="9"/>
  <c r="U177" i="9"/>
  <c r="AC499" i="9"/>
  <c r="O177" i="9"/>
  <c r="E177" i="9"/>
  <c r="AA177" i="9"/>
  <c r="AA189" i="9" s="1"/>
  <c r="Y499" i="9"/>
  <c r="Y511" i="9" s="1"/>
  <c r="M177" i="9"/>
  <c r="M189" i="9" s="1"/>
  <c r="CC15" i="33" s="1"/>
  <c r="U285" i="9"/>
  <c r="U297" i="9" s="1"/>
  <c r="Z499" i="9"/>
  <c r="Z511" i="9" s="1"/>
  <c r="X177" i="9"/>
  <c r="X189" i="9" s="1"/>
  <c r="AB177" i="9"/>
  <c r="X285" i="9"/>
  <c r="X297" i="9" s="1"/>
  <c r="K499" i="9"/>
  <c r="K511" i="9" s="1"/>
  <c r="C499" i="9"/>
  <c r="C511" i="9" s="1"/>
  <c r="U499" i="9"/>
  <c r="U511" i="9" s="1"/>
  <c r="Y177" i="9"/>
  <c r="Y189" i="9" s="1"/>
  <c r="L499" i="9"/>
  <c r="L511" i="9" s="1"/>
  <c r="Z394" i="9"/>
  <c r="D285" i="9"/>
  <c r="D297" i="9" s="1"/>
  <c r="S394" i="9"/>
  <c r="O285" i="9"/>
  <c r="O297" i="9" s="1"/>
  <c r="S285" i="9"/>
  <c r="AC394" i="9"/>
  <c r="L394" i="9"/>
  <c r="H394" i="9"/>
  <c r="H406" i="9" s="1"/>
  <c r="V394" i="9"/>
  <c r="P394" i="9"/>
  <c r="P406" i="9" s="1"/>
  <c r="E285" i="9"/>
  <c r="B177" i="9"/>
  <c r="E499" i="9"/>
  <c r="C177" i="9"/>
  <c r="W394" i="9"/>
  <c r="W406" i="9" s="1"/>
  <c r="M499" i="9"/>
  <c r="I177" i="9"/>
  <c r="I189" i="9" s="1"/>
  <c r="X499" i="9"/>
  <c r="X511" i="9" s="1"/>
  <c r="L285" i="9"/>
  <c r="L297" i="9" s="1"/>
  <c r="H285" i="9"/>
  <c r="H297" i="9" s="1"/>
  <c r="G177" i="9"/>
  <c r="G189" i="9" s="1"/>
  <c r="D394" i="9"/>
  <c r="V177" i="9"/>
  <c r="Y285" i="9"/>
  <c r="J285" i="9"/>
  <c r="J297" i="9" s="1"/>
  <c r="F177" i="9"/>
  <c r="M285" i="9"/>
  <c r="B285" i="9"/>
  <c r="B297" i="9" s="1"/>
  <c r="AD15" i="33" s="1"/>
  <c r="N394" i="9"/>
  <c r="S177" i="9"/>
  <c r="J499" i="9"/>
  <c r="J511" i="9" s="1"/>
  <c r="T394" i="9"/>
  <c r="T406" i="9" s="1"/>
  <c r="AB394" i="9"/>
  <c r="AC177" i="9"/>
  <c r="I499" i="9"/>
  <c r="U394" i="9"/>
  <c r="B394" i="9"/>
  <c r="B406" i="9" s="1"/>
  <c r="AH15" i="33" s="1"/>
  <c r="O394" i="9"/>
  <c r="O406" i="9" s="1"/>
  <c r="C394" i="9"/>
  <c r="AB499" i="9"/>
  <c r="F499" i="9"/>
  <c r="P177" i="9"/>
  <c r="AA285" i="9"/>
  <c r="Y394" i="9"/>
  <c r="B499" i="9"/>
  <c r="B511" i="9" s="1"/>
  <c r="AL15" i="33" s="1"/>
  <c r="AC285" i="9"/>
  <c r="P285" i="9"/>
  <c r="V285" i="9"/>
  <c r="N499" i="9"/>
  <c r="X394" i="9"/>
  <c r="X406" i="9" s="1"/>
  <c r="W499" i="9"/>
  <c r="W511" i="9" s="1"/>
  <c r="K177" i="9"/>
  <c r="AB285" i="9"/>
  <c r="I394" i="9"/>
  <c r="Z177" i="9"/>
  <c r="Z189" i="9" s="1"/>
  <c r="R394" i="9"/>
  <c r="G285" i="9"/>
  <c r="G297" i="9" s="1"/>
  <c r="F394" i="9"/>
  <c r="R177" i="9"/>
  <c r="Q177" i="9"/>
  <c r="Q189" i="9" s="1"/>
  <c r="AA394" i="9"/>
  <c r="K394" i="9"/>
  <c r="L177" i="9"/>
  <c r="L189" i="9" s="1"/>
  <c r="P499" i="9"/>
  <c r="P511" i="9" s="1"/>
  <c r="Q499" i="9"/>
  <c r="S499" i="9"/>
  <c r="N285" i="9"/>
  <c r="N297" i="9" s="1"/>
  <c r="R499" i="9"/>
  <c r="T499" i="9"/>
  <c r="D499" i="9"/>
  <c r="D511" i="9" s="1"/>
  <c r="Z285" i="9"/>
  <c r="Q394" i="9"/>
  <c r="Q406" i="9" s="1"/>
  <c r="D177" i="9"/>
  <c r="T285" i="9"/>
  <c r="J394" i="9"/>
  <c r="O499" i="9"/>
  <c r="O511" i="9" s="1"/>
  <c r="AA499" i="9"/>
  <c r="AA511" i="9" s="1"/>
  <c r="F285" i="9"/>
  <c r="F297" i="9" s="1"/>
  <c r="H82" i="9"/>
  <c r="H85" i="9" s="1"/>
  <c r="K17" i="28" s="1"/>
  <c r="R82" i="9"/>
  <c r="R85" i="9" s="1"/>
  <c r="U17" i="28" s="1"/>
  <c r="G82" i="9"/>
  <c r="G85" i="9" s="1"/>
  <c r="J17" i="28" s="1"/>
  <c r="X82" i="9"/>
  <c r="X85" i="9" s="1"/>
  <c r="AA17" i="28" s="1"/>
  <c r="Z82" i="9"/>
  <c r="Z85" i="9" s="1"/>
  <c r="AC17" i="28" s="1"/>
  <c r="Y82" i="9"/>
  <c r="Y85" i="9" s="1"/>
  <c r="AB17" i="28" s="1"/>
  <c r="Q296" i="3"/>
  <c r="Q299" i="3" s="1"/>
  <c r="T4" i="28" s="1"/>
  <c r="Q188" i="3"/>
  <c r="Q191" i="3" s="1"/>
  <c r="T3" i="28" s="1"/>
  <c r="J296" i="3"/>
  <c r="J299" i="3" s="1"/>
  <c r="M4" i="28" s="1"/>
  <c r="N188" i="13"/>
  <c r="N191" i="13" s="1"/>
  <c r="Q39" i="28" s="1"/>
  <c r="AA188" i="13"/>
  <c r="AA191" i="13" s="1"/>
  <c r="AD39" i="28" s="1"/>
  <c r="B188" i="13"/>
  <c r="S188" i="13"/>
  <c r="S191" i="13" s="1"/>
  <c r="V39" i="28" s="1"/>
  <c r="K188" i="13"/>
  <c r="K191" i="13" s="1"/>
  <c r="N39" i="28" s="1"/>
  <c r="Y188" i="13"/>
  <c r="Y191" i="13" s="1"/>
  <c r="AB39" i="28" s="1"/>
  <c r="B82" i="9"/>
  <c r="C82" i="9"/>
  <c r="C85" i="9" s="1"/>
  <c r="F17" i="28" s="1"/>
  <c r="AB82" i="9"/>
  <c r="AB85" i="9" s="1"/>
  <c r="AE17" i="28" s="1"/>
  <c r="O82" i="9"/>
  <c r="O85" i="9" s="1"/>
  <c r="R17" i="28" s="1"/>
  <c r="AC82" i="9"/>
  <c r="T82" i="9"/>
  <c r="T85" i="9" s="1"/>
  <c r="W17" i="28" s="1"/>
  <c r="R296" i="3"/>
  <c r="R299" i="3" s="1"/>
  <c r="U4" i="28" s="1"/>
  <c r="B188" i="3"/>
  <c r="L296" i="3"/>
  <c r="L299" i="3" s="1"/>
  <c r="O4" i="28" s="1"/>
  <c r="AB188" i="3"/>
  <c r="AB191" i="3" s="1"/>
  <c r="AE3" i="28" s="1"/>
  <c r="M296" i="3"/>
  <c r="Y296" i="3"/>
  <c r="Y299" i="3" s="1"/>
  <c r="AB4" i="28" s="1"/>
  <c r="S296" i="3"/>
  <c r="S299" i="3" s="1"/>
  <c r="V4" i="28" s="1"/>
  <c r="E188" i="13"/>
  <c r="E191" i="13" s="1"/>
  <c r="H39" i="28" s="1"/>
  <c r="L188" i="13"/>
  <c r="L191" i="13" s="1"/>
  <c r="O39" i="28" s="1"/>
  <c r="I82" i="9"/>
  <c r="I85" i="9" s="1"/>
  <c r="L17" i="28" s="1"/>
  <c r="E82" i="9"/>
  <c r="E85" i="9" s="1"/>
  <c r="H17" i="28" s="1"/>
  <c r="U188" i="13"/>
  <c r="U191" i="13" s="1"/>
  <c r="X39" i="28" s="1"/>
  <c r="K188" i="3"/>
  <c r="K191" i="3" s="1"/>
  <c r="N3" i="28" s="1"/>
  <c r="AB296" i="3"/>
  <c r="AB299" i="3" s="1"/>
  <c r="AE4" i="28" s="1"/>
  <c r="P188" i="3"/>
  <c r="P191" i="3" s="1"/>
  <c r="S3" i="28" s="1"/>
  <c r="R188" i="3"/>
  <c r="R191" i="3" s="1"/>
  <c r="U3" i="28" s="1"/>
  <c r="H188" i="3"/>
  <c r="H191" i="3" s="1"/>
  <c r="K3" i="28" s="1"/>
  <c r="Z510" i="3"/>
  <c r="Z513" i="3" s="1"/>
  <c r="AC6" i="28" s="1"/>
  <c r="B296" i="3"/>
  <c r="Z188" i="3"/>
  <c r="Z191" i="3" s="1"/>
  <c r="AC3" i="28" s="1"/>
  <c r="J82" i="3"/>
  <c r="J85" i="3" s="1"/>
  <c r="M2" i="28" s="1"/>
  <c r="F82" i="9"/>
  <c r="F85" i="9" s="1"/>
  <c r="I17" i="28" s="1"/>
  <c r="D188" i="13"/>
  <c r="D191" i="13" s="1"/>
  <c r="G39" i="28" s="1"/>
  <c r="M188" i="13"/>
  <c r="O405" i="13"/>
  <c r="O408" i="13" s="1"/>
  <c r="R41" i="28" s="1"/>
  <c r="J510" i="3"/>
  <c r="J513" i="3" s="1"/>
  <c r="M6" i="28" s="1"/>
  <c r="G188" i="13"/>
  <c r="G191" i="13" s="1"/>
  <c r="J39" i="28" s="1"/>
  <c r="H510" i="3"/>
  <c r="H513" i="3" s="1"/>
  <c r="K6" i="28" s="1"/>
  <c r="O188" i="13"/>
  <c r="O191" i="13" s="1"/>
  <c r="R39" i="28" s="1"/>
  <c r="AC296" i="3"/>
  <c r="J188" i="13"/>
  <c r="J191" i="13" s="1"/>
  <c r="M39" i="28" s="1"/>
  <c r="Z188" i="13"/>
  <c r="Z191" i="13" s="1"/>
  <c r="AC39" i="28" s="1"/>
  <c r="H296" i="3"/>
  <c r="H299" i="3" s="1"/>
  <c r="K4" i="28" s="1"/>
  <c r="Y405" i="3"/>
  <c r="Y408" i="3" s="1"/>
  <c r="AB5" i="28" s="1"/>
  <c r="AC188" i="13"/>
  <c r="I510" i="3"/>
  <c r="I513" i="3" s="1"/>
  <c r="L6" i="28" s="1"/>
  <c r="I296" i="3"/>
  <c r="I299" i="3" s="1"/>
  <c r="L4" i="28" s="1"/>
  <c r="AB188" i="13"/>
  <c r="AB191" i="13" s="1"/>
  <c r="AE39" i="28" s="1"/>
  <c r="K405" i="3"/>
  <c r="K408" i="3" s="1"/>
  <c r="N5" i="28" s="1"/>
  <c r="U82" i="3"/>
  <c r="U85" i="3" s="1"/>
  <c r="X2" i="28" s="1"/>
  <c r="R510" i="3"/>
  <c r="R513" i="3" s="1"/>
  <c r="U6" i="28" s="1"/>
  <c r="T188" i="13"/>
  <c r="T191" i="13" s="1"/>
  <c r="W39" i="28" s="1"/>
  <c r="D405" i="3"/>
  <c r="D408" i="3" s="1"/>
  <c r="G5" i="28" s="1"/>
  <c r="S82" i="3"/>
  <c r="S85" i="3" s="1"/>
  <c r="V2" i="28" s="1"/>
  <c r="D510" i="3"/>
  <c r="D513" i="3" s="1"/>
  <c r="G6" i="28" s="1"/>
  <c r="I405" i="3"/>
  <c r="I408" i="3" s="1"/>
  <c r="L5" i="28" s="1"/>
  <c r="P82" i="9"/>
  <c r="X510" i="3"/>
  <c r="X513" i="3" s="1"/>
  <c r="AA6" i="28" s="1"/>
  <c r="G82" i="3"/>
  <c r="G85" i="3" s="1"/>
  <c r="J2" i="28" s="1"/>
  <c r="C188" i="13"/>
  <c r="C191" i="13" s="1"/>
  <c r="F39" i="28" s="1"/>
  <c r="H82" i="3"/>
  <c r="H85" i="3" s="1"/>
  <c r="K2" i="28" s="1"/>
  <c r="P188" i="13"/>
  <c r="H405" i="3"/>
  <c r="E510" i="3"/>
  <c r="AA405" i="3"/>
  <c r="P405" i="3"/>
  <c r="W510" i="3"/>
  <c r="L405" i="3"/>
  <c r="P82" i="3"/>
  <c r="R82" i="3"/>
  <c r="X405" i="3"/>
  <c r="N405" i="3"/>
  <c r="F405" i="3"/>
  <c r="M188" i="3"/>
  <c r="CV14" i="33" s="1"/>
  <c r="CV17" i="33" s="1"/>
  <c r="M10" i="34" s="1"/>
  <c r="S405" i="3"/>
  <c r="Y82" i="3"/>
  <c r="M405" i="3"/>
  <c r="DB14" i="33" s="1"/>
  <c r="DB17" i="33" s="1"/>
  <c r="M16" i="34" s="1"/>
  <c r="C405" i="3"/>
  <c r="G188" i="3"/>
  <c r="O188" i="3"/>
  <c r="AC510" i="3"/>
  <c r="FH14" i="33" s="1"/>
  <c r="FH17" i="33" s="1"/>
  <c r="W19" i="34" s="1"/>
  <c r="K510" i="3"/>
  <c r="B405" i="3"/>
  <c r="AY14" i="33" s="1"/>
  <c r="AY17" i="33" s="1"/>
  <c r="D16" i="34" s="1"/>
  <c r="W188" i="3"/>
  <c r="N510" i="3"/>
  <c r="E82" i="3"/>
  <c r="W82" i="3"/>
  <c r="L510" i="3"/>
  <c r="S510" i="3"/>
  <c r="T510" i="3"/>
  <c r="J405" i="3"/>
  <c r="P510" i="3"/>
  <c r="W405" i="3"/>
  <c r="O510" i="3"/>
  <c r="AB405" i="3"/>
  <c r="V82" i="3"/>
  <c r="O82" i="3"/>
  <c r="X82" i="3"/>
  <c r="AB510" i="3"/>
  <c r="F510" i="3"/>
  <c r="Q510" i="3"/>
  <c r="T188" i="3"/>
  <c r="V405" i="3"/>
  <c r="Q405" i="3"/>
  <c r="E188" i="3"/>
  <c r="Z82" i="3"/>
  <c r="AA82" i="3"/>
  <c r="B510" i="3"/>
  <c r="BB14" i="33" s="1"/>
  <c r="BB17" i="33" s="1"/>
  <c r="D19" i="34" s="1"/>
  <c r="G405" i="3"/>
  <c r="O405" i="3"/>
  <c r="M510" i="3"/>
  <c r="DE14" i="33" s="1"/>
  <c r="DE17" i="33" s="1"/>
  <c r="M19" i="34" s="1"/>
  <c r="G510" i="3"/>
  <c r="AC188" i="3"/>
  <c r="EY14" i="33" s="1"/>
  <c r="EY17" i="33" s="1"/>
  <c r="W10" i="34" s="1"/>
  <c r="U405" i="3"/>
  <c r="V510" i="3"/>
  <c r="Y510" i="3"/>
  <c r="I82" i="3"/>
  <c r="L82" i="3"/>
  <c r="F82" i="3"/>
  <c r="AA510" i="3"/>
  <c r="Z405" i="3"/>
  <c r="C510" i="3"/>
  <c r="R405" i="3"/>
  <c r="AC405" i="3"/>
  <c r="FE14" i="33" s="1"/>
  <c r="FE17" i="33" s="1"/>
  <c r="W16" i="34" s="1"/>
  <c r="AA76" i="1"/>
  <c r="S76" i="1"/>
  <c r="K76" i="1"/>
  <c r="C76" i="1"/>
  <c r="F75" i="1"/>
  <c r="I43" i="1"/>
  <c r="Y43" i="1"/>
  <c r="Q43" i="1"/>
  <c r="V76" i="1"/>
  <c r="N76" i="1"/>
  <c r="F76" i="1"/>
  <c r="I75" i="1"/>
  <c r="AB72" i="1"/>
  <c r="AB70" i="1"/>
  <c r="AB73" i="1"/>
  <c r="AB71" i="1"/>
  <c r="R77" i="1"/>
  <c r="Y77" i="1"/>
  <c r="Q77" i="1"/>
  <c r="I77" i="1"/>
  <c r="AC76" i="1"/>
  <c r="U76" i="1"/>
  <c r="M76" i="1"/>
  <c r="E76" i="1"/>
  <c r="Y74" i="1"/>
  <c r="Q74" i="1"/>
  <c r="I74" i="1"/>
  <c r="AC72" i="1"/>
  <c r="AC70" i="1"/>
  <c r="AC71" i="1"/>
  <c r="AC73" i="1"/>
  <c r="U71" i="1"/>
  <c r="U72" i="1"/>
  <c r="U70" i="1"/>
  <c r="U73" i="1"/>
  <c r="M72" i="1"/>
  <c r="M70" i="1"/>
  <c r="M71" i="1"/>
  <c r="M73" i="1"/>
  <c r="E72" i="1"/>
  <c r="E71" i="1"/>
  <c r="E70" i="1"/>
  <c r="E73" i="1"/>
  <c r="H75" i="1"/>
  <c r="Y75" i="1"/>
  <c r="M75" i="1"/>
  <c r="P77" i="1"/>
  <c r="L72" i="1"/>
  <c r="L70" i="1"/>
  <c r="L73" i="1"/>
  <c r="L71" i="1"/>
  <c r="O77" i="1"/>
  <c r="W74" i="1"/>
  <c r="G74" i="1"/>
  <c r="S70" i="1"/>
  <c r="S73" i="1"/>
  <c r="S72" i="1"/>
  <c r="S71" i="1"/>
  <c r="C70" i="1"/>
  <c r="C73" i="1"/>
  <c r="C72" i="1"/>
  <c r="C71" i="1"/>
  <c r="Z43" i="1"/>
  <c r="R43" i="1"/>
  <c r="J43" i="1"/>
  <c r="V77" i="1"/>
  <c r="N77" i="1"/>
  <c r="F77" i="1"/>
  <c r="Z76" i="1"/>
  <c r="R76" i="1"/>
  <c r="J76" i="1"/>
  <c r="V74" i="1"/>
  <c r="N74" i="1"/>
  <c r="F74" i="1"/>
  <c r="Z70" i="1"/>
  <c r="Z72" i="1"/>
  <c r="Z73" i="1"/>
  <c r="Z71" i="1"/>
  <c r="R70" i="1"/>
  <c r="R73" i="1"/>
  <c r="R71" i="1"/>
  <c r="R72" i="1"/>
  <c r="J70" i="1"/>
  <c r="J72" i="1"/>
  <c r="J73" i="1"/>
  <c r="J71" i="1"/>
  <c r="T72" i="1"/>
  <c r="T70" i="1"/>
  <c r="T73" i="1"/>
  <c r="T71" i="1"/>
  <c r="W77" i="1"/>
  <c r="G77" i="1"/>
  <c r="O74" i="1"/>
  <c r="AA72" i="1"/>
  <c r="AA70" i="1"/>
  <c r="AA73" i="1"/>
  <c r="AA71" i="1"/>
  <c r="K72" i="1"/>
  <c r="K70" i="1"/>
  <c r="K73" i="1"/>
  <c r="K71" i="1"/>
  <c r="P75" i="1"/>
  <c r="AC77" i="1"/>
  <c r="U77" i="1"/>
  <c r="M77" i="1"/>
  <c r="E77" i="1"/>
  <c r="Y76" i="1"/>
  <c r="Q76" i="1"/>
  <c r="I76" i="1"/>
  <c r="AC74" i="1"/>
  <c r="U74" i="1"/>
  <c r="M74" i="1"/>
  <c r="E74" i="1"/>
  <c r="Y73" i="1"/>
  <c r="Y70" i="1"/>
  <c r="Y71" i="1"/>
  <c r="Y72" i="1"/>
  <c r="Q73" i="1"/>
  <c r="Q71" i="1"/>
  <c r="Q70" i="1"/>
  <c r="Q72" i="1"/>
  <c r="I73" i="1"/>
  <c r="I71" i="1"/>
  <c r="I70" i="1"/>
  <c r="I72" i="1"/>
  <c r="N75" i="1"/>
  <c r="X75" i="1"/>
  <c r="AB75" i="1"/>
  <c r="AC75" i="1"/>
  <c r="P74" i="1"/>
  <c r="X43" i="1"/>
  <c r="H43" i="1"/>
  <c r="T77" i="1"/>
  <c r="D77" i="1"/>
  <c r="P76" i="1"/>
  <c r="AB74" i="1"/>
  <c r="L74" i="1"/>
  <c r="D74" i="1"/>
  <c r="X73" i="1"/>
  <c r="X71" i="1"/>
  <c r="X72" i="1"/>
  <c r="X70" i="1"/>
  <c r="P71" i="1"/>
  <c r="P70" i="1"/>
  <c r="P72" i="1"/>
  <c r="P73" i="1"/>
  <c r="H71" i="1"/>
  <c r="H73" i="1"/>
  <c r="H72" i="1"/>
  <c r="H70" i="1"/>
  <c r="X77" i="1"/>
  <c r="H74" i="1"/>
  <c r="P43" i="1"/>
  <c r="AB77" i="1"/>
  <c r="L77" i="1"/>
  <c r="X76" i="1"/>
  <c r="H76" i="1"/>
  <c r="T74" i="1"/>
  <c r="W43" i="1"/>
  <c r="O43" i="1"/>
  <c r="G43" i="1"/>
  <c r="AA77" i="1"/>
  <c r="S77" i="1"/>
  <c r="K77" i="1"/>
  <c r="C77" i="1"/>
  <c r="W76" i="1"/>
  <c r="O76" i="1"/>
  <c r="G76" i="1"/>
  <c r="AA74" i="1"/>
  <c r="S74" i="1"/>
  <c r="K74" i="1"/>
  <c r="C74" i="1"/>
  <c r="W71" i="1"/>
  <c r="W73" i="1"/>
  <c r="W72" i="1"/>
  <c r="W70" i="1"/>
  <c r="O71" i="1"/>
  <c r="O73" i="1"/>
  <c r="O72" i="1"/>
  <c r="O70" i="1"/>
  <c r="G71" i="1"/>
  <c r="G72" i="1"/>
  <c r="G73" i="1"/>
  <c r="G70" i="1"/>
  <c r="V75" i="1"/>
  <c r="Q75" i="1"/>
  <c r="E75" i="1"/>
  <c r="O75" i="1"/>
  <c r="H77" i="1"/>
  <c r="X74" i="1"/>
  <c r="D72" i="1"/>
  <c r="D70" i="1"/>
  <c r="D73" i="1"/>
  <c r="D71" i="1"/>
  <c r="Z77" i="1"/>
  <c r="J77" i="1"/>
  <c r="Z74" i="1"/>
  <c r="R74" i="1"/>
  <c r="J74" i="1"/>
  <c r="V71" i="1"/>
  <c r="V72" i="1"/>
  <c r="V70" i="1"/>
  <c r="V73" i="1"/>
  <c r="N72" i="1"/>
  <c r="N71" i="1"/>
  <c r="N70" i="1"/>
  <c r="N73" i="1"/>
  <c r="F72" i="1"/>
  <c r="F70" i="1"/>
  <c r="F73" i="1"/>
  <c r="F71" i="1"/>
  <c r="Y65" i="1"/>
  <c r="Q65" i="1"/>
  <c r="I65" i="1"/>
  <c r="W65" i="1"/>
  <c r="O65" i="1"/>
  <c r="G65" i="1"/>
  <c r="AB64" i="1"/>
  <c r="S64" i="1"/>
  <c r="S66" i="1"/>
  <c r="AA63" i="1"/>
  <c r="W61" i="1"/>
  <c r="W60" i="1"/>
  <c r="W59" i="1"/>
  <c r="W62" i="1"/>
  <c r="Z64" i="1"/>
  <c r="R64" i="1"/>
  <c r="J64" i="1"/>
  <c r="Z66" i="1"/>
  <c r="R66" i="1"/>
  <c r="J66" i="1"/>
  <c r="V65" i="1"/>
  <c r="N65" i="1"/>
  <c r="F65" i="1"/>
  <c r="Z63" i="1"/>
  <c r="R63" i="1"/>
  <c r="J63" i="1"/>
  <c r="V61" i="1"/>
  <c r="V59" i="1"/>
  <c r="V62" i="1"/>
  <c r="V60" i="1"/>
  <c r="N61" i="1"/>
  <c r="N59" i="1"/>
  <c r="N62" i="1"/>
  <c r="N60" i="1"/>
  <c r="F61" i="1"/>
  <c r="F60" i="1"/>
  <c r="F59" i="1"/>
  <c r="F62" i="1"/>
  <c r="H64" i="1"/>
  <c r="K64" i="1"/>
  <c r="C66" i="1"/>
  <c r="S63" i="1"/>
  <c r="O61" i="1"/>
  <c r="O59" i="1"/>
  <c r="O60" i="1"/>
  <c r="O62" i="1"/>
  <c r="Y66" i="1"/>
  <c r="Q66" i="1"/>
  <c r="I66" i="1"/>
  <c r="AC65" i="1"/>
  <c r="U65" i="1"/>
  <c r="M65" i="1"/>
  <c r="E65" i="1"/>
  <c r="Y63" i="1"/>
  <c r="Q63" i="1"/>
  <c r="I63" i="1"/>
  <c r="AC61" i="1"/>
  <c r="AC59" i="1"/>
  <c r="AC62" i="1"/>
  <c r="AC60" i="1"/>
  <c r="U61" i="1"/>
  <c r="U59" i="1"/>
  <c r="U62" i="1"/>
  <c r="U60" i="1"/>
  <c r="M61" i="1"/>
  <c r="M59" i="1"/>
  <c r="M62" i="1"/>
  <c r="M60" i="1"/>
  <c r="E61" i="1"/>
  <c r="E59" i="1"/>
  <c r="E62" i="1"/>
  <c r="E60" i="1"/>
  <c r="E64" i="1"/>
  <c r="P64" i="1"/>
  <c r="AA64" i="1"/>
  <c r="K66" i="1"/>
  <c r="C63" i="1"/>
  <c r="X66" i="1"/>
  <c r="P66" i="1"/>
  <c r="H66" i="1"/>
  <c r="AB65" i="1"/>
  <c r="T65" i="1"/>
  <c r="L65" i="1"/>
  <c r="D65" i="1"/>
  <c r="X63" i="1"/>
  <c r="P63" i="1"/>
  <c r="H63" i="1"/>
  <c r="AB59" i="1"/>
  <c r="AB61" i="1"/>
  <c r="AB62" i="1"/>
  <c r="AB60" i="1"/>
  <c r="T59" i="1"/>
  <c r="T62" i="1"/>
  <c r="T60" i="1"/>
  <c r="T61" i="1"/>
  <c r="L59" i="1"/>
  <c r="L62" i="1"/>
  <c r="L61" i="1"/>
  <c r="L60" i="1"/>
  <c r="D61" i="1"/>
  <c r="D59" i="1"/>
  <c r="D62" i="1"/>
  <c r="D60" i="1"/>
  <c r="M64" i="1"/>
  <c r="X64" i="1"/>
  <c r="C64" i="1"/>
  <c r="AA66" i="1"/>
  <c r="K63" i="1"/>
  <c r="G61" i="1"/>
  <c r="G60" i="1"/>
  <c r="G59" i="1"/>
  <c r="G62" i="1"/>
  <c r="W66" i="1"/>
  <c r="O66" i="1"/>
  <c r="G66" i="1"/>
  <c r="AA65" i="1"/>
  <c r="S65" i="1"/>
  <c r="K65" i="1"/>
  <c r="C65" i="1"/>
  <c r="W63" i="1"/>
  <c r="O63" i="1"/>
  <c r="G63" i="1"/>
  <c r="AA59" i="1"/>
  <c r="AA62" i="1"/>
  <c r="AA60" i="1"/>
  <c r="AA61" i="1"/>
  <c r="S59" i="1"/>
  <c r="S62" i="1"/>
  <c r="S61" i="1"/>
  <c r="S60" i="1"/>
  <c r="K59" i="1"/>
  <c r="K62" i="1"/>
  <c r="K60" i="1"/>
  <c r="K61" i="1"/>
  <c r="C59" i="1"/>
  <c r="C62" i="1"/>
  <c r="C60" i="1"/>
  <c r="C61" i="1"/>
  <c r="U64" i="1"/>
  <c r="G64" i="1"/>
  <c r="V66" i="1"/>
  <c r="N66" i="1"/>
  <c r="F66" i="1"/>
  <c r="Z65" i="1"/>
  <c r="R65" i="1"/>
  <c r="J65" i="1"/>
  <c r="V63" i="1"/>
  <c r="N63" i="1"/>
  <c r="F63" i="1"/>
  <c r="Z62" i="1"/>
  <c r="Z60" i="1"/>
  <c r="Z59" i="1"/>
  <c r="Z61" i="1"/>
  <c r="R62" i="1"/>
  <c r="R60" i="1"/>
  <c r="R59" i="1"/>
  <c r="R61" i="1"/>
  <c r="J62" i="1"/>
  <c r="J59" i="1"/>
  <c r="J60" i="1"/>
  <c r="J61" i="1"/>
  <c r="D64" i="1"/>
  <c r="AC64" i="1"/>
  <c r="U66" i="1"/>
  <c r="E66" i="1"/>
  <c r="AC63" i="1"/>
  <c r="U63" i="1"/>
  <c r="E63" i="1"/>
  <c r="Y60" i="1"/>
  <c r="Y61" i="1"/>
  <c r="Y62" i="1"/>
  <c r="Y59" i="1"/>
  <c r="Q60" i="1"/>
  <c r="Q61" i="1"/>
  <c r="Q59" i="1"/>
  <c r="Q62" i="1"/>
  <c r="I60" i="1"/>
  <c r="I59" i="1"/>
  <c r="I62" i="1"/>
  <c r="I61" i="1"/>
  <c r="L64" i="1"/>
  <c r="W64" i="1"/>
  <c r="Q64" i="1"/>
  <c r="AC66" i="1"/>
  <c r="M66" i="1"/>
  <c r="M63" i="1"/>
  <c r="AB66" i="1"/>
  <c r="T66" i="1"/>
  <c r="L66" i="1"/>
  <c r="D66" i="1"/>
  <c r="X65" i="1"/>
  <c r="P65" i="1"/>
  <c r="H65" i="1"/>
  <c r="AB63" i="1"/>
  <c r="T63" i="1"/>
  <c r="L63" i="1"/>
  <c r="D63" i="1"/>
  <c r="X60" i="1"/>
  <c r="X61" i="1"/>
  <c r="X62" i="1"/>
  <c r="X59" i="1"/>
  <c r="P60" i="1"/>
  <c r="P62" i="1"/>
  <c r="P61" i="1"/>
  <c r="P59" i="1"/>
  <c r="H60" i="1"/>
  <c r="H61" i="1"/>
  <c r="H62" i="1"/>
  <c r="H59" i="1"/>
  <c r="T64" i="1"/>
  <c r="Q54" i="1"/>
  <c r="X54" i="1"/>
  <c r="P54" i="1"/>
  <c r="H54" i="1"/>
  <c r="W54" i="1"/>
  <c r="O54" i="1"/>
  <c r="G54" i="1"/>
  <c r="Y54" i="1"/>
  <c r="V54" i="1"/>
  <c r="N54" i="1"/>
  <c r="F54" i="1"/>
  <c r="AC54" i="1"/>
  <c r="U54" i="1"/>
  <c r="M54" i="1"/>
  <c r="E54" i="1"/>
  <c r="AB54" i="1"/>
  <c r="T54" i="1"/>
  <c r="L54" i="1"/>
  <c r="D54" i="1"/>
  <c r="AA54" i="1"/>
  <c r="S54" i="1"/>
  <c r="K54" i="1"/>
  <c r="C54" i="1"/>
  <c r="I54" i="1"/>
  <c r="Z54" i="1"/>
  <c r="R54" i="1"/>
  <c r="J54" i="1"/>
  <c r="V52" i="1"/>
  <c r="AB52" i="1"/>
  <c r="T52" i="1"/>
  <c r="L52" i="1"/>
  <c r="D52" i="1"/>
  <c r="AA52" i="1"/>
  <c r="K52" i="1"/>
  <c r="C52" i="1"/>
  <c r="Z52" i="1"/>
  <c r="R52" i="1"/>
  <c r="J52" i="1"/>
  <c r="Y52" i="1"/>
  <c r="Q52" i="1"/>
  <c r="I52" i="1"/>
  <c r="S52" i="1"/>
  <c r="X52" i="1"/>
  <c r="P52" i="1"/>
  <c r="H52" i="1"/>
  <c r="W52" i="1"/>
  <c r="O52" i="1"/>
  <c r="G52" i="1"/>
  <c r="N52" i="1"/>
  <c r="F52" i="1"/>
  <c r="AC52" i="1"/>
  <c r="U52" i="1"/>
  <c r="M52" i="1"/>
  <c r="E52" i="1"/>
  <c r="AB51" i="1"/>
  <c r="AB50" i="1"/>
  <c r="T51" i="1"/>
  <c r="T50" i="1"/>
  <c r="L51" i="1"/>
  <c r="L50" i="1"/>
  <c r="D51" i="1"/>
  <c r="D50" i="1"/>
  <c r="E51" i="1"/>
  <c r="E50" i="1"/>
  <c r="AA51" i="1"/>
  <c r="AA50" i="1"/>
  <c r="S51" i="1"/>
  <c r="S50" i="1"/>
  <c r="K51" i="1"/>
  <c r="K50" i="1"/>
  <c r="C51" i="1"/>
  <c r="C50" i="1"/>
  <c r="AC51" i="1"/>
  <c r="AC50" i="1"/>
  <c r="Z50" i="1"/>
  <c r="Z51" i="1"/>
  <c r="R50" i="1"/>
  <c r="R51" i="1"/>
  <c r="J50" i="1"/>
  <c r="J51" i="1"/>
  <c r="U51" i="1"/>
  <c r="U50" i="1"/>
  <c r="Y50" i="1"/>
  <c r="Y51" i="1"/>
  <c r="Q50" i="1"/>
  <c r="Q51" i="1"/>
  <c r="I50" i="1"/>
  <c r="I51" i="1"/>
  <c r="M51" i="1"/>
  <c r="M50" i="1"/>
  <c r="X50" i="1"/>
  <c r="X51" i="1"/>
  <c r="P50" i="1"/>
  <c r="P51" i="1"/>
  <c r="H50" i="1"/>
  <c r="H51" i="1"/>
  <c r="W50" i="1"/>
  <c r="W51" i="1"/>
  <c r="O50" i="1"/>
  <c r="O51" i="1"/>
  <c r="G50" i="1"/>
  <c r="G51" i="1"/>
  <c r="V50" i="1"/>
  <c r="V51" i="1"/>
  <c r="N50" i="1"/>
  <c r="N51" i="1"/>
  <c r="F50" i="1"/>
  <c r="F51" i="1"/>
  <c r="V55" i="1"/>
  <c r="N55" i="1"/>
  <c r="F55" i="1"/>
  <c r="W55" i="1"/>
  <c r="AC55" i="1"/>
  <c r="U55" i="1"/>
  <c r="M55" i="1"/>
  <c r="E55" i="1"/>
  <c r="O55" i="1"/>
  <c r="AB55" i="1"/>
  <c r="T55" i="1"/>
  <c r="L55" i="1"/>
  <c r="D55" i="1"/>
  <c r="G55" i="1"/>
  <c r="AA55" i="1"/>
  <c r="S55" i="1"/>
  <c r="K55" i="1"/>
  <c r="C55" i="1"/>
  <c r="Z55" i="1"/>
  <c r="R55" i="1"/>
  <c r="J55" i="1"/>
  <c r="Y55" i="1"/>
  <c r="Q55" i="1"/>
  <c r="I55" i="1"/>
  <c r="X55" i="1"/>
  <c r="P55" i="1"/>
  <c r="H55" i="1"/>
  <c r="X49" i="1"/>
  <c r="X48" i="1"/>
  <c r="P49" i="1"/>
  <c r="P48" i="1"/>
  <c r="H49" i="1"/>
  <c r="H48" i="1"/>
  <c r="O48" i="1"/>
  <c r="O49" i="1"/>
  <c r="V48" i="1"/>
  <c r="V49" i="1"/>
  <c r="N48" i="1"/>
  <c r="N49" i="1"/>
  <c r="F48" i="1"/>
  <c r="F49" i="1"/>
  <c r="W48" i="1"/>
  <c r="W49" i="1"/>
  <c r="AC48" i="1"/>
  <c r="AC49" i="1"/>
  <c r="U48" i="1"/>
  <c r="U49" i="1"/>
  <c r="E48" i="1"/>
  <c r="E49" i="1"/>
  <c r="G48" i="1"/>
  <c r="G49" i="1"/>
  <c r="M48" i="1"/>
  <c r="M49" i="1"/>
  <c r="AB48" i="1"/>
  <c r="AB49" i="1"/>
  <c r="T48" i="1"/>
  <c r="T49" i="1"/>
  <c r="L48" i="1"/>
  <c r="L49" i="1"/>
  <c r="D48" i="1"/>
  <c r="D49" i="1"/>
  <c r="AA48" i="1"/>
  <c r="AA49" i="1"/>
  <c r="S48" i="1"/>
  <c r="S49" i="1"/>
  <c r="K48" i="1"/>
  <c r="K49" i="1"/>
  <c r="C48" i="1"/>
  <c r="C49" i="1"/>
  <c r="Z49" i="1"/>
  <c r="Z48" i="1"/>
  <c r="R49" i="1"/>
  <c r="R48" i="1"/>
  <c r="J49" i="1"/>
  <c r="J48" i="1"/>
  <c r="Y49" i="1"/>
  <c r="Y48" i="1"/>
  <c r="Q49" i="1"/>
  <c r="Q48" i="1"/>
  <c r="I49" i="1"/>
  <c r="I48" i="1"/>
  <c r="B45" i="1"/>
  <c r="B42" i="1"/>
  <c r="B44" i="1" s="1"/>
  <c r="B41" i="1"/>
  <c r="B40" i="1"/>
  <c r="B39" i="1"/>
  <c r="B38" i="1"/>
  <c r="B37" i="1"/>
  <c r="B35" i="1"/>
  <c r="B34" i="1"/>
  <c r="B32" i="1"/>
  <c r="B30" i="1"/>
  <c r="X67" i="1" l="1"/>
  <c r="EV17" i="33"/>
  <c r="W7" i="34" s="1"/>
  <c r="BY17" i="33"/>
  <c r="M25" i="34" s="1"/>
  <c r="AP17" i="33"/>
  <c r="D7" i="34" s="1"/>
  <c r="AC191" i="13"/>
  <c r="AF39" i="28" s="1"/>
  <c r="DN14" i="33"/>
  <c r="DN17" i="33" s="1"/>
  <c r="W54" i="34" s="1"/>
  <c r="B299" i="3"/>
  <c r="E4" i="28" s="1"/>
  <c r="AV14" i="33"/>
  <c r="AV17" i="33" s="1"/>
  <c r="D13" i="34" s="1"/>
  <c r="B85" i="9"/>
  <c r="E17" i="28" s="1"/>
  <c r="V14" i="33"/>
  <c r="V17" i="33" s="1"/>
  <c r="D25" i="34" s="1"/>
  <c r="M191" i="13"/>
  <c r="P39" i="28" s="1"/>
  <c r="BK14" i="33"/>
  <c r="BK17" i="33" s="1"/>
  <c r="N54" i="34" s="1"/>
  <c r="AC299" i="3"/>
  <c r="AF4" i="28" s="1"/>
  <c r="FB14" i="33"/>
  <c r="FB17" i="33" s="1"/>
  <c r="W13" i="34" s="1"/>
  <c r="B191" i="3"/>
  <c r="E3" i="28" s="1"/>
  <c r="AS14" i="33"/>
  <c r="AS17" i="33" s="1"/>
  <c r="D10" i="34" s="1"/>
  <c r="B191" i="13"/>
  <c r="E39" i="28" s="1"/>
  <c r="H14" i="33"/>
  <c r="H17" i="33" s="1"/>
  <c r="D54" i="34" s="1"/>
  <c r="M299" i="3"/>
  <c r="P4" i="28" s="1"/>
  <c r="CY14" i="33"/>
  <c r="CY17" i="33" s="1"/>
  <c r="M13" i="34" s="1"/>
  <c r="AC85" i="9"/>
  <c r="AF17" i="28" s="1"/>
  <c r="EB14" i="33"/>
  <c r="EB17" i="33" s="1"/>
  <c r="W25" i="34" s="1"/>
  <c r="CS17" i="33"/>
  <c r="M7" i="34" s="1"/>
  <c r="Q56" i="1"/>
  <c r="Y56" i="1"/>
  <c r="R56" i="1"/>
  <c r="Z56" i="1"/>
  <c r="P56" i="1"/>
  <c r="H67" i="1"/>
  <c r="Y67" i="1"/>
  <c r="H56" i="1"/>
  <c r="X56" i="1"/>
  <c r="I56" i="1"/>
  <c r="J56" i="1"/>
  <c r="P67" i="1"/>
  <c r="B59" i="1"/>
  <c r="B71" i="1"/>
  <c r="C56" i="1"/>
  <c r="K56" i="1"/>
  <c r="S56" i="1"/>
  <c r="AA56" i="1"/>
  <c r="D56" i="1"/>
  <c r="L56" i="1"/>
  <c r="T56" i="1"/>
  <c r="AB56" i="1"/>
  <c r="M56" i="1"/>
  <c r="G56" i="1"/>
  <c r="E56" i="1"/>
  <c r="U56" i="1"/>
  <c r="AC56" i="1"/>
  <c r="W56" i="1"/>
  <c r="F56" i="1"/>
  <c r="N56" i="1"/>
  <c r="V56" i="1"/>
  <c r="O56" i="1"/>
  <c r="I67" i="1"/>
  <c r="Q67" i="1"/>
  <c r="J67" i="1"/>
  <c r="R67" i="1"/>
  <c r="Z67" i="1"/>
  <c r="C67" i="1"/>
  <c r="K67" i="1"/>
  <c r="S67" i="1"/>
  <c r="AA67" i="1"/>
  <c r="G67" i="1"/>
  <c r="D67" i="1"/>
  <c r="L67" i="1"/>
  <c r="T67" i="1"/>
  <c r="AB67" i="1"/>
  <c r="E67" i="1"/>
  <c r="M67" i="1"/>
  <c r="U67" i="1"/>
  <c r="AC67" i="1"/>
  <c r="O67" i="1"/>
  <c r="F67" i="1"/>
  <c r="N67" i="1"/>
  <c r="V67" i="1"/>
  <c r="W67" i="1"/>
  <c r="AA85" i="9"/>
  <c r="AD17" i="28" s="1"/>
  <c r="N85" i="9"/>
  <c r="Q17" i="28" s="1"/>
  <c r="D85" i="9"/>
  <c r="G17" i="28" s="1"/>
  <c r="V191" i="13"/>
  <c r="Y39" i="28" s="1"/>
  <c r="Q191" i="13"/>
  <c r="T39" i="28" s="1"/>
  <c r="F191" i="13"/>
  <c r="I39" i="28" s="1"/>
  <c r="M85" i="9"/>
  <c r="P17" i="28" s="1"/>
  <c r="W299" i="3"/>
  <c r="Z4" i="28" s="1"/>
  <c r="C191" i="3"/>
  <c r="F3" i="28" s="1"/>
  <c r="T408" i="3"/>
  <c r="W5" i="28" s="1"/>
  <c r="Y191" i="3"/>
  <c r="AB3" i="28" s="1"/>
  <c r="B85" i="3"/>
  <c r="E2" i="28" s="1"/>
  <c r="D299" i="3"/>
  <c r="G4" i="28" s="1"/>
  <c r="AA299" i="3"/>
  <c r="AD4" i="28" s="1"/>
  <c r="M85" i="3"/>
  <c r="P2" i="28" s="1"/>
  <c r="W85" i="9"/>
  <c r="Z17" i="28" s="1"/>
  <c r="H191" i="13"/>
  <c r="K39" i="28" s="1"/>
  <c r="L85" i="9"/>
  <c r="O17" i="28" s="1"/>
  <c r="J85" i="9"/>
  <c r="M17" i="28" s="1"/>
  <c r="AB85" i="3"/>
  <c r="AE2" i="28" s="1"/>
  <c r="U299" i="3"/>
  <c r="X4" i="28" s="1"/>
  <c r="L191" i="3"/>
  <c r="O3" i="28" s="1"/>
  <c r="S85" i="9"/>
  <c r="V17" i="28" s="1"/>
  <c r="Q85" i="9"/>
  <c r="T17" i="28" s="1"/>
  <c r="U85" i="9"/>
  <c r="X17" i="28" s="1"/>
  <c r="V85" i="9"/>
  <c r="Y17" i="28" s="1"/>
  <c r="I191" i="13"/>
  <c r="L39" i="28" s="1"/>
  <c r="R191" i="13"/>
  <c r="U39" i="28" s="1"/>
  <c r="W191" i="13"/>
  <c r="Z39" i="28" s="1"/>
  <c r="E299" i="3"/>
  <c r="H4" i="28" s="1"/>
  <c r="S510" i="9"/>
  <c r="S511" i="9"/>
  <c r="P188" i="9"/>
  <c r="P189" i="9"/>
  <c r="Z405" i="9"/>
  <c r="Z406" i="9"/>
  <c r="K405" i="9"/>
  <c r="K406" i="9"/>
  <c r="P296" i="9"/>
  <c r="P297" i="9"/>
  <c r="C405" i="9"/>
  <c r="C406" i="9"/>
  <c r="V188" i="9"/>
  <c r="V189" i="9"/>
  <c r="L405" i="9"/>
  <c r="L406" i="9"/>
  <c r="H510" i="9"/>
  <c r="H511" i="9"/>
  <c r="G510" i="9"/>
  <c r="G511" i="9"/>
  <c r="AA296" i="9"/>
  <c r="AA297" i="9"/>
  <c r="Q510" i="9"/>
  <c r="Q511" i="9"/>
  <c r="AB188" i="9"/>
  <c r="AB189" i="9"/>
  <c r="F510" i="9"/>
  <c r="F511" i="9"/>
  <c r="V405" i="9"/>
  <c r="V406" i="9"/>
  <c r="T510" i="9"/>
  <c r="T511" i="9"/>
  <c r="I405" i="9"/>
  <c r="I406" i="9"/>
  <c r="AC296" i="9"/>
  <c r="EJ14" i="33" s="1"/>
  <c r="AC297" i="9"/>
  <c r="EJ15" i="33" s="1"/>
  <c r="S188" i="9"/>
  <c r="S189" i="9"/>
  <c r="D405" i="9"/>
  <c r="D406" i="9"/>
  <c r="C188" i="9"/>
  <c r="C189" i="9"/>
  <c r="AC405" i="9"/>
  <c r="EN14" i="33" s="1"/>
  <c r="AC406" i="9"/>
  <c r="EN15" i="33" s="1"/>
  <c r="T188" i="9"/>
  <c r="T189" i="9"/>
  <c r="V510" i="9"/>
  <c r="V511" i="9"/>
  <c r="I510" i="9"/>
  <c r="I511" i="9"/>
  <c r="AA405" i="9"/>
  <c r="AA406" i="9"/>
  <c r="S296" i="9"/>
  <c r="S297" i="9"/>
  <c r="D188" i="9"/>
  <c r="D189" i="9"/>
  <c r="R510" i="9"/>
  <c r="R511" i="9"/>
  <c r="AB296" i="9"/>
  <c r="AB297" i="9"/>
  <c r="N405" i="9"/>
  <c r="N406" i="9"/>
  <c r="E510" i="9"/>
  <c r="E511" i="9"/>
  <c r="J405" i="9"/>
  <c r="J406" i="9"/>
  <c r="K188" i="9"/>
  <c r="K189" i="9"/>
  <c r="Y405" i="9"/>
  <c r="Y406" i="9"/>
  <c r="U405" i="9"/>
  <c r="U406" i="9"/>
  <c r="B188" i="9"/>
  <c r="Z14" i="33" s="1"/>
  <c r="B189" i="9"/>
  <c r="Z15" i="33" s="1"/>
  <c r="H188" i="9"/>
  <c r="H189" i="9"/>
  <c r="T296" i="9"/>
  <c r="T297" i="9"/>
  <c r="E296" i="9"/>
  <c r="E297" i="9"/>
  <c r="S405" i="9"/>
  <c r="S406" i="9"/>
  <c r="E188" i="9"/>
  <c r="E189" i="9"/>
  <c r="G405" i="9"/>
  <c r="G406" i="9"/>
  <c r="M296" i="9"/>
  <c r="CG14" i="33" s="1"/>
  <c r="M297" i="9"/>
  <c r="CG15" i="33" s="1"/>
  <c r="F405" i="9"/>
  <c r="F406" i="9"/>
  <c r="AC188" i="9"/>
  <c r="EF14" i="33" s="1"/>
  <c r="AC189" i="9"/>
  <c r="EF15" i="33" s="1"/>
  <c r="O188" i="9"/>
  <c r="O189" i="9"/>
  <c r="AB405" i="9"/>
  <c r="AB406" i="9"/>
  <c r="M405" i="9"/>
  <c r="CK14" i="33" s="1"/>
  <c r="M406" i="9"/>
  <c r="CK15" i="33" s="1"/>
  <c r="R188" i="9"/>
  <c r="R189" i="9"/>
  <c r="F188" i="9"/>
  <c r="F189" i="9"/>
  <c r="N510" i="9"/>
  <c r="N511" i="9"/>
  <c r="AC510" i="9"/>
  <c r="ER14" i="33" s="1"/>
  <c r="AC511" i="9"/>
  <c r="ER15" i="33" s="1"/>
  <c r="Z296" i="9"/>
  <c r="Z297" i="9"/>
  <c r="R405" i="9"/>
  <c r="R406" i="9"/>
  <c r="V296" i="9"/>
  <c r="V297" i="9"/>
  <c r="AB510" i="9"/>
  <c r="AB511" i="9"/>
  <c r="Y296" i="9"/>
  <c r="Y297" i="9"/>
  <c r="M510" i="9"/>
  <c r="CO14" i="33" s="1"/>
  <c r="M511" i="9"/>
  <c r="CO15" i="33" s="1"/>
  <c r="U188" i="9"/>
  <c r="U189" i="9"/>
  <c r="R296" i="9"/>
  <c r="R297" i="9"/>
  <c r="J191" i="3"/>
  <c r="M3" i="28" s="1"/>
  <c r="D191" i="3"/>
  <c r="G3" i="28" s="1"/>
  <c r="G299" i="3"/>
  <c r="J4" i="28" s="1"/>
  <c r="O299" i="3"/>
  <c r="R4" i="28" s="1"/>
  <c r="Z510" i="9"/>
  <c r="Z513" i="9" s="1"/>
  <c r="AC21" i="28" s="1"/>
  <c r="V191" i="3"/>
  <c r="Y3" i="28" s="1"/>
  <c r="X299" i="3"/>
  <c r="AA4" i="28" s="1"/>
  <c r="N299" i="3"/>
  <c r="Q4" i="28" s="1"/>
  <c r="T85" i="3"/>
  <c r="W2" i="28" s="1"/>
  <c r="C85" i="3"/>
  <c r="F2" i="28" s="1"/>
  <c r="E408" i="3"/>
  <c r="H5" i="28" s="1"/>
  <c r="AC85" i="3"/>
  <c r="AF2" i="28" s="1"/>
  <c r="C296" i="9"/>
  <c r="C299" i="9" s="1"/>
  <c r="F19" i="28" s="1"/>
  <c r="H296" i="9"/>
  <c r="H299" i="9" s="1"/>
  <c r="K19" i="28" s="1"/>
  <c r="X191" i="3"/>
  <c r="AA3" i="28" s="1"/>
  <c r="D85" i="3"/>
  <c r="G2" i="28" s="1"/>
  <c r="U513" i="3"/>
  <c r="X6" i="28" s="1"/>
  <c r="T299" i="3"/>
  <c r="W4" i="28" s="1"/>
  <c r="C299" i="3"/>
  <c r="F4" i="28" s="1"/>
  <c r="F299" i="3"/>
  <c r="I4" i="28" s="1"/>
  <c r="K299" i="3"/>
  <c r="N4" i="28" s="1"/>
  <c r="J188" i="9"/>
  <c r="J191" i="9" s="1"/>
  <c r="M18" i="28" s="1"/>
  <c r="B296" i="9"/>
  <c r="L510" i="9"/>
  <c r="L513" i="9" s="1"/>
  <c r="O21" i="28" s="1"/>
  <c r="Y188" i="9"/>
  <c r="Y191" i="9" s="1"/>
  <c r="AB18" i="28" s="1"/>
  <c r="D296" i="9"/>
  <c r="D299" i="9" s="1"/>
  <c r="G19" i="28" s="1"/>
  <c r="X188" i="9"/>
  <c r="X191" i="9" s="1"/>
  <c r="AA18" i="28" s="1"/>
  <c r="I296" i="9"/>
  <c r="I299" i="9" s="1"/>
  <c r="L19" i="28" s="1"/>
  <c r="Y510" i="9"/>
  <c r="Y513" i="9" s="1"/>
  <c r="AB21" i="28" s="1"/>
  <c r="P405" i="9"/>
  <c r="P408" i="9" s="1"/>
  <c r="S20" i="28" s="1"/>
  <c r="E405" i="9"/>
  <c r="E408" i="9" s="1"/>
  <c r="H20" i="28" s="1"/>
  <c r="Q296" i="9"/>
  <c r="Q299" i="9" s="1"/>
  <c r="T19" i="28" s="1"/>
  <c r="X405" i="9"/>
  <c r="X408" i="9" s="1"/>
  <c r="AA20" i="28" s="1"/>
  <c r="B405" i="9"/>
  <c r="H405" i="9"/>
  <c r="H408" i="9" s="1"/>
  <c r="K20" i="28" s="1"/>
  <c r="X296" i="9"/>
  <c r="X299" i="9" s="1"/>
  <c r="AA19" i="28" s="1"/>
  <c r="K296" i="9"/>
  <c r="K299" i="9" s="1"/>
  <c r="N19" i="28" s="1"/>
  <c r="W510" i="9"/>
  <c r="W513" i="9" s="1"/>
  <c r="Z21" i="28" s="1"/>
  <c r="B510" i="9"/>
  <c r="Q188" i="9"/>
  <c r="Q191" i="9" s="1"/>
  <c r="T18" i="28" s="1"/>
  <c r="L188" i="9"/>
  <c r="L191" i="9" s="1"/>
  <c r="O18" i="28" s="1"/>
  <c r="AA510" i="9"/>
  <c r="AA513" i="9" s="1"/>
  <c r="AD21" i="28" s="1"/>
  <c r="W296" i="9"/>
  <c r="W299" i="9" s="1"/>
  <c r="Z19" i="28" s="1"/>
  <c r="W405" i="9"/>
  <c r="W408" i="9" s="1"/>
  <c r="Z20" i="28" s="1"/>
  <c r="T405" i="9"/>
  <c r="T408" i="9" s="1"/>
  <c r="W20" i="28" s="1"/>
  <c r="M188" i="9"/>
  <c r="O405" i="9"/>
  <c r="O408" i="9" s="1"/>
  <c r="R20" i="28" s="1"/>
  <c r="J510" i="9"/>
  <c r="J513" i="9" s="1"/>
  <c r="M21" i="28" s="1"/>
  <c r="Q408" i="3"/>
  <c r="T5" i="28" s="1"/>
  <c r="W191" i="3"/>
  <c r="Z3" i="28" s="1"/>
  <c r="Y85" i="3"/>
  <c r="AB2" i="28" s="1"/>
  <c r="G188" i="9"/>
  <c r="G191" i="9" s="1"/>
  <c r="J18" i="28" s="1"/>
  <c r="W188" i="9"/>
  <c r="W191" i="9" s="1"/>
  <c r="Z18" i="28" s="1"/>
  <c r="G296" i="9"/>
  <c r="G299" i="9" s="1"/>
  <c r="J19" i="28" s="1"/>
  <c r="O510" i="9"/>
  <c r="O513" i="9" s="1"/>
  <c r="R21" i="28" s="1"/>
  <c r="R408" i="3"/>
  <c r="U5" i="28" s="1"/>
  <c r="J408" i="3"/>
  <c r="M5" i="28" s="1"/>
  <c r="W85" i="3"/>
  <c r="Z2" i="28" s="1"/>
  <c r="D510" i="9"/>
  <c r="D513" i="9" s="1"/>
  <c r="G21" i="28" s="1"/>
  <c r="I188" i="9"/>
  <c r="I191" i="9" s="1"/>
  <c r="L18" i="28" s="1"/>
  <c r="J296" i="9"/>
  <c r="J299" i="9" s="1"/>
  <c r="M19" i="28" s="1"/>
  <c r="C510" i="9"/>
  <c r="C513" i="9" s="1"/>
  <c r="F21" i="28" s="1"/>
  <c r="B408" i="3"/>
  <c r="E5" i="28" s="1"/>
  <c r="Z408" i="3"/>
  <c r="AC5" i="28" s="1"/>
  <c r="I85" i="3"/>
  <c r="L2" i="28" s="1"/>
  <c r="O85" i="3"/>
  <c r="R2" i="28" s="1"/>
  <c r="P85" i="3"/>
  <c r="S2" i="28" s="1"/>
  <c r="L296" i="9"/>
  <c r="L299" i="9" s="1"/>
  <c r="O19" i="28" s="1"/>
  <c r="U510" i="9"/>
  <c r="U513" i="9" s="1"/>
  <c r="X21" i="28" s="1"/>
  <c r="Z188" i="9"/>
  <c r="Z191" i="9" s="1"/>
  <c r="AC18" i="28" s="1"/>
  <c r="N188" i="9"/>
  <c r="N191" i="9" s="1"/>
  <c r="Q18" i="28" s="1"/>
  <c r="O296" i="9"/>
  <c r="O299" i="9" s="1"/>
  <c r="R19" i="28" s="1"/>
  <c r="U296" i="9"/>
  <c r="U299" i="9" s="1"/>
  <c r="X19" i="28" s="1"/>
  <c r="U408" i="3"/>
  <c r="X5" i="28" s="1"/>
  <c r="O408" i="3"/>
  <c r="R5" i="28" s="1"/>
  <c r="X85" i="3"/>
  <c r="AA2" i="28" s="1"/>
  <c r="P408" i="3"/>
  <c r="S5" i="28" s="1"/>
  <c r="P191" i="13"/>
  <c r="S39" i="28" s="1"/>
  <c r="X510" i="9"/>
  <c r="X513" i="9" s="1"/>
  <c r="AA21" i="28" s="1"/>
  <c r="K510" i="9"/>
  <c r="K513" i="9" s="1"/>
  <c r="N21" i="28" s="1"/>
  <c r="AA188" i="9"/>
  <c r="AA191" i="9" s="1"/>
  <c r="AD18" i="28" s="1"/>
  <c r="X408" i="3"/>
  <c r="AA5" i="28" s="1"/>
  <c r="H408" i="3"/>
  <c r="K5" i="28" s="1"/>
  <c r="G408" i="3"/>
  <c r="J5" i="28" s="1"/>
  <c r="P510" i="9"/>
  <c r="P513" i="9" s="1"/>
  <c r="S21" i="28" s="1"/>
  <c r="AC408" i="3"/>
  <c r="AF5" i="28" s="1"/>
  <c r="V85" i="3"/>
  <c r="Y2" i="28" s="1"/>
  <c r="O191" i="3"/>
  <c r="R3" i="28" s="1"/>
  <c r="N408" i="3"/>
  <c r="Q5" i="28" s="1"/>
  <c r="L408" i="3"/>
  <c r="O5" i="28" s="1"/>
  <c r="F296" i="9"/>
  <c r="F299" i="9" s="1"/>
  <c r="I19" i="28" s="1"/>
  <c r="F85" i="3"/>
  <c r="I2" i="28" s="1"/>
  <c r="AA85" i="3"/>
  <c r="AD2" i="28" s="1"/>
  <c r="V408" i="3"/>
  <c r="Y5" i="28" s="1"/>
  <c r="AB408" i="3"/>
  <c r="AE5" i="28" s="1"/>
  <c r="G191" i="3"/>
  <c r="J3" i="28" s="1"/>
  <c r="S408" i="3"/>
  <c r="V5" i="28" s="1"/>
  <c r="Q405" i="9"/>
  <c r="Q408" i="9" s="1"/>
  <c r="T20" i="28" s="1"/>
  <c r="L85" i="3"/>
  <c r="O2" i="28" s="1"/>
  <c r="Z85" i="3"/>
  <c r="AC2" i="28" s="1"/>
  <c r="T191" i="3"/>
  <c r="W3" i="28" s="1"/>
  <c r="E85" i="3"/>
  <c r="H2" i="28" s="1"/>
  <c r="C408" i="3"/>
  <c r="F5" i="28" s="1"/>
  <c r="M191" i="3"/>
  <c r="P3" i="28" s="1"/>
  <c r="R85" i="3"/>
  <c r="U2" i="28" s="1"/>
  <c r="P85" i="9"/>
  <c r="S17" i="28" s="1"/>
  <c r="N296" i="9"/>
  <c r="N299" i="9" s="1"/>
  <c r="Q19" i="28" s="1"/>
  <c r="AC191" i="3"/>
  <c r="AF3" i="28" s="1"/>
  <c r="E191" i="3"/>
  <c r="H3" i="28" s="1"/>
  <c r="W408" i="3"/>
  <c r="Z5" i="28" s="1"/>
  <c r="M408" i="3"/>
  <c r="P5" i="28" s="1"/>
  <c r="F408" i="3"/>
  <c r="I5" i="28" s="1"/>
  <c r="AA408" i="3"/>
  <c r="AD5" i="28" s="1"/>
  <c r="T513" i="3"/>
  <c r="W6" i="28" s="1"/>
  <c r="AC513" i="3"/>
  <c r="AF6" i="28" s="1"/>
  <c r="V513" i="3"/>
  <c r="Y6" i="28" s="1"/>
  <c r="M513" i="3"/>
  <c r="P6" i="28" s="1"/>
  <c r="AB513" i="3"/>
  <c r="AE6" i="28" s="1"/>
  <c r="K513" i="3"/>
  <c r="N6" i="28" s="1"/>
  <c r="C513" i="3"/>
  <c r="F6" i="28" s="1"/>
  <c r="L513" i="3"/>
  <c r="O6" i="28" s="1"/>
  <c r="O513" i="3"/>
  <c r="R6" i="28" s="1"/>
  <c r="S513" i="3"/>
  <c r="V6" i="28" s="1"/>
  <c r="G513" i="3"/>
  <c r="J6" i="28" s="1"/>
  <c r="N513" i="3"/>
  <c r="Q6" i="28" s="1"/>
  <c r="AA513" i="3"/>
  <c r="AD6" i="28" s="1"/>
  <c r="Y513" i="3"/>
  <c r="AB6" i="28" s="1"/>
  <c r="Q513" i="3"/>
  <c r="T6" i="28" s="1"/>
  <c r="B513" i="3"/>
  <c r="E6" i="28" s="1"/>
  <c r="P513" i="3"/>
  <c r="S6" i="28" s="1"/>
  <c r="F513" i="3"/>
  <c r="I6" i="28" s="1"/>
  <c r="W513" i="3"/>
  <c r="Z6" i="28" s="1"/>
  <c r="E513" i="3"/>
  <c r="H6" i="28" s="1"/>
  <c r="B43" i="1"/>
  <c r="B75" i="1"/>
  <c r="B76" i="1"/>
  <c r="B77" i="1"/>
  <c r="B70" i="1"/>
  <c r="B73" i="1"/>
  <c r="B72" i="1"/>
  <c r="B74" i="1"/>
  <c r="B66" i="1"/>
  <c r="B63" i="1"/>
  <c r="B64" i="1"/>
  <c r="B65" i="1"/>
  <c r="B54" i="1"/>
  <c r="B55" i="1"/>
  <c r="B52" i="1"/>
  <c r="B62" i="1"/>
  <c r="B60" i="1"/>
  <c r="B61" i="1"/>
  <c r="B50" i="1"/>
  <c r="B51" i="1"/>
  <c r="B48" i="1"/>
  <c r="B49" i="1"/>
  <c r="ER17" i="33" l="1"/>
  <c r="W41" i="34" s="1"/>
  <c r="CG17" i="33"/>
  <c r="M33" i="34" s="1"/>
  <c r="EF17" i="33"/>
  <c r="W29" i="34" s="1"/>
  <c r="EN17" i="33"/>
  <c r="W37" i="34" s="1"/>
  <c r="EJ17" i="33"/>
  <c r="W33" i="34" s="1"/>
  <c r="CK17" i="33"/>
  <c r="M37" i="34" s="1"/>
  <c r="Z17" i="33"/>
  <c r="D29" i="34" s="1"/>
  <c r="B513" i="9"/>
  <c r="E21" i="28" s="1"/>
  <c r="AL14" i="33"/>
  <c r="AL17" i="33" s="1"/>
  <c r="D41" i="34" s="1"/>
  <c r="B299" i="9"/>
  <c r="E19" i="28" s="1"/>
  <c r="AD14" i="33"/>
  <c r="AD17" i="33" s="1"/>
  <c r="D33" i="34" s="1"/>
  <c r="M191" i="9"/>
  <c r="P18" i="28" s="1"/>
  <c r="CC14" i="33"/>
  <c r="CC17" i="33" s="1"/>
  <c r="M29" i="34" s="1"/>
  <c r="CO17" i="33"/>
  <c r="M41" i="34" s="1"/>
  <c r="B408" i="9"/>
  <c r="E20" i="28" s="1"/>
  <c r="AH14" i="33"/>
  <c r="AH17" i="33" s="1"/>
  <c r="D37" i="34" s="1"/>
  <c r="T299" i="9"/>
  <c r="W19" i="28" s="1"/>
  <c r="N408" i="9"/>
  <c r="Q20" i="28" s="1"/>
  <c r="V408" i="9"/>
  <c r="Y20" i="28" s="1"/>
  <c r="AA299" i="9"/>
  <c r="AD19" i="28" s="1"/>
  <c r="J408" i="9"/>
  <c r="M20" i="28" s="1"/>
  <c r="B56" i="1"/>
  <c r="B67" i="1"/>
  <c r="B79" i="1" s="1"/>
  <c r="Z408" i="9"/>
  <c r="AC20" i="28" s="1"/>
  <c r="D191" i="9"/>
  <c r="G18" i="28" s="1"/>
  <c r="M408" i="9"/>
  <c r="P20" i="28" s="1"/>
  <c r="S408" i="9"/>
  <c r="V20" i="28" s="1"/>
  <c r="R513" i="9"/>
  <c r="U21" i="28" s="1"/>
  <c r="I513" i="9"/>
  <c r="L21" i="28" s="1"/>
  <c r="I408" i="9"/>
  <c r="L20" i="28" s="1"/>
  <c r="AB191" i="9"/>
  <c r="AE18" i="28" s="1"/>
  <c r="V299" i="9"/>
  <c r="Y19" i="28" s="1"/>
  <c r="AB408" i="9"/>
  <c r="AE20" i="28" s="1"/>
  <c r="E299" i="9"/>
  <c r="H19" i="28" s="1"/>
  <c r="U408" i="9"/>
  <c r="X20" i="28" s="1"/>
  <c r="L408" i="9"/>
  <c r="O20" i="28" s="1"/>
  <c r="H513" i="9"/>
  <c r="K21" i="28" s="1"/>
  <c r="P299" i="9"/>
  <c r="S19" i="28" s="1"/>
  <c r="Y299" i="9"/>
  <c r="AB19" i="28" s="1"/>
  <c r="Z299" i="9"/>
  <c r="AC19" i="28" s="1"/>
  <c r="F513" i="9"/>
  <c r="I21" i="28" s="1"/>
  <c r="F408" i="9"/>
  <c r="I20" i="28" s="1"/>
  <c r="B191" i="9"/>
  <c r="E18" i="28" s="1"/>
  <c r="S513" i="9"/>
  <c r="V21" i="28" s="1"/>
  <c r="T191" i="9"/>
  <c r="W18" i="28" s="1"/>
  <c r="R191" i="9"/>
  <c r="U18" i="28" s="1"/>
  <c r="AC191" i="9"/>
  <c r="AF18" i="28" s="1"/>
  <c r="E191" i="9"/>
  <c r="H18" i="28" s="1"/>
  <c r="H191" i="9"/>
  <c r="K18" i="28" s="1"/>
  <c r="K191" i="9"/>
  <c r="N18" i="28" s="1"/>
  <c r="AB299" i="9"/>
  <c r="AE19" i="28" s="1"/>
  <c r="AA408" i="9"/>
  <c r="AD20" i="28" s="1"/>
  <c r="AC408" i="9"/>
  <c r="AF20" i="28" s="1"/>
  <c r="AC299" i="9"/>
  <c r="AF19" i="28" s="1"/>
  <c r="C408" i="9"/>
  <c r="F20" i="28" s="1"/>
  <c r="P191" i="9"/>
  <c r="S18" i="28" s="1"/>
  <c r="N513" i="9"/>
  <c r="Q21" i="28" s="1"/>
  <c r="M299" i="9"/>
  <c r="P19" i="28" s="1"/>
  <c r="E513" i="9"/>
  <c r="H21" i="28" s="1"/>
  <c r="T513" i="9"/>
  <c r="W21" i="28" s="1"/>
  <c r="Q513" i="9"/>
  <c r="T21" i="28" s="1"/>
  <c r="K408" i="9"/>
  <c r="N20" i="28" s="1"/>
  <c r="U191" i="9"/>
  <c r="X18" i="28" s="1"/>
  <c r="V513" i="9"/>
  <c r="Y21" i="28" s="1"/>
  <c r="D408" i="9"/>
  <c r="G20" i="28" s="1"/>
  <c r="G513" i="9"/>
  <c r="J21" i="28" s="1"/>
  <c r="R408" i="9"/>
  <c r="U20" i="28" s="1"/>
  <c r="G408" i="9"/>
  <c r="J20" i="28" s="1"/>
  <c r="F191" i="9"/>
  <c r="I18" i="28" s="1"/>
  <c r="R299" i="9"/>
  <c r="U19" i="28" s="1"/>
  <c r="AB513" i="9"/>
  <c r="AE21" i="28" s="1"/>
  <c r="Y408" i="9"/>
  <c r="AB20" i="28" s="1"/>
  <c r="S299" i="9"/>
  <c r="V19" i="28" s="1"/>
  <c r="AC513" i="9"/>
  <c r="AF21" i="28" s="1"/>
  <c r="C191" i="9"/>
  <c r="F18" i="28" s="1"/>
  <c r="M513" i="9"/>
  <c r="P21" i="28" s="1"/>
  <c r="O191" i="9"/>
  <c r="R18" i="28" s="1"/>
  <c r="S191" i="9"/>
  <c r="V18" i="28" s="1"/>
  <c r="V191" i="9"/>
  <c r="Y18" i="28" s="1"/>
  <c r="G78" i="1"/>
  <c r="G79" i="1"/>
  <c r="P78" i="1"/>
  <c r="P79" i="1"/>
  <c r="AC79" i="1"/>
  <c r="AC78" i="1"/>
  <c r="AC80" i="1" s="1"/>
  <c r="T78" i="1"/>
  <c r="T79" i="1"/>
  <c r="E78" i="1"/>
  <c r="E79" i="1"/>
  <c r="AA78" i="1"/>
  <c r="AA79" i="1"/>
  <c r="D78" i="1"/>
  <c r="D79" i="1"/>
  <c r="U78" i="1"/>
  <c r="U79" i="1"/>
  <c r="AB78" i="1"/>
  <c r="AB79" i="1"/>
  <c r="Q78" i="1"/>
  <c r="Q79" i="1"/>
  <c r="K79" i="1"/>
  <c r="K78" i="1"/>
  <c r="R78" i="1"/>
  <c r="R79" i="1"/>
  <c r="L78" i="1"/>
  <c r="L79" i="1"/>
  <c r="M79" i="1"/>
  <c r="M78" i="1"/>
  <c r="C78" i="1"/>
  <c r="C79" i="1"/>
  <c r="O78" i="1"/>
  <c r="O79" i="1"/>
  <c r="Y78" i="1"/>
  <c r="Y79" i="1"/>
  <c r="Z78" i="1"/>
  <c r="Z79" i="1"/>
  <c r="W78" i="1"/>
  <c r="W79" i="1"/>
  <c r="V78" i="1"/>
  <c r="V79" i="1"/>
  <c r="J78" i="1"/>
  <c r="J79" i="1"/>
  <c r="X78" i="1"/>
  <c r="X79" i="1"/>
  <c r="F78" i="1"/>
  <c r="F79" i="1"/>
  <c r="I78" i="1"/>
  <c r="I79" i="1"/>
  <c r="S78" i="1"/>
  <c r="S79" i="1"/>
  <c r="N78" i="1"/>
  <c r="N79" i="1"/>
  <c r="H78" i="1"/>
  <c r="H79" i="1"/>
  <c r="M80" i="1" l="1"/>
  <c r="AB80" i="1"/>
  <c r="I80" i="1"/>
  <c r="S80" i="1"/>
  <c r="L80" i="1"/>
  <c r="K80" i="1"/>
  <c r="Y80" i="1"/>
  <c r="D80" i="1"/>
  <c r="J80" i="1"/>
  <c r="C80" i="1"/>
  <c r="E80" i="1"/>
  <c r="X80" i="1"/>
  <c r="AA80" i="1"/>
  <c r="P80" i="1"/>
  <c r="W80" i="1"/>
  <c r="Q80" i="1"/>
  <c r="H80" i="1"/>
  <c r="G80" i="1"/>
  <c r="Z80" i="1"/>
  <c r="F80" i="1"/>
  <c r="N80" i="1"/>
  <c r="V80" i="1"/>
  <c r="O80" i="1"/>
  <c r="R80" i="1"/>
  <c r="U80" i="1"/>
  <c r="T80" i="1"/>
  <c r="B78" i="1"/>
  <c r="B80" i="1" s="1"/>
</calcChain>
</file>

<file path=xl/sharedStrings.xml><?xml version="1.0" encoding="utf-8"?>
<sst xmlns="http://schemas.openxmlformats.org/spreadsheetml/2006/main" count="7347" uniqueCount="438">
  <si>
    <t>Fuel-specific</t>
  </si>
  <si>
    <t>Semi-trucking (5-axis)</t>
  </si>
  <si>
    <t>Input Sigmoid function</t>
  </si>
  <si>
    <t>Source</t>
  </si>
  <si>
    <t>Truck diesel</t>
  </si>
  <si>
    <t>Unit</t>
  </si>
  <si>
    <t>Truck hydrogen</t>
  </si>
  <si>
    <t>Truck battery</t>
  </si>
  <si>
    <t>midway</t>
  </si>
  <si>
    <t>a</t>
  </si>
  <si>
    <t>k</t>
  </si>
  <si>
    <t>Diesel</t>
  </si>
  <si>
    <t>Carbon permits</t>
  </si>
  <si>
    <t>[€/t]</t>
  </si>
  <si>
    <t>Capex costumization</t>
  </si>
  <si>
    <t>[€]</t>
  </si>
  <si>
    <t>b</t>
  </si>
  <si>
    <t>(prop.ly to other bulk, tractor trailer table 4.4)</t>
  </si>
  <si>
    <t>Capex vehicle</t>
  </si>
  <si>
    <t>(105484€; 115252€)</t>
  </si>
  <si>
    <t>CO2 content per mass</t>
  </si>
  <si>
    <t>kgCO2/kgfuel</t>
  </si>
  <si>
    <t>CO2 content per kWhel</t>
  </si>
  <si>
    <t>kg/kWh</t>
  </si>
  <si>
    <t>https://www.nowtricity.com/country/norway/</t>
  </si>
  <si>
    <t>Residual value (costumization)</t>
  </si>
  <si>
    <t>x</t>
  </si>
  <si>
    <t>(25%)</t>
  </si>
  <si>
    <t>Residual value (vehicle)</t>
  </si>
  <si>
    <t>c,x</t>
  </si>
  <si>
    <t>(18% of Capex, shrinking market)</t>
  </si>
  <si>
    <t>Energy density</t>
  </si>
  <si>
    <t>kWh/kg</t>
  </si>
  <si>
    <t>H2 production efficiency</t>
  </si>
  <si>
    <t>%</t>
  </si>
  <si>
    <t>Grid efficiency</t>
  </si>
  <si>
    <t>Heinemann, 2019</t>
  </si>
  <si>
    <t>Opex fix (admin, crew, insurance)</t>
  </si>
  <si>
    <t>[€/a]</t>
  </si>
  <si>
    <t>b,d</t>
  </si>
  <si>
    <t>(Meulen tab 4.4: staff + general; Martin: admin+driver+insurance)</t>
  </si>
  <si>
    <t>Lifetime vehicle</t>
  </si>
  <si>
    <t>[a]</t>
  </si>
  <si>
    <t>c</t>
  </si>
  <si>
    <t>(8 years)</t>
  </si>
  <si>
    <t>CO2 content per kWh</t>
  </si>
  <si>
    <t>kgCO2/kWh</t>
  </si>
  <si>
    <t>CO2 content per kWhH2</t>
  </si>
  <si>
    <t xml:space="preserve">Tonnage </t>
  </si>
  <si>
    <t>[t]</t>
  </si>
  <si>
    <t>f</t>
  </si>
  <si>
    <t>(25450 kg, not product specified)</t>
  </si>
  <si>
    <t>Opex maintenance &amp; repair</t>
  </si>
  <si>
    <t>(20471;20608 € per a)</t>
  </si>
  <si>
    <t>CO2 emission per km</t>
  </si>
  <si>
    <t>kg/km</t>
  </si>
  <si>
    <t>Market failure (av. utilization)</t>
  </si>
  <si>
    <t>[%]</t>
  </si>
  <si>
    <t>(p.29: slat, sand , gravel: 42%)</t>
  </si>
  <si>
    <t>Fuel Economy</t>
  </si>
  <si>
    <t>[kWh/km]</t>
  </si>
  <si>
    <t>(29.86; 23.47 kWh/km)</t>
  </si>
  <si>
    <t>CO2 emission cost per km</t>
  </si>
  <si>
    <t>€/km</t>
  </si>
  <si>
    <t>Annual Mileage</t>
  </si>
  <si>
    <t>[km/a]</t>
  </si>
  <si>
    <t>(p.29: slat, sand , gravel: same)</t>
  </si>
  <si>
    <t>Fuel Cost</t>
  </si>
  <si>
    <t>[€/kWh]</t>
  </si>
  <si>
    <t>j</t>
  </si>
  <si>
    <t>Lifetime costumization</t>
  </si>
  <si>
    <t>e</t>
  </si>
  <si>
    <t>(p.295: 12 years)</t>
  </si>
  <si>
    <t>Payload loss (fuel)</t>
  </si>
  <si>
    <t>same</t>
  </si>
  <si>
    <t>Opex var (mode-fees, cargo handling)</t>
  </si>
  <si>
    <t>[€/km]</t>
  </si>
  <si>
    <t>d</t>
  </si>
  <si>
    <t>(mode-specific: Road toll 13200€ per 120000km/a)</t>
  </si>
  <si>
    <t>WACC</t>
  </si>
  <si>
    <t>this study's  assumption</t>
  </si>
  <si>
    <t>Emission cost</t>
  </si>
  <si>
    <t>g</t>
  </si>
  <si>
    <t>(diesel 3.17 KgCO2/kgdiesel, CO2 price assumed)</t>
  </si>
  <si>
    <t>Transport and Environment, 2021</t>
  </si>
  <si>
    <t>van der Meulen et a.m 2020</t>
  </si>
  <si>
    <t>Noll et al, 2022</t>
  </si>
  <si>
    <t>Battery</t>
  </si>
  <si>
    <t>Martin et al., 2023</t>
  </si>
  <si>
    <t>(417255€;145346€)</t>
  </si>
  <si>
    <t>Reuß et al. 2017</t>
  </si>
  <si>
    <t>(18% of Capex, emerging market)</t>
  </si>
  <si>
    <t>Gray et al., 2021</t>
  </si>
  <si>
    <t>Statistics Norway 2021</t>
  </si>
  <si>
    <t>(14359 € per year)</t>
  </si>
  <si>
    <t>h</t>
  </si>
  <si>
    <t>(p.29: chemical products: 48%)</t>
  </si>
  <si>
    <t>i</t>
  </si>
  <si>
    <t>(p.29: chemical products: same)</t>
  </si>
  <si>
    <t>Zenith, Frederico et al., 2019</t>
  </si>
  <si>
    <t>(-25 - 9%, depending on the range needed)</t>
  </si>
  <si>
    <t>SSB 2023, electricity prices (energy intensive industry)</t>
  </si>
  <si>
    <t>(Norwegian electricity 0.022 KgCO2/kWhel; 95% grid efficiency; CO2 price assumed)</t>
  </si>
  <si>
    <t>Hydrogen</t>
  </si>
  <si>
    <t>(391802; 154,318€)</t>
  </si>
  <si>
    <t>(26324;18735€ per year)</t>
  </si>
  <si>
    <t>(same</t>
  </si>
  <si>
    <t>(p.29: containers: 46%)</t>
  </si>
  <si>
    <t>(p.29: containers: same)</t>
  </si>
  <si>
    <t>(p.29: miscellaneous goods: 46%)</t>
  </si>
  <si>
    <t>(p.29: miscellaneous goods: same)</t>
  </si>
  <si>
    <t>(p.29: base metals: 48%)</t>
  </si>
  <si>
    <t>(p.29: base metals: same)</t>
  </si>
  <si>
    <t>Railway</t>
  </si>
  <si>
    <t>Rail Diesel</t>
  </si>
  <si>
    <t>Rail hydrogen</t>
  </si>
  <si>
    <t>Rail catenary</t>
  </si>
  <si>
    <t>Rail battery</t>
  </si>
  <si>
    <t>b, x</t>
  </si>
  <si>
    <t>(table.6.2: prop.ly to other bulk 150T€/wagon)</t>
  </si>
  <si>
    <t>(p. 4: 2.95M$)</t>
  </si>
  <si>
    <t>(5%; long life, sold before security risk)</t>
  </si>
  <si>
    <t>(15%;5%; long life, shrinking markets)</t>
  </si>
  <si>
    <t>(staff costs 250T€, general 400T€)</t>
  </si>
  <si>
    <t>p. 4: same</t>
  </si>
  <si>
    <t>b,a</t>
  </si>
  <si>
    <t>(80t/wagon max, 28 wagons)</t>
  </si>
  <si>
    <t>(p. 4: 5.31$/km)</t>
  </si>
  <si>
    <t>(table 6.1: salt, sand, gravel, clay)</t>
  </si>
  <si>
    <t>(industry interview: "1,8 litres/km for the locomotive + 0,0041 litres/tonnkm for the freight cars"</t>
  </si>
  <si>
    <t>(table 6.1: different to c)</t>
  </si>
  <si>
    <t>c, x</t>
  </si>
  <si>
    <t>(industry interview: same)</t>
  </si>
  <si>
    <t>(table 6.2: 700T€/178500 km/a track access, shunting)</t>
  </si>
  <si>
    <t>Cargonet, Erik Halland</t>
  </si>
  <si>
    <t>Statistics Norway, 2021</t>
  </si>
  <si>
    <t>Catenary</t>
  </si>
  <si>
    <t>Noll 2021</t>
  </si>
  <si>
    <t>(table.6.2: prop.ly to other bulk 200T€/wagon)</t>
  </si>
  <si>
    <t>(4.1M$)</t>
  </si>
  <si>
    <t>(15%;15%; long life, stable markets)</t>
  </si>
  <si>
    <t>(staff costs 250T€, general 370T€)</t>
  </si>
  <si>
    <t>(3.03$/km)</t>
  </si>
  <si>
    <t>(table 6.1: chemicals)</t>
  </si>
  <si>
    <t>(Diesel economy:35% =&gt; Catenary:85%)</t>
  </si>
  <si>
    <t>kWh/l</t>
  </si>
  <si>
    <t>(table 6.2: 650T€/178500 km/a  track access, shunting)</t>
  </si>
  <si>
    <t>same+</t>
  </si>
  <si>
    <t>average number of wagons</t>
  </si>
  <si>
    <t>(table.6.2: prop.ly to other bulk 100T€/wagon)</t>
  </si>
  <si>
    <t>(5%;15%; long life, emerging markets)</t>
  </si>
  <si>
    <t>max. Payload per wagon</t>
  </si>
  <si>
    <t>t</t>
  </si>
  <si>
    <t>(table.6.2: staff costs 250T€, general 360T€)</t>
  </si>
  <si>
    <t>x,a</t>
  </si>
  <si>
    <t xml:space="preserve"> (oriented on a, diesel cat)</t>
  </si>
  <si>
    <t>(table 6.1: container)</t>
  </si>
  <si>
    <t>(Diesel economy:35% =&gt; Battery:80%)</t>
  </si>
  <si>
    <t>(assuming initially one wagon for battery technology)</t>
  </si>
  <si>
    <t>(table.6.2: staff costs 600T€, general 850T€)</t>
  </si>
  <si>
    <t>(table 6.1: miscellaneous goods)</t>
  </si>
  <si>
    <t>(Diesel economy:35% =&gt; Hydrogen:55-&gt;65%)</t>
  </si>
  <si>
    <t>(assuming initially half a wagon for battery technology)</t>
  </si>
  <si>
    <t>(table 6.2: 1.6M€/178500 km/a  track access, shunting)</t>
  </si>
  <si>
    <t>(table.6.2: prop.ly to other bulk 125T€/wagon)</t>
  </si>
  <si>
    <t>(table.6.2: staff costs 250T€, general 400T€)</t>
  </si>
  <si>
    <t>(table 6.1: base metals and metal products)</t>
  </si>
  <si>
    <t>(table 6.2: 700T€/178500 km/a  track access, shunting)</t>
  </si>
  <si>
    <t>Sea</t>
  </si>
  <si>
    <t>Sea MGO</t>
  </si>
  <si>
    <t>Sea hydrogen</t>
  </si>
  <si>
    <t>Sea ammonia</t>
  </si>
  <si>
    <t>Sea methanol</t>
  </si>
  <si>
    <t>Short-sea: Dry bulk</t>
  </si>
  <si>
    <t>(table.3.5: prop.ly to other bulk)</t>
  </si>
  <si>
    <t>(10%;10%; long life, stable)</t>
  </si>
  <si>
    <t>(10%;5%; long life, shrinking markets, interview)</t>
  </si>
  <si>
    <t>(28t/24h: assuming HFO equals MGO, improvements)</t>
  </si>
  <si>
    <t>(diesel 3.17 KgCO2/kgMGO, CO2 price assumed)</t>
  </si>
  <si>
    <t>Drewy 2013 (factored by 1.5)</t>
  </si>
  <si>
    <t>Short-sea: Container</t>
  </si>
  <si>
    <t>Confeeder</t>
  </si>
  <si>
    <t>(5%;10%; long life, emerging markets)</t>
  </si>
  <si>
    <t>(same: propotionally to diesel; efficiency gains)</t>
  </si>
  <si>
    <t>(assumed to achieve improvments in storage density)</t>
  </si>
  <si>
    <t>Short-sea: Break bulk</t>
  </si>
  <si>
    <t>Ammonia</t>
  </si>
  <si>
    <t>Methanol</t>
  </si>
  <si>
    <t>Short-sea:  Neo bulk</t>
  </si>
  <si>
    <t>(small adjustments compared to diesel)</t>
  </si>
  <si>
    <t>(assumed to be the same as for MGO combustion engine, improvements)</t>
  </si>
  <si>
    <t>(half of LH2 loss, no improvments assumed)</t>
  </si>
  <si>
    <t>Energy density methanol</t>
  </si>
  <si>
    <t>Mass</t>
  </si>
  <si>
    <t>Volume</t>
  </si>
  <si>
    <t xml:space="preserve">* Capex vehicle: Purchase cost of the non-costumized asset  </t>
  </si>
  <si>
    <t xml:space="preserve">** Capex installation: May include costumized trailer or application-specific features </t>
  </si>
  <si>
    <t>DO NOT CHANGE THE WHITE CELLS</t>
  </si>
  <si>
    <t>COSTUMIZE THE BLUE BOXES</t>
  </si>
  <si>
    <t>CALCULATOR OUTPUT</t>
  </si>
  <si>
    <t>Input parameter</t>
  </si>
  <si>
    <t>Applied cost change factor</t>
  </si>
  <si>
    <t>Start value</t>
  </si>
  <si>
    <t>End value</t>
  </si>
  <si>
    <t>min</t>
  </si>
  <si>
    <t>max</t>
  </si>
  <si>
    <t>Emission Cost</t>
  </si>
  <si>
    <t>Tonnage .</t>
  </si>
  <si>
    <t>Calulation</t>
  </si>
  <si>
    <t>€/a</t>
  </si>
  <si>
    <t>€/tkm</t>
  </si>
  <si>
    <t>Examplary Vehicle</t>
  </si>
  <si>
    <t>Comments</t>
  </si>
  <si>
    <t>Old fuels used in STraM:</t>
  </si>
  <si>
    <t>Road: Diesel, Hydrogen, Battery electric, Biodiesel, Biogas</t>
  </si>
  <si>
    <t>Sea: Hydrogen, Ammonia, HFO, MGO, LNG, Biodiesel (HVO), Biogas</t>
  </si>
  <si>
    <t>What fuel names to use? Some don't match with names in our model; see yellow cells</t>
  </si>
  <si>
    <t>Rail: Electric train (CL), Diesel, Hybrid, Battery train, Hydrogen, Biodiesel</t>
  </si>
  <si>
    <t>Short-sea sheets do not have liquid bulk (should it be included? discuss with Steffen)</t>
  </si>
  <si>
    <t>Mode</t>
  </si>
  <si>
    <t>Fuel</t>
  </si>
  <si>
    <t>Road</t>
  </si>
  <si>
    <t>Dry bulk</t>
  </si>
  <si>
    <t>Liquid bulk</t>
  </si>
  <si>
    <t>Container</t>
  </si>
  <si>
    <t>Break bulk</t>
  </si>
  <si>
    <t>Neo bulk</t>
  </si>
  <si>
    <t>Rail</t>
  </si>
  <si>
    <t>Long term: do all the calculations in python. Only maintain "parameter input" tab</t>
  </si>
  <si>
    <t>We don't use "Truck", right?</t>
  </si>
  <si>
    <t>effective tonnage 2023</t>
  </si>
  <si>
    <t>effective tonnage 2050</t>
  </si>
  <si>
    <t>Index</t>
  </si>
  <si>
    <t>emissions 2023 (g/tkm)</t>
  </si>
  <si>
    <t>emissions 2050 (g/tkm)</t>
  </si>
  <si>
    <t>sigmoid parameters in "Output emissions" are not linked to "parameter input" sheet</t>
  </si>
  <si>
    <t>Product class</t>
  </si>
  <si>
    <t>Product groups undifferentiated by time value (such as "Container") are called Product Classes in the code. The ones differentiated (such as "Container (fast)") are called Products in the code</t>
  </si>
  <si>
    <t>Global parameters</t>
  </si>
  <si>
    <t>Carbon price</t>
  </si>
  <si>
    <t>Is this the full fuel list? Ignore biofuels? How about LNG? MGO? Is "Diesel" for sea MDO?</t>
  </si>
  <si>
    <t>Update transfer costs for the new product groups (Jonas)</t>
  </si>
  <si>
    <t>Product</t>
  </si>
  <si>
    <t>Transfer type</t>
  </si>
  <si>
    <t>Transfer cost</t>
  </si>
  <si>
    <t>sea-rail</t>
  </si>
  <si>
    <t>sea-road</t>
  </si>
  <si>
    <t>rail-road</t>
  </si>
  <si>
    <t>Fish</t>
  </si>
  <si>
    <t>General cargo</t>
  </si>
  <si>
    <t>Industrial goods</t>
  </si>
  <si>
    <t>Other thermo</t>
  </si>
  <si>
    <t>Timber</t>
  </si>
  <si>
    <t>Wet bulk</t>
  </si>
  <si>
    <t>From</t>
  </si>
  <si>
    <t>To</t>
  </si>
  <si>
    <t>OLD TABLE:</t>
  </si>
  <si>
    <t>TO DO</t>
  </si>
  <si>
    <t>Transfer cost (NOK/Tonne)</t>
  </si>
  <si>
    <t>emissions 2023 (kg/km)</t>
  </si>
  <si>
    <t>emissions 2050 (kg/km)</t>
  </si>
  <si>
    <t>l</t>
  </si>
  <si>
    <t>FuelsEurope2022</t>
  </si>
  <si>
    <t>page 10</t>
  </si>
  <si>
    <t>g, m</t>
  </si>
  <si>
    <t>m</t>
  </si>
  <si>
    <t>Martin_policy</t>
  </si>
  <si>
    <t>f, m</t>
  </si>
  <si>
    <t>(-5 - 2%, depending on the range needed)</t>
  </si>
  <si>
    <t>Braun 2016</t>
  </si>
  <si>
    <t>n</t>
  </si>
  <si>
    <t>b,n</t>
  </si>
  <si>
    <t>Opex var (mode-fees)</t>
  </si>
  <si>
    <t>Product-specific</t>
  </si>
  <si>
    <t>Diesel combustion</t>
  </si>
  <si>
    <t>Battery electric</t>
  </si>
  <si>
    <t>Hydrogen fuel cell</t>
  </si>
  <si>
    <t>Road long-haul: Dry bulk</t>
  </si>
  <si>
    <t>Road long-haul: Liquid bulk</t>
  </si>
  <si>
    <t>Road long-haul: Container</t>
  </si>
  <si>
    <t>Road long-haul: Break bulk</t>
  </si>
  <si>
    <t>Road long-haul:  Neo bulk</t>
  </si>
  <si>
    <t>Railway long-haul: Dry bulk</t>
  </si>
  <si>
    <t>Railway long-haul: Liquid bulk</t>
  </si>
  <si>
    <t>Railway long-haul: Container</t>
  </si>
  <si>
    <t>Railway long-haul: Break bulk</t>
  </si>
  <si>
    <t>Railway long-haul:  Neo bulk</t>
  </si>
  <si>
    <t>Opex var (mode-fees, shunting)</t>
  </si>
  <si>
    <t>Sea HFO</t>
  </si>
  <si>
    <t>MGO</t>
  </si>
  <si>
    <t>HFO</t>
  </si>
  <si>
    <t>https://www.researchgate.net/publication/351748799_Assessing_the_Link_between_Vessel_Size_and_Maritime_Supply_Chain_Sustainable_Performance/figures?lo=1</t>
  </si>
  <si>
    <t>Ulstein 2019</t>
  </si>
  <si>
    <t>a,c,l</t>
  </si>
  <si>
    <t>(Drewy 2013 (harmonized by 1.5); minus costimization; Ulstein 12-15M $)</t>
  </si>
  <si>
    <t>same factor to fossil; minus costumization</t>
  </si>
  <si>
    <t>(HFO 3.20 KgCO2/kgHFO, CO2 price assumed)</t>
  </si>
  <si>
    <t>Martin _policy 2023</t>
  </si>
  <si>
    <t>(Norwegian electricity 0.022 KgCO2/kWhel; 61-70%  efficiency (fuel production); CO2 price assumed)</t>
  </si>
  <si>
    <t>(Norwegian electricity 0.022 KgCO2/kWhel; 61-70% efficiency (fuel production); CO2 price assumed)</t>
  </si>
  <si>
    <t>onshore wind scenario (production+distribution, without fuel station)</t>
  </si>
  <si>
    <t>onshore wind scenario (production+grid fee, without fuel station)</t>
  </si>
  <si>
    <t>a,x</t>
  </si>
  <si>
    <t>(Fig. 8, 600€/t maritime gas stock market prices 2015-2022, distribution neglected)</t>
  </si>
  <si>
    <t>(Fig. 8, 357€/t maritime gas stock market prices 2015-2022, distribution neglected)</t>
  </si>
  <si>
    <t>IRENA 2021</t>
  </si>
  <si>
    <t>(Norwegian electricity 0.022 KgCO2/kWhel; 45-56% efficiency (fuel production); CO2 price assumed)</t>
  </si>
  <si>
    <t>(Norwegian electricity 0.022 KgCO2/kWhel; 52-60% efficiency (fuel production); CO2 price assumed)</t>
  </si>
  <si>
    <t>Used for calculation of methanol costs:</t>
  </si>
  <si>
    <t>b,l,x</t>
  </si>
  <si>
    <t>(representative feeder, average short-sea capacity)</t>
  </si>
  <si>
    <t>(table 3.2: large; Coal, brown coal and cokes; inland waterway. +10% as adjustment to short sea shipping (see higher factor for long-sea in b))</t>
  </si>
  <si>
    <t>(table 3.2: large; Container; inland waterway.  +10% as adjustment to short sea shipping (see higher factor for long-sea in b))</t>
  </si>
  <si>
    <t>(table 3.2: large; Miscellaneous goods; inland waterway.  +10% as adjustment to short sea shipping (see higher factor for long-sea in b))</t>
  </si>
  <si>
    <t>(table 3.2: large; Base metals and metal products; inland waterway.  +10% as adjustment to short sea shipping (see higher factor for long-sea in b))</t>
  </si>
  <si>
    <t>c, b</t>
  </si>
  <si>
    <t>(Martin: 118231 km/a), van Meulen push barges</t>
  </si>
  <si>
    <t>(p.82 DAC only, 1800;460  USD/t MeOH; USD/EURO 0.85)</t>
  </si>
  <si>
    <t>(Push barges innland waterway: Port fee: 100000€/118231km/a, adjusted with the product-specific factor in the large ship table)</t>
  </si>
  <si>
    <t>(p. 60: Crew, Insurave, general expenses USD =&gt; Euro)</t>
  </si>
  <si>
    <t>(Drewy 2013 (Spares, Stores, Lubriciation, R&amp;M; from USD to Euro))</t>
  </si>
  <si>
    <t>(Drewy 2013 (Spares, Stores, !NO! Lubriciation, R&amp;M; from USD to Euro))</t>
  </si>
  <si>
    <t>k, m</t>
  </si>
  <si>
    <t>i,j,k, m</t>
  </si>
  <si>
    <t>Martin policy</t>
  </si>
  <si>
    <t>d,f,g, l</t>
  </si>
  <si>
    <t>d,f, l</t>
  </si>
  <si>
    <t>d,k, l</t>
  </si>
  <si>
    <t>g,i, m</t>
  </si>
  <si>
    <t>g,i,h, m</t>
  </si>
  <si>
    <t>a,c, l</t>
  </si>
  <si>
    <t>a, c, l</t>
  </si>
  <si>
    <t>a,d, l, c</t>
  </si>
  <si>
    <t>e,l, c</t>
  </si>
  <si>
    <t>a,b</t>
  </si>
  <si>
    <t>BC</t>
  </si>
  <si>
    <t>WC</t>
  </si>
  <si>
    <t>Sea - Dry bulk - Hydrogen</t>
  </si>
  <si>
    <t>Sea - Dry bulk - Ammonia</t>
  </si>
  <si>
    <t>Sea - Dry bulk - Methanol</t>
  </si>
  <si>
    <t>Sea - Container - Hydrogen</t>
  </si>
  <si>
    <t>Sea - Container - Ammonia</t>
  </si>
  <si>
    <t>Sea - Container - Methanol</t>
  </si>
  <si>
    <t>Sea - Break bulk - Hydrogen</t>
  </si>
  <si>
    <t>Sea - Break bulk - Ammonia</t>
  </si>
  <si>
    <t>Sea - Break bulk - Methanol</t>
  </si>
  <si>
    <t>Sea - Neon bulk - Hydrogen</t>
  </si>
  <si>
    <t>Sea - Neon bulk - Ammoina</t>
  </si>
  <si>
    <t>Sea - Neon bulk - Methanol</t>
  </si>
  <si>
    <t>Rail - Dry bulk - Diesel</t>
  </si>
  <si>
    <t>Rail - Dry bulk - Catenary</t>
  </si>
  <si>
    <t>Rail - Dry bulk - Battery</t>
  </si>
  <si>
    <t>Rail - Dry bulk - Hydrogen</t>
  </si>
  <si>
    <t>Rail - Liquid bulk - Diesel</t>
  </si>
  <si>
    <t>Rail - Liquid bulk - Catenary</t>
  </si>
  <si>
    <t>Rail - Liquid bulk - Battery</t>
  </si>
  <si>
    <t>Rail - Liquid bulk - Hydrogen</t>
  </si>
  <si>
    <t>Rail - Container - Diesel</t>
  </si>
  <si>
    <t>Rail - Container - Catenary</t>
  </si>
  <si>
    <t>Rail - Container - Battery</t>
  </si>
  <si>
    <t>Rail - Container - Hydrogen</t>
  </si>
  <si>
    <t>Rail - Break bulk - Diesel</t>
  </si>
  <si>
    <t>Rail - Break bulk - Catenary</t>
  </si>
  <si>
    <t>Rail - Break bulk - Battery</t>
  </si>
  <si>
    <t>Rail - Break bulk - Hydrogen</t>
  </si>
  <si>
    <t>Rail - Neon bulk - Diesel</t>
  </si>
  <si>
    <t>Rail - Neon bulk - Catenary</t>
  </si>
  <si>
    <t>Rail - Neon bulk - Battery</t>
  </si>
  <si>
    <t>Rail - Neon bulk - Hydrogen</t>
  </si>
  <si>
    <t>Road - Dry bulk - Diesel</t>
  </si>
  <si>
    <t>Road - Dry bulk - Battery</t>
  </si>
  <si>
    <t>Road - Dry bulk - Hydrogen</t>
  </si>
  <si>
    <t>Road - Liquid bulk - Diesel</t>
  </si>
  <si>
    <t>Road - Liquid bulk - Battery</t>
  </si>
  <si>
    <t>Road - Liquid bulk - Hydrogen</t>
  </si>
  <si>
    <t>Road - Container - Diesel</t>
  </si>
  <si>
    <t>Road - Container - Battery</t>
  </si>
  <si>
    <t>Road - Container - Hydrogen</t>
  </si>
  <si>
    <t>Road - Break bulk - Diesel</t>
  </si>
  <si>
    <t>Road - Break bulk - Battery</t>
  </si>
  <si>
    <t>Road - Break bulk - Hydrogen</t>
  </si>
  <si>
    <t>Road - Neon bulk - Diesel</t>
  </si>
  <si>
    <t>Road - Neon bulk - Battery</t>
  </si>
  <si>
    <t>Road - Neon bulk - Hydrogen</t>
  </si>
  <si>
    <t>Sea - Dry bulk - Maritime gas oil</t>
  </si>
  <si>
    <t>Sea - Container - Maritime gas oil</t>
  </si>
  <si>
    <t>Sea - Break bulk - Maritime gas oil</t>
  </si>
  <si>
    <t>Sea - Neon bulk - Maritime gas oil</t>
  </si>
  <si>
    <t>Sea - Dry bulk - Heavy fuel oil</t>
  </si>
  <si>
    <t>Sea - Container - Heavy fuel oil</t>
  </si>
  <si>
    <t>Sea - Break bulk - Heavy fuel oil</t>
  </si>
  <si>
    <t>Sea - Neon bulk - Heavy fuel oil</t>
  </si>
  <si>
    <t>SUM</t>
  </si>
  <si>
    <t>Column1</t>
  </si>
  <si>
    <t>Column2</t>
  </si>
  <si>
    <t>Column3</t>
  </si>
  <si>
    <t>Column4</t>
  </si>
  <si>
    <t>Column5</t>
  </si>
  <si>
    <t>Column6</t>
  </si>
  <si>
    <t>Column7</t>
  </si>
  <si>
    <t>Column8</t>
  </si>
  <si>
    <t>Column9</t>
  </si>
  <si>
    <t>Column10</t>
  </si>
  <si>
    <t>Column11</t>
  </si>
  <si>
    <t>Column12</t>
  </si>
  <si>
    <t>Column13</t>
  </si>
  <si>
    <t>Column14</t>
  </si>
  <si>
    <t>Table connected with cells (not ordered by size)</t>
  </si>
  <si>
    <t>Figure for table above (not order by size)</t>
  </si>
  <si>
    <t>Manually generate an unlinked copy of the data above for this table.</t>
  </si>
  <si>
    <t>Copy the data above vertically into the table below to order by size.</t>
  </si>
  <si>
    <t>Copy the ordered values by size above into the table below to feed the figure at the right of this table with data.</t>
  </si>
  <si>
    <t xml:space="preserve">Trips partially loaded </t>
  </si>
  <si>
    <t>Trips empty</t>
  </si>
  <si>
    <t>this is the average share of empty trips for trucks in the Netherlands (exlsion from van Meulen value to avoid double counting in StrAM)</t>
  </si>
  <si>
    <t>Correction value being the counterpart for empty trips below</t>
  </si>
  <si>
    <t>Diesel Road/Rail</t>
  </si>
  <si>
    <t>MGO Sea</t>
  </si>
  <si>
    <t>HFO Sea</t>
  </si>
  <si>
    <t>Electricity</t>
  </si>
  <si>
    <t>AC</t>
  </si>
  <si>
    <t>Trucking</t>
  </si>
  <si>
    <t>Shipping</t>
  </si>
  <si>
    <t>Transfer field</t>
  </si>
  <si>
    <t>Percentages</t>
  </si>
  <si>
    <t>Fuel Group</t>
  </si>
  <si>
    <t>Scenario</t>
  </si>
  <si>
    <t>Time period</t>
  </si>
  <si>
    <t>Product Group</t>
  </si>
  <si>
    <t>Cost factor</t>
  </si>
  <si>
    <t>B</t>
  </si>
  <si>
    <t>O</t>
  </si>
  <si>
    <t>P</t>
  </si>
  <si>
    <t>Established</t>
  </si>
  <si>
    <t>Scenarios B (Base), O (Optimistic), P (Pessimistic) - linked to the LCOT cost calculations. Change the fuel cost in PARAMETER INPUT to generate new fuel scenarios here. The output format for STrAM is generated automatically in the right table.</t>
  </si>
  <si>
    <t>Copy-paste the scenario data into the grey area on the left to generate scenarios:</t>
  </si>
  <si>
    <t>Transfer cost (NOK/Tonne) OLD</t>
  </si>
  <si>
    <t>Transfer time (hours)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</si>
</sst>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164" formatCode="_(* #,##0_);_(* \(#,##0\);_(* &quot;-&quot;_);_(@_)"/>
    <numFmt numFmtId="165" formatCode="_(&quot;$&quot;* #,##0.00_);_(&quot;$&quot;* \(#,##0.00\);_(&quot;$&quot;* &quot;-&quot;??_);_(@_)"/>
    <numFmt numFmtId="166" formatCode="_(* #,##0.00_);_(* \(#,##0.00\);_(* &quot;-&quot;??_);_(@_)"/>
    <numFmt numFmtId="167" formatCode="_(* #,##0.00_);_(* \(#,##0.00\);_(* &quot;-&quot;_);_(@_)"/>
    <numFmt numFmtId="168" formatCode="_(* #,##0.0_);_(* \(#,##0.0\);_(* &quot;-&quot;_);_(@_)"/>
    <numFmt numFmtId="169" formatCode="0.000"/>
    <numFmt numFmtId="170" formatCode="0.0000"/>
    <numFmt numFmtId="171" formatCode="#,##0.0"/>
    <numFmt numFmtId="172" formatCode="#,##0.000"/>
    <numFmt numFmtId="173" formatCode="0.000000"/>
    <numFmt numFmtId="174" formatCode="0.0"/>
    <numFmt numFmtId="175" formatCode="_(* #,##0.0000_);_(* \(#,##0.0000\);_(* &quot;-&quot;_);_(@_)"/>
    <numFmt numFmtId="176" formatCode="#,##0\ [$€-1];[Red]\-#,##0\ [$€-1]"/>
    <numFmt numFmtId="177" formatCode="0.00000"/>
  </numFmts>
  <fonts count="24" x14ac:knownFonts="1">
    <font>
      <sz val="11"/>
      <color theme="1"/>
      <name val="Calibri"/>
      <family val="2"/>
      <scheme val="minor"/>
    </font>
    <font>
      <sz val="11"/>
      <color theme="1"/>
      <name val="Calibri"/>
      <family val="2"/>
      <scheme val="minor"/>
    </font>
    <font>
      <b/>
      <sz val="16"/>
      <name val="Calibri Light"/>
      <family val="2"/>
      <scheme val="major"/>
    </font>
    <font>
      <sz val="11"/>
      <color theme="0"/>
      <name val="Calibri Light"/>
      <family val="2"/>
      <scheme val="major"/>
    </font>
    <font>
      <sz val="11"/>
      <color theme="1"/>
      <name val="Calibri Light"/>
      <family val="2"/>
      <scheme val="major"/>
    </font>
    <font>
      <b/>
      <sz val="11"/>
      <color theme="0"/>
      <name val="Calibri Light"/>
      <family val="2"/>
      <scheme val="major"/>
    </font>
    <font>
      <sz val="11"/>
      <name val="Calibri Light"/>
      <family val="2"/>
      <scheme val="major"/>
    </font>
    <font>
      <b/>
      <sz val="11"/>
      <name val="Calibri Light"/>
      <family val="2"/>
      <scheme val="major"/>
    </font>
    <font>
      <b/>
      <sz val="11"/>
      <color theme="1"/>
      <name val="Calibri Light"/>
      <family val="2"/>
      <scheme val="major"/>
    </font>
    <font>
      <sz val="9"/>
      <color theme="1"/>
      <name val="Calibri Light"/>
      <family val="2"/>
      <scheme val="major"/>
    </font>
    <font>
      <b/>
      <sz val="24"/>
      <color theme="0"/>
      <name val="Calibri Light"/>
      <family val="2"/>
      <scheme val="major"/>
    </font>
    <font>
      <b/>
      <u/>
      <sz val="11"/>
      <color theme="1"/>
      <name val="Calibri Light"/>
      <family val="2"/>
      <scheme val="major"/>
    </font>
    <font>
      <sz val="11"/>
      <color theme="0" tint="-0.249977111117893"/>
      <name val="Calibri Light"/>
      <family val="2"/>
      <scheme val="major"/>
    </font>
    <font>
      <u/>
      <sz val="11"/>
      <color theme="10"/>
      <name val="Calibri"/>
      <family val="2"/>
      <scheme val="minor"/>
    </font>
    <font>
      <sz val="11"/>
      <color theme="0" tint="-0.14999847407452621"/>
      <name val="Calibri Light"/>
      <family val="2"/>
      <scheme val="major"/>
    </font>
    <font>
      <i/>
      <sz val="11"/>
      <color theme="0" tint="-0.14999847407452621"/>
      <name val="Calibri Light"/>
      <family val="2"/>
      <scheme val="major"/>
    </font>
    <font>
      <i/>
      <sz val="11"/>
      <name val="Calibri Light"/>
      <family val="2"/>
      <scheme val="major"/>
    </font>
    <font>
      <b/>
      <sz val="11"/>
      <color theme="1"/>
      <name val="Calibri"/>
      <family val="2"/>
      <scheme val="minor"/>
    </font>
    <font>
      <sz val="11"/>
      <color theme="6"/>
      <name val="Calibri"/>
      <family val="2"/>
      <scheme val="minor"/>
    </font>
    <font>
      <b/>
      <sz val="11"/>
      <color theme="6"/>
      <name val="Calibri"/>
      <family val="2"/>
      <scheme val="minor"/>
    </font>
    <font>
      <i/>
      <sz val="11"/>
      <color theme="1"/>
      <name val="Calibri Light"/>
      <family val="2"/>
      <scheme val="major"/>
    </font>
    <font>
      <sz val="11"/>
      <color rgb="FFFF0000"/>
      <name val="Calibri"/>
      <family val="2"/>
      <scheme val="minor"/>
    </font>
    <font>
      <i/>
      <sz val="11"/>
      <color theme="1"/>
      <name val="Calibri"/>
      <family val="2"/>
      <scheme val="minor"/>
    </font>
    <font>
      <i/>
      <sz val="10"/>
      <color theme="1"/>
      <name val="Calibri Light"/>
      <family val="2"/>
      <scheme val="major"/>
    </font>
  </fonts>
  <fills count="16">
    <fill>
      <patternFill patternType="none"/>
    </fill>
    <fill>
      <patternFill patternType="gray125"/>
    </fill>
    <fill>
      <patternFill patternType="solid">
        <fgColor theme="0"/>
        <bgColor indexed="64"/>
      </patternFill>
    </fill>
    <fill>
      <patternFill patternType="solid">
        <fgColor theme="3" tint="0.59999389629810485"/>
        <bgColor indexed="64"/>
      </patternFill>
    </fill>
    <fill>
      <patternFill patternType="solid">
        <fgColor theme="0"/>
        <bgColor theme="4" tint="0.39991454817346722"/>
      </patternFill>
    </fill>
    <fill>
      <patternFill patternType="solid">
        <fgColor rgb="FFFFFF00"/>
        <bgColor theme="4" tint="0.39991454817346722"/>
      </patternFill>
    </fill>
    <fill>
      <patternFill patternType="solid">
        <fgColor rgb="FFFFFF00"/>
        <bgColor indexed="64"/>
      </patternFill>
    </fill>
    <fill>
      <patternFill patternType="solid">
        <fgColor theme="0" tint="-0.14999847407452621"/>
        <bgColor indexed="64"/>
      </patternFill>
    </fill>
    <fill>
      <patternFill patternType="solid">
        <fgColor rgb="FFFF0000"/>
        <bgColor indexed="64"/>
      </patternFill>
    </fill>
    <fill>
      <patternFill patternType="solid">
        <fgColor theme="9" tint="0.79998168889431442"/>
        <bgColor indexed="64"/>
      </patternFill>
    </fill>
    <fill>
      <patternFill patternType="solid">
        <fgColor theme="5" tint="0.39997558519241921"/>
        <bgColor indexed="64"/>
      </patternFill>
    </fill>
    <fill>
      <patternFill patternType="solid">
        <fgColor theme="7" tint="0.79998168889431442"/>
        <bgColor indexed="64"/>
      </patternFill>
    </fill>
    <fill>
      <patternFill patternType="solid">
        <fgColor theme="8"/>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0" tint="-0.249977111117893"/>
        <bgColor indexed="64"/>
      </patternFill>
    </fill>
  </fills>
  <borders count="65">
    <border>
      <left/>
      <right/>
      <top/>
      <bottom/>
      <diagonal/>
    </border>
    <border>
      <left/>
      <right/>
      <top style="thin">
        <color theme="0"/>
      </top>
      <bottom/>
      <diagonal/>
    </border>
    <border>
      <left/>
      <right style="thin">
        <color theme="0"/>
      </right>
      <top style="thin">
        <color theme="0"/>
      </top>
      <bottom/>
      <diagonal/>
    </border>
    <border>
      <left/>
      <right style="thin">
        <color theme="0"/>
      </right>
      <top/>
      <bottom style="thin">
        <color theme="0"/>
      </bottom>
      <diagonal/>
    </border>
    <border>
      <left style="thin">
        <color theme="0"/>
      </left>
      <right style="thin">
        <color theme="0"/>
      </right>
      <top/>
      <bottom/>
      <diagonal/>
    </border>
    <border>
      <left/>
      <right/>
      <top/>
      <bottom style="thin">
        <color theme="0"/>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theme="0"/>
      </left>
      <right style="medium">
        <color theme="0"/>
      </right>
      <top style="medium">
        <color theme="0"/>
      </top>
      <bottom/>
      <diagonal/>
    </border>
    <border>
      <left style="medium">
        <color theme="0"/>
      </left>
      <right style="medium">
        <color theme="0"/>
      </right>
      <top/>
      <bottom/>
      <diagonal/>
    </border>
    <border>
      <left style="medium">
        <color theme="0"/>
      </left>
      <right/>
      <top style="medium">
        <color theme="0"/>
      </top>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thin">
        <color theme="0"/>
      </right>
      <top style="medium">
        <color theme="0"/>
      </top>
      <bottom style="medium">
        <color theme="0"/>
      </bottom>
      <diagonal/>
    </border>
    <border>
      <left style="medium">
        <color rgb="FFC00000"/>
      </left>
      <right/>
      <top style="medium">
        <color rgb="FFC00000"/>
      </top>
      <bottom style="medium">
        <color rgb="FFC00000"/>
      </bottom>
      <diagonal/>
    </border>
    <border>
      <left/>
      <right/>
      <top style="medium">
        <color rgb="FFC00000"/>
      </top>
      <bottom style="medium">
        <color rgb="FFC00000"/>
      </bottom>
      <diagonal/>
    </border>
    <border>
      <left/>
      <right style="medium">
        <color rgb="FFC00000"/>
      </right>
      <top style="medium">
        <color rgb="FFC00000"/>
      </top>
      <bottom style="medium">
        <color rgb="FFC00000"/>
      </bottom>
      <diagonal/>
    </border>
    <border>
      <left style="medium">
        <color theme="4" tint="-0.249977111117893"/>
      </left>
      <right/>
      <top style="medium">
        <color theme="4" tint="-0.249977111117893"/>
      </top>
      <bottom/>
      <diagonal/>
    </border>
    <border>
      <left/>
      <right style="medium">
        <color theme="4" tint="-0.249977111117893"/>
      </right>
      <top style="medium">
        <color theme="4" tint="-0.249977111117893"/>
      </top>
      <bottom/>
      <diagonal/>
    </border>
    <border>
      <left style="medium">
        <color theme="8" tint="-0.249977111117893"/>
      </left>
      <right/>
      <top style="medium">
        <color theme="8" tint="-0.249977111117893"/>
      </top>
      <bottom/>
      <diagonal/>
    </border>
    <border>
      <left/>
      <right style="medium">
        <color theme="8" tint="-0.249977111117893"/>
      </right>
      <top style="medium">
        <color theme="8" tint="-0.249977111117893"/>
      </top>
      <bottom/>
      <diagonal/>
    </border>
    <border>
      <left style="medium">
        <color theme="8" tint="-0.249977111117893"/>
      </left>
      <right/>
      <top/>
      <bottom/>
      <diagonal/>
    </border>
    <border>
      <left/>
      <right style="medium">
        <color theme="8" tint="-0.249977111117893"/>
      </right>
      <top/>
      <bottom/>
      <diagonal/>
    </border>
    <border>
      <left style="medium">
        <color theme="8" tint="-0.249977111117893"/>
      </left>
      <right/>
      <top/>
      <bottom style="medium">
        <color theme="8" tint="-0.249977111117893"/>
      </bottom>
      <diagonal/>
    </border>
    <border>
      <left/>
      <right style="medium">
        <color theme="8" tint="-0.249977111117893"/>
      </right>
      <top/>
      <bottom style="medium">
        <color theme="8" tint="-0.249977111117893"/>
      </bottom>
      <diagonal/>
    </border>
    <border>
      <left/>
      <right/>
      <top style="medium">
        <color theme="8" tint="-0.249977111117893"/>
      </top>
      <bottom/>
      <diagonal/>
    </border>
    <border>
      <left/>
      <right/>
      <top/>
      <bottom style="medium">
        <color theme="8" tint="-0.249977111117893"/>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theme="1"/>
      </top>
      <bottom/>
      <diagonal/>
    </border>
    <border>
      <left/>
      <right/>
      <top/>
      <bottom style="thin">
        <color theme="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5">
    <xf numFmtId="0" fontId="0" fillId="0" borderId="0"/>
    <xf numFmtId="166" fontId="1" fillId="0" borderId="0" applyFont="0" applyFill="0" applyBorder="0" applyAlignment="0" applyProtection="0"/>
    <xf numFmtId="0" fontId="13" fillId="0" borderId="0" applyNumberFormat="0" applyFill="0" applyBorder="0" applyAlignment="0" applyProtection="0"/>
    <xf numFmtId="165" fontId="1" fillId="0" borderId="0" applyFont="0" applyFill="0" applyBorder="0" applyAlignment="0" applyProtection="0"/>
    <xf numFmtId="9" fontId="1" fillId="0" borderId="0" applyFont="0" applyFill="0" applyBorder="0" applyAlignment="0" applyProtection="0"/>
  </cellStyleXfs>
  <cellXfs count="205">
    <xf numFmtId="0" fontId="0" fillId="0" borderId="0" xfId="0"/>
    <xf numFmtId="0" fontId="6" fillId="2" borderId="14" xfId="0" applyFont="1" applyFill="1" applyBorder="1"/>
    <xf numFmtId="0" fontId="2" fillId="3" borderId="0" xfId="0" applyFont="1" applyFill="1"/>
    <xf numFmtId="0" fontId="3" fillId="3" borderId="0" xfId="0" applyFont="1" applyFill="1"/>
    <xf numFmtId="0" fontId="4" fillId="2" borderId="0" xfId="0" applyFont="1" applyFill="1"/>
    <xf numFmtId="0" fontId="5" fillId="3" borderId="10" xfId="0" applyFont="1" applyFill="1" applyBorder="1"/>
    <xf numFmtId="0" fontId="3" fillId="3" borderId="11" xfId="0" applyFont="1" applyFill="1" applyBorder="1" applyAlignment="1">
      <alignment horizontal="center"/>
    </xf>
    <xf numFmtId="0" fontId="6" fillId="3" borderId="12" xfId="0" applyFont="1" applyFill="1" applyBorder="1"/>
    <xf numFmtId="0" fontId="4" fillId="3" borderId="11" xfId="0" applyFont="1" applyFill="1" applyBorder="1"/>
    <xf numFmtId="0" fontId="4" fillId="3" borderId="12" xfId="0" applyFont="1" applyFill="1" applyBorder="1"/>
    <xf numFmtId="0" fontId="5" fillId="3" borderId="11" xfId="0" applyFont="1" applyFill="1" applyBorder="1"/>
    <xf numFmtId="0" fontId="3" fillId="3" borderId="11" xfId="0" applyFont="1" applyFill="1" applyBorder="1"/>
    <xf numFmtId="0" fontId="3" fillId="3" borderId="12" xfId="0" applyFont="1" applyFill="1" applyBorder="1" applyAlignment="1">
      <alignment horizontal="right"/>
    </xf>
    <xf numFmtId="0" fontId="3" fillId="3" borderId="1" xfId="0" applyFont="1" applyFill="1" applyBorder="1" applyAlignment="1">
      <alignment horizontal="right"/>
    </xf>
    <xf numFmtId="0" fontId="3" fillId="3" borderId="2" xfId="0" applyFont="1" applyFill="1" applyBorder="1" applyAlignment="1">
      <alignment horizontal="right"/>
    </xf>
    <xf numFmtId="0" fontId="6" fillId="3" borderId="15" xfId="0" applyFont="1" applyFill="1" applyBorder="1"/>
    <xf numFmtId="0" fontId="3" fillId="3" borderId="17"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3" fillId="3" borderId="0" xfId="0" applyFont="1" applyFill="1" applyAlignment="1">
      <alignment horizontal="right"/>
    </xf>
    <xf numFmtId="0" fontId="3" fillId="3" borderId="14" xfId="0" applyFont="1" applyFill="1" applyBorder="1" applyAlignment="1">
      <alignment horizontal="right"/>
    </xf>
    <xf numFmtId="0" fontId="3" fillId="3" borderId="5" xfId="0" applyFont="1" applyFill="1" applyBorder="1"/>
    <xf numFmtId="0" fontId="3" fillId="3" borderId="3" xfId="0" applyFont="1" applyFill="1" applyBorder="1"/>
    <xf numFmtId="0" fontId="7" fillId="3" borderId="13" xfId="0" applyFont="1" applyFill="1" applyBorder="1"/>
    <xf numFmtId="0" fontId="8" fillId="2" borderId="0" xfId="0" applyFont="1" applyFill="1"/>
    <xf numFmtId="0" fontId="5" fillId="3" borderId="18" xfId="0" applyFont="1" applyFill="1" applyBorder="1"/>
    <xf numFmtId="0" fontId="5" fillId="3" borderId="6" xfId="0" applyFont="1" applyFill="1" applyBorder="1"/>
    <xf numFmtId="0" fontId="5" fillId="3" borderId="7" xfId="0" applyFont="1" applyFill="1" applyBorder="1"/>
    <xf numFmtId="0" fontId="6" fillId="3" borderId="8" xfId="0" applyFont="1" applyFill="1" applyBorder="1"/>
    <xf numFmtId="0" fontId="6" fillId="3" borderId="9" xfId="0" applyFont="1" applyFill="1" applyBorder="1"/>
    <xf numFmtId="0" fontId="7" fillId="2" borderId="19" xfId="0" applyFont="1" applyFill="1" applyBorder="1"/>
    <xf numFmtId="0" fontId="4" fillId="2" borderId="4" xfId="0" applyFont="1" applyFill="1" applyBorder="1"/>
    <xf numFmtId="0" fontId="9" fillId="2" borderId="0" xfId="0" applyFont="1" applyFill="1"/>
    <xf numFmtId="0" fontId="6" fillId="2" borderId="0" xfId="0" applyFont="1" applyFill="1"/>
    <xf numFmtId="164" fontId="4" fillId="4" borderId="23" xfId="1" applyNumberFormat="1" applyFont="1" applyFill="1" applyBorder="1" applyProtection="1"/>
    <xf numFmtId="0" fontId="4" fillId="2" borderId="21" xfId="0" applyFont="1" applyFill="1" applyBorder="1"/>
    <xf numFmtId="0" fontId="4" fillId="4" borderId="0" xfId="0" applyFont="1" applyFill="1" applyProtection="1">
      <protection locked="0"/>
    </xf>
    <xf numFmtId="0" fontId="4" fillId="2" borderId="19" xfId="0" applyFont="1" applyFill="1" applyBorder="1"/>
    <xf numFmtId="164" fontId="4" fillId="4" borderId="22" xfId="1" applyNumberFormat="1" applyFont="1" applyFill="1" applyBorder="1" applyAlignment="1" applyProtection="1">
      <alignment horizontal="left"/>
    </xf>
    <xf numFmtId="166" fontId="4" fillId="2" borderId="0" xfId="0" applyNumberFormat="1" applyFont="1" applyFill="1"/>
    <xf numFmtId="164" fontId="6" fillId="4" borderId="24" xfId="1" applyNumberFormat="1" applyFont="1" applyFill="1" applyBorder="1" applyProtection="1">
      <protection locked="0"/>
    </xf>
    <xf numFmtId="164" fontId="6" fillId="4" borderId="25" xfId="1" applyNumberFormat="1" applyFont="1" applyFill="1" applyBorder="1" applyProtection="1">
      <protection locked="0"/>
    </xf>
    <xf numFmtId="164" fontId="6" fillId="4" borderId="26" xfId="1" applyNumberFormat="1" applyFont="1" applyFill="1" applyBorder="1" applyProtection="1">
      <protection locked="0"/>
    </xf>
    <xf numFmtId="164" fontId="6" fillId="4" borderId="27" xfId="1" applyNumberFormat="1" applyFont="1" applyFill="1" applyBorder="1" applyProtection="1">
      <protection locked="0"/>
    </xf>
    <xf numFmtId="167" fontId="6" fillId="4" borderId="26" xfId="1" applyNumberFormat="1" applyFont="1" applyFill="1" applyBorder="1" applyProtection="1">
      <protection locked="0"/>
    </xf>
    <xf numFmtId="167" fontId="6" fillId="4" borderId="27" xfId="1" applyNumberFormat="1" applyFont="1" applyFill="1" applyBorder="1" applyProtection="1">
      <protection locked="0"/>
    </xf>
    <xf numFmtId="168" fontId="6" fillId="4" borderId="26" xfId="1" applyNumberFormat="1" applyFont="1" applyFill="1" applyBorder="1" applyProtection="1">
      <protection locked="0"/>
    </xf>
    <xf numFmtId="168" fontId="6" fillId="4" borderId="27" xfId="1" applyNumberFormat="1" applyFont="1" applyFill="1" applyBorder="1" applyProtection="1">
      <protection locked="0"/>
    </xf>
    <xf numFmtId="164" fontId="6" fillId="4" borderId="28" xfId="1" applyNumberFormat="1" applyFont="1" applyFill="1" applyBorder="1" applyProtection="1">
      <protection locked="0"/>
    </xf>
    <xf numFmtId="164" fontId="6" fillId="4" borderId="29" xfId="1" applyNumberFormat="1" applyFont="1" applyFill="1" applyBorder="1" applyProtection="1">
      <protection locked="0"/>
    </xf>
    <xf numFmtId="0" fontId="4" fillId="4" borderId="24" xfId="0" applyFont="1" applyFill="1" applyBorder="1" applyProtection="1">
      <protection locked="0"/>
    </xf>
    <xf numFmtId="0" fontId="4" fillId="4" borderId="30" xfId="0" applyFont="1" applyFill="1" applyBorder="1" applyProtection="1">
      <protection locked="0"/>
    </xf>
    <xf numFmtId="0" fontId="4" fillId="4" borderId="25" xfId="0" applyFont="1" applyFill="1" applyBorder="1" applyProtection="1">
      <protection locked="0"/>
    </xf>
    <xf numFmtId="0" fontId="4" fillId="4" borderId="26" xfId="0" applyFont="1" applyFill="1" applyBorder="1" applyProtection="1">
      <protection locked="0"/>
    </xf>
    <xf numFmtId="0" fontId="4" fillId="4" borderId="27" xfId="0" applyFont="1" applyFill="1" applyBorder="1" applyProtection="1">
      <protection locked="0"/>
    </xf>
    <xf numFmtId="0" fontId="4" fillId="4" borderId="28" xfId="0" applyFont="1" applyFill="1" applyBorder="1" applyProtection="1">
      <protection locked="0"/>
    </xf>
    <xf numFmtId="0" fontId="4" fillId="4" borderId="31" xfId="0" applyFont="1" applyFill="1" applyBorder="1" applyProtection="1">
      <protection locked="0"/>
    </xf>
    <xf numFmtId="0" fontId="4" fillId="4" borderId="29" xfId="0" applyFont="1" applyFill="1" applyBorder="1" applyProtection="1">
      <protection locked="0"/>
    </xf>
    <xf numFmtId="0" fontId="6" fillId="3" borderId="0" xfId="0" applyFont="1" applyFill="1"/>
    <xf numFmtId="3" fontId="6" fillId="4" borderId="26" xfId="1" applyNumberFormat="1" applyFont="1" applyFill="1" applyBorder="1" applyProtection="1">
      <protection locked="0"/>
    </xf>
    <xf numFmtId="3" fontId="6" fillId="4" borderId="27" xfId="1" applyNumberFormat="1" applyFont="1" applyFill="1" applyBorder="1" applyProtection="1">
      <protection locked="0"/>
    </xf>
    <xf numFmtId="1" fontId="6" fillId="2" borderId="0" xfId="1" applyNumberFormat="1" applyFont="1" applyFill="1" applyBorder="1" applyProtection="1"/>
    <xf numFmtId="1" fontId="4" fillId="2" borderId="0" xfId="0" applyNumberFormat="1" applyFont="1" applyFill="1"/>
    <xf numFmtId="1" fontId="6" fillId="2" borderId="20" xfId="0" applyNumberFormat="1" applyFont="1" applyFill="1" applyBorder="1"/>
    <xf numFmtId="2" fontId="4" fillId="2" borderId="0" xfId="0" applyNumberFormat="1" applyFont="1" applyFill="1"/>
    <xf numFmtId="2" fontId="6" fillId="2" borderId="0" xfId="1" applyNumberFormat="1" applyFont="1" applyFill="1" applyBorder="1" applyProtection="1"/>
    <xf numFmtId="2" fontId="6" fillId="2" borderId="20" xfId="0" applyNumberFormat="1" applyFont="1" applyFill="1" applyBorder="1"/>
    <xf numFmtId="169" fontId="6" fillId="2" borderId="0" xfId="1" applyNumberFormat="1" applyFont="1" applyFill="1" applyBorder="1" applyProtection="1"/>
    <xf numFmtId="170" fontId="6" fillId="2" borderId="0" xfId="1" applyNumberFormat="1" applyFont="1" applyFill="1" applyBorder="1" applyProtection="1"/>
    <xf numFmtId="164" fontId="6" fillId="5" borderId="26" xfId="1" applyNumberFormat="1" applyFont="1" applyFill="1" applyBorder="1" applyProtection="1">
      <protection locked="0"/>
    </xf>
    <xf numFmtId="164" fontId="6" fillId="5" borderId="27" xfId="1" applyNumberFormat="1" applyFont="1" applyFill="1" applyBorder="1" applyProtection="1">
      <protection locked="0"/>
    </xf>
    <xf numFmtId="167" fontId="6" fillId="5" borderId="26" xfId="1" applyNumberFormat="1" applyFont="1" applyFill="1" applyBorder="1" applyProtection="1">
      <protection locked="0"/>
    </xf>
    <xf numFmtId="167" fontId="6" fillId="5" borderId="27" xfId="1" applyNumberFormat="1" applyFont="1" applyFill="1" applyBorder="1" applyProtection="1">
      <protection locked="0"/>
    </xf>
    <xf numFmtId="164" fontId="6" fillId="5" borderId="28" xfId="1" applyNumberFormat="1" applyFont="1" applyFill="1" applyBorder="1" applyProtection="1">
      <protection locked="0"/>
    </xf>
    <xf numFmtId="164" fontId="6" fillId="5" borderId="29" xfId="1" applyNumberFormat="1" applyFont="1" applyFill="1" applyBorder="1" applyProtection="1">
      <protection locked="0"/>
    </xf>
    <xf numFmtId="169" fontId="6" fillId="2" borderId="20" xfId="0" applyNumberFormat="1" applyFont="1" applyFill="1" applyBorder="1"/>
    <xf numFmtId="170" fontId="6" fillId="2" borderId="20" xfId="0" applyNumberFormat="1" applyFont="1" applyFill="1" applyBorder="1"/>
    <xf numFmtId="171" fontId="6" fillId="4" borderId="26" xfId="1" applyNumberFormat="1" applyFont="1" applyFill="1" applyBorder="1" applyProtection="1">
      <protection locked="0"/>
    </xf>
    <xf numFmtId="172" fontId="6" fillId="4" borderId="26" xfId="1" applyNumberFormat="1" applyFont="1" applyFill="1" applyBorder="1" applyProtection="1">
      <protection locked="0"/>
    </xf>
    <xf numFmtId="0" fontId="4" fillId="2" borderId="32" xfId="0" applyFont="1" applyFill="1" applyBorder="1"/>
    <xf numFmtId="164" fontId="4" fillId="2" borderId="32" xfId="0" applyNumberFormat="1" applyFont="1" applyFill="1" applyBorder="1"/>
    <xf numFmtId="0" fontId="4" fillId="2" borderId="33" xfId="0" applyFont="1" applyFill="1" applyBorder="1"/>
    <xf numFmtId="0" fontId="4" fillId="2" borderId="34" xfId="0" applyFont="1" applyFill="1" applyBorder="1"/>
    <xf numFmtId="0" fontId="4" fillId="2" borderId="35" xfId="0" applyFont="1" applyFill="1" applyBorder="1"/>
    <xf numFmtId="0" fontId="4" fillId="2" borderId="36" xfId="0" applyFont="1" applyFill="1" applyBorder="1"/>
    <xf numFmtId="0" fontId="4" fillId="2" borderId="37" xfId="0" applyFont="1" applyFill="1" applyBorder="1"/>
    <xf numFmtId="0" fontId="4" fillId="2" borderId="38" xfId="0" applyFont="1" applyFill="1" applyBorder="1"/>
    <xf numFmtId="164" fontId="4" fillId="2" borderId="39" xfId="0" applyNumberFormat="1" applyFont="1" applyFill="1" applyBorder="1"/>
    <xf numFmtId="0" fontId="4" fillId="2" borderId="39" xfId="0" applyFont="1" applyFill="1" applyBorder="1"/>
    <xf numFmtId="0" fontId="4" fillId="2" borderId="40" xfId="0" applyFont="1" applyFill="1" applyBorder="1"/>
    <xf numFmtId="4" fontId="6" fillId="4" borderId="27" xfId="1" applyNumberFormat="1" applyFont="1" applyFill="1" applyBorder="1" applyProtection="1">
      <protection locked="0"/>
    </xf>
    <xf numFmtId="4" fontId="6" fillId="4" borderId="26" xfId="1" applyNumberFormat="1" applyFont="1" applyFill="1" applyBorder="1" applyProtection="1">
      <protection locked="0"/>
    </xf>
    <xf numFmtId="0" fontId="10" fillId="3" borderId="0" xfId="0" applyFont="1" applyFill="1"/>
    <xf numFmtId="9" fontId="4" fillId="2" borderId="0" xfId="0" applyNumberFormat="1" applyFont="1" applyFill="1"/>
    <xf numFmtId="0" fontId="11" fillId="2" borderId="0" xfId="0" applyFont="1" applyFill="1"/>
    <xf numFmtId="0" fontId="10" fillId="2" borderId="0" xfId="0" applyFont="1" applyFill="1"/>
    <xf numFmtId="173" fontId="6" fillId="2" borderId="20" xfId="0" applyNumberFormat="1" applyFont="1" applyFill="1" applyBorder="1"/>
    <xf numFmtId="174" fontId="6" fillId="2" borderId="0" xfId="1" applyNumberFormat="1" applyFont="1" applyFill="1" applyBorder="1" applyProtection="1"/>
    <xf numFmtId="0" fontId="8" fillId="2" borderId="41" xfId="0" applyFont="1" applyFill="1" applyBorder="1"/>
    <xf numFmtId="0" fontId="8" fillId="2" borderId="42" xfId="0" applyFont="1" applyFill="1" applyBorder="1"/>
    <xf numFmtId="0" fontId="8" fillId="2" borderId="43" xfId="0" applyFont="1" applyFill="1" applyBorder="1"/>
    <xf numFmtId="0" fontId="4" fillId="2" borderId="44" xfId="0" applyFont="1" applyFill="1" applyBorder="1"/>
    <xf numFmtId="0" fontId="4" fillId="2" borderId="45" xfId="0" applyFont="1" applyFill="1" applyBorder="1"/>
    <xf numFmtId="0" fontId="4" fillId="2" borderId="46" xfId="0" applyFont="1" applyFill="1" applyBorder="1"/>
    <xf numFmtId="0" fontId="4" fillId="2" borderId="47" xfId="0" applyFont="1" applyFill="1" applyBorder="1"/>
    <xf numFmtId="0" fontId="4" fillId="2" borderId="48" xfId="0" applyFont="1" applyFill="1" applyBorder="1"/>
    <xf numFmtId="0" fontId="4" fillId="7" borderId="0" xfId="0" applyFont="1" applyFill="1"/>
    <xf numFmtId="0" fontId="12" fillId="2" borderId="0" xfId="0" applyFont="1" applyFill="1"/>
    <xf numFmtId="0" fontId="4" fillId="2" borderId="0" xfId="0" applyFont="1" applyFill="1" applyAlignment="1">
      <alignment horizontal="center"/>
    </xf>
    <xf numFmtId="0" fontId="13" fillId="2" borderId="0" xfId="2" applyFill="1"/>
    <xf numFmtId="165" fontId="4" fillId="2" borderId="0" xfId="3" applyFont="1" applyFill="1"/>
    <xf numFmtId="166" fontId="4" fillId="2" borderId="0" xfId="1" applyFont="1" applyFill="1" applyBorder="1"/>
    <xf numFmtId="166" fontId="4" fillId="2" borderId="0" xfId="1" applyFont="1" applyFill="1"/>
    <xf numFmtId="174" fontId="4" fillId="2" borderId="0" xfId="0" applyNumberFormat="1" applyFont="1" applyFill="1"/>
    <xf numFmtId="175" fontId="6" fillId="4" borderId="26" xfId="1" applyNumberFormat="1" applyFont="1" applyFill="1" applyBorder="1" applyProtection="1">
      <protection locked="0"/>
    </xf>
    <xf numFmtId="175" fontId="6" fillId="4" borderId="27" xfId="1" applyNumberFormat="1" applyFont="1" applyFill="1" applyBorder="1" applyProtection="1">
      <protection locked="0"/>
    </xf>
    <xf numFmtId="0" fontId="14" fillId="2" borderId="0" xfId="0" applyFont="1" applyFill="1"/>
    <xf numFmtId="0" fontId="15" fillId="2" borderId="0" xfId="0" applyFont="1" applyFill="1"/>
    <xf numFmtId="0" fontId="15" fillId="2" borderId="0" xfId="0" quotePrefix="1" applyFont="1" applyFill="1"/>
    <xf numFmtId="176" fontId="15" fillId="2" borderId="0" xfId="0" applyNumberFormat="1" applyFont="1" applyFill="1"/>
    <xf numFmtId="9" fontId="15" fillId="2" borderId="0" xfId="0" applyNumberFormat="1" applyFont="1" applyFill="1"/>
    <xf numFmtId="9" fontId="15" fillId="2" borderId="0" xfId="0" quotePrefix="1" applyNumberFormat="1" applyFont="1" applyFill="1"/>
    <xf numFmtId="9" fontId="4" fillId="2" borderId="0" xfId="4" applyFont="1" applyFill="1" applyBorder="1"/>
    <xf numFmtId="0" fontId="16" fillId="2" borderId="0" xfId="0" applyFont="1" applyFill="1"/>
    <xf numFmtId="0" fontId="17" fillId="0" borderId="0" xfId="0" applyFont="1"/>
    <xf numFmtId="169" fontId="0" fillId="0" borderId="0" xfId="0" applyNumberFormat="1"/>
    <xf numFmtId="0" fontId="0" fillId="6" borderId="0" xfId="0" applyFill="1"/>
    <xf numFmtId="169" fontId="0" fillId="8" borderId="0" xfId="0" applyNumberFormat="1" applyFill="1"/>
    <xf numFmtId="0" fontId="0" fillId="8" borderId="0" xfId="0" applyFill="1"/>
    <xf numFmtId="0" fontId="17" fillId="9" borderId="0" xfId="0" applyFont="1" applyFill="1"/>
    <xf numFmtId="169" fontId="0" fillId="9" borderId="0" xfId="0" applyNumberFormat="1" applyFill="1"/>
    <xf numFmtId="0" fontId="0" fillId="10" borderId="0" xfId="0" applyFill="1"/>
    <xf numFmtId="0" fontId="17" fillId="12" borderId="0" xfId="0" applyFont="1" applyFill="1"/>
    <xf numFmtId="0" fontId="0" fillId="0" borderId="49" xfId="0" applyBorder="1"/>
    <xf numFmtId="0" fontId="0" fillId="0" borderId="50" xfId="0" applyBorder="1"/>
    <xf numFmtId="0" fontId="0" fillId="0" borderId="51" xfId="0" applyBorder="1"/>
    <xf numFmtId="0" fontId="0" fillId="0" borderId="52" xfId="0" applyBorder="1"/>
    <xf numFmtId="0" fontId="0" fillId="0" borderId="53" xfId="0" applyBorder="1"/>
    <xf numFmtId="0" fontId="0" fillId="0" borderId="54" xfId="0" applyBorder="1"/>
    <xf numFmtId="0" fontId="0" fillId="0" borderId="55" xfId="0" applyBorder="1"/>
    <xf numFmtId="0" fontId="0" fillId="0" borderId="56" xfId="0" applyBorder="1"/>
    <xf numFmtId="0" fontId="18" fillId="0" borderId="0" xfId="0" applyFont="1"/>
    <xf numFmtId="0" fontId="19" fillId="12" borderId="0" xfId="0" applyFont="1" applyFill="1"/>
    <xf numFmtId="0" fontId="18" fillId="0" borderId="49" xfId="0" applyFont="1" applyBorder="1"/>
    <xf numFmtId="0" fontId="18" fillId="0" borderId="50" xfId="0" applyFont="1" applyBorder="1"/>
    <xf numFmtId="0" fontId="18" fillId="0" borderId="51" xfId="0" applyFont="1" applyBorder="1"/>
    <xf numFmtId="0" fontId="18" fillId="0" borderId="52" xfId="0" applyFont="1" applyBorder="1"/>
    <xf numFmtId="0" fontId="18" fillId="0" borderId="53" xfId="0" applyFont="1" applyBorder="1"/>
    <xf numFmtId="0" fontId="18" fillId="0" borderId="54" xfId="0" applyFont="1" applyBorder="1"/>
    <xf numFmtId="0" fontId="18" fillId="0" borderId="55" xfId="0" applyFont="1" applyBorder="1"/>
    <xf numFmtId="0" fontId="18" fillId="0" borderId="56" xfId="0" applyFont="1" applyBorder="1"/>
    <xf numFmtId="0" fontId="4" fillId="13" borderId="0" xfId="0" applyFont="1" applyFill="1"/>
    <xf numFmtId="170" fontId="4" fillId="2" borderId="0" xfId="0" applyNumberFormat="1" applyFont="1" applyFill="1"/>
    <xf numFmtId="0" fontId="4" fillId="14" borderId="0" xfId="0" applyFont="1" applyFill="1"/>
    <xf numFmtId="169" fontId="5" fillId="3" borderId="6" xfId="0" applyNumberFormat="1" applyFont="1" applyFill="1" applyBorder="1"/>
    <xf numFmtId="169" fontId="5" fillId="3" borderId="7" xfId="0" applyNumberFormat="1" applyFont="1" applyFill="1" applyBorder="1"/>
    <xf numFmtId="170" fontId="5" fillId="3" borderId="6" xfId="0" applyNumberFormat="1" applyFont="1" applyFill="1" applyBorder="1"/>
    <xf numFmtId="170" fontId="5" fillId="3" borderId="7" xfId="0" applyNumberFormat="1" applyFont="1" applyFill="1" applyBorder="1"/>
    <xf numFmtId="166" fontId="6" fillId="2" borderId="0" xfId="1" applyFont="1" applyFill="1" applyBorder="1" applyProtection="1"/>
    <xf numFmtId="9" fontId="4" fillId="2" borderId="0" xfId="4" applyFont="1" applyFill="1"/>
    <xf numFmtId="0" fontId="13" fillId="6" borderId="0" xfId="2" applyFill="1"/>
    <xf numFmtId="0" fontId="20" fillId="2" borderId="0" xfId="0" applyFont="1" applyFill="1"/>
    <xf numFmtId="0" fontId="21" fillId="8" borderId="0" xfId="0" applyFont="1" applyFill="1"/>
    <xf numFmtId="0" fontId="0" fillId="2" borderId="0" xfId="0" applyFill="1"/>
    <xf numFmtId="0" fontId="0" fillId="2" borderId="0" xfId="0" applyFill="1" applyAlignment="1">
      <alignment horizontal="center"/>
    </xf>
    <xf numFmtId="2" fontId="0" fillId="2" borderId="0" xfId="0" applyNumberFormat="1" applyFill="1"/>
    <xf numFmtId="177" fontId="0" fillId="2" borderId="0" xfId="0" applyNumberFormat="1" applyFill="1"/>
    <xf numFmtId="0" fontId="17" fillId="2" borderId="0" xfId="0" applyFont="1" applyFill="1"/>
    <xf numFmtId="177" fontId="17" fillId="2" borderId="0" xfId="0" applyNumberFormat="1" applyFont="1" applyFill="1"/>
    <xf numFmtId="0" fontId="0" fillId="2" borderId="58" xfId="0" applyFill="1" applyBorder="1"/>
    <xf numFmtId="0" fontId="22" fillId="2" borderId="0" xfId="0" applyFont="1" applyFill="1"/>
    <xf numFmtId="0" fontId="23" fillId="2" borderId="0" xfId="0" applyFont="1" applyFill="1"/>
    <xf numFmtId="0" fontId="4" fillId="2" borderId="55" xfId="0" applyFont="1" applyFill="1" applyBorder="1"/>
    <xf numFmtId="0" fontId="4" fillId="2" borderId="49" xfId="0" applyFont="1" applyFill="1" applyBorder="1"/>
    <xf numFmtId="0" fontId="4" fillId="2" borderId="50" xfId="0" applyFont="1" applyFill="1" applyBorder="1"/>
    <xf numFmtId="10" fontId="4" fillId="2" borderId="50" xfId="0" applyNumberFormat="1" applyFont="1" applyFill="1" applyBorder="1"/>
    <xf numFmtId="0" fontId="4" fillId="2" borderId="51" xfId="0" applyFont="1" applyFill="1" applyBorder="1"/>
    <xf numFmtId="0" fontId="4" fillId="2" borderId="52" xfId="0" applyFont="1" applyFill="1" applyBorder="1"/>
    <xf numFmtId="0" fontId="4" fillId="2" borderId="53" xfId="0" applyFont="1" applyFill="1" applyBorder="1"/>
    <xf numFmtId="0" fontId="4" fillId="2" borderId="54" xfId="0" applyFont="1" applyFill="1" applyBorder="1"/>
    <xf numFmtId="0" fontId="4" fillId="2" borderId="56" xfId="0" applyFont="1" applyFill="1" applyBorder="1"/>
    <xf numFmtId="9" fontId="4" fillId="2" borderId="52" xfId="4" applyFont="1" applyFill="1" applyBorder="1"/>
    <xf numFmtId="0" fontId="4" fillId="2" borderId="59" xfId="0" applyFont="1" applyFill="1" applyBorder="1"/>
    <xf numFmtId="0" fontId="4" fillId="2" borderId="60" xfId="0" applyFont="1" applyFill="1" applyBorder="1"/>
    <xf numFmtId="0" fontId="4" fillId="2" borderId="61" xfId="0" applyFont="1" applyFill="1" applyBorder="1"/>
    <xf numFmtId="166" fontId="4" fillId="2" borderId="53" xfId="1" applyFont="1" applyFill="1" applyBorder="1"/>
    <xf numFmtId="9" fontId="0" fillId="2" borderId="0" xfId="4" applyFont="1" applyFill="1"/>
    <xf numFmtId="9" fontId="0" fillId="2" borderId="0" xfId="0" applyNumberFormat="1" applyFill="1"/>
    <xf numFmtId="0" fontId="4" fillId="7" borderId="50" xfId="0" applyFont="1" applyFill="1" applyBorder="1"/>
    <xf numFmtId="0" fontId="4" fillId="7" borderId="51" xfId="0" applyFont="1" applyFill="1" applyBorder="1"/>
    <xf numFmtId="0" fontId="4" fillId="7" borderId="53" xfId="0" applyFont="1" applyFill="1" applyBorder="1"/>
    <xf numFmtId="0" fontId="4" fillId="7" borderId="55" xfId="0" applyFont="1" applyFill="1" applyBorder="1"/>
    <xf numFmtId="0" fontId="4" fillId="7" borderId="56" xfId="0" applyFont="1" applyFill="1" applyBorder="1"/>
    <xf numFmtId="0" fontId="4" fillId="15" borderId="0" xfId="0" applyFont="1" applyFill="1"/>
    <xf numFmtId="0" fontId="4" fillId="15" borderId="45" xfId="0" applyFont="1" applyFill="1" applyBorder="1"/>
    <xf numFmtId="0" fontId="4" fillId="15" borderId="44" xfId="0" applyFont="1" applyFill="1" applyBorder="1"/>
    <xf numFmtId="0" fontId="8" fillId="11" borderId="62" xfId="0" applyFont="1" applyFill="1" applyBorder="1"/>
    <xf numFmtId="0" fontId="8" fillId="11" borderId="63" xfId="0" applyFont="1" applyFill="1" applyBorder="1"/>
    <xf numFmtId="0" fontId="8" fillId="11" borderId="64" xfId="0" applyFont="1" applyFill="1" applyBorder="1"/>
    <xf numFmtId="2" fontId="4" fillId="2" borderId="0" xfId="0" applyNumberFormat="1" applyFont="1" applyFill="1" applyAlignment="1">
      <alignment horizontal="center"/>
    </xf>
    <xf numFmtId="0" fontId="4" fillId="2" borderId="0" xfId="0" applyFont="1" applyFill="1" applyAlignment="1">
      <alignment horizontal="center"/>
    </xf>
    <xf numFmtId="0" fontId="0" fillId="2" borderId="0" xfId="0" applyFill="1" applyAlignment="1">
      <alignment horizontal="center"/>
    </xf>
    <xf numFmtId="0" fontId="0" fillId="2" borderId="58" xfId="0" applyFill="1" applyBorder="1" applyAlignment="1">
      <alignment horizontal="center"/>
    </xf>
    <xf numFmtId="0" fontId="0" fillId="2" borderId="57" xfId="0" applyFill="1" applyBorder="1" applyAlignment="1">
      <alignment horizontal="center"/>
    </xf>
  </cellXfs>
  <cellStyles count="5">
    <cellStyle name="Comma" xfId="1" builtinId="3"/>
    <cellStyle name="Currency" xfId="3" builtinId="4"/>
    <cellStyle name="Hyperlink" xfId="2" builtinId="8"/>
    <cellStyle name="Normal" xfId="0" builtinId="0"/>
    <cellStyle name="Percent" xfId="4" builtinId="5"/>
  </cellStyles>
  <dxfs count="48">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ill>
        <patternFill patternType="solid">
          <fgColor indexed="64"/>
          <bgColor theme="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99.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100.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101.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102.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103.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104.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105.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_rels/chart106.xml.rels><?xml version="1.0" encoding="UTF-8" standalone="yes"?>
<Relationships xmlns="http://schemas.openxmlformats.org/package/2006/relationships"><Relationship Id="rId2" Type="http://schemas.microsoft.com/office/2011/relationships/chartColorStyle" Target="colors106.xml"/><Relationship Id="rId1" Type="http://schemas.microsoft.com/office/2011/relationships/chartStyle" Target="style106.xml"/></Relationships>
</file>

<file path=xl/charts/_rels/chart107.xml.rels><?xml version="1.0" encoding="UTF-8" standalone="yes"?>
<Relationships xmlns="http://schemas.openxmlformats.org/package/2006/relationships"><Relationship Id="rId2" Type="http://schemas.microsoft.com/office/2011/relationships/chartColorStyle" Target="colors107.xml"/><Relationship Id="rId1" Type="http://schemas.microsoft.com/office/2011/relationships/chartStyle" Target="style107.xml"/></Relationships>
</file>

<file path=xl/charts/_rels/chart108.xml.rels><?xml version="1.0" encoding="UTF-8" standalone="yes"?>
<Relationships xmlns="http://schemas.openxmlformats.org/package/2006/relationships"><Relationship Id="rId2" Type="http://schemas.microsoft.com/office/2011/relationships/chartColorStyle" Target="colors108.xml"/><Relationship Id="rId1" Type="http://schemas.microsoft.com/office/2011/relationships/chartStyle" Target="style108.xml"/></Relationships>
</file>

<file path=xl/charts/_rels/chart109.xml.rels><?xml version="1.0" encoding="UTF-8" standalone="yes"?>
<Relationships xmlns="http://schemas.openxmlformats.org/package/2006/relationships"><Relationship Id="rId2" Type="http://schemas.microsoft.com/office/2011/relationships/chartColorStyle" Target="colors109.xml"/><Relationship Id="rId1" Type="http://schemas.microsoft.com/office/2011/relationships/chartStyle" Target="style109.xml"/></Relationships>
</file>

<file path=xl/charts/_rels/chart110.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_rels/chart111.xml.rels><?xml version="1.0" encoding="UTF-8" standalone="yes"?>
<Relationships xmlns="http://schemas.openxmlformats.org/package/2006/relationships"><Relationship Id="rId2" Type="http://schemas.microsoft.com/office/2011/relationships/chartColorStyle" Target="colors111.xml"/><Relationship Id="rId1" Type="http://schemas.microsoft.com/office/2011/relationships/chartStyle" Target="style111.xml"/></Relationships>
</file>

<file path=xl/charts/_rels/chart112.xml.rels><?xml version="1.0" encoding="UTF-8" standalone="yes"?>
<Relationships xmlns="http://schemas.openxmlformats.org/package/2006/relationships"><Relationship Id="rId2" Type="http://schemas.microsoft.com/office/2011/relationships/chartColorStyle" Target="colors112.xml"/><Relationship Id="rId1" Type="http://schemas.microsoft.com/office/2011/relationships/chartStyle" Target="style112.xml"/></Relationships>
</file>

<file path=xl/charts/_rels/chart113.xml.rels><?xml version="1.0" encoding="UTF-8" standalone="yes"?>
<Relationships xmlns="http://schemas.openxmlformats.org/package/2006/relationships"><Relationship Id="rId2" Type="http://schemas.microsoft.com/office/2011/relationships/chartColorStyle" Target="colors113.xml"/><Relationship Id="rId1" Type="http://schemas.microsoft.com/office/2011/relationships/chartStyle" Target="style113.xml"/></Relationships>
</file>

<file path=xl/charts/_rels/chart114.xml.rels><?xml version="1.0" encoding="UTF-8" standalone="yes"?>
<Relationships xmlns="http://schemas.openxmlformats.org/package/2006/relationships"><Relationship Id="rId2" Type="http://schemas.microsoft.com/office/2011/relationships/chartColorStyle" Target="colors114.xml"/><Relationship Id="rId1" Type="http://schemas.microsoft.com/office/2011/relationships/chartStyle" Target="style114.xml"/></Relationships>
</file>

<file path=xl/charts/_rels/chart115.xml.rels><?xml version="1.0" encoding="UTF-8" standalone="yes"?>
<Relationships xmlns="http://schemas.openxmlformats.org/package/2006/relationships"><Relationship Id="rId2" Type="http://schemas.microsoft.com/office/2011/relationships/chartColorStyle" Target="colors115.xml"/><Relationship Id="rId1" Type="http://schemas.microsoft.com/office/2011/relationships/chartStyle" Target="style115.xml"/></Relationships>
</file>

<file path=xl/charts/_rels/chart116.xml.rels><?xml version="1.0" encoding="UTF-8" standalone="yes"?>
<Relationships xmlns="http://schemas.openxmlformats.org/package/2006/relationships"><Relationship Id="rId2" Type="http://schemas.microsoft.com/office/2011/relationships/chartColorStyle" Target="colors116.xml"/><Relationship Id="rId1" Type="http://schemas.microsoft.com/office/2011/relationships/chartStyle" Target="style116.xml"/></Relationships>
</file>

<file path=xl/charts/_rels/chart117.xml.rels><?xml version="1.0" encoding="UTF-8" standalone="yes"?>
<Relationships xmlns="http://schemas.openxmlformats.org/package/2006/relationships"><Relationship Id="rId2" Type="http://schemas.microsoft.com/office/2011/relationships/chartColorStyle" Target="colors117.xml"/><Relationship Id="rId1" Type="http://schemas.microsoft.com/office/2011/relationships/chartStyle" Target="style117.xml"/></Relationships>
</file>

<file path=xl/charts/_rels/chart118.xml.rels><?xml version="1.0" encoding="UTF-8" standalone="yes"?>
<Relationships xmlns="http://schemas.openxmlformats.org/package/2006/relationships"><Relationship Id="rId2" Type="http://schemas.microsoft.com/office/2011/relationships/chartColorStyle" Target="colors118.xml"/><Relationship Id="rId1" Type="http://schemas.microsoft.com/office/2011/relationships/chartStyle" Target="style118.xml"/></Relationships>
</file>

<file path=xl/charts/_rels/chart119.xml.rels><?xml version="1.0" encoding="UTF-8" standalone="yes"?>
<Relationships xmlns="http://schemas.openxmlformats.org/package/2006/relationships"><Relationship Id="rId2" Type="http://schemas.microsoft.com/office/2011/relationships/chartColorStyle" Target="colors119.xml"/><Relationship Id="rId1" Type="http://schemas.microsoft.com/office/2011/relationships/chartStyle" Target="style119.xml"/></Relationships>
</file>

<file path=xl/charts/_rels/chart120.xml.rels><?xml version="1.0" encoding="UTF-8" standalone="yes"?>
<Relationships xmlns="http://schemas.openxmlformats.org/package/2006/relationships"><Relationship Id="rId2" Type="http://schemas.microsoft.com/office/2011/relationships/chartColorStyle" Target="colors120.xml"/><Relationship Id="rId1" Type="http://schemas.microsoft.com/office/2011/relationships/chartStyle" Target="style120.xml"/></Relationships>
</file>

<file path=xl/charts/_rels/chart121.xml.rels><?xml version="1.0" encoding="UTF-8" standalone="yes"?>
<Relationships xmlns="http://schemas.openxmlformats.org/package/2006/relationships"><Relationship Id="rId2" Type="http://schemas.microsoft.com/office/2011/relationships/chartColorStyle" Target="colors121.xml"/><Relationship Id="rId1" Type="http://schemas.microsoft.com/office/2011/relationships/chartStyle" Target="style121.xml"/></Relationships>
</file>

<file path=xl/charts/_rels/chart122.xml.rels><?xml version="1.0" encoding="UTF-8" standalone="yes"?>
<Relationships xmlns="http://schemas.openxmlformats.org/package/2006/relationships"><Relationship Id="rId2" Type="http://schemas.microsoft.com/office/2011/relationships/chartColorStyle" Target="colors122.xml"/><Relationship Id="rId1" Type="http://schemas.microsoft.com/office/2011/relationships/chartStyle" Target="style122.xml"/></Relationships>
</file>

<file path=xl/charts/_rels/chart123.xml.rels><?xml version="1.0" encoding="UTF-8" standalone="yes"?>
<Relationships xmlns="http://schemas.openxmlformats.org/package/2006/relationships"><Relationship Id="rId2" Type="http://schemas.microsoft.com/office/2011/relationships/chartColorStyle" Target="colors123.xml"/><Relationship Id="rId1" Type="http://schemas.microsoft.com/office/2011/relationships/chartStyle" Target="style123.xml"/></Relationships>
</file>

<file path=xl/charts/_rels/chart124.xml.rels><?xml version="1.0" encoding="UTF-8" standalone="yes"?>
<Relationships xmlns="http://schemas.openxmlformats.org/package/2006/relationships"><Relationship Id="rId2" Type="http://schemas.microsoft.com/office/2011/relationships/chartColorStyle" Target="colors124.xml"/><Relationship Id="rId1" Type="http://schemas.microsoft.com/office/2011/relationships/chartStyle" Target="style124.xml"/></Relationships>
</file>

<file path=xl/charts/_rels/chart125.xml.rels><?xml version="1.0" encoding="UTF-8" standalone="yes"?>
<Relationships xmlns="http://schemas.openxmlformats.org/package/2006/relationships"><Relationship Id="rId2" Type="http://schemas.microsoft.com/office/2011/relationships/chartColorStyle" Target="colors125.xml"/><Relationship Id="rId1" Type="http://schemas.microsoft.com/office/2011/relationships/chartStyle" Target="style125.xml"/></Relationships>
</file>

<file path=xl/charts/_rels/chart126.xml.rels><?xml version="1.0" encoding="UTF-8" standalone="yes"?>
<Relationships xmlns="http://schemas.openxmlformats.org/package/2006/relationships"><Relationship Id="rId2" Type="http://schemas.microsoft.com/office/2011/relationships/chartColorStyle" Target="colors126.xml"/><Relationship Id="rId1" Type="http://schemas.microsoft.com/office/2011/relationships/chartStyle" Target="style126.xml"/></Relationships>
</file>

<file path=xl/charts/_rels/chart127.xml.rels><?xml version="1.0" encoding="UTF-8" standalone="yes"?>
<Relationships xmlns="http://schemas.openxmlformats.org/package/2006/relationships"><Relationship Id="rId2" Type="http://schemas.microsoft.com/office/2011/relationships/chartColorStyle" Target="colors127.xml"/><Relationship Id="rId1" Type="http://schemas.microsoft.com/office/2011/relationships/chartStyle" Target="style127.xml"/></Relationships>
</file>

<file path=xl/charts/_rels/chart128.xml.rels><?xml version="1.0" encoding="UTF-8" standalone="yes"?>
<Relationships xmlns="http://schemas.openxmlformats.org/package/2006/relationships"><Relationship Id="rId2" Type="http://schemas.microsoft.com/office/2011/relationships/chartColorStyle" Target="colors128.xml"/><Relationship Id="rId1" Type="http://schemas.microsoft.com/office/2011/relationships/chartStyle" Target="style128.xml"/></Relationships>
</file>

<file path=xl/charts/_rels/chart129.xml.rels><?xml version="1.0" encoding="UTF-8" standalone="yes"?>
<Relationships xmlns="http://schemas.openxmlformats.org/package/2006/relationships"><Relationship Id="rId2" Type="http://schemas.microsoft.com/office/2011/relationships/chartColorStyle" Target="colors129.xml"/><Relationship Id="rId1" Type="http://schemas.microsoft.com/office/2011/relationships/chartStyle" Target="style1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Diesel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'Semi-trailer truck (Diesel)'!$A$1</c:f>
              <c:strCache>
                <c:ptCount val="1"/>
                <c:pt idx="0">
                  <c:v>Road long-haul: Dry bulk</c:v>
                </c:pt>
              </c:strCache>
            </c:strRef>
          </c:tx>
          <c:spPr>
            <a:ln w="28575" cap="rnd">
              <a:solidFill>
                <a:schemeClr val="accent1"/>
              </a:solidFill>
              <a:round/>
            </a:ln>
            <a:effectLst/>
          </c:spPr>
          <c:marker>
            <c:symbol val="none"/>
          </c:marker>
          <c:cat>
            <c:numRef>
              <c:f>'Semi-trailer truck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(Diesel)'!$B$85:$AC$85</c:f>
              <c:numCache>
                <c:formatCode>0.00</c:formatCode>
                <c:ptCount val="28"/>
                <c:pt idx="0">
                  <c:v>0.17432142531422026</c:v>
                </c:pt>
                <c:pt idx="1">
                  <c:v>0.17433365065782694</c:v>
                </c:pt>
                <c:pt idx="2">
                  <c:v>0.17435112454484217</c:v>
                </c:pt>
                <c:pt idx="3">
                  <c:v>0.17437606675605405</c:v>
                </c:pt>
                <c:pt idx="4">
                  <c:v>0.17441159952932125</c:v>
                </c:pt>
                <c:pt idx="5">
                  <c:v>0.17446207640959613</c:v>
                </c:pt>
                <c:pt idx="6">
                  <c:v>0.17453349332871268</c:v>
                </c:pt>
                <c:pt idx="7">
                  <c:v>0.17463396760271724</c:v>
                </c:pt>
                <c:pt idx="8">
                  <c:v>0.17477423553834567</c:v>
                </c:pt>
                <c:pt idx="9">
                  <c:v>0.17496806649289301</c:v>
                </c:pt>
                <c:pt idx="10">
                  <c:v>0.17523241900905381</c:v>
                </c:pt>
                <c:pt idx="11">
                  <c:v>0.17558705100643024</c:v>
                </c:pt>
                <c:pt idx="12">
                  <c:v>0.17605307525377722</c:v>
                </c:pt>
                <c:pt idx="13">
                  <c:v>0.17664961102915699</c:v>
                </c:pt>
                <c:pt idx="14">
                  <c:v>0.17738760816198063</c:v>
                </c:pt>
                <c:pt idx="15">
                  <c:v>0.17826109384283756</c:v>
                </c:pt>
                <c:pt idx="16">
                  <c:v>0.17923912556741567</c:v>
                </c:pt>
                <c:pt idx="17">
                  <c:v>0.18026475202024161</c:v>
                </c:pt>
                <c:pt idx="18">
                  <c:v>0.18126579829957692</c:v>
                </c:pt>
                <c:pt idx="19">
                  <c:v>0.18217449647946943</c:v>
                </c:pt>
                <c:pt idx="20">
                  <c:v>0.18294535619467855</c:v>
                </c:pt>
                <c:pt idx="21">
                  <c:v>0.18356195177344892</c:v>
                </c:pt>
                <c:pt idx="22">
                  <c:v>0.18403208234907178</c:v>
                </c:pt>
                <c:pt idx="23">
                  <c:v>0.18437749328360575</c:v>
                </c:pt>
                <c:pt idx="24">
                  <c:v>0.18462437578031804</c:v>
                </c:pt>
                <c:pt idx="25">
                  <c:v>0.1847973662285208</c:v>
                </c:pt>
                <c:pt idx="26">
                  <c:v>0.18491689594158403</c:v>
                </c:pt>
                <c:pt idx="27">
                  <c:v>0.18499868818419896</c:v>
                </c:pt>
              </c:numCache>
            </c:numRef>
          </c:val>
          <c:smooth val="0"/>
          <c:extLst>
            <c:ext xmlns:c16="http://schemas.microsoft.com/office/drawing/2014/chart" uri="{C3380CC4-5D6E-409C-BE32-E72D297353CC}">
              <c16:uniqueId val="{00000000-A69E-4734-B35F-7445C5BFD2B4}"/>
            </c:ext>
          </c:extLst>
        </c:ser>
        <c:ser>
          <c:idx val="1"/>
          <c:order val="1"/>
          <c:tx>
            <c:strRef>
              <c:f>'Semi-trailer truck (Diesel)'!$A$107</c:f>
              <c:strCache>
                <c:ptCount val="1"/>
                <c:pt idx="0">
                  <c:v>Road long-haul: Liquid bulk</c:v>
                </c:pt>
              </c:strCache>
            </c:strRef>
          </c:tx>
          <c:spPr>
            <a:ln w="28575" cap="rnd">
              <a:solidFill>
                <a:schemeClr val="accent2"/>
              </a:solidFill>
              <a:round/>
            </a:ln>
            <a:effectLst/>
          </c:spPr>
          <c:marker>
            <c:symbol val="none"/>
          </c:marker>
          <c:cat>
            <c:numRef>
              <c:f>'Semi-trailer truck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(Diesel)'!$B$191:$AC$191</c:f>
              <c:numCache>
                <c:formatCode>0.00</c:formatCode>
                <c:ptCount val="28"/>
                <c:pt idx="0">
                  <c:v>9.2483578780588382E-2</c:v>
                </c:pt>
                <c:pt idx="1">
                  <c:v>9.2484448873720149E-2</c:v>
                </c:pt>
                <c:pt idx="2">
                  <c:v>9.2485785476404098E-2</c:v>
                </c:pt>
                <c:pt idx="3">
                  <c:v>9.2487888618026648E-2</c:v>
                </c:pt>
                <c:pt idx="4">
                  <c:v>9.2491291454801255E-2</c:v>
                </c:pt>
                <c:pt idx="5">
                  <c:v>9.2496961881493672E-2</c:v>
                </c:pt>
                <c:pt idx="6">
                  <c:v>9.2506673953385923E-2</c:v>
                </c:pt>
                <c:pt idx="7">
                  <c:v>9.2523661326315246E-2</c:v>
                </c:pt>
                <c:pt idx="8">
                  <c:v>9.2553679672592454E-2</c:v>
                </c:pt>
                <c:pt idx="9">
                  <c:v>9.2606521504203398E-2</c:v>
                </c:pt>
                <c:pt idx="10">
                  <c:v>9.2697721003106179E-2</c:v>
                </c:pt>
                <c:pt idx="11">
                  <c:v>9.2849592488363095E-2</c:v>
                </c:pt>
                <c:pt idx="12">
                  <c:v>9.3090108207128958E-2</c:v>
                </c:pt>
                <c:pt idx="13">
                  <c:v>9.3448112788274904E-2</c:v>
                </c:pt>
                <c:pt idx="14">
                  <c:v>9.3944600272959089E-2</c:v>
                </c:pt>
                <c:pt idx="15">
                  <c:v>9.458205049318652E-2</c:v>
                </c:pt>
                <c:pt idx="16">
                  <c:v>9.5336244319527183E-2</c:v>
                </c:pt>
                <c:pt idx="17">
                  <c:v>9.6156154416509654E-2</c:v>
                </c:pt>
                <c:pt idx="18">
                  <c:v>9.6975091603180935E-2</c:v>
                </c:pt>
                <c:pt idx="19">
                  <c:v>9.7729463844833775E-2</c:v>
                </c:pt>
                <c:pt idx="20">
                  <c:v>9.8375414307220743E-2</c:v>
                </c:pt>
                <c:pt idx="21">
                  <c:v>9.8895204397915812E-2</c:v>
                </c:pt>
                <c:pt idx="22">
                  <c:v>9.9293065717179468E-2</c:v>
                </c:pt>
                <c:pt idx="23">
                  <c:v>9.958612123096032E-2</c:v>
                </c:pt>
                <c:pt idx="24">
                  <c:v>9.97959320519239E-2</c:v>
                </c:pt>
                <c:pt idx="25">
                  <c:v>9.9943108501691705E-2</c:v>
                </c:pt>
                <c:pt idx="26">
                  <c:v>0.10004487618390698</c:v>
                </c:pt>
                <c:pt idx="27">
                  <c:v>0.10011454810323749</c:v>
                </c:pt>
              </c:numCache>
            </c:numRef>
          </c:val>
          <c:smooth val="0"/>
          <c:extLst>
            <c:ext xmlns:c16="http://schemas.microsoft.com/office/drawing/2014/chart" uri="{C3380CC4-5D6E-409C-BE32-E72D297353CC}">
              <c16:uniqueId val="{00000001-A69E-4734-B35F-7445C5BFD2B4}"/>
            </c:ext>
          </c:extLst>
        </c:ser>
        <c:ser>
          <c:idx val="2"/>
          <c:order val="2"/>
          <c:tx>
            <c:strRef>
              <c:f>'Semi-trailer truck (Diesel)'!$A$215</c:f>
              <c:strCache>
                <c:ptCount val="1"/>
                <c:pt idx="0">
                  <c:v>Road long-haul: Container</c:v>
                </c:pt>
              </c:strCache>
            </c:strRef>
          </c:tx>
          <c:spPr>
            <a:ln w="28575" cap="rnd">
              <a:solidFill>
                <a:schemeClr val="accent3"/>
              </a:solidFill>
              <a:round/>
            </a:ln>
            <a:effectLst/>
          </c:spPr>
          <c:marker>
            <c:symbol val="none"/>
          </c:marker>
          <c:cat>
            <c:numRef>
              <c:f>'Semi-trailer truck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(Diesel)'!$B$299:$AC$299</c:f>
              <c:numCache>
                <c:formatCode>0.00</c:formatCode>
                <c:ptCount val="28"/>
                <c:pt idx="0">
                  <c:v>9.729803398974507E-2</c:v>
                </c:pt>
                <c:pt idx="1">
                  <c:v>9.7299430215250227E-2</c:v>
                </c:pt>
                <c:pt idx="2">
                  <c:v>9.7301518250272223E-2</c:v>
                </c:pt>
                <c:pt idx="3">
                  <c:v>9.7304692772869045E-2</c:v>
                </c:pt>
                <c:pt idx="4">
                  <c:v>9.7309619377197051E-2</c:v>
                </c:pt>
                <c:pt idx="5">
                  <c:v>9.7317449230816352E-2</c:v>
                </c:pt>
                <c:pt idx="6">
                  <c:v>9.7330206062720567E-2</c:v>
                </c:pt>
                <c:pt idx="7">
                  <c:v>9.735145637071263E-2</c:v>
                </c:pt>
                <c:pt idx="8">
                  <c:v>9.7387386873530962E-2</c:v>
                </c:pt>
                <c:pt idx="9">
                  <c:v>9.7448327927814091E-2</c:v>
                </c:pt>
                <c:pt idx="10">
                  <c:v>9.7550454557861127E-2</c:v>
                </c:pt>
                <c:pt idx="11">
                  <c:v>9.771680152446198E-2</c:v>
                </c:pt>
                <c:pt idx="12">
                  <c:v>9.7976085280573583E-2</c:v>
                </c:pt>
                <c:pt idx="13">
                  <c:v>9.8357802568840733E-2</c:v>
                </c:pt>
                <c:pt idx="14">
                  <c:v>9.8883293112190018E-2</c:v>
                </c:pt>
                <c:pt idx="15">
                  <c:v>9.9554761652577525E-2</c:v>
                </c:pt>
                <c:pt idx="16">
                  <c:v>0.10034679416367413</c:v>
                </c:pt>
                <c:pt idx="17">
                  <c:v>0.10120620410582926</c:v>
                </c:pt>
                <c:pt idx="18">
                  <c:v>0.10206357847739915</c:v>
                </c:pt>
                <c:pt idx="19">
                  <c:v>0.10285277379369542</c:v>
                </c:pt>
                <c:pt idx="20">
                  <c:v>0.10352822778120088</c:v>
                </c:pt>
                <c:pt idx="21">
                  <c:v>0.10407159786544064</c:v>
                </c:pt>
                <c:pt idx="22">
                  <c:v>0.10448742845619562</c:v>
                </c:pt>
                <c:pt idx="23">
                  <c:v>0.10479368161611281</c:v>
                </c:pt>
                <c:pt idx="24">
                  <c:v>0.10501292328587158</c:v>
                </c:pt>
                <c:pt idx="25">
                  <c:v>0.10516670692003473</c:v>
                </c:pt>
                <c:pt idx="26">
                  <c:v>0.10527303944889119</c:v>
                </c:pt>
                <c:pt idx="27">
                  <c:v>0.10534583480784264</c:v>
                </c:pt>
              </c:numCache>
            </c:numRef>
          </c:val>
          <c:smooth val="0"/>
          <c:extLst>
            <c:ext xmlns:c16="http://schemas.microsoft.com/office/drawing/2014/chart" uri="{C3380CC4-5D6E-409C-BE32-E72D297353CC}">
              <c16:uniqueId val="{00000002-A69E-4734-B35F-7445C5BFD2B4}"/>
            </c:ext>
          </c:extLst>
        </c:ser>
        <c:ser>
          <c:idx val="3"/>
          <c:order val="3"/>
          <c:tx>
            <c:strRef>
              <c:f>'Semi-trailer truck (Diesel)'!$A$324</c:f>
              <c:strCache>
                <c:ptCount val="1"/>
                <c:pt idx="0">
                  <c:v>Road long-haul: Break bulk</c:v>
                </c:pt>
              </c:strCache>
            </c:strRef>
          </c:tx>
          <c:spPr>
            <a:ln w="28575" cap="rnd">
              <a:solidFill>
                <a:schemeClr val="accent4"/>
              </a:solidFill>
              <a:round/>
            </a:ln>
            <a:effectLst/>
          </c:spPr>
          <c:marker>
            <c:symbol val="none"/>
          </c:marker>
          <c:cat>
            <c:numRef>
              <c:f>'Semi-trailer truck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(Diesel)'!$B$408:$AC$408</c:f>
              <c:numCache>
                <c:formatCode>0.00</c:formatCode>
                <c:ptCount val="28"/>
                <c:pt idx="0">
                  <c:v>0.12128184701886342</c:v>
                </c:pt>
                <c:pt idx="1">
                  <c:v>0.12128696185371358</c:v>
                </c:pt>
                <c:pt idx="2">
                  <c:v>0.12129432978093618</c:v>
                </c:pt>
                <c:pt idx="3">
                  <c:v>0.12130496692379332</c:v>
                </c:pt>
                <c:pt idx="4">
                  <c:v>0.12132037091232994</c:v>
                </c:pt>
                <c:pt idx="5">
                  <c:v>0.1213427681334075</c:v>
                </c:pt>
                <c:pt idx="6">
                  <c:v>0.12137549628113066</c:v>
                </c:pt>
                <c:pt idx="7">
                  <c:v>0.12142358589754373</c:v>
                </c:pt>
                <c:pt idx="8">
                  <c:v>0.12149460056144136</c:v>
                </c:pt>
                <c:pt idx="9">
                  <c:v>0.12159972418661098</c:v>
                </c:pt>
                <c:pt idx="10">
                  <c:v>0.12175486863346088</c:v>
                </c:pt>
                <c:pt idx="11">
                  <c:v>0.12198116675049578</c:v>
                </c:pt>
                <c:pt idx="12">
                  <c:v>0.12230374069014721</c:v>
                </c:pt>
                <c:pt idx="13">
                  <c:v>0.12274750272952308</c:v>
                </c:pt>
                <c:pt idx="14">
                  <c:v>0.12332947388690815</c:v>
                </c:pt>
                <c:pt idx="15">
                  <c:v>0.12404894290623199</c:v>
                </c:pt>
                <c:pt idx="16">
                  <c:v>0.12487941520455786</c:v>
                </c:pt>
                <c:pt idx="17">
                  <c:v>0.12576815641044842</c:v>
                </c:pt>
                <c:pt idx="18">
                  <c:v>0.12664709161323459</c:v>
                </c:pt>
                <c:pt idx="19">
                  <c:v>0.12745170261193722</c:v>
                </c:pt>
                <c:pt idx="20">
                  <c:v>0.12813796071622696</c:v>
                </c:pt>
                <c:pt idx="21">
                  <c:v>0.12868879710923753</c:v>
                </c:pt>
                <c:pt idx="22">
                  <c:v>0.12910973726714481</c:v>
                </c:pt>
                <c:pt idx="23">
                  <c:v>0.12941946381966482</c:v>
                </c:pt>
                <c:pt idx="24">
                  <c:v>0.12964105589554803</c:v>
                </c:pt>
                <c:pt idx="25">
                  <c:v>0.12979642511613657</c:v>
                </c:pt>
                <c:pt idx="26">
                  <c:v>0.12990382505389811</c:v>
                </c:pt>
                <c:pt idx="27">
                  <c:v>0.12997733797807764</c:v>
                </c:pt>
              </c:numCache>
            </c:numRef>
          </c:val>
          <c:smooth val="0"/>
          <c:extLst>
            <c:ext xmlns:c16="http://schemas.microsoft.com/office/drawing/2014/chart" uri="{C3380CC4-5D6E-409C-BE32-E72D297353CC}">
              <c16:uniqueId val="{00000003-A69E-4734-B35F-7445C5BFD2B4}"/>
            </c:ext>
          </c:extLst>
        </c:ser>
        <c:ser>
          <c:idx val="4"/>
          <c:order val="4"/>
          <c:tx>
            <c:strRef>
              <c:f>'Semi-trailer truck (Diesel)'!$A$429</c:f>
              <c:strCache>
                <c:ptCount val="1"/>
                <c:pt idx="0">
                  <c:v>Road long-haul:  Neo bulk</c:v>
                </c:pt>
              </c:strCache>
            </c:strRef>
          </c:tx>
          <c:spPr>
            <a:ln w="28575" cap="rnd">
              <a:solidFill>
                <a:schemeClr val="accent5"/>
              </a:solidFill>
              <a:round/>
            </a:ln>
            <a:effectLst/>
          </c:spPr>
          <c:marker>
            <c:symbol val="none"/>
          </c:marker>
          <c:cat>
            <c:numRef>
              <c:f>'Semi-trailer truck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(Diesel)'!$B$513:$AC$513</c:f>
              <c:numCache>
                <c:formatCode>0.00</c:formatCode>
                <c:ptCount val="28"/>
                <c:pt idx="0">
                  <c:v>9.9364630040291307E-2</c:v>
                </c:pt>
                <c:pt idx="1">
                  <c:v>9.9358976031599822E-2</c:v>
                </c:pt>
                <c:pt idx="2">
                  <c:v>9.9350948149770163E-2</c:v>
                </c:pt>
                <c:pt idx="3">
                  <c:v>0.10039635229639267</c:v>
                </c:pt>
                <c:pt idx="4">
                  <c:v>0.1003804218191944</c:v>
                </c:pt>
                <c:pt idx="5">
                  <c:v>0.10035827267294652</c:v>
                </c:pt>
                <c:pt idx="6">
                  <c:v>0.10032790702204186</c:v>
                </c:pt>
                <c:pt idx="7">
                  <c:v>0.10028709884107763</c:v>
                </c:pt>
                <c:pt idx="8">
                  <c:v>0.10023375466499661</c:v>
                </c:pt>
                <c:pt idx="9">
                  <c:v>0.10016657669155855</c:v>
                </c:pt>
                <c:pt idx="10">
                  <c:v>0.10008596505177693</c:v>
                </c:pt>
                <c:pt idx="11">
                  <c:v>9.9994811533305028E-2</c:v>
                </c:pt>
                <c:pt idx="12">
                  <c:v>9.989858113784772E-2</c:v>
                </c:pt>
                <c:pt idx="13">
                  <c:v>9.9804244376579102E-2</c:v>
                </c:pt>
                <c:pt idx="14">
                  <c:v>9.9718367681010417E-2</c:v>
                </c:pt>
                <c:pt idx="15">
                  <c:v>9.9645384718853633E-2</c:v>
                </c:pt>
                <c:pt idx="16">
                  <c:v>9.9586938436674044E-2</c:v>
                </c:pt>
                <c:pt idx="17">
                  <c:v>9.9542341329339895E-2</c:v>
                </c:pt>
                <c:pt idx="18">
                  <c:v>9.9509558878756121E-2</c:v>
                </c:pt>
                <c:pt idx="19">
                  <c:v>9.9486119900841413E-2</c:v>
                </c:pt>
                <c:pt idx="20">
                  <c:v>9.9469692638783302E-2</c:v>
                </c:pt>
                <c:pt idx="21">
                  <c:v>9.9458340391002681E-2</c:v>
                </c:pt>
                <c:pt idx="22">
                  <c:v>9.9450571482142203E-2</c:v>
                </c:pt>
                <c:pt idx="23">
                  <c:v>9.9445290316485094E-2</c:v>
                </c:pt>
                <c:pt idx="24">
                  <c:v>9.9441716610450592E-2</c:v>
                </c:pt>
                <c:pt idx="25">
                  <c:v>9.9439305784628687E-2</c:v>
                </c:pt>
                <c:pt idx="26">
                  <c:v>9.9437682828661347E-2</c:v>
                </c:pt>
                <c:pt idx="27">
                  <c:v>9.9436591797133198E-2</c:v>
                </c:pt>
              </c:numCache>
            </c:numRef>
          </c:val>
          <c:smooth val="0"/>
          <c:extLst>
            <c:ext xmlns:c16="http://schemas.microsoft.com/office/drawing/2014/chart" uri="{C3380CC4-5D6E-409C-BE32-E72D297353CC}">
              <c16:uniqueId val="{00000004-A69E-4734-B35F-7445C5BFD2B4}"/>
            </c:ext>
          </c:extLst>
        </c:ser>
        <c:dLbls>
          <c:showLegendKey val="0"/>
          <c:showVal val="0"/>
          <c:showCatName val="0"/>
          <c:showSerName val="0"/>
          <c:showPercent val="0"/>
          <c:showBubbleSize val="0"/>
        </c:dLbls>
        <c:smooth val="0"/>
        <c:axId val="888373968"/>
        <c:axId val="578529904"/>
      </c:lineChart>
      <c:catAx>
        <c:axId val="888373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578529904"/>
        <c:crosses val="autoZero"/>
        <c:auto val="1"/>
        <c:lblAlgn val="ctr"/>
        <c:lblOffset val="100"/>
        <c:tickLblSkip val="3"/>
        <c:noMultiLvlLbl val="0"/>
      </c:catAx>
      <c:valAx>
        <c:axId val="57852990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888373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Battery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'Semi-trailer truck (Battery)'!$A$1</c:f>
              <c:strCache>
                <c:ptCount val="1"/>
                <c:pt idx="0">
                  <c:v>Road long-haul: Dry bulk</c:v>
                </c:pt>
              </c:strCache>
            </c:strRef>
          </c:tx>
          <c:spPr>
            <a:ln w="28575" cap="rnd">
              <a:solidFill>
                <a:schemeClr val="accent1"/>
              </a:solidFill>
              <a:round/>
            </a:ln>
            <a:effectLst/>
          </c:spPr>
          <c:marker>
            <c:symbol val="none"/>
          </c:marker>
          <c:cat>
            <c:numRef>
              <c:f>'Semi-trailer truck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(Battery)'!$B$85:$AC$85</c:f>
              <c:numCache>
                <c:formatCode>0.00</c:formatCode>
                <c:ptCount val="28"/>
                <c:pt idx="0">
                  <c:v>0.22106743170492713</c:v>
                </c:pt>
                <c:pt idx="1">
                  <c:v>0.21977711158457539</c:v>
                </c:pt>
                <c:pt idx="2">
                  <c:v>0.21800602412499409</c:v>
                </c:pt>
                <c:pt idx="3">
                  <c:v>0.21562152365535456</c:v>
                </c:pt>
                <c:pt idx="4">
                  <c:v>0.21249579328148582</c:v>
                </c:pt>
                <c:pt idx="5">
                  <c:v>0.20854259734529856</c:v>
                </c:pt>
                <c:pt idx="6">
                  <c:v>0.2037678582423533</c:v>
                </c:pt>
                <c:pt idx="7">
                  <c:v>0.19831517217032191</c:v>
                </c:pt>
                <c:pt idx="8">
                  <c:v>0.19247333169249417</c:v>
                </c:pt>
                <c:pt idx="9">
                  <c:v>0.18662212157674821</c:v>
                </c:pt>
                <c:pt idx="10">
                  <c:v>0.18113306974057264</c:v>
                </c:pt>
                <c:pt idx="11">
                  <c:v>0.17627926299689411</c:v>
                </c:pt>
                <c:pt idx="12">
                  <c:v>0.17219873614199641</c:v>
                </c:pt>
                <c:pt idx="13">
                  <c:v>0.16891067598005308</c:v>
                </c:pt>
                <c:pt idx="14">
                  <c:v>0.16635440265774576</c:v>
                </c:pt>
                <c:pt idx="15">
                  <c:v>0.16442663957478471</c:v>
                </c:pt>
                <c:pt idx="16">
                  <c:v>0.16300936217678019</c:v>
                </c:pt>
                <c:pt idx="17">
                  <c:v>0.16198857077604498</c:v>
                </c:pt>
                <c:pt idx="18">
                  <c:v>0.16126510695202986</c:v>
                </c:pt>
                <c:pt idx="19">
                  <c:v>0.16075878997280124</c:v>
                </c:pt>
                <c:pt idx="20">
                  <c:v>0.16040797618139177</c:v>
                </c:pt>
                <c:pt idx="21">
                  <c:v>0.16016686442695124</c:v>
                </c:pt>
                <c:pt idx="22">
                  <c:v>0.16000222391549229</c:v>
                </c:pt>
                <c:pt idx="23">
                  <c:v>0.15989037356235983</c:v>
                </c:pt>
                <c:pt idx="24">
                  <c:v>0.15981468148110442</c:v>
                </c:pt>
                <c:pt idx="25">
                  <c:v>0.15976360524923316</c:v>
                </c:pt>
                <c:pt idx="26">
                  <c:v>0.15972921042542387</c:v>
                </c:pt>
                <c:pt idx="27">
                  <c:v>0.15970608243330964</c:v>
                </c:pt>
              </c:numCache>
            </c:numRef>
          </c:val>
          <c:smooth val="0"/>
          <c:extLst>
            <c:ext xmlns:c16="http://schemas.microsoft.com/office/drawing/2014/chart" uri="{C3380CC4-5D6E-409C-BE32-E72D297353CC}">
              <c16:uniqueId val="{00000000-17D1-491F-8AD3-BE9DD8D5BD76}"/>
            </c:ext>
          </c:extLst>
        </c:ser>
        <c:ser>
          <c:idx val="1"/>
          <c:order val="1"/>
          <c:tx>
            <c:strRef>
              <c:f>'Semi-trailer truck (Battery)'!$A$107</c:f>
              <c:strCache>
                <c:ptCount val="1"/>
                <c:pt idx="0">
                  <c:v>Road long-haul: Liquid bulk</c:v>
                </c:pt>
              </c:strCache>
            </c:strRef>
          </c:tx>
          <c:spPr>
            <a:ln w="28575" cap="rnd">
              <a:solidFill>
                <a:schemeClr val="accent2"/>
              </a:solidFill>
              <a:round/>
            </a:ln>
            <a:effectLst/>
          </c:spPr>
          <c:marker>
            <c:symbol val="none"/>
          </c:marker>
          <c:cat>
            <c:numRef>
              <c:f>'Semi-trailer truck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(Battery)'!$B$191:$AC$191</c:f>
              <c:numCache>
                <c:formatCode>0.00</c:formatCode>
                <c:ptCount val="28"/>
                <c:pt idx="0">
                  <c:v>0.10945358734318615</c:v>
                </c:pt>
                <c:pt idx="1">
                  <c:v>0.10882977078670809</c:v>
                </c:pt>
                <c:pt idx="2">
                  <c:v>0.10797304651689689</c:v>
                </c:pt>
                <c:pt idx="3">
                  <c:v>0.10681861767939511</c:v>
                </c:pt>
                <c:pt idx="4">
                  <c:v>0.1053033731625007</c:v>
                </c:pt>
                <c:pt idx="5">
                  <c:v>0.10338323742009614</c:v>
                </c:pt>
                <c:pt idx="6">
                  <c:v>0.1010571812245956</c:v>
                </c:pt>
                <c:pt idx="7">
                  <c:v>9.8389068339590699E-2</c:v>
                </c:pt>
                <c:pt idx="8">
                  <c:v>9.5511911206404773E-2</c:v>
                </c:pt>
                <c:pt idx="9">
                  <c:v>9.2603441277428963E-2</c:v>
                </c:pt>
                <c:pt idx="10">
                  <c:v>8.9840782975149705E-2</c:v>
                </c:pt>
                <c:pt idx="11">
                  <c:v>8.7359178326391104E-2</c:v>
                </c:pt>
                <c:pt idx="12">
                  <c:v>8.5234664287743178E-2</c:v>
                </c:pt>
                <c:pt idx="13">
                  <c:v>8.3489565661383672E-2</c:v>
                </c:pt>
                <c:pt idx="14">
                  <c:v>8.2107312562156795E-2</c:v>
                </c:pt>
                <c:pt idx="15">
                  <c:v>8.1047008528995032E-2</c:v>
                </c:pt>
                <c:pt idx="16">
                  <c:v>8.0255666625639765E-2</c:v>
                </c:pt>
                <c:pt idx="17">
                  <c:v>7.9678150962767313E-2</c:v>
                </c:pt>
                <c:pt idx="18">
                  <c:v>7.9264111465186554E-2</c:v>
                </c:pt>
                <c:pt idx="19">
                  <c:v>7.8971447781051335E-2</c:v>
                </c:pt>
                <c:pt idx="20">
                  <c:v>7.8766964551435115E-2</c:v>
                </c:pt>
                <c:pt idx="21">
                  <c:v>7.8625469978937379E-2</c:v>
                </c:pt>
                <c:pt idx="22">
                  <c:v>7.8528342935849413E-2</c:v>
                </c:pt>
                <c:pt idx="23">
                  <c:v>7.8462098882481332E-2</c:v>
                </c:pt>
                <c:pt idx="24">
                  <c:v>7.8417141900892537E-2</c:v>
                </c:pt>
                <c:pt idx="25">
                  <c:v>7.838674410851687E-2</c:v>
                </c:pt>
                <c:pt idx="26">
                  <c:v>7.8366245385999622E-2</c:v>
                </c:pt>
                <c:pt idx="27">
                  <c:v>7.8352448159788146E-2</c:v>
                </c:pt>
              </c:numCache>
            </c:numRef>
          </c:val>
          <c:smooth val="0"/>
          <c:extLst>
            <c:ext xmlns:c16="http://schemas.microsoft.com/office/drawing/2014/chart" uri="{C3380CC4-5D6E-409C-BE32-E72D297353CC}">
              <c16:uniqueId val="{00000001-17D1-491F-8AD3-BE9DD8D5BD76}"/>
            </c:ext>
          </c:extLst>
        </c:ser>
        <c:ser>
          <c:idx val="2"/>
          <c:order val="2"/>
          <c:tx>
            <c:strRef>
              <c:f>'Semi-trailer truck (Battery)'!$A$215</c:f>
              <c:strCache>
                <c:ptCount val="1"/>
                <c:pt idx="0">
                  <c:v>Road long-haul: Container</c:v>
                </c:pt>
              </c:strCache>
            </c:strRef>
          </c:tx>
          <c:spPr>
            <a:ln w="28575" cap="rnd">
              <a:solidFill>
                <a:schemeClr val="accent3"/>
              </a:solidFill>
              <a:round/>
            </a:ln>
            <a:effectLst/>
          </c:spPr>
          <c:marker>
            <c:symbol val="none"/>
          </c:marker>
          <c:cat>
            <c:numRef>
              <c:f>'Semi-trailer truck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(Battery)'!$B$299:$AC$299</c:f>
              <c:numCache>
                <c:formatCode>0.00</c:formatCode>
                <c:ptCount val="28"/>
                <c:pt idx="0">
                  <c:v>0.11574481056879866</c:v>
                </c:pt>
                <c:pt idx="1">
                  <c:v>0.11507152491827274</c:v>
                </c:pt>
                <c:pt idx="2">
                  <c:v>0.11414695379781593</c:v>
                </c:pt>
                <c:pt idx="3">
                  <c:v>0.11290128970080653</c:v>
                </c:pt>
                <c:pt idx="4">
                  <c:v>0.11126666719847256</c:v>
                </c:pt>
                <c:pt idx="5">
                  <c:v>0.10919596624497059</c:v>
                </c:pt>
                <c:pt idx="6">
                  <c:v>0.10668880704709295</c:v>
                </c:pt>
                <c:pt idx="7">
                  <c:v>0.10381515358048278</c:v>
                </c:pt>
                <c:pt idx="8">
                  <c:v>0.10071978335828238</c:v>
                </c:pt>
                <c:pt idx="9">
                  <c:v>9.7595581528948552E-2</c:v>
                </c:pt>
                <c:pt idx="10">
                  <c:v>9.463412369289266E-2</c:v>
                </c:pt>
                <c:pt idx="11">
                  <c:v>9.198070487243501E-2</c:v>
                </c:pt>
                <c:pt idx="12">
                  <c:v>8.9715595306429405E-2</c:v>
                </c:pt>
                <c:pt idx="13">
                  <c:v>8.7860428422852119E-2</c:v>
                </c:pt>
                <c:pt idx="14">
                  <c:v>8.6394954229677398E-2</c:v>
                </c:pt>
                <c:pt idx="15">
                  <c:v>8.5273399831187383E-2</c:v>
                </c:pt>
                <c:pt idx="16">
                  <c:v>8.4437891877112092E-2</c:v>
                </c:pt>
                <c:pt idx="17">
                  <c:v>8.3829012963035743E-2</c:v>
                </c:pt>
                <c:pt idx="18">
                  <c:v>8.3392955585435052E-2</c:v>
                </c:pt>
                <c:pt idx="19">
                  <c:v>8.3084972560798109E-2</c:v>
                </c:pt>
                <c:pt idx="20">
                  <c:v>8.2869909982114354E-2</c:v>
                </c:pt>
                <c:pt idx="21">
                  <c:v>8.2721156704947729E-2</c:v>
                </c:pt>
                <c:pt idx="22">
                  <c:v>8.2619077099433433E-2</c:v>
                </c:pt>
                <c:pt idx="23">
                  <c:v>8.2549469579769982E-2</c:v>
                </c:pt>
                <c:pt idx="24">
                  <c:v>8.2502236699675185E-2</c:v>
                </c:pt>
                <c:pt idx="25">
                  <c:v>8.2470303177585219E-2</c:v>
                </c:pt>
                <c:pt idx="26">
                  <c:v>8.2448770272815899E-2</c:v>
                </c:pt>
                <c:pt idx="27">
                  <c:v>8.2434277616860396E-2</c:v>
                </c:pt>
              </c:numCache>
            </c:numRef>
          </c:val>
          <c:smooth val="0"/>
          <c:extLst>
            <c:ext xmlns:c16="http://schemas.microsoft.com/office/drawing/2014/chart" uri="{C3380CC4-5D6E-409C-BE32-E72D297353CC}">
              <c16:uniqueId val="{00000002-17D1-491F-8AD3-BE9DD8D5BD76}"/>
            </c:ext>
          </c:extLst>
        </c:ser>
        <c:ser>
          <c:idx val="3"/>
          <c:order val="3"/>
          <c:tx>
            <c:strRef>
              <c:f>'Semi-trailer truck (Battery)'!$A$324</c:f>
              <c:strCache>
                <c:ptCount val="1"/>
                <c:pt idx="0">
                  <c:v>Road long-haul: Break bulk</c:v>
                </c:pt>
              </c:strCache>
            </c:strRef>
          </c:tx>
          <c:spPr>
            <a:ln w="28575" cap="rnd">
              <a:solidFill>
                <a:schemeClr val="accent4"/>
              </a:solidFill>
              <a:round/>
            </a:ln>
            <a:effectLst/>
          </c:spPr>
          <c:marker>
            <c:symbol val="none"/>
          </c:marker>
          <c:cat>
            <c:numRef>
              <c:f>'Semi-trailer truck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(Battery)'!$B$408:$AC$408</c:f>
              <c:numCache>
                <c:formatCode>0.00</c:formatCode>
                <c:ptCount val="28"/>
                <c:pt idx="0">
                  <c:v>0.1494301224340594</c:v>
                </c:pt>
                <c:pt idx="1">
                  <c:v>0.14856071651923844</c:v>
                </c:pt>
                <c:pt idx="2">
                  <c:v>0.14736707106253366</c:v>
                </c:pt>
                <c:pt idx="3">
                  <c:v>0.14575938522168477</c:v>
                </c:pt>
                <c:pt idx="4">
                  <c:v>0.14365069791341728</c:v>
                </c:pt>
                <c:pt idx="5">
                  <c:v>0.14098138373500005</c:v>
                </c:pt>
                <c:pt idx="6">
                  <c:v>0.13775294872839369</c:v>
                </c:pt>
                <c:pt idx="7">
                  <c:v>0.13405859635389522</c:v>
                </c:pt>
                <c:pt idx="8">
                  <c:v>0.13008869100682938</c:v>
                </c:pt>
                <c:pt idx="9">
                  <c:v>0.12609537151735276</c:v>
                </c:pt>
                <c:pt idx="10">
                  <c:v>0.12232737851141029</c:v>
                </c:pt>
                <c:pt idx="11">
                  <c:v>0.11897077716953737</c:v>
                </c:pt>
                <c:pt idx="12">
                  <c:v>0.11612452915885287</c:v>
                </c:pt>
                <c:pt idx="13">
                  <c:v>0.11380991009184255</c:v>
                </c:pt>
                <c:pt idx="14">
                  <c:v>0.1119941954837403</c:v>
                </c:pt>
                <c:pt idx="15">
                  <c:v>0.11061356569784064</c:v>
                </c:pt>
                <c:pt idx="16">
                  <c:v>0.10959108626201186</c:v>
                </c:pt>
                <c:pt idx="17">
                  <c:v>0.10884991227218592</c:v>
                </c:pt>
                <c:pt idx="18">
                  <c:v>0.10832167000486265</c:v>
                </c:pt>
                <c:pt idx="19">
                  <c:v>0.10795018442362557</c:v>
                </c:pt>
                <c:pt idx="20">
                  <c:v>0.10769174109921568</c:v>
                </c:pt>
                <c:pt idx="21">
                  <c:v>0.1075135282158008</c:v>
                </c:pt>
                <c:pt idx="22">
                  <c:v>0.10739152542915106</c:v>
                </c:pt>
                <c:pt idx="23">
                  <c:v>0.107308482499891</c:v>
                </c:pt>
                <c:pt idx="24">
                  <c:v>0.10725220695852421</c:v>
                </c:pt>
                <c:pt idx="25">
                  <c:v>0.10721419535461353</c:v>
                </c:pt>
                <c:pt idx="26">
                  <c:v>0.10718858068527139</c:v>
                </c:pt>
                <c:pt idx="27">
                  <c:v>0.10717134855549974</c:v>
                </c:pt>
              </c:numCache>
            </c:numRef>
          </c:val>
          <c:smooth val="0"/>
          <c:extLst>
            <c:ext xmlns:c16="http://schemas.microsoft.com/office/drawing/2014/chart" uri="{C3380CC4-5D6E-409C-BE32-E72D297353CC}">
              <c16:uniqueId val="{00000003-17D1-491F-8AD3-BE9DD8D5BD76}"/>
            </c:ext>
          </c:extLst>
        </c:ser>
        <c:ser>
          <c:idx val="4"/>
          <c:order val="4"/>
          <c:tx>
            <c:strRef>
              <c:f>'Semi-trailer truck (Battery)'!$A$429</c:f>
              <c:strCache>
                <c:ptCount val="1"/>
                <c:pt idx="0">
                  <c:v>Road long-haul:  Neo bulk</c:v>
                </c:pt>
              </c:strCache>
            </c:strRef>
          </c:tx>
          <c:spPr>
            <a:ln w="28575" cap="rnd">
              <a:solidFill>
                <a:schemeClr val="accent5"/>
              </a:solidFill>
              <a:round/>
            </a:ln>
            <a:effectLst/>
          </c:spPr>
          <c:marker>
            <c:symbol val="none"/>
          </c:marker>
          <c:cat>
            <c:numRef>
              <c:f>'Semi-trailer truck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(Battery)'!$B$513:$AC$513</c:f>
              <c:numCache>
                <c:formatCode>0.00</c:formatCode>
                <c:ptCount val="28"/>
                <c:pt idx="0">
                  <c:v>0.12671830500569514</c:v>
                </c:pt>
                <c:pt idx="1">
                  <c:v>0.12597953381490276</c:v>
                </c:pt>
                <c:pt idx="2">
                  <c:v>0.12496512145964034</c:v>
                </c:pt>
                <c:pt idx="3">
                  <c:v>0.12359859013186458</c:v>
                </c:pt>
                <c:pt idx="4">
                  <c:v>0.12180570926750652</c:v>
                </c:pt>
                <c:pt idx="5">
                  <c:v>0.11953520338675686</c:v>
                </c:pt>
                <c:pt idx="6">
                  <c:v>0.11678735633195406</c:v>
                </c:pt>
                <c:pt idx="7">
                  <c:v>0.11363994333280925</c:v>
                </c:pt>
                <c:pt idx="8">
                  <c:v>0.11025303206814344</c:v>
                </c:pt>
                <c:pt idx="9">
                  <c:v>0.10683936939057756</c:v>
                </c:pt>
                <c:pt idx="10">
                  <c:v>0.10360968405961316</c:v>
                </c:pt>
                <c:pt idx="11">
                  <c:v>0.10072291268986294</c:v>
                </c:pt>
                <c:pt idx="12">
                  <c:v>9.8265536066901943E-2</c:v>
                </c:pt>
                <c:pt idx="13">
                  <c:v>9.6258976979921557E-2</c:v>
                </c:pt>
                <c:pt idx="14">
                  <c:v>9.4678692691860869E-2</c:v>
                </c:pt>
                <c:pt idx="15">
                  <c:v>9.3472756640485474E-2</c:v>
                </c:pt>
                <c:pt idx="16">
                  <c:v>9.2576827320833624E-2</c:v>
                </c:pt>
                <c:pt idx="17">
                  <c:v>9.1925593733561572E-2</c:v>
                </c:pt>
                <c:pt idx="18">
                  <c:v>9.1460335156716949E-2</c:v>
                </c:pt>
                <c:pt idx="19">
                  <c:v>9.1132462657794372E-2</c:v>
                </c:pt>
                <c:pt idx="20">
                  <c:v>9.0903962795859522E-2</c:v>
                </c:pt>
                <c:pt idx="21">
                  <c:v>9.0746175509388086E-2</c:v>
                </c:pt>
                <c:pt idx="22">
                  <c:v>9.0638037716385705E-2</c:v>
                </c:pt>
                <c:pt idx="23">
                  <c:v>9.0564372038462806E-2</c:v>
                </c:pt>
                <c:pt idx="24">
                  <c:v>9.0514421593538702E-2</c:v>
                </c:pt>
                <c:pt idx="25">
                  <c:v>9.0480668156879371E-2</c:v>
                </c:pt>
                <c:pt idx="26">
                  <c:v>9.0457916271972014E-2</c:v>
                </c:pt>
                <c:pt idx="27">
                  <c:v>9.0442606989026342E-2</c:v>
                </c:pt>
              </c:numCache>
            </c:numRef>
          </c:val>
          <c:smooth val="0"/>
          <c:extLst>
            <c:ext xmlns:c16="http://schemas.microsoft.com/office/drawing/2014/chart" uri="{C3380CC4-5D6E-409C-BE32-E72D297353CC}">
              <c16:uniqueId val="{00000004-17D1-491F-8AD3-BE9DD8D5BD76}"/>
            </c:ext>
          </c:extLst>
        </c:ser>
        <c:dLbls>
          <c:showLegendKey val="0"/>
          <c:showVal val="0"/>
          <c:showCatName val="0"/>
          <c:showSerName val="0"/>
          <c:showPercent val="0"/>
          <c:showBubbleSize val="0"/>
        </c:dLbls>
        <c:smooth val="0"/>
        <c:axId val="1226903952"/>
        <c:axId val="1226895752"/>
      </c:lineChart>
      <c:catAx>
        <c:axId val="1226903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1226895752"/>
        <c:crosses val="autoZero"/>
        <c:auto val="1"/>
        <c:lblAlgn val="ctr"/>
        <c:lblOffset val="100"/>
        <c:tickLblSkip val="3"/>
        <c:noMultiLvlLbl val="0"/>
      </c:catAx>
      <c:valAx>
        <c:axId val="122689575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1226903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Hydrogen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'Semi-trailer truck (Hydrogen)'!$A$1</c:f>
              <c:strCache>
                <c:ptCount val="1"/>
                <c:pt idx="0">
                  <c:v>Road long-haul: Dry bulk</c:v>
                </c:pt>
              </c:strCache>
            </c:strRef>
          </c:tx>
          <c:spPr>
            <a:ln w="28575" cap="rnd">
              <a:solidFill>
                <a:schemeClr val="accent1"/>
              </a:solidFill>
              <a:round/>
            </a:ln>
            <a:effectLst/>
          </c:spPr>
          <c:marker>
            <c:symbol val="none"/>
          </c:marker>
          <c:cat>
            <c:numRef>
              <c:f>'Semi-trailer truck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(Hydrogen)'!$B$85:$AC$85</c:f>
              <c:numCache>
                <c:formatCode>0.00</c:formatCode>
                <c:ptCount val="28"/>
                <c:pt idx="0">
                  <c:v>0.25980204112182903</c:v>
                </c:pt>
                <c:pt idx="1">
                  <c:v>0.25849772805704357</c:v>
                </c:pt>
                <c:pt idx="2">
                  <c:v>0.25668186902873263</c:v>
                </c:pt>
                <c:pt idx="3">
                  <c:v>0.25418729323469169</c:v>
                </c:pt>
                <c:pt idx="4">
                  <c:v>0.25082423977855883</c:v>
                </c:pt>
                <c:pt idx="5">
                  <c:v>0.24640674309019062</c:v>
                </c:pt>
                <c:pt idx="6">
                  <c:v>0.24080263890970838</c:v>
                </c:pt>
                <c:pt idx="7">
                  <c:v>0.23400353854160896</c:v>
                </c:pt>
                <c:pt idx="8">
                  <c:v>0.22619027641325576</c:v>
                </c:pt>
                <c:pt idx="9">
                  <c:v>0.21775005990386834</c:v>
                </c:pt>
                <c:pt idx="10">
                  <c:v>0.20921196447706869</c:v>
                </c:pt>
                <c:pt idx="11">
                  <c:v>0.20111812973022083</c:v>
                </c:pt>
                <c:pt idx="12">
                  <c:v>0.19389637796978326</c:v>
                </c:pt>
                <c:pt idx="13">
                  <c:v>0.18779247529309087</c:v>
                </c:pt>
                <c:pt idx="14">
                  <c:v>0.18287085900542702</c:v>
                </c:pt>
                <c:pt idx="15">
                  <c:v>0.17905787066976803</c:v>
                </c:pt>
                <c:pt idx="16">
                  <c:v>0.17619881435295354</c:v>
                </c:pt>
                <c:pt idx="17">
                  <c:v>0.17410961106956296</c:v>
                </c:pt>
                <c:pt idx="18">
                  <c:v>0.17261294577442218</c:v>
                </c:pt>
                <c:pt idx="19">
                  <c:v>0.17155701056625508</c:v>
                </c:pt>
                <c:pt idx="20">
                  <c:v>0.170820917607033</c:v>
                </c:pt>
                <c:pt idx="21">
                  <c:v>0.17031270642700216</c:v>
                </c:pt>
                <c:pt idx="22">
                  <c:v>0.1699645242451529</c:v>
                </c:pt>
                <c:pt idx="23">
                  <c:v>0.16972741665868826</c:v>
                </c:pt>
                <c:pt idx="24">
                  <c:v>0.16956668852997894</c:v>
                </c:pt>
                <c:pt idx="25">
                  <c:v>0.16945810329502839</c:v>
                </c:pt>
                <c:pt idx="26">
                  <c:v>0.16938492261884522</c:v>
                </c:pt>
                <c:pt idx="27">
                  <c:v>0.16933568679708047</c:v>
                </c:pt>
              </c:numCache>
            </c:numRef>
          </c:val>
          <c:smooth val="0"/>
          <c:extLst>
            <c:ext xmlns:c16="http://schemas.microsoft.com/office/drawing/2014/chart" uri="{C3380CC4-5D6E-409C-BE32-E72D297353CC}">
              <c16:uniqueId val="{00000000-16DD-423B-9053-80F36DF94FFC}"/>
            </c:ext>
          </c:extLst>
        </c:ser>
        <c:ser>
          <c:idx val="1"/>
          <c:order val="1"/>
          <c:tx>
            <c:strRef>
              <c:f>'Semi-trailer truck (Hydrogen)'!$A$107</c:f>
              <c:strCache>
                <c:ptCount val="1"/>
                <c:pt idx="0">
                  <c:v>Road long-haul: Liquid bulk</c:v>
                </c:pt>
              </c:strCache>
            </c:strRef>
          </c:tx>
          <c:spPr>
            <a:ln w="28575" cap="rnd">
              <a:solidFill>
                <a:schemeClr val="accent2"/>
              </a:solidFill>
              <a:round/>
            </a:ln>
            <a:effectLst/>
          </c:spPr>
          <c:marker>
            <c:symbol val="none"/>
          </c:marker>
          <c:cat>
            <c:numRef>
              <c:f>'Semi-trailer truck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(Hydrogen)'!$B$191:$AC$191</c:f>
              <c:numCache>
                <c:formatCode>0.00</c:formatCode>
                <c:ptCount val="28"/>
                <c:pt idx="0">
                  <c:v>0.13975407510140722</c:v>
                </c:pt>
                <c:pt idx="1">
                  <c:v>0.13901418216186712</c:v>
                </c:pt>
                <c:pt idx="2">
                  <c:v>0.13798346298432809</c:v>
                </c:pt>
                <c:pt idx="3">
                  <c:v>0.13656611805856123</c:v>
                </c:pt>
                <c:pt idx="4">
                  <c:v>0.13465247992069898</c:v>
                </c:pt>
                <c:pt idx="5">
                  <c:v>0.13213313071157362</c:v>
                </c:pt>
                <c:pt idx="6">
                  <c:v>0.12892611299626819</c:v>
                </c:pt>
                <c:pt idx="7">
                  <c:v>0.12501557322741685</c:v>
                </c:pt>
                <c:pt idx="8">
                  <c:v>0.1204890162611484</c:v>
                </c:pt>
                <c:pt idx="9">
                  <c:v>0.11554986490730383</c:v>
                </c:pt>
                <c:pt idx="10">
                  <c:v>0.1104870502490204</c:v>
                </c:pt>
                <c:pt idx="11">
                  <c:v>0.10560935594682873</c:v>
                </c:pt>
                <c:pt idx="12">
                  <c:v>0.10117693272317985</c:v>
                </c:pt>
                <c:pt idx="13">
                  <c:v>9.7359091616112392E-2</c:v>
                </c:pt>
                <c:pt idx="14">
                  <c:v>9.4224762513998903E-2</c:v>
                </c:pt>
                <c:pt idx="15">
                  <c:v>9.1757041810367895E-2</c:v>
                </c:pt>
                <c:pt idx="16">
                  <c:v>8.9880939720154276E-2</c:v>
                </c:pt>
                <c:pt idx="17">
                  <c:v>8.8493934680063543E-2</c:v>
                </c:pt>
                <c:pt idx="18">
                  <c:v>8.7490552015476258E-2</c:v>
                </c:pt>
                <c:pt idx="19">
                  <c:v>8.6776873104901148E-2</c:v>
                </c:pt>
                <c:pt idx="20">
                  <c:v>8.6276075784764483E-2</c:v>
                </c:pt>
                <c:pt idx="21">
                  <c:v>8.5928515712809142E-2</c:v>
                </c:pt>
                <c:pt idx="22">
                  <c:v>8.5689453937068186E-2</c:v>
                </c:pt>
                <c:pt idx="23">
                  <c:v>8.5526180248237021E-2</c:v>
                </c:pt>
                <c:pt idx="24">
                  <c:v>8.5415269655703494E-2</c:v>
                </c:pt>
                <c:pt idx="25">
                  <c:v>8.5340229656460848E-2</c:v>
                </c:pt>
                <c:pt idx="26">
                  <c:v>8.5289604897677992E-2</c:v>
                </c:pt>
                <c:pt idx="27">
                  <c:v>8.5255520725185358E-2</c:v>
                </c:pt>
              </c:numCache>
            </c:numRef>
          </c:val>
          <c:smooth val="0"/>
          <c:extLst>
            <c:ext xmlns:c16="http://schemas.microsoft.com/office/drawing/2014/chart" uri="{C3380CC4-5D6E-409C-BE32-E72D297353CC}">
              <c16:uniqueId val="{00000001-16DD-423B-9053-80F36DF94FFC}"/>
            </c:ext>
          </c:extLst>
        </c:ser>
        <c:ser>
          <c:idx val="2"/>
          <c:order val="2"/>
          <c:tx>
            <c:strRef>
              <c:f>'Semi-trailer truck (Hydrogen)'!$A$215</c:f>
              <c:strCache>
                <c:ptCount val="1"/>
                <c:pt idx="0">
                  <c:v>Road long-haul: Container</c:v>
                </c:pt>
              </c:strCache>
            </c:strRef>
          </c:tx>
          <c:spPr>
            <a:ln w="28575" cap="rnd">
              <a:solidFill>
                <a:schemeClr val="accent3"/>
              </a:solidFill>
              <a:round/>
            </a:ln>
            <a:effectLst/>
          </c:spPr>
          <c:marker>
            <c:symbol val="none"/>
          </c:marker>
          <c:cat>
            <c:numRef>
              <c:f>'Semi-trailer truck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(Hydrogen)'!$B$299:$AC$299</c:f>
              <c:numCache>
                <c:formatCode>0.00</c:formatCode>
                <c:ptCount val="28"/>
                <c:pt idx="0">
                  <c:v>0.14773805189213415</c:v>
                </c:pt>
                <c:pt idx="1">
                  <c:v>0.14694777199782541</c:v>
                </c:pt>
                <c:pt idx="2">
                  <c:v>0.14584692365346708</c:v>
                </c:pt>
                <c:pt idx="3">
                  <c:v>0.1443332776908352</c:v>
                </c:pt>
                <c:pt idx="4">
                  <c:v>0.14228989410873935</c:v>
                </c:pt>
                <c:pt idx="5">
                  <c:v>0.13960028188729109</c:v>
                </c:pt>
                <c:pt idx="6">
                  <c:v>0.1361775715160459</c:v>
                </c:pt>
                <c:pt idx="7">
                  <c:v>0.13200588593275384</c:v>
                </c:pt>
                <c:pt idx="8">
                  <c:v>0.12718011186966818</c:v>
                </c:pt>
                <c:pt idx="9">
                  <c:v>0.12191903528717436</c:v>
                </c:pt>
                <c:pt idx="10">
                  <c:v>0.11653226805715791</c:v>
                </c:pt>
                <c:pt idx="11">
                  <c:v>0.11134942784596601</c:v>
                </c:pt>
                <c:pt idx="12">
                  <c:v>0.10664666038030382</c:v>
                </c:pt>
                <c:pt idx="13">
                  <c:v>0.10260195100470525</c:v>
                </c:pt>
                <c:pt idx="14">
                  <c:v>9.9285889946041581E-2</c:v>
                </c:pt>
                <c:pt idx="15">
                  <c:v>9.6678138950639314E-2</c:v>
                </c:pt>
                <c:pt idx="16">
                  <c:v>9.4697475801121603E-2</c:v>
                </c:pt>
                <c:pt idx="17">
                  <c:v>9.3234288963686185E-2</c:v>
                </c:pt>
                <c:pt idx="18">
                  <c:v>9.2176435662649964E-2</c:v>
                </c:pt>
                <c:pt idx="19">
                  <c:v>9.1424370627275681E-2</c:v>
                </c:pt>
                <c:pt idx="20">
                  <c:v>9.0896831346659476E-2</c:v>
                </c:pt>
                <c:pt idx="21">
                  <c:v>9.0530814080002617E-2</c:v>
                </c:pt>
                <c:pt idx="22">
                  <c:v>9.0279108863650717E-2</c:v>
                </c:pt>
                <c:pt idx="23">
                  <c:v>9.0107225632494875E-2</c:v>
                </c:pt>
                <c:pt idx="24">
                  <c:v>8.9990478975629326E-2</c:v>
                </c:pt>
                <c:pt idx="25">
                  <c:v>8.9911496222911086E-2</c:v>
                </c:pt>
                <c:pt idx="26">
                  <c:v>8.9858214240187112E-2</c:v>
                </c:pt>
                <c:pt idx="27">
                  <c:v>8.9822342279627529E-2</c:v>
                </c:pt>
              </c:numCache>
            </c:numRef>
          </c:val>
          <c:smooth val="0"/>
          <c:extLst>
            <c:ext xmlns:c16="http://schemas.microsoft.com/office/drawing/2014/chart" uri="{C3380CC4-5D6E-409C-BE32-E72D297353CC}">
              <c16:uniqueId val="{00000002-16DD-423B-9053-80F36DF94FFC}"/>
            </c:ext>
          </c:extLst>
        </c:ser>
        <c:ser>
          <c:idx val="3"/>
          <c:order val="3"/>
          <c:tx>
            <c:strRef>
              <c:f>'Semi-trailer truck (Hydrogen)'!$A$324</c:f>
              <c:strCache>
                <c:ptCount val="1"/>
                <c:pt idx="0">
                  <c:v>Road long-haul: Break bulk</c:v>
                </c:pt>
              </c:strCache>
            </c:strRef>
          </c:tx>
          <c:spPr>
            <a:ln w="28575" cap="rnd">
              <a:solidFill>
                <a:schemeClr val="accent4"/>
              </a:solidFill>
              <a:round/>
            </a:ln>
            <a:effectLst/>
          </c:spPr>
          <c:marker>
            <c:symbol val="none"/>
          </c:marker>
          <c:cat>
            <c:numRef>
              <c:f>'Semi-trailer truck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(Hydrogen)'!$B$408:$AC$408</c:f>
              <c:numCache>
                <c:formatCode>0.00</c:formatCode>
                <c:ptCount val="28"/>
                <c:pt idx="0">
                  <c:v>0.18250100408731876</c:v>
                </c:pt>
                <c:pt idx="1">
                  <c:v>0.1815560249346109</c:v>
                </c:pt>
                <c:pt idx="2">
                  <c:v>0.18024003153227819</c:v>
                </c:pt>
                <c:pt idx="3">
                  <c:v>0.17843130898354581</c:v>
                </c:pt>
                <c:pt idx="4">
                  <c:v>0.17599112424731886</c:v>
                </c:pt>
                <c:pt idx="5">
                  <c:v>0.17278231638933086</c:v>
                </c:pt>
                <c:pt idx="6">
                  <c:v>0.16870481052296304</c:v>
                </c:pt>
                <c:pt idx="7">
                  <c:v>0.16374566388620743</c:v>
                </c:pt>
                <c:pt idx="8">
                  <c:v>0.15802656221846839</c:v>
                </c:pt>
                <c:pt idx="9">
                  <c:v>0.15181799796250187</c:v>
                </c:pt>
                <c:pt idx="10">
                  <c:v>0.14549636412004197</c:v>
                </c:pt>
                <c:pt idx="11">
                  <c:v>0.13945522266947516</c:v>
                </c:pt>
                <c:pt idx="12">
                  <c:v>0.1340153490406695</c:v>
                </c:pt>
                <c:pt idx="13">
                  <c:v>0.12937330907401362</c:v>
                </c:pt>
                <c:pt idx="14">
                  <c:v>0.12559582108131537</c:v>
                </c:pt>
                <c:pt idx="15">
                  <c:v>0.12264490481173457</c:v>
                </c:pt>
                <c:pt idx="16">
                  <c:v>0.12041636607040254</c:v>
                </c:pt>
                <c:pt idx="17">
                  <c:v>0.11877800021112297</c:v>
                </c:pt>
                <c:pt idx="18">
                  <c:v>0.11759830422684162</c:v>
                </c:pt>
                <c:pt idx="19">
                  <c:v>0.11676245645523986</c:v>
                </c:pt>
                <c:pt idx="20">
                  <c:v>0.11617776695532439</c:v>
                </c:pt>
                <c:pt idx="21">
                  <c:v>0.11577298308669608</c:v>
                </c:pt>
                <c:pt idx="22">
                  <c:v>0.11549508200506023</c:v>
                </c:pt>
                <c:pt idx="23">
                  <c:v>0.11530554357167577</c:v>
                </c:pt>
                <c:pt idx="24">
                  <c:v>0.11517691892683977</c:v>
                </c:pt>
                <c:pt idx="25">
                  <c:v>0.11508995451872212</c:v>
                </c:pt>
                <c:pt idx="26">
                  <c:v>0.11503131342734835</c:v>
                </c:pt>
                <c:pt idx="27">
                  <c:v>0.11499184516318911</c:v>
                </c:pt>
              </c:numCache>
            </c:numRef>
          </c:val>
          <c:smooth val="0"/>
          <c:extLst>
            <c:ext xmlns:c16="http://schemas.microsoft.com/office/drawing/2014/chart" uri="{C3380CC4-5D6E-409C-BE32-E72D297353CC}">
              <c16:uniqueId val="{00000003-16DD-423B-9053-80F36DF94FFC}"/>
            </c:ext>
          </c:extLst>
        </c:ser>
        <c:ser>
          <c:idx val="4"/>
          <c:order val="4"/>
          <c:tx>
            <c:strRef>
              <c:f>'Semi-trailer truck (Hydrogen)'!$A$429</c:f>
              <c:strCache>
                <c:ptCount val="1"/>
                <c:pt idx="0">
                  <c:v>Road long-haul:  Neo bulk</c:v>
                </c:pt>
              </c:strCache>
            </c:strRef>
          </c:tx>
          <c:spPr>
            <a:ln w="28575" cap="rnd">
              <a:solidFill>
                <a:schemeClr val="accent5"/>
              </a:solidFill>
              <a:round/>
            </a:ln>
            <a:effectLst/>
          </c:spPr>
          <c:marker>
            <c:symbol val="none"/>
          </c:marker>
          <c:cat>
            <c:numRef>
              <c:f>'Semi-trailer truck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(Hydrogen)'!$B$513:$AC$513</c:f>
              <c:numCache>
                <c:formatCode>0.00</c:formatCode>
                <c:ptCount val="28"/>
                <c:pt idx="0">
                  <c:v>0.15774090818787748</c:v>
                </c:pt>
                <c:pt idx="1">
                  <c:v>0.15691032369503954</c:v>
                </c:pt>
                <c:pt idx="2">
                  <c:v>0.15575348634089514</c:v>
                </c:pt>
                <c:pt idx="3">
                  <c:v>0.15416318636566459</c:v>
                </c:pt>
                <c:pt idx="4">
                  <c:v>0.15201700658993433</c:v>
                </c:pt>
                <c:pt idx="5">
                  <c:v>0.14919346065491809</c:v>
                </c:pt>
                <c:pt idx="6">
                  <c:v>0.14560293360784812</c:v>
                </c:pt>
                <c:pt idx="7">
                  <c:v>0.14123142047904186</c:v>
                </c:pt>
                <c:pt idx="8">
                  <c:v>0.13618230402012196</c:v>
                </c:pt>
                <c:pt idx="9">
                  <c:v>0.13068948979093387</c:v>
                </c:pt>
                <c:pt idx="10">
                  <c:v>0.12508116230501012</c:v>
                </c:pt>
                <c:pt idx="11">
                  <c:v>0.11970355148787055</c:v>
                </c:pt>
                <c:pt idx="12">
                  <c:v>0.1148427545380441</c:v>
                </c:pt>
                <c:pt idx="13">
                  <c:v>0.11067863092661061</c:v>
                </c:pt>
                <c:pt idx="14">
                  <c:v>0.10727748211919823</c:v>
                </c:pt>
                <c:pt idx="15">
                  <c:v>0.10461179707323583</c:v>
                </c:pt>
                <c:pt idx="16">
                  <c:v>0.10259299473191448</c:v>
                </c:pt>
                <c:pt idx="17">
                  <c:v>0.1011053080422593</c:v>
                </c:pt>
                <c:pt idx="18">
                  <c:v>0.1000319874588604</c:v>
                </c:pt>
                <c:pt idx="19">
                  <c:v>9.9270262420587174E-2</c:v>
                </c:pt>
                <c:pt idx="20">
                  <c:v>9.8736713806842721E-2</c:v>
                </c:pt>
                <c:pt idx="21">
                  <c:v>9.8366948135207091E-2</c:v>
                </c:pt>
                <c:pt idx="22">
                  <c:v>9.8112886222782927E-2</c:v>
                </c:pt>
                <c:pt idx="23">
                  <c:v>9.7939505173767469E-2</c:v>
                </c:pt>
                <c:pt idx="24">
                  <c:v>9.7821795633762434E-2</c:v>
                </c:pt>
                <c:pt idx="25">
                  <c:v>9.7742187415189766E-2</c:v>
                </c:pt>
                <c:pt idx="26">
                  <c:v>9.7688495638655656E-2</c:v>
                </c:pt>
                <c:pt idx="27">
                  <c:v>9.7652353398197764E-2</c:v>
                </c:pt>
              </c:numCache>
            </c:numRef>
          </c:val>
          <c:smooth val="0"/>
          <c:extLst>
            <c:ext xmlns:c16="http://schemas.microsoft.com/office/drawing/2014/chart" uri="{C3380CC4-5D6E-409C-BE32-E72D297353CC}">
              <c16:uniqueId val="{00000004-16DD-423B-9053-80F36DF94FFC}"/>
            </c:ext>
          </c:extLst>
        </c:ser>
        <c:dLbls>
          <c:showLegendKey val="0"/>
          <c:showVal val="0"/>
          <c:showCatName val="0"/>
          <c:showSerName val="0"/>
          <c:showPercent val="0"/>
          <c:showBubbleSize val="0"/>
        </c:dLbls>
        <c:smooth val="0"/>
        <c:axId val="1081129776"/>
        <c:axId val="1081124200"/>
      </c:lineChart>
      <c:catAx>
        <c:axId val="1081129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1081124200"/>
        <c:crosses val="autoZero"/>
        <c:auto val="1"/>
        <c:lblAlgn val="ctr"/>
        <c:lblOffset val="100"/>
        <c:tickLblSkip val="3"/>
        <c:noMultiLvlLbl val="0"/>
      </c:catAx>
      <c:valAx>
        <c:axId val="10811242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1081129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Diesel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'Railway (Diesel)'!$A$1</c:f>
              <c:strCache>
                <c:ptCount val="1"/>
                <c:pt idx="0">
                  <c:v>Railway long-haul: Dry bulk</c:v>
                </c:pt>
              </c:strCache>
            </c:strRef>
          </c:tx>
          <c:spPr>
            <a:ln w="28575" cap="rnd">
              <a:solidFill>
                <a:schemeClr val="accent1"/>
              </a:solidFill>
              <a:round/>
            </a:ln>
            <a:effectLst/>
          </c:spPr>
          <c:marker>
            <c:symbol val="none"/>
          </c:marker>
          <c:cat>
            <c:numRef>
              <c:f>'Railway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(Diesel)'!$B$85:$AC$85</c:f>
              <c:numCache>
                <c:formatCode>0.000000</c:formatCode>
                <c:ptCount val="28"/>
                <c:pt idx="0">
                  <c:v>1.8360865731558488E-2</c:v>
                </c:pt>
                <c:pt idx="1">
                  <c:v>1.8364931495261947E-2</c:v>
                </c:pt>
                <c:pt idx="2">
                  <c:v>1.8370743712075061E-2</c:v>
                </c:pt>
                <c:pt idx="3">
                  <c:v>1.8379042067381737E-2</c:v>
                </c:pt>
                <c:pt idx="4">
                  <c:v>1.8390868106937748E-2</c:v>
                </c:pt>
                <c:pt idx="5">
                  <c:v>1.8407676429072237E-2</c:v>
                </c:pt>
                <c:pt idx="6">
                  <c:v>1.8431474904881846E-2</c:v>
                </c:pt>
                <c:pt idx="7">
                  <c:v>1.8464990327470419E-2</c:v>
                </c:pt>
                <c:pt idx="8">
                  <c:v>1.8511844429421997E-2</c:v>
                </c:pt>
                <c:pt idx="9">
                  <c:v>1.8576706814543736E-2</c:v>
                </c:pt>
                <c:pt idx="10">
                  <c:v>1.8665364248115848E-2</c:v>
                </c:pt>
                <c:pt idx="11">
                  <c:v>1.878460195012872E-2</c:v>
                </c:pt>
                <c:pt idx="12">
                  <c:v>1.8941712739581729E-2</c:v>
                </c:pt>
                <c:pt idx="13">
                  <c:v>1.9143336861983766E-2</c:v>
                </c:pt>
                <c:pt idx="14">
                  <c:v>1.9393323135345295E-2</c:v>
                </c:pt>
                <c:pt idx="15">
                  <c:v>1.9689714974171445E-2</c:v>
                </c:pt>
                <c:pt idx="16">
                  <c:v>2.0021996150566372E-2</c:v>
                </c:pt>
                <c:pt idx="17">
                  <c:v>2.0370744855136225E-2</c:v>
                </c:pt>
                <c:pt idx="18">
                  <c:v>2.0711326930174221E-2</c:v>
                </c:pt>
                <c:pt idx="19">
                  <c:v>2.1020602376728963E-2</c:v>
                </c:pt>
                <c:pt idx="20">
                  <c:v>2.1283026088241695E-2</c:v>
                </c:pt>
                <c:pt idx="21">
                  <c:v>2.1492965526109957E-2</c:v>
                </c:pt>
                <c:pt idx="22">
                  <c:v>2.1653052129415793E-2</c:v>
                </c:pt>
                <c:pt idx="23">
                  <c:v>2.1770677404645413E-2</c:v>
                </c:pt>
                <c:pt idx="24">
                  <c:v>2.1854753662609437E-2</c:v>
                </c:pt>
                <c:pt idx="25">
                  <c:v>2.1913667518629745E-2</c:v>
                </c:pt>
                <c:pt idx="26">
                  <c:v>2.1954375479161927E-2</c:v>
                </c:pt>
                <c:pt idx="27">
                  <c:v>2.1982231623871498E-2</c:v>
                </c:pt>
              </c:numCache>
            </c:numRef>
          </c:val>
          <c:smooth val="0"/>
          <c:extLst>
            <c:ext xmlns:c16="http://schemas.microsoft.com/office/drawing/2014/chart" uri="{C3380CC4-5D6E-409C-BE32-E72D297353CC}">
              <c16:uniqueId val="{00000000-6740-4956-BA32-7EB3AB7CA38C}"/>
            </c:ext>
          </c:extLst>
        </c:ser>
        <c:ser>
          <c:idx val="1"/>
          <c:order val="1"/>
          <c:tx>
            <c:strRef>
              <c:f>'Railway (Diesel)'!$A$107</c:f>
              <c:strCache>
                <c:ptCount val="1"/>
                <c:pt idx="0">
                  <c:v>Railway long-haul: Liquid bulk</c:v>
                </c:pt>
              </c:strCache>
            </c:strRef>
          </c:tx>
          <c:spPr>
            <a:ln w="28575" cap="rnd">
              <a:solidFill>
                <a:schemeClr val="accent2"/>
              </a:solidFill>
              <a:round/>
            </a:ln>
            <a:effectLst/>
          </c:spPr>
          <c:marker>
            <c:symbol val="none"/>
          </c:marker>
          <c:cat>
            <c:numRef>
              <c:f>'Railway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(Diesel)'!$B$191:$AC$191</c:f>
              <c:numCache>
                <c:formatCode>0.00</c:formatCode>
                <c:ptCount val="28"/>
                <c:pt idx="0">
                  <c:v>2.7711075574809615E-2</c:v>
                </c:pt>
                <c:pt idx="1">
                  <c:v>2.77171742203648E-2</c:v>
                </c:pt>
                <c:pt idx="2">
                  <c:v>2.7725892545584468E-2</c:v>
                </c:pt>
                <c:pt idx="3">
                  <c:v>2.7738340078544494E-2</c:v>
                </c:pt>
                <c:pt idx="4">
                  <c:v>2.775607913787851E-2</c:v>
                </c:pt>
                <c:pt idx="5">
                  <c:v>2.7781291621080242E-2</c:v>
                </c:pt>
                <c:pt idx="6">
                  <c:v>2.7816989334794658E-2</c:v>
                </c:pt>
                <c:pt idx="7">
                  <c:v>2.7867262468677517E-2</c:v>
                </c:pt>
                <c:pt idx="8">
                  <c:v>2.7937543621604881E-2</c:v>
                </c:pt>
                <c:pt idx="9">
                  <c:v>2.8034837199287489E-2</c:v>
                </c:pt>
                <c:pt idx="10">
                  <c:v>2.8167823349645661E-2</c:v>
                </c:pt>
                <c:pt idx="11">
                  <c:v>2.8346679902664967E-2</c:v>
                </c:pt>
                <c:pt idx="12">
                  <c:v>2.8582346086844481E-2</c:v>
                </c:pt>
                <c:pt idx="13">
                  <c:v>2.8884782270447534E-2</c:v>
                </c:pt>
                <c:pt idx="14">
                  <c:v>2.9259761680489823E-2</c:v>
                </c:pt>
                <c:pt idx="15">
                  <c:v>2.9704349438729051E-2</c:v>
                </c:pt>
                <c:pt idx="16">
                  <c:v>3.0202771203321443E-2</c:v>
                </c:pt>
                <c:pt idx="17">
                  <c:v>3.0725894260176224E-2</c:v>
                </c:pt>
                <c:pt idx="18">
                  <c:v>3.1236767372733218E-2</c:v>
                </c:pt>
                <c:pt idx="19">
                  <c:v>3.1700680542565335E-2</c:v>
                </c:pt>
                <c:pt idx="20">
                  <c:v>3.2094316109834431E-2</c:v>
                </c:pt>
                <c:pt idx="21">
                  <c:v>3.2409225266636824E-2</c:v>
                </c:pt>
                <c:pt idx="22">
                  <c:v>3.2649355171595569E-2</c:v>
                </c:pt>
                <c:pt idx="23">
                  <c:v>3.2825793084440003E-2</c:v>
                </c:pt>
                <c:pt idx="24">
                  <c:v>3.2951907471386044E-2</c:v>
                </c:pt>
                <c:pt idx="25">
                  <c:v>3.30402782554165E-2</c:v>
                </c:pt>
                <c:pt idx="26">
                  <c:v>3.310134019621478E-2</c:v>
                </c:pt>
                <c:pt idx="27">
                  <c:v>3.3143124413279129E-2</c:v>
                </c:pt>
              </c:numCache>
            </c:numRef>
          </c:val>
          <c:smooth val="0"/>
          <c:extLst>
            <c:ext xmlns:c16="http://schemas.microsoft.com/office/drawing/2014/chart" uri="{C3380CC4-5D6E-409C-BE32-E72D297353CC}">
              <c16:uniqueId val="{00000001-6740-4956-BA32-7EB3AB7CA38C}"/>
            </c:ext>
          </c:extLst>
        </c:ser>
        <c:ser>
          <c:idx val="2"/>
          <c:order val="2"/>
          <c:tx>
            <c:strRef>
              <c:f>'Railway (Diesel)'!$A$215</c:f>
              <c:strCache>
                <c:ptCount val="1"/>
                <c:pt idx="0">
                  <c:v>Railway long-haul: Container</c:v>
                </c:pt>
              </c:strCache>
            </c:strRef>
          </c:tx>
          <c:spPr>
            <a:ln w="28575" cap="rnd">
              <a:solidFill>
                <a:schemeClr val="accent3"/>
              </a:solidFill>
              <a:round/>
            </a:ln>
            <a:effectLst/>
          </c:spPr>
          <c:marker>
            <c:symbol val="none"/>
          </c:marker>
          <c:cat>
            <c:numRef>
              <c:f>'Railway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(Diesel)'!$B$299:$AC$299</c:f>
              <c:numCache>
                <c:formatCode>0.00</c:formatCode>
                <c:ptCount val="28"/>
                <c:pt idx="0">
                  <c:v>2.6451341154744356E-2</c:v>
                </c:pt>
                <c:pt idx="1">
                  <c:v>2.6457439800299541E-2</c:v>
                </c:pt>
                <c:pt idx="2">
                  <c:v>2.6466158125519213E-2</c:v>
                </c:pt>
                <c:pt idx="3">
                  <c:v>2.6478605658479232E-2</c:v>
                </c:pt>
                <c:pt idx="4">
                  <c:v>2.6496344717813251E-2</c:v>
                </c:pt>
                <c:pt idx="5">
                  <c:v>2.6521557201014984E-2</c:v>
                </c:pt>
                <c:pt idx="6">
                  <c:v>2.6557254914729399E-2</c:v>
                </c:pt>
                <c:pt idx="7">
                  <c:v>2.6607528048612255E-2</c:v>
                </c:pt>
                <c:pt idx="8">
                  <c:v>2.6677809201539619E-2</c:v>
                </c:pt>
                <c:pt idx="9">
                  <c:v>2.677510277922223E-2</c:v>
                </c:pt>
                <c:pt idx="10">
                  <c:v>2.6908088929580395E-2</c:v>
                </c:pt>
                <c:pt idx="11">
                  <c:v>2.7086945482599704E-2</c:v>
                </c:pt>
                <c:pt idx="12">
                  <c:v>2.7322611666779219E-2</c:v>
                </c:pt>
                <c:pt idx="13">
                  <c:v>2.7625047850382278E-2</c:v>
                </c:pt>
                <c:pt idx="14">
                  <c:v>2.8000027260424568E-2</c:v>
                </c:pt>
                <c:pt idx="15">
                  <c:v>2.8444615018663796E-2</c:v>
                </c:pt>
                <c:pt idx="16">
                  <c:v>2.8943036783256181E-2</c:v>
                </c:pt>
                <c:pt idx="17">
                  <c:v>2.9466159840110969E-2</c:v>
                </c:pt>
                <c:pt idx="18">
                  <c:v>2.9977032952667956E-2</c:v>
                </c:pt>
                <c:pt idx="19">
                  <c:v>3.0440946122500076E-2</c:v>
                </c:pt>
                <c:pt idx="20">
                  <c:v>3.0834581689769165E-2</c:v>
                </c:pt>
                <c:pt idx="21">
                  <c:v>3.1149490846571561E-2</c:v>
                </c:pt>
                <c:pt idx="22">
                  <c:v>3.138962075153031E-2</c:v>
                </c:pt>
                <c:pt idx="23">
                  <c:v>3.1566058664374737E-2</c:v>
                </c:pt>
                <c:pt idx="24">
                  <c:v>3.1692173051320778E-2</c:v>
                </c:pt>
                <c:pt idx="25">
                  <c:v>3.1780543835351241E-2</c:v>
                </c:pt>
                <c:pt idx="26">
                  <c:v>3.1841605776149515E-2</c:v>
                </c:pt>
                <c:pt idx="27">
                  <c:v>3.188338999321387E-2</c:v>
                </c:pt>
              </c:numCache>
            </c:numRef>
          </c:val>
          <c:smooth val="0"/>
          <c:extLst>
            <c:ext xmlns:c16="http://schemas.microsoft.com/office/drawing/2014/chart" uri="{C3380CC4-5D6E-409C-BE32-E72D297353CC}">
              <c16:uniqueId val="{00000002-6740-4956-BA32-7EB3AB7CA38C}"/>
            </c:ext>
          </c:extLst>
        </c:ser>
        <c:ser>
          <c:idx val="3"/>
          <c:order val="3"/>
          <c:tx>
            <c:strRef>
              <c:f>'Railway (Diesel)'!$A$324</c:f>
              <c:strCache>
                <c:ptCount val="1"/>
                <c:pt idx="0">
                  <c:v>Railway long-haul: Break bulk</c:v>
                </c:pt>
              </c:strCache>
            </c:strRef>
          </c:tx>
          <c:spPr>
            <a:ln w="28575" cap="rnd">
              <a:solidFill>
                <a:schemeClr val="accent4"/>
              </a:solidFill>
              <a:round/>
            </a:ln>
            <a:effectLst/>
          </c:spPr>
          <c:marker>
            <c:symbol val="none"/>
          </c:marker>
          <c:cat>
            <c:numRef>
              <c:f>'Railway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(Diesel)'!$B$408:$AC$408</c:f>
              <c:numCache>
                <c:formatCode>0.00</c:formatCode>
                <c:ptCount val="28"/>
                <c:pt idx="0">
                  <c:v>2.2217430274894662E-2</c:v>
                </c:pt>
                <c:pt idx="1">
                  <c:v>2.2221044287075518E-2</c:v>
                </c:pt>
                <c:pt idx="2">
                  <c:v>2.2226210702020507E-2</c:v>
                </c:pt>
                <c:pt idx="3">
                  <c:v>2.2233587017848666E-2</c:v>
                </c:pt>
                <c:pt idx="4">
                  <c:v>2.2244099053009569E-2</c:v>
                </c:pt>
                <c:pt idx="5">
                  <c:v>2.225903978379578E-2</c:v>
                </c:pt>
                <c:pt idx="6">
                  <c:v>2.2280193984515431E-2</c:v>
                </c:pt>
                <c:pt idx="7">
                  <c:v>2.230998547126083E-2</c:v>
                </c:pt>
                <c:pt idx="8">
                  <c:v>2.2351633561884451E-2</c:v>
                </c:pt>
                <c:pt idx="9">
                  <c:v>2.2409289015325996E-2</c:v>
                </c:pt>
                <c:pt idx="10">
                  <c:v>2.2488095622945653E-2</c:v>
                </c:pt>
                <c:pt idx="11">
                  <c:v>2.2594084691401537E-2</c:v>
                </c:pt>
                <c:pt idx="12">
                  <c:v>2.2733738726470876E-2</c:v>
                </c:pt>
                <c:pt idx="13">
                  <c:v>2.2912960168606025E-2</c:v>
                </c:pt>
                <c:pt idx="14">
                  <c:v>2.3135170189371824E-2</c:v>
                </c:pt>
                <c:pt idx="15">
                  <c:v>2.3398629601661742E-2</c:v>
                </c:pt>
                <c:pt idx="16">
                  <c:v>2.3693990647346119E-2</c:v>
                </c:pt>
                <c:pt idx="17">
                  <c:v>2.4003989495852657E-2</c:v>
                </c:pt>
                <c:pt idx="18">
                  <c:v>2.430672911810865E-2</c:v>
                </c:pt>
                <c:pt idx="19">
                  <c:v>2.4581640626157312E-2</c:v>
                </c:pt>
                <c:pt idx="20">
                  <c:v>2.481490614750196E-2</c:v>
                </c:pt>
                <c:pt idx="21">
                  <c:v>2.5001518981162638E-2</c:v>
                </c:pt>
                <c:pt idx="22">
                  <c:v>2.514381818410116E-2</c:v>
                </c:pt>
                <c:pt idx="23">
                  <c:v>2.5248373984305263E-2</c:v>
                </c:pt>
                <c:pt idx="24">
                  <c:v>2.5323108435828846E-2</c:v>
                </c:pt>
                <c:pt idx="25">
                  <c:v>2.5375476307846895E-2</c:v>
                </c:pt>
                <c:pt idx="26">
                  <c:v>2.5411661161653276E-2</c:v>
                </c:pt>
                <c:pt idx="27">
                  <c:v>2.5436422179172895E-2</c:v>
                </c:pt>
              </c:numCache>
            </c:numRef>
          </c:val>
          <c:smooth val="0"/>
          <c:extLst>
            <c:ext xmlns:c16="http://schemas.microsoft.com/office/drawing/2014/chart" uri="{C3380CC4-5D6E-409C-BE32-E72D297353CC}">
              <c16:uniqueId val="{00000003-6740-4956-BA32-7EB3AB7CA38C}"/>
            </c:ext>
          </c:extLst>
        </c:ser>
        <c:ser>
          <c:idx val="4"/>
          <c:order val="4"/>
          <c:tx>
            <c:strRef>
              <c:f>'Railway (Diesel)'!$A$429</c:f>
              <c:strCache>
                <c:ptCount val="1"/>
                <c:pt idx="0">
                  <c:v>Railway long-haul:  Neo bulk</c:v>
                </c:pt>
              </c:strCache>
            </c:strRef>
          </c:tx>
          <c:spPr>
            <a:ln w="28575" cap="rnd">
              <a:solidFill>
                <a:schemeClr val="accent5"/>
              </a:solidFill>
              <a:round/>
            </a:ln>
            <a:effectLst/>
          </c:spPr>
          <c:marker>
            <c:symbol val="none"/>
          </c:marker>
          <c:cat>
            <c:numRef>
              <c:f>'Railway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(Diesel)'!$B$513:$AC$513</c:f>
              <c:numCache>
                <c:formatCode>0.00</c:formatCode>
                <c:ptCount val="28"/>
                <c:pt idx="0">
                  <c:v>2.7291893879419288E-2</c:v>
                </c:pt>
                <c:pt idx="1">
                  <c:v>2.7297992524974477E-2</c:v>
                </c:pt>
                <c:pt idx="2">
                  <c:v>2.7306710850194149E-2</c:v>
                </c:pt>
                <c:pt idx="3">
                  <c:v>2.7319158383154164E-2</c:v>
                </c:pt>
                <c:pt idx="4">
                  <c:v>2.7336897442488184E-2</c:v>
                </c:pt>
                <c:pt idx="5">
                  <c:v>2.736210992568992E-2</c:v>
                </c:pt>
                <c:pt idx="6">
                  <c:v>2.7397807639404331E-2</c:v>
                </c:pt>
                <c:pt idx="7">
                  <c:v>2.7448080773287194E-2</c:v>
                </c:pt>
                <c:pt idx="8">
                  <c:v>2.7518361926214558E-2</c:v>
                </c:pt>
                <c:pt idx="9">
                  <c:v>2.7615655503897166E-2</c:v>
                </c:pt>
                <c:pt idx="10">
                  <c:v>2.7748641654255331E-2</c:v>
                </c:pt>
                <c:pt idx="11">
                  <c:v>2.7927498207274644E-2</c:v>
                </c:pt>
                <c:pt idx="12">
                  <c:v>2.8163164391454158E-2</c:v>
                </c:pt>
                <c:pt idx="13">
                  <c:v>2.8465600575057214E-2</c:v>
                </c:pt>
                <c:pt idx="14">
                  <c:v>2.8840579985099504E-2</c:v>
                </c:pt>
                <c:pt idx="15">
                  <c:v>2.9285167743338732E-2</c:v>
                </c:pt>
                <c:pt idx="16">
                  <c:v>2.9783589507931117E-2</c:v>
                </c:pt>
                <c:pt idx="17">
                  <c:v>3.0306712564785905E-2</c:v>
                </c:pt>
                <c:pt idx="18">
                  <c:v>3.0817585677342885E-2</c:v>
                </c:pt>
                <c:pt idx="19">
                  <c:v>3.1281498847175015E-2</c:v>
                </c:pt>
                <c:pt idx="20">
                  <c:v>3.1675134414444105E-2</c:v>
                </c:pt>
                <c:pt idx="21">
                  <c:v>3.1990043571246497E-2</c:v>
                </c:pt>
                <c:pt idx="22">
                  <c:v>3.223017347620525E-2</c:v>
                </c:pt>
                <c:pt idx="23">
                  <c:v>3.2406611389049676E-2</c:v>
                </c:pt>
                <c:pt idx="24">
                  <c:v>3.2532725775995718E-2</c:v>
                </c:pt>
                <c:pt idx="25">
                  <c:v>3.2621096560026173E-2</c:v>
                </c:pt>
                <c:pt idx="26">
                  <c:v>3.2682158500824454E-2</c:v>
                </c:pt>
                <c:pt idx="27">
                  <c:v>3.272394271788881E-2</c:v>
                </c:pt>
              </c:numCache>
            </c:numRef>
          </c:val>
          <c:smooth val="0"/>
          <c:extLst>
            <c:ext xmlns:c16="http://schemas.microsoft.com/office/drawing/2014/chart" uri="{C3380CC4-5D6E-409C-BE32-E72D297353CC}">
              <c16:uniqueId val="{00000004-6740-4956-BA32-7EB3AB7CA38C}"/>
            </c:ext>
          </c:extLst>
        </c:ser>
        <c:dLbls>
          <c:showLegendKey val="0"/>
          <c:showVal val="0"/>
          <c:showCatName val="0"/>
          <c:showSerName val="0"/>
          <c:showPercent val="0"/>
          <c:showBubbleSize val="0"/>
        </c:dLbls>
        <c:smooth val="0"/>
        <c:axId val="818480432"/>
        <c:axId val="818479120"/>
      </c:lineChart>
      <c:catAx>
        <c:axId val="818480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818479120"/>
        <c:crosses val="autoZero"/>
        <c:auto val="1"/>
        <c:lblAlgn val="ctr"/>
        <c:lblOffset val="100"/>
        <c:tickLblSkip val="3"/>
        <c:noMultiLvlLbl val="0"/>
      </c:catAx>
      <c:valAx>
        <c:axId val="818479120"/>
        <c:scaling>
          <c:orientation val="minMax"/>
        </c:scaling>
        <c:delete val="0"/>
        <c:axPos val="l"/>
        <c:majorGridlines>
          <c:spPr>
            <a:ln w="9525" cap="flat" cmpd="sng" algn="ctr">
              <a:solidFill>
                <a:schemeClr val="tx1">
                  <a:lumMod val="15000"/>
                  <a:lumOff val="85000"/>
                </a:schemeClr>
              </a:solidFill>
              <a:round/>
            </a:ln>
            <a:effectLst/>
          </c:spPr>
        </c:majorGridlines>
        <c:numFmt formatCode="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818480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Catenary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b-NO"/>
        </a:p>
      </c:txPr>
    </c:title>
    <c:autoTitleDeleted val="0"/>
    <c:plotArea>
      <c:layout/>
      <c:lineChart>
        <c:grouping val="standard"/>
        <c:varyColors val="0"/>
        <c:ser>
          <c:idx val="0"/>
          <c:order val="0"/>
          <c:tx>
            <c:strRef>
              <c:f>'Railway (Catenary)'!$A$1</c:f>
              <c:strCache>
                <c:ptCount val="1"/>
                <c:pt idx="0">
                  <c:v>Railway long-haul: Dry bulk</c:v>
                </c:pt>
              </c:strCache>
            </c:strRef>
          </c:tx>
          <c:spPr>
            <a:ln w="28575" cap="rnd">
              <a:solidFill>
                <a:schemeClr val="accent1"/>
              </a:solidFill>
              <a:round/>
            </a:ln>
            <a:effectLst/>
          </c:spPr>
          <c:marker>
            <c:symbol val="none"/>
          </c:marker>
          <c:cat>
            <c:numRef>
              <c:f>'Railway (Catenary)'!$B$501:$AC$501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(Catenary)'!$B$85:$AC$85</c:f>
              <c:numCache>
                <c:formatCode>0.000</c:formatCode>
                <c:ptCount val="28"/>
                <c:pt idx="0">
                  <c:v>1.3425445445853938E-2</c:v>
                </c:pt>
                <c:pt idx="1">
                  <c:v>1.3419647080803105E-2</c:v>
                </c:pt>
                <c:pt idx="2">
                  <c:v>1.3411413669746923E-2</c:v>
                </c:pt>
                <c:pt idx="3">
                  <c:v>1.339977534202611E-2</c:v>
                </c:pt>
                <c:pt idx="4">
                  <c:v>1.3383432831987199E-2</c:v>
                </c:pt>
                <c:pt idx="5">
                  <c:v>1.3360705576743355E-2</c:v>
                </c:pt>
                <c:pt idx="6">
                  <c:v>1.3329536560192739E-2</c:v>
                </c:pt>
                <c:pt idx="7">
                  <c:v>1.3287626812710757E-2</c:v>
                </c:pt>
                <c:pt idx="8">
                  <c:v>1.3232799142397557E-2</c:v>
                </c:pt>
                <c:pt idx="9">
                  <c:v>1.31636691579967E-2</c:v>
                </c:pt>
                <c:pt idx="10">
                  <c:v>1.3080560302271857E-2</c:v>
                </c:pt>
                <c:pt idx="11">
                  <c:v>1.2986311373201933E-2</c:v>
                </c:pt>
                <c:pt idx="12">
                  <c:v>1.2886366347040891E-2</c:v>
                </c:pt>
                <c:pt idx="13">
                  <c:v>1.2787706995525432E-2</c:v>
                </c:pt>
                <c:pt idx="14">
                  <c:v>1.2696944786244516E-2</c:v>
                </c:pt>
                <c:pt idx="15">
                  <c:v>1.2618608965582529E-2</c:v>
                </c:pt>
                <c:pt idx="16">
                  <c:v>1.2554517974733089E-2</c:v>
                </c:pt>
                <c:pt idx="17">
                  <c:v>1.2504251684656588E-2</c:v>
                </c:pt>
                <c:pt idx="18">
                  <c:v>1.2466096989458931E-2</c:v>
                </c:pt>
                <c:pt idx="19">
                  <c:v>1.2437876084658454E-2</c:v>
                </c:pt>
                <c:pt idx="20">
                  <c:v>1.2417444062803139E-2</c:v>
                </c:pt>
                <c:pt idx="21">
                  <c:v>1.240291528060964E-2</c:v>
                </c:pt>
                <c:pt idx="22">
                  <c:v>1.2392737677124913E-2</c:v>
                </c:pt>
                <c:pt idx="23">
                  <c:v>1.2385693209392049E-2</c:v>
                </c:pt>
                <c:pt idx="24">
                  <c:v>1.2380862195961179E-2</c:v>
                </c:pt>
                <c:pt idx="25">
                  <c:v>1.2377571773451076E-2</c:v>
                </c:pt>
                <c:pt idx="26">
                  <c:v>1.2375341692176703E-2</c:v>
                </c:pt>
                <c:pt idx="27">
                  <c:v>1.2373835507405413E-2</c:v>
                </c:pt>
              </c:numCache>
            </c:numRef>
          </c:val>
          <c:smooth val="0"/>
          <c:extLst>
            <c:ext xmlns:c16="http://schemas.microsoft.com/office/drawing/2014/chart" uri="{C3380CC4-5D6E-409C-BE32-E72D297353CC}">
              <c16:uniqueId val="{00000000-42A8-4640-A4CC-AB5AB74DCFD8}"/>
            </c:ext>
          </c:extLst>
        </c:ser>
        <c:ser>
          <c:idx val="1"/>
          <c:order val="1"/>
          <c:tx>
            <c:strRef>
              <c:f>'Railway (Catenary)'!$A$107</c:f>
              <c:strCache>
                <c:ptCount val="1"/>
                <c:pt idx="0">
                  <c:v>Railway long-haul: Liquid bulk</c:v>
                </c:pt>
              </c:strCache>
            </c:strRef>
          </c:tx>
          <c:spPr>
            <a:ln w="28575" cap="rnd">
              <a:solidFill>
                <a:schemeClr val="accent2"/>
              </a:solidFill>
              <a:round/>
            </a:ln>
            <a:effectLst/>
          </c:spPr>
          <c:marker>
            <c:symbol val="none"/>
          </c:marker>
          <c:cat>
            <c:numRef>
              <c:f>'Railway (Catenary)'!$B$501:$AC$501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(Catenary)'!$B$191:$AC$191</c:f>
              <c:numCache>
                <c:formatCode>0.00</c:formatCode>
                <c:ptCount val="28"/>
                <c:pt idx="0" formatCode="0.000">
                  <c:v>2.0307945146252789E-2</c:v>
                </c:pt>
                <c:pt idx="1">
                  <c:v>2.0299247598676538E-2</c:v>
                </c:pt>
                <c:pt idx="2">
                  <c:v>2.0286897482092271E-2</c:v>
                </c:pt>
                <c:pt idx="3">
                  <c:v>2.0269439990511048E-2</c:v>
                </c:pt>
                <c:pt idx="4">
                  <c:v>2.0244926225452684E-2</c:v>
                </c:pt>
                <c:pt idx="5">
                  <c:v>2.0210835342586914E-2</c:v>
                </c:pt>
                <c:pt idx="6">
                  <c:v>2.0164081817760991E-2</c:v>
                </c:pt>
                <c:pt idx="7">
                  <c:v>2.0101217196538013E-2</c:v>
                </c:pt>
                <c:pt idx="8">
                  <c:v>2.0018975691068221E-2</c:v>
                </c:pt>
                <c:pt idx="9">
                  <c:v>1.9915280714466934E-2</c:v>
                </c:pt>
                <c:pt idx="10">
                  <c:v>1.9790617430879665E-2</c:v>
                </c:pt>
                <c:pt idx="11">
                  <c:v>1.9649244037274784E-2</c:v>
                </c:pt>
                <c:pt idx="12">
                  <c:v>1.949932649803322E-2</c:v>
                </c:pt>
                <c:pt idx="13">
                  <c:v>1.9351337470760031E-2</c:v>
                </c:pt>
                <c:pt idx="14">
                  <c:v>1.9215194156838651E-2</c:v>
                </c:pt>
                <c:pt idx="15">
                  <c:v>1.9097690425845675E-2</c:v>
                </c:pt>
                <c:pt idx="16">
                  <c:v>1.9001553939571519E-2</c:v>
                </c:pt>
                <c:pt idx="17">
                  <c:v>1.8926154504456762E-2</c:v>
                </c:pt>
                <c:pt idx="18">
                  <c:v>1.8868922461660276E-2</c:v>
                </c:pt>
                <c:pt idx="19">
                  <c:v>1.8826591104459563E-2</c:v>
                </c:pt>
                <c:pt idx="20">
                  <c:v>1.8795943071676591E-2</c:v>
                </c:pt>
                <c:pt idx="21">
                  <c:v>1.8774149898386341E-2</c:v>
                </c:pt>
                <c:pt idx="22">
                  <c:v>1.8758883493159254E-2</c:v>
                </c:pt>
                <c:pt idx="23">
                  <c:v>1.8748316791559951E-2</c:v>
                </c:pt>
                <c:pt idx="24">
                  <c:v>1.8741070271413647E-2</c:v>
                </c:pt>
                <c:pt idx="25">
                  <c:v>1.8736134637648495E-2</c:v>
                </c:pt>
                <c:pt idx="26">
                  <c:v>1.8732789515736935E-2</c:v>
                </c:pt>
                <c:pt idx="27">
                  <c:v>1.8730530238579998E-2</c:v>
                </c:pt>
              </c:numCache>
            </c:numRef>
          </c:val>
          <c:smooth val="0"/>
          <c:extLst>
            <c:ext xmlns:c16="http://schemas.microsoft.com/office/drawing/2014/chart" uri="{C3380CC4-5D6E-409C-BE32-E72D297353CC}">
              <c16:uniqueId val="{00000001-42A8-4640-A4CC-AB5AB74DCFD8}"/>
            </c:ext>
          </c:extLst>
        </c:ser>
        <c:ser>
          <c:idx val="2"/>
          <c:order val="2"/>
          <c:tx>
            <c:strRef>
              <c:f>'Railway (Catenary)'!$A$215</c:f>
              <c:strCache>
                <c:ptCount val="1"/>
                <c:pt idx="0">
                  <c:v>Railway long-haul: Container</c:v>
                </c:pt>
              </c:strCache>
            </c:strRef>
          </c:tx>
          <c:spPr>
            <a:ln w="28575" cap="rnd">
              <a:solidFill>
                <a:schemeClr val="accent3"/>
              </a:solidFill>
              <a:round/>
            </a:ln>
            <a:effectLst/>
          </c:spPr>
          <c:marker>
            <c:symbol val="none"/>
          </c:marker>
          <c:cat>
            <c:numRef>
              <c:f>'Railway (Catenary)'!$B$501:$AC$501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(Catenary)'!$B$299:$AC$299</c:f>
              <c:numCache>
                <c:formatCode>0.00</c:formatCode>
                <c:ptCount val="28"/>
                <c:pt idx="0" formatCode="0.0000">
                  <c:v>1.904821072618753E-2</c:v>
                </c:pt>
                <c:pt idx="1">
                  <c:v>1.9039513178611283E-2</c:v>
                </c:pt>
                <c:pt idx="2">
                  <c:v>1.9027163062027008E-2</c:v>
                </c:pt>
                <c:pt idx="3">
                  <c:v>1.9009705570445793E-2</c:v>
                </c:pt>
                <c:pt idx="4">
                  <c:v>1.8985191805387422E-2</c:v>
                </c:pt>
                <c:pt idx="5">
                  <c:v>1.8951100922521655E-2</c:v>
                </c:pt>
                <c:pt idx="6">
                  <c:v>1.8904347397695732E-2</c:v>
                </c:pt>
                <c:pt idx="7">
                  <c:v>1.8841482776472757E-2</c:v>
                </c:pt>
                <c:pt idx="8">
                  <c:v>1.8759241271002959E-2</c:v>
                </c:pt>
                <c:pt idx="9">
                  <c:v>1.8655546294401672E-2</c:v>
                </c:pt>
                <c:pt idx="10">
                  <c:v>1.8530883010814403E-2</c:v>
                </c:pt>
                <c:pt idx="11">
                  <c:v>1.8389509617209521E-2</c:v>
                </c:pt>
                <c:pt idx="12">
                  <c:v>1.8239592077967957E-2</c:v>
                </c:pt>
                <c:pt idx="13">
                  <c:v>1.8091603050694773E-2</c:v>
                </c:pt>
                <c:pt idx="14">
                  <c:v>1.7955459736773396E-2</c:v>
                </c:pt>
                <c:pt idx="15">
                  <c:v>1.7837956005780413E-2</c:v>
                </c:pt>
                <c:pt idx="16">
                  <c:v>1.7741819519506256E-2</c:v>
                </c:pt>
                <c:pt idx="17">
                  <c:v>1.7666420084391503E-2</c:v>
                </c:pt>
                <c:pt idx="18">
                  <c:v>1.7609188041595017E-2</c:v>
                </c:pt>
                <c:pt idx="19">
                  <c:v>1.7566856684394307E-2</c:v>
                </c:pt>
                <c:pt idx="20">
                  <c:v>1.7536208651611332E-2</c:v>
                </c:pt>
                <c:pt idx="21">
                  <c:v>1.7514415478321083E-2</c:v>
                </c:pt>
                <c:pt idx="22">
                  <c:v>1.7499149073093995E-2</c:v>
                </c:pt>
                <c:pt idx="23">
                  <c:v>1.7488582371494692E-2</c:v>
                </c:pt>
                <c:pt idx="24">
                  <c:v>1.7481335851348392E-2</c:v>
                </c:pt>
                <c:pt idx="25">
                  <c:v>1.7476400217583232E-2</c:v>
                </c:pt>
                <c:pt idx="26">
                  <c:v>1.7473055095671677E-2</c:v>
                </c:pt>
                <c:pt idx="27">
                  <c:v>1.7470795818514739E-2</c:v>
                </c:pt>
              </c:numCache>
            </c:numRef>
          </c:val>
          <c:smooth val="0"/>
          <c:extLst>
            <c:ext xmlns:c16="http://schemas.microsoft.com/office/drawing/2014/chart" uri="{C3380CC4-5D6E-409C-BE32-E72D297353CC}">
              <c16:uniqueId val="{00000002-42A8-4640-A4CC-AB5AB74DCFD8}"/>
            </c:ext>
          </c:extLst>
        </c:ser>
        <c:ser>
          <c:idx val="3"/>
          <c:order val="3"/>
          <c:tx>
            <c:strRef>
              <c:f>'Railway (Catenary)'!$A$324</c:f>
              <c:strCache>
                <c:ptCount val="1"/>
                <c:pt idx="0">
                  <c:v>Railway long-haul: Break bulk</c:v>
                </c:pt>
              </c:strCache>
            </c:strRef>
          </c:tx>
          <c:spPr>
            <a:ln w="28575" cap="rnd">
              <a:solidFill>
                <a:schemeClr val="accent4"/>
              </a:solidFill>
              <a:round/>
            </a:ln>
            <a:effectLst/>
          </c:spPr>
          <c:marker>
            <c:symbol val="none"/>
          </c:marker>
          <c:cat>
            <c:numRef>
              <c:f>'Railway (Catenary)'!$B$501:$AC$501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(Catenary)'!$B$408:$AC$408</c:f>
              <c:numCache>
                <c:formatCode>0.00</c:formatCode>
                <c:ptCount val="28"/>
                <c:pt idx="0" formatCode="0.0000">
                  <c:v>1.7830390020935068E-2</c:v>
                </c:pt>
                <c:pt idx="1">
                  <c:v>1.7825235918667658E-2</c:v>
                </c:pt>
                <c:pt idx="2">
                  <c:v>1.7817917331062166E-2</c:v>
                </c:pt>
                <c:pt idx="3">
                  <c:v>1.7807572150865886E-2</c:v>
                </c:pt>
                <c:pt idx="4">
                  <c:v>1.7793045475275743E-2</c:v>
                </c:pt>
                <c:pt idx="5">
                  <c:v>1.7772843470614547E-2</c:v>
                </c:pt>
                <c:pt idx="6">
                  <c:v>1.7745137678125109E-2</c:v>
                </c:pt>
                <c:pt idx="7">
                  <c:v>1.7707884569252236E-2</c:v>
                </c:pt>
                <c:pt idx="8">
                  <c:v>1.7659148862307173E-2</c:v>
                </c:pt>
                <c:pt idx="9">
                  <c:v>1.759769998728419E-2</c:v>
                </c:pt>
                <c:pt idx="10">
                  <c:v>1.7523825448862104E-2</c:v>
                </c:pt>
                <c:pt idx="11">
                  <c:v>1.7440048623022172E-2</c:v>
                </c:pt>
                <c:pt idx="12">
                  <c:v>1.7351208599767912E-2</c:v>
                </c:pt>
                <c:pt idx="13">
                  <c:v>1.726351139842084E-2</c:v>
                </c:pt>
                <c:pt idx="14">
                  <c:v>1.7182833879060021E-2</c:v>
                </c:pt>
                <c:pt idx="15">
                  <c:v>1.7113202038471588E-2</c:v>
                </c:pt>
                <c:pt idx="16">
                  <c:v>1.7056232268827642E-2</c:v>
                </c:pt>
                <c:pt idx="17">
                  <c:v>1.7011551122092974E-2</c:v>
                </c:pt>
                <c:pt idx="18">
                  <c:v>1.6977635837472832E-2</c:v>
                </c:pt>
                <c:pt idx="19">
                  <c:v>1.69525505887613E-2</c:v>
                </c:pt>
                <c:pt idx="20">
                  <c:v>1.6934388791556575E-2</c:v>
                </c:pt>
                <c:pt idx="21">
                  <c:v>1.692147431849569E-2</c:v>
                </c:pt>
                <c:pt idx="22">
                  <c:v>1.6912427559842604E-2</c:v>
                </c:pt>
                <c:pt idx="23">
                  <c:v>1.6906165810746714E-2</c:v>
                </c:pt>
                <c:pt idx="24">
                  <c:v>1.6901871576585945E-2</c:v>
                </c:pt>
                <c:pt idx="25">
                  <c:v>1.6898946756576962E-2</c:v>
                </c:pt>
                <c:pt idx="26">
                  <c:v>1.6896964462110857E-2</c:v>
                </c:pt>
                <c:pt idx="27">
                  <c:v>1.6895625631203039E-2</c:v>
                </c:pt>
              </c:numCache>
            </c:numRef>
          </c:val>
          <c:smooth val="0"/>
          <c:extLst>
            <c:ext xmlns:c16="http://schemas.microsoft.com/office/drawing/2014/chart" uri="{C3380CC4-5D6E-409C-BE32-E72D297353CC}">
              <c16:uniqueId val="{00000003-42A8-4640-A4CC-AB5AB74DCFD8}"/>
            </c:ext>
          </c:extLst>
        </c:ser>
        <c:ser>
          <c:idx val="4"/>
          <c:order val="4"/>
          <c:tx>
            <c:strRef>
              <c:f>'Railway (Catenary)'!$A$429</c:f>
              <c:strCache>
                <c:ptCount val="1"/>
                <c:pt idx="0">
                  <c:v>Railway long-haul:  Neo bulk</c:v>
                </c:pt>
              </c:strCache>
            </c:strRef>
          </c:tx>
          <c:spPr>
            <a:ln w="28575" cap="rnd">
              <a:solidFill>
                <a:schemeClr val="accent5"/>
              </a:solidFill>
              <a:round/>
            </a:ln>
            <a:effectLst/>
          </c:spPr>
          <c:marker>
            <c:symbol val="none"/>
          </c:marker>
          <c:cat>
            <c:numRef>
              <c:f>'Railway (Catenary)'!$B$501:$AC$501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(Catenary)'!$B$513:$AC$513</c:f>
              <c:numCache>
                <c:formatCode>0.00</c:formatCode>
                <c:ptCount val="28"/>
                <c:pt idx="0" formatCode="0.000">
                  <c:v>1.9888763450862466E-2</c:v>
                </c:pt>
                <c:pt idx="1">
                  <c:v>1.9880065903286219E-2</c:v>
                </c:pt>
                <c:pt idx="2">
                  <c:v>1.9867715786701944E-2</c:v>
                </c:pt>
                <c:pt idx="3">
                  <c:v>1.9850258295120729E-2</c:v>
                </c:pt>
                <c:pt idx="4">
                  <c:v>1.9825744530062361E-2</c:v>
                </c:pt>
                <c:pt idx="5">
                  <c:v>1.9791653647196594E-2</c:v>
                </c:pt>
                <c:pt idx="6">
                  <c:v>1.9744900122370665E-2</c:v>
                </c:pt>
                <c:pt idx="7">
                  <c:v>1.9682035501147693E-2</c:v>
                </c:pt>
                <c:pt idx="8">
                  <c:v>1.9599793995677892E-2</c:v>
                </c:pt>
                <c:pt idx="9">
                  <c:v>1.9496099019076608E-2</c:v>
                </c:pt>
                <c:pt idx="10">
                  <c:v>1.9371435735489342E-2</c:v>
                </c:pt>
                <c:pt idx="11">
                  <c:v>1.9230062341884457E-2</c:v>
                </c:pt>
                <c:pt idx="12">
                  <c:v>1.9080144802642893E-2</c:v>
                </c:pt>
                <c:pt idx="13">
                  <c:v>1.8932155775369712E-2</c:v>
                </c:pt>
                <c:pt idx="14">
                  <c:v>1.8796012461448332E-2</c:v>
                </c:pt>
                <c:pt idx="15">
                  <c:v>1.8678508730455352E-2</c:v>
                </c:pt>
                <c:pt idx="16">
                  <c:v>1.8582372244181192E-2</c:v>
                </c:pt>
                <c:pt idx="17">
                  <c:v>1.8506972809066442E-2</c:v>
                </c:pt>
                <c:pt idx="18">
                  <c:v>1.8449740766269956E-2</c:v>
                </c:pt>
                <c:pt idx="19">
                  <c:v>1.840740940906924E-2</c:v>
                </c:pt>
                <c:pt idx="20">
                  <c:v>1.8376761376286268E-2</c:v>
                </c:pt>
                <c:pt idx="21">
                  <c:v>1.8354968202996022E-2</c:v>
                </c:pt>
                <c:pt idx="22">
                  <c:v>1.8339701797768931E-2</c:v>
                </c:pt>
                <c:pt idx="23">
                  <c:v>1.8329135096169631E-2</c:v>
                </c:pt>
                <c:pt idx="24">
                  <c:v>1.8321888576023331E-2</c:v>
                </c:pt>
                <c:pt idx="25">
                  <c:v>1.8316952942258175E-2</c:v>
                </c:pt>
                <c:pt idx="26">
                  <c:v>1.8313607820346616E-2</c:v>
                </c:pt>
                <c:pt idx="27">
                  <c:v>1.8311348543189675E-2</c:v>
                </c:pt>
              </c:numCache>
            </c:numRef>
          </c:val>
          <c:smooth val="0"/>
          <c:extLst>
            <c:ext xmlns:c16="http://schemas.microsoft.com/office/drawing/2014/chart" uri="{C3380CC4-5D6E-409C-BE32-E72D297353CC}">
              <c16:uniqueId val="{00000004-42A8-4640-A4CC-AB5AB74DCFD8}"/>
            </c:ext>
          </c:extLst>
        </c:ser>
        <c:dLbls>
          <c:showLegendKey val="0"/>
          <c:showVal val="0"/>
          <c:showCatName val="0"/>
          <c:showSerName val="0"/>
          <c:showPercent val="0"/>
          <c:showBubbleSize val="0"/>
        </c:dLbls>
        <c:smooth val="0"/>
        <c:axId val="771581608"/>
        <c:axId val="768872032"/>
      </c:lineChart>
      <c:catAx>
        <c:axId val="771581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768872032"/>
        <c:crosses val="autoZero"/>
        <c:auto val="1"/>
        <c:lblAlgn val="ctr"/>
        <c:lblOffset val="100"/>
        <c:tickLblSkip val="3"/>
        <c:noMultiLvlLbl val="0"/>
      </c:catAx>
      <c:valAx>
        <c:axId val="768872032"/>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771581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Battery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'Railway (Battery)'!$A$1</c:f>
              <c:strCache>
                <c:ptCount val="1"/>
                <c:pt idx="0">
                  <c:v>Railway long-haul: Dry bulk</c:v>
                </c:pt>
              </c:strCache>
            </c:strRef>
          </c:tx>
          <c:spPr>
            <a:ln w="28575" cap="rnd">
              <a:solidFill>
                <a:schemeClr val="accent1"/>
              </a:solidFill>
              <a:round/>
            </a:ln>
            <a:effectLst/>
          </c:spPr>
          <c:marker>
            <c:symbol val="none"/>
          </c:marker>
          <c:cat>
            <c:numRef>
              <c:f>'Railway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(Battery)'!$B$85:$AC$85</c:f>
              <c:numCache>
                <c:formatCode>0.0000</c:formatCode>
                <c:ptCount val="28"/>
                <c:pt idx="0">
                  <c:v>1.8319967731408395E-2</c:v>
                </c:pt>
                <c:pt idx="1">
                  <c:v>1.8293138756048918E-2</c:v>
                </c:pt>
                <c:pt idx="2">
                  <c:v>1.825505125393035E-2</c:v>
                </c:pt>
                <c:pt idx="3">
                  <c:v>1.8201229757168157E-2</c:v>
                </c:pt>
                <c:pt idx="4">
                  <c:v>1.81256879529486E-2</c:v>
                </c:pt>
                <c:pt idx="5">
                  <c:v>1.8020700861385196E-2</c:v>
                </c:pt>
                <c:pt idx="6">
                  <c:v>1.7876848523471139E-2</c:v>
                </c:pt>
                <c:pt idx="7">
                  <c:v>1.7683671276658191E-2</c:v>
                </c:pt>
                <c:pt idx="8">
                  <c:v>1.7431395126986608E-2</c:v>
                </c:pt>
                <c:pt idx="9">
                  <c:v>1.7114073004473193E-2</c:v>
                </c:pt>
                <c:pt idx="10">
                  <c:v>1.6733813975592891E-2</c:v>
                </c:pt>
                <c:pt idx="11">
                  <c:v>1.630443136417466E-2</c:v>
                </c:pt>
                <c:pt idx="12">
                  <c:v>1.5851681028795059E-2</c:v>
                </c:pt>
                <c:pt idx="13">
                  <c:v>1.5408127422556534E-2</c:v>
                </c:pt>
                <c:pt idx="14">
                  <c:v>1.5004203661474596E-2</c:v>
                </c:pt>
                <c:pt idx="15">
                  <c:v>1.466028789134597E-2</c:v>
                </c:pt>
                <c:pt idx="16">
                  <c:v>1.438384506847671E-2</c:v>
                </c:pt>
                <c:pt idx="17">
                  <c:v>1.4171701495362761E-2</c:v>
                </c:pt>
                <c:pt idx="18">
                  <c:v>1.4014607036203641E-2</c:v>
                </c:pt>
                <c:pt idx="19">
                  <c:v>1.390135034331752E-2</c:v>
                </c:pt>
                <c:pt idx="20">
                  <c:v>1.3821309379120404E-2</c:v>
                </c:pt>
                <c:pt idx="21">
                  <c:v>1.3765574749312044E-2</c:v>
                </c:pt>
                <c:pt idx="22">
                  <c:v>1.3727189002480279E-2</c:v>
                </c:pt>
                <c:pt idx="23">
                  <c:v>1.3700963759131763E-2</c:v>
                </c:pt>
                <c:pt idx="24">
                  <c:v>1.3683150396998753E-2</c:v>
                </c:pt>
                <c:pt idx="25">
                  <c:v>1.3671100571885043E-2</c:v>
                </c:pt>
                <c:pt idx="26">
                  <c:v>1.3662972971818111E-2</c:v>
                </c:pt>
                <c:pt idx="27">
                  <c:v>1.36575018337667E-2</c:v>
                </c:pt>
              </c:numCache>
            </c:numRef>
          </c:val>
          <c:smooth val="0"/>
          <c:extLst>
            <c:ext xmlns:c16="http://schemas.microsoft.com/office/drawing/2014/chart" uri="{C3380CC4-5D6E-409C-BE32-E72D297353CC}">
              <c16:uniqueId val="{00000000-C39E-4252-84BF-9E0AAB52FEAF}"/>
            </c:ext>
          </c:extLst>
        </c:ser>
        <c:ser>
          <c:idx val="1"/>
          <c:order val="1"/>
          <c:tx>
            <c:strRef>
              <c:f>'Railway (Battery)'!$A$107</c:f>
              <c:strCache>
                <c:ptCount val="1"/>
                <c:pt idx="0">
                  <c:v>Railway long-haul: Liquid bulk</c:v>
                </c:pt>
              </c:strCache>
            </c:strRef>
          </c:tx>
          <c:spPr>
            <a:ln w="28575" cap="rnd">
              <a:solidFill>
                <a:schemeClr val="accent2"/>
              </a:solidFill>
              <a:round/>
            </a:ln>
            <a:effectLst/>
          </c:spPr>
          <c:marker>
            <c:symbol val="none"/>
          </c:marker>
          <c:cat>
            <c:numRef>
              <c:f>'Railway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(Battery)'!$B$191:$AC$191</c:f>
              <c:numCache>
                <c:formatCode>0.00</c:formatCode>
                <c:ptCount val="28"/>
                <c:pt idx="0">
                  <c:v>2.744063606332638E-2</c:v>
                </c:pt>
                <c:pt idx="1">
                  <c:v>2.7401302654607329E-2</c:v>
                </c:pt>
                <c:pt idx="2">
                  <c:v>2.7345460352698088E-2</c:v>
                </c:pt>
                <c:pt idx="3">
                  <c:v>2.7266543524339468E-2</c:v>
                </c:pt>
                <c:pt idx="4">
                  <c:v>2.7155767005326771E-2</c:v>
                </c:pt>
                <c:pt idx="5">
                  <c:v>2.7001788109189413E-2</c:v>
                </c:pt>
                <c:pt idx="6">
                  <c:v>2.6790764140396949E-2</c:v>
                </c:pt>
                <c:pt idx="7">
                  <c:v>2.6507303838397053E-2</c:v>
                </c:pt>
                <c:pt idx="8">
                  <c:v>2.6136987285402046E-2</c:v>
                </c:pt>
                <c:pt idx="9">
                  <c:v>2.5670968897871273E-2</c:v>
                </c:pt>
                <c:pt idx="10">
                  <c:v>2.511219663009346E-2</c:v>
                </c:pt>
                <c:pt idx="11">
                  <c:v>2.4480812016437991E-2</c:v>
                </c:pt>
                <c:pt idx="12">
                  <c:v>2.3814572042980521E-2</c:v>
                </c:pt>
                <c:pt idx="13">
                  <c:v>2.3161368479902137E-2</c:v>
                </c:pt>
                <c:pt idx="14">
                  <c:v>2.2566091413116576E-2</c:v>
                </c:pt>
                <c:pt idx="15">
                  <c:v>2.2058914887029532E-2</c:v>
                </c:pt>
                <c:pt idx="16">
                  <c:v>2.1651008160032313E-2</c:v>
                </c:pt>
                <c:pt idx="17">
                  <c:v>2.1337828324925777E-2</c:v>
                </c:pt>
                <c:pt idx="18">
                  <c:v>2.1105824042914233E-2</c:v>
                </c:pt>
                <c:pt idx="19">
                  <c:v>2.0938508113814928E-2</c:v>
                </c:pt>
                <c:pt idx="20">
                  <c:v>2.0820232538941833E-2</c:v>
                </c:pt>
                <c:pt idx="21">
                  <c:v>2.0737858169350917E-2</c:v>
                </c:pt>
                <c:pt idx="22">
                  <c:v>2.0681116768956887E-2</c:v>
                </c:pt>
                <c:pt idx="23">
                  <c:v>2.0642346789265523E-2</c:v>
                </c:pt>
                <c:pt idx="24">
                  <c:v>2.0616010490961515E-2</c:v>
                </c:pt>
                <c:pt idx="25">
                  <c:v>2.0598194394887227E-2</c:v>
                </c:pt>
                <c:pt idx="26">
                  <c:v>2.058617700912161E-2</c:v>
                </c:pt>
                <c:pt idx="27">
                  <c:v>2.0578087238273764E-2</c:v>
                </c:pt>
              </c:numCache>
            </c:numRef>
          </c:val>
          <c:smooth val="0"/>
          <c:extLst>
            <c:ext xmlns:c16="http://schemas.microsoft.com/office/drawing/2014/chart" uri="{C3380CC4-5D6E-409C-BE32-E72D297353CC}">
              <c16:uniqueId val="{00000001-C39E-4252-84BF-9E0AAB52FEAF}"/>
            </c:ext>
          </c:extLst>
        </c:ser>
        <c:ser>
          <c:idx val="2"/>
          <c:order val="2"/>
          <c:tx>
            <c:strRef>
              <c:f>'Railway (Battery)'!$A$215</c:f>
              <c:strCache>
                <c:ptCount val="1"/>
                <c:pt idx="0">
                  <c:v>Railway long-haul: Container</c:v>
                </c:pt>
              </c:strCache>
            </c:strRef>
          </c:tx>
          <c:spPr>
            <a:ln w="28575" cap="rnd">
              <a:solidFill>
                <a:schemeClr val="accent3"/>
              </a:solidFill>
              <a:round/>
            </a:ln>
            <a:effectLst/>
          </c:spPr>
          <c:marker>
            <c:symbol val="none"/>
          </c:marker>
          <c:cat>
            <c:numRef>
              <c:f>'Railway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(Battery)'!$B$299:$AC$299</c:f>
              <c:numCache>
                <c:formatCode>0.00</c:formatCode>
                <c:ptCount val="28"/>
                <c:pt idx="0">
                  <c:v>2.6160332527494345E-2</c:v>
                </c:pt>
                <c:pt idx="1">
                  <c:v>2.6121059787580475E-2</c:v>
                </c:pt>
                <c:pt idx="2">
                  <c:v>2.6065303604867869E-2</c:v>
                </c:pt>
                <c:pt idx="3">
                  <c:v>2.5986508454086631E-2</c:v>
                </c:pt>
                <c:pt idx="4">
                  <c:v>2.5875902682009518E-2</c:v>
                </c:pt>
                <c:pt idx="5">
                  <c:v>2.5722161018959227E-2</c:v>
                </c:pt>
                <c:pt idx="6">
                  <c:v>2.5511461972254755E-2</c:v>
                </c:pt>
                <c:pt idx="7">
                  <c:v>2.5228437756884225E-2</c:v>
                </c:pt>
                <c:pt idx="8">
                  <c:v>2.4858690263342816E-2</c:v>
                </c:pt>
                <c:pt idx="9">
                  <c:v>2.4393386918808158E-2</c:v>
                </c:pt>
                <c:pt idx="10">
                  <c:v>2.3835470349376206E-2</c:v>
                </c:pt>
                <c:pt idx="11">
                  <c:v>2.3205050284614743E-2</c:v>
                </c:pt>
                <c:pt idx="12">
                  <c:v>2.253982508348671E-2</c:v>
                </c:pt>
                <c:pt idx="13">
                  <c:v>2.1887612854496006E-2</c:v>
                </c:pt>
                <c:pt idx="14">
                  <c:v>2.1293235247929965E-2</c:v>
                </c:pt>
                <c:pt idx="15">
                  <c:v>2.0786820919031813E-2</c:v>
                </c:pt>
                <c:pt idx="16">
                  <c:v>2.0379523113160467E-2</c:v>
                </c:pt>
                <c:pt idx="17">
                  <c:v>2.0066807039879869E-2</c:v>
                </c:pt>
                <c:pt idx="18">
                  <c:v>1.9835143179837852E-2</c:v>
                </c:pt>
                <c:pt idx="19">
                  <c:v>1.9668070398540429E-2</c:v>
                </c:pt>
                <c:pt idx="20">
                  <c:v>1.9549965110795701E-2</c:v>
                </c:pt>
                <c:pt idx="21">
                  <c:v>1.9467708360626841E-2</c:v>
                </c:pt>
                <c:pt idx="22">
                  <c:v>1.9411047425078518E-2</c:v>
                </c:pt>
                <c:pt idx="23">
                  <c:v>1.9372332130975625E-2</c:v>
                </c:pt>
                <c:pt idx="24">
                  <c:v>1.9346032831843586E-2</c:v>
                </c:pt>
                <c:pt idx="25">
                  <c:v>1.9328241692733842E-2</c:v>
                </c:pt>
                <c:pt idx="26">
                  <c:v>1.931624110664077E-2</c:v>
                </c:pt>
                <c:pt idx="27">
                  <c:v>1.9308162628809186E-2</c:v>
                </c:pt>
              </c:numCache>
            </c:numRef>
          </c:val>
          <c:smooth val="0"/>
          <c:extLst>
            <c:ext xmlns:c16="http://schemas.microsoft.com/office/drawing/2014/chart" uri="{C3380CC4-5D6E-409C-BE32-E72D297353CC}">
              <c16:uniqueId val="{00000002-C39E-4252-84BF-9E0AAB52FEAF}"/>
            </c:ext>
          </c:extLst>
        </c:ser>
        <c:ser>
          <c:idx val="3"/>
          <c:order val="3"/>
          <c:tx>
            <c:strRef>
              <c:f>'Railway (Battery)'!$A$324</c:f>
              <c:strCache>
                <c:ptCount val="1"/>
                <c:pt idx="0">
                  <c:v>Railway long-haul: Break bulk</c:v>
                </c:pt>
              </c:strCache>
            </c:strRef>
          </c:tx>
          <c:spPr>
            <a:ln w="28575" cap="rnd">
              <a:solidFill>
                <a:schemeClr val="accent4"/>
              </a:solidFill>
              <a:round/>
            </a:ln>
            <a:effectLst/>
          </c:spPr>
          <c:marker>
            <c:symbol val="none"/>
          </c:marker>
          <c:cat>
            <c:numRef>
              <c:f>'Railway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(Battery)'!$B$408:$AC$408</c:f>
              <c:numCache>
                <c:formatCode>0.00</c:formatCode>
                <c:ptCount val="28"/>
                <c:pt idx="0">
                  <c:v>2.2384481947338539E-2</c:v>
                </c:pt>
                <c:pt idx="1">
                  <c:v>2.235996883758444E-2</c:v>
                </c:pt>
                <c:pt idx="2">
                  <c:v>2.2325169765037886E-2</c:v>
                </c:pt>
                <c:pt idx="3">
                  <c:v>2.2275996619986787E-2</c:v>
                </c:pt>
                <c:pt idx="4">
                  <c:v>2.2206981969086777E-2</c:v>
                </c:pt>
                <c:pt idx="5">
                  <c:v>2.2111071878728617E-2</c:v>
                </c:pt>
                <c:pt idx="6">
                  <c:v>2.1979667444466843E-2</c:v>
                </c:pt>
                <c:pt idx="7">
                  <c:v>2.1803225798221974E-2</c:v>
                </c:pt>
                <c:pt idx="8">
                  <c:v>2.1572838978373553E-2</c:v>
                </c:pt>
                <c:pt idx="9">
                  <c:v>2.1283104758487E-2</c:v>
                </c:pt>
                <c:pt idx="10">
                  <c:v>2.0935986439140471E-2</c:v>
                </c:pt>
                <c:pt idx="11">
                  <c:v>2.0544133742843699E-2</c:v>
                </c:pt>
                <c:pt idx="12">
                  <c:v>2.0131082930390294E-2</c:v>
                </c:pt>
                <c:pt idx="13">
                  <c:v>1.9726554416194125E-2</c:v>
                </c:pt>
                <c:pt idx="14">
                  <c:v>1.9358290813782923E-2</c:v>
                </c:pt>
                <c:pt idx="15">
                  <c:v>1.9044839717701011E-2</c:v>
                </c:pt>
                <c:pt idx="16">
                  <c:v>1.879296508396687E-2</c:v>
                </c:pt>
                <c:pt idx="17">
                  <c:v>1.8599735553747165E-2</c:v>
                </c:pt>
                <c:pt idx="18">
                  <c:v>1.8456690333796572E-2</c:v>
                </c:pt>
                <c:pt idx="19">
                  <c:v>1.8353591609309289E-2</c:v>
                </c:pt>
                <c:pt idx="20">
                  <c:v>1.8280747950247759E-2</c:v>
                </c:pt>
                <c:pt idx="21">
                  <c:v>1.823003583731881E-2</c:v>
                </c:pt>
                <c:pt idx="22">
                  <c:v>1.8195115185293226E-2</c:v>
                </c:pt>
                <c:pt idx="23">
                  <c:v>1.8171260415157934E-2</c:v>
                </c:pt>
                <c:pt idx="24">
                  <c:v>1.8155058738585975E-2</c:v>
                </c:pt>
                <c:pt idx="25">
                  <c:v>1.8144099887691511E-2</c:v>
                </c:pt>
                <c:pt idx="26">
                  <c:v>1.8136708504501216E-2</c:v>
                </c:pt>
                <c:pt idx="27">
                  <c:v>1.8131733120181098E-2</c:v>
                </c:pt>
              </c:numCache>
            </c:numRef>
          </c:val>
          <c:smooth val="0"/>
          <c:extLst>
            <c:ext xmlns:c16="http://schemas.microsoft.com/office/drawing/2014/chart" uri="{C3380CC4-5D6E-409C-BE32-E72D297353CC}">
              <c16:uniqueId val="{00000003-C39E-4252-84BF-9E0AAB52FEAF}"/>
            </c:ext>
          </c:extLst>
        </c:ser>
        <c:ser>
          <c:idx val="4"/>
          <c:order val="4"/>
          <c:tx>
            <c:strRef>
              <c:f>'Railway (Battery)'!$A$429</c:f>
              <c:strCache>
                <c:ptCount val="1"/>
                <c:pt idx="0">
                  <c:v>Railway long-haul:  Neo bulk</c:v>
                </c:pt>
              </c:strCache>
            </c:strRef>
          </c:tx>
          <c:spPr>
            <a:ln w="28575" cap="rnd">
              <a:solidFill>
                <a:schemeClr val="accent5"/>
              </a:solidFill>
              <a:round/>
            </a:ln>
            <a:effectLst/>
          </c:spPr>
          <c:marker>
            <c:symbol val="none"/>
          </c:marker>
          <c:cat>
            <c:numRef>
              <c:f>'Railway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(Battery)'!$B$513:$AC$513</c:f>
              <c:numCache>
                <c:formatCode>0.00</c:formatCode>
                <c:ptCount val="28"/>
                <c:pt idx="0">
                  <c:v>2.6861569584288928E-2</c:v>
                </c:pt>
                <c:pt idx="1">
                  <c:v>2.6822927398097395E-2</c:v>
                </c:pt>
                <c:pt idx="2">
                  <c:v>2.6768064107705644E-2</c:v>
                </c:pt>
                <c:pt idx="3">
                  <c:v>2.6690526167144249E-2</c:v>
                </c:pt>
                <c:pt idx="4">
                  <c:v>2.6581676002533645E-2</c:v>
                </c:pt>
                <c:pt idx="5">
                  <c:v>2.6430356870076964E-2</c:v>
                </c:pt>
                <c:pt idx="6">
                  <c:v>2.6222944295597708E-2</c:v>
                </c:pt>
                <c:pt idx="7">
                  <c:v>2.5944273652828982E-2</c:v>
                </c:pt>
                <c:pt idx="8">
                  <c:v>2.5580108376830189E-2</c:v>
                </c:pt>
                <c:pt idx="9">
                  <c:v>2.5121660348318704E-2</c:v>
                </c:pt>
                <c:pt idx="10">
                  <c:v>2.4571714526114709E-2</c:v>
                </c:pt>
                <c:pt idx="11">
                  <c:v>2.394997411206903E-2</c:v>
                </c:pt>
                <c:pt idx="12">
                  <c:v>2.3293530978793494E-2</c:v>
                </c:pt>
                <c:pt idx="13">
                  <c:v>2.2649551670419186E-2</c:v>
                </c:pt>
                <c:pt idx="14">
                  <c:v>2.2062348265536033E-2</c:v>
                </c:pt>
                <c:pt idx="15">
                  <c:v>2.1561794302309898E-2</c:v>
                </c:pt>
                <c:pt idx="16">
                  <c:v>2.1159035758028102E-2</c:v>
                </c:pt>
                <c:pt idx="17">
                  <c:v>2.0849693797129532E-2</c:v>
                </c:pt>
                <c:pt idx="18">
                  <c:v>2.062046264321039E-2</c:v>
                </c:pt>
                <c:pt idx="19">
                  <c:v>2.0455105780173278E-2</c:v>
                </c:pt>
                <c:pt idx="20">
                  <c:v>2.0338192183688784E-2</c:v>
                </c:pt>
                <c:pt idx="21">
                  <c:v>2.0256754077416974E-2</c:v>
                </c:pt>
                <c:pt idx="22">
                  <c:v>2.0200651241553048E-2</c:v>
                </c:pt>
                <c:pt idx="23">
                  <c:v>2.0162314406738744E-2</c:v>
                </c:pt>
                <c:pt idx="24">
                  <c:v>2.0136270805436136E-2</c:v>
                </c:pt>
                <c:pt idx="25">
                  <c:v>2.0118651985796859E-2</c:v>
                </c:pt>
                <c:pt idx="26">
                  <c:v>2.010676732792141E-2</c:v>
                </c:pt>
                <c:pt idx="27">
                  <c:v>2.009876674914381E-2</c:v>
                </c:pt>
              </c:numCache>
            </c:numRef>
          </c:val>
          <c:smooth val="0"/>
          <c:extLst>
            <c:ext xmlns:c16="http://schemas.microsoft.com/office/drawing/2014/chart" uri="{C3380CC4-5D6E-409C-BE32-E72D297353CC}">
              <c16:uniqueId val="{00000004-C39E-4252-84BF-9E0AAB52FEAF}"/>
            </c:ext>
          </c:extLst>
        </c:ser>
        <c:dLbls>
          <c:showLegendKey val="0"/>
          <c:showVal val="0"/>
          <c:showCatName val="0"/>
          <c:showSerName val="0"/>
          <c:showPercent val="0"/>
          <c:showBubbleSize val="0"/>
        </c:dLbls>
        <c:smooth val="0"/>
        <c:axId val="676327192"/>
        <c:axId val="676326864"/>
      </c:lineChart>
      <c:catAx>
        <c:axId val="676327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26864"/>
        <c:crosses val="autoZero"/>
        <c:auto val="1"/>
        <c:lblAlgn val="ctr"/>
        <c:lblOffset val="100"/>
        <c:tickLblSkip val="3"/>
        <c:noMultiLvlLbl val="0"/>
      </c:catAx>
      <c:valAx>
        <c:axId val="67632686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27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Hydrogen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b-NO"/>
        </a:p>
      </c:txPr>
    </c:title>
    <c:autoTitleDeleted val="0"/>
    <c:plotArea>
      <c:layout/>
      <c:lineChart>
        <c:grouping val="standard"/>
        <c:varyColors val="0"/>
        <c:ser>
          <c:idx val="0"/>
          <c:order val="0"/>
          <c:tx>
            <c:strRef>
              <c:f>'Railway (Hydrogen)'!$A$1</c:f>
              <c:strCache>
                <c:ptCount val="1"/>
                <c:pt idx="0">
                  <c:v>Railway long-haul: Dry bulk</c:v>
                </c:pt>
              </c:strCache>
            </c:strRef>
          </c:tx>
          <c:spPr>
            <a:ln w="28575" cap="rnd">
              <a:solidFill>
                <a:schemeClr val="accent1"/>
              </a:solidFill>
              <a:round/>
            </a:ln>
            <a:effectLst/>
          </c:spPr>
          <c:marker>
            <c:symbol val="none"/>
          </c:marker>
          <c:cat>
            <c:numRef>
              <c:f>'Railway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(Hydrogen)'!$B$85:$AC$85</c:f>
              <c:numCache>
                <c:formatCode>0.0000</c:formatCode>
                <c:ptCount val="28"/>
                <c:pt idx="0">
                  <c:v>2.4077933552663213E-2</c:v>
                </c:pt>
                <c:pt idx="1">
                  <c:v>2.4011416125832262E-2</c:v>
                </c:pt>
                <c:pt idx="2">
                  <c:v>2.3917053962078924E-2</c:v>
                </c:pt>
                <c:pt idx="3">
                  <c:v>2.3783848172776175E-2</c:v>
                </c:pt>
                <c:pt idx="4">
                  <c:v>2.3597157525139727E-2</c:v>
                </c:pt>
                <c:pt idx="5">
                  <c:v>2.3338225268233374E-2</c:v>
                </c:pt>
                <c:pt idx="6">
                  <c:v>2.2984438172773462E-2</c:v>
                </c:pt>
                <c:pt idx="7">
                  <c:v>2.2511165199214971E-2</c:v>
                </c:pt>
                <c:pt idx="8">
                  <c:v>2.1896260250829563E-2</c:v>
                </c:pt>
                <c:pt idx="9">
                  <c:v>2.1127910242473937E-2</c:v>
                </c:pt>
                <c:pt idx="10">
                  <c:v>2.0214691942478102E-2</c:v>
                </c:pt>
                <c:pt idx="11">
                  <c:v>1.9193421283154901E-2</c:v>
                </c:pt>
                <c:pt idx="12">
                  <c:v>1.8128041437829499E-2</c:v>
                </c:pt>
                <c:pt idx="13">
                  <c:v>1.709578541809692E-2</c:v>
                </c:pt>
                <c:pt idx="14">
                  <c:v>1.6165681899748454E-2</c:v>
                </c:pt>
                <c:pt idx="15">
                  <c:v>1.538121354790439E-2</c:v>
                </c:pt>
                <c:pt idx="16">
                  <c:v>1.4755592285388069E-2</c:v>
                </c:pt>
                <c:pt idx="17">
                  <c:v>1.4278431198489821E-2</c:v>
                </c:pt>
                <c:pt idx="18">
                  <c:v>1.392669535695638E-2</c:v>
                </c:pt>
                <c:pt idx="19">
                  <c:v>1.367393131370173E-2</c:v>
                </c:pt>
                <c:pt idx="20">
                  <c:v>1.3495693614148839E-2</c:v>
                </c:pt>
                <c:pt idx="21">
                  <c:v>1.3371766935780538E-2</c:v>
                </c:pt>
                <c:pt idx="22">
                  <c:v>1.3286500121487882E-2</c:v>
                </c:pt>
                <c:pt idx="23">
                  <c:v>1.322828364914767E-2</c:v>
                </c:pt>
                <c:pt idx="24">
                  <c:v>1.3188757456193878E-2</c:v>
                </c:pt>
                <c:pt idx="25">
                  <c:v>1.3162027641035553E-2</c:v>
                </c:pt>
                <c:pt idx="26">
                  <c:v>1.3144001807114034E-2</c:v>
                </c:pt>
                <c:pt idx="27">
                  <c:v>1.3131869146125583E-2</c:v>
                </c:pt>
              </c:numCache>
            </c:numRef>
          </c:val>
          <c:smooth val="0"/>
          <c:extLst>
            <c:ext xmlns:c16="http://schemas.microsoft.com/office/drawing/2014/chart" uri="{C3380CC4-5D6E-409C-BE32-E72D297353CC}">
              <c16:uniqueId val="{00000000-420F-44EA-8E38-87A247D90CE5}"/>
            </c:ext>
          </c:extLst>
        </c:ser>
        <c:ser>
          <c:idx val="1"/>
          <c:order val="1"/>
          <c:tx>
            <c:strRef>
              <c:f>'Railway (Hydrogen)'!$A$107</c:f>
              <c:strCache>
                <c:ptCount val="1"/>
                <c:pt idx="0">
                  <c:v>Railway long-haul: Liquid bulk</c:v>
                </c:pt>
              </c:strCache>
            </c:strRef>
          </c:tx>
          <c:spPr>
            <a:ln w="28575" cap="rnd">
              <a:solidFill>
                <a:schemeClr val="accent2"/>
              </a:solidFill>
              <a:round/>
            </a:ln>
            <a:effectLst/>
          </c:spPr>
          <c:marker>
            <c:symbol val="none"/>
          </c:marker>
          <c:cat>
            <c:numRef>
              <c:f>'Railway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(Hydrogen)'!$B$191:$AC$191</c:f>
              <c:numCache>
                <c:formatCode>0.00</c:formatCode>
                <c:ptCount val="28"/>
                <c:pt idx="0">
                  <c:v>3.6148978398956422E-2</c:v>
                </c:pt>
                <c:pt idx="1">
                  <c:v>3.604958481759904E-2</c:v>
                </c:pt>
                <c:pt idx="2">
                  <c:v>3.5908584273126487E-2</c:v>
                </c:pt>
                <c:pt idx="3">
                  <c:v>3.5709541690045421E-2</c:v>
                </c:pt>
                <c:pt idx="4">
                  <c:v>3.5430579424687865E-2</c:v>
                </c:pt>
                <c:pt idx="5">
                  <c:v>3.5043670225565038E-2</c:v>
                </c:pt>
                <c:pt idx="6">
                  <c:v>3.4515024303269248E-2</c:v>
                </c:pt>
                <c:pt idx="7">
                  <c:v>3.3807836757948392E-2</c:v>
                </c:pt>
                <c:pt idx="8">
                  <c:v>3.2889015812427862E-2</c:v>
                </c:pt>
                <c:pt idx="9">
                  <c:v>3.1740909779094155E-2</c:v>
                </c:pt>
                <c:pt idx="10">
                  <c:v>3.0376334483234103E-2</c:v>
                </c:pt>
                <c:pt idx="11">
                  <c:v>2.8850302085388465E-2</c:v>
                </c:pt>
                <c:pt idx="12">
                  <c:v>2.7258359591852271E-2</c:v>
                </c:pt>
                <c:pt idx="13">
                  <c:v>2.5715912333035468E-2</c:v>
                </c:pt>
                <c:pt idx="14">
                  <c:v>2.4326106320895085E-2</c:v>
                </c:pt>
                <c:pt idx="15">
                  <c:v>2.3153915473082078E-2</c:v>
                </c:pt>
                <c:pt idx="16">
                  <c:v>2.2219081688653483E-2</c:v>
                </c:pt>
                <c:pt idx="17">
                  <c:v>2.1506084334866275E-2</c:v>
                </c:pt>
                <c:pt idx="18">
                  <c:v>2.0980503496169475E-2</c:v>
                </c:pt>
                <c:pt idx="19">
                  <c:v>2.0602811142535545E-2</c:v>
                </c:pt>
                <c:pt idx="20">
                  <c:v>2.0336479684217302E-2</c:v>
                </c:pt>
                <c:pt idx="21">
                  <c:v>2.0151302400976092E-2</c:v>
                </c:pt>
                <c:pt idx="22">
                  <c:v>2.0023892570992421E-2</c:v>
                </c:pt>
                <c:pt idx="23">
                  <c:v>1.9936902680439492E-2</c:v>
                </c:pt>
                <c:pt idx="24">
                  <c:v>1.9877840716345699E-2</c:v>
                </c:pt>
                <c:pt idx="25">
                  <c:v>1.9837899723673828E-2</c:v>
                </c:pt>
                <c:pt idx="26">
                  <c:v>1.9810964644014668E-2</c:v>
                </c:pt>
                <c:pt idx="27">
                  <c:v>1.979283543059664E-2</c:v>
                </c:pt>
              </c:numCache>
            </c:numRef>
          </c:val>
          <c:smooth val="0"/>
          <c:extLst>
            <c:ext xmlns:c16="http://schemas.microsoft.com/office/drawing/2014/chart" uri="{C3380CC4-5D6E-409C-BE32-E72D297353CC}">
              <c16:uniqueId val="{00000001-420F-44EA-8E38-87A247D90CE5}"/>
            </c:ext>
          </c:extLst>
        </c:ser>
        <c:ser>
          <c:idx val="2"/>
          <c:order val="2"/>
          <c:tx>
            <c:strRef>
              <c:f>'Railway (Hydrogen)'!$A$215</c:f>
              <c:strCache>
                <c:ptCount val="1"/>
                <c:pt idx="0">
                  <c:v>Railway long-haul: Container</c:v>
                </c:pt>
              </c:strCache>
            </c:strRef>
          </c:tx>
          <c:spPr>
            <a:ln w="28575" cap="rnd">
              <a:solidFill>
                <a:schemeClr val="accent3"/>
              </a:solidFill>
              <a:round/>
            </a:ln>
            <a:effectLst/>
          </c:spPr>
          <c:marker>
            <c:symbol val="none"/>
          </c:marker>
          <c:cat>
            <c:numRef>
              <c:f>'Railway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(Hydrogen)'!$B$299:$AC$299</c:f>
              <c:numCache>
                <c:formatCode>0.00</c:formatCode>
                <c:ptCount val="28"/>
                <c:pt idx="0">
                  <c:v>3.4879076830223489E-2</c:v>
                </c:pt>
                <c:pt idx="1">
                  <c:v>3.47796832488661E-2</c:v>
                </c:pt>
                <c:pt idx="2">
                  <c:v>3.4638682704393554E-2</c:v>
                </c:pt>
                <c:pt idx="3">
                  <c:v>3.4439640121312474E-2</c:v>
                </c:pt>
                <c:pt idx="4">
                  <c:v>3.4160677855954925E-2</c:v>
                </c:pt>
                <c:pt idx="5">
                  <c:v>3.3773768656832098E-2</c:v>
                </c:pt>
                <c:pt idx="6">
                  <c:v>3.3245122734536316E-2</c:v>
                </c:pt>
                <c:pt idx="7">
                  <c:v>3.2537935189215446E-2</c:v>
                </c:pt>
                <c:pt idx="8">
                  <c:v>3.1619114243694922E-2</c:v>
                </c:pt>
                <c:pt idx="9">
                  <c:v>3.0471008210361219E-2</c:v>
                </c:pt>
                <c:pt idx="10">
                  <c:v>2.9106432914501157E-2</c:v>
                </c:pt>
                <c:pt idx="11">
                  <c:v>2.7580400516655525E-2</c:v>
                </c:pt>
                <c:pt idx="12">
                  <c:v>2.5988458023119332E-2</c:v>
                </c:pt>
                <c:pt idx="13">
                  <c:v>2.4446010764302532E-2</c:v>
                </c:pt>
                <c:pt idx="14">
                  <c:v>2.3056204752162145E-2</c:v>
                </c:pt>
                <c:pt idx="15">
                  <c:v>2.1884013904349135E-2</c:v>
                </c:pt>
                <c:pt idx="16">
                  <c:v>2.094918011992054E-2</c:v>
                </c:pt>
                <c:pt idx="17">
                  <c:v>2.0236182766133339E-2</c:v>
                </c:pt>
                <c:pt idx="18">
                  <c:v>1.9710601927436532E-2</c:v>
                </c:pt>
                <c:pt idx="19">
                  <c:v>1.9332909573802605E-2</c:v>
                </c:pt>
                <c:pt idx="20">
                  <c:v>1.9066578115484355E-2</c:v>
                </c:pt>
                <c:pt idx="21">
                  <c:v>1.8881400832243152E-2</c:v>
                </c:pt>
                <c:pt idx="22">
                  <c:v>1.8753991002259482E-2</c:v>
                </c:pt>
                <c:pt idx="23">
                  <c:v>1.8667001111706553E-2</c:v>
                </c:pt>
                <c:pt idx="24">
                  <c:v>1.8607939147612759E-2</c:v>
                </c:pt>
                <c:pt idx="25">
                  <c:v>1.8567998154940885E-2</c:v>
                </c:pt>
                <c:pt idx="26">
                  <c:v>1.8541063075281729E-2</c:v>
                </c:pt>
                <c:pt idx="27">
                  <c:v>1.8522933861863697E-2</c:v>
                </c:pt>
              </c:numCache>
            </c:numRef>
          </c:val>
          <c:smooth val="0"/>
          <c:extLst>
            <c:ext xmlns:c16="http://schemas.microsoft.com/office/drawing/2014/chart" uri="{C3380CC4-5D6E-409C-BE32-E72D297353CC}">
              <c16:uniqueId val="{00000002-420F-44EA-8E38-87A247D90CE5}"/>
            </c:ext>
          </c:extLst>
        </c:ser>
        <c:ser>
          <c:idx val="3"/>
          <c:order val="3"/>
          <c:tx>
            <c:strRef>
              <c:f>'Railway (Hydrogen)'!$A$324</c:f>
              <c:strCache>
                <c:ptCount val="1"/>
                <c:pt idx="0">
                  <c:v>Railway long-haul: Break bulk</c:v>
                </c:pt>
              </c:strCache>
            </c:strRef>
          </c:tx>
          <c:spPr>
            <a:ln w="28575" cap="rnd">
              <a:solidFill>
                <a:schemeClr val="accent4"/>
              </a:solidFill>
              <a:round/>
            </a:ln>
            <a:effectLst/>
          </c:spPr>
          <c:marker>
            <c:symbol val="none"/>
          </c:marker>
          <c:cat>
            <c:numRef>
              <c:f>'Railway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(Hydrogen)'!$B$408:$AC$408</c:f>
              <c:numCache>
                <c:formatCode>0.00</c:formatCode>
                <c:ptCount val="28"/>
                <c:pt idx="0">
                  <c:v>2.7407442497810533E-2</c:v>
                </c:pt>
                <c:pt idx="1">
                  <c:v>2.7348230883096573E-2</c:v>
                </c:pt>
                <c:pt idx="2">
                  <c:v>2.7264232803947502E-2</c:v>
                </c:pt>
                <c:pt idx="3">
                  <c:v>2.7145657413262147E-2</c:v>
                </c:pt>
                <c:pt idx="4">
                  <c:v>2.6979471569563727E-2</c:v>
                </c:pt>
                <c:pt idx="5">
                  <c:v>2.6748978633149924E-2</c:v>
                </c:pt>
                <c:pt idx="6">
                  <c:v>2.6434049054764652E-2</c:v>
                </c:pt>
                <c:pt idx="7">
                  <c:v>2.6012757097153352E-2</c:v>
                </c:pt>
                <c:pt idx="8">
                  <c:v>2.5465389037020197E-2</c:v>
                </c:pt>
                <c:pt idx="9">
                  <c:v>2.4781429256437473E-2</c:v>
                </c:pt>
                <c:pt idx="10">
                  <c:v>2.3968512511078139E-2</c:v>
                </c:pt>
                <c:pt idx="11">
                  <c:v>2.3059411126982135E-2</c:v>
                </c:pt>
                <c:pt idx="12">
                  <c:v>2.2111045203481356E-2</c:v>
                </c:pt>
                <c:pt idx="13">
                  <c:v>2.1192165014656379E-2</c:v>
                </c:pt>
                <c:pt idx="14">
                  <c:v>2.0364217606039455E-2</c:v>
                </c:pt>
                <c:pt idx="15">
                  <c:v>1.9665909808855159E-2</c:v>
                </c:pt>
                <c:pt idx="16">
                  <c:v>1.9109002440097118E-2</c:v>
                </c:pt>
                <c:pt idx="17">
                  <c:v>1.8684249412507532E-2</c:v>
                </c:pt>
                <c:pt idx="18">
                  <c:v>1.8371145792565949E-2</c:v>
                </c:pt>
                <c:pt idx="19">
                  <c:v>1.8146143596062245E-2</c:v>
                </c:pt>
                <c:pt idx="20">
                  <c:v>1.7987482287346108E-2</c:v>
                </c:pt>
                <c:pt idx="21">
                  <c:v>1.7877166854505109E-2</c:v>
                </c:pt>
                <c:pt idx="22">
                  <c:v>1.7801265154810467E-2</c:v>
                </c:pt>
                <c:pt idx="23">
                  <c:v>1.774944277540641E-2</c:v>
                </c:pt>
                <c:pt idx="24">
                  <c:v>1.7714257864928161E-2</c:v>
                </c:pt>
                <c:pt idx="25">
                  <c:v>1.7690463866995076E-2</c:v>
                </c:pt>
                <c:pt idx="26">
                  <c:v>1.7674417865459702E-2</c:v>
                </c:pt>
                <c:pt idx="27">
                  <c:v>1.7663617771677825E-2</c:v>
                </c:pt>
              </c:numCache>
            </c:numRef>
          </c:val>
          <c:smooth val="0"/>
          <c:extLst>
            <c:ext xmlns:c16="http://schemas.microsoft.com/office/drawing/2014/chart" uri="{C3380CC4-5D6E-409C-BE32-E72D297353CC}">
              <c16:uniqueId val="{00000003-420F-44EA-8E38-87A247D90CE5}"/>
            </c:ext>
          </c:extLst>
        </c:ser>
        <c:ser>
          <c:idx val="4"/>
          <c:order val="4"/>
          <c:tx>
            <c:strRef>
              <c:f>'Railway (Hydrogen)'!$A$429</c:f>
              <c:strCache>
                <c:ptCount val="1"/>
                <c:pt idx="0">
                  <c:v>Railway long-haul:  Neo bulk</c:v>
                </c:pt>
              </c:strCache>
            </c:strRef>
          </c:tx>
          <c:spPr>
            <a:ln w="28575" cap="rnd">
              <a:solidFill>
                <a:schemeClr val="accent5"/>
              </a:solidFill>
              <a:round/>
            </a:ln>
            <a:effectLst/>
          </c:spPr>
          <c:marker>
            <c:symbol val="none"/>
          </c:marker>
          <c:cat>
            <c:numRef>
              <c:f>'Railway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(Hydrogen)'!$B$513:$AC$513</c:f>
              <c:numCache>
                <c:formatCode>0.00</c:formatCode>
                <c:ptCount val="28"/>
                <c:pt idx="0">
                  <c:v>3.5626365244930909E-2</c:v>
                </c:pt>
                <c:pt idx="1">
                  <c:v>3.5527248880159769E-2</c:v>
                </c:pt>
                <c:pt idx="2">
                  <c:v>3.5386641597395532E-2</c:v>
                </c:pt>
                <c:pt idx="3">
                  <c:v>3.5188154159874641E-2</c:v>
                </c:pt>
                <c:pt idx="4">
                  <c:v>3.4909969942413563E-2</c:v>
                </c:pt>
                <c:pt idx="5">
                  <c:v>3.4524139863752107E-2</c:v>
                </c:pt>
                <c:pt idx="6">
                  <c:v>3.3996968376886823E-2</c:v>
                </c:pt>
                <c:pt idx="7">
                  <c:v>3.3291753233752101E-2</c:v>
                </c:pt>
                <c:pt idx="8">
                  <c:v>3.2375494952766044E-2</c:v>
                </c:pt>
                <c:pt idx="9">
                  <c:v>3.1230591078272734E-2</c:v>
                </c:pt>
                <c:pt idx="10">
                  <c:v>2.9869821691205209E-2</c:v>
                </c:pt>
                <c:pt idx="11">
                  <c:v>2.8348045518822744E-2</c:v>
                </c:pt>
                <c:pt idx="12">
                  <c:v>2.6760543079237198E-2</c:v>
                </c:pt>
                <c:pt idx="13">
                  <c:v>2.52223978282335E-2</c:v>
                </c:pt>
                <c:pt idx="14">
                  <c:v>2.3836468095355647E-2</c:v>
                </c:pt>
                <c:pt idx="15">
                  <c:v>2.2667546580841989E-2</c:v>
                </c:pt>
                <c:pt idx="16">
                  <c:v>2.1735320122026353E-2</c:v>
                </c:pt>
                <c:pt idx="17">
                  <c:v>2.1024311374442165E-2</c:v>
                </c:pt>
                <c:pt idx="18">
                  <c:v>2.0500196422414456E-2</c:v>
                </c:pt>
                <c:pt idx="19">
                  <c:v>2.0123557482728392E-2</c:v>
                </c:pt>
                <c:pt idx="20">
                  <c:v>1.9857968843983401E-2</c:v>
                </c:pt>
                <c:pt idx="21">
                  <c:v>1.9673308034880783E-2</c:v>
                </c:pt>
                <c:pt idx="22">
                  <c:v>1.9546253561024143E-2</c:v>
                </c:pt>
                <c:pt idx="23">
                  <c:v>1.9459506292179463E-2</c:v>
                </c:pt>
                <c:pt idx="24">
                  <c:v>1.9400609056590679E-2</c:v>
                </c:pt>
                <c:pt idx="25">
                  <c:v>1.9360779462517071E-2</c:v>
                </c:pt>
                <c:pt idx="26">
                  <c:v>1.9333919506932654E-2</c:v>
                </c:pt>
                <c:pt idx="27">
                  <c:v>1.9315840857329569E-2</c:v>
                </c:pt>
              </c:numCache>
            </c:numRef>
          </c:val>
          <c:smooth val="0"/>
          <c:extLst>
            <c:ext xmlns:c16="http://schemas.microsoft.com/office/drawing/2014/chart" uri="{C3380CC4-5D6E-409C-BE32-E72D297353CC}">
              <c16:uniqueId val="{00000004-420F-44EA-8E38-87A247D90CE5}"/>
            </c:ext>
          </c:extLst>
        </c:ser>
        <c:dLbls>
          <c:showLegendKey val="0"/>
          <c:showVal val="0"/>
          <c:showCatName val="0"/>
          <c:showSerName val="0"/>
          <c:showPercent val="0"/>
          <c:showBubbleSize val="0"/>
        </c:dLbls>
        <c:smooth val="0"/>
        <c:axId val="836895760"/>
        <c:axId val="836896088"/>
      </c:lineChart>
      <c:catAx>
        <c:axId val="836895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836896088"/>
        <c:crosses val="autoZero"/>
        <c:auto val="1"/>
        <c:lblAlgn val="ctr"/>
        <c:lblOffset val="100"/>
        <c:tickLblSkip val="3"/>
        <c:noMultiLvlLbl val="0"/>
      </c:catAx>
      <c:valAx>
        <c:axId val="836896088"/>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836895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MGO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'Short-sea (MGO)'!$A$1</c:f>
              <c:strCache>
                <c:ptCount val="1"/>
                <c:pt idx="0">
                  <c:v>Short-sea: Dry bulk</c:v>
                </c:pt>
              </c:strCache>
            </c:strRef>
          </c:tx>
          <c:spPr>
            <a:ln w="28575" cap="rnd">
              <a:solidFill>
                <a:schemeClr val="accent1"/>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(MGO)'!$B$85:$AC$85</c:f>
              <c:numCache>
                <c:formatCode>0.0000</c:formatCode>
                <c:ptCount val="28"/>
                <c:pt idx="0">
                  <c:v>1.2536826875262043E-2</c:v>
                </c:pt>
                <c:pt idx="1">
                  <c:v>1.2542210101082306E-2</c:v>
                </c:pt>
                <c:pt idx="2">
                  <c:v>1.2549916068942325E-2</c:v>
                </c:pt>
                <c:pt idx="3">
                  <c:v>1.2560939997873968E-2</c:v>
                </c:pt>
                <c:pt idx="4">
                  <c:v>1.2576695624867976E-2</c:v>
                </c:pt>
                <c:pt idx="5">
                  <c:v>1.2599182309520618E-2</c:v>
                </c:pt>
                <c:pt idx="6">
                  <c:v>1.2631208865053581E-2</c:v>
                </c:pt>
                <c:pt idx="7">
                  <c:v>1.2676681982846378E-2</c:v>
                </c:pt>
                <c:pt idx="8">
                  <c:v>1.2740953865158874E-2</c:v>
                </c:pt>
                <c:pt idx="9">
                  <c:v>1.283119042836481E-2</c:v>
                </c:pt>
                <c:pt idx="10">
                  <c:v>1.2956652008107854E-2</c:v>
                </c:pt>
                <c:pt idx="11">
                  <c:v>1.3128655140408532E-2</c:v>
                </c:pt>
                <c:pt idx="12">
                  <c:v>1.3359808919110133E-2</c:v>
                </c:pt>
                <c:pt idx="13">
                  <c:v>1.3661971563499034E-2</c:v>
                </c:pt>
                <c:pt idx="14">
                  <c:v>1.4042494341991143E-2</c:v>
                </c:pt>
                <c:pt idx="15">
                  <c:v>1.4499110753273606E-2</c:v>
                </c:pt>
                <c:pt idx="16">
                  <c:v>1.501544056114212E-2</c:v>
                </c:pt>
                <c:pt idx="17">
                  <c:v>1.5560527820861021E-2</c:v>
                </c:pt>
                <c:pt idx="18">
                  <c:v>1.6094888782865774E-2</c:v>
                </c:pt>
                <c:pt idx="19">
                  <c:v>1.6581328565626677E-2</c:v>
                </c:pt>
                <c:pt idx="20">
                  <c:v>1.6994733110616285E-2</c:v>
                </c:pt>
                <c:pt idx="21">
                  <c:v>1.7325796114593679E-2</c:v>
                </c:pt>
                <c:pt idx="22">
                  <c:v>1.7578411880253105E-2</c:v>
                </c:pt>
                <c:pt idx="23">
                  <c:v>1.7764104727826472E-2</c:v>
                </c:pt>
                <c:pt idx="24">
                  <c:v>1.7896872427485333E-2</c:v>
                </c:pt>
                <c:pt idx="25">
                  <c:v>1.7989922977858713E-2</c:v>
                </c:pt>
                <c:pt idx="26">
                  <c:v>1.8054226627500513E-2</c:v>
                </c:pt>
                <c:pt idx="27">
                  <c:v>1.809823281932417E-2</c:v>
                </c:pt>
              </c:numCache>
            </c:numRef>
          </c:val>
          <c:smooth val="0"/>
          <c:extLst>
            <c:ext xmlns:c16="http://schemas.microsoft.com/office/drawing/2014/chart" uri="{C3380CC4-5D6E-409C-BE32-E72D297353CC}">
              <c16:uniqueId val="{00000000-E5CD-4141-A447-73549E6456BD}"/>
            </c:ext>
          </c:extLst>
        </c:ser>
        <c:ser>
          <c:idx val="1"/>
          <c:order val="1"/>
          <c:tx>
            <c:strRef>
              <c:f>'Short-sea (MGO)'!$A$107</c:f>
              <c:strCache>
                <c:ptCount val="1"/>
                <c:pt idx="0">
                  <c:v>Short-sea: Container</c:v>
                </c:pt>
              </c:strCache>
            </c:strRef>
          </c:tx>
          <c:spPr>
            <a:ln w="28575" cap="rnd">
              <a:solidFill>
                <a:schemeClr val="accent2"/>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(MGO)'!$B$191:$AC$191</c:f>
              <c:numCache>
                <c:formatCode>0.00</c:formatCode>
                <c:ptCount val="28"/>
                <c:pt idx="0" formatCode="0.000">
                  <c:v>1.5501616237282348E-2</c:v>
                </c:pt>
                <c:pt idx="1">
                  <c:v>1.5508000993487776E-2</c:v>
                </c:pt>
                <c:pt idx="2">
                  <c:v>1.5517140629786871E-2</c:v>
                </c:pt>
                <c:pt idx="3">
                  <c:v>1.5530215522240678E-2</c:v>
                </c:pt>
                <c:pt idx="4">
                  <c:v>1.5548902428675432E-2</c:v>
                </c:pt>
                <c:pt idx="5">
                  <c:v>1.5575572682565774E-2</c:v>
                </c:pt>
                <c:pt idx="6">
                  <c:v>1.5613557667035103E-2</c:v>
                </c:pt>
                <c:pt idx="7">
                  <c:v>1.5667490899766098E-2</c:v>
                </c:pt>
                <c:pt idx="8">
                  <c:v>1.5743720341578591E-2</c:v>
                </c:pt>
                <c:pt idx="9">
                  <c:v>1.5850745102590283E-2</c:v>
                </c:pt>
                <c:pt idx="10">
                  <c:v>1.5999548371587843E-2</c:v>
                </c:pt>
                <c:pt idx="11">
                  <c:v>1.6203552086642141E-2</c:v>
                </c:pt>
                <c:pt idx="12">
                  <c:v>1.6477711219520783E-2</c:v>
                </c:pt>
                <c:pt idx="13">
                  <c:v>1.6836090169842499E-2</c:v>
                </c:pt>
                <c:pt idx="14">
                  <c:v>1.7287407883868025E-2</c:v>
                </c:pt>
                <c:pt idx="15">
                  <c:v>1.7828976185621646E-2</c:v>
                </c:pt>
                <c:pt idx="16">
                  <c:v>1.8441367353093607E-2</c:v>
                </c:pt>
                <c:pt idx="17">
                  <c:v>1.9087866196016021E-2</c:v>
                </c:pt>
                <c:pt idx="18">
                  <c:v>1.9721643150951894E-2</c:v>
                </c:pt>
                <c:pt idx="19">
                  <c:v>2.0298583358412496E-2</c:v>
                </c:pt>
                <c:pt idx="20">
                  <c:v>2.0788900376888547E-2</c:v>
                </c:pt>
                <c:pt idx="21">
                  <c:v>2.1181556497884987E-2</c:v>
                </c:pt>
                <c:pt idx="22">
                  <c:v>2.1481170545527561E-2</c:v>
                </c:pt>
                <c:pt idx="23">
                  <c:v>2.1701410899626208E-2</c:v>
                </c:pt>
                <c:pt idx="24">
                  <c:v>2.1858879566663457E-2</c:v>
                </c:pt>
                <c:pt idx="25">
                  <c:v>2.1969241847338859E-2</c:v>
                </c:pt>
                <c:pt idx="26">
                  <c:v>2.2045508966681466E-2</c:v>
                </c:pt>
                <c:pt idx="27">
                  <c:v>2.2097702356983946E-2</c:v>
                </c:pt>
              </c:numCache>
            </c:numRef>
          </c:val>
          <c:smooth val="0"/>
          <c:extLst>
            <c:ext xmlns:c16="http://schemas.microsoft.com/office/drawing/2014/chart" uri="{C3380CC4-5D6E-409C-BE32-E72D297353CC}">
              <c16:uniqueId val="{00000001-E5CD-4141-A447-73549E6456BD}"/>
            </c:ext>
          </c:extLst>
        </c:ser>
        <c:ser>
          <c:idx val="2"/>
          <c:order val="2"/>
          <c:tx>
            <c:strRef>
              <c:f>'Short-sea (MGO)'!$A$215</c:f>
              <c:strCache>
                <c:ptCount val="1"/>
                <c:pt idx="0">
                  <c:v>Short-sea: Break bulk</c:v>
                </c:pt>
              </c:strCache>
            </c:strRef>
          </c:tx>
          <c:spPr>
            <a:ln w="28575" cap="rnd">
              <a:solidFill>
                <a:schemeClr val="accent3"/>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(MGO)'!$B$299:$AC$299</c:f>
              <c:numCache>
                <c:formatCode>0.00</c:formatCode>
                <c:ptCount val="28"/>
                <c:pt idx="0" formatCode="0.0000">
                  <c:v>1.639184244752475E-2</c:v>
                </c:pt>
                <c:pt idx="1">
                  <c:v>1.639888205052048E-2</c:v>
                </c:pt>
                <c:pt idx="2">
                  <c:v>1.640895908541435E-2</c:v>
                </c:pt>
                <c:pt idx="3">
                  <c:v>1.6423374992478808E-2</c:v>
                </c:pt>
                <c:pt idx="4">
                  <c:v>1.644397850470174E-2</c:v>
                </c:pt>
                <c:pt idx="5">
                  <c:v>1.6473384169247502E-2</c:v>
                </c:pt>
                <c:pt idx="6">
                  <c:v>1.6515265049559837E-2</c:v>
                </c:pt>
                <c:pt idx="7">
                  <c:v>1.6574729895904267E-2</c:v>
                </c:pt>
                <c:pt idx="8">
                  <c:v>1.6658777742005221E-2</c:v>
                </c:pt>
                <c:pt idx="9">
                  <c:v>1.6776779401582214E-2</c:v>
                </c:pt>
                <c:pt idx="10">
                  <c:v>1.6940844544323118E-2</c:v>
                </c:pt>
                <c:pt idx="11">
                  <c:v>1.7165771717331697E-2</c:v>
                </c:pt>
                <c:pt idx="12">
                  <c:v>1.7468049735633793E-2</c:v>
                </c:pt>
                <c:pt idx="13">
                  <c:v>1.7863185501373124E-2</c:v>
                </c:pt>
                <c:pt idx="14">
                  <c:v>1.836079221170896E-2</c:v>
                </c:pt>
                <c:pt idx="15">
                  <c:v>1.8957905980309102E-2</c:v>
                </c:pt>
                <c:pt idx="16">
                  <c:v>1.9633106498291007E-2</c:v>
                </c:pt>
                <c:pt idx="17">
                  <c:v>2.0345912914846491E-2</c:v>
                </c:pt>
                <c:pt idx="18">
                  <c:v>2.1044692634391172E-2</c:v>
                </c:pt>
                <c:pt idx="19">
                  <c:v>2.1680806196463114E-2</c:v>
                </c:pt>
                <c:pt idx="20">
                  <c:v>2.2221412139911068E-2</c:v>
                </c:pt>
                <c:pt idx="21">
                  <c:v>2.2654340683573814E-2</c:v>
                </c:pt>
                <c:pt idx="22">
                  <c:v>2.2984684377128445E-2</c:v>
                </c:pt>
                <c:pt idx="23">
                  <c:v>2.3227513485493619E-2</c:v>
                </c:pt>
                <c:pt idx="24">
                  <c:v>2.3401132785047511E-2</c:v>
                </c:pt>
                <c:pt idx="25">
                  <c:v>2.3522814273997317E-2</c:v>
                </c:pt>
                <c:pt idx="26">
                  <c:v>2.3606903661990444E-2</c:v>
                </c:pt>
                <c:pt idx="27">
                  <c:v>2.3664450220529071E-2</c:v>
                </c:pt>
              </c:numCache>
            </c:numRef>
          </c:val>
          <c:smooth val="0"/>
          <c:extLst>
            <c:ext xmlns:c16="http://schemas.microsoft.com/office/drawing/2014/chart" uri="{C3380CC4-5D6E-409C-BE32-E72D297353CC}">
              <c16:uniqueId val="{00000002-E5CD-4141-A447-73549E6456BD}"/>
            </c:ext>
          </c:extLst>
        </c:ser>
        <c:ser>
          <c:idx val="3"/>
          <c:order val="3"/>
          <c:tx>
            <c:strRef>
              <c:f>'Short-sea (MGO)'!$A$324</c:f>
              <c:strCache>
                <c:ptCount val="1"/>
                <c:pt idx="0">
                  <c:v>Short-sea:  Neo bulk</c:v>
                </c:pt>
              </c:strCache>
            </c:strRef>
          </c:tx>
          <c:spPr>
            <a:ln w="28575" cap="rnd">
              <a:solidFill>
                <a:schemeClr val="accent4"/>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(MGO)'!$B$408:$AC$408</c:f>
              <c:numCache>
                <c:formatCode>0.00</c:formatCode>
                <c:ptCount val="28"/>
                <c:pt idx="0" formatCode="0.000">
                  <c:v>1.2531692083558459E-2</c:v>
                </c:pt>
                <c:pt idx="1">
                  <c:v>1.2537075309378724E-2</c:v>
                </c:pt>
                <c:pt idx="2">
                  <c:v>1.2544781277238742E-2</c:v>
                </c:pt>
                <c:pt idx="3">
                  <c:v>1.2555805206170386E-2</c:v>
                </c:pt>
                <c:pt idx="4">
                  <c:v>1.2571560833164394E-2</c:v>
                </c:pt>
                <c:pt idx="5">
                  <c:v>1.2594047517817036E-2</c:v>
                </c:pt>
                <c:pt idx="6">
                  <c:v>1.2626074073349997E-2</c:v>
                </c:pt>
                <c:pt idx="7">
                  <c:v>1.2671547191142796E-2</c:v>
                </c:pt>
                <c:pt idx="8">
                  <c:v>1.2735819073455293E-2</c:v>
                </c:pt>
                <c:pt idx="9">
                  <c:v>1.2826055636661227E-2</c:v>
                </c:pt>
                <c:pt idx="10">
                  <c:v>1.2951517216404272E-2</c:v>
                </c:pt>
                <c:pt idx="11">
                  <c:v>1.312352034870495E-2</c:v>
                </c:pt>
                <c:pt idx="12">
                  <c:v>1.3354674127406551E-2</c:v>
                </c:pt>
                <c:pt idx="13">
                  <c:v>1.3656836771795453E-2</c:v>
                </c:pt>
                <c:pt idx="14">
                  <c:v>1.4037359550287561E-2</c:v>
                </c:pt>
                <c:pt idx="15">
                  <c:v>1.4493975961570024E-2</c:v>
                </c:pt>
                <c:pt idx="16">
                  <c:v>1.5010305769438539E-2</c:v>
                </c:pt>
                <c:pt idx="17">
                  <c:v>1.5555393029157439E-2</c:v>
                </c:pt>
                <c:pt idx="18">
                  <c:v>1.6089753991162196E-2</c:v>
                </c:pt>
                <c:pt idx="19">
                  <c:v>1.6576193773923092E-2</c:v>
                </c:pt>
                <c:pt idx="20">
                  <c:v>1.6989598318912703E-2</c:v>
                </c:pt>
                <c:pt idx="21">
                  <c:v>1.7320661322890098E-2</c:v>
                </c:pt>
                <c:pt idx="22">
                  <c:v>1.7573277088549524E-2</c:v>
                </c:pt>
                <c:pt idx="23">
                  <c:v>1.775896993612289E-2</c:v>
                </c:pt>
                <c:pt idx="24">
                  <c:v>1.7891737635781751E-2</c:v>
                </c:pt>
                <c:pt idx="25">
                  <c:v>1.7984788186155128E-2</c:v>
                </c:pt>
                <c:pt idx="26">
                  <c:v>1.8049091835796931E-2</c:v>
                </c:pt>
                <c:pt idx="27">
                  <c:v>1.8093098027620588E-2</c:v>
                </c:pt>
              </c:numCache>
            </c:numRef>
          </c:val>
          <c:smooth val="0"/>
          <c:extLst>
            <c:ext xmlns:c16="http://schemas.microsoft.com/office/drawing/2014/chart" uri="{C3380CC4-5D6E-409C-BE32-E72D297353CC}">
              <c16:uniqueId val="{00000003-E5CD-4141-A447-73549E6456BD}"/>
            </c:ext>
          </c:extLst>
        </c:ser>
        <c:dLbls>
          <c:showLegendKey val="0"/>
          <c:showVal val="0"/>
          <c:showCatName val="0"/>
          <c:showSerName val="0"/>
          <c:showPercent val="0"/>
          <c:showBubbleSize val="0"/>
        </c:dLbls>
        <c:smooth val="0"/>
        <c:axId val="676339000"/>
        <c:axId val="676332768"/>
      </c:lineChart>
      <c:catAx>
        <c:axId val="676339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32768"/>
        <c:crosses val="autoZero"/>
        <c:auto val="1"/>
        <c:lblAlgn val="ctr"/>
        <c:lblOffset val="100"/>
        <c:tickLblSkip val="3"/>
        <c:noMultiLvlLbl val="0"/>
      </c:catAx>
      <c:valAx>
        <c:axId val="676332768"/>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39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Hydrogen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'Short-sea (Hydrogen)'!$A$1</c:f>
              <c:strCache>
                <c:ptCount val="1"/>
                <c:pt idx="0">
                  <c:v>Short-sea: Dry bulk</c:v>
                </c:pt>
              </c:strCache>
            </c:strRef>
          </c:tx>
          <c:spPr>
            <a:ln w="28575" cap="rnd">
              <a:solidFill>
                <a:schemeClr val="accent1"/>
              </a:solidFill>
              <a:round/>
            </a:ln>
            <a:effectLst/>
          </c:spPr>
          <c:marker>
            <c:symbol val="none"/>
          </c:marker>
          <c:cat>
            <c:numRef>
              <c:f>'Short-sea (Hydrogen)'!$B$396:$AC$396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(Hydrogen)'!$B$85:$AC$85</c:f>
              <c:numCache>
                <c:formatCode>0.00</c:formatCode>
                <c:ptCount val="28"/>
                <c:pt idx="0">
                  <c:v>3.0810093230027879E-2</c:v>
                </c:pt>
                <c:pt idx="1">
                  <c:v>3.0724549362755826E-2</c:v>
                </c:pt>
                <c:pt idx="2">
                  <c:v>3.060306964547245E-2</c:v>
                </c:pt>
                <c:pt idx="3">
                  <c:v>3.0431325168648132E-2</c:v>
                </c:pt>
                <c:pt idx="4">
                  <c:v>3.0190099406780278E-2</c:v>
                </c:pt>
                <c:pt idx="5">
                  <c:v>2.9854488554024502E-2</c:v>
                </c:pt>
                <c:pt idx="6">
                  <c:v>2.9393903304469129E-2</c:v>
                </c:pt>
                <c:pt idx="7">
                  <c:v>2.8773918634720671E-2</c:v>
                </c:pt>
                <c:pt idx="8">
                  <c:v>2.7961402154865492E-2</c:v>
                </c:pt>
                <c:pt idx="9">
                  <c:v>2.6934045193081235E-2</c:v>
                </c:pt>
                <c:pt idx="10">
                  <c:v>2.5693402558028225E-2</c:v>
                </c:pt>
                <c:pt idx="11">
                  <c:v>2.4276447531910151E-2</c:v>
                </c:pt>
                <c:pt idx="12">
                  <c:v>2.2757024454098863E-2</c:v>
                </c:pt>
                <c:pt idx="13">
                  <c:v>2.1231146164409322E-2</c:v>
                </c:pt>
                <c:pt idx="14">
                  <c:v>1.9790932728586109E-2</c:v>
                </c:pt>
                <c:pt idx="15">
                  <c:v>1.8501988106581178E-2</c:v>
                </c:pt>
                <c:pt idx="16">
                  <c:v>1.7396155547409278E-2</c:v>
                </c:pt>
                <c:pt idx="17">
                  <c:v>1.6478532078899349E-2</c:v>
                </c:pt>
                <c:pt idx="18">
                  <c:v>1.5738798342254764E-2</c:v>
                </c:pt>
                <c:pt idx="19">
                  <c:v>1.5159103837900516E-2</c:v>
                </c:pt>
                <c:pt idx="20">
                  <c:v>1.4717641691384778E-2</c:v>
                </c:pt>
                <c:pt idx="21">
                  <c:v>1.4390593362430995E-2</c:v>
                </c:pt>
                <c:pt idx="22">
                  <c:v>1.4154189222770045E-2</c:v>
                </c:pt>
                <c:pt idx="23">
                  <c:v>1.3986747247518916E-2</c:v>
                </c:pt>
                <c:pt idx="24">
                  <c:v>1.3870014922604316E-2</c:v>
                </c:pt>
                <c:pt idx="25">
                  <c:v>1.3789589524450996E-2</c:v>
                </c:pt>
                <c:pt idx="26">
                  <c:v>1.3734647836987824E-2</c:v>
                </c:pt>
                <c:pt idx="27">
                  <c:v>1.3697339192702274E-2</c:v>
                </c:pt>
              </c:numCache>
            </c:numRef>
          </c:val>
          <c:smooth val="0"/>
          <c:extLst>
            <c:ext xmlns:c16="http://schemas.microsoft.com/office/drawing/2014/chart" uri="{C3380CC4-5D6E-409C-BE32-E72D297353CC}">
              <c16:uniqueId val="{00000000-BCFC-4889-87C8-F3C9BFA93ABA}"/>
            </c:ext>
          </c:extLst>
        </c:ser>
        <c:ser>
          <c:idx val="1"/>
          <c:order val="1"/>
          <c:tx>
            <c:strRef>
              <c:f>'Short-sea (Hydrogen)'!$A$107</c:f>
              <c:strCache>
                <c:ptCount val="1"/>
                <c:pt idx="0">
                  <c:v>Short-sea: Container</c:v>
                </c:pt>
              </c:strCache>
            </c:strRef>
          </c:tx>
          <c:spPr>
            <a:ln w="28575" cap="rnd">
              <a:solidFill>
                <a:schemeClr val="accent2"/>
              </a:solidFill>
              <a:round/>
            </a:ln>
            <a:effectLst/>
          </c:spPr>
          <c:marker>
            <c:symbol val="none"/>
          </c:marker>
          <c:cat>
            <c:numRef>
              <c:f>'Short-sea (Hydrogen)'!$B$396:$AC$396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(Hydrogen)'!$B$191:$AC$191</c:f>
              <c:numCache>
                <c:formatCode>0.00</c:formatCode>
                <c:ptCount val="28"/>
                <c:pt idx="0">
                  <c:v>3.6815507844405446E-2</c:v>
                </c:pt>
                <c:pt idx="1">
                  <c:v>3.6715235987025079E-2</c:v>
                </c:pt>
                <c:pt idx="2">
                  <c:v>3.6572841279825477E-2</c:v>
                </c:pt>
                <c:pt idx="3">
                  <c:v>3.6371527933294012E-2</c:v>
                </c:pt>
                <c:pt idx="4">
                  <c:v>3.6088771257475206E-2</c:v>
                </c:pt>
                <c:pt idx="5">
                  <c:v>3.5695380629357371E-2</c:v>
                </c:pt>
                <c:pt idx="6">
                  <c:v>3.5155502259362946E-2</c:v>
                </c:pt>
                <c:pt idx="7">
                  <c:v>3.442878883336719E-2</c:v>
                </c:pt>
                <c:pt idx="8">
                  <c:v>3.3476413355431917E-2</c:v>
                </c:pt>
                <c:pt idx="9">
                  <c:v>3.2272245245076631E-2</c:v>
                </c:pt>
                <c:pt idx="10">
                  <c:v>3.0818140211940459E-2</c:v>
                </c:pt>
                <c:pt idx="11">
                  <c:v>2.9157488262562616E-2</c:v>
                </c:pt>
                <c:pt idx="12">
                  <c:v>2.7376913502299812E-2</c:v>
                </c:pt>
                <c:pt idx="13">
                  <c:v>2.5589025538758213E-2</c:v>
                </c:pt>
                <c:pt idx="14">
                  <c:v>2.3901844435819792E-2</c:v>
                </c:pt>
                <c:pt idx="15">
                  <c:v>2.2392253165613708E-2</c:v>
                </c:pt>
                <c:pt idx="16">
                  <c:v>2.1097492171380402E-2</c:v>
                </c:pt>
                <c:pt idx="17">
                  <c:v>2.0023398594121916E-2</c:v>
                </c:pt>
                <c:pt idx="18">
                  <c:v>1.9157730994248709E-2</c:v>
                </c:pt>
                <c:pt idx="19">
                  <c:v>1.8479458615928458E-2</c:v>
                </c:pt>
                <c:pt idx="20">
                  <c:v>1.7962973467608206E-2</c:v>
                </c:pt>
                <c:pt idx="21">
                  <c:v>1.7580361936983698E-2</c:v>
                </c:pt>
                <c:pt idx="22">
                  <c:v>1.7303797558517325E-2</c:v>
                </c:pt>
                <c:pt idx="23">
                  <c:v>1.7107909955218936E-2</c:v>
                </c:pt>
                <c:pt idx="24">
                  <c:v>1.6971345564141052E-2</c:v>
                </c:pt>
                <c:pt idx="25">
                  <c:v>1.6877255554191242E-2</c:v>
                </c:pt>
                <c:pt idx="26">
                  <c:v>1.6812978542631217E-2</c:v>
                </c:pt>
                <c:pt idx="27">
                  <c:v>1.6769330398974394E-2</c:v>
                </c:pt>
              </c:numCache>
            </c:numRef>
          </c:val>
          <c:smooth val="0"/>
          <c:extLst>
            <c:ext xmlns:c16="http://schemas.microsoft.com/office/drawing/2014/chart" uri="{C3380CC4-5D6E-409C-BE32-E72D297353CC}">
              <c16:uniqueId val="{00000001-BCFC-4889-87C8-F3C9BFA93ABA}"/>
            </c:ext>
          </c:extLst>
        </c:ser>
        <c:ser>
          <c:idx val="2"/>
          <c:order val="2"/>
          <c:tx>
            <c:strRef>
              <c:f>'Short-sea (Hydrogen)'!$A$215</c:f>
              <c:strCache>
                <c:ptCount val="1"/>
                <c:pt idx="0">
                  <c:v>Short-sea: Break bulk</c:v>
                </c:pt>
              </c:strCache>
            </c:strRef>
          </c:tx>
          <c:spPr>
            <a:ln w="28575" cap="rnd">
              <a:solidFill>
                <a:schemeClr val="accent3"/>
              </a:solidFill>
              <a:round/>
            </a:ln>
            <a:effectLst/>
          </c:spPr>
          <c:marker>
            <c:symbol val="none"/>
          </c:marker>
          <c:cat>
            <c:numRef>
              <c:f>'Short-sea (Hydrogen)'!$B$396:$AC$396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(Hydrogen)'!$B$299:$AC$299</c:f>
              <c:numCache>
                <c:formatCode>0.00</c:formatCode>
                <c:ptCount val="28"/>
                <c:pt idx="0">
                  <c:v>3.9621316206197396E-2</c:v>
                </c:pt>
                <c:pt idx="1">
                  <c:v>3.9511429826804056E-2</c:v>
                </c:pt>
                <c:pt idx="2">
                  <c:v>3.9355381859672467E-2</c:v>
                </c:pt>
                <c:pt idx="3">
                  <c:v>3.9134766385479115E-2</c:v>
                </c:pt>
                <c:pt idx="4">
                  <c:v>3.882489970277677E-2</c:v>
                </c:pt>
                <c:pt idx="5">
                  <c:v>3.8393793951098473E-2</c:v>
                </c:pt>
                <c:pt idx="6">
                  <c:v>3.7802161155010353E-2</c:v>
                </c:pt>
                <c:pt idx="7">
                  <c:v>3.7005792817435934E-2</c:v>
                </c:pt>
                <c:pt idx="8">
                  <c:v>3.5962153711011406E-2</c:v>
                </c:pt>
                <c:pt idx="9">
                  <c:v>3.4642634578537668E-2</c:v>
                </c:pt>
                <c:pt idx="10">
                  <c:v>3.3049313981109968E-2</c:v>
                </c:pt>
                <c:pt idx="11">
                  <c:v>3.1229809235388841E-2</c:v>
                </c:pt>
                <c:pt idx="12">
                  <c:v>2.9279135566658874E-2</c:v>
                </c:pt>
                <c:pt idx="13">
                  <c:v>2.7320786859174287E-2</c:v>
                </c:pt>
                <c:pt idx="14">
                  <c:v>2.5473198590534488E-2</c:v>
                </c:pt>
                <c:pt idx="15">
                  <c:v>2.3820620169439938E-2</c:v>
                </c:pt>
                <c:pt idx="16">
                  <c:v>2.240377300537371E-2</c:v>
                </c:pt>
                <c:pt idx="17">
                  <c:v>2.1228890161211295E-2</c:v>
                </c:pt>
                <c:pt idx="18">
                  <c:v>2.0282363213499754E-2</c:v>
                </c:pt>
                <c:pt idx="19">
                  <c:v>1.9540979871562045E-2</c:v>
                </c:pt>
                <c:pt idx="20">
                  <c:v>1.8976579299514049E-2</c:v>
                </c:pt>
                <c:pt idx="21">
                  <c:v>1.8558546767311668E-2</c:v>
                </c:pt>
                <c:pt idx="22">
                  <c:v>1.8256415657116897E-2</c:v>
                </c:pt>
                <c:pt idx="23">
                  <c:v>1.8042436724243615E-2</c:v>
                </c:pt>
                <c:pt idx="24">
                  <c:v>1.7893267792012345E-2</c:v>
                </c:pt>
                <c:pt idx="25">
                  <c:v>1.7790497122199506E-2</c:v>
                </c:pt>
                <c:pt idx="26">
                  <c:v>1.772029159525567E-2</c:v>
                </c:pt>
                <c:pt idx="27">
                  <c:v>1.7672618345426837E-2</c:v>
                </c:pt>
              </c:numCache>
            </c:numRef>
          </c:val>
          <c:smooth val="0"/>
          <c:extLst>
            <c:ext xmlns:c16="http://schemas.microsoft.com/office/drawing/2014/chart" uri="{C3380CC4-5D6E-409C-BE32-E72D297353CC}">
              <c16:uniqueId val="{00000002-BCFC-4889-87C8-F3C9BFA93ABA}"/>
            </c:ext>
          </c:extLst>
        </c:ser>
        <c:ser>
          <c:idx val="3"/>
          <c:order val="3"/>
          <c:tx>
            <c:strRef>
              <c:f>'Short-sea (Hydrogen)'!$A$324</c:f>
              <c:strCache>
                <c:ptCount val="1"/>
                <c:pt idx="0">
                  <c:v>Short-sea:  Neo bulk</c:v>
                </c:pt>
              </c:strCache>
            </c:strRef>
          </c:tx>
          <c:spPr>
            <a:ln w="28575" cap="rnd">
              <a:solidFill>
                <a:schemeClr val="accent4"/>
              </a:solidFill>
              <a:round/>
            </a:ln>
            <a:effectLst/>
          </c:spPr>
          <c:marker>
            <c:symbol val="none"/>
          </c:marker>
          <c:cat>
            <c:numRef>
              <c:f>'Short-sea (Hydrogen)'!$B$396:$AC$396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(Hydrogen)'!$B$408:$AC$408</c:f>
              <c:numCache>
                <c:formatCode>0.00</c:formatCode>
                <c:ptCount val="28"/>
                <c:pt idx="0">
                  <c:v>3.0804570665622654E-2</c:v>
                </c:pt>
                <c:pt idx="1">
                  <c:v>3.07190268802571E-2</c:v>
                </c:pt>
                <c:pt idx="2">
                  <c:v>3.0597547280215038E-2</c:v>
                </c:pt>
                <c:pt idx="3">
                  <c:v>3.0425802971100344E-2</c:v>
                </c:pt>
                <c:pt idx="4">
                  <c:v>3.0184577448901382E-2</c:v>
                </c:pt>
                <c:pt idx="5">
                  <c:v>2.9848966938153611E-2</c:v>
                </c:pt>
                <c:pt idx="6">
                  <c:v>2.9388382175597434E-2</c:v>
                </c:pt>
                <c:pt idx="7">
                  <c:v>2.8768398197107952E-2</c:v>
                </c:pt>
                <c:pt idx="8">
                  <c:v>2.7955882693860724E-2</c:v>
                </c:pt>
                <c:pt idx="9">
                  <c:v>2.6928527102386447E-2</c:v>
                </c:pt>
                <c:pt idx="10">
                  <c:v>2.5687886370952612E-2</c:v>
                </c:pt>
                <c:pt idx="11">
                  <c:v>2.427093395158746E-2</c:v>
                </c:pt>
                <c:pt idx="12">
                  <c:v>2.2751514371451294E-2</c:v>
                </c:pt>
                <c:pt idx="13">
                  <c:v>2.1225640644377264E-2</c:v>
                </c:pt>
                <c:pt idx="14">
                  <c:v>1.9785432939102631E-2</c:v>
                </c:pt>
                <c:pt idx="15">
                  <c:v>1.849649517118614E-2</c:v>
                </c:pt>
                <c:pt idx="16">
                  <c:v>1.7390670333146188E-2</c:v>
                </c:pt>
                <c:pt idx="17">
                  <c:v>1.6473054982268233E-2</c:v>
                </c:pt>
                <c:pt idx="18">
                  <c:v>1.5733329170288274E-2</c:v>
                </c:pt>
                <c:pt idx="19">
                  <c:v>1.5153641851487975E-2</c:v>
                </c:pt>
                <c:pt idx="20">
                  <c:v>1.4712185790488037E-2</c:v>
                </c:pt>
                <c:pt idx="21">
                  <c:v>1.4385142320975212E-2</c:v>
                </c:pt>
                <c:pt idx="22">
                  <c:v>1.414874188095956E-2</c:v>
                </c:pt>
                <c:pt idx="23">
                  <c:v>1.3981302620663251E-2</c:v>
                </c:pt>
                <c:pt idx="24">
                  <c:v>1.3864572234527434E-2</c:v>
                </c:pt>
                <c:pt idx="25">
                  <c:v>1.3784148193993467E-2</c:v>
                </c:pt>
                <c:pt idx="26">
                  <c:v>1.3729207444161961E-2</c:v>
                </c:pt>
                <c:pt idx="27">
                  <c:v>1.3691899441277723E-2</c:v>
                </c:pt>
              </c:numCache>
            </c:numRef>
          </c:val>
          <c:smooth val="0"/>
          <c:extLst>
            <c:ext xmlns:c16="http://schemas.microsoft.com/office/drawing/2014/chart" uri="{C3380CC4-5D6E-409C-BE32-E72D297353CC}">
              <c16:uniqueId val="{00000003-BCFC-4889-87C8-F3C9BFA93ABA}"/>
            </c:ext>
          </c:extLst>
        </c:ser>
        <c:dLbls>
          <c:showLegendKey val="0"/>
          <c:showVal val="0"/>
          <c:showCatName val="0"/>
          <c:showSerName val="0"/>
          <c:showPercent val="0"/>
          <c:showBubbleSize val="0"/>
        </c:dLbls>
        <c:smooth val="0"/>
        <c:axId val="768870392"/>
        <c:axId val="888375936"/>
      </c:lineChart>
      <c:catAx>
        <c:axId val="768870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888375936"/>
        <c:crosses val="autoZero"/>
        <c:auto val="1"/>
        <c:lblAlgn val="ctr"/>
        <c:lblOffset val="100"/>
        <c:tickLblSkip val="3"/>
        <c:noMultiLvlLbl val="0"/>
      </c:catAx>
      <c:valAx>
        <c:axId val="88837593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768870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Ammonia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'Short-sea (Ammonia)'!$A$1</c:f>
              <c:strCache>
                <c:ptCount val="1"/>
                <c:pt idx="0">
                  <c:v>Short-sea: Dry bulk</c:v>
                </c:pt>
              </c:strCache>
            </c:strRef>
          </c:tx>
          <c:spPr>
            <a:ln w="28575" cap="rnd">
              <a:solidFill>
                <a:schemeClr val="accent1"/>
              </a:solidFill>
              <a:round/>
            </a:ln>
            <a:effectLst/>
          </c:spPr>
          <c:marker>
            <c:symbol val="none"/>
          </c:marker>
          <c:cat>
            <c:numRef>
              <c:f>'Short-sea (Ammonia)'!$B$396:$AC$396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(Ammonia)'!$B$85:$AC$85</c:f>
              <c:numCache>
                <c:formatCode>0.00</c:formatCode>
                <c:ptCount val="28"/>
                <c:pt idx="0">
                  <c:v>2.902835818114894E-2</c:v>
                </c:pt>
                <c:pt idx="1">
                  <c:v>2.8990021520339811E-2</c:v>
                </c:pt>
                <c:pt idx="2">
                  <c:v>2.8935302004392136E-2</c:v>
                </c:pt>
                <c:pt idx="3">
                  <c:v>2.8857356578696845E-2</c:v>
                </c:pt>
                <c:pt idx="4">
                  <c:v>2.8746658692939197E-2</c:v>
                </c:pt>
                <c:pt idx="5">
                  <c:v>2.8590137084176043E-2</c:v>
                </c:pt>
                <c:pt idx="6">
                  <c:v>2.837024673258156E-2</c:v>
                </c:pt>
                <c:pt idx="7">
                  <c:v>2.8064216890006113E-2</c:v>
                </c:pt>
                <c:pt idx="8">
                  <c:v>2.7644007468468592E-2</c:v>
                </c:pt>
                <c:pt idx="9">
                  <c:v>2.7077915299098029E-2</c:v>
                </c:pt>
                <c:pt idx="10">
                  <c:v>2.6335130494883285E-2</c:v>
                </c:pt>
                <c:pt idx="11">
                  <c:v>2.5394305808418977E-2</c:v>
                </c:pt>
                <c:pt idx="12">
                  <c:v>2.4255465502616674E-2</c:v>
                </c:pt>
                <c:pt idx="13">
                  <c:v>2.2950989999888968E-2</c:v>
                </c:pt>
                <c:pt idx="14">
                  <c:v>2.1548125417478269E-2</c:v>
                </c:pt>
                <c:pt idx="15">
                  <c:v>2.0137352951233402E-2</c:v>
                </c:pt>
                <c:pt idx="16">
                  <c:v>1.8809837968912464E-2</c:v>
                </c:pt>
                <c:pt idx="17">
                  <c:v>1.763561153821214E-2</c:v>
                </c:pt>
                <c:pt idx="18">
                  <c:v>1.665268390724773E-2</c:v>
                </c:pt>
                <c:pt idx="19">
                  <c:v>1.5868316245078239E-2</c:v>
                </c:pt>
                <c:pt idx="20">
                  <c:v>1.5267334739861674E-2</c:v>
                </c:pt>
                <c:pt idx="21">
                  <c:v>1.4822116447504755E-2</c:v>
                </c:pt>
                <c:pt idx="22">
                  <c:v>1.4501072805761843E-2</c:v>
                </c:pt>
                <c:pt idx="23">
                  <c:v>1.4274344543437479E-2</c:v>
                </c:pt>
                <c:pt idx="24">
                  <c:v>1.4116692936011114E-2</c:v>
                </c:pt>
                <c:pt idx="25">
                  <c:v>1.400829969558617E-2</c:v>
                </c:pt>
                <c:pt idx="26">
                  <c:v>1.3934365818658707E-2</c:v>
                </c:pt>
                <c:pt idx="27">
                  <c:v>1.3884215565991918E-2</c:v>
                </c:pt>
              </c:numCache>
            </c:numRef>
          </c:val>
          <c:smooth val="0"/>
          <c:extLst>
            <c:ext xmlns:c16="http://schemas.microsoft.com/office/drawing/2014/chart" uri="{C3380CC4-5D6E-409C-BE32-E72D297353CC}">
              <c16:uniqueId val="{00000000-0EC6-4B14-92B2-91642923D2F0}"/>
            </c:ext>
          </c:extLst>
        </c:ser>
        <c:ser>
          <c:idx val="1"/>
          <c:order val="1"/>
          <c:tx>
            <c:strRef>
              <c:f>'Short-sea (Ammonia)'!$A$107</c:f>
              <c:strCache>
                <c:ptCount val="1"/>
                <c:pt idx="0">
                  <c:v>Short-sea: Container</c:v>
                </c:pt>
              </c:strCache>
            </c:strRef>
          </c:tx>
          <c:spPr>
            <a:ln w="28575" cap="rnd">
              <a:solidFill>
                <a:schemeClr val="accent2"/>
              </a:solidFill>
              <a:round/>
            </a:ln>
            <a:effectLst/>
          </c:spPr>
          <c:marker>
            <c:symbol val="none"/>
          </c:marker>
          <c:cat>
            <c:numRef>
              <c:f>'Short-sea (Ammonia)'!$B$396:$AC$396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(Ammonia)'!$B$191:$AC$191</c:f>
              <c:numCache>
                <c:formatCode>0.00</c:formatCode>
                <c:ptCount val="28"/>
                <c:pt idx="0">
                  <c:v>3.4793907727129626E-2</c:v>
                </c:pt>
                <c:pt idx="1">
                  <c:v>3.4748869059773979E-2</c:v>
                </c:pt>
                <c:pt idx="2">
                  <c:v>3.4684583455130889E-2</c:v>
                </c:pt>
                <c:pt idx="3">
                  <c:v>3.4593011515939555E-2</c:v>
                </c:pt>
                <c:pt idx="4">
                  <c:v>3.4462961187834186E-2</c:v>
                </c:pt>
                <c:pt idx="5">
                  <c:v>3.4279075967565374E-2</c:v>
                </c:pt>
                <c:pt idx="6">
                  <c:v>3.4020743429757631E-2</c:v>
                </c:pt>
                <c:pt idx="7">
                  <c:v>3.3661211809394798E-2</c:v>
                </c:pt>
                <c:pt idx="8">
                  <c:v>3.3167538864981742E-2</c:v>
                </c:pt>
                <c:pt idx="9">
                  <c:v>3.2502479242060837E-2</c:v>
                </c:pt>
                <c:pt idx="10">
                  <c:v>3.1629838040857707E-2</c:v>
                </c:pt>
                <c:pt idx="11">
                  <c:v>3.0524539385806074E-2</c:v>
                </c:pt>
                <c:pt idx="12">
                  <c:v>2.9186618449256109E-2</c:v>
                </c:pt>
                <c:pt idx="13">
                  <c:v>2.7654126596113063E-2</c:v>
                </c:pt>
                <c:pt idx="14">
                  <c:v>2.6006076812898685E-2</c:v>
                </c:pt>
                <c:pt idx="15">
                  <c:v>2.4348773432992292E-2</c:v>
                </c:pt>
                <c:pt idx="16">
                  <c:v>2.2789312412530651E-2</c:v>
                </c:pt>
                <c:pt idx="17">
                  <c:v>2.1409948448749275E-2</c:v>
                </c:pt>
                <c:pt idx="18">
                  <c:v>2.0255313843546632E-2</c:v>
                </c:pt>
                <c:pt idx="19">
                  <c:v>1.9333923461855418E-2</c:v>
                </c:pt>
                <c:pt idx="20">
                  <c:v>1.862794699016912E-2</c:v>
                </c:pt>
                <c:pt idx="21">
                  <c:v>1.8104937507917616E-2</c:v>
                </c:pt>
                <c:pt idx="22">
                  <c:v>1.7727792338011281E-2</c:v>
                </c:pt>
                <c:pt idx="23">
                  <c:v>1.7461439523991994E-2</c:v>
                </c:pt>
                <c:pt idx="24">
                  <c:v>1.7276233170420773E-2</c:v>
                </c:pt>
                <c:pt idx="25">
                  <c:v>1.7148893372723604E-2</c:v>
                </c:pt>
                <c:pt idx="26">
                  <c:v>1.7062035594130064E-2</c:v>
                </c:pt>
                <c:pt idx="27">
                  <c:v>1.700311858405153E-2</c:v>
                </c:pt>
              </c:numCache>
            </c:numRef>
          </c:val>
          <c:smooth val="0"/>
          <c:extLst>
            <c:ext xmlns:c16="http://schemas.microsoft.com/office/drawing/2014/chart" uri="{C3380CC4-5D6E-409C-BE32-E72D297353CC}">
              <c16:uniqueId val="{00000001-0EC6-4B14-92B2-91642923D2F0}"/>
            </c:ext>
          </c:extLst>
        </c:ser>
        <c:ser>
          <c:idx val="2"/>
          <c:order val="2"/>
          <c:tx>
            <c:strRef>
              <c:f>'Short-sea (Ammonia)'!$A$215</c:f>
              <c:strCache>
                <c:ptCount val="1"/>
                <c:pt idx="0">
                  <c:v>Short-sea: Break bulk</c:v>
                </c:pt>
              </c:strCache>
            </c:strRef>
          </c:tx>
          <c:spPr>
            <a:ln w="28575" cap="rnd">
              <a:solidFill>
                <a:schemeClr val="accent3"/>
              </a:solidFill>
              <a:round/>
            </a:ln>
            <a:effectLst/>
          </c:spPr>
          <c:marker>
            <c:symbol val="none"/>
          </c:marker>
          <c:cat>
            <c:numRef>
              <c:f>'Short-sea (Ammonia)'!$B$396:$AC$396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(Ammonia)'!$B$299:$AC$299</c:f>
              <c:numCache>
                <c:formatCode>0.00</c:formatCode>
                <c:ptCount val="28"/>
                <c:pt idx="0">
                  <c:v>3.7458635463234573E-2</c:v>
                </c:pt>
                <c:pt idx="1">
                  <c:v>3.7409222044583162E-2</c:v>
                </c:pt>
                <c:pt idx="2">
                  <c:v>3.7338692181975448E-2</c:v>
                </c:pt>
                <c:pt idx="3">
                  <c:v>3.7238225608829896E-2</c:v>
                </c:pt>
                <c:pt idx="4">
                  <c:v>3.7095543211492679E-2</c:v>
                </c:pt>
                <c:pt idx="5">
                  <c:v>3.6893797011716731E-2</c:v>
                </c:pt>
                <c:pt idx="6">
                  <c:v>3.6610372793645977E-2</c:v>
                </c:pt>
                <c:pt idx="7">
                  <c:v>3.6215921131582715E-2</c:v>
                </c:pt>
                <c:pt idx="8">
                  <c:v>3.5674301802347978E-2</c:v>
                </c:pt>
                <c:pt idx="9">
                  <c:v>3.4944655442323461E-2</c:v>
                </c:pt>
                <c:pt idx="10">
                  <c:v>3.3987278734330988E-2</c:v>
                </c:pt>
                <c:pt idx="11">
                  <c:v>3.2774673158946381E-2</c:v>
                </c:pt>
                <c:pt idx="12">
                  <c:v>3.1306898011975538E-2</c:v>
                </c:pt>
                <c:pt idx="13">
                  <c:v>2.9625728446674476E-2</c:v>
                </c:pt>
                <c:pt idx="14">
                  <c:v>2.7817880790561987E-2</c:v>
                </c:pt>
                <c:pt idx="15">
                  <c:v>2.600000174952307E-2</c:v>
                </c:pt>
                <c:pt idx="16">
                  <c:v>2.4289580804806886E-2</c:v>
                </c:pt>
                <c:pt idx="17">
                  <c:v>2.2776822890429777E-2</c:v>
                </c:pt>
                <c:pt idx="18">
                  <c:v>2.1510636843727015E-2</c:v>
                </c:pt>
                <c:pt idx="19">
                  <c:v>2.0500307481092536E-2</c:v>
                </c:pt>
                <c:pt idx="20">
                  <c:v>1.9726234289460215E-2</c:v>
                </c:pt>
                <c:pt idx="21">
                  <c:v>1.9152804231898909E-2</c:v>
                </c:pt>
                <c:pt idx="22">
                  <c:v>1.8739314867327227E-2</c:v>
                </c:pt>
                <c:pt idx="23">
                  <c:v>1.8447301629776789E-2</c:v>
                </c:pt>
                <c:pt idx="24">
                  <c:v>1.8244255875722069E-2</c:v>
                </c:pt>
                <c:pt idx="25">
                  <c:v>1.8104652057202381E-2</c:v>
                </c:pt>
                <c:pt idx="26">
                  <c:v>1.8009429779149631E-2</c:v>
                </c:pt>
                <c:pt idx="27">
                  <c:v>1.7944839325241123E-2</c:v>
                </c:pt>
              </c:numCache>
            </c:numRef>
          </c:val>
          <c:smooth val="0"/>
          <c:extLst>
            <c:ext xmlns:c16="http://schemas.microsoft.com/office/drawing/2014/chart" uri="{C3380CC4-5D6E-409C-BE32-E72D297353CC}">
              <c16:uniqueId val="{00000002-0EC6-4B14-92B2-91642923D2F0}"/>
            </c:ext>
          </c:extLst>
        </c:ser>
        <c:ser>
          <c:idx val="3"/>
          <c:order val="3"/>
          <c:tx>
            <c:strRef>
              <c:f>'Short-sea (Ammonia)'!$A$324</c:f>
              <c:strCache>
                <c:ptCount val="1"/>
                <c:pt idx="0">
                  <c:v>Short-sea:  Neo bulk</c:v>
                </c:pt>
              </c:strCache>
            </c:strRef>
          </c:tx>
          <c:spPr>
            <a:ln w="28575" cap="rnd">
              <a:solidFill>
                <a:schemeClr val="accent4"/>
              </a:solidFill>
              <a:round/>
            </a:ln>
            <a:effectLst/>
          </c:spPr>
          <c:marker>
            <c:symbol val="none"/>
          </c:marker>
          <c:cat>
            <c:numRef>
              <c:f>'Short-sea (Ammonia)'!$B$396:$AC$396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(Ammonia)'!$B$408:$AC$408</c:f>
              <c:numCache>
                <c:formatCode>0.00</c:formatCode>
                <c:ptCount val="28"/>
                <c:pt idx="0">
                  <c:v>2.902291985757945E-2</c:v>
                </c:pt>
                <c:pt idx="1">
                  <c:v>2.8984583235964714E-2</c:v>
                </c:pt>
                <c:pt idx="2">
                  <c:v>2.8929863776121559E-2</c:v>
                </c:pt>
                <c:pt idx="3">
                  <c:v>2.8851918430684832E-2</c:v>
                </c:pt>
                <c:pt idx="4">
                  <c:v>2.8741220659628485E-2</c:v>
                </c:pt>
                <c:pt idx="5">
                  <c:v>2.8584699214556874E-2</c:v>
                </c:pt>
                <c:pt idx="6">
                  <c:v>2.836480909607492E-2</c:v>
                </c:pt>
                <c:pt idx="7">
                  <c:v>2.8058779584436665E-2</c:v>
                </c:pt>
                <c:pt idx="8">
                  <c:v>2.7638570630548601E-2</c:v>
                </c:pt>
                <c:pt idx="9">
                  <c:v>2.7072479117554945E-2</c:v>
                </c:pt>
                <c:pt idx="10">
                  <c:v>2.6329695225565025E-2</c:v>
                </c:pt>
                <c:pt idx="11">
                  <c:v>2.5388871789013941E-2</c:v>
                </c:pt>
                <c:pt idx="12">
                  <c:v>2.4250033161663943E-2</c:v>
                </c:pt>
                <c:pt idx="13">
                  <c:v>2.2945559850757628E-2</c:v>
                </c:pt>
                <c:pt idx="14">
                  <c:v>2.1542698024970851E-2</c:v>
                </c:pt>
                <c:pt idx="15">
                  <c:v>2.0131928861302981E-2</c:v>
                </c:pt>
                <c:pt idx="16">
                  <c:v>1.8804417606511498E-2</c:v>
                </c:pt>
                <c:pt idx="17">
                  <c:v>1.7630195102981885E-2</c:v>
                </c:pt>
                <c:pt idx="18">
                  <c:v>1.6647271313990211E-2</c:v>
                </c:pt>
                <c:pt idx="19">
                  <c:v>1.5862907142451078E-2</c:v>
                </c:pt>
                <c:pt idx="20">
                  <c:v>1.5261928598695499E-2</c:v>
                </c:pt>
                <c:pt idx="21">
                  <c:v>1.4816712674582103E-2</c:v>
                </c:pt>
                <c:pt idx="22">
                  <c:v>1.4495670837909997E-2</c:v>
                </c:pt>
                <c:pt idx="23">
                  <c:v>1.4268943901352785E-2</c:v>
                </c:pt>
                <c:pt idx="24">
                  <c:v>1.4111293241257527E-2</c:v>
                </c:pt>
                <c:pt idx="25">
                  <c:v>1.4002900664487129E-2</c:v>
                </c:pt>
                <c:pt idx="26">
                  <c:v>1.3928967246048748E-2</c:v>
                </c:pt>
                <c:pt idx="27">
                  <c:v>1.3878817307084377E-2</c:v>
                </c:pt>
              </c:numCache>
            </c:numRef>
          </c:val>
          <c:smooth val="0"/>
          <c:extLst>
            <c:ext xmlns:c16="http://schemas.microsoft.com/office/drawing/2014/chart" uri="{C3380CC4-5D6E-409C-BE32-E72D297353CC}">
              <c16:uniqueId val="{00000003-0EC6-4B14-92B2-91642923D2F0}"/>
            </c:ext>
          </c:extLst>
        </c:ser>
        <c:dLbls>
          <c:showLegendKey val="0"/>
          <c:showVal val="0"/>
          <c:showCatName val="0"/>
          <c:showSerName val="0"/>
          <c:showPercent val="0"/>
          <c:showBubbleSize val="0"/>
        </c:dLbls>
        <c:smooth val="0"/>
        <c:axId val="676313088"/>
        <c:axId val="676311120"/>
      </c:lineChart>
      <c:catAx>
        <c:axId val="676313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11120"/>
        <c:crosses val="autoZero"/>
        <c:auto val="1"/>
        <c:lblAlgn val="ctr"/>
        <c:lblOffset val="100"/>
        <c:tickLblSkip val="3"/>
        <c:noMultiLvlLbl val="0"/>
      </c:catAx>
      <c:valAx>
        <c:axId val="67631112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13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Methanol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'Short-sea (Methanol)'!$A$1</c:f>
              <c:strCache>
                <c:ptCount val="1"/>
                <c:pt idx="0">
                  <c:v>Short-sea: Dry bulk</c:v>
                </c:pt>
              </c:strCache>
            </c:strRef>
          </c:tx>
          <c:spPr>
            <a:ln w="28575" cap="rnd">
              <a:solidFill>
                <a:schemeClr val="accent1"/>
              </a:solidFill>
              <a:round/>
            </a:ln>
            <a:effectLst/>
          </c:spPr>
          <c:marker>
            <c:symbol val="none"/>
          </c:marker>
          <c:cat>
            <c:numRef>
              <c:f>'Short-sea (Methanol)'!$B$396:$AC$396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(Methanol)'!$B$85:$AC$85</c:f>
              <c:numCache>
                <c:formatCode>0.00</c:formatCode>
                <c:ptCount val="28"/>
                <c:pt idx="0">
                  <c:v>5.256198907442549E-2</c:v>
                </c:pt>
                <c:pt idx="1">
                  <c:v>5.2526394297190276E-2</c:v>
                </c:pt>
                <c:pt idx="2">
                  <c:v>5.2475448694266576E-2</c:v>
                </c:pt>
                <c:pt idx="3">
                  <c:v>5.2402582836688888E-2</c:v>
                </c:pt>
                <c:pt idx="4">
                  <c:v>5.2298472937483055E-2</c:v>
                </c:pt>
                <c:pt idx="5">
                  <c:v>5.2149949792586171E-2</c:v>
                </c:pt>
                <c:pt idx="6">
                  <c:v>5.1938546697640031E-2</c:v>
                </c:pt>
                <c:pt idx="7">
                  <c:v>5.1638647626834844E-2</c:v>
                </c:pt>
                <c:pt idx="8">
                  <c:v>5.121529553587726E-2</c:v>
                </c:pt>
                <c:pt idx="9">
                  <c:v>5.0621957398488196E-2</c:v>
                </c:pt>
                <c:pt idx="10">
                  <c:v>4.9799021712225715E-2</c:v>
                </c:pt>
                <c:pt idx="11">
                  <c:v>4.8674626273940889E-2</c:v>
                </c:pt>
                <c:pt idx="12">
                  <c:v>4.7170514458405179E-2</c:v>
                </c:pt>
                <c:pt idx="13">
                  <c:v>4.5216376768738159E-2</c:v>
                </c:pt>
                <c:pt idx="14">
                  <c:v>4.277485867677501E-2</c:v>
                </c:pt>
                <c:pt idx="15">
                  <c:v>3.9873635732939214E-2</c:v>
                </c:pt>
                <c:pt idx="16">
                  <c:v>3.6630502122908096E-2</c:v>
                </c:pt>
                <c:pt idx="17">
                  <c:v>3.3249919474857101E-2</c:v>
                </c:pt>
                <c:pt idx="18">
                  <c:v>2.9978909964873391E-2</c:v>
                </c:pt>
                <c:pt idx="19">
                  <c:v>2.7038302438161455E-2</c:v>
                </c:pt>
                <c:pt idx="20">
                  <c:v>2.4566968351448323E-2</c:v>
                </c:pt>
                <c:pt idx="21">
                  <c:v>2.2606266879732554E-2</c:v>
                </c:pt>
                <c:pt idx="22">
                  <c:v>2.1121169047575002E-2</c:v>
                </c:pt>
                <c:pt idx="23">
                  <c:v>2.0035577496396055E-2</c:v>
                </c:pt>
                <c:pt idx="24">
                  <c:v>1.9262550832380616E-2</c:v>
                </c:pt>
                <c:pt idx="25">
                  <c:v>1.8722341533941637E-2</c:v>
                </c:pt>
                <c:pt idx="26">
                  <c:v>1.8349778877926683E-2</c:v>
                </c:pt>
                <c:pt idx="27">
                  <c:v>1.8095171411782698E-2</c:v>
                </c:pt>
              </c:numCache>
            </c:numRef>
          </c:val>
          <c:smooth val="0"/>
          <c:extLst>
            <c:ext xmlns:c16="http://schemas.microsoft.com/office/drawing/2014/chart" uri="{C3380CC4-5D6E-409C-BE32-E72D297353CC}">
              <c16:uniqueId val="{00000000-9E08-4AEF-AE10-C0A1428613FA}"/>
            </c:ext>
          </c:extLst>
        </c:ser>
        <c:ser>
          <c:idx val="1"/>
          <c:order val="1"/>
          <c:tx>
            <c:strRef>
              <c:f>'Short-sea (Methanol)'!$A$107</c:f>
              <c:strCache>
                <c:ptCount val="1"/>
                <c:pt idx="0">
                  <c:v>Short-sea: Container</c:v>
                </c:pt>
              </c:strCache>
            </c:strRef>
          </c:tx>
          <c:spPr>
            <a:ln w="28575" cap="rnd">
              <a:solidFill>
                <a:schemeClr val="accent2"/>
              </a:solidFill>
              <a:round/>
            </a:ln>
            <a:effectLst/>
          </c:spPr>
          <c:marker>
            <c:symbol val="none"/>
          </c:marker>
          <c:cat>
            <c:numRef>
              <c:f>'Short-sea (Methanol)'!$B$396:$AC$396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(Methanol)'!$B$191:$AC$191</c:f>
              <c:numCache>
                <c:formatCode>0.00</c:formatCode>
                <c:ptCount val="28"/>
                <c:pt idx="0">
                  <c:v>6.2720175930539093E-2</c:v>
                </c:pt>
                <c:pt idx="1">
                  <c:v>6.2678141330804585E-2</c:v>
                </c:pt>
                <c:pt idx="2">
                  <c:v>6.2617978627355686E-2</c:v>
                </c:pt>
                <c:pt idx="3">
                  <c:v>6.2531929847295886E-2</c:v>
                </c:pt>
                <c:pt idx="4">
                  <c:v>6.2408984340077231E-2</c:v>
                </c:pt>
                <c:pt idx="5">
                  <c:v>6.2233590323539451E-2</c:v>
                </c:pt>
                <c:pt idx="6">
                  <c:v>6.1983940089181233E-2</c:v>
                </c:pt>
                <c:pt idx="7">
                  <c:v>6.1629783148719239E-2</c:v>
                </c:pt>
                <c:pt idx="8">
                  <c:v>6.1129838014280589E-2</c:v>
                </c:pt>
                <c:pt idx="9">
                  <c:v>6.0429152884336867E-2</c:v>
                </c:pt>
                <c:pt idx="10">
                  <c:v>5.9457331317630376E-2</c:v>
                </c:pt>
                <c:pt idx="11">
                  <c:v>5.8129509770123607E-2</c:v>
                </c:pt>
                <c:pt idx="12">
                  <c:v>5.6353273394089951E-2</c:v>
                </c:pt>
                <c:pt idx="13">
                  <c:v>5.4045592268050321E-2</c:v>
                </c:pt>
                <c:pt idx="14">
                  <c:v>5.1162353666440979E-2</c:v>
                </c:pt>
                <c:pt idx="15">
                  <c:v>4.7736240212243271E-2</c:v>
                </c:pt>
                <c:pt idx="16">
                  <c:v>4.3906357466176958E-2</c:v>
                </c:pt>
                <c:pt idx="17">
                  <c:v>3.9914158342657852E-2</c:v>
                </c:pt>
                <c:pt idx="18">
                  <c:v>3.605135637675759E-2</c:v>
                </c:pt>
                <c:pt idx="19">
                  <c:v>3.2578732863908035E-2</c:v>
                </c:pt>
                <c:pt idx="20">
                  <c:v>2.966028394487712E-2</c:v>
                </c:pt>
                <c:pt idx="21">
                  <c:v>2.7344851514500328E-2</c:v>
                </c:pt>
                <c:pt idx="22">
                  <c:v>2.559106913994497E-2</c:v>
                </c:pt>
                <c:pt idx="23">
                  <c:v>2.4309071895589777E-2</c:v>
                </c:pt>
                <c:pt idx="24">
                  <c:v>2.3396188913030969E-2</c:v>
                </c:pt>
                <c:pt idx="25">
                  <c:v>2.2758244714569106E-2</c:v>
                </c:pt>
                <c:pt idx="26">
                  <c:v>2.2318277861619551E-2</c:v>
                </c:pt>
                <c:pt idx="27">
                  <c:v>2.2017606702531806E-2</c:v>
                </c:pt>
              </c:numCache>
            </c:numRef>
          </c:val>
          <c:smooth val="0"/>
          <c:extLst>
            <c:ext xmlns:c16="http://schemas.microsoft.com/office/drawing/2014/chart" uri="{C3380CC4-5D6E-409C-BE32-E72D297353CC}">
              <c16:uniqueId val="{00000001-9E08-4AEF-AE10-C0A1428613FA}"/>
            </c:ext>
          </c:extLst>
        </c:ser>
        <c:ser>
          <c:idx val="2"/>
          <c:order val="2"/>
          <c:tx>
            <c:strRef>
              <c:f>'Short-sea (Methanol)'!$A$215</c:f>
              <c:strCache>
                <c:ptCount val="1"/>
                <c:pt idx="0">
                  <c:v>Short-sea: Break bulk</c:v>
                </c:pt>
              </c:strCache>
            </c:strRef>
          </c:tx>
          <c:spPr>
            <a:ln w="28575" cap="rnd">
              <a:solidFill>
                <a:schemeClr val="accent3"/>
              </a:solidFill>
              <a:round/>
            </a:ln>
            <a:effectLst/>
          </c:spPr>
          <c:marker>
            <c:symbol val="none"/>
          </c:marker>
          <c:cat>
            <c:numRef>
              <c:f>'Short-sea (Methanol)'!$B$396:$AC$396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(Methanol)'!$B$299:$AC$299</c:f>
              <c:numCache>
                <c:formatCode>0.00</c:formatCode>
                <c:ptCount val="28"/>
                <c:pt idx="0">
                  <c:v>6.8286569531415708E-2</c:v>
                </c:pt>
                <c:pt idx="1">
                  <c:v>6.8240324278508568E-2</c:v>
                </c:pt>
                <c:pt idx="2">
                  <c:v>6.8174135009331685E-2</c:v>
                </c:pt>
                <c:pt idx="3">
                  <c:v>6.8079466626110502E-2</c:v>
                </c:pt>
                <c:pt idx="4">
                  <c:v>6.7944205529037294E-2</c:v>
                </c:pt>
                <c:pt idx="5">
                  <c:v>6.7751242096426592E-2</c:v>
                </c:pt>
                <c:pt idx="6">
                  <c:v>6.7476584117068208E-2</c:v>
                </c:pt>
                <c:pt idx="7">
                  <c:v>6.7086950877215223E-2</c:v>
                </c:pt>
                <c:pt idx="8">
                  <c:v>6.6536925675885095E-2</c:v>
                </c:pt>
                <c:pt idx="9">
                  <c:v>6.5766052127732566E-2</c:v>
                </c:pt>
                <c:pt idx="10">
                  <c:v>6.469688210073575E-2</c:v>
                </c:pt>
                <c:pt idx="11">
                  <c:v>6.3236051174122357E-2</c:v>
                </c:pt>
                <c:pt idx="12">
                  <c:v>6.1281887200840011E-2</c:v>
                </c:pt>
                <c:pt idx="13">
                  <c:v>5.8743043058710608E-2</c:v>
                </c:pt>
                <c:pt idx="14">
                  <c:v>5.5570987200794134E-2</c:v>
                </c:pt>
                <c:pt idx="15">
                  <c:v>5.1801676105205953E-2</c:v>
                </c:pt>
                <c:pt idx="16">
                  <c:v>4.7588149693270493E-2</c:v>
                </c:pt>
                <c:pt idx="17">
                  <c:v>4.3196047489637603E-2</c:v>
                </c:pt>
                <c:pt idx="18">
                  <c:v>3.8946304302561151E-2</c:v>
                </c:pt>
                <c:pt idx="19">
                  <c:v>3.5125824183390837E-2</c:v>
                </c:pt>
                <c:pt idx="20">
                  <c:v>3.1915030950921373E-2</c:v>
                </c:pt>
                <c:pt idx="21">
                  <c:v>2.9367659047573904E-2</c:v>
                </c:pt>
                <c:pt idx="22">
                  <c:v>2.7438198318373828E-2</c:v>
                </c:pt>
                <c:pt idx="23">
                  <c:v>2.602778196694186E-2</c:v>
                </c:pt>
                <c:pt idx="24">
                  <c:v>2.5023454468412386E-2</c:v>
                </c:pt>
                <c:pt idx="25">
                  <c:v>2.4321606681474019E-2</c:v>
                </c:pt>
                <c:pt idx="26">
                  <c:v>2.3837567853605694E-2</c:v>
                </c:pt>
                <c:pt idx="27">
                  <c:v>2.3506778126054714E-2</c:v>
                </c:pt>
              </c:numCache>
            </c:numRef>
          </c:val>
          <c:smooth val="0"/>
          <c:extLst>
            <c:ext xmlns:c16="http://schemas.microsoft.com/office/drawing/2014/chart" uri="{C3380CC4-5D6E-409C-BE32-E72D297353CC}">
              <c16:uniqueId val="{00000002-9E08-4AEF-AE10-C0A1428613FA}"/>
            </c:ext>
          </c:extLst>
        </c:ser>
        <c:ser>
          <c:idx val="3"/>
          <c:order val="3"/>
          <c:tx>
            <c:strRef>
              <c:f>'Short-sea (Methanol)'!$A$324</c:f>
              <c:strCache>
                <c:ptCount val="1"/>
                <c:pt idx="0">
                  <c:v>Short-sea:  Neo bulk</c:v>
                </c:pt>
              </c:strCache>
            </c:strRef>
          </c:tx>
          <c:spPr>
            <a:ln w="28575" cap="rnd">
              <a:solidFill>
                <a:schemeClr val="accent4"/>
              </a:solidFill>
              <a:round/>
            </a:ln>
            <a:effectLst/>
          </c:spPr>
          <c:marker>
            <c:symbol val="none"/>
          </c:marker>
          <c:cat>
            <c:numRef>
              <c:f>'Short-sea (Methanol)'!$B$396:$AC$396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(Methanol)'!$B$408:$AC$408</c:f>
              <c:numCache>
                <c:formatCode>0.00</c:formatCode>
                <c:ptCount val="28"/>
                <c:pt idx="0">
                  <c:v>5.2556708796956973E-2</c:v>
                </c:pt>
                <c:pt idx="1">
                  <c:v>5.252111401972176E-2</c:v>
                </c:pt>
                <c:pt idx="2">
                  <c:v>5.2470168416798052E-2</c:v>
                </c:pt>
                <c:pt idx="3">
                  <c:v>5.2397302559220371E-2</c:v>
                </c:pt>
                <c:pt idx="4">
                  <c:v>5.2293192660014531E-2</c:v>
                </c:pt>
                <c:pt idx="5">
                  <c:v>5.2144669515117655E-2</c:v>
                </c:pt>
                <c:pt idx="6">
                  <c:v>5.1933266420171507E-2</c:v>
                </c:pt>
                <c:pt idx="7">
                  <c:v>5.163336734936632E-2</c:v>
                </c:pt>
                <c:pt idx="8">
                  <c:v>5.1210015258408736E-2</c:v>
                </c:pt>
                <c:pt idx="9">
                  <c:v>5.0616677121019679E-2</c:v>
                </c:pt>
                <c:pt idx="10">
                  <c:v>4.9793741434757191E-2</c:v>
                </c:pt>
                <c:pt idx="11">
                  <c:v>4.8669345996472373E-2</c:v>
                </c:pt>
                <c:pt idx="12">
                  <c:v>4.7165234180936662E-2</c:v>
                </c:pt>
                <c:pt idx="13">
                  <c:v>4.5211096491269649E-2</c:v>
                </c:pt>
                <c:pt idx="14">
                  <c:v>4.2769578399306493E-2</c:v>
                </c:pt>
                <c:pt idx="15">
                  <c:v>3.9868355455470704E-2</c:v>
                </c:pt>
                <c:pt idx="16">
                  <c:v>3.6625221845439579E-2</c:v>
                </c:pt>
                <c:pt idx="17">
                  <c:v>3.3244639197388584E-2</c:v>
                </c:pt>
                <c:pt idx="18">
                  <c:v>2.9973629687404874E-2</c:v>
                </c:pt>
                <c:pt idx="19">
                  <c:v>2.7033022160692938E-2</c:v>
                </c:pt>
                <c:pt idx="20">
                  <c:v>2.4561688073979807E-2</c:v>
                </c:pt>
                <c:pt idx="21">
                  <c:v>2.2600986602264037E-2</c:v>
                </c:pt>
                <c:pt idx="22">
                  <c:v>2.1115888770106488E-2</c:v>
                </c:pt>
                <c:pt idx="23">
                  <c:v>2.0030297218927538E-2</c:v>
                </c:pt>
                <c:pt idx="24">
                  <c:v>1.9257270554912099E-2</c:v>
                </c:pt>
                <c:pt idx="25">
                  <c:v>1.8717061256473121E-2</c:v>
                </c:pt>
                <c:pt idx="26">
                  <c:v>1.8344498600458167E-2</c:v>
                </c:pt>
                <c:pt idx="27">
                  <c:v>1.8089891134314182E-2</c:v>
                </c:pt>
              </c:numCache>
            </c:numRef>
          </c:val>
          <c:smooth val="0"/>
          <c:extLst>
            <c:ext xmlns:c16="http://schemas.microsoft.com/office/drawing/2014/chart" uri="{C3380CC4-5D6E-409C-BE32-E72D297353CC}">
              <c16:uniqueId val="{00000003-9E08-4AEF-AE10-C0A1428613FA}"/>
            </c:ext>
          </c:extLst>
        </c:ser>
        <c:dLbls>
          <c:showLegendKey val="0"/>
          <c:showVal val="0"/>
          <c:showCatName val="0"/>
          <c:showSerName val="0"/>
          <c:showPercent val="0"/>
          <c:showBubbleSize val="0"/>
        </c:dLbls>
        <c:smooth val="0"/>
        <c:axId val="676318336"/>
        <c:axId val="676321288"/>
      </c:lineChart>
      <c:catAx>
        <c:axId val="676318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21288"/>
        <c:crosses val="autoZero"/>
        <c:auto val="1"/>
        <c:lblAlgn val="ctr"/>
        <c:lblOffset val="100"/>
        <c:tickLblSkip val="3"/>
        <c:noMultiLvlLbl val="0"/>
      </c:catAx>
      <c:valAx>
        <c:axId val="6763212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18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HFO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'Short-sea (HFO)'!$A$1</c:f>
              <c:strCache>
                <c:ptCount val="1"/>
                <c:pt idx="0">
                  <c:v>Short-sea: Dry bulk</c:v>
                </c:pt>
              </c:strCache>
            </c:strRef>
          </c:tx>
          <c:spPr>
            <a:ln w="28575" cap="rnd">
              <a:solidFill>
                <a:schemeClr val="accent1"/>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(HFO)'!$B$85:$AC$85</c:f>
              <c:numCache>
                <c:formatCode>0.0000</c:formatCode>
                <c:ptCount val="28"/>
                <c:pt idx="0">
                  <c:v>9.8027731057717341E-3</c:v>
                </c:pt>
                <c:pt idx="1">
                  <c:v>9.8086631169911915E-3</c:v>
                </c:pt>
                <c:pt idx="2">
                  <c:v>9.8170945368624245E-3</c:v>
                </c:pt>
                <c:pt idx="3">
                  <c:v>9.8291562759121702E-3</c:v>
                </c:pt>
                <c:pt idx="4">
                  <c:v>9.8463951625691239E-3</c:v>
                </c:pt>
                <c:pt idx="5">
                  <c:v>9.8709987793064898E-3</c:v>
                </c:pt>
                <c:pt idx="6">
                  <c:v>9.9060403654683896E-3</c:v>
                </c:pt>
                <c:pt idx="7">
                  <c:v>9.9557943945442484E-3</c:v>
                </c:pt>
                <c:pt idx="8">
                  <c:v>1.002611693358604E-2</c:v>
                </c:pt>
                <c:pt idx="9">
                  <c:v>1.0124848509677022E-2</c:v>
                </c:pt>
                <c:pt idx="10">
                  <c:v>1.0262121241115443E-2</c:v>
                </c:pt>
                <c:pt idx="11">
                  <c:v>1.045031702053442E-2</c:v>
                </c:pt>
                <c:pt idx="12">
                  <c:v>1.0703231981829103E-2</c:v>
                </c:pt>
                <c:pt idx="13">
                  <c:v>1.1033840695818461E-2</c:v>
                </c:pt>
                <c:pt idx="14">
                  <c:v>1.1450186490962537E-2</c:v>
                </c:pt>
                <c:pt idx="15">
                  <c:v>1.1949789493927505E-2</c:v>
                </c:pt>
                <c:pt idx="16">
                  <c:v>1.2514727407146452E-2</c:v>
                </c:pt>
                <c:pt idx="17">
                  <c:v>1.3111130044249755E-2</c:v>
                </c:pt>
                <c:pt idx="18">
                  <c:v>1.3695796592994712E-2</c:v>
                </c:pt>
                <c:pt idx="19">
                  <c:v>1.4228030586833005E-2</c:v>
                </c:pt>
                <c:pt idx="20">
                  <c:v>1.4680353690017339E-2</c:v>
                </c:pt>
                <c:pt idx="21">
                  <c:v>1.5042583489189824E-2</c:v>
                </c:pt>
                <c:pt idx="22">
                  <c:v>1.5318980902864189E-2</c:v>
                </c:pt>
                <c:pt idx="23">
                  <c:v>1.5522155169019468E-2</c:v>
                </c:pt>
                <c:pt idx="24">
                  <c:v>1.5667421830066586E-2</c:v>
                </c:pt>
                <c:pt idx="25">
                  <c:v>1.5769232306530871E-2</c:v>
                </c:pt>
                <c:pt idx="26">
                  <c:v>1.5839589603528634E-2</c:v>
                </c:pt>
                <c:pt idx="27">
                  <c:v>1.5887738607902789E-2</c:v>
                </c:pt>
              </c:numCache>
            </c:numRef>
          </c:val>
          <c:smooth val="0"/>
          <c:extLst>
            <c:ext xmlns:c16="http://schemas.microsoft.com/office/drawing/2014/chart" uri="{C3380CC4-5D6E-409C-BE32-E72D297353CC}">
              <c16:uniqueId val="{00000000-CF90-4ABF-80F3-85097D6DC7C2}"/>
            </c:ext>
          </c:extLst>
        </c:ser>
        <c:ser>
          <c:idx val="1"/>
          <c:order val="1"/>
          <c:tx>
            <c:strRef>
              <c:f>'Short-sea (HFO)'!$A$107</c:f>
              <c:strCache>
                <c:ptCount val="1"/>
                <c:pt idx="0">
                  <c:v>Short-sea: Container</c:v>
                </c:pt>
              </c:strCache>
            </c:strRef>
          </c:tx>
          <c:spPr>
            <a:ln w="28575" cap="rnd">
              <a:solidFill>
                <a:schemeClr val="accent2"/>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(HFO)'!$B$191:$AC$191</c:f>
              <c:numCache>
                <c:formatCode>0.00</c:formatCode>
                <c:ptCount val="28"/>
                <c:pt idx="0" formatCode="0.000">
                  <c:v>1.2258901301375238E-2</c:v>
                </c:pt>
                <c:pt idx="1">
                  <c:v>1.2265887128635525E-2</c:v>
                </c:pt>
                <c:pt idx="2">
                  <c:v>1.2275887184761868E-2</c:v>
                </c:pt>
                <c:pt idx="3">
                  <c:v>1.2290192968285988E-2</c:v>
                </c:pt>
                <c:pt idx="4">
                  <c:v>1.2310639089669815E-2</c:v>
                </c:pt>
                <c:pt idx="5">
                  <c:v>1.23398201234746E-2</c:v>
                </c:pt>
                <c:pt idx="6">
                  <c:v>1.2381381074503827E-2</c:v>
                </c:pt>
                <c:pt idx="7">
                  <c:v>1.2440391667128686E-2</c:v>
                </c:pt>
                <c:pt idx="8">
                  <c:v>1.2523797469248022E-2</c:v>
                </c:pt>
                <c:pt idx="9">
                  <c:v>1.2640897710658249E-2</c:v>
                </c:pt>
                <c:pt idx="10">
                  <c:v>1.2803709554922427E-2</c:v>
                </c:pt>
                <c:pt idx="11">
                  <c:v>1.30269185026054E-2</c:v>
                </c:pt>
                <c:pt idx="12">
                  <c:v>1.3326887410187466E-2</c:v>
                </c:pt>
                <c:pt idx="13">
                  <c:v>1.3719004722128333E-2</c:v>
                </c:pt>
                <c:pt idx="14">
                  <c:v>1.4212810200089911E-2</c:v>
                </c:pt>
                <c:pt idx="15">
                  <c:v>1.4805362598955337E-2</c:v>
                </c:pt>
                <c:pt idx="16">
                  <c:v>1.5475405240215017E-2</c:v>
                </c:pt>
                <c:pt idx="17">
                  <c:v>1.6182766507477079E-2</c:v>
                </c:pt>
                <c:pt idx="18">
                  <c:v>1.6876208228081561E-2</c:v>
                </c:pt>
                <c:pt idx="19">
                  <c:v>1.7507462499843258E-2</c:v>
                </c:pt>
                <c:pt idx="20">
                  <c:v>1.8043938738503743E-2</c:v>
                </c:pt>
                <c:pt idx="21">
                  <c:v>1.8473560128219952E-2</c:v>
                </c:pt>
                <c:pt idx="22">
                  <c:v>1.8801380316531408E-2</c:v>
                </c:pt>
                <c:pt idx="23">
                  <c:v>1.9042354446157438E-2</c:v>
                </c:pt>
                <c:pt idx="24">
                  <c:v>1.9214647462748195E-2</c:v>
                </c:pt>
                <c:pt idx="25">
                  <c:v>1.9335399423205842E-2</c:v>
                </c:pt>
                <c:pt idx="26">
                  <c:v>1.9418846449877607E-2</c:v>
                </c:pt>
                <c:pt idx="27">
                  <c:v>1.9475953408553938E-2</c:v>
                </c:pt>
              </c:numCache>
            </c:numRef>
          </c:val>
          <c:smooth val="0"/>
          <c:extLst>
            <c:ext xmlns:c16="http://schemas.microsoft.com/office/drawing/2014/chart" uri="{C3380CC4-5D6E-409C-BE32-E72D297353CC}">
              <c16:uniqueId val="{00000001-CF90-4ABF-80F3-85097D6DC7C2}"/>
            </c:ext>
          </c:extLst>
        </c:ser>
        <c:ser>
          <c:idx val="2"/>
          <c:order val="2"/>
          <c:tx>
            <c:strRef>
              <c:f>'Short-sea (HFO)'!$A$215</c:f>
              <c:strCache>
                <c:ptCount val="1"/>
                <c:pt idx="0">
                  <c:v>Short-sea: Break bulk</c:v>
                </c:pt>
              </c:strCache>
            </c:strRef>
          </c:tx>
          <c:spPr>
            <a:ln w="28575" cap="rnd">
              <a:solidFill>
                <a:schemeClr val="accent3"/>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(HFO)'!$B$299:$AC$299</c:f>
              <c:numCache>
                <c:formatCode>0.00</c:formatCode>
                <c:ptCount val="28"/>
                <c:pt idx="0" formatCode="0.0000">
                  <c:v>1.2816541364345116E-2</c:v>
                </c:pt>
                <c:pt idx="1">
                  <c:v>1.282424368670902E-2</c:v>
                </c:pt>
                <c:pt idx="2">
                  <c:v>1.2835269389617555E-2</c:v>
                </c:pt>
                <c:pt idx="3">
                  <c:v>1.2851042432990303E-2</c:v>
                </c:pt>
                <c:pt idx="4">
                  <c:v>1.2873585592464775E-2</c:v>
                </c:pt>
                <c:pt idx="5">
                  <c:v>1.2905759552813641E-2</c:v>
                </c:pt>
                <c:pt idx="6">
                  <c:v>1.2951583165486894E-2</c:v>
                </c:pt>
                <c:pt idx="7">
                  <c:v>1.3016646126586096E-2</c:v>
                </c:pt>
                <c:pt idx="8">
                  <c:v>1.3108606369948438E-2</c:v>
                </c:pt>
                <c:pt idx="9">
                  <c:v>1.3237716892528947E-2</c:v>
                </c:pt>
                <c:pt idx="10">
                  <c:v>1.3417227387486887E-2</c:v>
                </c:pt>
                <c:pt idx="11">
                  <c:v>1.3663329560573244E-2</c:v>
                </c:pt>
                <c:pt idx="12">
                  <c:v>1.3994064509958595E-2</c:v>
                </c:pt>
                <c:pt idx="13">
                  <c:v>1.4426398982098528E-2</c:v>
                </c:pt>
                <c:pt idx="14">
                  <c:v>1.4970851175748472E-2</c:v>
                </c:pt>
                <c:pt idx="15">
                  <c:v>1.5624178179625735E-2</c:v>
                </c:pt>
                <c:pt idx="16">
                  <c:v>1.6362943143065897E-2</c:v>
                </c:pt>
                <c:pt idx="17">
                  <c:v>1.7142854283893297E-2</c:v>
                </c:pt>
                <c:pt idx="18">
                  <c:v>1.7907418232252087E-2</c:v>
                </c:pt>
                <c:pt idx="19">
                  <c:v>1.8603416531886779E-2</c:v>
                </c:pt>
                <c:pt idx="20">
                  <c:v>1.9194915974512439E-2</c:v>
                </c:pt>
                <c:pt idx="21">
                  <c:v>1.9668601096507234E-2</c:v>
                </c:pt>
                <c:pt idx="22">
                  <c:v>2.0030043868235252E-2</c:v>
                </c:pt>
                <c:pt idx="23">
                  <c:v>2.0295733293207538E-2</c:v>
                </c:pt>
                <c:pt idx="24">
                  <c:v>2.0485697388422992E-2</c:v>
                </c:pt>
                <c:pt idx="25">
                  <c:v>2.0618834165337836E-2</c:v>
                </c:pt>
                <c:pt idx="26">
                  <c:v>2.0710839861411829E-2</c:v>
                </c:pt>
                <c:pt idx="27">
                  <c:v>2.077380394405496E-2</c:v>
                </c:pt>
              </c:numCache>
            </c:numRef>
          </c:val>
          <c:smooth val="0"/>
          <c:extLst>
            <c:ext xmlns:c16="http://schemas.microsoft.com/office/drawing/2014/chart" uri="{C3380CC4-5D6E-409C-BE32-E72D297353CC}">
              <c16:uniqueId val="{00000002-CF90-4ABF-80F3-85097D6DC7C2}"/>
            </c:ext>
          </c:extLst>
        </c:ser>
        <c:ser>
          <c:idx val="3"/>
          <c:order val="3"/>
          <c:tx>
            <c:strRef>
              <c:f>'Short-sea (HFO)'!$A$324</c:f>
              <c:strCache>
                <c:ptCount val="1"/>
                <c:pt idx="0">
                  <c:v>Short-sea:  Neo bulk</c:v>
                </c:pt>
              </c:strCache>
            </c:strRef>
          </c:tx>
          <c:spPr>
            <a:ln w="28575" cap="rnd">
              <a:solidFill>
                <a:schemeClr val="accent4"/>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(HFO)'!$B$408:$AC$408</c:f>
              <c:numCache>
                <c:formatCode>0.00</c:formatCode>
                <c:ptCount val="28"/>
                <c:pt idx="0" formatCode="0.000">
                  <c:v>9.7976383140681526E-3</c:v>
                </c:pt>
                <c:pt idx="1">
                  <c:v>9.8035283252876082E-3</c:v>
                </c:pt>
                <c:pt idx="2">
                  <c:v>9.8119597451588412E-3</c:v>
                </c:pt>
                <c:pt idx="3">
                  <c:v>9.8240214842085904E-3</c:v>
                </c:pt>
                <c:pt idx="4">
                  <c:v>9.8412603708655406E-3</c:v>
                </c:pt>
                <c:pt idx="5">
                  <c:v>9.8658639876029082E-3</c:v>
                </c:pt>
                <c:pt idx="6">
                  <c:v>9.9009055737648045E-3</c:v>
                </c:pt>
                <c:pt idx="7">
                  <c:v>9.9506596028406669E-3</c:v>
                </c:pt>
                <c:pt idx="8">
                  <c:v>1.0020982141882458E-2</c:v>
                </c:pt>
                <c:pt idx="9">
                  <c:v>1.0119713717973437E-2</c:v>
                </c:pt>
                <c:pt idx="10">
                  <c:v>1.0256986449411859E-2</c:v>
                </c:pt>
                <c:pt idx="11">
                  <c:v>1.0445182228830839E-2</c:v>
                </c:pt>
                <c:pt idx="12">
                  <c:v>1.069809719012552E-2</c:v>
                </c:pt>
                <c:pt idx="13">
                  <c:v>1.1028705904114876E-2</c:v>
                </c:pt>
                <c:pt idx="14">
                  <c:v>1.1445051699258954E-2</c:v>
                </c:pt>
                <c:pt idx="15">
                  <c:v>1.1944654702223922E-2</c:v>
                </c:pt>
                <c:pt idx="16">
                  <c:v>1.2509592615442868E-2</c:v>
                </c:pt>
                <c:pt idx="17">
                  <c:v>1.3105995252546175E-2</c:v>
                </c:pt>
                <c:pt idx="18">
                  <c:v>1.369066180129113E-2</c:v>
                </c:pt>
                <c:pt idx="19">
                  <c:v>1.4222895795129423E-2</c:v>
                </c:pt>
                <c:pt idx="20">
                  <c:v>1.4675218898313754E-2</c:v>
                </c:pt>
                <c:pt idx="21">
                  <c:v>1.5037448697486241E-2</c:v>
                </c:pt>
                <c:pt idx="22">
                  <c:v>1.5313846111160608E-2</c:v>
                </c:pt>
                <c:pt idx="23">
                  <c:v>1.5517020377315886E-2</c:v>
                </c:pt>
                <c:pt idx="24">
                  <c:v>1.5662287038362997E-2</c:v>
                </c:pt>
                <c:pt idx="25">
                  <c:v>1.576409751482729E-2</c:v>
                </c:pt>
                <c:pt idx="26">
                  <c:v>1.5834454811825049E-2</c:v>
                </c:pt>
                <c:pt idx="27">
                  <c:v>1.5882603816199208E-2</c:v>
                </c:pt>
              </c:numCache>
            </c:numRef>
          </c:val>
          <c:smooth val="0"/>
          <c:extLst>
            <c:ext xmlns:c16="http://schemas.microsoft.com/office/drawing/2014/chart" uri="{C3380CC4-5D6E-409C-BE32-E72D297353CC}">
              <c16:uniqueId val="{00000003-CF90-4ABF-80F3-85097D6DC7C2}"/>
            </c:ext>
          </c:extLst>
        </c:ser>
        <c:dLbls>
          <c:showLegendKey val="0"/>
          <c:showVal val="0"/>
          <c:showCatName val="0"/>
          <c:showSerName val="0"/>
          <c:showPercent val="0"/>
          <c:showBubbleSize val="0"/>
        </c:dLbls>
        <c:smooth val="0"/>
        <c:axId val="676339000"/>
        <c:axId val="676332768"/>
      </c:lineChart>
      <c:catAx>
        <c:axId val="676339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32768"/>
        <c:crosses val="autoZero"/>
        <c:auto val="1"/>
        <c:lblAlgn val="ctr"/>
        <c:lblOffset val="100"/>
        <c:tickLblSkip val="3"/>
        <c:noMultiLvlLbl val="0"/>
      </c:catAx>
      <c:valAx>
        <c:axId val="676332768"/>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39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nb-NO"/>
        </a:p>
      </c:txPr>
    </c:title>
    <c:autoTitleDeleted val="0"/>
    <c:plotArea>
      <c:layout/>
      <c:barChart>
        <c:barDir val="bar"/>
        <c:grouping val="stacked"/>
        <c:varyColors val="0"/>
        <c:ser>
          <c:idx val="0"/>
          <c:order val="0"/>
          <c:tx>
            <c:strRef>
              <c:f>FIGURES!$A$6</c:f>
              <c:strCache>
                <c:ptCount val="1"/>
                <c:pt idx="0">
                  <c:v>Capex vehicle</c:v>
                </c:pt>
              </c:strCache>
            </c:strRef>
          </c:tx>
          <c:spPr>
            <a:solidFill>
              <a:schemeClr val="accent1"/>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FIGURES!$B$6:$FC$6</c:f>
              <c:numCache>
                <c:formatCode>0.00</c:formatCode>
                <c:ptCount val="158"/>
                <c:pt idx="0" formatCode="0.00000">
                  <c:v>1.0347449498978036E-3</c:v>
                </c:pt>
                <c:pt idx="1">
                  <c:v>1.0347449498978036E-3</c:v>
                </c:pt>
                <c:pt idx="2">
                  <c:v>2.0678991054715748E-3</c:v>
                </c:pt>
                <c:pt idx="3">
                  <c:v>2.0676718491395704E-3</c:v>
                </c:pt>
                <c:pt idx="4">
                  <c:v>1.3444866658711308E-3</c:v>
                </c:pt>
                <c:pt idx="5" formatCode="General">
                  <c:v>1.0347449498978036E-3</c:v>
                </c:pt>
                <c:pt idx="6">
                  <c:v>1.0347449498978036E-3</c:v>
                </c:pt>
                <c:pt idx="7">
                  <c:v>2.0678991054715748E-3</c:v>
                </c:pt>
                <c:pt idx="8">
                  <c:v>2.0676718491395704E-3</c:v>
                </c:pt>
                <c:pt idx="9">
                  <c:v>1.3444866658711308E-3</c:v>
                </c:pt>
                <c:pt idx="10">
                  <c:v>1.0347449498978036E-3</c:v>
                </c:pt>
                <c:pt idx="11">
                  <c:v>1.0347449498978036E-3</c:v>
                </c:pt>
                <c:pt idx="12">
                  <c:v>2.0678991054715748E-3</c:v>
                </c:pt>
                <c:pt idx="13">
                  <c:v>2.0676718491395704E-3</c:v>
                </c:pt>
                <c:pt idx="14">
                  <c:v>1.3444866658711308E-3</c:v>
                </c:pt>
                <c:pt idx="15">
                  <c:v>1.0347449498978036E-3</c:v>
                </c:pt>
                <c:pt idx="16">
                  <c:v>1.0347449498978036E-3</c:v>
                </c:pt>
                <c:pt idx="17">
                  <c:v>2.0678991054715748E-3</c:v>
                </c:pt>
                <c:pt idx="18">
                  <c:v>2.0676718491395704E-3</c:v>
                </c:pt>
                <c:pt idx="19">
                  <c:v>1.3444866658711308E-3</c:v>
                </c:pt>
                <c:pt idx="20">
                  <c:v>7.6317014160409149E-4</c:v>
                </c:pt>
                <c:pt idx="21">
                  <c:v>1.0902430594344164E-3</c:v>
                </c:pt>
                <c:pt idx="22">
                  <c:v>2.1696909640280381E-3</c:v>
                </c:pt>
                <c:pt idx="23">
                  <c:v>2.1632138711235615E-3</c:v>
                </c:pt>
                <c:pt idx="24">
                  <c:v>7.6317014160409149E-4</c:v>
                </c:pt>
                <c:pt idx="25">
                  <c:v>1.0902430594344164E-3</c:v>
                </c:pt>
                <c:pt idx="26">
                  <c:v>2.1696909640280381E-3</c:v>
                </c:pt>
                <c:pt idx="27">
                  <c:v>2.1632138711235615E-3</c:v>
                </c:pt>
                <c:pt idx="28">
                  <c:v>7.6317014160409149E-4</c:v>
                </c:pt>
                <c:pt idx="29">
                  <c:v>1.0902430594344164E-3</c:v>
                </c:pt>
                <c:pt idx="30">
                  <c:v>2.1696909640280381E-3</c:v>
                </c:pt>
                <c:pt idx="31">
                  <c:v>2.1632138711235615E-3</c:v>
                </c:pt>
                <c:pt idx="32">
                  <c:v>7.6317014160409149E-4</c:v>
                </c:pt>
                <c:pt idx="33">
                  <c:v>1.0902430594344164E-3</c:v>
                </c:pt>
                <c:pt idx="34">
                  <c:v>2.1696909640280381E-3</c:v>
                </c:pt>
                <c:pt idx="35">
                  <c:v>2.1632138711235615E-3</c:v>
                </c:pt>
                <c:pt idx="36">
                  <c:v>6.1053611328327313E-4</c:v>
                </c:pt>
                <c:pt idx="37">
                  <c:v>8.7219444754753307E-4</c:v>
                </c:pt>
                <c:pt idx="38">
                  <c:v>1.7357527712224307E-3</c:v>
                </c:pt>
                <c:pt idx="39">
                  <c:v>1.7305710968988492E-3</c:v>
                </c:pt>
                <c:pt idx="40">
                  <c:v>1.2312752120811793E-2</c:v>
                </c:pt>
                <c:pt idx="41">
                  <c:v>4.5229574619176545E-2</c:v>
                </c:pt>
                <c:pt idx="42">
                  <c:v>4.4623597015022408E-2</c:v>
                </c:pt>
                <c:pt idx="43">
                  <c:v>6.1563760604058963E-3</c:v>
                </c:pt>
                <c:pt idx="44">
                  <c:v>2.2614787309588272E-2</c:v>
                </c:pt>
                <c:pt idx="45">
                  <c:v>2.2311798507511204E-2</c:v>
                </c:pt>
                <c:pt idx="46">
                  <c:v>6.4495368251871292E-3</c:v>
                </c:pt>
                <c:pt idx="47">
                  <c:v>2.3691681943378187E-2</c:v>
                </c:pt>
                <c:pt idx="48">
                  <c:v>2.3374265103106976E-2</c:v>
                </c:pt>
                <c:pt idx="49">
                  <c:v>8.6820688031365185E-3</c:v>
                </c:pt>
                <c:pt idx="50">
                  <c:v>3.1892648769932176E-2</c:v>
                </c:pt>
                <c:pt idx="51">
                  <c:v>3.1465356869567078E-2</c:v>
                </c:pt>
                <c:pt idx="52">
                  <c:v>7.5244596293849832E-3</c:v>
                </c:pt>
                <c:pt idx="53">
                  <c:v>2.7640295600607889E-2</c:v>
                </c:pt>
                <c:pt idx="54">
                  <c:v>2.7269975953624806E-2</c:v>
                </c:pt>
                <c:pt idx="55" formatCode="0.00000">
                  <c:v>1.0347449498978036E-3</c:v>
                </c:pt>
                <c:pt idx="56">
                  <c:v>1.0347449498978036E-3</c:v>
                </c:pt>
                <c:pt idx="57">
                  <c:v>1.9922371300663917E-3</c:v>
                </c:pt>
                <c:pt idx="58">
                  <c:v>1.9812010201050753E-3</c:v>
                </c:pt>
                <c:pt idx="59">
                  <c:v>1.3120601049831952E-3</c:v>
                </c:pt>
                <c:pt idx="60" formatCode="General">
                  <c:v>1.0347449498978036E-3</c:v>
                </c:pt>
                <c:pt idx="61">
                  <c:v>1.0347449498978036E-3</c:v>
                </c:pt>
                <c:pt idx="62">
                  <c:v>1.9922371300663917E-3</c:v>
                </c:pt>
                <c:pt idx="63">
                  <c:v>1.9812010201050753E-3</c:v>
                </c:pt>
                <c:pt idx="64">
                  <c:v>1.3120601049831952E-3</c:v>
                </c:pt>
                <c:pt idx="65">
                  <c:v>1.0347449498978036E-3</c:v>
                </c:pt>
                <c:pt idx="66">
                  <c:v>1.0347449498978036E-3</c:v>
                </c:pt>
                <c:pt idx="67">
                  <c:v>1.9922371300663917E-3</c:v>
                </c:pt>
                <c:pt idx="68">
                  <c:v>1.9812010201050753E-3</c:v>
                </c:pt>
                <c:pt idx="69">
                  <c:v>1.3120601049831952E-3</c:v>
                </c:pt>
                <c:pt idx="70">
                  <c:v>1.0347449498978036E-3</c:v>
                </c:pt>
                <c:pt idx="71">
                  <c:v>1.0347449498978036E-3</c:v>
                </c:pt>
                <c:pt idx="72">
                  <c:v>1.9922371300663917E-3</c:v>
                </c:pt>
                <c:pt idx="73">
                  <c:v>1.9812010201050753E-3</c:v>
                </c:pt>
                <c:pt idx="74">
                  <c:v>1.3120601049831952E-3</c:v>
                </c:pt>
                <c:pt idx="75">
                  <c:v>7.6317014160409149E-4</c:v>
                </c:pt>
                <c:pt idx="76">
                  <c:v>1.0902430594344164E-3</c:v>
                </c:pt>
                <c:pt idx="77">
                  <c:v>1.8209695944675583E-3</c:v>
                </c:pt>
                <c:pt idx="78">
                  <c:v>1.6052596798267933E-3</c:v>
                </c:pt>
                <c:pt idx="79">
                  <c:v>7.6317014160409149E-4</c:v>
                </c:pt>
                <c:pt idx="80">
                  <c:v>1.0902430594344164E-3</c:v>
                </c:pt>
                <c:pt idx="81">
                  <c:v>1.8209695944675583E-3</c:v>
                </c:pt>
                <c:pt idx="82">
                  <c:v>1.6052596798267933E-3</c:v>
                </c:pt>
                <c:pt idx="83">
                  <c:v>7.6317014160409149E-4</c:v>
                </c:pt>
                <c:pt idx="84">
                  <c:v>1.0902430594344164E-3</c:v>
                </c:pt>
                <c:pt idx="85">
                  <c:v>1.8209695944675583E-3</c:v>
                </c:pt>
                <c:pt idx="86">
                  <c:v>1.6052596798267933E-3</c:v>
                </c:pt>
                <c:pt idx="87">
                  <c:v>7.6317014160409149E-4</c:v>
                </c:pt>
                <c:pt idx="88">
                  <c:v>1.0902430594344164E-3</c:v>
                </c:pt>
                <c:pt idx="89">
                  <c:v>1.8209695944675583E-3</c:v>
                </c:pt>
                <c:pt idx="90">
                  <c:v>1.6052596798267933E-3</c:v>
                </c:pt>
                <c:pt idx="91">
                  <c:v>6.1053611328327313E-4</c:v>
                </c:pt>
                <c:pt idx="92">
                  <c:v>8.7219444754753307E-4</c:v>
                </c:pt>
                <c:pt idx="93">
                  <c:v>1.4567756755740466E-3</c:v>
                </c:pt>
                <c:pt idx="94">
                  <c:v>1.2842077438614348E-3</c:v>
                </c:pt>
                <c:pt idx="95">
                  <c:v>1.2812227504666332E-2</c:v>
                </c:pt>
                <c:pt idx="96">
                  <c:v>2.3282636418581814E-2</c:v>
                </c:pt>
                <c:pt idx="97">
                  <c:v>2.5967869002591151E-2</c:v>
                </c:pt>
                <c:pt idx="98">
                  <c:v>6.406113752333166E-3</c:v>
                </c:pt>
                <c:pt idx="99">
                  <c:v>1.1641318209290907E-2</c:v>
                </c:pt>
                <c:pt idx="100">
                  <c:v>1.2983934501295575E-2</c:v>
                </c:pt>
                <c:pt idx="101">
                  <c:v>6.7111667881585542E-3</c:v>
                </c:pt>
                <c:pt idx="102">
                  <c:v>1.2195666695447615E-2</c:v>
                </c:pt>
                <c:pt idx="103">
                  <c:v>1.3602217096595365E-2</c:v>
                </c:pt>
                <c:pt idx="104">
                  <c:v>9.034262984059592E-3</c:v>
                </c:pt>
                <c:pt idx="105">
                  <c:v>1.6417243628487177E-2</c:v>
                </c:pt>
                <c:pt idx="106">
                  <c:v>1.8310676860801452E-2</c:v>
                </c:pt>
                <c:pt idx="107">
                  <c:v>7.8296945861849807E-3</c:v>
                </c:pt>
                <c:pt idx="108">
                  <c:v>1.4228277811355551E-2</c:v>
                </c:pt>
                <c:pt idx="109">
                  <c:v>1.586925327936126E-2</c:v>
                </c:pt>
                <c:pt idx="110" formatCode="0.00000">
                  <c:v>1.0347449498978036E-3</c:v>
                </c:pt>
                <c:pt idx="111">
                  <c:v>1.0347449498978036E-3</c:v>
                </c:pt>
                <c:pt idx="112">
                  <c:v>1.3569040676564852E-3</c:v>
                </c:pt>
                <c:pt idx="113">
                  <c:v>1.2551060916366106E-3</c:v>
                </c:pt>
                <c:pt idx="114">
                  <c:v>1.0397745068075209E-3</c:v>
                </c:pt>
                <c:pt idx="115" formatCode="General">
                  <c:v>1.0347449498978036E-3</c:v>
                </c:pt>
                <c:pt idx="116">
                  <c:v>1.0347449498978036E-3</c:v>
                </c:pt>
                <c:pt idx="117">
                  <c:v>1.3569040676564852E-3</c:v>
                </c:pt>
                <c:pt idx="118">
                  <c:v>1.2551060916366106E-3</c:v>
                </c:pt>
                <c:pt idx="119">
                  <c:v>1.0397745068075209E-3</c:v>
                </c:pt>
                <c:pt idx="120">
                  <c:v>1.0347449498978036E-3</c:v>
                </c:pt>
                <c:pt idx="121">
                  <c:v>1.0347449498978036E-3</c:v>
                </c:pt>
                <c:pt idx="122">
                  <c:v>1.3569040676564852E-3</c:v>
                </c:pt>
                <c:pt idx="123">
                  <c:v>1.2551060916366106E-3</c:v>
                </c:pt>
                <c:pt idx="124">
                  <c:v>1.0397745068075209E-3</c:v>
                </c:pt>
                <c:pt idx="125">
                  <c:v>1.0347449498978036E-3</c:v>
                </c:pt>
                <c:pt idx="126">
                  <c:v>1.0347449498978036E-3</c:v>
                </c:pt>
                <c:pt idx="127">
                  <c:v>1.3569040676564852E-3</c:v>
                </c:pt>
                <c:pt idx="128">
                  <c:v>1.2551060916366106E-3</c:v>
                </c:pt>
                <c:pt idx="129">
                  <c:v>1.0397745068075209E-3</c:v>
                </c:pt>
                <c:pt idx="130">
                  <c:v>7.6317014160409149E-4</c:v>
                </c:pt>
                <c:pt idx="131">
                  <c:v>1.0902430594344164E-3</c:v>
                </c:pt>
                <c:pt idx="132">
                  <c:v>1.364623687619921E-3</c:v>
                </c:pt>
                <c:pt idx="133">
                  <c:v>8.7510622887057403E-4</c:v>
                </c:pt>
                <c:pt idx="134">
                  <c:v>7.6317014160409149E-4</c:v>
                </c:pt>
                <c:pt idx="135">
                  <c:v>1.0902430594344164E-3</c:v>
                </c:pt>
                <c:pt idx="136">
                  <c:v>1.364623687619921E-3</c:v>
                </c:pt>
                <c:pt idx="137">
                  <c:v>8.7510622887057403E-4</c:v>
                </c:pt>
                <c:pt idx="138">
                  <c:v>7.6317014160409149E-4</c:v>
                </c:pt>
                <c:pt idx="139">
                  <c:v>1.0902430594344164E-3</c:v>
                </c:pt>
                <c:pt idx="140">
                  <c:v>1.364623687619921E-3</c:v>
                </c:pt>
                <c:pt idx="141">
                  <c:v>8.7510622887057403E-4</c:v>
                </c:pt>
                <c:pt idx="142">
                  <c:v>7.6317014160409149E-4</c:v>
                </c:pt>
                <c:pt idx="143">
                  <c:v>1.0902430594344164E-3</c:v>
                </c:pt>
                <c:pt idx="144">
                  <c:v>1.364623687619921E-3</c:v>
                </c:pt>
                <c:pt idx="145">
                  <c:v>8.7510622887057403E-4</c:v>
                </c:pt>
                <c:pt idx="146">
                  <c:v>6.1053611328327313E-4</c:v>
                </c:pt>
                <c:pt idx="147">
                  <c:v>8.7219444754753307E-4</c:v>
                </c:pt>
                <c:pt idx="148">
                  <c:v>1.0916989500959369E-3</c:v>
                </c:pt>
                <c:pt idx="149">
                  <c:v>7.0008498309645929E-4</c:v>
                </c:pt>
                <c:pt idx="150">
                  <c:v>1.3465854058382996E-2</c:v>
                </c:pt>
                <c:pt idx="151">
                  <c:v>1.6995417056938824E-2</c:v>
                </c:pt>
                <c:pt idx="152">
                  <c:v>1.8171622640410206E-2</c:v>
                </c:pt>
                <c:pt idx="153">
                  <c:v>6.7329270291914978E-3</c:v>
                </c:pt>
                <c:pt idx="154">
                  <c:v>8.497708528469412E-3</c:v>
                </c:pt>
                <c:pt idx="155">
                  <c:v>9.0858113202051029E-3</c:v>
                </c:pt>
                <c:pt idx="156">
                  <c:v>7.0535426020101408E-3</c:v>
                </c:pt>
                <c:pt idx="157">
                  <c:v>8.9023613155393838E-3</c:v>
                </c:pt>
              </c:numCache>
            </c:numRef>
          </c:val>
          <c:extLst>
            <c:ext xmlns:c16="http://schemas.microsoft.com/office/drawing/2014/chart" uri="{C3380CC4-5D6E-409C-BE32-E72D297353CC}">
              <c16:uniqueId val="{00000000-F9C0-40FC-B5F5-8B7C4578ACB4}"/>
            </c:ext>
          </c:extLst>
        </c:ser>
        <c:ser>
          <c:idx val="1"/>
          <c:order val="1"/>
          <c:tx>
            <c:strRef>
              <c:f>FIGURES!$A$7</c:f>
              <c:strCache>
                <c:ptCount val="1"/>
                <c:pt idx="0">
                  <c:v>Residual value (vehicle)</c:v>
                </c:pt>
              </c:strCache>
            </c:strRef>
          </c:tx>
          <c:spPr>
            <a:solidFill>
              <a:schemeClr val="accent2"/>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FIGURES!$B$7:$FC$7</c:f>
              <c:numCache>
                <c:formatCode>0.00</c:formatCode>
                <c:ptCount val="158"/>
                <c:pt idx="0" formatCode="0.00000">
                  <c:v>-1.0336086682377807E-4</c:v>
                </c:pt>
                <c:pt idx="1">
                  <c:v>-1.0336086682377807E-4</c:v>
                </c:pt>
                <c:pt idx="2">
                  <c:v>-1.0354267188938173E-4</c:v>
                </c:pt>
                <c:pt idx="3">
                  <c:v>-1.0351994625618128E-4</c:v>
                </c:pt>
                <c:pt idx="4">
                  <c:v>-6.7337961459558828E-5</c:v>
                </c:pt>
                <c:pt idx="5" formatCode="General">
                  <c:v>-1.0336086682377807E-4</c:v>
                </c:pt>
                <c:pt idx="6">
                  <c:v>-1.0336086682377807E-4</c:v>
                </c:pt>
                <c:pt idx="7">
                  <c:v>-1.0354267188938173E-4</c:v>
                </c:pt>
                <c:pt idx="8">
                  <c:v>-1.0351994625618128E-4</c:v>
                </c:pt>
                <c:pt idx="9">
                  <c:v>-6.7337961459558828E-5</c:v>
                </c:pt>
                <c:pt idx="10">
                  <c:v>-1.0336086682377807E-4</c:v>
                </c:pt>
                <c:pt idx="11">
                  <c:v>-1.0336086682377807E-4</c:v>
                </c:pt>
                <c:pt idx="12">
                  <c:v>-1.0354267188938173E-4</c:v>
                </c:pt>
                <c:pt idx="13">
                  <c:v>-1.0351994625618128E-4</c:v>
                </c:pt>
                <c:pt idx="14">
                  <c:v>-6.7337961459558828E-5</c:v>
                </c:pt>
                <c:pt idx="15">
                  <c:v>-1.0336086682377807E-4</c:v>
                </c:pt>
                <c:pt idx="16">
                  <c:v>-1.0336086682377807E-4</c:v>
                </c:pt>
                <c:pt idx="17">
                  <c:v>-1.0354267188938173E-4</c:v>
                </c:pt>
                <c:pt idx="18">
                  <c:v>-1.0351994625618128E-4</c:v>
                </c:pt>
                <c:pt idx="19">
                  <c:v>-6.7337961459558828E-5</c:v>
                </c:pt>
                <c:pt idx="20">
                  <c:v>-1.1346797345547289E-4</c:v>
                </c:pt>
                <c:pt idx="21">
                  <c:v>-1.6353645891516245E-4</c:v>
                </c:pt>
                <c:pt idx="22">
                  <c:v>-1.1028374067486764E-4</c:v>
                </c:pt>
                <c:pt idx="23">
                  <c:v>-1.0931217673919614E-4</c:v>
                </c:pt>
                <c:pt idx="24">
                  <c:v>-1.1346797345547289E-4</c:v>
                </c:pt>
                <c:pt idx="25">
                  <c:v>-1.6353645891516245E-4</c:v>
                </c:pt>
                <c:pt idx="26">
                  <c:v>-1.1028374067486764E-4</c:v>
                </c:pt>
                <c:pt idx="27">
                  <c:v>-1.0931217673919614E-4</c:v>
                </c:pt>
                <c:pt idx="28">
                  <c:v>-1.1346797345547289E-4</c:v>
                </c:pt>
                <c:pt idx="29">
                  <c:v>-1.6353645891516245E-4</c:v>
                </c:pt>
                <c:pt idx="30">
                  <c:v>-1.1028374067486764E-4</c:v>
                </c:pt>
                <c:pt idx="31">
                  <c:v>-1.0931217673919614E-4</c:v>
                </c:pt>
                <c:pt idx="32">
                  <c:v>-1.1346797345547289E-4</c:v>
                </c:pt>
                <c:pt idx="33">
                  <c:v>-1.6353645891516245E-4</c:v>
                </c:pt>
                <c:pt idx="34">
                  <c:v>-1.1028374067486764E-4</c:v>
                </c:pt>
                <c:pt idx="35">
                  <c:v>-1.0931217673919614E-4</c:v>
                </c:pt>
                <c:pt idx="36">
                  <c:v>-9.0774378764378309E-5</c:v>
                </c:pt>
                <c:pt idx="37">
                  <c:v>-1.3082916713212997E-4</c:v>
                </c:pt>
                <c:pt idx="38">
                  <c:v>-8.822699253989411E-5</c:v>
                </c:pt>
                <c:pt idx="39">
                  <c:v>-8.7449741391356912E-5</c:v>
                </c:pt>
                <c:pt idx="40">
                  <c:v>-3.0604067820050769E-3</c:v>
                </c:pt>
                <c:pt idx="41">
                  <c:v>-6.8763971865001975E-3</c:v>
                </c:pt>
                <c:pt idx="42">
                  <c:v>-6.7629302274573042E-3</c:v>
                </c:pt>
                <c:pt idx="43">
                  <c:v>-1.5302033910025385E-3</c:v>
                </c:pt>
                <c:pt idx="44">
                  <c:v>-3.4381985932500987E-3</c:v>
                </c:pt>
                <c:pt idx="45">
                  <c:v>-3.3814651137286521E-3</c:v>
                </c:pt>
                <c:pt idx="46">
                  <c:v>-1.6030702191455165E-3</c:v>
                </c:pt>
                <c:pt idx="47">
                  <c:v>-3.6019223357858176E-3</c:v>
                </c:pt>
                <c:pt idx="48">
                  <c:v>-3.5424872620014453E-3</c:v>
                </c:pt>
                <c:pt idx="49">
                  <c:v>-2.157979141157426E-3</c:v>
                </c:pt>
                <c:pt idx="50">
                  <c:v>-4.8487416058655246E-3</c:v>
                </c:pt>
                <c:pt idx="51">
                  <c:v>-4.7687328526942532E-3</c:v>
                </c:pt>
                <c:pt idx="52">
                  <c:v>-1.8702485890031025E-3</c:v>
                </c:pt>
                <c:pt idx="53">
                  <c:v>-4.2022427250834543E-3</c:v>
                </c:pt>
                <c:pt idx="54">
                  <c:v>-4.1329018056683528E-3</c:v>
                </c:pt>
                <c:pt idx="55" formatCode="0.00000">
                  <c:v>-9.7956440009122124E-5</c:v>
                </c:pt>
                <c:pt idx="56">
                  <c:v>-9.7956440009122124E-5</c:v>
                </c:pt>
                <c:pt idx="57">
                  <c:v>-1.067853279781753E-4</c:v>
                </c:pt>
                <c:pt idx="58">
                  <c:v>-1.0568171698204363E-4</c:v>
                </c:pt>
                <c:pt idx="59">
                  <c:v>-7.1121060229817985E-5</c:v>
                </c:pt>
                <c:pt idx="60" formatCode="General">
                  <c:v>-9.7956440009122124E-5</c:v>
                </c:pt>
                <c:pt idx="61">
                  <c:v>-9.7956440009122124E-5</c:v>
                </c:pt>
                <c:pt idx="62">
                  <c:v>-1.067853279781753E-4</c:v>
                </c:pt>
                <c:pt idx="63">
                  <c:v>-1.0568171698204363E-4</c:v>
                </c:pt>
                <c:pt idx="64">
                  <c:v>-7.1121060229817985E-5</c:v>
                </c:pt>
                <c:pt idx="65">
                  <c:v>-9.7956440009122124E-5</c:v>
                </c:pt>
                <c:pt idx="66">
                  <c:v>-9.7956440009122124E-5</c:v>
                </c:pt>
                <c:pt idx="67">
                  <c:v>-1.067853279781753E-4</c:v>
                </c:pt>
                <c:pt idx="68">
                  <c:v>-1.0568171698204363E-4</c:v>
                </c:pt>
                <c:pt idx="69">
                  <c:v>-7.1121060229817985E-5</c:v>
                </c:pt>
                <c:pt idx="70">
                  <c:v>-9.7956440009122124E-5</c:v>
                </c:pt>
                <c:pt idx="71">
                  <c:v>-9.7956440009122124E-5</c:v>
                </c:pt>
                <c:pt idx="72">
                  <c:v>-1.067853279781753E-4</c:v>
                </c:pt>
                <c:pt idx="73">
                  <c:v>-1.0568171698204363E-4</c:v>
                </c:pt>
                <c:pt idx="74">
                  <c:v>-7.1121060229817985E-5</c:v>
                </c:pt>
                <c:pt idx="75">
                  <c:v>-8.0920645629828101E-5</c:v>
                </c:pt>
                <c:pt idx="76">
                  <c:v>-1.6353645891516245E-4</c:v>
                </c:pt>
                <c:pt idx="77">
                  <c:v>-1.5096790045692366E-4</c:v>
                </c:pt>
                <c:pt idx="78">
                  <c:v>-1.1861141326080898E-4</c:v>
                </c:pt>
                <c:pt idx="79">
                  <c:v>-8.0920645629828101E-5</c:v>
                </c:pt>
                <c:pt idx="80">
                  <c:v>-1.6353645891516245E-4</c:v>
                </c:pt>
                <c:pt idx="81">
                  <c:v>-1.5096790045692366E-4</c:v>
                </c:pt>
                <c:pt idx="82">
                  <c:v>-1.1861141326080898E-4</c:v>
                </c:pt>
                <c:pt idx="83">
                  <c:v>-8.0920645629828101E-5</c:v>
                </c:pt>
                <c:pt idx="84">
                  <c:v>-1.6353645891516245E-4</c:v>
                </c:pt>
                <c:pt idx="85">
                  <c:v>-1.5096790045692366E-4</c:v>
                </c:pt>
                <c:pt idx="86">
                  <c:v>-1.1861141326080898E-4</c:v>
                </c:pt>
                <c:pt idx="87">
                  <c:v>-8.0920645629828101E-5</c:v>
                </c:pt>
                <c:pt idx="88">
                  <c:v>-1.6353645891516245E-4</c:v>
                </c:pt>
                <c:pt idx="89">
                  <c:v>-1.5096790045692366E-4</c:v>
                </c:pt>
                <c:pt idx="90">
                  <c:v>-1.1861141326080898E-4</c:v>
                </c:pt>
                <c:pt idx="91">
                  <c:v>-6.4736516503862478E-5</c:v>
                </c:pt>
                <c:pt idx="92">
                  <c:v>-1.3082916713212997E-4</c:v>
                </c:pt>
                <c:pt idx="93">
                  <c:v>-1.2077432036553891E-4</c:v>
                </c:pt>
                <c:pt idx="94">
                  <c:v>-9.4889130608647181E-5</c:v>
                </c:pt>
                <c:pt idx="95">
                  <c:v>-2.6108789365359899E-3</c:v>
                </c:pt>
                <c:pt idx="96">
                  <c:v>-4.8323196089938266E-3</c:v>
                </c:pt>
                <c:pt idx="97">
                  <c:v>-5.1950552136465931E-3</c:v>
                </c:pt>
                <c:pt idx="98">
                  <c:v>-1.3054394682679949E-3</c:v>
                </c:pt>
                <c:pt idx="99">
                  <c:v>-2.4161598044969133E-3</c:v>
                </c:pt>
                <c:pt idx="100">
                  <c:v>-2.5975276068232966E-3</c:v>
                </c:pt>
                <c:pt idx="101">
                  <c:v>-1.3676032524712327E-3</c:v>
                </c:pt>
                <c:pt idx="102">
                  <c:v>-2.5312150332824808E-3</c:v>
                </c:pt>
                <c:pt idx="103">
                  <c:v>-2.721219397624406E-3</c:v>
                </c:pt>
                <c:pt idx="104">
                  <c:v>-1.8410043783266593E-3</c:v>
                </c:pt>
                <c:pt idx="105">
                  <c:v>-3.4074048524956467E-3</c:v>
                </c:pt>
                <c:pt idx="106">
                  <c:v>-3.6631799583405462E-3</c:v>
                </c:pt>
                <c:pt idx="107">
                  <c:v>-1.5955371278831049E-3</c:v>
                </c:pt>
                <c:pt idx="108">
                  <c:v>-2.9530842054962272E-3</c:v>
                </c:pt>
                <c:pt idx="109">
                  <c:v>-3.1747559638951399E-3</c:v>
                </c:pt>
                <c:pt idx="110" formatCode="0.00000">
                  <c:v>-5.2575506979843073E-5</c:v>
                </c:pt>
                <c:pt idx="111">
                  <c:v>-5.2575506979843073E-5</c:v>
                </c:pt>
                <c:pt idx="112">
                  <c:v>-1.3401388779574273E-4</c:v>
                </c:pt>
                <c:pt idx="113">
                  <c:v>-1.2383409019375524E-4</c:v>
                </c:pt>
                <c:pt idx="114">
                  <c:v>-1.0288771335031333E-4</c:v>
                </c:pt>
                <c:pt idx="115" formatCode="General">
                  <c:v>-5.2575506979843073E-5</c:v>
                </c:pt>
                <c:pt idx="116">
                  <c:v>-5.2575506979843073E-5</c:v>
                </c:pt>
                <c:pt idx="117">
                  <c:v>-1.3401388779574273E-4</c:v>
                </c:pt>
                <c:pt idx="118">
                  <c:v>-1.2383409019375524E-4</c:v>
                </c:pt>
                <c:pt idx="119">
                  <c:v>-1.0288771335031333E-4</c:v>
                </c:pt>
                <c:pt idx="120">
                  <c:v>-5.2575506979843073E-5</c:v>
                </c:pt>
                <c:pt idx="121">
                  <c:v>-5.2575506979843073E-5</c:v>
                </c:pt>
                <c:pt idx="122">
                  <c:v>-1.3401388779574273E-4</c:v>
                </c:pt>
                <c:pt idx="123">
                  <c:v>-1.2383409019375524E-4</c:v>
                </c:pt>
                <c:pt idx="124">
                  <c:v>-1.0288771335031333E-4</c:v>
                </c:pt>
                <c:pt idx="125">
                  <c:v>-5.2575506979843073E-5</c:v>
                </c:pt>
                <c:pt idx="126">
                  <c:v>-5.2575506979843073E-5</c:v>
                </c:pt>
                <c:pt idx="127">
                  <c:v>-1.3401388779574273E-4</c:v>
                </c:pt>
                <c:pt idx="128">
                  <c:v>-1.2383409019375524E-4</c:v>
                </c:pt>
                <c:pt idx="129">
                  <c:v>-1.0288771335031333E-4</c:v>
                </c:pt>
                <c:pt idx="130">
                  <c:v>-3.832836099071531E-5</c:v>
                </c:pt>
                <c:pt idx="131">
                  <c:v>-1.6353645891516245E-4</c:v>
                </c:pt>
                <c:pt idx="132">
                  <c:v>-2.0420825625581466E-4</c:v>
                </c:pt>
                <c:pt idx="133">
                  <c:v>-1.3078063744341263E-4</c:v>
                </c:pt>
                <c:pt idx="134">
                  <c:v>-3.832836099071531E-5</c:v>
                </c:pt>
                <c:pt idx="135">
                  <c:v>-1.6353645891516245E-4</c:v>
                </c:pt>
                <c:pt idx="136">
                  <c:v>-2.0420825625581466E-4</c:v>
                </c:pt>
                <c:pt idx="137">
                  <c:v>-1.3078063744341263E-4</c:v>
                </c:pt>
                <c:pt idx="138">
                  <c:v>-3.832836099071531E-5</c:v>
                </c:pt>
                <c:pt idx="139">
                  <c:v>-1.6353645891516245E-4</c:v>
                </c:pt>
                <c:pt idx="140">
                  <c:v>-2.0420825625581466E-4</c:v>
                </c:pt>
                <c:pt idx="141">
                  <c:v>-1.3078063744341263E-4</c:v>
                </c:pt>
                <c:pt idx="142">
                  <c:v>-3.832836099071531E-5</c:v>
                </c:pt>
                <c:pt idx="143">
                  <c:v>-1.6353645891516245E-4</c:v>
                </c:pt>
                <c:pt idx="144">
                  <c:v>-2.0420825625581466E-4</c:v>
                </c:pt>
                <c:pt idx="145">
                  <c:v>-1.3078063744341263E-4</c:v>
                </c:pt>
                <c:pt idx="146">
                  <c:v>-3.0662688792572247E-5</c:v>
                </c:pt>
                <c:pt idx="147">
                  <c:v>-1.3082916713212997E-4</c:v>
                </c:pt>
                <c:pt idx="148">
                  <c:v>-1.6336660500465173E-4</c:v>
                </c:pt>
                <c:pt idx="149">
                  <c:v>-1.046245099547301E-4</c:v>
                </c:pt>
                <c:pt idx="150">
                  <c:v>-2.0226150381909905E-3</c:v>
                </c:pt>
                <c:pt idx="151">
                  <c:v>-4.2467452566839394E-3</c:v>
                </c:pt>
                <c:pt idx="152">
                  <c:v>-4.5398387640590461E-3</c:v>
                </c:pt>
                <c:pt idx="153">
                  <c:v>-1.0113075190954952E-3</c:v>
                </c:pt>
                <c:pt idx="154">
                  <c:v>-2.1233726283419697E-3</c:v>
                </c:pt>
                <c:pt idx="155">
                  <c:v>-2.2699193820295231E-3</c:v>
                </c:pt>
                <c:pt idx="156">
                  <c:v>-1.0594650200048046E-3</c:v>
                </c:pt>
                <c:pt idx="157">
                  <c:v>-2.2244856106439686E-3</c:v>
                </c:pt>
              </c:numCache>
            </c:numRef>
          </c:val>
          <c:extLst>
            <c:ext xmlns:c16="http://schemas.microsoft.com/office/drawing/2014/chart" uri="{C3380CC4-5D6E-409C-BE32-E72D297353CC}">
              <c16:uniqueId val="{00000001-F9C0-40FC-B5F5-8B7C4578ACB4}"/>
            </c:ext>
          </c:extLst>
        </c:ser>
        <c:ser>
          <c:idx val="2"/>
          <c:order val="2"/>
          <c:tx>
            <c:strRef>
              <c:f>FIGURES!$A$8</c:f>
              <c:strCache>
                <c:ptCount val="1"/>
                <c:pt idx="0">
                  <c:v>Capex costumization</c:v>
                </c:pt>
              </c:strCache>
            </c:strRef>
          </c:tx>
          <c:spPr>
            <a:solidFill>
              <a:schemeClr val="accent3"/>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FIGURES!$B$8:$FC$8</c:f>
              <c:numCache>
                <c:formatCode>0.00</c:formatCode>
                <c:ptCount val="158"/>
                <c:pt idx="0" formatCode="0.00000">
                  <c:v>6.8982996659853576E-5</c:v>
                </c:pt>
                <c:pt idx="1">
                  <c:v>6.8982996659853576E-5</c:v>
                </c:pt>
                <c:pt idx="2">
                  <c:v>6.8982996659853576E-5</c:v>
                </c:pt>
                <c:pt idx="3">
                  <c:v>6.8982996659853576E-5</c:v>
                </c:pt>
                <c:pt idx="4">
                  <c:v>6.8982996659853576E-5</c:v>
                </c:pt>
                <c:pt idx="5" formatCode="General">
                  <c:v>3.4491498329926784E-4</c:v>
                </c:pt>
                <c:pt idx="6">
                  <c:v>3.4491498329926784E-4</c:v>
                </c:pt>
                <c:pt idx="7">
                  <c:v>3.4491498329926784E-4</c:v>
                </c:pt>
                <c:pt idx="8">
                  <c:v>3.4491498329926784E-4</c:v>
                </c:pt>
                <c:pt idx="9">
                  <c:v>3.4491498329926784E-4</c:v>
                </c:pt>
                <c:pt idx="10">
                  <c:v>6.8982996659853576E-5</c:v>
                </c:pt>
                <c:pt idx="11">
                  <c:v>6.8982996659853576E-5</c:v>
                </c:pt>
                <c:pt idx="12">
                  <c:v>6.8982996659853576E-5</c:v>
                </c:pt>
                <c:pt idx="13">
                  <c:v>6.8982996659853576E-5</c:v>
                </c:pt>
                <c:pt idx="14">
                  <c:v>6.8982996659853576E-5</c:v>
                </c:pt>
                <c:pt idx="15">
                  <c:v>6.8982996659853576E-5</c:v>
                </c:pt>
                <c:pt idx="16">
                  <c:v>6.8982996659853576E-5</c:v>
                </c:pt>
                <c:pt idx="17">
                  <c:v>6.8982996659853576E-5</c:v>
                </c:pt>
                <c:pt idx="18">
                  <c:v>6.8982996659853576E-5</c:v>
                </c:pt>
                <c:pt idx="19">
                  <c:v>6.8982996659853576E-5</c:v>
                </c:pt>
                <c:pt idx="20">
                  <c:v>7.6311881817276459E-4</c:v>
                </c:pt>
                <c:pt idx="21">
                  <c:v>7.6311881817276459E-4</c:v>
                </c:pt>
                <c:pt idx="22">
                  <c:v>7.6311881817276459E-4</c:v>
                </c:pt>
                <c:pt idx="23">
                  <c:v>7.6311881817276459E-4</c:v>
                </c:pt>
                <c:pt idx="24">
                  <c:v>1.0174917575636864E-3</c:v>
                </c:pt>
                <c:pt idx="25">
                  <c:v>1.0174917575636864E-3</c:v>
                </c:pt>
                <c:pt idx="26">
                  <c:v>1.0174917575636864E-3</c:v>
                </c:pt>
                <c:pt idx="27">
                  <c:v>1.0174917575636864E-3</c:v>
                </c:pt>
                <c:pt idx="28">
                  <c:v>5.087458787818432E-4</c:v>
                </c:pt>
                <c:pt idx="29">
                  <c:v>5.087458787818432E-4</c:v>
                </c:pt>
                <c:pt idx="30">
                  <c:v>5.087458787818432E-4</c:v>
                </c:pt>
                <c:pt idx="31">
                  <c:v>5.087458787818432E-4</c:v>
                </c:pt>
                <c:pt idx="32">
                  <c:v>7.6311881817276459E-4</c:v>
                </c:pt>
                <c:pt idx="33">
                  <c:v>7.6311881817276459E-4</c:v>
                </c:pt>
                <c:pt idx="34">
                  <c:v>7.6311881817276459E-4</c:v>
                </c:pt>
                <c:pt idx="35">
                  <c:v>7.6311881817276459E-4</c:v>
                </c:pt>
                <c:pt idx="36">
                  <c:v>5.0874587878184309E-4</c:v>
                </c:pt>
                <c:pt idx="37">
                  <c:v>5.0874587878184309E-4</c:v>
                </c:pt>
                <c:pt idx="38">
                  <c:v>5.0874587878184309E-4</c:v>
                </c:pt>
                <c:pt idx="39">
                  <c:v>5.0874587878184309E-4</c:v>
                </c:pt>
                <c:pt idx="40">
                  <c:v>3.9525224209566176E-3</c:v>
                </c:pt>
                <c:pt idx="41">
                  <c:v>3.9525224209566176E-3</c:v>
                </c:pt>
                <c:pt idx="42">
                  <c:v>3.9525224209566176E-3</c:v>
                </c:pt>
                <c:pt idx="43">
                  <c:v>2.964391815717463E-3</c:v>
                </c:pt>
                <c:pt idx="44">
                  <c:v>2.964391815717463E-3</c:v>
                </c:pt>
                <c:pt idx="45">
                  <c:v>2.964391815717463E-3</c:v>
                </c:pt>
                <c:pt idx="46">
                  <c:v>1.552776665375814E-3</c:v>
                </c:pt>
                <c:pt idx="47">
                  <c:v>1.552776665375814E-3</c:v>
                </c:pt>
                <c:pt idx="48">
                  <c:v>1.552776665375814E-3</c:v>
                </c:pt>
                <c:pt idx="49">
                  <c:v>2.7870350404181278E-3</c:v>
                </c:pt>
                <c:pt idx="50">
                  <c:v>2.7870350404181278E-3</c:v>
                </c:pt>
                <c:pt idx="51">
                  <c:v>2.7870350404181278E-3</c:v>
                </c:pt>
                <c:pt idx="52">
                  <c:v>2.1135015723170798E-3</c:v>
                </c:pt>
                <c:pt idx="53">
                  <c:v>2.1135015723170798E-3</c:v>
                </c:pt>
                <c:pt idx="54">
                  <c:v>2.1135015723170798E-3</c:v>
                </c:pt>
                <c:pt idx="55" formatCode="0.00000">
                  <c:v>6.8982996659853576E-5</c:v>
                </c:pt>
                <c:pt idx="56">
                  <c:v>6.8982996659853576E-5</c:v>
                </c:pt>
                <c:pt idx="57">
                  <c:v>6.8982996659853576E-5</c:v>
                </c:pt>
                <c:pt idx="58">
                  <c:v>6.8982996659853576E-5</c:v>
                </c:pt>
                <c:pt idx="59">
                  <c:v>6.8982996659853576E-5</c:v>
                </c:pt>
                <c:pt idx="60" formatCode="General">
                  <c:v>3.4491498329926784E-4</c:v>
                </c:pt>
                <c:pt idx="61">
                  <c:v>3.4491498329926784E-4</c:v>
                </c:pt>
                <c:pt idx="62">
                  <c:v>3.4491498329926784E-4</c:v>
                </c:pt>
                <c:pt idx="63">
                  <c:v>3.4491498329926784E-4</c:v>
                </c:pt>
                <c:pt idx="64">
                  <c:v>3.4491498329926784E-4</c:v>
                </c:pt>
                <c:pt idx="65">
                  <c:v>6.8982996659853576E-5</c:v>
                </c:pt>
                <c:pt idx="66">
                  <c:v>6.8982996659853576E-5</c:v>
                </c:pt>
                <c:pt idx="67">
                  <c:v>6.8982996659853576E-5</c:v>
                </c:pt>
                <c:pt idx="68">
                  <c:v>6.8982996659853576E-5</c:v>
                </c:pt>
                <c:pt idx="69">
                  <c:v>6.8982996659853576E-5</c:v>
                </c:pt>
                <c:pt idx="70">
                  <c:v>6.8982996659853576E-5</c:v>
                </c:pt>
                <c:pt idx="71">
                  <c:v>6.8982996659853576E-5</c:v>
                </c:pt>
                <c:pt idx="72">
                  <c:v>6.8982996659853576E-5</c:v>
                </c:pt>
                <c:pt idx="73">
                  <c:v>6.8982996659853576E-5</c:v>
                </c:pt>
                <c:pt idx="74">
                  <c:v>6.8982996659853576E-5</c:v>
                </c:pt>
                <c:pt idx="75">
                  <c:v>7.6311881817276459E-4</c:v>
                </c:pt>
                <c:pt idx="76">
                  <c:v>7.6311881817276459E-4</c:v>
                </c:pt>
                <c:pt idx="77">
                  <c:v>7.6311881817276459E-4</c:v>
                </c:pt>
                <c:pt idx="78">
                  <c:v>7.6311881817276459E-4</c:v>
                </c:pt>
                <c:pt idx="79">
                  <c:v>1.0174917575636864E-3</c:v>
                </c:pt>
                <c:pt idx="80">
                  <c:v>1.0174917575636864E-3</c:v>
                </c:pt>
                <c:pt idx="81">
                  <c:v>1.0174917575636864E-3</c:v>
                </c:pt>
                <c:pt idx="82">
                  <c:v>1.0174917575636864E-3</c:v>
                </c:pt>
                <c:pt idx="83">
                  <c:v>5.087458787818432E-4</c:v>
                </c:pt>
                <c:pt idx="84">
                  <c:v>5.087458787818432E-4</c:v>
                </c:pt>
                <c:pt idx="85">
                  <c:v>5.087458787818432E-4</c:v>
                </c:pt>
                <c:pt idx="86">
                  <c:v>5.087458787818432E-4</c:v>
                </c:pt>
                <c:pt idx="87">
                  <c:v>7.6311881817276459E-4</c:v>
                </c:pt>
                <c:pt idx="88">
                  <c:v>7.6311881817276459E-4</c:v>
                </c:pt>
                <c:pt idx="89">
                  <c:v>7.6311881817276459E-4</c:v>
                </c:pt>
                <c:pt idx="90">
                  <c:v>7.6311881817276459E-4</c:v>
                </c:pt>
                <c:pt idx="91">
                  <c:v>5.0874587878184309E-4</c:v>
                </c:pt>
                <c:pt idx="92">
                  <c:v>5.0874587878184309E-4</c:v>
                </c:pt>
                <c:pt idx="93">
                  <c:v>5.0874587878184309E-4</c:v>
                </c:pt>
                <c:pt idx="94">
                  <c:v>5.0874587878184309E-4</c:v>
                </c:pt>
                <c:pt idx="95">
                  <c:v>3.9525224209566176E-3</c:v>
                </c:pt>
                <c:pt idx="96">
                  <c:v>3.9525224209566176E-3</c:v>
                </c:pt>
                <c:pt idx="97">
                  <c:v>3.9525224209566176E-3</c:v>
                </c:pt>
                <c:pt idx="98">
                  <c:v>2.964391815717463E-3</c:v>
                </c:pt>
                <c:pt idx="99">
                  <c:v>2.964391815717463E-3</c:v>
                </c:pt>
                <c:pt idx="100">
                  <c:v>2.964391815717463E-3</c:v>
                </c:pt>
                <c:pt idx="101">
                  <c:v>1.552776665375814E-3</c:v>
                </c:pt>
                <c:pt idx="102">
                  <c:v>1.552776665375814E-3</c:v>
                </c:pt>
                <c:pt idx="103">
                  <c:v>1.552776665375814E-3</c:v>
                </c:pt>
                <c:pt idx="104">
                  <c:v>2.7870350404181278E-3</c:v>
                </c:pt>
                <c:pt idx="105">
                  <c:v>2.7870350404181278E-3</c:v>
                </c:pt>
                <c:pt idx="106">
                  <c:v>2.7870350404181278E-3</c:v>
                </c:pt>
                <c:pt idx="107">
                  <c:v>2.1135015723170798E-3</c:v>
                </c:pt>
                <c:pt idx="108">
                  <c:v>2.1135015723170798E-3</c:v>
                </c:pt>
                <c:pt idx="109">
                  <c:v>2.1135015723170798E-3</c:v>
                </c:pt>
                <c:pt idx="110" formatCode="0.00000">
                  <c:v>6.8982996659853576E-5</c:v>
                </c:pt>
                <c:pt idx="111">
                  <c:v>6.8982996659853576E-5</c:v>
                </c:pt>
                <c:pt idx="112">
                  <c:v>6.8982996659853576E-5</c:v>
                </c:pt>
                <c:pt idx="113">
                  <c:v>6.8982996659853576E-5</c:v>
                </c:pt>
                <c:pt idx="114">
                  <c:v>6.8982996659853576E-5</c:v>
                </c:pt>
                <c:pt idx="115" formatCode="General">
                  <c:v>3.4491498329926784E-4</c:v>
                </c:pt>
                <c:pt idx="116">
                  <c:v>3.4491498329926784E-4</c:v>
                </c:pt>
                <c:pt idx="117">
                  <c:v>3.4491498329926784E-4</c:v>
                </c:pt>
                <c:pt idx="118">
                  <c:v>3.4491498329926784E-4</c:v>
                </c:pt>
                <c:pt idx="119">
                  <c:v>3.4491498329926784E-4</c:v>
                </c:pt>
                <c:pt idx="120">
                  <c:v>6.8982996659853576E-5</c:v>
                </c:pt>
                <c:pt idx="121">
                  <c:v>6.8982996659853576E-5</c:v>
                </c:pt>
                <c:pt idx="122">
                  <c:v>6.8982996659853576E-5</c:v>
                </c:pt>
                <c:pt idx="123">
                  <c:v>6.8982996659853576E-5</c:v>
                </c:pt>
                <c:pt idx="124">
                  <c:v>6.8982996659853576E-5</c:v>
                </c:pt>
                <c:pt idx="125">
                  <c:v>6.8982996659853576E-5</c:v>
                </c:pt>
                <c:pt idx="126">
                  <c:v>6.8982996659853576E-5</c:v>
                </c:pt>
                <c:pt idx="127">
                  <c:v>6.8982996659853576E-5</c:v>
                </c:pt>
                <c:pt idx="128">
                  <c:v>6.8982996659853576E-5</c:v>
                </c:pt>
                <c:pt idx="129">
                  <c:v>6.8982996659853576E-5</c:v>
                </c:pt>
                <c:pt idx="130">
                  <c:v>7.6311881817276459E-4</c:v>
                </c:pt>
                <c:pt idx="131">
                  <c:v>7.6311881817276459E-4</c:v>
                </c:pt>
                <c:pt idx="132">
                  <c:v>7.6311881817276459E-4</c:v>
                </c:pt>
                <c:pt idx="133">
                  <c:v>7.6311881817276459E-4</c:v>
                </c:pt>
                <c:pt idx="134">
                  <c:v>1.0174917575636864E-3</c:v>
                </c:pt>
                <c:pt idx="135">
                  <c:v>1.0174917575636864E-3</c:v>
                </c:pt>
                <c:pt idx="136">
                  <c:v>1.0174917575636864E-3</c:v>
                </c:pt>
                <c:pt idx="137">
                  <c:v>1.0174917575636864E-3</c:v>
                </c:pt>
                <c:pt idx="138">
                  <c:v>5.087458787818432E-4</c:v>
                </c:pt>
                <c:pt idx="139">
                  <c:v>5.087458787818432E-4</c:v>
                </c:pt>
                <c:pt idx="140">
                  <c:v>5.087458787818432E-4</c:v>
                </c:pt>
                <c:pt idx="141">
                  <c:v>5.087458787818432E-4</c:v>
                </c:pt>
                <c:pt idx="142">
                  <c:v>7.6311881817276459E-4</c:v>
                </c:pt>
                <c:pt idx="143">
                  <c:v>7.6311881817276459E-4</c:v>
                </c:pt>
                <c:pt idx="144">
                  <c:v>7.6311881817276459E-4</c:v>
                </c:pt>
                <c:pt idx="145">
                  <c:v>7.6311881817276459E-4</c:v>
                </c:pt>
                <c:pt idx="146">
                  <c:v>5.0874587878184309E-4</c:v>
                </c:pt>
                <c:pt idx="147">
                  <c:v>5.0874587878184309E-4</c:v>
                </c:pt>
                <c:pt idx="148">
                  <c:v>5.0874587878184309E-4</c:v>
                </c:pt>
                <c:pt idx="149">
                  <c:v>5.0874587878184309E-4</c:v>
                </c:pt>
                <c:pt idx="150">
                  <c:v>3.9525224209566176E-3</c:v>
                </c:pt>
                <c:pt idx="151">
                  <c:v>3.9525224209566176E-3</c:v>
                </c:pt>
                <c:pt idx="152">
                  <c:v>3.9525224209566176E-3</c:v>
                </c:pt>
                <c:pt idx="153">
                  <c:v>2.964391815717463E-3</c:v>
                </c:pt>
                <c:pt idx="154">
                  <c:v>2.964391815717463E-3</c:v>
                </c:pt>
                <c:pt idx="155">
                  <c:v>2.964391815717463E-3</c:v>
                </c:pt>
                <c:pt idx="156">
                  <c:v>1.552776665375814E-3</c:v>
                </c:pt>
                <c:pt idx="157">
                  <c:v>1.552776665375814E-3</c:v>
                </c:pt>
              </c:numCache>
            </c:numRef>
          </c:val>
          <c:extLst>
            <c:ext xmlns:c16="http://schemas.microsoft.com/office/drawing/2014/chart" uri="{C3380CC4-5D6E-409C-BE32-E72D297353CC}">
              <c16:uniqueId val="{00000002-F9C0-40FC-B5F5-8B7C4578ACB4}"/>
            </c:ext>
          </c:extLst>
        </c:ser>
        <c:ser>
          <c:idx val="3"/>
          <c:order val="3"/>
          <c:tx>
            <c:strRef>
              <c:f>FIGURES!$A$9</c:f>
              <c:strCache>
                <c:ptCount val="1"/>
                <c:pt idx="0">
                  <c:v>Residual value (costumization)</c:v>
                </c:pt>
              </c:strCache>
            </c:strRef>
          </c:tx>
          <c:spPr>
            <a:solidFill>
              <a:schemeClr val="accent4"/>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FIGURES!$B$9:$FC$9</c:f>
              <c:numCache>
                <c:formatCode>0.00</c:formatCode>
                <c:ptCount val="158"/>
                <c:pt idx="0" formatCode="0.00000">
                  <c:v>-6.8982996659853564E-6</c:v>
                </c:pt>
                <c:pt idx="1">
                  <c:v>-6.8982996659853564E-6</c:v>
                </c:pt>
                <c:pt idx="2">
                  <c:v>-6.8982996659853564E-6</c:v>
                </c:pt>
                <c:pt idx="3">
                  <c:v>-6.8982996659853564E-6</c:v>
                </c:pt>
                <c:pt idx="4">
                  <c:v>-6.8982996659853564E-6</c:v>
                </c:pt>
                <c:pt idx="5" formatCode="General">
                  <c:v>-3.4491498329926788E-5</c:v>
                </c:pt>
                <c:pt idx="6">
                  <c:v>-3.4491498329926788E-5</c:v>
                </c:pt>
                <c:pt idx="7">
                  <c:v>-3.4491498329926788E-5</c:v>
                </c:pt>
                <c:pt idx="8">
                  <c:v>-3.4491498329926788E-5</c:v>
                </c:pt>
                <c:pt idx="9">
                  <c:v>-3.4491498329926788E-5</c:v>
                </c:pt>
                <c:pt idx="10">
                  <c:v>-6.8982996659853564E-6</c:v>
                </c:pt>
                <c:pt idx="11">
                  <c:v>-6.8982996659853564E-6</c:v>
                </c:pt>
                <c:pt idx="12">
                  <c:v>-6.8982996659853564E-6</c:v>
                </c:pt>
                <c:pt idx="13">
                  <c:v>-6.8982996659853564E-6</c:v>
                </c:pt>
                <c:pt idx="14">
                  <c:v>-6.8982996659853564E-6</c:v>
                </c:pt>
                <c:pt idx="15">
                  <c:v>-6.8982996659853564E-6</c:v>
                </c:pt>
                <c:pt idx="16">
                  <c:v>-6.8982996659853564E-6</c:v>
                </c:pt>
                <c:pt idx="17">
                  <c:v>-6.8982996659853564E-6</c:v>
                </c:pt>
                <c:pt idx="18">
                  <c:v>-6.8982996659853564E-6</c:v>
                </c:pt>
                <c:pt idx="19">
                  <c:v>-6.8982996659853564E-6</c:v>
                </c:pt>
                <c:pt idx="20">
                  <c:v>-3.8155940908638231E-5</c:v>
                </c:pt>
                <c:pt idx="21">
                  <c:v>-3.8155940908638231E-5</c:v>
                </c:pt>
                <c:pt idx="22">
                  <c:v>-3.8155940908638231E-5</c:v>
                </c:pt>
                <c:pt idx="23">
                  <c:v>-3.8155940908638231E-5</c:v>
                </c:pt>
                <c:pt idx="24">
                  <c:v>-5.0874587878184312E-5</c:v>
                </c:pt>
                <c:pt idx="25">
                  <c:v>-5.0874587878184312E-5</c:v>
                </c:pt>
                <c:pt idx="26">
                  <c:v>-5.0874587878184312E-5</c:v>
                </c:pt>
                <c:pt idx="27">
                  <c:v>-5.0874587878184312E-5</c:v>
                </c:pt>
                <c:pt idx="28">
                  <c:v>-2.5437293939092156E-5</c:v>
                </c:pt>
                <c:pt idx="29">
                  <c:v>-2.5437293939092156E-5</c:v>
                </c:pt>
                <c:pt idx="30">
                  <c:v>-2.5437293939092156E-5</c:v>
                </c:pt>
                <c:pt idx="31">
                  <c:v>-2.5437293939092156E-5</c:v>
                </c:pt>
                <c:pt idx="32">
                  <c:v>-3.8155940908638231E-5</c:v>
                </c:pt>
                <c:pt idx="33">
                  <c:v>-3.8155940908638231E-5</c:v>
                </c:pt>
                <c:pt idx="34">
                  <c:v>-3.8155940908638231E-5</c:v>
                </c:pt>
                <c:pt idx="35">
                  <c:v>-3.8155940908638231E-5</c:v>
                </c:pt>
                <c:pt idx="36">
                  <c:v>-2.5437293939092159E-5</c:v>
                </c:pt>
                <c:pt idx="37">
                  <c:v>-2.5437293939092159E-5</c:v>
                </c:pt>
                <c:pt idx="38">
                  <c:v>-2.5437293939092159E-5</c:v>
                </c:pt>
                <c:pt idx="39">
                  <c:v>-2.5437293939092159E-5</c:v>
                </c:pt>
                <c:pt idx="40">
                  <c:v>-9.8813060523915441E-4</c:v>
                </c:pt>
                <c:pt idx="41">
                  <c:v>-9.8813060523915441E-4</c:v>
                </c:pt>
                <c:pt idx="42">
                  <c:v>-9.8813060523915441E-4</c:v>
                </c:pt>
                <c:pt idx="43">
                  <c:v>-7.4109795392936575E-4</c:v>
                </c:pt>
                <c:pt idx="44">
                  <c:v>-7.4109795392936575E-4</c:v>
                </c:pt>
                <c:pt idx="45">
                  <c:v>-7.4109795392936575E-4</c:v>
                </c:pt>
                <c:pt idx="46">
                  <c:v>-3.8819416634395349E-4</c:v>
                </c:pt>
                <c:pt idx="47">
                  <c:v>-3.8819416634395349E-4</c:v>
                </c:pt>
                <c:pt idx="48">
                  <c:v>-3.8819416634395349E-4</c:v>
                </c:pt>
                <c:pt idx="49">
                  <c:v>-6.9675876010453195E-4</c:v>
                </c:pt>
                <c:pt idx="50">
                  <c:v>-6.9675876010453195E-4</c:v>
                </c:pt>
                <c:pt idx="51">
                  <c:v>-6.9675876010453195E-4</c:v>
                </c:pt>
                <c:pt idx="52">
                  <c:v>-5.2837539307926996E-4</c:v>
                </c:pt>
                <c:pt idx="53">
                  <c:v>-5.2837539307926996E-4</c:v>
                </c:pt>
                <c:pt idx="54">
                  <c:v>-5.2837539307926996E-4</c:v>
                </c:pt>
                <c:pt idx="55" formatCode="0.00000">
                  <c:v>-6.8982996659853564E-6</c:v>
                </c:pt>
                <c:pt idx="56">
                  <c:v>-6.8982996659853564E-6</c:v>
                </c:pt>
                <c:pt idx="57">
                  <c:v>-6.8982996659853564E-6</c:v>
                </c:pt>
                <c:pt idx="58">
                  <c:v>-6.8982996659853564E-6</c:v>
                </c:pt>
                <c:pt idx="59">
                  <c:v>-6.8982996659853564E-6</c:v>
                </c:pt>
                <c:pt idx="60" formatCode="General">
                  <c:v>-3.4491498329926788E-5</c:v>
                </c:pt>
                <c:pt idx="61">
                  <c:v>-3.4491498329926788E-5</c:v>
                </c:pt>
                <c:pt idx="62">
                  <c:v>-3.4491498329926788E-5</c:v>
                </c:pt>
                <c:pt idx="63">
                  <c:v>-3.4491498329926788E-5</c:v>
                </c:pt>
                <c:pt idx="64">
                  <c:v>-3.4491498329926788E-5</c:v>
                </c:pt>
                <c:pt idx="65">
                  <c:v>-6.8982996659853564E-6</c:v>
                </c:pt>
                <c:pt idx="66">
                  <c:v>-6.8982996659853564E-6</c:v>
                </c:pt>
                <c:pt idx="67">
                  <c:v>-6.8982996659853564E-6</c:v>
                </c:pt>
                <c:pt idx="68">
                  <c:v>-6.8982996659853564E-6</c:v>
                </c:pt>
                <c:pt idx="69">
                  <c:v>-6.8982996659853564E-6</c:v>
                </c:pt>
                <c:pt idx="70">
                  <c:v>-6.8982996659853564E-6</c:v>
                </c:pt>
                <c:pt idx="71">
                  <c:v>-6.8982996659853564E-6</c:v>
                </c:pt>
                <c:pt idx="72">
                  <c:v>-6.8982996659853564E-6</c:v>
                </c:pt>
                <c:pt idx="73">
                  <c:v>-6.8982996659853564E-6</c:v>
                </c:pt>
                <c:pt idx="74">
                  <c:v>-6.8982996659853564E-6</c:v>
                </c:pt>
                <c:pt idx="75">
                  <c:v>-3.8155940908638231E-5</c:v>
                </c:pt>
                <c:pt idx="76">
                  <c:v>-3.8155940908638231E-5</c:v>
                </c:pt>
                <c:pt idx="77">
                  <c:v>-3.8155940908638231E-5</c:v>
                </c:pt>
                <c:pt idx="78">
                  <c:v>-3.8155940908638231E-5</c:v>
                </c:pt>
                <c:pt idx="79">
                  <c:v>-5.0874587878184312E-5</c:v>
                </c:pt>
                <c:pt idx="80">
                  <c:v>-5.0874587878184312E-5</c:v>
                </c:pt>
                <c:pt idx="81">
                  <c:v>-5.0874587878184312E-5</c:v>
                </c:pt>
                <c:pt idx="82">
                  <c:v>-5.0874587878184312E-5</c:v>
                </c:pt>
                <c:pt idx="83">
                  <c:v>-2.5437293939092156E-5</c:v>
                </c:pt>
                <c:pt idx="84">
                  <c:v>-2.5437293939092156E-5</c:v>
                </c:pt>
                <c:pt idx="85">
                  <c:v>-2.5437293939092156E-5</c:v>
                </c:pt>
                <c:pt idx="86">
                  <c:v>-2.5437293939092156E-5</c:v>
                </c:pt>
                <c:pt idx="87">
                  <c:v>-3.8155940908638231E-5</c:v>
                </c:pt>
                <c:pt idx="88">
                  <c:v>-3.8155940908638231E-5</c:v>
                </c:pt>
                <c:pt idx="89">
                  <c:v>-3.8155940908638231E-5</c:v>
                </c:pt>
                <c:pt idx="90">
                  <c:v>-3.8155940908638231E-5</c:v>
                </c:pt>
                <c:pt idx="91">
                  <c:v>-2.5437293939092159E-5</c:v>
                </c:pt>
                <c:pt idx="92">
                  <c:v>-2.5437293939092159E-5</c:v>
                </c:pt>
                <c:pt idx="93">
                  <c:v>-2.5437293939092159E-5</c:v>
                </c:pt>
                <c:pt idx="94">
                  <c:v>-2.5437293939092159E-5</c:v>
                </c:pt>
                <c:pt idx="95">
                  <c:v>-9.8813060523915441E-4</c:v>
                </c:pt>
                <c:pt idx="96">
                  <c:v>-9.8813060523915441E-4</c:v>
                </c:pt>
                <c:pt idx="97">
                  <c:v>-9.8813060523915441E-4</c:v>
                </c:pt>
                <c:pt idx="98">
                  <c:v>-7.4109795392936575E-4</c:v>
                </c:pt>
                <c:pt idx="99">
                  <c:v>-7.4109795392936575E-4</c:v>
                </c:pt>
                <c:pt idx="100">
                  <c:v>-7.4109795392936575E-4</c:v>
                </c:pt>
                <c:pt idx="101">
                  <c:v>-3.8819416634395349E-4</c:v>
                </c:pt>
                <c:pt idx="102">
                  <c:v>-3.8819416634395349E-4</c:v>
                </c:pt>
                <c:pt idx="103">
                  <c:v>-3.8819416634395349E-4</c:v>
                </c:pt>
                <c:pt idx="104">
                  <c:v>-6.9675876010453195E-4</c:v>
                </c:pt>
                <c:pt idx="105">
                  <c:v>-6.9675876010453195E-4</c:v>
                </c:pt>
                <c:pt idx="106">
                  <c:v>-6.9675876010453195E-4</c:v>
                </c:pt>
                <c:pt idx="107">
                  <c:v>-5.2837539307926996E-4</c:v>
                </c:pt>
                <c:pt idx="108">
                  <c:v>-5.2837539307926996E-4</c:v>
                </c:pt>
                <c:pt idx="109">
                  <c:v>-5.2837539307926996E-4</c:v>
                </c:pt>
                <c:pt idx="110" formatCode="0.00000">
                  <c:v>-6.8982996659853564E-6</c:v>
                </c:pt>
                <c:pt idx="111">
                  <c:v>-6.8982996659853564E-6</c:v>
                </c:pt>
                <c:pt idx="112">
                  <c:v>-6.8982996659853564E-6</c:v>
                </c:pt>
                <c:pt idx="113">
                  <c:v>-6.8982996659853564E-6</c:v>
                </c:pt>
                <c:pt idx="114">
                  <c:v>-6.8982996659853564E-6</c:v>
                </c:pt>
                <c:pt idx="115" formatCode="General">
                  <c:v>-3.4491498329926788E-5</c:v>
                </c:pt>
                <c:pt idx="116">
                  <c:v>-3.4491498329926788E-5</c:v>
                </c:pt>
                <c:pt idx="117">
                  <c:v>-3.4491498329926788E-5</c:v>
                </c:pt>
                <c:pt idx="118">
                  <c:v>-3.4491498329926788E-5</c:v>
                </c:pt>
                <c:pt idx="119">
                  <c:v>-3.4491498329926788E-5</c:v>
                </c:pt>
                <c:pt idx="120">
                  <c:v>-6.8982996659853564E-6</c:v>
                </c:pt>
                <c:pt idx="121">
                  <c:v>-6.8982996659853564E-6</c:v>
                </c:pt>
                <c:pt idx="122">
                  <c:v>-6.8982996659853564E-6</c:v>
                </c:pt>
                <c:pt idx="123">
                  <c:v>-6.8982996659853564E-6</c:v>
                </c:pt>
                <c:pt idx="124">
                  <c:v>-6.8982996659853564E-6</c:v>
                </c:pt>
                <c:pt idx="125">
                  <c:v>-6.8982996659853564E-6</c:v>
                </c:pt>
                <c:pt idx="126">
                  <c:v>-6.8982996659853564E-6</c:v>
                </c:pt>
                <c:pt idx="127">
                  <c:v>-6.8982996659853564E-6</c:v>
                </c:pt>
                <c:pt idx="128">
                  <c:v>-6.8982996659853564E-6</c:v>
                </c:pt>
                <c:pt idx="129">
                  <c:v>-6.8982996659853564E-6</c:v>
                </c:pt>
                <c:pt idx="130">
                  <c:v>-3.8155940908638231E-5</c:v>
                </c:pt>
                <c:pt idx="131">
                  <c:v>-3.8155940908638231E-5</c:v>
                </c:pt>
                <c:pt idx="132">
                  <c:v>-3.8155940908638231E-5</c:v>
                </c:pt>
                <c:pt idx="133">
                  <c:v>-3.8155940908638231E-5</c:v>
                </c:pt>
                <c:pt idx="134">
                  <c:v>-5.0874587878184312E-5</c:v>
                </c:pt>
                <c:pt idx="135">
                  <c:v>-5.0874587878184312E-5</c:v>
                </c:pt>
                <c:pt idx="136">
                  <c:v>-5.0874587878184312E-5</c:v>
                </c:pt>
                <c:pt idx="137">
                  <c:v>-5.0874587878184312E-5</c:v>
                </c:pt>
                <c:pt idx="138">
                  <c:v>-2.5437293939092156E-5</c:v>
                </c:pt>
                <c:pt idx="139">
                  <c:v>-2.5437293939092156E-5</c:v>
                </c:pt>
                <c:pt idx="140">
                  <c:v>-2.5437293939092156E-5</c:v>
                </c:pt>
                <c:pt idx="141">
                  <c:v>-2.5437293939092156E-5</c:v>
                </c:pt>
                <c:pt idx="142">
                  <c:v>-3.8155940908638231E-5</c:v>
                </c:pt>
                <c:pt idx="143">
                  <c:v>-3.8155940908638231E-5</c:v>
                </c:pt>
                <c:pt idx="144">
                  <c:v>-3.8155940908638231E-5</c:v>
                </c:pt>
                <c:pt idx="145">
                  <c:v>-3.8155940908638231E-5</c:v>
                </c:pt>
                <c:pt idx="146">
                  <c:v>-2.5437293939092159E-5</c:v>
                </c:pt>
                <c:pt idx="147">
                  <c:v>-2.5437293939092159E-5</c:v>
                </c:pt>
                <c:pt idx="148">
                  <c:v>-2.5437293939092159E-5</c:v>
                </c:pt>
                <c:pt idx="149">
                  <c:v>-2.5437293939092159E-5</c:v>
                </c:pt>
                <c:pt idx="150">
                  <c:v>-9.8813060523915441E-4</c:v>
                </c:pt>
                <c:pt idx="151">
                  <c:v>-9.8813060523915441E-4</c:v>
                </c:pt>
                <c:pt idx="152">
                  <c:v>-9.8813060523915441E-4</c:v>
                </c:pt>
                <c:pt idx="153">
                  <c:v>-7.4109795392936575E-4</c:v>
                </c:pt>
                <c:pt idx="154">
                  <c:v>-7.4109795392936575E-4</c:v>
                </c:pt>
                <c:pt idx="155">
                  <c:v>-7.4109795392936575E-4</c:v>
                </c:pt>
                <c:pt idx="156">
                  <c:v>-3.8819416634395349E-4</c:v>
                </c:pt>
                <c:pt idx="157">
                  <c:v>-3.8819416634395349E-4</c:v>
                </c:pt>
              </c:numCache>
            </c:numRef>
          </c:val>
          <c:extLst>
            <c:ext xmlns:c16="http://schemas.microsoft.com/office/drawing/2014/chart" uri="{C3380CC4-5D6E-409C-BE32-E72D297353CC}">
              <c16:uniqueId val="{00000003-F9C0-40FC-B5F5-8B7C4578ACB4}"/>
            </c:ext>
          </c:extLst>
        </c:ser>
        <c:ser>
          <c:idx val="4"/>
          <c:order val="4"/>
          <c:tx>
            <c:strRef>
              <c:f>FIGURES!$A$10</c:f>
              <c:strCache>
                <c:ptCount val="1"/>
                <c:pt idx="0">
                  <c:v>Opex fix (admin, crew, insurance)</c:v>
                </c:pt>
              </c:strCache>
            </c:strRef>
          </c:tx>
          <c:spPr>
            <a:solidFill>
              <a:schemeClr val="accent5"/>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FIGURES!$B$10:$FC$10</c:f>
              <c:numCache>
                <c:formatCode>0.00</c:formatCode>
                <c:ptCount val="158"/>
                <c:pt idx="0" formatCode="0.00000">
                  <c:v>1.0654632223259673E-3</c:v>
                </c:pt>
                <c:pt idx="1">
                  <c:v>1.0654632223259673E-3</c:v>
                </c:pt>
                <c:pt idx="2">
                  <c:v>1.0654632223259673E-3</c:v>
                </c:pt>
                <c:pt idx="3">
                  <c:v>1.0654632223259673E-3</c:v>
                </c:pt>
                <c:pt idx="4">
                  <c:v>1.0654632223259673E-3</c:v>
                </c:pt>
                <c:pt idx="5" formatCode="General">
                  <c:v>1.0654632223259673E-3</c:v>
                </c:pt>
                <c:pt idx="6">
                  <c:v>1.0654632223259673E-3</c:v>
                </c:pt>
                <c:pt idx="7">
                  <c:v>1.0654632223259673E-3</c:v>
                </c:pt>
                <c:pt idx="8">
                  <c:v>1.0654632223259673E-3</c:v>
                </c:pt>
                <c:pt idx="9">
                  <c:v>1.0654632223259673E-3</c:v>
                </c:pt>
                <c:pt idx="10">
                  <c:v>1.0654632223259673E-3</c:v>
                </c:pt>
                <c:pt idx="11">
                  <c:v>1.0654632223259673E-3</c:v>
                </c:pt>
                <c:pt idx="12">
                  <c:v>1.0654632223259673E-3</c:v>
                </c:pt>
                <c:pt idx="13">
                  <c:v>1.0654632223259673E-3</c:v>
                </c:pt>
                <c:pt idx="14">
                  <c:v>1.0654632223259673E-3</c:v>
                </c:pt>
                <c:pt idx="15">
                  <c:v>1.0654632223259673E-3</c:v>
                </c:pt>
                <c:pt idx="16">
                  <c:v>1.0654632223259673E-3</c:v>
                </c:pt>
                <c:pt idx="17">
                  <c:v>1.0654632223259673E-3</c:v>
                </c:pt>
                <c:pt idx="18">
                  <c:v>1.0654632223259673E-3</c:v>
                </c:pt>
                <c:pt idx="19">
                  <c:v>1.0654632223259673E-3</c:v>
                </c:pt>
                <c:pt idx="20">
                  <c:v>1.6256502601040416E-3</c:v>
                </c:pt>
                <c:pt idx="21">
                  <c:v>1.6256502601040416E-3</c:v>
                </c:pt>
                <c:pt idx="22">
                  <c:v>1.6256502601040416E-3</c:v>
                </c:pt>
                <c:pt idx="23">
                  <c:v>1.6256502601040416E-3</c:v>
                </c:pt>
                <c:pt idx="24">
                  <c:v>1.5506202480992397E-3</c:v>
                </c:pt>
                <c:pt idx="25">
                  <c:v>1.5506202480992397E-3</c:v>
                </c:pt>
                <c:pt idx="26">
                  <c:v>1.5506202480992397E-3</c:v>
                </c:pt>
                <c:pt idx="27">
                  <c:v>1.5506202480992397E-3</c:v>
                </c:pt>
                <c:pt idx="28">
                  <c:v>1.525610244097639E-3</c:v>
                </c:pt>
                <c:pt idx="29">
                  <c:v>1.525610244097639E-3</c:v>
                </c:pt>
                <c:pt idx="30">
                  <c:v>1.525610244097639E-3</c:v>
                </c:pt>
                <c:pt idx="31">
                  <c:v>1.525610244097639E-3</c:v>
                </c:pt>
                <c:pt idx="32">
                  <c:v>3.6264505802320927E-3</c:v>
                </c:pt>
                <c:pt idx="33">
                  <c:v>3.6264505802320927E-3</c:v>
                </c:pt>
                <c:pt idx="34">
                  <c:v>3.6264505802320927E-3</c:v>
                </c:pt>
                <c:pt idx="35">
                  <c:v>3.6264505802320927E-3</c:v>
                </c:pt>
                <c:pt idx="36">
                  <c:v>1.3005202080832333E-3</c:v>
                </c:pt>
                <c:pt idx="37">
                  <c:v>1.3005202080832333E-3</c:v>
                </c:pt>
                <c:pt idx="38">
                  <c:v>1.3005202080832333E-3</c:v>
                </c:pt>
                <c:pt idx="39">
                  <c:v>1.3005202080832333E-3</c:v>
                </c:pt>
                <c:pt idx="40">
                  <c:v>5.0909090909090911E-2</c:v>
                </c:pt>
                <c:pt idx="41">
                  <c:v>5.0909090909090911E-2</c:v>
                </c:pt>
                <c:pt idx="42">
                  <c:v>5.0909090909090911E-2</c:v>
                </c:pt>
                <c:pt idx="43">
                  <c:v>2.5454545454545455E-2</c:v>
                </c:pt>
                <c:pt idx="44">
                  <c:v>2.5454545454545455E-2</c:v>
                </c:pt>
                <c:pt idx="45">
                  <c:v>2.5454545454545455E-2</c:v>
                </c:pt>
                <c:pt idx="46">
                  <c:v>2.6666666666666665E-2</c:v>
                </c:pt>
                <c:pt idx="47">
                  <c:v>2.6666666666666665E-2</c:v>
                </c:pt>
                <c:pt idx="48">
                  <c:v>2.6666666666666665E-2</c:v>
                </c:pt>
                <c:pt idx="49">
                  <c:v>3.5897435897435902E-2</c:v>
                </c:pt>
                <c:pt idx="50">
                  <c:v>3.5897435897435902E-2</c:v>
                </c:pt>
                <c:pt idx="51">
                  <c:v>3.5897435897435902E-2</c:v>
                </c:pt>
                <c:pt idx="52">
                  <c:v>3.111111111111111E-2</c:v>
                </c:pt>
                <c:pt idx="53">
                  <c:v>3.111111111111111E-2</c:v>
                </c:pt>
                <c:pt idx="54">
                  <c:v>3.111111111111111E-2</c:v>
                </c:pt>
                <c:pt idx="55" formatCode="0.00000">
                  <c:v>1.0654632223259673E-3</c:v>
                </c:pt>
                <c:pt idx="56">
                  <c:v>1.0654632223259673E-3</c:v>
                </c:pt>
                <c:pt idx="57">
                  <c:v>1.0654632223259673E-3</c:v>
                </c:pt>
                <c:pt idx="58">
                  <c:v>1.0654632223259673E-3</c:v>
                </c:pt>
                <c:pt idx="59">
                  <c:v>1.0654632223259673E-3</c:v>
                </c:pt>
                <c:pt idx="60" formatCode="General">
                  <c:v>1.0654632223259673E-3</c:v>
                </c:pt>
                <c:pt idx="61">
                  <c:v>1.0654632223259673E-3</c:v>
                </c:pt>
                <c:pt idx="62">
                  <c:v>1.0654632223259673E-3</c:v>
                </c:pt>
                <c:pt idx="63">
                  <c:v>1.0654632223259673E-3</c:v>
                </c:pt>
                <c:pt idx="64">
                  <c:v>1.0654632223259673E-3</c:v>
                </c:pt>
                <c:pt idx="65">
                  <c:v>1.0654632223259673E-3</c:v>
                </c:pt>
                <c:pt idx="66">
                  <c:v>1.0654632223259673E-3</c:v>
                </c:pt>
                <c:pt idx="67">
                  <c:v>1.0654632223259673E-3</c:v>
                </c:pt>
                <c:pt idx="68">
                  <c:v>1.0654632223259673E-3</c:v>
                </c:pt>
                <c:pt idx="69">
                  <c:v>1.0654632223259673E-3</c:v>
                </c:pt>
                <c:pt idx="70">
                  <c:v>1.0654632223259673E-3</c:v>
                </c:pt>
                <c:pt idx="71">
                  <c:v>1.0654632223259673E-3</c:v>
                </c:pt>
                <c:pt idx="72">
                  <c:v>1.0654632223259673E-3</c:v>
                </c:pt>
                <c:pt idx="73">
                  <c:v>1.0654632223259673E-3</c:v>
                </c:pt>
                <c:pt idx="74">
                  <c:v>1.0654632223259673E-3</c:v>
                </c:pt>
                <c:pt idx="75">
                  <c:v>1.6256502601040416E-3</c:v>
                </c:pt>
                <c:pt idx="76">
                  <c:v>1.6256502601040416E-3</c:v>
                </c:pt>
                <c:pt idx="77">
                  <c:v>1.6256502601040416E-3</c:v>
                </c:pt>
                <c:pt idx="78">
                  <c:v>1.6256502601040416E-3</c:v>
                </c:pt>
                <c:pt idx="79">
                  <c:v>1.5506202480992397E-3</c:v>
                </c:pt>
                <c:pt idx="80">
                  <c:v>1.5506202480992397E-3</c:v>
                </c:pt>
                <c:pt idx="81">
                  <c:v>1.5506202480992397E-3</c:v>
                </c:pt>
                <c:pt idx="82">
                  <c:v>1.5506202480992397E-3</c:v>
                </c:pt>
                <c:pt idx="83">
                  <c:v>1.525610244097639E-3</c:v>
                </c:pt>
                <c:pt idx="84">
                  <c:v>1.525610244097639E-3</c:v>
                </c:pt>
                <c:pt idx="85">
                  <c:v>1.525610244097639E-3</c:v>
                </c:pt>
                <c:pt idx="86">
                  <c:v>1.525610244097639E-3</c:v>
                </c:pt>
                <c:pt idx="87">
                  <c:v>3.6264505802320927E-3</c:v>
                </c:pt>
                <c:pt idx="88">
                  <c:v>3.6264505802320927E-3</c:v>
                </c:pt>
                <c:pt idx="89">
                  <c:v>3.6264505802320927E-3</c:v>
                </c:pt>
                <c:pt idx="90">
                  <c:v>3.6264505802320927E-3</c:v>
                </c:pt>
                <c:pt idx="91">
                  <c:v>1.3005202080832333E-3</c:v>
                </c:pt>
                <c:pt idx="92">
                  <c:v>1.3005202080832333E-3</c:v>
                </c:pt>
                <c:pt idx="93">
                  <c:v>1.3005202080832333E-3</c:v>
                </c:pt>
                <c:pt idx="94">
                  <c:v>1.3005202080832333E-3</c:v>
                </c:pt>
                <c:pt idx="95">
                  <c:v>5.0909090909090911E-2</c:v>
                </c:pt>
                <c:pt idx="96">
                  <c:v>5.0909090909090911E-2</c:v>
                </c:pt>
                <c:pt idx="97">
                  <c:v>5.0909090909090911E-2</c:v>
                </c:pt>
                <c:pt idx="98">
                  <c:v>2.5454545454545455E-2</c:v>
                </c:pt>
                <c:pt idx="99">
                  <c:v>2.5454545454545455E-2</c:v>
                </c:pt>
                <c:pt idx="100">
                  <c:v>2.5454545454545455E-2</c:v>
                </c:pt>
                <c:pt idx="101">
                  <c:v>2.6666666666666665E-2</c:v>
                </c:pt>
                <c:pt idx="102">
                  <c:v>2.6666666666666665E-2</c:v>
                </c:pt>
                <c:pt idx="103">
                  <c:v>2.6666666666666665E-2</c:v>
                </c:pt>
                <c:pt idx="104">
                  <c:v>3.5897435897435902E-2</c:v>
                </c:pt>
                <c:pt idx="105">
                  <c:v>3.5897435897435902E-2</c:v>
                </c:pt>
                <c:pt idx="106">
                  <c:v>3.5897435897435902E-2</c:v>
                </c:pt>
                <c:pt idx="107">
                  <c:v>3.111111111111111E-2</c:v>
                </c:pt>
                <c:pt idx="108">
                  <c:v>3.111111111111111E-2</c:v>
                </c:pt>
                <c:pt idx="109">
                  <c:v>3.111111111111111E-2</c:v>
                </c:pt>
                <c:pt idx="110" formatCode="0.00000">
                  <c:v>1.0654632223259673E-3</c:v>
                </c:pt>
                <c:pt idx="111">
                  <c:v>1.0654632223259673E-3</c:v>
                </c:pt>
                <c:pt idx="112">
                  <c:v>1.0654632223259673E-3</c:v>
                </c:pt>
                <c:pt idx="113">
                  <c:v>1.0654632223259673E-3</c:v>
                </c:pt>
                <c:pt idx="114">
                  <c:v>1.0654632223259673E-3</c:v>
                </c:pt>
                <c:pt idx="115" formatCode="General">
                  <c:v>1.0654632223259673E-3</c:v>
                </c:pt>
                <c:pt idx="116">
                  <c:v>1.0654632223259673E-3</c:v>
                </c:pt>
                <c:pt idx="117">
                  <c:v>1.0654632223259673E-3</c:v>
                </c:pt>
                <c:pt idx="118">
                  <c:v>1.0654632223259673E-3</c:v>
                </c:pt>
                <c:pt idx="119">
                  <c:v>1.0654632223259673E-3</c:v>
                </c:pt>
                <c:pt idx="120">
                  <c:v>1.0654632223259673E-3</c:v>
                </c:pt>
                <c:pt idx="121">
                  <c:v>1.0654632223259673E-3</c:v>
                </c:pt>
                <c:pt idx="122">
                  <c:v>1.0654632223259673E-3</c:v>
                </c:pt>
                <c:pt idx="123">
                  <c:v>1.0654632223259673E-3</c:v>
                </c:pt>
                <c:pt idx="124">
                  <c:v>1.0654632223259673E-3</c:v>
                </c:pt>
                <c:pt idx="125">
                  <c:v>1.0654632223259673E-3</c:v>
                </c:pt>
                <c:pt idx="126">
                  <c:v>1.0654632223259673E-3</c:v>
                </c:pt>
                <c:pt idx="127">
                  <c:v>1.0654632223259673E-3</c:v>
                </c:pt>
                <c:pt idx="128">
                  <c:v>1.0654632223259673E-3</c:v>
                </c:pt>
                <c:pt idx="129">
                  <c:v>1.0654632223259673E-3</c:v>
                </c:pt>
                <c:pt idx="130">
                  <c:v>1.6256502601040416E-3</c:v>
                </c:pt>
                <c:pt idx="131">
                  <c:v>1.6256502601040416E-3</c:v>
                </c:pt>
                <c:pt idx="132">
                  <c:v>1.6256502601040416E-3</c:v>
                </c:pt>
                <c:pt idx="133">
                  <c:v>1.6256502601040416E-3</c:v>
                </c:pt>
                <c:pt idx="134">
                  <c:v>1.5506202480992397E-3</c:v>
                </c:pt>
                <c:pt idx="135">
                  <c:v>1.5506202480992397E-3</c:v>
                </c:pt>
                <c:pt idx="136">
                  <c:v>1.5506202480992397E-3</c:v>
                </c:pt>
                <c:pt idx="137">
                  <c:v>1.5506202480992397E-3</c:v>
                </c:pt>
                <c:pt idx="138">
                  <c:v>1.525610244097639E-3</c:v>
                </c:pt>
                <c:pt idx="139">
                  <c:v>1.525610244097639E-3</c:v>
                </c:pt>
                <c:pt idx="140">
                  <c:v>1.525610244097639E-3</c:v>
                </c:pt>
                <c:pt idx="141">
                  <c:v>1.525610244097639E-3</c:v>
                </c:pt>
                <c:pt idx="142">
                  <c:v>3.6264505802320927E-3</c:v>
                </c:pt>
                <c:pt idx="143">
                  <c:v>3.6264505802320927E-3</c:v>
                </c:pt>
                <c:pt idx="144">
                  <c:v>3.6264505802320927E-3</c:v>
                </c:pt>
                <c:pt idx="145">
                  <c:v>3.6264505802320927E-3</c:v>
                </c:pt>
                <c:pt idx="146">
                  <c:v>1.3005202080832333E-3</c:v>
                </c:pt>
                <c:pt idx="147">
                  <c:v>1.3005202080832333E-3</c:v>
                </c:pt>
                <c:pt idx="148">
                  <c:v>1.3005202080832333E-3</c:v>
                </c:pt>
                <c:pt idx="149">
                  <c:v>1.3005202080832333E-3</c:v>
                </c:pt>
                <c:pt idx="150">
                  <c:v>5.0909090909090911E-2</c:v>
                </c:pt>
                <c:pt idx="151">
                  <c:v>5.0909090909090911E-2</c:v>
                </c:pt>
                <c:pt idx="152">
                  <c:v>5.0909090909090911E-2</c:v>
                </c:pt>
                <c:pt idx="153">
                  <c:v>2.5454545454545455E-2</c:v>
                </c:pt>
                <c:pt idx="154">
                  <c:v>2.5454545454545455E-2</c:v>
                </c:pt>
                <c:pt idx="155">
                  <c:v>2.5454545454545455E-2</c:v>
                </c:pt>
                <c:pt idx="156">
                  <c:v>2.6666666666666665E-2</c:v>
                </c:pt>
                <c:pt idx="157">
                  <c:v>2.6666666666666665E-2</c:v>
                </c:pt>
              </c:numCache>
            </c:numRef>
          </c:val>
          <c:extLst>
            <c:ext xmlns:c16="http://schemas.microsoft.com/office/drawing/2014/chart" uri="{C3380CC4-5D6E-409C-BE32-E72D297353CC}">
              <c16:uniqueId val="{00000004-F9C0-40FC-B5F5-8B7C4578ACB4}"/>
            </c:ext>
          </c:extLst>
        </c:ser>
        <c:ser>
          <c:idx val="5"/>
          <c:order val="5"/>
          <c:tx>
            <c:strRef>
              <c:f>FIGURES!$A$11</c:f>
              <c:strCache>
                <c:ptCount val="1"/>
                <c:pt idx="0">
                  <c:v>Opex maintenance &amp; repair</c:v>
                </c:pt>
              </c:strCache>
            </c:strRef>
          </c:tx>
          <c:spPr>
            <a:solidFill>
              <a:schemeClr val="accent6"/>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FIGURES!$B$11:$FC$11</c:f>
              <c:numCache>
                <c:formatCode>0.00</c:formatCode>
                <c:ptCount val="158"/>
                <c:pt idx="0" formatCode="0.00000">
                  <c:v>4.305425874053325E-4</c:v>
                </c:pt>
                <c:pt idx="1">
                  <c:v>4.305425874053325E-4</c:v>
                </c:pt>
                <c:pt idx="2">
                  <c:v>2.9878618113912231E-4</c:v>
                </c:pt>
                <c:pt idx="3">
                  <c:v>2.9878618113912231E-4</c:v>
                </c:pt>
                <c:pt idx="4">
                  <c:v>4.305425874053325E-4</c:v>
                </c:pt>
                <c:pt idx="5" formatCode="General">
                  <c:v>4.305425874053325E-4</c:v>
                </c:pt>
                <c:pt idx="6">
                  <c:v>4.305425874053325E-4</c:v>
                </c:pt>
                <c:pt idx="7">
                  <c:v>2.9878618113912231E-4</c:v>
                </c:pt>
                <c:pt idx="8">
                  <c:v>2.9878618113912231E-4</c:v>
                </c:pt>
                <c:pt idx="9">
                  <c:v>4.305425874053325E-4</c:v>
                </c:pt>
                <c:pt idx="10">
                  <c:v>4.305425874053325E-4</c:v>
                </c:pt>
                <c:pt idx="11">
                  <c:v>4.305425874053325E-4</c:v>
                </c:pt>
                <c:pt idx="12">
                  <c:v>2.9878618113912231E-4</c:v>
                </c:pt>
                <c:pt idx="13">
                  <c:v>2.9878618113912231E-4</c:v>
                </c:pt>
                <c:pt idx="14">
                  <c:v>4.305425874053325E-4</c:v>
                </c:pt>
                <c:pt idx="15">
                  <c:v>4.305425874053325E-4</c:v>
                </c:pt>
                <c:pt idx="16">
                  <c:v>4.305425874053325E-4</c:v>
                </c:pt>
                <c:pt idx="17">
                  <c:v>2.9878618113912231E-4</c:v>
                </c:pt>
                <c:pt idx="18">
                  <c:v>2.9878618113912231E-4</c:v>
                </c:pt>
                <c:pt idx="19">
                  <c:v>4.305425874053325E-4</c:v>
                </c:pt>
                <c:pt idx="20">
                  <c:v>2.6260504201680674E-3</c:v>
                </c:pt>
                <c:pt idx="21">
                  <c:v>1.6256502601040416E-3</c:v>
                </c:pt>
                <c:pt idx="22">
                  <c:v>3.235203975384487E-3</c:v>
                </c:pt>
                <c:pt idx="23">
                  <c:v>3.4736649752972778E-3</c:v>
                </c:pt>
                <c:pt idx="24">
                  <c:v>2.6260504201680674E-3</c:v>
                </c:pt>
                <c:pt idx="25">
                  <c:v>1.6256502601040416E-3</c:v>
                </c:pt>
                <c:pt idx="26">
                  <c:v>3.235203975384487E-3</c:v>
                </c:pt>
                <c:pt idx="27">
                  <c:v>3.4736649752972778E-3</c:v>
                </c:pt>
                <c:pt idx="28">
                  <c:v>2.6260504201680674E-3</c:v>
                </c:pt>
                <c:pt idx="29">
                  <c:v>1.6256502601040416E-3</c:v>
                </c:pt>
                <c:pt idx="30">
                  <c:v>3.235203975384487E-3</c:v>
                </c:pt>
                <c:pt idx="31">
                  <c:v>3.4736649752972778E-3</c:v>
                </c:pt>
                <c:pt idx="32">
                  <c:v>2.6260504201680674E-3</c:v>
                </c:pt>
                <c:pt idx="33">
                  <c:v>1.6256502601040416E-3</c:v>
                </c:pt>
                <c:pt idx="34">
                  <c:v>3.235203975384487E-3</c:v>
                </c:pt>
                <c:pt idx="35">
                  <c:v>3.4736649752972778E-3</c:v>
                </c:pt>
                <c:pt idx="36">
                  <c:v>2.1008403361344541E-3</c:v>
                </c:pt>
                <c:pt idx="37">
                  <c:v>1.3005202080832333E-3</c:v>
                </c:pt>
                <c:pt idx="38">
                  <c:v>2.5881631803075897E-3</c:v>
                </c:pt>
                <c:pt idx="39">
                  <c:v>2.7789319802378224E-3</c:v>
                </c:pt>
                <c:pt idx="40">
                  <c:v>1.4545454545454545E-2</c:v>
                </c:pt>
                <c:pt idx="41">
                  <c:v>1.0909090909090908E-2</c:v>
                </c:pt>
                <c:pt idx="42">
                  <c:v>1.868668998758358E-2</c:v>
                </c:pt>
                <c:pt idx="43">
                  <c:v>7.2727272727272727E-3</c:v>
                </c:pt>
                <c:pt idx="44">
                  <c:v>5.4545454545454541E-3</c:v>
                </c:pt>
                <c:pt idx="45">
                  <c:v>9.3433449937917901E-3</c:v>
                </c:pt>
                <c:pt idx="46">
                  <c:v>7.619047619047619E-3</c:v>
                </c:pt>
                <c:pt idx="47">
                  <c:v>5.7142857142857143E-3</c:v>
                </c:pt>
                <c:pt idx="48">
                  <c:v>9.7882661839723516E-3</c:v>
                </c:pt>
                <c:pt idx="49">
                  <c:v>1.0256410256410255E-2</c:v>
                </c:pt>
                <c:pt idx="50">
                  <c:v>7.6923076923076927E-3</c:v>
                </c:pt>
                <c:pt idx="51">
                  <c:v>1.3176512170732011E-2</c:v>
                </c:pt>
                <c:pt idx="52">
                  <c:v>8.8888888888888889E-3</c:v>
                </c:pt>
                <c:pt idx="53">
                  <c:v>6.6666666666666662E-3</c:v>
                </c:pt>
                <c:pt idx="54">
                  <c:v>1.1419643881301077E-2</c:v>
                </c:pt>
                <c:pt idx="55" formatCode="0.00000">
                  <c:v>4.305425874053325E-4</c:v>
                </c:pt>
                <c:pt idx="56">
                  <c:v>4.305425874053325E-4</c:v>
                </c:pt>
                <c:pt idx="57">
                  <c:v>2.9878618113912231E-4</c:v>
                </c:pt>
                <c:pt idx="58">
                  <c:v>2.9878618113912231E-4</c:v>
                </c:pt>
                <c:pt idx="59">
                  <c:v>4.305425874053325E-4</c:v>
                </c:pt>
                <c:pt idx="60" formatCode="General">
                  <c:v>4.305425874053325E-4</c:v>
                </c:pt>
                <c:pt idx="61">
                  <c:v>4.305425874053325E-4</c:v>
                </c:pt>
                <c:pt idx="62">
                  <c:v>2.9878618113912231E-4</c:v>
                </c:pt>
                <c:pt idx="63">
                  <c:v>2.9878618113912231E-4</c:v>
                </c:pt>
                <c:pt idx="64">
                  <c:v>4.305425874053325E-4</c:v>
                </c:pt>
                <c:pt idx="65">
                  <c:v>4.305425874053325E-4</c:v>
                </c:pt>
                <c:pt idx="66">
                  <c:v>4.305425874053325E-4</c:v>
                </c:pt>
                <c:pt idx="67">
                  <c:v>2.9878618113912231E-4</c:v>
                </c:pt>
                <c:pt idx="68">
                  <c:v>2.9878618113912231E-4</c:v>
                </c:pt>
                <c:pt idx="69">
                  <c:v>4.305425874053325E-4</c:v>
                </c:pt>
                <c:pt idx="70">
                  <c:v>4.305425874053325E-4</c:v>
                </c:pt>
                <c:pt idx="71">
                  <c:v>4.305425874053325E-4</c:v>
                </c:pt>
                <c:pt idx="72">
                  <c:v>2.9878618113912231E-4</c:v>
                </c:pt>
                <c:pt idx="73">
                  <c:v>2.9878618113912231E-4</c:v>
                </c:pt>
                <c:pt idx="74">
                  <c:v>4.305425874053325E-4</c:v>
                </c:pt>
                <c:pt idx="75">
                  <c:v>2.6260504201680674E-3</c:v>
                </c:pt>
                <c:pt idx="76">
                  <c:v>1.6256502601040416E-3</c:v>
                </c:pt>
                <c:pt idx="77">
                  <c:v>2.7152291126929309E-3</c:v>
                </c:pt>
                <c:pt idx="78">
                  <c:v>2.5777082888133671E-3</c:v>
                </c:pt>
                <c:pt idx="79">
                  <c:v>2.6260504201680674E-3</c:v>
                </c:pt>
                <c:pt idx="80">
                  <c:v>1.6256502601040416E-3</c:v>
                </c:pt>
                <c:pt idx="81">
                  <c:v>2.7152291126929309E-3</c:v>
                </c:pt>
                <c:pt idx="82">
                  <c:v>2.5777082888133671E-3</c:v>
                </c:pt>
                <c:pt idx="83">
                  <c:v>2.6260504201680674E-3</c:v>
                </c:pt>
                <c:pt idx="84">
                  <c:v>1.6256502601040416E-3</c:v>
                </c:pt>
                <c:pt idx="85">
                  <c:v>2.7152291126929309E-3</c:v>
                </c:pt>
                <c:pt idx="86">
                  <c:v>2.5777082888133671E-3</c:v>
                </c:pt>
                <c:pt idx="87">
                  <c:v>2.6260504201680674E-3</c:v>
                </c:pt>
                <c:pt idx="88">
                  <c:v>1.6256502601040416E-3</c:v>
                </c:pt>
                <c:pt idx="89">
                  <c:v>2.7152291126929309E-3</c:v>
                </c:pt>
                <c:pt idx="90">
                  <c:v>2.5777082888133671E-3</c:v>
                </c:pt>
                <c:pt idx="91">
                  <c:v>2.1008403361344541E-3</c:v>
                </c:pt>
                <c:pt idx="92">
                  <c:v>1.3005202080832333E-3</c:v>
                </c:pt>
                <c:pt idx="93">
                  <c:v>2.1721832901543448E-3</c:v>
                </c:pt>
                <c:pt idx="94">
                  <c:v>2.0621666310506933E-3</c:v>
                </c:pt>
                <c:pt idx="95">
                  <c:v>1.4545454545454545E-2</c:v>
                </c:pt>
                <c:pt idx="96">
                  <c:v>1.0909090909090908E-2</c:v>
                </c:pt>
                <c:pt idx="97">
                  <c:v>1.474292064798436E-2</c:v>
                </c:pt>
                <c:pt idx="98">
                  <c:v>7.2727272727272727E-3</c:v>
                </c:pt>
                <c:pt idx="99">
                  <c:v>5.4545454545454541E-3</c:v>
                </c:pt>
                <c:pt idx="100">
                  <c:v>7.3714603239921801E-3</c:v>
                </c:pt>
                <c:pt idx="101">
                  <c:v>7.619047619047619E-3</c:v>
                </c:pt>
                <c:pt idx="102">
                  <c:v>5.7142857142857143E-3</c:v>
                </c:pt>
                <c:pt idx="103">
                  <c:v>7.7224822441822839E-3</c:v>
                </c:pt>
                <c:pt idx="104">
                  <c:v>1.0256410256410255E-2</c:v>
                </c:pt>
                <c:pt idx="105">
                  <c:v>7.6923076923076927E-3</c:v>
                </c:pt>
                <c:pt idx="106">
                  <c:v>1.0395649174860766E-2</c:v>
                </c:pt>
                <c:pt idx="107">
                  <c:v>8.8888888888888889E-3</c:v>
                </c:pt>
                <c:pt idx="108">
                  <c:v>6.6666666666666662E-3</c:v>
                </c:pt>
                <c:pt idx="109">
                  <c:v>9.0095626182126638E-3</c:v>
                </c:pt>
                <c:pt idx="110" formatCode="0.00000">
                  <c:v>4.305425874053325E-4</c:v>
                </c:pt>
                <c:pt idx="111">
                  <c:v>4.305425874053325E-4</c:v>
                </c:pt>
                <c:pt idx="112">
                  <c:v>2.9878618113912231E-4</c:v>
                </c:pt>
                <c:pt idx="113">
                  <c:v>2.9878618113912231E-4</c:v>
                </c:pt>
                <c:pt idx="114">
                  <c:v>4.305425874053325E-4</c:v>
                </c:pt>
                <c:pt idx="115" formatCode="General">
                  <c:v>4.305425874053325E-4</c:v>
                </c:pt>
                <c:pt idx="116">
                  <c:v>4.305425874053325E-4</c:v>
                </c:pt>
                <c:pt idx="117">
                  <c:v>2.9878618113912231E-4</c:v>
                </c:pt>
                <c:pt idx="118">
                  <c:v>2.9878618113912231E-4</c:v>
                </c:pt>
                <c:pt idx="119">
                  <c:v>4.305425874053325E-4</c:v>
                </c:pt>
                <c:pt idx="120">
                  <c:v>4.305425874053325E-4</c:v>
                </c:pt>
                <c:pt idx="121">
                  <c:v>4.305425874053325E-4</c:v>
                </c:pt>
                <c:pt idx="122">
                  <c:v>2.9878618113912231E-4</c:v>
                </c:pt>
                <c:pt idx="123">
                  <c:v>2.9878618113912231E-4</c:v>
                </c:pt>
                <c:pt idx="124">
                  <c:v>4.305425874053325E-4</c:v>
                </c:pt>
                <c:pt idx="125">
                  <c:v>4.305425874053325E-4</c:v>
                </c:pt>
                <c:pt idx="126">
                  <c:v>4.305425874053325E-4</c:v>
                </c:pt>
                <c:pt idx="127">
                  <c:v>2.9878618113912231E-4</c:v>
                </c:pt>
                <c:pt idx="128">
                  <c:v>2.9878618113912231E-4</c:v>
                </c:pt>
                <c:pt idx="129">
                  <c:v>4.305425874053325E-4</c:v>
                </c:pt>
                <c:pt idx="130">
                  <c:v>2.6260504201680674E-3</c:v>
                </c:pt>
                <c:pt idx="131">
                  <c:v>1.6256502601040416E-3</c:v>
                </c:pt>
                <c:pt idx="132">
                  <c:v>2.0347764046985059E-3</c:v>
                </c:pt>
                <c:pt idx="133">
                  <c:v>1.4052359304229719E-3</c:v>
                </c:pt>
                <c:pt idx="134">
                  <c:v>2.6260504201680674E-3</c:v>
                </c:pt>
                <c:pt idx="135">
                  <c:v>1.6256502601040416E-3</c:v>
                </c:pt>
                <c:pt idx="136">
                  <c:v>2.0347764046985059E-3</c:v>
                </c:pt>
                <c:pt idx="137">
                  <c:v>1.4052359304229719E-3</c:v>
                </c:pt>
                <c:pt idx="138">
                  <c:v>2.6260504201680674E-3</c:v>
                </c:pt>
                <c:pt idx="139">
                  <c:v>1.6256502601040416E-3</c:v>
                </c:pt>
                <c:pt idx="140">
                  <c:v>2.0347764046985059E-3</c:v>
                </c:pt>
                <c:pt idx="141">
                  <c:v>1.4052359304229719E-3</c:v>
                </c:pt>
                <c:pt idx="142">
                  <c:v>2.6260504201680674E-3</c:v>
                </c:pt>
                <c:pt idx="143">
                  <c:v>1.6256502601040416E-3</c:v>
                </c:pt>
                <c:pt idx="144">
                  <c:v>2.0347764046985059E-3</c:v>
                </c:pt>
                <c:pt idx="145">
                  <c:v>1.4052359304229719E-3</c:v>
                </c:pt>
                <c:pt idx="146">
                  <c:v>2.1008403361344541E-3</c:v>
                </c:pt>
                <c:pt idx="147">
                  <c:v>1.3005202080832333E-3</c:v>
                </c:pt>
                <c:pt idx="148">
                  <c:v>1.6278211237588046E-3</c:v>
                </c:pt>
                <c:pt idx="149">
                  <c:v>1.1241887443383775E-3</c:v>
                </c:pt>
                <c:pt idx="150">
                  <c:v>1.4545454545454545E-2</c:v>
                </c:pt>
                <c:pt idx="151">
                  <c:v>1.0909090909090908E-2</c:v>
                </c:pt>
                <c:pt idx="152">
                  <c:v>1.3094815714923418E-2</c:v>
                </c:pt>
                <c:pt idx="153">
                  <c:v>7.2727272727272727E-3</c:v>
                </c:pt>
                <c:pt idx="154">
                  <c:v>5.4545454545454541E-3</c:v>
                </c:pt>
                <c:pt idx="155">
                  <c:v>6.5474078574617092E-3</c:v>
                </c:pt>
                <c:pt idx="156">
                  <c:v>7.619047619047619E-3</c:v>
                </c:pt>
                <c:pt idx="157">
                  <c:v>5.7142857142857143E-3</c:v>
                </c:pt>
              </c:numCache>
            </c:numRef>
          </c:val>
          <c:extLst>
            <c:ext xmlns:c16="http://schemas.microsoft.com/office/drawing/2014/chart" uri="{C3380CC4-5D6E-409C-BE32-E72D297353CC}">
              <c16:uniqueId val="{00000005-F9C0-40FC-B5F5-8B7C4578ACB4}"/>
            </c:ext>
          </c:extLst>
        </c:ser>
        <c:ser>
          <c:idx val="6"/>
          <c:order val="6"/>
          <c:tx>
            <c:strRef>
              <c:f>FIGURES!$A$12</c:f>
              <c:strCache>
                <c:ptCount val="1"/>
                <c:pt idx="0">
                  <c:v>Opex var (mode-fees)</c:v>
                </c:pt>
              </c:strCache>
            </c:strRef>
          </c:tx>
          <c:spPr>
            <a:solidFill>
              <a:schemeClr val="accent1">
                <a:lumMod val="60000"/>
              </a:schemeClr>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FIGURES!$B$12:$FC$12</c:f>
              <c:numCache>
                <c:formatCode>0.00</c:formatCode>
                <c:ptCount val="158"/>
                <c:pt idx="0" formatCode="0.00000">
                  <c:v>8.9502842587904882E-5</c:v>
                </c:pt>
                <c:pt idx="1">
                  <c:v>8.9502842587904882E-5</c:v>
                </c:pt>
                <c:pt idx="2">
                  <c:v>8.9502842587904882E-5</c:v>
                </c:pt>
                <c:pt idx="3">
                  <c:v>8.9502842587904882E-5</c:v>
                </c:pt>
                <c:pt idx="4">
                  <c:v>8.9502842587904882E-5</c:v>
                </c:pt>
                <c:pt idx="5" formatCode="General">
                  <c:v>1.7869725535414797E-4</c:v>
                </c:pt>
                <c:pt idx="6">
                  <c:v>1.7869725535414797E-4</c:v>
                </c:pt>
                <c:pt idx="7">
                  <c:v>1.7869725535414797E-4</c:v>
                </c:pt>
                <c:pt idx="8">
                  <c:v>1.7869725535414797E-4</c:v>
                </c:pt>
                <c:pt idx="9">
                  <c:v>1.7869725535414797E-4</c:v>
                </c:pt>
                <c:pt idx="10">
                  <c:v>8.6011184229469056E-5</c:v>
                </c:pt>
                <c:pt idx="11">
                  <c:v>8.6011184229469056E-5</c:v>
                </c:pt>
                <c:pt idx="12">
                  <c:v>8.6011184229469056E-5</c:v>
                </c:pt>
                <c:pt idx="13">
                  <c:v>8.6011184229469056E-5</c:v>
                </c:pt>
                <c:pt idx="14">
                  <c:v>8.6011184229469056E-5</c:v>
                </c:pt>
                <c:pt idx="15">
                  <c:v>8.6011184229469056E-5</c:v>
                </c:pt>
                <c:pt idx="16">
                  <c:v>8.6011184229469056E-5</c:v>
                </c:pt>
                <c:pt idx="17">
                  <c:v>8.6011184229469056E-5</c:v>
                </c:pt>
                <c:pt idx="18">
                  <c:v>8.6011184229469056E-5</c:v>
                </c:pt>
                <c:pt idx="19">
                  <c:v>8.6011184229469056E-5</c:v>
                </c:pt>
                <c:pt idx="20">
                  <c:v>1.7507002801120447E-3</c:v>
                </c:pt>
                <c:pt idx="21">
                  <c:v>1.7507002801120447E-3</c:v>
                </c:pt>
                <c:pt idx="22">
                  <c:v>1.7507002801120447E-3</c:v>
                </c:pt>
                <c:pt idx="23">
                  <c:v>1.7507002801120447E-3</c:v>
                </c:pt>
                <c:pt idx="24">
                  <c:v>1.6256502601040416E-3</c:v>
                </c:pt>
                <c:pt idx="25">
                  <c:v>1.6256502601040416E-3</c:v>
                </c:pt>
                <c:pt idx="26">
                  <c:v>1.6256502601040416E-3</c:v>
                </c:pt>
                <c:pt idx="27">
                  <c:v>1.6256502601040416E-3</c:v>
                </c:pt>
                <c:pt idx="28">
                  <c:v>1.6256502601040416E-3</c:v>
                </c:pt>
                <c:pt idx="29">
                  <c:v>1.6256502601040416E-3</c:v>
                </c:pt>
                <c:pt idx="30">
                  <c:v>1.6256502601040416E-3</c:v>
                </c:pt>
                <c:pt idx="31">
                  <c:v>1.6256502601040416E-3</c:v>
                </c:pt>
                <c:pt idx="32">
                  <c:v>4.0016006402561026E-3</c:v>
                </c:pt>
                <c:pt idx="33">
                  <c:v>4.0016006402561026E-3</c:v>
                </c:pt>
                <c:pt idx="34">
                  <c:v>4.0016006402561026E-3</c:v>
                </c:pt>
                <c:pt idx="35">
                  <c:v>4.0016006402561026E-3</c:v>
                </c:pt>
                <c:pt idx="36">
                  <c:v>1.4005602240896359E-3</c:v>
                </c:pt>
                <c:pt idx="37">
                  <c:v>1.4005602240896359E-3</c:v>
                </c:pt>
                <c:pt idx="38">
                  <c:v>1.4005602240896359E-3</c:v>
                </c:pt>
                <c:pt idx="39">
                  <c:v>1.4005602240896359E-3</c:v>
                </c:pt>
                <c:pt idx="40">
                  <c:v>4.4000000000000003E-3</c:v>
                </c:pt>
                <c:pt idx="41">
                  <c:v>4.4000000000000003E-3</c:v>
                </c:pt>
                <c:pt idx="42">
                  <c:v>4.4000000000000003E-3</c:v>
                </c:pt>
                <c:pt idx="43">
                  <c:v>4.4000000000000003E-3</c:v>
                </c:pt>
                <c:pt idx="44">
                  <c:v>4.4000000000000003E-3</c:v>
                </c:pt>
                <c:pt idx="45">
                  <c:v>4.4000000000000003E-3</c:v>
                </c:pt>
                <c:pt idx="46">
                  <c:v>4.4000000000000003E-3</c:v>
                </c:pt>
                <c:pt idx="47">
                  <c:v>4.4000000000000003E-3</c:v>
                </c:pt>
                <c:pt idx="48">
                  <c:v>4.4000000000000003E-3</c:v>
                </c:pt>
                <c:pt idx="49">
                  <c:v>4.4000000000000003E-3</c:v>
                </c:pt>
                <c:pt idx="50">
                  <c:v>4.4000000000000003E-3</c:v>
                </c:pt>
                <c:pt idx="51">
                  <c:v>4.4000000000000003E-3</c:v>
                </c:pt>
                <c:pt idx="52">
                  <c:v>4.4000000000000003E-3</c:v>
                </c:pt>
                <c:pt idx="53">
                  <c:v>4.4000000000000003E-3</c:v>
                </c:pt>
                <c:pt idx="54">
                  <c:v>4.4000000000000003E-3</c:v>
                </c:pt>
                <c:pt idx="55" formatCode="0.00000">
                  <c:v>8.9502842587904882E-5</c:v>
                </c:pt>
                <c:pt idx="56">
                  <c:v>8.9502842587904882E-5</c:v>
                </c:pt>
                <c:pt idx="57">
                  <c:v>8.9502842587904882E-5</c:v>
                </c:pt>
                <c:pt idx="58">
                  <c:v>8.9502842587904882E-5</c:v>
                </c:pt>
                <c:pt idx="59">
                  <c:v>8.9502842587904882E-5</c:v>
                </c:pt>
                <c:pt idx="60" formatCode="General">
                  <c:v>1.7869725535414797E-4</c:v>
                </c:pt>
                <c:pt idx="61">
                  <c:v>1.7869725535414797E-4</c:v>
                </c:pt>
                <c:pt idx="62">
                  <c:v>1.7869725535414797E-4</c:v>
                </c:pt>
                <c:pt idx="63">
                  <c:v>1.7869725535414797E-4</c:v>
                </c:pt>
                <c:pt idx="64">
                  <c:v>1.7869725535414797E-4</c:v>
                </c:pt>
                <c:pt idx="65">
                  <c:v>8.6011184229469056E-5</c:v>
                </c:pt>
                <c:pt idx="66">
                  <c:v>8.6011184229469056E-5</c:v>
                </c:pt>
                <c:pt idx="67">
                  <c:v>8.6011184229469056E-5</c:v>
                </c:pt>
                <c:pt idx="68">
                  <c:v>8.6011184229469056E-5</c:v>
                </c:pt>
                <c:pt idx="69">
                  <c:v>8.6011184229469056E-5</c:v>
                </c:pt>
                <c:pt idx="70">
                  <c:v>8.6011184229469056E-5</c:v>
                </c:pt>
                <c:pt idx="71">
                  <c:v>8.6011184229469056E-5</c:v>
                </c:pt>
                <c:pt idx="72">
                  <c:v>8.6011184229469056E-5</c:v>
                </c:pt>
                <c:pt idx="73">
                  <c:v>8.6011184229469056E-5</c:v>
                </c:pt>
                <c:pt idx="74">
                  <c:v>8.6011184229469056E-5</c:v>
                </c:pt>
                <c:pt idx="75">
                  <c:v>1.7507002801120447E-3</c:v>
                </c:pt>
                <c:pt idx="76">
                  <c:v>1.7507002801120447E-3</c:v>
                </c:pt>
                <c:pt idx="77">
                  <c:v>1.7507002801120447E-3</c:v>
                </c:pt>
                <c:pt idx="78">
                  <c:v>1.7507002801120447E-3</c:v>
                </c:pt>
                <c:pt idx="79">
                  <c:v>1.6256502601040416E-3</c:v>
                </c:pt>
                <c:pt idx="80">
                  <c:v>1.6256502601040416E-3</c:v>
                </c:pt>
                <c:pt idx="81">
                  <c:v>1.6256502601040416E-3</c:v>
                </c:pt>
                <c:pt idx="82">
                  <c:v>1.6256502601040416E-3</c:v>
                </c:pt>
                <c:pt idx="83">
                  <c:v>1.6256502601040416E-3</c:v>
                </c:pt>
                <c:pt idx="84">
                  <c:v>1.6256502601040416E-3</c:v>
                </c:pt>
                <c:pt idx="85">
                  <c:v>1.6256502601040416E-3</c:v>
                </c:pt>
                <c:pt idx="86">
                  <c:v>1.6256502601040416E-3</c:v>
                </c:pt>
                <c:pt idx="87">
                  <c:v>4.0016006402561026E-3</c:v>
                </c:pt>
                <c:pt idx="88">
                  <c:v>4.0016006402561026E-3</c:v>
                </c:pt>
                <c:pt idx="89">
                  <c:v>4.0016006402561026E-3</c:v>
                </c:pt>
                <c:pt idx="90">
                  <c:v>4.0016006402561026E-3</c:v>
                </c:pt>
                <c:pt idx="91">
                  <c:v>1.4005602240896359E-3</c:v>
                </c:pt>
                <c:pt idx="92">
                  <c:v>1.4005602240896359E-3</c:v>
                </c:pt>
                <c:pt idx="93">
                  <c:v>1.4005602240896359E-3</c:v>
                </c:pt>
                <c:pt idx="94">
                  <c:v>1.4005602240896359E-3</c:v>
                </c:pt>
                <c:pt idx="95">
                  <c:v>4.4000000000000003E-3</c:v>
                </c:pt>
                <c:pt idx="96">
                  <c:v>4.4000000000000003E-3</c:v>
                </c:pt>
                <c:pt idx="97">
                  <c:v>4.4000000000000003E-3</c:v>
                </c:pt>
                <c:pt idx="98">
                  <c:v>4.4000000000000003E-3</c:v>
                </c:pt>
                <c:pt idx="99">
                  <c:v>4.4000000000000003E-3</c:v>
                </c:pt>
                <c:pt idx="100">
                  <c:v>4.4000000000000003E-3</c:v>
                </c:pt>
                <c:pt idx="101">
                  <c:v>4.4000000000000003E-3</c:v>
                </c:pt>
                <c:pt idx="102">
                  <c:v>4.4000000000000003E-3</c:v>
                </c:pt>
                <c:pt idx="103">
                  <c:v>4.4000000000000003E-3</c:v>
                </c:pt>
                <c:pt idx="104">
                  <c:v>4.4000000000000003E-3</c:v>
                </c:pt>
                <c:pt idx="105">
                  <c:v>4.4000000000000003E-3</c:v>
                </c:pt>
                <c:pt idx="106">
                  <c:v>4.4000000000000003E-3</c:v>
                </c:pt>
                <c:pt idx="107">
                  <c:v>4.4000000000000003E-3</c:v>
                </c:pt>
                <c:pt idx="108">
                  <c:v>4.4000000000000003E-3</c:v>
                </c:pt>
                <c:pt idx="109">
                  <c:v>4.4000000000000003E-3</c:v>
                </c:pt>
                <c:pt idx="110" formatCode="0.00000">
                  <c:v>8.9502842587904882E-5</c:v>
                </c:pt>
                <c:pt idx="111">
                  <c:v>8.9502842587904882E-5</c:v>
                </c:pt>
                <c:pt idx="112">
                  <c:v>8.9502842587904882E-5</c:v>
                </c:pt>
                <c:pt idx="113">
                  <c:v>8.9502842587904882E-5</c:v>
                </c:pt>
                <c:pt idx="114">
                  <c:v>8.9502842587904882E-5</c:v>
                </c:pt>
                <c:pt idx="115" formatCode="General">
                  <c:v>1.7869725535414797E-4</c:v>
                </c:pt>
                <c:pt idx="116">
                  <c:v>1.7869725535414797E-4</c:v>
                </c:pt>
                <c:pt idx="117">
                  <c:v>1.7869725535414797E-4</c:v>
                </c:pt>
                <c:pt idx="118">
                  <c:v>1.7869725535414797E-4</c:v>
                </c:pt>
                <c:pt idx="119">
                  <c:v>1.7869725535414797E-4</c:v>
                </c:pt>
                <c:pt idx="120">
                  <c:v>8.6011184229469056E-5</c:v>
                </c:pt>
                <c:pt idx="121">
                  <c:v>8.6011184229469056E-5</c:v>
                </c:pt>
                <c:pt idx="122">
                  <c:v>8.6011184229469056E-5</c:v>
                </c:pt>
                <c:pt idx="123">
                  <c:v>8.6011184229469056E-5</c:v>
                </c:pt>
                <c:pt idx="124">
                  <c:v>8.6011184229469056E-5</c:v>
                </c:pt>
                <c:pt idx="125">
                  <c:v>8.6011184229469056E-5</c:v>
                </c:pt>
                <c:pt idx="126">
                  <c:v>8.6011184229469056E-5</c:v>
                </c:pt>
                <c:pt idx="127">
                  <c:v>8.6011184229469056E-5</c:v>
                </c:pt>
                <c:pt idx="128">
                  <c:v>8.6011184229469056E-5</c:v>
                </c:pt>
                <c:pt idx="129">
                  <c:v>8.6011184229469056E-5</c:v>
                </c:pt>
                <c:pt idx="130">
                  <c:v>1.7507002801120447E-3</c:v>
                </c:pt>
                <c:pt idx="131">
                  <c:v>1.7507002801120447E-3</c:v>
                </c:pt>
                <c:pt idx="132">
                  <c:v>1.7507002801120447E-3</c:v>
                </c:pt>
                <c:pt idx="133">
                  <c:v>1.7507002801120447E-3</c:v>
                </c:pt>
                <c:pt idx="134">
                  <c:v>1.6256502601040416E-3</c:v>
                </c:pt>
                <c:pt idx="135">
                  <c:v>1.6256502601040416E-3</c:v>
                </c:pt>
                <c:pt idx="136">
                  <c:v>1.6256502601040416E-3</c:v>
                </c:pt>
                <c:pt idx="137">
                  <c:v>1.6256502601040416E-3</c:v>
                </c:pt>
                <c:pt idx="138">
                  <c:v>1.6256502601040416E-3</c:v>
                </c:pt>
                <c:pt idx="139">
                  <c:v>1.6256502601040416E-3</c:v>
                </c:pt>
                <c:pt idx="140">
                  <c:v>1.6256502601040416E-3</c:v>
                </c:pt>
                <c:pt idx="141">
                  <c:v>1.6256502601040416E-3</c:v>
                </c:pt>
                <c:pt idx="142">
                  <c:v>4.0016006402561026E-3</c:v>
                </c:pt>
                <c:pt idx="143">
                  <c:v>4.0016006402561026E-3</c:v>
                </c:pt>
                <c:pt idx="144">
                  <c:v>4.0016006402561026E-3</c:v>
                </c:pt>
                <c:pt idx="145">
                  <c:v>4.0016006402561026E-3</c:v>
                </c:pt>
                <c:pt idx="146">
                  <c:v>1.4005602240896359E-3</c:v>
                </c:pt>
                <c:pt idx="147">
                  <c:v>1.4005602240896359E-3</c:v>
                </c:pt>
                <c:pt idx="148">
                  <c:v>1.4005602240896359E-3</c:v>
                </c:pt>
                <c:pt idx="149">
                  <c:v>1.4005602240896359E-3</c:v>
                </c:pt>
                <c:pt idx="150">
                  <c:v>4.4000000000000003E-3</c:v>
                </c:pt>
                <c:pt idx="151">
                  <c:v>4.4000000000000003E-3</c:v>
                </c:pt>
                <c:pt idx="152">
                  <c:v>4.4000000000000003E-3</c:v>
                </c:pt>
                <c:pt idx="153">
                  <c:v>4.4000000000000003E-3</c:v>
                </c:pt>
                <c:pt idx="154">
                  <c:v>4.4000000000000003E-3</c:v>
                </c:pt>
                <c:pt idx="155">
                  <c:v>4.4000000000000003E-3</c:v>
                </c:pt>
                <c:pt idx="156">
                  <c:v>4.4000000000000003E-3</c:v>
                </c:pt>
                <c:pt idx="157">
                  <c:v>4.4000000000000003E-3</c:v>
                </c:pt>
              </c:numCache>
            </c:numRef>
          </c:val>
          <c:extLst>
            <c:ext xmlns:c16="http://schemas.microsoft.com/office/drawing/2014/chart" uri="{C3380CC4-5D6E-409C-BE32-E72D297353CC}">
              <c16:uniqueId val="{00000006-F9C0-40FC-B5F5-8B7C4578ACB4}"/>
            </c:ext>
          </c:extLst>
        </c:ser>
        <c:ser>
          <c:idx val="7"/>
          <c:order val="7"/>
          <c:tx>
            <c:strRef>
              <c:f>FIGURES!$A$13</c:f>
              <c:strCache>
                <c:ptCount val="1"/>
                <c:pt idx="0">
                  <c:v>Fuel Cost</c:v>
                </c:pt>
              </c:strCache>
            </c:strRef>
          </c:tx>
          <c:spPr>
            <a:solidFill>
              <a:schemeClr val="accent2">
                <a:lumMod val="60000"/>
              </a:schemeClr>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FIGURES!$B$13:$FC$13</c:f>
              <c:numCache>
                <c:formatCode>0.00</c:formatCode>
                <c:ptCount val="158"/>
                <c:pt idx="0" formatCode="0.00000">
                  <c:v>2.1494771182553069E-3</c:v>
                </c:pt>
                <c:pt idx="1">
                  <c:v>4.1072811176853007E-3</c:v>
                </c:pt>
                <c:pt idx="2">
                  <c:v>1.5736357366733275E-2</c:v>
                </c:pt>
                <c:pt idx="3">
                  <c:v>1.488952128048405E-2</c:v>
                </c:pt>
                <c:pt idx="4">
                  <c:v>3.1493959607937827E-2</c:v>
                </c:pt>
                <c:pt idx="5" formatCode="General">
                  <c:v>2.1494771182553069E-3</c:v>
                </c:pt>
                <c:pt idx="6">
                  <c:v>4.1072811176853007E-3</c:v>
                </c:pt>
                <c:pt idx="7">
                  <c:v>1.5736357366733275E-2</c:v>
                </c:pt>
                <c:pt idx="8">
                  <c:v>1.488952128048405E-2</c:v>
                </c:pt>
                <c:pt idx="9">
                  <c:v>3.1493959607937827E-2</c:v>
                </c:pt>
                <c:pt idx="10">
                  <c:v>2.1494771182553069E-3</c:v>
                </c:pt>
                <c:pt idx="11">
                  <c:v>4.1072811176853007E-3</c:v>
                </c:pt>
                <c:pt idx="12">
                  <c:v>1.5736357366733275E-2</c:v>
                </c:pt>
                <c:pt idx="13">
                  <c:v>1.488952128048405E-2</c:v>
                </c:pt>
                <c:pt idx="14">
                  <c:v>3.1493959607937827E-2</c:v>
                </c:pt>
                <c:pt idx="15">
                  <c:v>2.1494771182553069E-3</c:v>
                </c:pt>
                <c:pt idx="16">
                  <c:v>4.1072811176853007E-3</c:v>
                </c:pt>
                <c:pt idx="17">
                  <c:v>1.5736357366733275E-2</c:v>
                </c:pt>
                <c:pt idx="18">
                  <c:v>1.488952128048405E-2</c:v>
                </c:pt>
                <c:pt idx="19">
                  <c:v>3.1493959607937827E-2</c:v>
                </c:pt>
                <c:pt idx="20">
                  <c:v>3.4275714285714283E-3</c:v>
                </c:pt>
                <c:pt idx="21">
                  <c:v>1.8785303492431114E-3</c:v>
                </c:pt>
                <c:pt idx="22">
                  <c:v>1.995938496070806E-3</c:v>
                </c:pt>
                <c:pt idx="23">
                  <c:v>5.4972181617018003E-3</c:v>
                </c:pt>
                <c:pt idx="24">
                  <c:v>3.4275714285714283E-3</c:v>
                </c:pt>
                <c:pt idx="25">
                  <c:v>1.8785303492431114E-3</c:v>
                </c:pt>
                <c:pt idx="26">
                  <c:v>1.995938496070806E-3</c:v>
                </c:pt>
                <c:pt idx="27">
                  <c:v>5.4972181617018003E-3</c:v>
                </c:pt>
                <c:pt idx="28">
                  <c:v>3.4275714285714283E-3</c:v>
                </c:pt>
                <c:pt idx="29">
                  <c:v>1.8785303492431114E-3</c:v>
                </c:pt>
                <c:pt idx="30">
                  <c:v>1.995938496070806E-3</c:v>
                </c:pt>
                <c:pt idx="31">
                  <c:v>5.4972181617018003E-3</c:v>
                </c:pt>
                <c:pt idx="32">
                  <c:v>3.4275714285714283E-3</c:v>
                </c:pt>
                <c:pt idx="33">
                  <c:v>1.8785303492431114E-3</c:v>
                </c:pt>
                <c:pt idx="34">
                  <c:v>1.995938496070806E-3</c:v>
                </c:pt>
                <c:pt idx="35">
                  <c:v>5.4972181617018003E-3</c:v>
                </c:pt>
                <c:pt idx="36">
                  <c:v>2.7420571428571428E-3</c:v>
                </c:pt>
                <c:pt idx="37">
                  <c:v>1.5028242793944891E-3</c:v>
                </c:pt>
                <c:pt idx="38">
                  <c:v>1.596750796856645E-3</c:v>
                </c:pt>
                <c:pt idx="39">
                  <c:v>4.3977745293614402E-3</c:v>
                </c:pt>
                <c:pt idx="40">
                  <c:v>1.1573595723149675E-2</c:v>
                </c:pt>
                <c:pt idx="41">
                  <c:v>7.985890061771795E-3</c:v>
                </c:pt>
                <c:pt idx="42">
                  <c:v>2.5271535978108505E-2</c:v>
                </c:pt>
                <c:pt idx="43">
                  <c:v>1.1573595723149675E-2</c:v>
                </c:pt>
                <c:pt idx="44">
                  <c:v>7.985890061771795E-3</c:v>
                </c:pt>
                <c:pt idx="45">
                  <c:v>2.5271535978108505E-2</c:v>
                </c:pt>
                <c:pt idx="46">
                  <c:v>1.1573595723149675E-2</c:v>
                </c:pt>
                <c:pt idx="47">
                  <c:v>7.985890061771795E-3</c:v>
                </c:pt>
                <c:pt idx="48">
                  <c:v>2.5271535978108509E-2</c:v>
                </c:pt>
                <c:pt idx="49">
                  <c:v>1.1573595723149675E-2</c:v>
                </c:pt>
                <c:pt idx="50">
                  <c:v>7.985890061771795E-3</c:v>
                </c:pt>
                <c:pt idx="51">
                  <c:v>2.5271535978108505E-2</c:v>
                </c:pt>
                <c:pt idx="52">
                  <c:v>1.1573595723149675E-2</c:v>
                </c:pt>
                <c:pt idx="53">
                  <c:v>7.985890061771795E-3</c:v>
                </c:pt>
                <c:pt idx="54">
                  <c:v>2.5271535978108505E-2</c:v>
                </c:pt>
                <c:pt idx="55" formatCode="0.00000">
                  <c:v>2.1331638109345504E-3</c:v>
                </c:pt>
                <c:pt idx="56">
                  <c:v>4.076109192868568E-3</c:v>
                </c:pt>
                <c:pt idx="57">
                  <c:v>1.1736394409988367E-2</c:v>
                </c:pt>
                <c:pt idx="58">
                  <c:v>1.2685388823128101E-2</c:v>
                </c:pt>
                <c:pt idx="59">
                  <c:v>2.8994560118872258E-2</c:v>
                </c:pt>
                <c:pt idx="60" formatCode="General">
                  <c:v>2.1331638109345504E-3</c:v>
                </c:pt>
                <c:pt idx="61">
                  <c:v>4.076109192868568E-3</c:v>
                </c:pt>
                <c:pt idx="62">
                  <c:v>1.1736394409988367E-2</c:v>
                </c:pt>
                <c:pt idx="63">
                  <c:v>1.2685388823128101E-2</c:v>
                </c:pt>
                <c:pt idx="64">
                  <c:v>2.8994560118872258E-2</c:v>
                </c:pt>
                <c:pt idx="65">
                  <c:v>2.1331638109345504E-3</c:v>
                </c:pt>
                <c:pt idx="66">
                  <c:v>4.076109192868568E-3</c:v>
                </c:pt>
                <c:pt idx="67">
                  <c:v>1.1736394409988367E-2</c:v>
                </c:pt>
                <c:pt idx="68">
                  <c:v>1.2685388823128101E-2</c:v>
                </c:pt>
                <c:pt idx="69">
                  <c:v>2.8994560118872258E-2</c:v>
                </c:pt>
                <c:pt idx="70">
                  <c:v>2.1331638109345504E-3</c:v>
                </c:pt>
                <c:pt idx="71">
                  <c:v>4.076109192868568E-3</c:v>
                </c:pt>
                <c:pt idx="72">
                  <c:v>1.1736394409988367E-2</c:v>
                </c:pt>
                <c:pt idx="73">
                  <c:v>1.2685388823128101E-2</c:v>
                </c:pt>
                <c:pt idx="74">
                  <c:v>2.8994560118872258E-2</c:v>
                </c:pt>
                <c:pt idx="75">
                  <c:v>3.4275714285714283E-3</c:v>
                </c:pt>
                <c:pt idx="76">
                  <c:v>1.6008986804083307E-3</c:v>
                </c:pt>
                <c:pt idx="77">
                  <c:v>1.7009548479338516E-3</c:v>
                </c:pt>
                <c:pt idx="78">
                  <c:v>3.8785156354124296E-3</c:v>
                </c:pt>
                <c:pt idx="79">
                  <c:v>3.4275714285714283E-3</c:v>
                </c:pt>
                <c:pt idx="80">
                  <c:v>1.6008986804083307E-3</c:v>
                </c:pt>
                <c:pt idx="81">
                  <c:v>1.7009548479338516E-3</c:v>
                </c:pt>
                <c:pt idx="82">
                  <c:v>3.8785156354124296E-3</c:v>
                </c:pt>
                <c:pt idx="83">
                  <c:v>3.4275714285714283E-3</c:v>
                </c:pt>
                <c:pt idx="84">
                  <c:v>1.6008986804083307E-3</c:v>
                </c:pt>
                <c:pt idx="85">
                  <c:v>1.7009548479338516E-3</c:v>
                </c:pt>
                <c:pt idx="86">
                  <c:v>3.8785156354124296E-3</c:v>
                </c:pt>
                <c:pt idx="87">
                  <c:v>3.4275714285714283E-3</c:v>
                </c:pt>
                <c:pt idx="88">
                  <c:v>1.6008986804083307E-3</c:v>
                </c:pt>
                <c:pt idx="89">
                  <c:v>1.7009548479338516E-3</c:v>
                </c:pt>
                <c:pt idx="90">
                  <c:v>3.8785156354124296E-3</c:v>
                </c:pt>
                <c:pt idx="91">
                  <c:v>2.7420571428571428E-3</c:v>
                </c:pt>
                <c:pt idx="92">
                  <c:v>1.2807189443266645E-3</c:v>
                </c:pt>
                <c:pt idx="93">
                  <c:v>1.3607638783470813E-3</c:v>
                </c:pt>
                <c:pt idx="94">
                  <c:v>3.1028125083299436E-3</c:v>
                </c:pt>
                <c:pt idx="95">
                  <c:v>1.0720644957616992E-2</c:v>
                </c:pt>
                <c:pt idx="96">
                  <c:v>5.5719568088488311E-3</c:v>
                </c:pt>
                <c:pt idx="97">
                  <c:v>1.5258305500660627E-2</c:v>
                </c:pt>
                <c:pt idx="98">
                  <c:v>1.0720644957616992E-2</c:v>
                </c:pt>
                <c:pt idx="99">
                  <c:v>5.5719568088488311E-3</c:v>
                </c:pt>
                <c:pt idx="100">
                  <c:v>1.5258305500660627E-2</c:v>
                </c:pt>
                <c:pt idx="101">
                  <c:v>1.0720644957616992E-2</c:v>
                </c:pt>
                <c:pt idx="102">
                  <c:v>5.5719568088488311E-3</c:v>
                </c:pt>
                <c:pt idx="103">
                  <c:v>1.5258305500660622E-2</c:v>
                </c:pt>
                <c:pt idx="104">
                  <c:v>1.0720644957616992E-2</c:v>
                </c:pt>
                <c:pt idx="105">
                  <c:v>5.5719568088488311E-3</c:v>
                </c:pt>
                <c:pt idx="106">
                  <c:v>1.5258305500660626E-2</c:v>
                </c:pt>
                <c:pt idx="107">
                  <c:v>1.0720644957616992E-2</c:v>
                </c:pt>
                <c:pt idx="108">
                  <c:v>5.5719568088488311E-3</c:v>
                </c:pt>
                <c:pt idx="109">
                  <c:v>1.5258305500660626E-2</c:v>
                </c:pt>
                <c:pt idx="110" formatCode="0.00000">
                  <c:v>1.9961810868829068E-3</c:v>
                </c:pt>
                <c:pt idx="111">
                  <c:v>3.8143587647444083E-3</c:v>
                </c:pt>
                <c:pt idx="112">
                  <c:v>6.0441648669882124E-3</c:v>
                </c:pt>
                <c:pt idx="113">
                  <c:v>6.3242223149148858E-3</c:v>
                </c:pt>
                <c:pt idx="114">
                  <c:v>9.3711119408467249E-3</c:v>
                </c:pt>
                <c:pt idx="115" formatCode="General">
                  <c:v>1.9961810868829068E-3</c:v>
                </c:pt>
                <c:pt idx="116">
                  <c:v>3.8143587647444083E-3</c:v>
                </c:pt>
                <c:pt idx="117">
                  <c:v>6.0441648669882124E-3</c:v>
                </c:pt>
                <c:pt idx="118">
                  <c:v>6.3242223149148858E-3</c:v>
                </c:pt>
                <c:pt idx="119">
                  <c:v>9.3711119408467249E-3</c:v>
                </c:pt>
                <c:pt idx="120">
                  <c:v>1.9961810868829068E-3</c:v>
                </c:pt>
                <c:pt idx="121">
                  <c:v>3.8143587647444083E-3</c:v>
                </c:pt>
                <c:pt idx="122">
                  <c:v>6.0441648669882124E-3</c:v>
                </c:pt>
                <c:pt idx="123">
                  <c:v>6.3242223149148858E-3</c:v>
                </c:pt>
                <c:pt idx="124">
                  <c:v>9.3711119408467249E-3</c:v>
                </c:pt>
                <c:pt idx="125">
                  <c:v>1.9961810868829068E-3</c:v>
                </c:pt>
                <c:pt idx="126">
                  <c:v>3.8143587647444083E-3</c:v>
                </c:pt>
                <c:pt idx="127">
                  <c:v>6.0441648669882124E-3</c:v>
                </c:pt>
                <c:pt idx="128">
                  <c:v>6.3242223149148858E-3</c:v>
                </c:pt>
                <c:pt idx="129">
                  <c:v>9.3711119408467249E-3</c:v>
                </c:pt>
                <c:pt idx="130">
                  <c:v>3.4275714285714283E-3</c:v>
                </c:pt>
                <c:pt idx="131">
                  <c:v>1.2375826156552142E-3</c:v>
                </c:pt>
                <c:pt idx="132">
                  <c:v>1.3149315291336651E-3</c:v>
                </c:pt>
                <c:pt idx="133">
                  <c:v>2.0275409957600308E-3</c:v>
                </c:pt>
                <c:pt idx="134">
                  <c:v>3.4275714285714283E-3</c:v>
                </c:pt>
                <c:pt idx="135">
                  <c:v>1.2375826156552142E-3</c:v>
                </c:pt>
                <c:pt idx="136">
                  <c:v>1.3149315291336651E-3</c:v>
                </c:pt>
                <c:pt idx="137">
                  <c:v>2.0275409957600308E-3</c:v>
                </c:pt>
                <c:pt idx="138">
                  <c:v>3.4275714285714283E-3</c:v>
                </c:pt>
                <c:pt idx="139">
                  <c:v>1.2375826156552142E-3</c:v>
                </c:pt>
                <c:pt idx="140">
                  <c:v>1.3149315291336651E-3</c:v>
                </c:pt>
                <c:pt idx="141">
                  <c:v>2.0275409957600308E-3</c:v>
                </c:pt>
                <c:pt idx="142">
                  <c:v>3.4275714285714283E-3</c:v>
                </c:pt>
                <c:pt idx="143">
                  <c:v>1.2375826156552142E-3</c:v>
                </c:pt>
                <c:pt idx="144">
                  <c:v>1.3149315291336651E-3</c:v>
                </c:pt>
                <c:pt idx="145">
                  <c:v>2.0275409957600308E-3</c:v>
                </c:pt>
                <c:pt idx="146">
                  <c:v>2.7420571428571428E-3</c:v>
                </c:pt>
                <c:pt idx="147">
                  <c:v>9.9006609252417143E-4</c:v>
                </c:pt>
                <c:pt idx="148">
                  <c:v>1.0519452233069321E-3</c:v>
                </c:pt>
                <c:pt idx="149">
                  <c:v>1.6220327966080246E-3</c:v>
                </c:pt>
                <c:pt idx="150">
                  <c:v>9.604451272429336E-3</c:v>
                </c:pt>
                <c:pt idx="151">
                  <c:v>4.0342174151229478E-3</c:v>
                </c:pt>
                <c:pt idx="152">
                  <c:v>7.8647748498683282E-3</c:v>
                </c:pt>
                <c:pt idx="153">
                  <c:v>9.604451272429336E-3</c:v>
                </c:pt>
                <c:pt idx="154">
                  <c:v>4.0342174151229478E-3</c:v>
                </c:pt>
                <c:pt idx="155">
                  <c:v>7.8647748498683282E-3</c:v>
                </c:pt>
                <c:pt idx="156">
                  <c:v>9.604451272429336E-3</c:v>
                </c:pt>
                <c:pt idx="157">
                  <c:v>4.0342174151229478E-3</c:v>
                </c:pt>
              </c:numCache>
            </c:numRef>
          </c:val>
          <c:extLst>
            <c:ext xmlns:c16="http://schemas.microsoft.com/office/drawing/2014/chart" uri="{C3380CC4-5D6E-409C-BE32-E72D297353CC}">
              <c16:uniqueId val="{00000007-F9C0-40FC-B5F5-8B7C4578ACB4}"/>
            </c:ext>
          </c:extLst>
        </c:ser>
        <c:ser>
          <c:idx val="8"/>
          <c:order val="8"/>
          <c:tx>
            <c:strRef>
              <c:f>FIGURES!$A$14</c:f>
              <c:strCache>
                <c:ptCount val="1"/>
                <c:pt idx="0">
                  <c:v>Market failure (av. utilization)</c:v>
                </c:pt>
              </c:strCache>
            </c:strRef>
          </c:tx>
          <c:spPr>
            <a:solidFill>
              <a:schemeClr val="accent3">
                <a:lumMod val="60000"/>
              </a:schemeClr>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FIGURES!$B$14:$FC$14</c:f>
              <c:numCache>
                <c:formatCode>0.00</c:formatCode>
                <c:ptCount val="158"/>
                <c:pt idx="0" formatCode="0.00000">
                  <c:v>3.1413023056331849E-3</c:v>
                </c:pt>
                <c:pt idx="1">
                  <c:v>4.0161995118700826E-3</c:v>
                </c:pt>
                <c:pt idx="2">
                  <c:v>9.1710584955428734E-3</c:v>
                </c:pt>
                <c:pt idx="3">
                  <c:v>8.774787363226462E-3</c:v>
                </c:pt>
                <c:pt idx="4">
                  <c:v>1.6360698297182223E-2</c:v>
                </c:pt>
                <c:pt idx="5" formatCode="General">
                  <c:v>5.2598973004949739E-3</c:v>
                </c:pt>
                <c:pt idx="6">
                  <c:v>6.6434556731486717E-3</c:v>
                </c:pt>
                <c:pt idx="7">
                  <c:v>1.4795325693840532E-2</c:v>
                </c:pt>
                <c:pt idx="8">
                  <c:v>1.4168664368316906E-2</c:v>
                </c:pt>
                <c:pt idx="9">
                  <c:v>2.6164988635967876E-2</c:v>
                </c:pt>
                <c:pt idx="10">
                  <c:v>6.1585622225650014E-3</c:v>
                </c:pt>
                <c:pt idx="11">
                  <c:v>7.8747067424912252E-3</c:v>
                </c:pt>
                <c:pt idx="12">
                  <c:v>1.7986160902772469E-2</c:v>
                </c:pt>
                <c:pt idx="13">
                  <c:v>1.7208859835536439E-2</c:v>
                </c:pt>
                <c:pt idx="14">
                  <c:v>3.2088915898295808E-2</c:v>
                </c:pt>
                <c:pt idx="15">
                  <c:v>3.1396591722880384E-3</c:v>
                </c:pt>
                <c:pt idx="16">
                  <c:v>4.0145563785249361E-3</c:v>
                </c:pt>
                <c:pt idx="17">
                  <c:v>9.1694153621977269E-3</c:v>
                </c:pt>
                <c:pt idx="18">
                  <c:v>8.7731442298813155E-3</c:v>
                </c:pt>
                <c:pt idx="19">
                  <c:v>1.6359055163837073E-2</c:v>
                </c:pt>
                <c:pt idx="20">
                  <c:v>6.6373839408152731E-3</c:v>
                </c:pt>
                <c:pt idx="21">
                  <c:v>4.8606326379616368E-3</c:v>
                </c:pt>
                <c:pt idx="22">
                  <c:v>6.4703393077138547E-3</c:v>
                </c:pt>
                <c:pt idx="23">
                  <c:v>8.5955079008395684E-3</c:v>
                </c:pt>
                <c:pt idx="24">
                  <c:v>1.5946019523657831E-2</c:v>
                </c:pt>
                <c:pt idx="25">
                  <c:v>1.1701558077951917E-2</c:v>
                </c:pt>
                <c:pt idx="26">
                  <c:v>1.5546968455693323E-2</c:v>
                </c:pt>
                <c:pt idx="27">
                  <c:v>2.0623760094826978E-2</c:v>
                </c:pt>
                <c:pt idx="28">
                  <c:v>1.5194603692436923E-2</c:v>
                </c:pt>
                <c:pt idx="29">
                  <c:v>1.0950142246731005E-2</c:v>
                </c:pt>
                <c:pt idx="30">
                  <c:v>1.4795552624472418E-2</c:v>
                </c:pt>
                <c:pt idx="31">
                  <c:v>1.9872344263606082E-2</c:v>
                </c:pt>
                <c:pt idx="32">
                  <c:v>6.2422478038793409E-3</c:v>
                </c:pt>
                <c:pt idx="33">
                  <c:v>5.0138765327706527E-3</c:v>
                </c:pt>
                <c:pt idx="34">
                  <c:v>6.1267601563030488E-3</c:v>
                </c:pt>
                <c:pt idx="35">
                  <c:v>7.5960125169825567E-3</c:v>
                </c:pt>
                <c:pt idx="36">
                  <c:v>1.8009770163793265E-2</c:v>
                </c:pt>
                <c:pt idx="37">
                  <c:v>1.3133574921517174E-2</c:v>
                </c:pt>
                <c:pt idx="38">
                  <c:v>1.7551325448503817E-2</c:v>
                </c:pt>
                <c:pt idx="39">
                  <c:v>2.3383732587415509E-2</c:v>
                </c:pt>
                <c:pt idx="40">
                  <c:v>7.7570982070867392E-2</c:v>
                </c:pt>
                <c:pt idx="41">
                  <c:v>9.2430166012000908E-2</c:v>
                </c:pt>
                <c:pt idx="42">
                  <c:v>0.11191150040572001</c:v>
                </c:pt>
                <c:pt idx="43">
                  <c:v>3.382767888784096E-2</c:v>
                </c:pt>
                <c:pt idx="44">
                  <c:v>3.7303622001115269E-2</c:v>
                </c:pt>
                <c:pt idx="45">
                  <c:v>4.9201555274730205E-2</c:v>
                </c:pt>
                <c:pt idx="46">
                  <c:v>3.7922109964674072E-2</c:v>
                </c:pt>
                <c:pt idx="47">
                  <c:v>4.2200083605052424E-2</c:v>
                </c:pt>
                <c:pt idx="48">
                  <c:v>5.5644317083159214E-2</c:v>
                </c:pt>
                <c:pt idx="49">
                  <c:v>4.7434474288441345E-2</c:v>
                </c:pt>
                <c:pt idx="50">
                  <c:v>5.4623281220008577E-2</c:v>
                </c:pt>
                <c:pt idx="51">
                  <c:v>6.8900270267960778E-2</c:v>
                </c:pt>
                <c:pt idx="52">
                  <c:v>3.6151697097521945E-2</c:v>
                </c:pt>
                <c:pt idx="53">
                  <c:v>4.2966049751903018E-2</c:v>
                </c:pt>
                <c:pt idx="54">
                  <c:v>5.5319301052604297E-2</c:v>
                </c:pt>
                <c:pt idx="55" formatCode="0.00000">
                  <c:v>3.3485163583572442E-3</c:v>
                </c:pt>
                <c:pt idx="56">
                  <c:v>4.205584556716959E-3</c:v>
                </c:pt>
                <c:pt idx="57">
                  <c:v>7.2388734284985785E-3</c:v>
                </c:pt>
                <c:pt idx="58">
                  <c:v>7.6828765580748727E-3</c:v>
                </c:pt>
                <c:pt idx="59">
                  <c:v>1.5151016518101114E-2</c:v>
                </c:pt>
                <c:pt idx="60" formatCode="General">
                  <c:v>5.5875846396865091E-3</c:v>
                </c:pt>
                <c:pt idx="61">
                  <c:v>6.9429483022088508E-3</c:v>
                </c:pt>
                <c:pt idx="62">
                  <c:v>1.173977721572397E-2</c:v>
                </c:pt>
                <c:pt idx="63">
                  <c:v>1.2441921699705084E-2</c:v>
                </c:pt>
                <c:pt idx="64">
                  <c:v>2.4252003496955887E-2</c:v>
                </c:pt>
                <c:pt idx="65">
                  <c:v>6.5650205567545031E-3</c:v>
                </c:pt>
                <c:pt idx="66">
                  <c:v>8.2461927919985599E-3</c:v>
                </c:pt>
                <c:pt idx="67">
                  <c:v>1.4196105578954813E-2</c:v>
                </c:pt>
                <c:pt idx="68">
                  <c:v>1.5067034794662159E-2</c:v>
                </c:pt>
                <c:pt idx="69">
                  <c:v>2.9716078562405948E-2</c:v>
                </c:pt>
                <c:pt idx="70">
                  <c:v>3.3468732250120977E-3</c:v>
                </c:pt>
                <c:pt idx="71">
                  <c:v>4.2039414233718125E-3</c:v>
                </c:pt>
                <c:pt idx="72">
                  <c:v>7.237230295153432E-3</c:v>
                </c:pt>
                <c:pt idx="73">
                  <c:v>7.6812334247297262E-3</c:v>
                </c:pt>
                <c:pt idx="74">
                  <c:v>1.5149373384755964E-2</c:v>
                </c:pt>
                <c:pt idx="75">
                  <c:v>6.7899289795005577E-3</c:v>
                </c:pt>
                <c:pt idx="76">
                  <c:v>4.7025443718069146E-3</c:v>
                </c:pt>
                <c:pt idx="77">
                  <c:v>5.7908440544052839E-3</c:v>
                </c:pt>
                <c:pt idx="78">
                  <c:v>6.8573097891166251E-3</c:v>
                </c:pt>
                <c:pt idx="79">
                  <c:v>1.6310432671628232E-2</c:v>
                </c:pt>
                <c:pt idx="80">
                  <c:v>1.1323902775471193E-2</c:v>
                </c:pt>
                <c:pt idx="81">
                  <c:v>1.3923729795011741E-2</c:v>
                </c:pt>
                <c:pt idx="82">
                  <c:v>1.647139793904439E-2</c:v>
                </c:pt>
                <c:pt idx="83">
                  <c:v>1.5559016840407324E-2</c:v>
                </c:pt>
                <c:pt idx="84">
                  <c:v>1.0572486944250283E-2</c:v>
                </c:pt>
                <c:pt idx="85">
                  <c:v>1.3172313963790833E-2</c:v>
                </c:pt>
                <c:pt idx="86">
                  <c:v>1.5719982107823487E-2</c:v>
                </c:pt>
                <c:pt idx="87">
                  <c:v>6.3477110405012645E-3</c:v>
                </c:pt>
                <c:pt idx="88">
                  <c:v>4.9045809413550447E-3</c:v>
                </c:pt>
                <c:pt idx="89">
                  <c:v>5.6569856601884835E-3</c:v>
                </c:pt>
                <c:pt idx="90">
                  <c:v>6.3942953039395345E-3</c:v>
                </c:pt>
                <c:pt idx="91">
                  <c:v>1.8428421547740662E-2</c:v>
                </c:pt>
                <c:pt idx="92">
                  <c:v>1.2699710457736994E-2</c:v>
                </c:pt>
                <c:pt idx="93">
                  <c:v>1.5686488475534742E-2</c:v>
                </c:pt>
                <c:pt idx="94">
                  <c:v>1.8613344436353648E-2</c:v>
                </c:pt>
                <c:pt idx="95">
                  <c:v>7.8127857375439785E-2</c:v>
                </c:pt>
                <c:pt idx="96">
                  <c:v>7.4883986090192492E-2</c:v>
                </c:pt>
                <c:pt idx="97">
                  <c:v>8.7489160015639E-2</c:v>
                </c:pt>
                <c:pt idx="98">
                  <c:v>3.3959443822639858E-2</c:v>
                </c:pt>
                <c:pt idx="99">
                  <c:v>3.0339831834609657E-2</c:v>
                </c:pt>
                <c:pt idx="100">
                  <c:v>3.7632523550819225E-2</c:v>
                </c:pt>
                <c:pt idx="101">
                  <c:v>3.8084033411431281E-2</c:v>
                </c:pt>
                <c:pt idx="102">
                  <c:v>3.4096507035723721E-2</c:v>
                </c:pt>
                <c:pt idx="103">
                  <c:v>4.2362367251904731E-2</c:v>
                </c:pt>
                <c:pt idx="104">
                  <c:v>4.7704877918005859E-2</c:v>
                </c:pt>
                <c:pt idx="105">
                  <c:v>4.42446165455323E-2</c:v>
                </c:pt>
                <c:pt idx="106">
                  <c:v>5.3214204027523776E-2</c:v>
                </c:pt>
                <c:pt idx="107">
                  <c:v>3.5998132151989812E-2</c:v>
                </c:pt>
                <c:pt idx="108">
                  <c:v>3.4758330796454379E-2</c:v>
                </c:pt>
                <c:pt idx="109">
                  <c:v>4.2435792932554589E-2</c:v>
                </c:pt>
                <c:pt idx="110" formatCode="0.00000">
                  <c:v>5.0884912663151215E-3</c:v>
                </c:pt>
                <c:pt idx="111">
                  <c:v>5.7958494139699612E-3</c:v>
                </c:pt>
                <c:pt idx="112">
                  <c:v>4.1415907936602197E-3</c:v>
                </c:pt>
                <c:pt idx="113">
                  <c:v>4.2303060322281573E-3</c:v>
                </c:pt>
                <c:pt idx="114">
                  <c:v>5.6352056047552918E-3</c:v>
                </c:pt>
                <c:pt idx="115" formatCode="General">
                  <c:v>8.339172866224551E-3</c:v>
                </c:pt>
                <c:pt idx="116">
                  <c:v>9.45778575088802E-3</c:v>
                </c:pt>
                <c:pt idx="117">
                  <c:v>6.8417488629563313E-3</c:v>
                </c:pt>
                <c:pt idx="118">
                  <c:v>6.9820427285986492E-3</c:v>
                </c:pt>
                <c:pt idx="119">
                  <c:v>9.20374437817645E-3</c:v>
                </c:pt>
                <c:pt idx="120">
                  <c:v>9.9780482608257288E-3</c:v>
                </c:pt>
                <c:pt idx="121">
                  <c:v>1.1365558473533301E-2</c:v>
                </c:pt>
                <c:pt idx="122">
                  <c:v>8.1206665644641875E-3</c:v>
                </c:pt>
                <c:pt idx="123">
                  <c:v>8.294684917039755E-3</c:v>
                </c:pt>
                <c:pt idx="124">
                  <c:v>1.1050449463150678E-2</c:v>
                </c:pt>
                <c:pt idx="125">
                  <c:v>5.0868481329699768E-3</c:v>
                </c:pt>
                <c:pt idx="126">
                  <c:v>5.7942062806248182E-3</c:v>
                </c:pt>
                <c:pt idx="127">
                  <c:v>4.1399476603150732E-3</c:v>
                </c:pt>
                <c:pt idx="128">
                  <c:v>4.2286628988830108E-3</c:v>
                </c:pt>
                <c:pt idx="129">
                  <c:v>5.6335624714101452E-3</c:v>
                </c:pt>
                <c:pt idx="130">
                  <c:v>7.9410756620479587E-3</c:v>
                </c:pt>
                <c:pt idx="131">
                  <c:v>4.4820530601201673E-3</c:v>
                </c:pt>
                <c:pt idx="132">
                  <c:v>4.8871751147525778E-3</c:v>
                </c:pt>
                <c:pt idx="133">
                  <c:v>4.7002513363276176E-3</c:v>
                </c:pt>
                <c:pt idx="134">
                  <c:v>1.906039419104702E-2</c:v>
                </c:pt>
                <c:pt idx="135">
                  <c:v>1.0797173530886182E-2</c:v>
                </c:pt>
                <c:pt idx="136">
                  <c:v>1.176496510584139E-2</c:v>
                </c:pt>
                <c:pt idx="137">
                  <c:v>1.131842496849287E-2</c:v>
                </c:pt>
                <c:pt idx="138">
                  <c:v>1.830897835982611E-2</c:v>
                </c:pt>
                <c:pt idx="139">
                  <c:v>1.0045757699665276E-2</c:v>
                </c:pt>
                <c:pt idx="140">
                  <c:v>1.1013549274620478E-2</c:v>
                </c:pt>
                <c:pt idx="141">
                  <c:v>1.0567009137271962E-2</c:v>
                </c:pt>
                <c:pt idx="142">
                  <c:v>7.1435655370772483E-3</c:v>
                </c:pt>
                <c:pt idx="143">
                  <c:v>4.7521425036456868E-3</c:v>
                </c:pt>
                <c:pt idx="144">
                  <c:v>5.0322268870952556E-3</c:v>
                </c:pt>
                <c:pt idx="145">
                  <c:v>4.9029956328755283E-3</c:v>
                </c:pt>
                <c:pt idx="146">
                  <c:v>2.1587679665398526E-2</c:v>
                </c:pt>
                <c:pt idx="147">
                  <c:v>1.2094584302330031E-2</c:v>
                </c:pt>
                <c:pt idx="148">
                  <c:v>1.3206419274487867E-2</c:v>
                </c:pt>
                <c:pt idx="149">
                  <c:v>1.269341734925492E-2</c:v>
                </c:pt>
                <c:pt idx="150">
                  <c:v>8.2268977733658016E-2</c:v>
                </c:pt>
                <c:pt idx="151">
                  <c:v>6.9098861335152389E-2</c:v>
                </c:pt>
                <c:pt idx="152">
                  <c:v>7.4522667944778312E-2</c:v>
                </c:pt>
                <c:pt idx="153">
                  <c:v>3.6574827843994642E-2</c:v>
                </c:pt>
                <c:pt idx="154">
                  <c:v>2.7801796089308148E-2</c:v>
                </c:pt>
                <c:pt idx="155">
                  <c:v>3.0821638175429711E-2</c:v>
                </c:pt>
                <c:pt idx="156">
                  <c:v>4.1033926281005134E-2</c:v>
                </c:pt>
                <c:pt idx="157">
                  <c:v>3.1166361535846128E-2</c:v>
                </c:pt>
              </c:numCache>
            </c:numRef>
          </c:val>
          <c:extLst>
            <c:ext xmlns:c16="http://schemas.microsoft.com/office/drawing/2014/chart" uri="{C3380CC4-5D6E-409C-BE32-E72D297353CC}">
              <c16:uniqueId val="{00000008-F9C0-40FC-B5F5-8B7C4578ACB4}"/>
            </c:ext>
          </c:extLst>
        </c:ser>
        <c:ser>
          <c:idx val="9"/>
          <c:order val="9"/>
          <c:tx>
            <c:strRef>
              <c:f>FIGURES!$A$15</c:f>
              <c:strCache>
                <c:ptCount val="1"/>
                <c:pt idx="0">
                  <c:v>Payload loss (fuel)</c:v>
                </c:pt>
              </c:strCache>
            </c:strRef>
          </c:tx>
          <c:spPr>
            <a:solidFill>
              <a:schemeClr val="accent4">
                <a:lumMod val="60000"/>
              </a:schemeClr>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FIGURES!$B$15:$FC$15</c:f>
              <c:numCache>
                <c:formatCode>0.00</c:formatCode>
                <c:ptCount val="158"/>
                <c:pt idx="0" formatCode="0.00000">
                  <c:v>0</c:v>
                </c:pt>
                <c:pt idx="1">
                  <c:v>0</c:v>
                </c:pt>
                <c:pt idx="2">
                  <c:v>2.1643320307883629E-3</c:v>
                </c:pt>
                <c:pt idx="3">
                  <c:v>1.6209442703982065E-3</c:v>
                </c:pt>
                <c:pt idx="4">
                  <c:v>1.4486034950630111E-3</c:v>
                </c:pt>
                <c:pt idx="5" formatCode="General">
                  <c:v>0</c:v>
                </c:pt>
                <c:pt idx="6">
                  <c:v>0</c:v>
                </c:pt>
                <c:pt idx="7">
                  <c:v>2.2079462461265485E-3</c:v>
                </c:pt>
                <c:pt idx="8">
                  <c:v>1.6550836105467398E-3</c:v>
                </c:pt>
                <c:pt idx="9">
                  <c:v>1.4649668116492459E-3</c:v>
                </c:pt>
                <c:pt idx="10">
                  <c:v>0</c:v>
                </c:pt>
                <c:pt idx="11">
                  <c:v>0</c:v>
                </c:pt>
                <c:pt idx="12">
                  <c:v>2.1639442580867196E-3</c:v>
                </c:pt>
                <c:pt idx="13">
                  <c:v>1.6206407385322974E-3</c:v>
                </c:pt>
                <c:pt idx="14">
                  <c:v>1.4484580092980759E-3</c:v>
                </c:pt>
                <c:pt idx="15">
                  <c:v>0</c:v>
                </c:pt>
                <c:pt idx="16">
                  <c:v>0</c:v>
                </c:pt>
                <c:pt idx="17">
                  <c:v>2.1639442580867196E-3</c:v>
                </c:pt>
                <c:pt idx="18">
                  <c:v>1.6206407385322974E-3</c:v>
                </c:pt>
                <c:pt idx="19">
                  <c:v>1.4484580092980759E-3</c:v>
                </c:pt>
                <c:pt idx="20">
                  <c:v>0</c:v>
                </c:pt>
                <c:pt idx="21">
                  <c:v>0</c:v>
                </c:pt>
                <c:pt idx="22">
                  <c:v>4.2311486957607308E-4</c:v>
                </c:pt>
                <c:pt idx="23">
                  <c:v>2.7783459881501604E-4</c:v>
                </c:pt>
                <c:pt idx="24">
                  <c:v>0</c:v>
                </c:pt>
                <c:pt idx="25">
                  <c:v>0</c:v>
                </c:pt>
                <c:pt idx="26">
                  <c:v>4.2557979310601894E-4</c:v>
                </c:pt>
                <c:pt idx="27">
                  <c:v>2.7905299071224673E-4</c:v>
                </c:pt>
                <c:pt idx="28">
                  <c:v>0</c:v>
                </c:pt>
                <c:pt idx="29">
                  <c:v>0</c:v>
                </c:pt>
                <c:pt idx="30">
                  <c:v>4.0501067733924104E-4</c:v>
                </c:pt>
                <c:pt idx="31">
                  <c:v>2.6888584204456424E-4</c:v>
                </c:pt>
                <c:pt idx="32">
                  <c:v>0</c:v>
                </c:pt>
                <c:pt idx="33">
                  <c:v>0</c:v>
                </c:pt>
                <c:pt idx="34">
                  <c:v>5.7950755664491413E-4</c:v>
                </c:pt>
                <c:pt idx="35">
                  <c:v>3.5513824754723755E-4</c:v>
                </c:pt>
                <c:pt idx="36">
                  <c:v>0</c:v>
                </c:pt>
                <c:pt idx="37">
                  <c:v>0</c:v>
                </c:pt>
                <c:pt idx="38">
                  <c:v>2.6569500945889182E-4</c:v>
                </c:pt>
                <c:pt idx="39">
                  <c:v>1.7562153207705163E-4</c:v>
                </c:pt>
                <c:pt idx="40">
                  <c:v>0</c:v>
                </c:pt>
                <c:pt idx="41">
                  <c:v>1.2975133797221566E-2</c:v>
                </c:pt>
                <c:pt idx="42">
                  <c:v>7.4339832283982221E-3</c:v>
                </c:pt>
                <c:pt idx="43">
                  <c:v>0</c:v>
                </c:pt>
                <c:pt idx="44">
                  <c:v>7.3146110257246849E-3</c:v>
                </c:pt>
                <c:pt idx="45">
                  <c:v>4.5652841350153489E-3</c:v>
                </c:pt>
                <c:pt idx="46">
                  <c:v>0</c:v>
                </c:pt>
                <c:pt idx="47">
                  <c:v>7.3830516470406171E-3</c:v>
                </c:pt>
                <c:pt idx="48">
                  <c:v>4.6067236304448006E-3</c:v>
                </c:pt>
                <c:pt idx="49">
                  <c:v>0</c:v>
                </c:pt>
                <c:pt idx="50">
                  <c:v>9.5565333507979938E-3</c:v>
                </c:pt>
                <c:pt idx="51">
                  <c:v>5.7041674662498681E-3</c:v>
                </c:pt>
                <c:pt idx="52">
                  <c:v>0</c:v>
                </c:pt>
                <c:pt idx="53">
                  <c:v>8.4249175921230768E-3</c:v>
                </c:pt>
                <c:pt idx="54">
                  <c:v>5.1329338279129805E-3</c:v>
                </c:pt>
                <c:pt idx="55" formatCode="0.00000">
                  <c:v>0</c:v>
                </c:pt>
                <c:pt idx="56">
                  <c:v>0</c:v>
                </c:pt>
                <c:pt idx="57">
                  <c:v>1.6687646671840594E-3</c:v>
                </c:pt>
                <c:pt idx="58">
                  <c:v>1.3991131637669657E-3</c:v>
                </c:pt>
                <c:pt idx="59">
                  <c:v>1.3414962542068753E-3</c:v>
                </c:pt>
                <c:pt idx="60" formatCode="General">
                  <c:v>0</c:v>
                </c:pt>
                <c:pt idx="61">
                  <c:v>0</c:v>
                </c:pt>
                <c:pt idx="62">
                  <c:v>1.711368409869421E-3</c:v>
                </c:pt>
                <c:pt idx="63">
                  <c:v>1.4327683987821367E-3</c:v>
                </c:pt>
                <c:pt idx="64">
                  <c:v>1.3578595707931032E-3</c:v>
                </c:pt>
                <c:pt idx="65">
                  <c:v>0</c:v>
                </c:pt>
                <c:pt idx="66">
                  <c:v>0</c:v>
                </c:pt>
                <c:pt idx="67">
                  <c:v>1.6683858785649531E-3</c:v>
                </c:pt>
                <c:pt idx="68">
                  <c:v>1.398813936065512E-3</c:v>
                </c:pt>
                <c:pt idx="69">
                  <c:v>1.3413507684419401E-3</c:v>
                </c:pt>
                <c:pt idx="70">
                  <c:v>0</c:v>
                </c:pt>
                <c:pt idx="71">
                  <c:v>0</c:v>
                </c:pt>
                <c:pt idx="72">
                  <c:v>1.6683858785649531E-3</c:v>
                </c:pt>
                <c:pt idx="73">
                  <c:v>1.398813936065512E-3</c:v>
                </c:pt>
                <c:pt idx="74">
                  <c:v>1.3413507684419401E-3</c:v>
                </c:pt>
                <c:pt idx="75">
                  <c:v>0</c:v>
                </c:pt>
                <c:pt idx="76">
                  <c:v>0</c:v>
                </c:pt>
                <c:pt idx="77">
                  <c:v>2.9506531708836832E-4</c:v>
                </c:pt>
                <c:pt idx="78">
                  <c:v>2.2165041742599166E-4</c:v>
                </c:pt>
                <c:pt idx="79">
                  <c:v>0</c:v>
                </c:pt>
                <c:pt idx="80">
                  <c:v>0</c:v>
                </c:pt>
                <c:pt idx="81">
                  <c:v>2.9698596833667434E-4</c:v>
                </c:pt>
                <c:pt idx="82">
                  <c:v>2.2286880932322235E-4</c:v>
                </c:pt>
                <c:pt idx="83">
                  <c:v>0</c:v>
                </c:pt>
                <c:pt idx="84">
                  <c:v>0</c:v>
                </c:pt>
                <c:pt idx="85">
                  <c:v>2.8095865657868681E-4</c:v>
                </c:pt>
                <c:pt idx="86">
                  <c:v>2.1270166065553986E-4</c:v>
                </c:pt>
                <c:pt idx="87">
                  <c:v>0</c:v>
                </c:pt>
                <c:pt idx="88">
                  <c:v>0</c:v>
                </c:pt>
                <c:pt idx="89">
                  <c:v>4.1692540970209718E-4</c:v>
                </c:pt>
                <c:pt idx="90">
                  <c:v>2.9895406615821143E-4</c:v>
                </c:pt>
                <c:pt idx="91">
                  <c:v>0</c:v>
                </c:pt>
                <c:pt idx="92">
                  <c:v>0</c:v>
                </c:pt>
                <c:pt idx="93">
                  <c:v>1.8532975935802928E-4</c:v>
                </c:pt>
                <c:pt idx="94">
                  <c:v>1.3979393814781901E-4</c:v>
                </c:pt>
                <c:pt idx="95">
                  <c:v>0</c:v>
                </c:pt>
                <c:pt idx="96">
                  <c:v>8.0646467296622559E-3</c:v>
                </c:pt>
                <c:pt idx="97">
                  <c:v>4.2553909051559619E-3</c:v>
                </c:pt>
                <c:pt idx="98">
                  <c:v>0</c:v>
                </c:pt>
                <c:pt idx="99">
                  <c:v>4.5640635825563436E-3</c:v>
                </c:pt>
                <c:pt idx="100">
                  <c:v>2.5567642135229524E-3</c:v>
                </c:pt>
                <c:pt idx="101">
                  <c:v>0</c:v>
                </c:pt>
                <c:pt idx="102">
                  <c:v>4.5764715610098206E-3</c:v>
                </c:pt>
                <c:pt idx="103">
                  <c:v>2.5679698375209725E-3</c:v>
                </c:pt>
                <c:pt idx="104">
                  <c:v>0</c:v>
                </c:pt>
                <c:pt idx="105">
                  <c:v>5.9385622444042552E-3</c:v>
                </c:pt>
                <c:pt idx="106">
                  <c:v>3.2257987391916404E-3</c:v>
                </c:pt>
                <c:pt idx="107">
                  <c:v>0</c:v>
                </c:pt>
                <c:pt idx="108">
                  <c:v>5.2287445969815549E-3</c:v>
                </c:pt>
                <c:pt idx="109">
                  <c:v>2.8830996835997186E-3</c:v>
                </c:pt>
                <c:pt idx="110" formatCode="0.00000">
                  <c:v>0</c:v>
                </c:pt>
                <c:pt idx="111">
                  <c:v>0</c:v>
                </c:pt>
                <c:pt idx="112">
                  <c:v>7.6866456184605456E-4</c:v>
                </c:pt>
                <c:pt idx="113">
                  <c:v>6.7830581461089494E-4</c:v>
                </c:pt>
                <c:pt idx="114">
                  <c:v>4.9895049625437414E-4</c:v>
                </c:pt>
                <c:pt idx="115" formatCode="General">
                  <c:v>0</c:v>
                </c:pt>
                <c:pt idx="116">
                  <c:v>0</c:v>
                </c:pt>
                <c:pt idx="117">
                  <c:v>8.0296449808034583E-4</c:v>
                </c:pt>
                <c:pt idx="118">
                  <c:v>7.0793893555829573E-4</c:v>
                </c:pt>
                <c:pt idx="119">
                  <c:v>5.1531381284060894E-4</c:v>
                </c:pt>
                <c:pt idx="120">
                  <c:v>0</c:v>
                </c:pt>
                <c:pt idx="121">
                  <c:v>0</c:v>
                </c:pt>
                <c:pt idx="122">
                  <c:v>7.6835960212508561E-4</c:v>
                </c:pt>
                <c:pt idx="123">
                  <c:v>6.7804234740693678E-4</c:v>
                </c:pt>
                <c:pt idx="124">
                  <c:v>4.9880501048943891E-4</c:v>
                </c:pt>
                <c:pt idx="125">
                  <c:v>0</c:v>
                </c:pt>
                <c:pt idx="126">
                  <c:v>0</c:v>
                </c:pt>
                <c:pt idx="127">
                  <c:v>7.6835960212508561E-4</c:v>
                </c:pt>
                <c:pt idx="128">
                  <c:v>6.7804234740693678E-4</c:v>
                </c:pt>
                <c:pt idx="129">
                  <c:v>4.9880501048943891E-4</c:v>
                </c:pt>
                <c:pt idx="130">
                  <c:v>0</c:v>
                </c:pt>
                <c:pt idx="131">
                  <c:v>0</c:v>
                </c:pt>
                <c:pt idx="132">
                  <c:v>1.5832728571570434E-4</c:v>
                </c:pt>
                <c:pt idx="133">
                  <c:v>1.5192731592169988E-4</c:v>
                </c:pt>
                <c:pt idx="134">
                  <c:v>0</c:v>
                </c:pt>
                <c:pt idx="135">
                  <c:v>0</c:v>
                </c:pt>
                <c:pt idx="136">
                  <c:v>1.5954843872538135E-4</c:v>
                </c:pt>
                <c:pt idx="137">
                  <c:v>1.5314570781893057E-4</c:v>
                </c:pt>
                <c:pt idx="138">
                  <c:v>0</c:v>
                </c:pt>
                <c:pt idx="139">
                  <c:v>0</c:v>
                </c:pt>
                <c:pt idx="140">
                  <c:v>1.4935824932606895E-4</c:v>
                </c:pt>
                <c:pt idx="141">
                  <c:v>1.4297855915124807E-4</c:v>
                </c:pt>
                <c:pt idx="142">
                  <c:v>0</c:v>
                </c:pt>
                <c:pt idx="143">
                  <c:v>0</c:v>
                </c:pt>
                <c:pt idx="144">
                  <c:v>2.3580611951531244E-4</c:v>
                </c:pt>
                <c:pt idx="145">
                  <c:v>2.2923096465391965E-4</c:v>
                </c:pt>
                <c:pt idx="146">
                  <c:v>0</c:v>
                </c:pt>
                <c:pt idx="147">
                  <c:v>0</c:v>
                </c:pt>
                <c:pt idx="148">
                  <c:v>9.94096449857566E-5</c:v>
                </c:pt>
                <c:pt idx="149">
                  <c:v>9.533282994218361E-5</c:v>
                </c:pt>
                <c:pt idx="150">
                  <c:v>0</c:v>
                </c:pt>
                <c:pt idx="151">
                  <c:v>4.6394769729870972E-3</c:v>
                </c:pt>
                <c:pt idx="152">
                  <c:v>1.9422481330625962E-3</c:v>
                </c:pt>
                <c:pt idx="153">
                  <c:v>0</c:v>
                </c:pt>
                <c:pt idx="154">
                  <c:v>2.6074327084575841E-3</c:v>
                </c:pt>
                <c:pt idx="155">
                  <c:v>1.1220550346282138E-3</c:v>
                </c:pt>
                <c:pt idx="156">
                  <c:v>0</c:v>
                </c:pt>
                <c:pt idx="157">
                  <c:v>2.6080068051186275E-3</c:v>
                </c:pt>
              </c:numCache>
            </c:numRef>
          </c:val>
          <c:extLst>
            <c:ext xmlns:c16="http://schemas.microsoft.com/office/drawing/2014/chart" uri="{C3380CC4-5D6E-409C-BE32-E72D297353CC}">
              <c16:uniqueId val="{00000009-F9C0-40FC-B5F5-8B7C4578ACB4}"/>
            </c:ext>
          </c:extLst>
        </c:ser>
        <c:ser>
          <c:idx val="10"/>
          <c:order val="10"/>
          <c:tx>
            <c:strRef>
              <c:f>FIGURES!$A$16</c:f>
              <c:strCache>
                <c:ptCount val="1"/>
                <c:pt idx="0">
                  <c:v>Emission Cost</c:v>
                </c:pt>
              </c:strCache>
            </c:strRef>
          </c:tx>
          <c:spPr>
            <a:solidFill>
              <a:schemeClr val="accent5">
                <a:lumMod val="60000"/>
              </a:schemeClr>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FIGURES!$B$16:$FC$16</c:f>
              <c:numCache>
                <c:formatCode>0.00</c:formatCode>
                <c:ptCount val="158"/>
                <c:pt idx="0" formatCode="0.00000">
                  <c:v>1.9330162494961441E-3</c:v>
                </c:pt>
                <c:pt idx="1">
                  <c:v>1.8343688133195604E-3</c:v>
                </c:pt>
                <c:pt idx="2">
                  <c:v>2.5815196033431064E-4</c:v>
                </c:pt>
                <c:pt idx="3">
                  <c:v>2.6311642110997044E-4</c:v>
                </c:pt>
                <c:pt idx="4">
                  <c:v>3.3398562051778328E-4</c:v>
                </c:pt>
                <c:pt idx="5" formatCode="General">
                  <c:v>1.9330162494961441E-3</c:v>
                </c:pt>
                <c:pt idx="6">
                  <c:v>1.8343688133195604E-3</c:v>
                </c:pt>
                <c:pt idx="7">
                  <c:v>2.5815196033431064E-4</c:v>
                </c:pt>
                <c:pt idx="8">
                  <c:v>2.6311642110997044E-4</c:v>
                </c:pt>
                <c:pt idx="9">
                  <c:v>3.3398562051778328E-4</c:v>
                </c:pt>
                <c:pt idx="10">
                  <c:v>1.9330162494961441E-3</c:v>
                </c:pt>
                <c:pt idx="11">
                  <c:v>1.8343688133195604E-3</c:v>
                </c:pt>
                <c:pt idx="12">
                  <c:v>2.5815196033431064E-4</c:v>
                </c:pt>
                <c:pt idx="13">
                  <c:v>2.6311642110997044E-4</c:v>
                </c:pt>
                <c:pt idx="14">
                  <c:v>3.3398562051778328E-4</c:v>
                </c:pt>
                <c:pt idx="15">
                  <c:v>1.9330162494961441E-3</c:v>
                </c:pt>
                <c:pt idx="16">
                  <c:v>1.8343688133195604E-3</c:v>
                </c:pt>
                <c:pt idx="17">
                  <c:v>2.5815196033431064E-4</c:v>
                </c:pt>
                <c:pt idx="18">
                  <c:v>2.6311642110997044E-4</c:v>
                </c:pt>
                <c:pt idx="19">
                  <c:v>3.3398562051778328E-4</c:v>
                </c:pt>
                <c:pt idx="20">
                  <c:v>9.1884435637488678E-4</c:v>
                </c:pt>
                <c:pt idx="21">
                  <c:v>3.2612180545682326E-5</c:v>
                </c:pt>
                <c:pt idx="22">
                  <c:v>3.465044182978748E-5</c:v>
                </c:pt>
                <c:pt idx="23">
                  <c:v>7.8492804144973097E-5</c:v>
                </c:pt>
                <c:pt idx="24">
                  <c:v>9.1884435637488678E-4</c:v>
                </c:pt>
                <c:pt idx="25">
                  <c:v>3.2612180545682326E-5</c:v>
                </c:pt>
                <c:pt idx="26">
                  <c:v>3.465044182978748E-5</c:v>
                </c:pt>
                <c:pt idx="27">
                  <c:v>7.8492804144973097E-5</c:v>
                </c:pt>
                <c:pt idx="28">
                  <c:v>9.1884435637488678E-4</c:v>
                </c:pt>
                <c:pt idx="29">
                  <c:v>3.2612180545682326E-5</c:v>
                </c:pt>
                <c:pt idx="30">
                  <c:v>3.465044182978748E-5</c:v>
                </c:pt>
                <c:pt idx="31">
                  <c:v>7.8492804144973097E-5</c:v>
                </c:pt>
                <c:pt idx="32">
                  <c:v>9.1884435637488678E-4</c:v>
                </c:pt>
                <c:pt idx="33">
                  <c:v>3.2612180545682326E-5</c:v>
                </c:pt>
                <c:pt idx="34">
                  <c:v>3.465044182978748E-5</c:v>
                </c:pt>
                <c:pt idx="35">
                  <c:v>7.8492804144973097E-5</c:v>
                </c:pt>
                <c:pt idx="36">
                  <c:v>7.3507548509990943E-4</c:v>
                </c:pt>
                <c:pt idx="37">
                  <c:v>2.6089744436545862E-5</c:v>
                </c:pt>
                <c:pt idx="38">
                  <c:v>2.7720353463829981E-5</c:v>
                </c:pt>
                <c:pt idx="39">
                  <c:v>6.2794243315978485E-5</c:v>
                </c:pt>
                <c:pt idx="40">
                  <c:v>3.105564911133563E-3</c:v>
                </c:pt>
                <c:pt idx="41">
                  <c:v>1.4049076735721778E-4</c:v>
                </c:pt>
                <c:pt idx="42">
                  <c:v>3.6418200964524684E-4</c:v>
                </c:pt>
                <c:pt idx="43">
                  <c:v>3.105564911133563E-3</c:v>
                </c:pt>
                <c:pt idx="44">
                  <c:v>1.4049076735721778E-4</c:v>
                </c:pt>
                <c:pt idx="45">
                  <c:v>3.6418200964524684E-4</c:v>
                </c:pt>
                <c:pt idx="46">
                  <c:v>3.1055649111335639E-3</c:v>
                </c:pt>
                <c:pt idx="47">
                  <c:v>1.4049076735721778E-4</c:v>
                </c:pt>
                <c:pt idx="48">
                  <c:v>3.6418200964524684E-4</c:v>
                </c:pt>
                <c:pt idx="49">
                  <c:v>3.1055649111335639E-3</c:v>
                </c:pt>
                <c:pt idx="50">
                  <c:v>1.4049076735721778E-4</c:v>
                </c:pt>
                <c:pt idx="51">
                  <c:v>3.6418200964524684E-4</c:v>
                </c:pt>
                <c:pt idx="52">
                  <c:v>3.1055649111335639E-3</c:v>
                </c:pt>
                <c:pt idx="53">
                  <c:v>1.4049076735721778E-4</c:v>
                </c:pt>
                <c:pt idx="54">
                  <c:v>3.6418200964524684E-4</c:v>
                </c:pt>
                <c:pt idx="55" formatCode="0.00000">
                  <c:v>2.3842549920408719E-3</c:v>
                </c:pt>
                <c:pt idx="56">
                  <c:v>2.2625795316212503E-3</c:v>
                </c:pt>
                <c:pt idx="57">
                  <c:v>2.3112628110406671E-4</c:v>
                </c:pt>
                <c:pt idx="58">
                  <c:v>2.3557101727914492E-4</c:v>
                </c:pt>
                <c:pt idx="59">
                  <c:v>2.9902098869419172E-4</c:v>
                </c:pt>
                <c:pt idx="60" formatCode="General">
                  <c:v>2.3842549920408719E-3</c:v>
                </c:pt>
                <c:pt idx="61">
                  <c:v>2.2625795316212503E-3</c:v>
                </c:pt>
                <c:pt idx="62">
                  <c:v>2.3112628110406671E-4</c:v>
                </c:pt>
                <c:pt idx="63">
                  <c:v>2.3557101727914492E-4</c:v>
                </c:pt>
                <c:pt idx="64">
                  <c:v>2.9902098869419172E-4</c:v>
                </c:pt>
                <c:pt idx="65">
                  <c:v>2.3842549920408719E-3</c:v>
                </c:pt>
                <c:pt idx="66">
                  <c:v>2.2625795316212503E-3</c:v>
                </c:pt>
                <c:pt idx="67">
                  <c:v>2.3112628110406671E-4</c:v>
                </c:pt>
                <c:pt idx="68">
                  <c:v>2.3557101727914492E-4</c:v>
                </c:pt>
                <c:pt idx="69">
                  <c:v>2.9902098869419172E-4</c:v>
                </c:pt>
                <c:pt idx="70">
                  <c:v>2.3842549920408719E-3</c:v>
                </c:pt>
                <c:pt idx="71">
                  <c:v>2.2625795316212503E-3</c:v>
                </c:pt>
                <c:pt idx="72">
                  <c:v>2.3112628110406671E-4</c:v>
                </c:pt>
                <c:pt idx="73">
                  <c:v>2.3557101727914492E-4</c:v>
                </c:pt>
                <c:pt idx="74">
                  <c:v>2.9902098869419172E-4</c:v>
                </c:pt>
                <c:pt idx="75">
                  <c:v>1.1574882084341917E-3</c:v>
                </c:pt>
                <c:pt idx="76">
                  <c:v>2.9198042883179091E-5</c:v>
                </c:pt>
                <c:pt idx="77">
                  <c:v>3.1022920563377787E-5</c:v>
                </c:pt>
                <c:pt idx="78">
                  <c:v>7.027546834028947E-5</c:v>
                </c:pt>
                <c:pt idx="79">
                  <c:v>1.1574882084341917E-3</c:v>
                </c:pt>
                <c:pt idx="80">
                  <c:v>2.9198042883179091E-5</c:v>
                </c:pt>
                <c:pt idx="81">
                  <c:v>3.1022920563377787E-5</c:v>
                </c:pt>
                <c:pt idx="82">
                  <c:v>7.027546834028947E-5</c:v>
                </c:pt>
                <c:pt idx="83">
                  <c:v>1.1574882084341917E-3</c:v>
                </c:pt>
                <c:pt idx="84">
                  <c:v>2.9198042883179091E-5</c:v>
                </c:pt>
                <c:pt idx="85">
                  <c:v>3.1022920563377787E-5</c:v>
                </c:pt>
                <c:pt idx="86">
                  <c:v>7.027546834028947E-5</c:v>
                </c:pt>
                <c:pt idx="87">
                  <c:v>1.1574882084341917E-3</c:v>
                </c:pt>
                <c:pt idx="88">
                  <c:v>2.9198042883179091E-5</c:v>
                </c:pt>
                <c:pt idx="89">
                  <c:v>3.1022920563377787E-5</c:v>
                </c:pt>
                <c:pt idx="90">
                  <c:v>7.027546834028947E-5</c:v>
                </c:pt>
                <c:pt idx="91">
                  <c:v>9.2599056674735338E-4</c:v>
                </c:pt>
                <c:pt idx="92">
                  <c:v>2.3358434306543273E-5</c:v>
                </c:pt>
                <c:pt idx="93">
                  <c:v>2.4818336450702231E-5</c:v>
                </c:pt>
                <c:pt idx="94">
                  <c:v>5.6220374672231575E-5</c:v>
                </c:pt>
                <c:pt idx="95">
                  <c:v>3.7182628349802355E-3</c:v>
                </c:pt>
                <c:pt idx="96">
                  <c:v>1.2578292470326314E-4</c:v>
                </c:pt>
                <c:pt idx="97">
                  <c:v>3.2605614702792577E-4</c:v>
                </c:pt>
                <c:pt idx="98">
                  <c:v>3.7182628349802355E-3</c:v>
                </c:pt>
                <c:pt idx="99">
                  <c:v>1.2578292470326314E-4</c:v>
                </c:pt>
                <c:pt idx="100">
                  <c:v>3.2605614702792577E-4</c:v>
                </c:pt>
                <c:pt idx="101">
                  <c:v>3.7182628349802355E-3</c:v>
                </c:pt>
                <c:pt idx="102">
                  <c:v>1.2578292470326314E-4</c:v>
                </c:pt>
                <c:pt idx="103">
                  <c:v>3.2605614702792577E-4</c:v>
                </c:pt>
                <c:pt idx="104">
                  <c:v>3.7182628349802355E-3</c:v>
                </c:pt>
                <c:pt idx="105">
                  <c:v>1.2578292470326314E-4</c:v>
                </c:pt>
                <c:pt idx="106">
                  <c:v>3.2605614702792577E-4</c:v>
                </c:pt>
                <c:pt idx="107">
                  <c:v>3.718262834980236E-3</c:v>
                </c:pt>
                <c:pt idx="108">
                  <c:v>1.2578292470326314E-4</c:v>
                </c:pt>
                <c:pt idx="109">
                  <c:v>3.2605614702792577E-4</c:v>
                </c:pt>
                <c:pt idx="110" formatCode="0.00000">
                  <c:v>6.1733034624737292E-3</c:v>
                </c:pt>
                <c:pt idx="111">
                  <c:v>5.8582618483787648E-3</c:v>
                </c:pt>
                <c:pt idx="112">
                  <c:v>4.1918473001819709E-6</c:v>
                </c:pt>
                <c:pt idx="113">
                  <c:v>4.2724597482624145E-6</c:v>
                </c:pt>
                <c:pt idx="114">
                  <c:v>5.4232271560286516E-6</c:v>
                </c:pt>
                <c:pt idx="115" formatCode="General">
                  <c:v>6.1733034624737292E-3</c:v>
                </c:pt>
                <c:pt idx="116">
                  <c:v>5.8582618483787648E-3</c:v>
                </c:pt>
                <c:pt idx="117">
                  <c:v>4.1918473001819709E-6</c:v>
                </c:pt>
                <c:pt idx="118">
                  <c:v>4.2724597482624145E-6</c:v>
                </c:pt>
                <c:pt idx="119">
                  <c:v>5.4232271560286516E-6</c:v>
                </c:pt>
                <c:pt idx="120">
                  <c:v>6.1733034624737292E-3</c:v>
                </c:pt>
                <c:pt idx="121">
                  <c:v>5.8582618483787648E-3</c:v>
                </c:pt>
                <c:pt idx="122">
                  <c:v>4.1918473001819709E-6</c:v>
                </c:pt>
                <c:pt idx="123">
                  <c:v>4.2724597482624145E-6</c:v>
                </c:pt>
                <c:pt idx="124">
                  <c:v>5.4232271560286516E-6</c:v>
                </c:pt>
                <c:pt idx="125">
                  <c:v>6.1733034624737292E-3</c:v>
                </c:pt>
                <c:pt idx="126">
                  <c:v>5.8582618483787648E-3</c:v>
                </c:pt>
                <c:pt idx="127">
                  <c:v>4.1918473001819709E-6</c:v>
                </c:pt>
                <c:pt idx="128">
                  <c:v>4.2724597482624145E-6</c:v>
                </c:pt>
                <c:pt idx="129">
                  <c:v>5.4232271560286516E-6</c:v>
                </c:pt>
                <c:pt idx="130">
                  <c:v>3.1613789149904556E-3</c:v>
                </c:pt>
                <c:pt idx="131">
                  <c:v>5.295535265214743E-7</c:v>
                </c:pt>
                <c:pt idx="132">
                  <c:v>5.6265062192906486E-7</c:v>
                </c:pt>
                <c:pt idx="133">
                  <c:v>1.2745587858899847E-6</c:v>
                </c:pt>
                <c:pt idx="134">
                  <c:v>3.1613789149904556E-3</c:v>
                </c:pt>
                <c:pt idx="135">
                  <c:v>5.295535265214743E-7</c:v>
                </c:pt>
                <c:pt idx="136">
                  <c:v>5.6265062192906486E-7</c:v>
                </c:pt>
                <c:pt idx="137">
                  <c:v>1.2745587858899847E-6</c:v>
                </c:pt>
                <c:pt idx="138">
                  <c:v>3.1613789149904556E-3</c:v>
                </c:pt>
                <c:pt idx="139">
                  <c:v>5.295535265214743E-7</c:v>
                </c:pt>
                <c:pt idx="140">
                  <c:v>5.6265062192906486E-7</c:v>
                </c:pt>
                <c:pt idx="141">
                  <c:v>1.2745587858899847E-6</c:v>
                </c:pt>
                <c:pt idx="142">
                  <c:v>3.1613789149904556E-3</c:v>
                </c:pt>
                <c:pt idx="143">
                  <c:v>5.295535265214743E-7</c:v>
                </c:pt>
                <c:pt idx="144">
                  <c:v>5.6265062192906486E-7</c:v>
                </c:pt>
                <c:pt idx="145">
                  <c:v>1.2745587858899847E-6</c:v>
                </c:pt>
                <c:pt idx="146">
                  <c:v>2.5291031319923645E-3</c:v>
                </c:pt>
                <c:pt idx="147">
                  <c:v>4.2364282121717942E-7</c:v>
                </c:pt>
                <c:pt idx="148">
                  <c:v>4.501204975432519E-7</c:v>
                </c:pt>
                <c:pt idx="149">
                  <c:v>1.0196470287119876E-6</c:v>
                </c:pt>
                <c:pt idx="150">
                  <c:v>8.8630828876566804E-3</c:v>
                </c:pt>
                <c:pt idx="151">
                  <c:v>2.2812758930212777E-6</c:v>
                </c:pt>
                <c:pt idx="152">
                  <c:v>5.9135532882621105E-6</c:v>
                </c:pt>
                <c:pt idx="153">
                  <c:v>8.8630828876566804E-3</c:v>
                </c:pt>
                <c:pt idx="154">
                  <c:v>2.2812758930212777E-6</c:v>
                </c:pt>
                <c:pt idx="155">
                  <c:v>5.9135532882621105E-6</c:v>
                </c:pt>
                <c:pt idx="156">
                  <c:v>8.8630828876566786E-3</c:v>
                </c:pt>
                <c:pt idx="157">
                  <c:v>2.2812758930212777E-6</c:v>
                </c:pt>
              </c:numCache>
            </c:numRef>
          </c:val>
          <c:extLst>
            <c:ext xmlns:c16="http://schemas.microsoft.com/office/drawing/2014/chart" uri="{C3380CC4-5D6E-409C-BE32-E72D297353CC}">
              <c16:uniqueId val="{0000000A-F9C0-40FC-B5F5-8B7C4578ACB4}"/>
            </c:ext>
          </c:extLst>
        </c:ser>
        <c:dLbls>
          <c:showLegendKey val="0"/>
          <c:showVal val="0"/>
          <c:showCatName val="0"/>
          <c:showSerName val="0"/>
          <c:showPercent val="0"/>
          <c:showBubbleSize val="0"/>
        </c:dLbls>
        <c:gapWidth val="150"/>
        <c:overlap val="100"/>
        <c:axId val="969137984"/>
        <c:axId val="969138312"/>
      </c:barChart>
      <c:catAx>
        <c:axId val="969137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nb-NO"/>
          </a:p>
        </c:txPr>
        <c:crossAx val="969138312"/>
        <c:crosses val="autoZero"/>
        <c:auto val="1"/>
        <c:lblAlgn val="ctr"/>
        <c:lblOffset val="100"/>
        <c:noMultiLvlLbl val="0"/>
      </c:catAx>
      <c:valAx>
        <c:axId val="969138312"/>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nb-NO"/>
          </a:p>
        </c:txPr>
        <c:crossAx val="9691379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nb-N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nb-NO"/>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FIGURES!$C$397</c:f>
              <c:strCache>
                <c:ptCount val="1"/>
                <c:pt idx="0">
                  <c:v>Capex vehicle</c:v>
                </c:pt>
              </c:strCache>
            </c:strRef>
          </c:tx>
          <c:spPr>
            <a:solidFill>
              <a:schemeClr val="accent1"/>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FIGURES!$C$398:$C$562</c:f>
              <c:numCache>
                <c:formatCode>General</c:formatCode>
                <c:ptCount val="165"/>
                <c:pt idx="0">
                  <c:v>1.0347449498978036E-3</c:v>
                </c:pt>
                <c:pt idx="1">
                  <c:v>1.0347449498978036E-3</c:v>
                </c:pt>
                <c:pt idx="2">
                  <c:v>1.0902430594344164E-3</c:v>
                </c:pt>
                <c:pt idx="3">
                  <c:v>1.0347449498978036E-3</c:v>
                </c:pt>
                <c:pt idx="4">
                  <c:v>1.0347449498978036E-3</c:v>
                </c:pt>
                <c:pt idx="5">
                  <c:v>1.0347449498978036E-3</c:v>
                </c:pt>
                <c:pt idx="6">
                  <c:v>1.0347449498978036E-3</c:v>
                </c:pt>
                <c:pt idx="7">
                  <c:v>1.0347449498978036E-3</c:v>
                </c:pt>
                <c:pt idx="8">
                  <c:v>1.0347449498978036E-3</c:v>
                </c:pt>
                <c:pt idx="9">
                  <c:v>1.0902430594344164E-3</c:v>
                </c:pt>
                <c:pt idx="10">
                  <c:v>2.1696909640280381E-3</c:v>
                </c:pt>
                <c:pt idx="11">
                  <c:v>7.6317014160409149E-4</c:v>
                </c:pt>
                <c:pt idx="12">
                  <c:v>1.0902430594344164E-3</c:v>
                </c:pt>
                <c:pt idx="13">
                  <c:v>8.7219444754753307E-4</c:v>
                </c:pt>
                <c:pt idx="14">
                  <c:v>1.0902430594344164E-3</c:v>
                </c:pt>
                <c:pt idx="15">
                  <c:v>2.1696909640280381E-3</c:v>
                </c:pt>
                <c:pt idx="16">
                  <c:v>7.6317014160409149E-4</c:v>
                </c:pt>
                <c:pt idx="17">
                  <c:v>2.1632138711235615E-3</c:v>
                </c:pt>
                <c:pt idx="18">
                  <c:v>2.0676718491395704E-3</c:v>
                </c:pt>
                <c:pt idx="19">
                  <c:v>2.0676718491395704E-3</c:v>
                </c:pt>
                <c:pt idx="20">
                  <c:v>2.1696909640280381E-3</c:v>
                </c:pt>
                <c:pt idx="21">
                  <c:v>7.6317014160409149E-4</c:v>
                </c:pt>
                <c:pt idx="22">
                  <c:v>1.7357527712224307E-3</c:v>
                </c:pt>
                <c:pt idx="23">
                  <c:v>2.1632138711235615E-3</c:v>
                </c:pt>
                <c:pt idx="24">
                  <c:v>2.1696909640280381E-3</c:v>
                </c:pt>
                <c:pt idx="25">
                  <c:v>6.1053611328327313E-4</c:v>
                </c:pt>
                <c:pt idx="26">
                  <c:v>7.6317014160409149E-4</c:v>
                </c:pt>
                <c:pt idx="27">
                  <c:v>2.0678991054715748E-3</c:v>
                </c:pt>
                <c:pt idx="28">
                  <c:v>2.0678991054715748E-3</c:v>
                </c:pt>
                <c:pt idx="29">
                  <c:v>2.0676718491395704E-3</c:v>
                </c:pt>
                <c:pt idx="30">
                  <c:v>2.1632138711235615E-3</c:v>
                </c:pt>
                <c:pt idx="31">
                  <c:v>2.0676718491395704E-3</c:v>
                </c:pt>
                <c:pt idx="32">
                  <c:v>2.0678991054715748E-3</c:v>
                </c:pt>
                <c:pt idx="33">
                  <c:v>1.7305710968988492E-3</c:v>
                </c:pt>
                <c:pt idx="34">
                  <c:v>2.1632138711235615E-3</c:v>
                </c:pt>
                <c:pt idx="35">
                  <c:v>2.0678991054715748E-3</c:v>
                </c:pt>
                <c:pt idx="36">
                  <c:v>1.3444866658711308E-3</c:v>
                </c:pt>
                <c:pt idx="37">
                  <c:v>1.3444866658711308E-3</c:v>
                </c:pt>
                <c:pt idx="38">
                  <c:v>1.3444866658711308E-3</c:v>
                </c:pt>
                <c:pt idx="39">
                  <c:v>1.3444866658711308E-3</c:v>
                </c:pt>
                <c:pt idx="40">
                  <c:v>6.1563760604058963E-3</c:v>
                </c:pt>
                <c:pt idx="41">
                  <c:v>6.4495368251871292E-3</c:v>
                </c:pt>
                <c:pt idx="42">
                  <c:v>7.5244596293849832E-3</c:v>
                </c:pt>
                <c:pt idx="43">
                  <c:v>2.2614787309588272E-2</c:v>
                </c:pt>
                <c:pt idx="44">
                  <c:v>2.3691681943378187E-2</c:v>
                </c:pt>
                <c:pt idx="45">
                  <c:v>2.7640295600607889E-2</c:v>
                </c:pt>
                <c:pt idx="46">
                  <c:v>8.6820688031365185E-3</c:v>
                </c:pt>
                <c:pt idx="47">
                  <c:v>2.2311798507511204E-2</c:v>
                </c:pt>
                <c:pt idx="48">
                  <c:v>2.3374265103106976E-2</c:v>
                </c:pt>
                <c:pt idx="49">
                  <c:v>3.1892648769932176E-2</c:v>
                </c:pt>
                <c:pt idx="50">
                  <c:v>2.7269975953624806E-2</c:v>
                </c:pt>
                <c:pt idx="51">
                  <c:v>1.2312752120811793E-2</c:v>
                </c:pt>
                <c:pt idx="52">
                  <c:v>3.1465356869567078E-2</c:v>
                </c:pt>
                <c:pt idx="53">
                  <c:v>4.5229574619176545E-2</c:v>
                </c:pt>
                <c:pt idx="54">
                  <c:v>4.4623597015022408E-2</c:v>
                </c:pt>
                <c:pt idx="55">
                  <c:v>1.0347449498978036E-3</c:v>
                </c:pt>
                <c:pt idx="56">
                  <c:v>1.0347449498978036E-3</c:v>
                </c:pt>
                <c:pt idx="57">
                  <c:v>1.0902430594344164E-3</c:v>
                </c:pt>
                <c:pt idx="58">
                  <c:v>1.0347449498978036E-3</c:v>
                </c:pt>
                <c:pt idx="59">
                  <c:v>1.0347449498978036E-3</c:v>
                </c:pt>
                <c:pt idx="60">
                  <c:v>1.0347449498978036E-3</c:v>
                </c:pt>
                <c:pt idx="61">
                  <c:v>1.0347449498978036E-3</c:v>
                </c:pt>
                <c:pt idx="62">
                  <c:v>1.8209695944675583E-3</c:v>
                </c:pt>
                <c:pt idx="63">
                  <c:v>1.0347449498978036E-3</c:v>
                </c:pt>
                <c:pt idx="64">
                  <c:v>1.0902430594344164E-3</c:v>
                </c:pt>
                <c:pt idx="65">
                  <c:v>1.0902430594344164E-3</c:v>
                </c:pt>
                <c:pt idx="66">
                  <c:v>1.0347449498978036E-3</c:v>
                </c:pt>
                <c:pt idx="67">
                  <c:v>1.6052596798267933E-3</c:v>
                </c:pt>
                <c:pt idx="68">
                  <c:v>7.6317014160409149E-4</c:v>
                </c:pt>
                <c:pt idx="69">
                  <c:v>8.7219444754753307E-4</c:v>
                </c:pt>
                <c:pt idx="70">
                  <c:v>1.0902430594344164E-3</c:v>
                </c:pt>
                <c:pt idx="71">
                  <c:v>1.8209695944675583E-3</c:v>
                </c:pt>
                <c:pt idx="72">
                  <c:v>1.6052596798267933E-3</c:v>
                </c:pt>
                <c:pt idx="73">
                  <c:v>7.6317014160409149E-4</c:v>
                </c:pt>
                <c:pt idx="74">
                  <c:v>1.8209695944675583E-3</c:v>
                </c:pt>
                <c:pt idx="75">
                  <c:v>1.4567756755740466E-3</c:v>
                </c:pt>
                <c:pt idx="76">
                  <c:v>1.9812010201050753E-3</c:v>
                </c:pt>
                <c:pt idx="77">
                  <c:v>1.9812010201050753E-3</c:v>
                </c:pt>
                <c:pt idx="78">
                  <c:v>1.8209695944675583E-3</c:v>
                </c:pt>
                <c:pt idx="79">
                  <c:v>1.9922371300663917E-3</c:v>
                </c:pt>
                <c:pt idx="80">
                  <c:v>1.9922371300663917E-3</c:v>
                </c:pt>
                <c:pt idx="81">
                  <c:v>1.6052596798267933E-3</c:v>
                </c:pt>
                <c:pt idx="82">
                  <c:v>7.6317014160409149E-4</c:v>
                </c:pt>
                <c:pt idx="83">
                  <c:v>1.2842077438614348E-3</c:v>
                </c:pt>
                <c:pt idx="84">
                  <c:v>6.1053611328327313E-4</c:v>
                </c:pt>
                <c:pt idx="85">
                  <c:v>1.6052596798267933E-3</c:v>
                </c:pt>
                <c:pt idx="86">
                  <c:v>7.6317014160409149E-4</c:v>
                </c:pt>
                <c:pt idx="87">
                  <c:v>1.9812010201050753E-3</c:v>
                </c:pt>
                <c:pt idx="88">
                  <c:v>1.9812010201050753E-3</c:v>
                </c:pt>
                <c:pt idx="89">
                  <c:v>1.9922371300663917E-3</c:v>
                </c:pt>
                <c:pt idx="90">
                  <c:v>1.9922371300663917E-3</c:v>
                </c:pt>
                <c:pt idx="91">
                  <c:v>1.3120601049831952E-3</c:v>
                </c:pt>
                <c:pt idx="92">
                  <c:v>1.3120601049831952E-3</c:v>
                </c:pt>
                <c:pt idx="93">
                  <c:v>1.3120601049831952E-3</c:v>
                </c:pt>
                <c:pt idx="94">
                  <c:v>1.3120601049831952E-3</c:v>
                </c:pt>
                <c:pt idx="95">
                  <c:v>1.1641318209290907E-2</c:v>
                </c:pt>
                <c:pt idx="96">
                  <c:v>1.2195666695447615E-2</c:v>
                </c:pt>
                <c:pt idx="97">
                  <c:v>6.406113752333166E-3</c:v>
                </c:pt>
                <c:pt idx="98">
                  <c:v>1.4228277811355551E-2</c:v>
                </c:pt>
                <c:pt idx="99">
                  <c:v>6.7111667881585542E-3</c:v>
                </c:pt>
                <c:pt idx="100">
                  <c:v>7.8296945861849807E-3</c:v>
                </c:pt>
                <c:pt idx="101">
                  <c:v>1.2983934501295575E-2</c:v>
                </c:pt>
                <c:pt idx="102">
                  <c:v>1.3602217096595365E-2</c:v>
                </c:pt>
                <c:pt idx="103">
                  <c:v>1.6417243628487177E-2</c:v>
                </c:pt>
                <c:pt idx="104">
                  <c:v>1.586925327936126E-2</c:v>
                </c:pt>
                <c:pt idx="105">
                  <c:v>9.034262984059592E-3</c:v>
                </c:pt>
                <c:pt idx="106">
                  <c:v>1.8310676860801452E-2</c:v>
                </c:pt>
                <c:pt idx="107">
                  <c:v>2.3282636418581814E-2</c:v>
                </c:pt>
                <c:pt idx="108">
                  <c:v>1.2812227504666332E-2</c:v>
                </c:pt>
                <c:pt idx="109">
                  <c:v>2.5967869002591151E-2</c:v>
                </c:pt>
                <c:pt idx="110">
                  <c:v>1.0902430594344164E-3</c:v>
                </c:pt>
                <c:pt idx="111">
                  <c:v>8.7510622887057403E-4</c:v>
                </c:pt>
                <c:pt idx="112">
                  <c:v>1.3569040676564852E-3</c:v>
                </c:pt>
                <c:pt idx="113">
                  <c:v>1.3569040676564852E-3</c:v>
                </c:pt>
                <c:pt idx="114">
                  <c:v>1.2551060916366106E-3</c:v>
                </c:pt>
                <c:pt idx="115">
                  <c:v>1.2551060916366106E-3</c:v>
                </c:pt>
                <c:pt idx="116">
                  <c:v>1.364623687619921E-3</c:v>
                </c:pt>
                <c:pt idx="117">
                  <c:v>1.0397745068075209E-3</c:v>
                </c:pt>
                <c:pt idx="118">
                  <c:v>1.0397745068075209E-3</c:v>
                </c:pt>
                <c:pt idx="119">
                  <c:v>1.3569040676564852E-3</c:v>
                </c:pt>
                <c:pt idx="120">
                  <c:v>1.2551060916366106E-3</c:v>
                </c:pt>
                <c:pt idx="121">
                  <c:v>1.0347449498978036E-3</c:v>
                </c:pt>
                <c:pt idx="122">
                  <c:v>1.0347449498978036E-3</c:v>
                </c:pt>
                <c:pt idx="123">
                  <c:v>1.3569040676564852E-3</c:v>
                </c:pt>
                <c:pt idx="124">
                  <c:v>1.0902430594344164E-3</c:v>
                </c:pt>
                <c:pt idx="125">
                  <c:v>1.2551060916366106E-3</c:v>
                </c:pt>
                <c:pt idx="126">
                  <c:v>1.0902430594344164E-3</c:v>
                </c:pt>
                <c:pt idx="127">
                  <c:v>8.7510622887057403E-4</c:v>
                </c:pt>
                <c:pt idx="128">
                  <c:v>1.0397745068075209E-3</c:v>
                </c:pt>
                <c:pt idx="129">
                  <c:v>8.7510622887057403E-4</c:v>
                </c:pt>
                <c:pt idx="130">
                  <c:v>8.7219444754753307E-4</c:v>
                </c:pt>
                <c:pt idx="131">
                  <c:v>1.364623687619921E-3</c:v>
                </c:pt>
                <c:pt idx="132">
                  <c:v>1.0902430594344164E-3</c:v>
                </c:pt>
                <c:pt idx="133">
                  <c:v>1.0397745068075209E-3</c:v>
                </c:pt>
                <c:pt idx="134">
                  <c:v>1.0347449498978036E-3</c:v>
                </c:pt>
                <c:pt idx="135">
                  <c:v>1.0347449498978036E-3</c:v>
                </c:pt>
                <c:pt idx="136">
                  <c:v>7.0008498309645929E-4</c:v>
                </c:pt>
                <c:pt idx="137">
                  <c:v>1.364623687619921E-3</c:v>
                </c:pt>
                <c:pt idx="138">
                  <c:v>8.7510622887057403E-4</c:v>
                </c:pt>
                <c:pt idx="139">
                  <c:v>1.0916989500959369E-3</c:v>
                </c:pt>
                <c:pt idx="140">
                  <c:v>1.0347449498978036E-3</c:v>
                </c:pt>
                <c:pt idx="141">
                  <c:v>1.364623687619921E-3</c:v>
                </c:pt>
                <c:pt idx="142">
                  <c:v>7.6317014160409149E-4</c:v>
                </c:pt>
                <c:pt idx="143">
                  <c:v>1.0347449498978036E-3</c:v>
                </c:pt>
                <c:pt idx="144">
                  <c:v>1.0347449498978036E-3</c:v>
                </c:pt>
                <c:pt idx="145">
                  <c:v>1.0347449498978036E-3</c:v>
                </c:pt>
                <c:pt idx="146">
                  <c:v>7.6317014160409149E-4</c:v>
                </c:pt>
                <c:pt idx="147">
                  <c:v>7.6317014160409149E-4</c:v>
                </c:pt>
                <c:pt idx="148">
                  <c:v>6.1053611328327313E-4</c:v>
                </c:pt>
                <c:pt idx="149">
                  <c:v>7.6317014160409149E-4</c:v>
                </c:pt>
                <c:pt idx="150">
                  <c:v>8.497708528469412E-3</c:v>
                </c:pt>
                <c:pt idx="151">
                  <c:v>8.9023613155393838E-3</c:v>
                </c:pt>
                <c:pt idx="152">
                  <c:v>9.0858113202051029E-3</c:v>
                </c:pt>
                <c:pt idx="153">
                  <c:v>9.5184690021196325E-3</c:v>
                </c:pt>
                <c:pt idx="154">
                  <c:v>1.0386088201462616E-2</c:v>
                </c:pt>
                <c:pt idx="155">
                  <c:v>1.1104880502472903E-2</c:v>
                </c:pt>
                <c:pt idx="156">
                  <c:v>6.7329270291914978E-3</c:v>
                </c:pt>
                <c:pt idx="157">
                  <c:v>8.2291330356784979E-3</c:v>
                </c:pt>
                <c:pt idx="158">
                  <c:v>7.0535426020101408E-3</c:v>
                </c:pt>
                <c:pt idx="159">
                  <c:v>1.1983947924764555E-2</c:v>
                </c:pt>
                <c:pt idx="160">
                  <c:v>1.2813323656699505E-2</c:v>
                </c:pt>
                <c:pt idx="161">
                  <c:v>9.4951535027059594E-3</c:v>
                </c:pt>
                <c:pt idx="162">
                  <c:v>1.6995417056938824E-2</c:v>
                </c:pt>
                <c:pt idx="163">
                  <c:v>1.8171622640410206E-2</c:v>
                </c:pt>
                <c:pt idx="164">
                  <c:v>1.3465854058382996E-2</c:v>
                </c:pt>
              </c:numCache>
            </c:numRef>
          </c:val>
          <c:extLst>
            <c:ext xmlns:c16="http://schemas.microsoft.com/office/drawing/2014/chart" uri="{C3380CC4-5D6E-409C-BE32-E72D297353CC}">
              <c16:uniqueId val="{00000000-F45C-465E-A516-77C650081690}"/>
            </c:ext>
          </c:extLst>
        </c:ser>
        <c:ser>
          <c:idx val="1"/>
          <c:order val="1"/>
          <c:tx>
            <c:strRef>
              <c:f>FIGURES!$D$397</c:f>
              <c:strCache>
                <c:ptCount val="1"/>
                <c:pt idx="0">
                  <c:v>Residual value (vehicle)</c:v>
                </c:pt>
              </c:strCache>
            </c:strRef>
          </c:tx>
          <c:spPr>
            <a:solidFill>
              <a:schemeClr val="accent2"/>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FIGURES!$D$398:$D$562</c:f>
              <c:numCache>
                <c:formatCode>General</c:formatCode>
                <c:ptCount val="165"/>
                <c:pt idx="0">
                  <c:v>-1.0336086682377807E-4</c:v>
                </c:pt>
                <c:pt idx="1">
                  <c:v>-1.0336086682377807E-4</c:v>
                </c:pt>
                <c:pt idx="2">
                  <c:v>-1.6353645891516245E-4</c:v>
                </c:pt>
                <c:pt idx="3">
                  <c:v>-1.0336086682377807E-4</c:v>
                </c:pt>
                <c:pt idx="4">
                  <c:v>-1.0336086682377807E-4</c:v>
                </c:pt>
                <c:pt idx="5">
                  <c:v>-1.0336086682377807E-4</c:v>
                </c:pt>
                <c:pt idx="6">
                  <c:v>-1.0336086682377807E-4</c:v>
                </c:pt>
                <c:pt idx="7">
                  <c:v>-1.0336086682377807E-4</c:v>
                </c:pt>
                <c:pt idx="8">
                  <c:v>-1.0336086682377807E-4</c:v>
                </c:pt>
                <c:pt idx="9">
                  <c:v>-1.6353645891516245E-4</c:v>
                </c:pt>
                <c:pt idx="10">
                  <c:v>-1.1028374067486764E-4</c:v>
                </c:pt>
                <c:pt idx="11">
                  <c:v>-1.1346797345547289E-4</c:v>
                </c:pt>
                <c:pt idx="12">
                  <c:v>-1.6353645891516245E-4</c:v>
                </c:pt>
                <c:pt idx="13">
                  <c:v>-1.3082916713212997E-4</c:v>
                </c:pt>
                <c:pt idx="14">
                  <c:v>-1.6353645891516245E-4</c:v>
                </c:pt>
                <c:pt idx="15">
                  <c:v>-1.1028374067486764E-4</c:v>
                </c:pt>
                <c:pt idx="16">
                  <c:v>-1.1346797345547289E-4</c:v>
                </c:pt>
                <c:pt idx="17">
                  <c:v>-1.0931217673919614E-4</c:v>
                </c:pt>
                <c:pt idx="18">
                  <c:v>-1.0351994625618128E-4</c:v>
                </c:pt>
                <c:pt idx="19">
                  <c:v>-1.0351994625618128E-4</c:v>
                </c:pt>
                <c:pt idx="20">
                  <c:v>-1.1028374067486764E-4</c:v>
                </c:pt>
                <c:pt idx="21">
                  <c:v>-1.1346797345547289E-4</c:v>
                </c:pt>
                <c:pt idx="22">
                  <c:v>-8.822699253989411E-5</c:v>
                </c:pt>
                <c:pt idx="23">
                  <c:v>-1.0931217673919614E-4</c:v>
                </c:pt>
                <c:pt idx="24">
                  <c:v>-1.1028374067486764E-4</c:v>
                </c:pt>
                <c:pt idx="25">
                  <c:v>-9.0774378764378309E-5</c:v>
                </c:pt>
                <c:pt idx="26">
                  <c:v>-1.1346797345547289E-4</c:v>
                </c:pt>
                <c:pt idx="27">
                  <c:v>-1.0354267188938173E-4</c:v>
                </c:pt>
                <c:pt idx="28">
                  <c:v>-1.0354267188938173E-4</c:v>
                </c:pt>
                <c:pt idx="29">
                  <c:v>-1.0351994625618128E-4</c:v>
                </c:pt>
                <c:pt idx="30">
                  <c:v>-1.0931217673919614E-4</c:v>
                </c:pt>
                <c:pt idx="31">
                  <c:v>-1.0351994625618128E-4</c:v>
                </c:pt>
                <c:pt idx="32">
                  <c:v>-1.0354267188938173E-4</c:v>
                </c:pt>
                <c:pt idx="33">
                  <c:v>-8.7449741391356912E-5</c:v>
                </c:pt>
                <c:pt idx="34">
                  <c:v>-1.0931217673919614E-4</c:v>
                </c:pt>
                <c:pt idx="35">
                  <c:v>-1.0354267188938173E-4</c:v>
                </c:pt>
                <c:pt idx="36">
                  <c:v>-6.7337961459558828E-5</c:v>
                </c:pt>
                <c:pt idx="37">
                  <c:v>-6.7337961459558828E-5</c:v>
                </c:pt>
                <c:pt idx="38">
                  <c:v>-6.7337961459558828E-5</c:v>
                </c:pt>
                <c:pt idx="39">
                  <c:v>-6.7337961459558828E-5</c:v>
                </c:pt>
                <c:pt idx="40">
                  <c:v>-1.5302033910025385E-3</c:v>
                </c:pt>
                <c:pt idx="41">
                  <c:v>-1.6030702191455165E-3</c:v>
                </c:pt>
                <c:pt idx="42">
                  <c:v>-1.8702485890031025E-3</c:v>
                </c:pt>
                <c:pt idx="43">
                  <c:v>-3.4381985932500987E-3</c:v>
                </c:pt>
                <c:pt idx="44">
                  <c:v>-3.6019223357858176E-3</c:v>
                </c:pt>
                <c:pt idx="45">
                  <c:v>-4.2022427250834543E-3</c:v>
                </c:pt>
                <c:pt idx="46">
                  <c:v>-2.157979141157426E-3</c:v>
                </c:pt>
                <c:pt idx="47">
                  <c:v>-3.3814651137286521E-3</c:v>
                </c:pt>
                <c:pt idx="48">
                  <c:v>-3.5424872620014453E-3</c:v>
                </c:pt>
                <c:pt idx="49">
                  <c:v>-4.8487416058655246E-3</c:v>
                </c:pt>
                <c:pt idx="50">
                  <c:v>-4.1329018056683528E-3</c:v>
                </c:pt>
                <c:pt idx="51">
                  <c:v>-3.0604067820050769E-3</c:v>
                </c:pt>
                <c:pt idx="52">
                  <c:v>-4.7687328526942532E-3</c:v>
                </c:pt>
                <c:pt idx="53">
                  <c:v>-6.8763971865001975E-3</c:v>
                </c:pt>
                <c:pt idx="54">
                  <c:v>-6.7629302274573042E-3</c:v>
                </c:pt>
                <c:pt idx="55">
                  <c:v>-9.7956440009122124E-5</c:v>
                </c:pt>
                <c:pt idx="56">
                  <c:v>-9.7956440009122124E-5</c:v>
                </c:pt>
                <c:pt idx="57">
                  <c:v>-1.6353645891516245E-4</c:v>
                </c:pt>
                <c:pt idx="58">
                  <c:v>-9.7956440009122124E-5</c:v>
                </c:pt>
                <c:pt idx="59">
                  <c:v>-9.7956440009122124E-5</c:v>
                </c:pt>
                <c:pt idx="60">
                  <c:v>-9.7956440009122124E-5</c:v>
                </c:pt>
                <c:pt idx="61">
                  <c:v>-9.7956440009122124E-5</c:v>
                </c:pt>
                <c:pt idx="62">
                  <c:v>-1.5096790045692366E-4</c:v>
                </c:pt>
                <c:pt idx="63">
                  <c:v>-9.7956440009122124E-5</c:v>
                </c:pt>
                <c:pt idx="64">
                  <c:v>-1.6353645891516245E-4</c:v>
                </c:pt>
                <c:pt idx="65">
                  <c:v>-1.6353645891516245E-4</c:v>
                </c:pt>
                <c:pt idx="66">
                  <c:v>-9.7956440009122124E-5</c:v>
                </c:pt>
                <c:pt idx="67">
                  <c:v>-1.1861141326080898E-4</c:v>
                </c:pt>
                <c:pt idx="68">
                  <c:v>-8.0920645629828101E-5</c:v>
                </c:pt>
                <c:pt idx="69">
                  <c:v>-1.3082916713212997E-4</c:v>
                </c:pt>
                <c:pt idx="70">
                  <c:v>-1.6353645891516245E-4</c:v>
                </c:pt>
                <c:pt idx="71">
                  <c:v>-1.5096790045692366E-4</c:v>
                </c:pt>
                <c:pt idx="72">
                  <c:v>-1.1861141326080898E-4</c:v>
                </c:pt>
                <c:pt idx="73">
                  <c:v>-8.0920645629828101E-5</c:v>
                </c:pt>
                <c:pt idx="74">
                  <c:v>-1.5096790045692366E-4</c:v>
                </c:pt>
                <c:pt idx="75">
                  <c:v>-1.2077432036553891E-4</c:v>
                </c:pt>
                <c:pt idx="76">
                  <c:v>-1.0568171698204363E-4</c:v>
                </c:pt>
                <c:pt idx="77">
                  <c:v>-1.0568171698204363E-4</c:v>
                </c:pt>
                <c:pt idx="78">
                  <c:v>-1.5096790045692366E-4</c:v>
                </c:pt>
                <c:pt idx="79">
                  <c:v>-1.067853279781753E-4</c:v>
                </c:pt>
                <c:pt idx="80">
                  <c:v>-1.067853279781753E-4</c:v>
                </c:pt>
                <c:pt idx="81">
                  <c:v>-1.1861141326080898E-4</c:v>
                </c:pt>
                <c:pt idx="82">
                  <c:v>-8.0920645629828101E-5</c:v>
                </c:pt>
                <c:pt idx="83">
                  <c:v>-9.4889130608647181E-5</c:v>
                </c:pt>
                <c:pt idx="84">
                  <c:v>-6.4736516503862478E-5</c:v>
                </c:pt>
                <c:pt idx="85">
                  <c:v>-1.1861141326080898E-4</c:v>
                </c:pt>
                <c:pt idx="86">
                  <c:v>-8.0920645629828101E-5</c:v>
                </c:pt>
                <c:pt idx="87">
                  <c:v>-1.0568171698204363E-4</c:v>
                </c:pt>
                <c:pt idx="88">
                  <c:v>-1.0568171698204363E-4</c:v>
                </c:pt>
                <c:pt idx="89">
                  <c:v>-1.067853279781753E-4</c:v>
                </c:pt>
                <c:pt idx="90">
                  <c:v>-1.067853279781753E-4</c:v>
                </c:pt>
                <c:pt idx="91">
                  <c:v>-7.1121060229817985E-5</c:v>
                </c:pt>
                <c:pt idx="92">
                  <c:v>-7.1121060229817985E-5</c:v>
                </c:pt>
                <c:pt idx="93">
                  <c:v>-7.1121060229817985E-5</c:v>
                </c:pt>
                <c:pt idx="94">
                  <c:v>-7.1121060229817985E-5</c:v>
                </c:pt>
                <c:pt idx="95">
                  <c:v>-2.4161598044969133E-3</c:v>
                </c:pt>
                <c:pt idx="96">
                  <c:v>-2.5312150332824808E-3</c:v>
                </c:pt>
                <c:pt idx="97">
                  <c:v>-1.3054394682679949E-3</c:v>
                </c:pt>
                <c:pt idx="98">
                  <c:v>-2.9530842054962272E-3</c:v>
                </c:pt>
                <c:pt idx="99">
                  <c:v>-1.3676032524712327E-3</c:v>
                </c:pt>
                <c:pt idx="100">
                  <c:v>-1.5955371278831049E-3</c:v>
                </c:pt>
                <c:pt idx="101">
                  <c:v>-2.5975276068232966E-3</c:v>
                </c:pt>
                <c:pt idx="102">
                  <c:v>-2.721219397624406E-3</c:v>
                </c:pt>
                <c:pt idx="103">
                  <c:v>-3.4074048524956467E-3</c:v>
                </c:pt>
                <c:pt idx="104">
                  <c:v>-3.1747559638951399E-3</c:v>
                </c:pt>
                <c:pt idx="105">
                  <c:v>-1.8410043783266593E-3</c:v>
                </c:pt>
                <c:pt idx="106">
                  <c:v>-3.6631799583405462E-3</c:v>
                </c:pt>
                <c:pt idx="107">
                  <c:v>-4.8323196089938266E-3</c:v>
                </c:pt>
                <c:pt idx="108">
                  <c:v>-2.6108789365359899E-3</c:v>
                </c:pt>
                <c:pt idx="109">
                  <c:v>-5.1950552136465931E-3</c:v>
                </c:pt>
                <c:pt idx="110">
                  <c:v>-1.6353645891516245E-4</c:v>
                </c:pt>
                <c:pt idx="111">
                  <c:v>-1.3078063744341263E-4</c:v>
                </c:pt>
                <c:pt idx="112">
                  <c:v>-1.3401388779574273E-4</c:v>
                </c:pt>
                <c:pt idx="113">
                  <c:v>-1.3401388779574273E-4</c:v>
                </c:pt>
                <c:pt idx="114">
                  <c:v>-1.2383409019375524E-4</c:v>
                </c:pt>
                <c:pt idx="115">
                  <c:v>-1.2383409019375524E-4</c:v>
                </c:pt>
                <c:pt idx="116">
                  <c:v>-2.0420825625581466E-4</c:v>
                </c:pt>
                <c:pt idx="117">
                  <c:v>-1.0288771335031333E-4</c:v>
                </c:pt>
                <c:pt idx="118">
                  <c:v>-1.0288771335031333E-4</c:v>
                </c:pt>
                <c:pt idx="119">
                  <c:v>-1.3401388779574273E-4</c:v>
                </c:pt>
                <c:pt idx="120">
                  <c:v>-1.2383409019375524E-4</c:v>
                </c:pt>
                <c:pt idx="121">
                  <c:v>-5.2575506979843073E-5</c:v>
                </c:pt>
                <c:pt idx="122">
                  <c:v>-5.2575506979843073E-5</c:v>
                </c:pt>
                <c:pt idx="123">
                  <c:v>-1.3401388779574273E-4</c:v>
                </c:pt>
                <c:pt idx="124">
                  <c:v>-1.6353645891516245E-4</c:v>
                </c:pt>
                <c:pt idx="125">
                  <c:v>-1.2383409019375524E-4</c:v>
                </c:pt>
                <c:pt idx="126">
                  <c:v>-1.6353645891516245E-4</c:v>
                </c:pt>
                <c:pt idx="127">
                  <c:v>-1.3078063744341263E-4</c:v>
                </c:pt>
                <c:pt idx="128">
                  <c:v>-1.0288771335031333E-4</c:v>
                </c:pt>
                <c:pt idx="129">
                  <c:v>-1.3078063744341263E-4</c:v>
                </c:pt>
                <c:pt idx="130">
                  <c:v>-1.3082916713212997E-4</c:v>
                </c:pt>
                <c:pt idx="131">
                  <c:v>-2.0420825625581466E-4</c:v>
                </c:pt>
                <c:pt idx="132">
                  <c:v>-1.6353645891516245E-4</c:v>
                </c:pt>
                <c:pt idx="133">
                  <c:v>-1.0288771335031333E-4</c:v>
                </c:pt>
                <c:pt idx="134">
                  <c:v>-5.2575506979843073E-5</c:v>
                </c:pt>
                <c:pt idx="135">
                  <c:v>-5.2575506979843073E-5</c:v>
                </c:pt>
                <c:pt idx="136">
                  <c:v>-1.046245099547301E-4</c:v>
                </c:pt>
                <c:pt idx="137">
                  <c:v>-2.0420825625581466E-4</c:v>
                </c:pt>
                <c:pt idx="138">
                  <c:v>-1.3078063744341263E-4</c:v>
                </c:pt>
                <c:pt idx="139">
                  <c:v>-1.6336660500465173E-4</c:v>
                </c:pt>
                <c:pt idx="140">
                  <c:v>-5.2575506979843073E-5</c:v>
                </c:pt>
                <c:pt idx="141">
                  <c:v>-2.0420825625581466E-4</c:v>
                </c:pt>
                <c:pt idx="142">
                  <c:v>-3.832836099071531E-5</c:v>
                </c:pt>
                <c:pt idx="143">
                  <c:v>-5.2575506979843073E-5</c:v>
                </c:pt>
                <c:pt idx="144">
                  <c:v>-5.2575506979843073E-5</c:v>
                </c:pt>
                <c:pt idx="145">
                  <c:v>-5.2575506979843073E-5</c:v>
                </c:pt>
                <c:pt idx="146">
                  <c:v>-3.832836099071531E-5</c:v>
                </c:pt>
                <c:pt idx="147">
                  <c:v>-3.832836099071531E-5</c:v>
                </c:pt>
                <c:pt idx="148">
                  <c:v>-3.0662688792572247E-5</c:v>
                </c:pt>
                <c:pt idx="149">
                  <c:v>-3.832836099071531E-5</c:v>
                </c:pt>
                <c:pt idx="150">
                  <c:v>-2.1233726283419697E-3</c:v>
                </c:pt>
                <c:pt idx="151">
                  <c:v>-2.2244856106439686E-3</c:v>
                </c:pt>
                <c:pt idx="152">
                  <c:v>-2.2699193820295231E-3</c:v>
                </c:pt>
                <c:pt idx="153">
                  <c:v>-2.3780107811737857E-3</c:v>
                </c:pt>
                <c:pt idx="154">
                  <c:v>-2.5952332124179632E-3</c:v>
                </c:pt>
                <c:pt idx="155">
                  <c:v>-2.7743459113694167E-3</c:v>
                </c:pt>
                <c:pt idx="156">
                  <c:v>-1.0113075190954952E-3</c:v>
                </c:pt>
                <c:pt idx="157">
                  <c:v>-1.2360425233389387E-3</c:v>
                </c:pt>
                <c:pt idx="158">
                  <c:v>-1.0594650200048046E-3</c:v>
                </c:pt>
                <c:pt idx="159">
                  <c:v>-2.9944998604822652E-3</c:v>
                </c:pt>
                <c:pt idx="160">
                  <c:v>-3.2011683592724038E-3</c:v>
                </c:pt>
                <c:pt idx="161">
                  <c:v>-1.4262029115449293E-3</c:v>
                </c:pt>
                <c:pt idx="162">
                  <c:v>-4.2467452566839394E-3</c:v>
                </c:pt>
                <c:pt idx="163">
                  <c:v>-4.5398387640590461E-3</c:v>
                </c:pt>
                <c:pt idx="164">
                  <c:v>-2.0226150381909905E-3</c:v>
                </c:pt>
              </c:numCache>
            </c:numRef>
          </c:val>
          <c:extLst>
            <c:ext xmlns:c16="http://schemas.microsoft.com/office/drawing/2014/chart" uri="{C3380CC4-5D6E-409C-BE32-E72D297353CC}">
              <c16:uniqueId val="{00000001-F45C-465E-A516-77C650081690}"/>
            </c:ext>
          </c:extLst>
        </c:ser>
        <c:ser>
          <c:idx val="2"/>
          <c:order val="2"/>
          <c:tx>
            <c:strRef>
              <c:f>FIGURES!$E$397</c:f>
              <c:strCache>
                <c:ptCount val="1"/>
                <c:pt idx="0">
                  <c:v>Capex costumization</c:v>
                </c:pt>
              </c:strCache>
            </c:strRef>
          </c:tx>
          <c:spPr>
            <a:solidFill>
              <a:schemeClr val="accent3"/>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FIGURES!$E$398:$E$562</c:f>
              <c:numCache>
                <c:formatCode>General</c:formatCode>
                <c:ptCount val="165"/>
                <c:pt idx="0">
                  <c:v>6.8982996659853576E-5</c:v>
                </c:pt>
                <c:pt idx="1">
                  <c:v>6.8982996659853576E-5</c:v>
                </c:pt>
                <c:pt idx="2">
                  <c:v>7.6311881817276459E-4</c:v>
                </c:pt>
                <c:pt idx="3">
                  <c:v>3.4491498329926784E-4</c:v>
                </c:pt>
                <c:pt idx="4">
                  <c:v>6.8982996659853576E-5</c:v>
                </c:pt>
                <c:pt idx="5">
                  <c:v>6.8982996659853576E-5</c:v>
                </c:pt>
                <c:pt idx="6">
                  <c:v>6.8982996659853576E-5</c:v>
                </c:pt>
                <c:pt idx="7">
                  <c:v>3.4491498329926784E-4</c:v>
                </c:pt>
                <c:pt idx="8">
                  <c:v>6.8982996659853576E-5</c:v>
                </c:pt>
                <c:pt idx="9">
                  <c:v>7.6311881817276459E-4</c:v>
                </c:pt>
                <c:pt idx="10">
                  <c:v>7.6311881817276459E-4</c:v>
                </c:pt>
                <c:pt idx="11">
                  <c:v>7.6311881817276459E-4</c:v>
                </c:pt>
                <c:pt idx="12">
                  <c:v>5.087458787818432E-4</c:v>
                </c:pt>
                <c:pt idx="13">
                  <c:v>5.0874587878184309E-4</c:v>
                </c:pt>
                <c:pt idx="14">
                  <c:v>1.0174917575636864E-3</c:v>
                </c:pt>
                <c:pt idx="15">
                  <c:v>7.6311881817276459E-4</c:v>
                </c:pt>
                <c:pt idx="16">
                  <c:v>7.6311881817276459E-4</c:v>
                </c:pt>
                <c:pt idx="17">
                  <c:v>7.6311881817276459E-4</c:v>
                </c:pt>
                <c:pt idx="18">
                  <c:v>6.8982996659853576E-5</c:v>
                </c:pt>
                <c:pt idx="19">
                  <c:v>6.8982996659853576E-5</c:v>
                </c:pt>
                <c:pt idx="20">
                  <c:v>5.087458787818432E-4</c:v>
                </c:pt>
                <c:pt idx="21">
                  <c:v>5.087458787818432E-4</c:v>
                </c:pt>
                <c:pt idx="22">
                  <c:v>5.0874587878184309E-4</c:v>
                </c:pt>
                <c:pt idx="23">
                  <c:v>7.6311881817276459E-4</c:v>
                </c:pt>
                <c:pt idx="24">
                  <c:v>1.0174917575636864E-3</c:v>
                </c:pt>
                <c:pt idx="25">
                  <c:v>5.0874587878184309E-4</c:v>
                </c:pt>
                <c:pt idx="26">
                  <c:v>1.0174917575636864E-3</c:v>
                </c:pt>
                <c:pt idx="27">
                  <c:v>6.8982996659853576E-5</c:v>
                </c:pt>
                <c:pt idx="28">
                  <c:v>6.8982996659853576E-5</c:v>
                </c:pt>
                <c:pt idx="29">
                  <c:v>3.4491498329926784E-4</c:v>
                </c:pt>
                <c:pt idx="30">
                  <c:v>5.087458787818432E-4</c:v>
                </c:pt>
                <c:pt idx="31">
                  <c:v>6.8982996659853576E-5</c:v>
                </c:pt>
                <c:pt idx="32">
                  <c:v>3.4491498329926784E-4</c:v>
                </c:pt>
                <c:pt idx="33">
                  <c:v>5.0874587878184309E-4</c:v>
                </c:pt>
                <c:pt idx="34">
                  <c:v>1.0174917575636864E-3</c:v>
                </c:pt>
                <c:pt idx="35">
                  <c:v>6.8982996659853576E-5</c:v>
                </c:pt>
                <c:pt idx="36">
                  <c:v>6.8982996659853576E-5</c:v>
                </c:pt>
                <c:pt idx="37">
                  <c:v>6.8982996659853576E-5</c:v>
                </c:pt>
                <c:pt idx="38">
                  <c:v>3.4491498329926784E-4</c:v>
                </c:pt>
                <c:pt idx="39">
                  <c:v>6.8982996659853576E-5</c:v>
                </c:pt>
                <c:pt idx="40">
                  <c:v>2.964391815717463E-3</c:v>
                </c:pt>
                <c:pt idx="41">
                  <c:v>1.552776665375814E-3</c:v>
                </c:pt>
                <c:pt idx="42">
                  <c:v>2.1135015723170798E-3</c:v>
                </c:pt>
                <c:pt idx="43">
                  <c:v>2.964391815717463E-3</c:v>
                </c:pt>
                <c:pt idx="44">
                  <c:v>1.552776665375814E-3</c:v>
                </c:pt>
                <c:pt idx="45">
                  <c:v>2.1135015723170798E-3</c:v>
                </c:pt>
                <c:pt idx="46">
                  <c:v>2.7870350404181278E-3</c:v>
                </c:pt>
                <c:pt idx="47">
                  <c:v>2.964391815717463E-3</c:v>
                </c:pt>
                <c:pt idx="48">
                  <c:v>1.552776665375814E-3</c:v>
                </c:pt>
                <c:pt idx="49">
                  <c:v>2.7870350404181278E-3</c:v>
                </c:pt>
                <c:pt idx="50">
                  <c:v>2.1135015723170798E-3</c:v>
                </c:pt>
                <c:pt idx="51">
                  <c:v>3.9525224209566176E-3</c:v>
                </c:pt>
                <c:pt idx="52">
                  <c:v>2.7870350404181278E-3</c:v>
                </c:pt>
                <c:pt idx="53">
                  <c:v>3.9525224209566176E-3</c:v>
                </c:pt>
                <c:pt idx="54">
                  <c:v>3.9525224209566176E-3</c:v>
                </c:pt>
                <c:pt idx="55">
                  <c:v>6.8982996659853576E-5</c:v>
                </c:pt>
                <c:pt idx="56">
                  <c:v>6.8982996659853576E-5</c:v>
                </c:pt>
                <c:pt idx="57">
                  <c:v>7.6311881817276459E-4</c:v>
                </c:pt>
                <c:pt idx="58">
                  <c:v>3.4491498329926784E-4</c:v>
                </c:pt>
                <c:pt idx="59">
                  <c:v>6.8982996659853576E-5</c:v>
                </c:pt>
                <c:pt idx="60">
                  <c:v>6.8982996659853576E-5</c:v>
                </c:pt>
                <c:pt idx="61">
                  <c:v>6.8982996659853576E-5</c:v>
                </c:pt>
                <c:pt idx="62">
                  <c:v>7.6311881817276459E-4</c:v>
                </c:pt>
                <c:pt idx="63">
                  <c:v>3.4491498329926784E-4</c:v>
                </c:pt>
                <c:pt idx="64">
                  <c:v>7.6311881817276459E-4</c:v>
                </c:pt>
                <c:pt idx="65">
                  <c:v>5.087458787818432E-4</c:v>
                </c:pt>
                <c:pt idx="66">
                  <c:v>6.8982996659853576E-5</c:v>
                </c:pt>
                <c:pt idx="67">
                  <c:v>7.6311881817276459E-4</c:v>
                </c:pt>
                <c:pt idx="68">
                  <c:v>7.6311881817276459E-4</c:v>
                </c:pt>
                <c:pt idx="69">
                  <c:v>5.0874587878184309E-4</c:v>
                </c:pt>
                <c:pt idx="70">
                  <c:v>1.0174917575636864E-3</c:v>
                </c:pt>
                <c:pt idx="71">
                  <c:v>7.6311881817276459E-4</c:v>
                </c:pt>
                <c:pt idx="72">
                  <c:v>7.6311881817276459E-4</c:v>
                </c:pt>
                <c:pt idx="73">
                  <c:v>7.6311881817276459E-4</c:v>
                </c:pt>
                <c:pt idx="74">
                  <c:v>5.087458787818432E-4</c:v>
                </c:pt>
                <c:pt idx="75">
                  <c:v>5.0874587878184309E-4</c:v>
                </c:pt>
                <c:pt idx="76">
                  <c:v>6.8982996659853576E-5</c:v>
                </c:pt>
                <c:pt idx="77">
                  <c:v>6.8982996659853576E-5</c:v>
                </c:pt>
                <c:pt idx="78">
                  <c:v>1.0174917575636864E-3</c:v>
                </c:pt>
                <c:pt idx="79">
                  <c:v>6.8982996659853576E-5</c:v>
                </c:pt>
                <c:pt idx="80">
                  <c:v>6.8982996659853576E-5</c:v>
                </c:pt>
                <c:pt idx="81">
                  <c:v>5.087458787818432E-4</c:v>
                </c:pt>
                <c:pt idx="82">
                  <c:v>5.087458787818432E-4</c:v>
                </c:pt>
                <c:pt idx="83">
                  <c:v>5.0874587878184309E-4</c:v>
                </c:pt>
                <c:pt idx="84">
                  <c:v>5.0874587878184309E-4</c:v>
                </c:pt>
                <c:pt idx="85">
                  <c:v>1.0174917575636864E-3</c:v>
                </c:pt>
                <c:pt idx="86">
                  <c:v>1.0174917575636864E-3</c:v>
                </c:pt>
                <c:pt idx="87">
                  <c:v>3.4491498329926784E-4</c:v>
                </c:pt>
                <c:pt idx="88">
                  <c:v>6.8982996659853576E-5</c:v>
                </c:pt>
                <c:pt idx="89">
                  <c:v>3.4491498329926784E-4</c:v>
                </c:pt>
                <c:pt idx="90">
                  <c:v>6.8982996659853576E-5</c:v>
                </c:pt>
                <c:pt idx="91">
                  <c:v>6.8982996659853576E-5</c:v>
                </c:pt>
                <c:pt idx="92">
                  <c:v>6.8982996659853576E-5</c:v>
                </c:pt>
                <c:pt idx="93">
                  <c:v>3.4491498329926784E-4</c:v>
                </c:pt>
                <c:pt idx="94">
                  <c:v>6.8982996659853576E-5</c:v>
                </c:pt>
                <c:pt idx="95">
                  <c:v>2.964391815717463E-3</c:v>
                </c:pt>
                <c:pt idx="96">
                  <c:v>1.552776665375814E-3</c:v>
                </c:pt>
                <c:pt idx="97">
                  <c:v>2.964391815717463E-3</c:v>
                </c:pt>
                <c:pt idx="98">
                  <c:v>2.1135015723170798E-3</c:v>
                </c:pt>
                <c:pt idx="99">
                  <c:v>1.552776665375814E-3</c:v>
                </c:pt>
                <c:pt idx="100">
                  <c:v>2.1135015723170798E-3</c:v>
                </c:pt>
                <c:pt idx="101">
                  <c:v>2.964391815717463E-3</c:v>
                </c:pt>
                <c:pt idx="102">
                  <c:v>1.552776665375814E-3</c:v>
                </c:pt>
                <c:pt idx="103">
                  <c:v>2.7870350404181278E-3</c:v>
                </c:pt>
                <c:pt idx="104">
                  <c:v>2.1135015723170798E-3</c:v>
                </c:pt>
                <c:pt idx="105">
                  <c:v>2.7870350404181278E-3</c:v>
                </c:pt>
                <c:pt idx="106">
                  <c:v>2.7870350404181278E-3</c:v>
                </c:pt>
                <c:pt idx="107">
                  <c:v>3.9525224209566176E-3</c:v>
                </c:pt>
                <c:pt idx="108">
                  <c:v>3.9525224209566176E-3</c:v>
                </c:pt>
                <c:pt idx="109">
                  <c:v>3.9525224209566176E-3</c:v>
                </c:pt>
                <c:pt idx="110">
                  <c:v>7.6311881817276459E-4</c:v>
                </c:pt>
                <c:pt idx="111">
                  <c:v>7.6311881817276459E-4</c:v>
                </c:pt>
                <c:pt idx="112">
                  <c:v>6.8982996659853576E-5</c:v>
                </c:pt>
                <c:pt idx="113">
                  <c:v>6.8982996659853576E-5</c:v>
                </c:pt>
                <c:pt idx="114">
                  <c:v>6.8982996659853576E-5</c:v>
                </c:pt>
                <c:pt idx="115">
                  <c:v>6.8982996659853576E-5</c:v>
                </c:pt>
                <c:pt idx="116">
                  <c:v>7.6311881817276459E-4</c:v>
                </c:pt>
                <c:pt idx="117">
                  <c:v>6.8982996659853576E-5</c:v>
                </c:pt>
                <c:pt idx="118">
                  <c:v>6.8982996659853576E-5</c:v>
                </c:pt>
                <c:pt idx="119">
                  <c:v>3.4491498329926784E-4</c:v>
                </c:pt>
                <c:pt idx="120">
                  <c:v>3.4491498329926784E-4</c:v>
                </c:pt>
                <c:pt idx="121">
                  <c:v>6.8982996659853576E-5</c:v>
                </c:pt>
                <c:pt idx="122">
                  <c:v>6.8982996659853576E-5</c:v>
                </c:pt>
                <c:pt idx="123">
                  <c:v>6.8982996659853576E-5</c:v>
                </c:pt>
                <c:pt idx="124">
                  <c:v>7.6311881817276459E-4</c:v>
                </c:pt>
                <c:pt idx="125">
                  <c:v>6.8982996659853576E-5</c:v>
                </c:pt>
                <c:pt idx="126">
                  <c:v>5.087458787818432E-4</c:v>
                </c:pt>
                <c:pt idx="127">
                  <c:v>7.6311881817276459E-4</c:v>
                </c:pt>
                <c:pt idx="128">
                  <c:v>3.4491498329926784E-4</c:v>
                </c:pt>
                <c:pt idx="129">
                  <c:v>5.087458787818432E-4</c:v>
                </c:pt>
                <c:pt idx="130">
                  <c:v>5.0874587878184309E-4</c:v>
                </c:pt>
                <c:pt idx="131">
                  <c:v>7.6311881817276459E-4</c:v>
                </c:pt>
                <c:pt idx="132">
                  <c:v>1.0174917575636864E-3</c:v>
                </c:pt>
                <c:pt idx="133">
                  <c:v>6.8982996659853576E-5</c:v>
                </c:pt>
                <c:pt idx="134">
                  <c:v>6.8982996659853576E-5</c:v>
                </c:pt>
                <c:pt idx="135">
                  <c:v>6.8982996659853576E-5</c:v>
                </c:pt>
                <c:pt idx="136">
                  <c:v>5.0874587878184309E-4</c:v>
                </c:pt>
                <c:pt idx="137">
                  <c:v>5.087458787818432E-4</c:v>
                </c:pt>
                <c:pt idx="138">
                  <c:v>1.0174917575636864E-3</c:v>
                </c:pt>
                <c:pt idx="139">
                  <c:v>5.0874587878184309E-4</c:v>
                </c:pt>
                <c:pt idx="140">
                  <c:v>3.4491498329926784E-4</c:v>
                </c:pt>
                <c:pt idx="141">
                  <c:v>1.0174917575636864E-3</c:v>
                </c:pt>
                <c:pt idx="142">
                  <c:v>7.6311881817276459E-4</c:v>
                </c:pt>
                <c:pt idx="143">
                  <c:v>6.8982996659853576E-5</c:v>
                </c:pt>
                <c:pt idx="144">
                  <c:v>3.4491498329926784E-4</c:v>
                </c:pt>
                <c:pt idx="145">
                  <c:v>6.8982996659853576E-5</c:v>
                </c:pt>
                <c:pt idx="146">
                  <c:v>7.6311881817276459E-4</c:v>
                </c:pt>
                <c:pt idx="147">
                  <c:v>5.087458787818432E-4</c:v>
                </c:pt>
                <c:pt idx="148">
                  <c:v>5.0874587878184309E-4</c:v>
                </c:pt>
                <c:pt idx="149">
                  <c:v>1.0174917575636864E-3</c:v>
                </c:pt>
                <c:pt idx="150">
                  <c:v>2.964391815717463E-3</c:v>
                </c:pt>
                <c:pt idx="151">
                  <c:v>1.552776665375814E-3</c:v>
                </c:pt>
                <c:pt idx="152">
                  <c:v>2.964391815717463E-3</c:v>
                </c:pt>
                <c:pt idx="153">
                  <c:v>1.552776665375814E-3</c:v>
                </c:pt>
                <c:pt idx="154">
                  <c:v>2.1135015723170798E-3</c:v>
                </c:pt>
                <c:pt idx="155">
                  <c:v>2.1135015723170798E-3</c:v>
                </c:pt>
                <c:pt idx="156">
                  <c:v>2.964391815717463E-3</c:v>
                </c:pt>
                <c:pt idx="157">
                  <c:v>2.1135015723170798E-3</c:v>
                </c:pt>
                <c:pt idx="158">
                  <c:v>1.552776665375814E-3</c:v>
                </c:pt>
                <c:pt idx="159">
                  <c:v>2.7870350404181278E-3</c:v>
                </c:pt>
                <c:pt idx="160">
                  <c:v>2.7870350404181278E-3</c:v>
                </c:pt>
                <c:pt idx="161">
                  <c:v>2.7870350404181278E-3</c:v>
                </c:pt>
                <c:pt idx="162">
                  <c:v>3.9525224209566176E-3</c:v>
                </c:pt>
                <c:pt idx="163">
                  <c:v>3.9525224209566176E-3</c:v>
                </c:pt>
                <c:pt idx="164">
                  <c:v>3.9525224209566176E-3</c:v>
                </c:pt>
              </c:numCache>
            </c:numRef>
          </c:val>
          <c:extLst>
            <c:ext xmlns:c16="http://schemas.microsoft.com/office/drawing/2014/chart" uri="{C3380CC4-5D6E-409C-BE32-E72D297353CC}">
              <c16:uniqueId val="{00000002-F45C-465E-A516-77C650081690}"/>
            </c:ext>
          </c:extLst>
        </c:ser>
        <c:ser>
          <c:idx val="3"/>
          <c:order val="3"/>
          <c:tx>
            <c:strRef>
              <c:f>FIGURES!$F$397</c:f>
              <c:strCache>
                <c:ptCount val="1"/>
                <c:pt idx="0">
                  <c:v>Residual value (costumization)</c:v>
                </c:pt>
              </c:strCache>
            </c:strRef>
          </c:tx>
          <c:spPr>
            <a:solidFill>
              <a:schemeClr val="accent4"/>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FIGURES!$F$398:$F$562</c:f>
              <c:numCache>
                <c:formatCode>General</c:formatCode>
                <c:ptCount val="165"/>
                <c:pt idx="0">
                  <c:v>-6.8982996659853564E-6</c:v>
                </c:pt>
                <c:pt idx="1">
                  <c:v>-6.8982996659853564E-6</c:v>
                </c:pt>
                <c:pt idx="2">
                  <c:v>-3.8155940908638231E-5</c:v>
                </c:pt>
                <c:pt idx="3">
                  <c:v>-3.4491498329926788E-5</c:v>
                </c:pt>
                <c:pt idx="4">
                  <c:v>-6.8982996659853564E-6</c:v>
                </c:pt>
                <c:pt idx="5">
                  <c:v>-6.8982996659853564E-6</c:v>
                </c:pt>
                <c:pt idx="6">
                  <c:v>-6.8982996659853564E-6</c:v>
                </c:pt>
                <c:pt idx="7">
                  <c:v>-3.4491498329926788E-5</c:v>
                </c:pt>
                <c:pt idx="8">
                  <c:v>-6.8982996659853564E-6</c:v>
                </c:pt>
                <c:pt idx="9">
                  <c:v>-3.8155940908638231E-5</c:v>
                </c:pt>
                <c:pt idx="10">
                  <c:v>-3.8155940908638231E-5</c:v>
                </c:pt>
                <c:pt idx="11">
                  <c:v>-3.8155940908638231E-5</c:v>
                </c:pt>
                <c:pt idx="12">
                  <c:v>-2.5437293939092156E-5</c:v>
                </c:pt>
                <c:pt idx="13">
                  <c:v>-2.5437293939092159E-5</c:v>
                </c:pt>
                <c:pt idx="14">
                  <c:v>-5.0874587878184312E-5</c:v>
                </c:pt>
                <c:pt idx="15">
                  <c:v>-3.8155940908638231E-5</c:v>
                </c:pt>
                <c:pt idx="16">
                  <c:v>-3.8155940908638231E-5</c:v>
                </c:pt>
                <c:pt idx="17">
                  <c:v>-3.8155940908638231E-5</c:v>
                </c:pt>
                <c:pt idx="18">
                  <c:v>-6.8982996659853564E-6</c:v>
                </c:pt>
                <c:pt idx="19">
                  <c:v>-6.8982996659853564E-6</c:v>
                </c:pt>
                <c:pt idx="20">
                  <c:v>-2.5437293939092156E-5</c:v>
                </c:pt>
                <c:pt idx="21">
                  <c:v>-2.5437293939092156E-5</c:v>
                </c:pt>
                <c:pt idx="22">
                  <c:v>-2.5437293939092159E-5</c:v>
                </c:pt>
                <c:pt idx="23">
                  <c:v>-3.8155940908638231E-5</c:v>
                </c:pt>
                <c:pt idx="24">
                  <c:v>-5.0874587878184312E-5</c:v>
                </c:pt>
                <c:pt idx="25">
                  <c:v>-2.5437293939092159E-5</c:v>
                </c:pt>
                <c:pt idx="26">
                  <c:v>-5.0874587878184312E-5</c:v>
                </c:pt>
                <c:pt idx="27">
                  <c:v>-6.8982996659853564E-6</c:v>
                </c:pt>
                <c:pt idx="28">
                  <c:v>-6.8982996659853564E-6</c:v>
                </c:pt>
                <c:pt idx="29">
                  <c:v>-3.4491498329926788E-5</c:v>
                </c:pt>
                <c:pt idx="30">
                  <c:v>-2.5437293939092156E-5</c:v>
                </c:pt>
                <c:pt idx="31">
                  <c:v>-6.8982996659853564E-6</c:v>
                </c:pt>
                <c:pt idx="32">
                  <c:v>-3.4491498329926788E-5</c:v>
                </c:pt>
                <c:pt idx="33">
                  <c:v>-2.5437293939092159E-5</c:v>
                </c:pt>
                <c:pt idx="34">
                  <c:v>-5.0874587878184312E-5</c:v>
                </c:pt>
                <c:pt idx="35">
                  <c:v>-6.8982996659853564E-6</c:v>
                </c:pt>
                <c:pt idx="36">
                  <c:v>-6.8982996659853564E-6</c:v>
                </c:pt>
                <c:pt idx="37">
                  <c:v>-6.8982996659853564E-6</c:v>
                </c:pt>
                <c:pt idx="38">
                  <c:v>-3.4491498329926788E-5</c:v>
                </c:pt>
                <c:pt idx="39">
                  <c:v>-6.8982996659853564E-6</c:v>
                </c:pt>
                <c:pt idx="40">
                  <c:v>-7.4109795392936575E-4</c:v>
                </c:pt>
                <c:pt idx="41">
                  <c:v>-3.8819416634395349E-4</c:v>
                </c:pt>
                <c:pt idx="42">
                  <c:v>-5.2837539307926996E-4</c:v>
                </c:pt>
                <c:pt idx="43">
                  <c:v>-7.4109795392936575E-4</c:v>
                </c:pt>
                <c:pt idx="44">
                  <c:v>-3.8819416634395349E-4</c:v>
                </c:pt>
                <c:pt idx="45">
                  <c:v>-5.2837539307926996E-4</c:v>
                </c:pt>
                <c:pt idx="46">
                  <c:v>-6.9675876010453195E-4</c:v>
                </c:pt>
                <c:pt idx="47">
                  <c:v>-7.4109795392936575E-4</c:v>
                </c:pt>
                <c:pt idx="48">
                  <c:v>-3.8819416634395349E-4</c:v>
                </c:pt>
                <c:pt idx="49">
                  <c:v>-6.9675876010453195E-4</c:v>
                </c:pt>
                <c:pt idx="50">
                  <c:v>-5.2837539307926996E-4</c:v>
                </c:pt>
                <c:pt idx="51">
                  <c:v>-9.8813060523915441E-4</c:v>
                </c:pt>
                <c:pt idx="52">
                  <c:v>-6.9675876010453195E-4</c:v>
                </c:pt>
                <c:pt idx="53">
                  <c:v>-9.8813060523915441E-4</c:v>
                </c:pt>
                <c:pt idx="54">
                  <c:v>-9.8813060523915441E-4</c:v>
                </c:pt>
                <c:pt idx="55">
                  <c:v>-6.8982996659853564E-6</c:v>
                </c:pt>
                <c:pt idx="56">
                  <c:v>-6.8982996659853564E-6</c:v>
                </c:pt>
                <c:pt idx="57">
                  <c:v>-3.8155940908638231E-5</c:v>
                </c:pt>
                <c:pt idx="58">
                  <c:v>-3.4491498329926788E-5</c:v>
                </c:pt>
                <c:pt idx="59">
                  <c:v>-6.8982996659853564E-6</c:v>
                </c:pt>
                <c:pt idx="60">
                  <c:v>-6.8982996659853564E-6</c:v>
                </c:pt>
                <c:pt idx="61">
                  <c:v>-6.8982996659853564E-6</c:v>
                </c:pt>
                <c:pt idx="62">
                  <c:v>-3.8155940908638231E-5</c:v>
                </c:pt>
                <c:pt idx="63">
                  <c:v>-3.4491498329926788E-5</c:v>
                </c:pt>
                <c:pt idx="64">
                  <c:v>-3.8155940908638231E-5</c:v>
                </c:pt>
                <c:pt idx="65">
                  <c:v>-2.5437293939092156E-5</c:v>
                </c:pt>
                <c:pt idx="66">
                  <c:v>-6.8982996659853564E-6</c:v>
                </c:pt>
                <c:pt idx="67">
                  <c:v>-3.8155940908638231E-5</c:v>
                </c:pt>
                <c:pt idx="68">
                  <c:v>-3.8155940908638231E-5</c:v>
                </c:pt>
                <c:pt idx="69">
                  <c:v>-2.5437293939092159E-5</c:v>
                </c:pt>
                <c:pt idx="70">
                  <c:v>-5.0874587878184312E-5</c:v>
                </c:pt>
                <c:pt idx="71">
                  <c:v>-3.8155940908638231E-5</c:v>
                </c:pt>
                <c:pt idx="72">
                  <c:v>-3.8155940908638231E-5</c:v>
                </c:pt>
                <c:pt idx="73">
                  <c:v>-3.8155940908638231E-5</c:v>
                </c:pt>
                <c:pt idx="74">
                  <c:v>-2.5437293939092156E-5</c:v>
                </c:pt>
                <c:pt idx="75">
                  <c:v>-2.5437293939092159E-5</c:v>
                </c:pt>
                <c:pt idx="76">
                  <c:v>-6.8982996659853564E-6</c:v>
                </c:pt>
                <c:pt idx="77">
                  <c:v>-6.8982996659853564E-6</c:v>
                </c:pt>
                <c:pt idx="78">
                  <c:v>-5.0874587878184312E-5</c:v>
                </c:pt>
                <c:pt idx="79">
                  <c:v>-6.8982996659853564E-6</c:v>
                </c:pt>
                <c:pt idx="80">
                  <c:v>-6.8982996659853564E-6</c:v>
                </c:pt>
                <c:pt idx="81">
                  <c:v>-2.5437293939092156E-5</c:v>
                </c:pt>
                <c:pt idx="82">
                  <c:v>-2.5437293939092156E-5</c:v>
                </c:pt>
                <c:pt idx="83">
                  <c:v>-2.5437293939092159E-5</c:v>
                </c:pt>
                <c:pt idx="84">
                  <c:v>-2.5437293939092159E-5</c:v>
                </c:pt>
                <c:pt idx="85">
                  <c:v>-5.0874587878184312E-5</c:v>
                </c:pt>
                <c:pt idx="86">
                  <c:v>-5.0874587878184312E-5</c:v>
                </c:pt>
                <c:pt idx="87">
                  <c:v>-3.4491498329926788E-5</c:v>
                </c:pt>
                <c:pt idx="88">
                  <c:v>-6.8982996659853564E-6</c:v>
                </c:pt>
                <c:pt idx="89">
                  <c:v>-3.4491498329926788E-5</c:v>
                </c:pt>
                <c:pt idx="90">
                  <c:v>-6.8982996659853564E-6</c:v>
                </c:pt>
                <c:pt idx="91">
                  <c:v>-6.8982996659853564E-6</c:v>
                </c:pt>
                <c:pt idx="92">
                  <c:v>-6.8982996659853564E-6</c:v>
                </c:pt>
                <c:pt idx="93">
                  <c:v>-3.4491498329926788E-5</c:v>
                </c:pt>
                <c:pt idx="94">
                  <c:v>-6.8982996659853564E-6</c:v>
                </c:pt>
                <c:pt idx="95">
                  <c:v>-7.4109795392936575E-4</c:v>
                </c:pt>
                <c:pt idx="96">
                  <c:v>-3.8819416634395349E-4</c:v>
                </c:pt>
                <c:pt idx="97">
                  <c:v>-7.4109795392936575E-4</c:v>
                </c:pt>
                <c:pt idx="98">
                  <c:v>-5.2837539307926996E-4</c:v>
                </c:pt>
                <c:pt idx="99">
                  <c:v>-3.8819416634395349E-4</c:v>
                </c:pt>
                <c:pt idx="100">
                  <c:v>-5.2837539307926996E-4</c:v>
                </c:pt>
                <c:pt idx="101">
                  <c:v>-7.4109795392936575E-4</c:v>
                </c:pt>
                <c:pt idx="102">
                  <c:v>-3.8819416634395349E-4</c:v>
                </c:pt>
                <c:pt idx="103">
                  <c:v>-6.9675876010453195E-4</c:v>
                </c:pt>
                <c:pt idx="104">
                  <c:v>-5.2837539307926996E-4</c:v>
                </c:pt>
                <c:pt idx="105">
                  <c:v>-6.9675876010453195E-4</c:v>
                </c:pt>
                <c:pt idx="106">
                  <c:v>-6.9675876010453195E-4</c:v>
                </c:pt>
                <c:pt idx="107">
                  <c:v>-9.8813060523915441E-4</c:v>
                </c:pt>
                <c:pt idx="108">
                  <c:v>-9.8813060523915441E-4</c:v>
                </c:pt>
                <c:pt idx="109">
                  <c:v>-9.8813060523915441E-4</c:v>
                </c:pt>
                <c:pt idx="110">
                  <c:v>-3.8155940908638231E-5</c:v>
                </c:pt>
                <c:pt idx="111">
                  <c:v>-3.8155940908638231E-5</c:v>
                </c:pt>
                <c:pt idx="112">
                  <c:v>-6.8982996659853564E-6</c:v>
                </c:pt>
                <c:pt idx="113">
                  <c:v>-6.8982996659853564E-6</c:v>
                </c:pt>
                <c:pt idx="114">
                  <c:v>-6.8982996659853564E-6</c:v>
                </c:pt>
                <c:pt idx="115">
                  <c:v>-6.8982996659853564E-6</c:v>
                </c:pt>
                <c:pt idx="116">
                  <c:v>-3.8155940908638231E-5</c:v>
                </c:pt>
                <c:pt idx="117">
                  <c:v>-6.8982996659853564E-6</c:v>
                </c:pt>
                <c:pt idx="118">
                  <c:v>-6.8982996659853564E-6</c:v>
                </c:pt>
                <c:pt idx="119">
                  <c:v>-3.4491498329926788E-5</c:v>
                </c:pt>
                <c:pt idx="120">
                  <c:v>-3.4491498329926788E-5</c:v>
                </c:pt>
                <c:pt idx="121">
                  <c:v>-6.8982996659853564E-6</c:v>
                </c:pt>
                <c:pt idx="122">
                  <c:v>-6.8982996659853564E-6</c:v>
                </c:pt>
                <c:pt idx="123">
                  <c:v>-6.8982996659853564E-6</c:v>
                </c:pt>
                <c:pt idx="124">
                  <c:v>-3.8155940908638231E-5</c:v>
                </c:pt>
                <c:pt idx="125">
                  <c:v>-6.8982996659853564E-6</c:v>
                </c:pt>
                <c:pt idx="126">
                  <c:v>-2.5437293939092156E-5</c:v>
                </c:pt>
                <c:pt idx="127">
                  <c:v>-3.8155940908638231E-5</c:v>
                </c:pt>
                <c:pt idx="128">
                  <c:v>-3.4491498329926788E-5</c:v>
                </c:pt>
                <c:pt idx="129">
                  <c:v>-2.5437293939092156E-5</c:v>
                </c:pt>
                <c:pt idx="130">
                  <c:v>-2.5437293939092159E-5</c:v>
                </c:pt>
                <c:pt idx="131">
                  <c:v>-3.8155940908638231E-5</c:v>
                </c:pt>
                <c:pt idx="132">
                  <c:v>-5.0874587878184312E-5</c:v>
                </c:pt>
                <c:pt idx="133">
                  <c:v>-6.8982996659853564E-6</c:v>
                </c:pt>
                <c:pt idx="134">
                  <c:v>-6.8982996659853564E-6</c:v>
                </c:pt>
                <c:pt idx="135">
                  <c:v>-6.8982996659853564E-6</c:v>
                </c:pt>
                <c:pt idx="136">
                  <c:v>-2.5437293939092159E-5</c:v>
                </c:pt>
                <c:pt idx="137">
                  <c:v>-2.5437293939092156E-5</c:v>
                </c:pt>
                <c:pt idx="138">
                  <c:v>-5.0874587878184312E-5</c:v>
                </c:pt>
                <c:pt idx="139">
                  <c:v>-2.5437293939092159E-5</c:v>
                </c:pt>
                <c:pt idx="140">
                  <c:v>-3.4491498329926788E-5</c:v>
                </c:pt>
                <c:pt idx="141">
                  <c:v>-5.0874587878184312E-5</c:v>
                </c:pt>
                <c:pt idx="142">
                  <c:v>-3.8155940908638231E-5</c:v>
                </c:pt>
                <c:pt idx="143">
                  <c:v>-6.8982996659853564E-6</c:v>
                </c:pt>
                <c:pt idx="144">
                  <c:v>-3.4491498329926788E-5</c:v>
                </c:pt>
                <c:pt idx="145">
                  <c:v>-6.8982996659853564E-6</c:v>
                </c:pt>
                <c:pt idx="146">
                  <c:v>-3.8155940908638231E-5</c:v>
                </c:pt>
                <c:pt idx="147">
                  <c:v>-2.5437293939092156E-5</c:v>
                </c:pt>
                <c:pt idx="148">
                  <c:v>-2.5437293939092159E-5</c:v>
                </c:pt>
                <c:pt idx="149">
                  <c:v>-5.0874587878184312E-5</c:v>
                </c:pt>
                <c:pt idx="150">
                  <c:v>-7.4109795392936575E-4</c:v>
                </c:pt>
                <c:pt idx="151">
                  <c:v>-3.8819416634395349E-4</c:v>
                </c:pt>
                <c:pt idx="152">
                  <c:v>-7.4109795392936575E-4</c:v>
                </c:pt>
                <c:pt idx="153">
                  <c:v>-3.8819416634395349E-4</c:v>
                </c:pt>
                <c:pt idx="154">
                  <c:v>-5.2837539307926996E-4</c:v>
                </c:pt>
                <c:pt idx="155">
                  <c:v>-5.2837539307926996E-4</c:v>
                </c:pt>
                <c:pt idx="156">
                  <c:v>-7.4109795392936575E-4</c:v>
                </c:pt>
                <c:pt idx="157">
                  <c:v>-5.2837539307926996E-4</c:v>
                </c:pt>
                <c:pt idx="158">
                  <c:v>-3.8819416634395349E-4</c:v>
                </c:pt>
                <c:pt idx="159">
                  <c:v>-6.9675876010453195E-4</c:v>
                </c:pt>
                <c:pt idx="160">
                  <c:v>-6.9675876010453195E-4</c:v>
                </c:pt>
                <c:pt idx="161">
                  <c:v>-6.9675876010453195E-4</c:v>
                </c:pt>
                <c:pt idx="162">
                  <c:v>-9.8813060523915441E-4</c:v>
                </c:pt>
                <c:pt idx="163">
                  <c:v>-9.8813060523915441E-4</c:v>
                </c:pt>
                <c:pt idx="164">
                  <c:v>-9.8813060523915441E-4</c:v>
                </c:pt>
              </c:numCache>
            </c:numRef>
          </c:val>
          <c:extLst>
            <c:ext xmlns:c16="http://schemas.microsoft.com/office/drawing/2014/chart" uri="{C3380CC4-5D6E-409C-BE32-E72D297353CC}">
              <c16:uniqueId val="{00000003-F45C-465E-A516-77C650081690}"/>
            </c:ext>
          </c:extLst>
        </c:ser>
        <c:ser>
          <c:idx val="4"/>
          <c:order val="4"/>
          <c:tx>
            <c:strRef>
              <c:f>FIGURES!$G$397</c:f>
              <c:strCache>
                <c:ptCount val="1"/>
                <c:pt idx="0">
                  <c:v>Opex fix (admin, crew, insurance)</c:v>
                </c:pt>
              </c:strCache>
            </c:strRef>
          </c:tx>
          <c:spPr>
            <a:solidFill>
              <a:schemeClr val="accent5"/>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FIGURES!$G$398:$G$562</c:f>
              <c:numCache>
                <c:formatCode>General</c:formatCode>
                <c:ptCount val="165"/>
                <c:pt idx="0">
                  <c:v>1.0654632223259673E-3</c:v>
                </c:pt>
                <c:pt idx="1">
                  <c:v>1.0654632223259673E-3</c:v>
                </c:pt>
                <c:pt idx="2">
                  <c:v>1.6256502601040416E-3</c:v>
                </c:pt>
                <c:pt idx="3">
                  <c:v>1.0654632223259673E-3</c:v>
                </c:pt>
                <c:pt idx="4">
                  <c:v>1.0654632223259673E-3</c:v>
                </c:pt>
                <c:pt idx="5">
                  <c:v>1.0654632223259673E-3</c:v>
                </c:pt>
                <c:pt idx="6">
                  <c:v>1.0654632223259673E-3</c:v>
                </c:pt>
                <c:pt idx="7">
                  <c:v>1.0654632223259673E-3</c:v>
                </c:pt>
                <c:pt idx="8">
                  <c:v>1.0654632223259673E-3</c:v>
                </c:pt>
                <c:pt idx="9">
                  <c:v>3.6264505802320927E-3</c:v>
                </c:pt>
                <c:pt idx="10">
                  <c:v>1.6256502601040416E-3</c:v>
                </c:pt>
                <c:pt idx="11">
                  <c:v>1.6256502601040416E-3</c:v>
                </c:pt>
                <c:pt idx="12">
                  <c:v>1.525610244097639E-3</c:v>
                </c:pt>
                <c:pt idx="13">
                  <c:v>1.3005202080832333E-3</c:v>
                </c:pt>
                <c:pt idx="14">
                  <c:v>1.5506202480992397E-3</c:v>
                </c:pt>
                <c:pt idx="15">
                  <c:v>3.6264505802320927E-3</c:v>
                </c:pt>
                <c:pt idx="16">
                  <c:v>3.6264505802320927E-3</c:v>
                </c:pt>
                <c:pt idx="17">
                  <c:v>1.6256502601040416E-3</c:v>
                </c:pt>
                <c:pt idx="18">
                  <c:v>1.0654632223259673E-3</c:v>
                </c:pt>
                <c:pt idx="19">
                  <c:v>1.0654632223259673E-3</c:v>
                </c:pt>
                <c:pt idx="20">
                  <c:v>1.525610244097639E-3</c:v>
                </c:pt>
                <c:pt idx="21">
                  <c:v>1.525610244097639E-3</c:v>
                </c:pt>
                <c:pt idx="22">
                  <c:v>1.3005202080832333E-3</c:v>
                </c:pt>
                <c:pt idx="23">
                  <c:v>3.6264505802320927E-3</c:v>
                </c:pt>
                <c:pt idx="24">
                  <c:v>1.5506202480992397E-3</c:v>
                </c:pt>
                <c:pt idx="25">
                  <c:v>1.3005202080832333E-3</c:v>
                </c:pt>
                <c:pt idx="26">
                  <c:v>1.5506202480992397E-3</c:v>
                </c:pt>
                <c:pt idx="27">
                  <c:v>1.0654632223259673E-3</c:v>
                </c:pt>
                <c:pt idx="28">
                  <c:v>1.0654632223259673E-3</c:v>
                </c:pt>
                <c:pt idx="29">
                  <c:v>1.0654632223259673E-3</c:v>
                </c:pt>
                <c:pt idx="30">
                  <c:v>1.525610244097639E-3</c:v>
                </c:pt>
                <c:pt idx="31">
                  <c:v>1.0654632223259673E-3</c:v>
                </c:pt>
                <c:pt idx="32">
                  <c:v>1.0654632223259673E-3</c:v>
                </c:pt>
                <c:pt idx="33">
                  <c:v>1.3005202080832333E-3</c:v>
                </c:pt>
                <c:pt idx="34">
                  <c:v>1.5506202480992397E-3</c:v>
                </c:pt>
                <c:pt idx="35">
                  <c:v>1.0654632223259673E-3</c:v>
                </c:pt>
                <c:pt idx="36">
                  <c:v>1.0654632223259673E-3</c:v>
                </c:pt>
                <c:pt idx="37">
                  <c:v>1.0654632223259673E-3</c:v>
                </c:pt>
                <c:pt idx="38">
                  <c:v>1.0654632223259673E-3</c:v>
                </c:pt>
                <c:pt idx="39">
                  <c:v>1.0654632223259673E-3</c:v>
                </c:pt>
                <c:pt idx="40">
                  <c:v>2.5454545454545455E-2</c:v>
                </c:pt>
                <c:pt idx="41">
                  <c:v>2.6666666666666665E-2</c:v>
                </c:pt>
                <c:pt idx="42">
                  <c:v>3.111111111111111E-2</c:v>
                </c:pt>
                <c:pt idx="43">
                  <c:v>2.5454545454545455E-2</c:v>
                </c:pt>
                <c:pt idx="44">
                  <c:v>2.6666666666666665E-2</c:v>
                </c:pt>
                <c:pt idx="45">
                  <c:v>3.111111111111111E-2</c:v>
                </c:pt>
                <c:pt idx="46">
                  <c:v>3.5897435897435902E-2</c:v>
                </c:pt>
                <c:pt idx="47">
                  <c:v>2.5454545454545455E-2</c:v>
                </c:pt>
                <c:pt idx="48">
                  <c:v>2.6666666666666665E-2</c:v>
                </c:pt>
                <c:pt idx="49">
                  <c:v>3.5897435897435902E-2</c:v>
                </c:pt>
                <c:pt idx="50">
                  <c:v>3.111111111111111E-2</c:v>
                </c:pt>
                <c:pt idx="51">
                  <c:v>5.0909090909090911E-2</c:v>
                </c:pt>
                <c:pt idx="52">
                  <c:v>3.5897435897435902E-2</c:v>
                </c:pt>
                <c:pt idx="53">
                  <c:v>5.0909090909090911E-2</c:v>
                </c:pt>
                <c:pt idx="54">
                  <c:v>5.0909090909090911E-2</c:v>
                </c:pt>
                <c:pt idx="55">
                  <c:v>1.0654632223259673E-3</c:v>
                </c:pt>
                <c:pt idx="56">
                  <c:v>1.0654632223259673E-3</c:v>
                </c:pt>
                <c:pt idx="57">
                  <c:v>1.6256502601040416E-3</c:v>
                </c:pt>
                <c:pt idx="58">
                  <c:v>1.0654632223259673E-3</c:v>
                </c:pt>
                <c:pt idx="59">
                  <c:v>1.0654632223259673E-3</c:v>
                </c:pt>
                <c:pt idx="60">
                  <c:v>1.0654632223259673E-3</c:v>
                </c:pt>
                <c:pt idx="61">
                  <c:v>1.0654632223259673E-3</c:v>
                </c:pt>
                <c:pt idx="62">
                  <c:v>1.6256502601040416E-3</c:v>
                </c:pt>
                <c:pt idx="63">
                  <c:v>1.0654632223259673E-3</c:v>
                </c:pt>
                <c:pt idx="64">
                  <c:v>3.6264505802320927E-3</c:v>
                </c:pt>
                <c:pt idx="65">
                  <c:v>1.525610244097639E-3</c:v>
                </c:pt>
                <c:pt idx="66">
                  <c:v>1.0654632223259673E-3</c:v>
                </c:pt>
                <c:pt idx="67">
                  <c:v>1.6256502601040416E-3</c:v>
                </c:pt>
                <c:pt idx="68">
                  <c:v>1.6256502601040416E-3</c:v>
                </c:pt>
                <c:pt idx="69">
                  <c:v>1.3005202080832333E-3</c:v>
                </c:pt>
                <c:pt idx="70">
                  <c:v>1.5506202480992397E-3</c:v>
                </c:pt>
                <c:pt idx="71">
                  <c:v>3.6264505802320927E-3</c:v>
                </c:pt>
                <c:pt idx="72">
                  <c:v>3.6264505802320927E-3</c:v>
                </c:pt>
                <c:pt idx="73">
                  <c:v>3.6264505802320927E-3</c:v>
                </c:pt>
                <c:pt idx="74">
                  <c:v>1.525610244097639E-3</c:v>
                </c:pt>
                <c:pt idx="75">
                  <c:v>1.3005202080832333E-3</c:v>
                </c:pt>
                <c:pt idx="76">
                  <c:v>1.0654632223259673E-3</c:v>
                </c:pt>
                <c:pt idx="77">
                  <c:v>1.0654632223259673E-3</c:v>
                </c:pt>
                <c:pt idx="78">
                  <c:v>1.5506202480992397E-3</c:v>
                </c:pt>
                <c:pt idx="79">
                  <c:v>1.0654632223259673E-3</c:v>
                </c:pt>
                <c:pt idx="80">
                  <c:v>1.0654632223259673E-3</c:v>
                </c:pt>
                <c:pt idx="81">
                  <c:v>1.525610244097639E-3</c:v>
                </c:pt>
                <c:pt idx="82">
                  <c:v>1.525610244097639E-3</c:v>
                </c:pt>
                <c:pt idx="83">
                  <c:v>1.3005202080832333E-3</c:v>
                </c:pt>
                <c:pt idx="84">
                  <c:v>1.3005202080832333E-3</c:v>
                </c:pt>
                <c:pt idx="85">
                  <c:v>1.5506202480992397E-3</c:v>
                </c:pt>
                <c:pt idx="86">
                  <c:v>1.5506202480992397E-3</c:v>
                </c:pt>
                <c:pt idx="87">
                  <c:v>1.0654632223259673E-3</c:v>
                </c:pt>
                <c:pt idx="88">
                  <c:v>1.0654632223259673E-3</c:v>
                </c:pt>
                <c:pt idx="89">
                  <c:v>1.0654632223259673E-3</c:v>
                </c:pt>
                <c:pt idx="90">
                  <c:v>1.0654632223259673E-3</c:v>
                </c:pt>
                <c:pt idx="91">
                  <c:v>1.0654632223259673E-3</c:v>
                </c:pt>
                <c:pt idx="92">
                  <c:v>1.0654632223259673E-3</c:v>
                </c:pt>
                <c:pt idx="93">
                  <c:v>1.0654632223259673E-3</c:v>
                </c:pt>
                <c:pt idx="94">
                  <c:v>1.0654632223259673E-3</c:v>
                </c:pt>
                <c:pt idx="95">
                  <c:v>2.5454545454545455E-2</c:v>
                </c:pt>
                <c:pt idx="96">
                  <c:v>2.6666666666666665E-2</c:v>
                </c:pt>
                <c:pt idx="97">
                  <c:v>2.5454545454545455E-2</c:v>
                </c:pt>
                <c:pt idx="98">
                  <c:v>3.111111111111111E-2</c:v>
                </c:pt>
                <c:pt idx="99">
                  <c:v>2.6666666666666665E-2</c:v>
                </c:pt>
                <c:pt idx="100">
                  <c:v>3.111111111111111E-2</c:v>
                </c:pt>
                <c:pt idx="101">
                  <c:v>2.5454545454545455E-2</c:v>
                </c:pt>
                <c:pt idx="102">
                  <c:v>2.6666666666666665E-2</c:v>
                </c:pt>
                <c:pt idx="103">
                  <c:v>3.5897435897435902E-2</c:v>
                </c:pt>
                <c:pt idx="104">
                  <c:v>3.111111111111111E-2</c:v>
                </c:pt>
                <c:pt idx="105">
                  <c:v>3.5897435897435902E-2</c:v>
                </c:pt>
                <c:pt idx="106">
                  <c:v>3.5897435897435902E-2</c:v>
                </c:pt>
                <c:pt idx="107">
                  <c:v>5.0909090909090911E-2</c:v>
                </c:pt>
                <c:pt idx="108">
                  <c:v>5.0909090909090911E-2</c:v>
                </c:pt>
                <c:pt idx="109">
                  <c:v>5.0909090909090911E-2</c:v>
                </c:pt>
                <c:pt idx="110">
                  <c:v>1.6256502601040416E-3</c:v>
                </c:pt>
                <c:pt idx="111">
                  <c:v>1.6256502601040416E-3</c:v>
                </c:pt>
                <c:pt idx="112">
                  <c:v>1.0654632223259673E-3</c:v>
                </c:pt>
                <c:pt idx="113">
                  <c:v>1.0654632223259673E-3</c:v>
                </c:pt>
                <c:pt idx="114">
                  <c:v>1.0654632223259673E-3</c:v>
                </c:pt>
                <c:pt idx="115">
                  <c:v>1.0654632223259673E-3</c:v>
                </c:pt>
                <c:pt idx="116">
                  <c:v>1.6256502601040416E-3</c:v>
                </c:pt>
                <c:pt idx="117">
                  <c:v>1.0654632223259673E-3</c:v>
                </c:pt>
                <c:pt idx="118">
                  <c:v>1.0654632223259673E-3</c:v>
                </c:pt>
                <c:pt idx="119">
                  <c:v>1.0654632223259673E-3</c:v>
                </c:pt>
                <c:pt idx="120">
                  <c:v>1.0654632223259673E-3</c:v>
                </c:pt>
                <c:pt idx="121">
                  <c:v>1.0654632223259673E-3</c:v>
                </c:pt>
                <c:pt idx="122">
                  <c:v>1.0654632223259673E-3</c:v>
                </c:pt>
                <c:pt idx="123">
                  <c:v>1.0654632223259673E-3</c:v>
                </c:pt>
                <c:pt idx="124">
                  <c:v>3.6264505802320927E-3</c:v>
                </c:pt>
                <c:pt idx="125">
                  <c:v>1.0654632223259673E-3</c:v>
                </c:pt>
                <c:pt idx="126">
                  <c:v>1.525610244097639E-3</c:v>
                </c:pt>
                <c:pt idx="127">
                  <c:v>3.6264505802320927E-3</c:v>
                </c:pt>
                <c:pt idx="128">
                  <c:v>1.0654632223259673E-3</c:v>
                </c:pt>
                <c:pt idx="129">
                  <c:v>1.525610244097639E-3</c:v>
                </c:pt>
                <c:pt idx="130">
                  <c:v>1.3005202080832333E-3</c:v>
                </c:pt>
                <c:pt idx="131">
                  <c:v>3.6264505802320927E-3</c:v>
                </c:pt>
                <c:pt idx="132">
                  <c:v>1.5506202480992397E-3</c:v>
                </c:pt>
                <c:pt idx="133">
                  <c:v>1.0654632223259673E-3</c:v>
                </c:pt>
                <c:pt idx="134">
                  <c:v>1.0654632223259673E-3</c:v>
                </c:pt>
                <c:pt idx="135">
                  <c:v>1.0654632223259673E-3</c:v>
                </c:pt>
                <c:pt idx="136">
                  <c:v>1.3005202080832333E-3</c:v>
                </c:pt>
                <c:pt idx="137">
                  <c:v>1.525610244097639E-3</c:v>
                </c:pt>
                <c:pt idx="138">
                  <c:v>1.5506202480992397E-3</c:v>
                </c:pt>
                <c:pt idx="139">
                  <c:v>1.3005202080832333E-3</c:v>
                </c:pt>
                <c:pt idx="140">
                  <c:v>1.0654632223259673E-3</c:v>
                </c:pt>
                <c:pt idx="141">
                  <c:v>1.5506202480992397E-3</c:v>
                </c:pt>
                <c:pt idx="142">
                  <c:v>1.6256502601040416E-3</c:v>
                </c:pt>
                <c:pt idx="143">
                  <c:v>1.0654632223259673E-3</c:v>
                </c:pt>
                <c:pt idx="144">
                  <c:v>1.0654632223259673E-3</c:v>
                </c:pt>
                <c:pt idx="145">
                  <c:v>1.0654632223259673E-3</c:v>
                </c:pt>
                <c:pt idx="146">
                  <c:v>3.6264505802320927E-3</c:v>
                </c:pt>
                <c:pt idx="147">
                  <c:v>1.525610244097639E-3</c:v>
                </c:pt>
                <c:pt idx="148">
                  <c:v>1.3005202080832333E-3</c:v>
                </c:pt>
                <c:pt idx="149">
                  <c:v>1.5506202480992397E-3</c:v>
                </c:pt>
                <c:pt idx="150">
                  <c:v>2.5454545454545455E-2</c:v>
                </c:pt>
                <c:pt idx="151">
                  <c:v>2.6666666666666665E-2</c:v>
                </c:pt>
                <c:pt idx="152">
                  <c:v>2.5454545454545455E-2</c:v>
                </c:pt>
                <c:pt idx="153">
                  <c:v>2.6666666666666665E-2</c:v>
                </c:pt>
                <c:pt idx="154">
                  <c:v>3.111111111111111E-2</c:v>
                </c:pt>
                <c:pt idx="155">
                  <c:v>3.111111111111111E-2</c:v>
                </c:pt>
                <c:pt idx="156">
                  <c:v>2.5454545454545455E-2</c:v>
                </c:pt>
                <c:pt idx="157">
                  <c:v>3.111111111111111E-2</c:v>
                </c:pt>
                <c:pt idx="158">
                  <c:v>2.6666666666666665E-2</c:v>
                </c:pt>
                <c:pt idx="159">
                  <c:v>3.5897435897435902E-2</c:v>
                </c:pt>
                <c:pt idx="160">
                  <c:v>3.5897435897435902E-2</c:v>
                </c:pt>
                <c:pt idx="161">
                  <c:v>3.5897435897435902E-2</c:v>
                </c:pt>
                <c:pt idx="162">
                  <c:v>5.0909090909090911E-2</c:v>
                </c:pt>
                <c:pt idx="163">
                  <c:v>5.0909090909090911E-2</c:v>
                </c:pt>
                <c:pt idx="164">
                  <c:v>5.0909090909090911E-2</c:v>
                </c:pt>
              </c:numCache>
            </c:numRef>
          </c:val>
          <c:extLst>
            <c:ext xmlns:c16="http://schemas.microsoft.com/office/drawing/2014/chart" uri="{C3380CC4-5D6E-409C-BE32-E72D297353CC}">
              <c16:uniqueId val="{00000004-F45C-465E-A516-77C650081690}"/>
            </c:ext>
          </c:extLst>
        </c:ser>
        <c:ser>
          <c:idx val="5"/>
          <c:order val="5"/>
          <c:tx>
            <c:strRef>
              <c:f>FIGURES!$H$397</c:f>
              <c:strCache>
                <c:ptCount val="1"/>
                <c:pt idx="0">
                  <c:v>Opex maintenance &amp; repair</c:v>
                </c:pt>
              </c:strCache>
            </c:strRef>
          </c:tx>
          <c:spPr>
            <a:solidFill>
              <a:schemeClr val="accent6"/>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FIGURES!$H$398:$H$562</c:f>
              <c:numCache>
                <c:formatCode>General</c:formatCode>
                <c:ptCount val="165"/>
                <c:pt idx="0">
                  <c:v>4.305425874053325E-4</c:v>
                </c:pt>
                <c:pt idx="1">
                  <c:v>4.305425874053325E-4</c:v>
                </c:pt>
                <c:pt idx="2">
                  <c:v>1.6256502601040416E-3</c:v>
                </c:pt>
                <c:pt idx="3">
                  <c:v>4.305425874053325E-4</c:v>
                </c:pt>
                <c:pt idx="4">
                  <c:v>4.305425874053325E-4</c:v>
                </c:pt>
                <c:pt idx="5">
                  <c:v>4.305425874053325E-4</c:v>
                </c:pt>
                <c:pt idx="6">
                  <c:v>4.305425874053325E-4</c:v>
                </c:pt>
                <c:pt idx="7">
                  <c:v>4.305425874053325E-4</c:v>
                </c:pt>
                <c:pt idx="8">
                  <c:v>4.305425874053325E-4</c:v>
                </c:pt>
                <c:pt idx="9">
                  <c:v>1.6256502601040416E-3</c:v>
                </c:pt>
                <c:pt idx="10">
                  <c:v>3.235203975384487E-3</c:v>
                </c:pt>
                <c:pt idx="11">
                  <c:v>2.6260504201680674E-3</c:v>
                </c:pt>
                <c:pt idx="12">
                  <c:v>1.6256502601040416E-3</c:v>
                </c:pt>
                <c:pt idx="13">
                  <c:v>1.3005202080832333E-3</c:v>
                </c:pt>
                <c:pt idx="14">
                  <c:v>1.6256502601040416E-3</c:v>
                </c:pt>
                <c:pt idx="15">
                  <c:v>3.235203975384487E-3</c:v>
                </c:pt>
                <c:pt idx="16">
                  <c:v>2.6260504201680674E-3</c:v>
                </c:pt>
                <c:pt idx="17">
                  <c:v>3.4736649752972778E-3</c:v>
                </c:pt>
                <c:pt idx="18">
                  <c:v>2.9878618113912231E-4</c:v>
                </c:pt>
                <c:pt idx="19">
                  <c:v>2.9878618113912231E-4</c:v>
                </c:pt>
                <c:pt idx="20">
                  <c:v>3.235203975384487E-3</c:v>
                </c:pt>
                <c:pt idx="21">
                  <c:v>2.6260504201680674E-3</c:v>
                </c:pt>
                <c:pt idx="22">
                  <c:v>2.5881631803075897E-3</c:v>
                </c:pt>
                <c:pt idx="23">
                  <c:v>3.4736649752972778E-3</c:v>
                </c:pt>
                <c:pt idx="24">
                  <c:v>3.235203975384487E-3</c:v>
                </c:pt>
                <c:pt idx="25">
                  <c:v>2.1008403361344541E-3</c:v>
                </c:pt>
                <c:pt idx="26">
                  <c:v>2.6260504201680674E-3</c:v>
                </c:pt>
                <c:pt idx="27">
                  <c:v>2.9878618113912231E-4</c:v>
                </c:pt>
                <c:pt idx="28">
                  <c:v>2.9878618113912231E-4</c:v>
                </c:pt>
                <c:pt idx="29">
                  <c:v>2.9878618113912231E-4</c:v>
                </c:pt>
                <c:pt idx="30">
                  <c:v>3.4736649752972778E-3</c:v>
                </c:pt>
                <c:pt idx="31">
                  <c:v>2.9878618113912231E-4</c:v>
                </c:pt>
                <c:pt idx="32">
                  <c:v>2.9878618113912231E-4</c:v>
                </c:pt>
                <c:pt idx="33">
                  <c:v>2.7789319802378224E-3</c:v>
                </c:pt>
                <c:pt idx="34">
                  <c:v>3.4736649752972778E-3</c:v>
                </c:pt>
                <c:pt idx="35">
                  <c:v>2.9878618113912231E-4</c:v>
                </c:pt>
                <c:pt idx="36">
                  <c:v>4.305425874053325E-4</c:v>
                </c:pt>
                <c:pt idx="37">
                  <c:v>4.305425874053325E-4</c:v>
                </c:pt>
                <c:pt idx="38">
                  <c:v>4.305425874053325E-4</c:v>
                </c:pt>
                <c:pt idx="39">
                  <c:v>4.305425874053325E-4</c:v>
                </c:pt>
                <c:pt idx="40">
                  <c:v>7.2727272727272727E-3</c:v>
                </c:pt>
                <c:pt idx="41">
                  <c:v>7.619047619047619E-3</c:v>
                </c:pt>
                <c:pt idx="42">
                  <c:v>8.8888888888888889E-3</c:v>
                </c:pt>
                <c:pt idx="43">
                  <c:v>5.4545454545454541E-3</c:v>
                </c:pt>
                <c:pt idx="44">
                  <c:v>5.7142857142857143E-3</c:v>
                </c:pt>
                <c:pt idx="45">
                  <c:v>6.6666666666666662E-3</c:v>
                </c:pt>
                <c:pt idx="46">
                  <c:v>1.0256410256410255E-2</c:v>
                </c:pt>
                <c:pt idx="47">
                  <c:v>9.3433449937917901E-3</c:v>
                </c:pt>
                <c:pt idx="48">
                  <c:v>9.7882661839723516E-3</c:v>
                </c:pt>
                <c:pt idx="49">
                  <c:v>7.6923076923076927E-3</c:v>
                </c:pt>
                <c:pt idx="50">
                  <c:v>1.1419643881301077E-2</c:v>
                </c:pt>
                <c:pt idx="51">
                  <c:v>1.4545454545454545E-2</c:v>
                </c:pt>
                <c:pt idx="52">
                  <c:v>1.3176512170732011E-2</c:v>
                </c:pt>
                <c:pt idx="53">
                  <c:v>1.0909090909090908E-2</c:v>
                </c:pt>
                <c:pt idx="54">
                  <c:v>1.868668998758358E-2</c:v>
                </c:pt>
                <c:pt idx="55">
                  <c:v>4.305425874053325E-4</c:v>
                </c:pt>
                <c:pt idx="56">
                  <c:v>4.305425874053325E-4</c:v>
                </c:pt>
                <c:pt idx="57">
                  <c:v>1.6256502601040416E-3</c:v>
                </c:pt>
                <c:pt idx="58">
                  <c:v>4.305425874053325E-4</c:v>
                </c:pt>
                <c:pt idx="59">
                  <c:v>4.305425874053325E-4</c:v>
                </c:pt>
                <c:pt idx="60">
                  <c:v>4.305425874053325E-4</c:v>
                </c:pt>
                <c:pt idx="61">
                  <c:v>4.305425874053325E-4</c:v>
                </c:pt>
                <c:pt idx="62">
                  <c:v>2.7152291126929309E-3</c:v>
                </c:pt>
                <c:pt idx="63">
                  <c:v>4.305425874053325E-4</c:v>
                </c:pt>
                <c:pt idx="64">
                  <c:v>1.6256502601040416E-3</c:v>
                </c:pt>
                <c:pt idx="65">
                  <c:v>1.6256502601040416E-3</c:v>
                </c:pt>
                <c:pt idx="66">
                  <c:v>4.305425874053325E-4</c:v>
                </c:pt>
                <c:pt idx="67">
                  <c:v>2.5777082888133671E-3</c:v>
                </c:pt>
                <c:pt idx="68">
                  <c:v>2.6260504201680674E-3</c:v>
                </c:pt>
                <c:pt idx="69">
                  <c:v>1.3005202080832333E-3</c:v>
                </c:pt>
                <c:pt idx="70">
                  <c:v>1.6256502601040416E-3</c:v>
                </c:pt>
                <c:pt idx="71">
                  <c:v>2.7152291126929309E-3</c:v>
                </c:pt>
                <c:pt idx="72">
                  <c:v>2.5777082888133671E-3</c:v>
                </c:pt>
                <c:pt idx="73">
                  <c:v>2.6260504201680674E-3</c:v>
                </c:pt>
                <c:pt idx="74">
                  <c:v>2.7152291126929309E-3</c:v>
                </c:pt>
                <c:pt idx="75">
                  <c:v>2.1721832901543448E-3</c:v>
                </c:pt>
                <c:pt idx="76">
                  <c:v>2.9878618113912231E-4</c:v>
                </c:pt>
                <c:pt idx="77">
                  <c:v>2.9878618113912231E-4</c:v>
                </c:pt>
                <c:pt idx="78">
                  <c:v>2.7152291126929309E-3</c:v>
                </c:pt>
                <c:pt idx="79">
                  <c:v>2.9878618113912231E-4</c:v>
                </c:pt>
                <c:pt idx="80">
                  <c:v>2.9878618113912231E-4</c:v>
                </c:pt>
                <c:pt idx="81">
                  <c:v>2.5777082888133671E-3</c:v>
                </c:pt>
                <c:pt idx="82">
                  <c:v>2.6260504201680674E-3</c:v>
                </c:pt>
                <c:pt idx="83">
                  <c:v>2.0621666310506933E-3</c:v>
                </c:pt>
                <c:pt idx="84">
                  <c:v>2.1008403361344541E-3</c:v>
                </c:pt>
                <c:pt idx="85">
                  <c:v>2.5777082888133671E-3</c:v>
                </c:pt>
                <c:pt idx="86">
                  <c:v>2.6260504201680674E-3</c:v>
                </c:pt>
                <c:pt idx="87">
                  <c:v>2.9878618113912231E-4</c:v>
                </c:pt>
                <c:pt idx="88">
                  <c:v>2.9878618113912231E-4</c:v>
                </c:pt>
                <c:pt idx="89">
                  <c:v>2.9878618113912231E-4</c:v>
                </c:pt>
                <c:pt idx="90">
                  <c:v>2.9878618113912231E-4</c:v>
                </c:pt>
                <c:pt idx="91">
                  <c:v>4.305425874053325E-4</c:v>
                </c:pt>
                <c:pt idx="92">
                  <c:v>4.305425874053325E-4</c:v>
                </c:pt>
                <c:pt idx="93">
                  <c:v>4.305425874053325E-4</c:v>
                </c:pt>
                <c:pt idx="94">
                  <c:v>4.305425874053325E-4</c:v>
                </c:pt>
                <c:pt idx="95">
                  <c:v>5.4545454545454541E-3</c:v>
                </c:pt>
                <c:pt idx="96">
                  <c:v>5.7142857142857143E-3</c:v>
                </c:pt>
                <c:pt idx="97">
                  <c:v>7.2727272727272727E-3</c:v>
                </c:pt>
                <c:pt idx="98">
                  <c:v>6.6666666666666662E-3</c:v>
                </c:pt>
                <c:pt idx="99">
                  <c:v>7.619047619047619E-3</c:v>
                </c:pt>
                <c:pt idx="100">
                  <c:v>8.8888888888888889E-3</c:v>
                </c:pt>
                <c:pt idx="101">
                  <c:v>7.3714603239921801E-3</c:v>
                </c:pt>
                <c:pt idx="102">
                  <c:v>7.7224822441822839E-3</c:v>
                </c:pt>
                <c:pt idx="103">
                  <c:v>7.6923076923076927E-3</c:v>
                </c:pt>
                <c:pt idx="104">
                  <c:v>9.0095626182126638E-3</c:v>
                </c:pt>
                <c:pt idx="105">
                  <c:v>1.0256410256410255E-2</c:v>
                </c:pt>
                <c:pt idx="106">
                  <c:v>1.0395649174860766E-2</c:v>
                </c:pt>
                <c:pt idx="107">
                  <c:v>1.0909090909090908E-2</c:v>
                </c:pt>
                <c:pt idx="108">
                  <c:v>1.4545454545454545E-2</c:v>
                </c:pt>
                <c:pt idx="109">
                  <c:v>1.474292064798436E-2</c:v>
                </c:pt>
                <c:pt idx="110">
                  <c:v>1.6256502601040416E-3</c:v>
                </c:pt>
                <c:pt idx="111">
                  <c:v>1.4052359304229719E-3</c:v>
                </c:pt>
                <c:pt idx="112">
                  <c:v>2.9878618113912231E-4</c:v>
                </c:pt>
                <c:pt idx="113">
                  <c:v>2.9878618113912231E-4</c:v>
                </c:pt>
                <c:pt idx="114">
                  <c:v>2.9878618113912231E-4</c:v>
                </c:pt>
                <c:pt idx="115">
                  <c:v>2.9878618113912231E-4</c:v>
                </c:pt>
                <c:pt idx="116">
                  <c:v>2.0347764046985059E-3</c:v>
                </c:pt>
                <c:pt idx="117">
                  <c:v>4.305425874053325E-4</c:v>
                </c:pt>
                <c:pt idx="118">
                  <c:v>4.305425874053325E-4</c:v>
                </c:pt>
                <c:pt idx="119">
                  <c:v>2.9878618113912231E-4</c:v>
                </c:pt>
                <c:pt idx="120">
                  <c:v>2.9878618113912231E-4</c:v>
                </c:pt>
                <c:pt idx="121">
                  <c:v>4.305425874053325E-4</c:v>
                </c:pt>
                <c:pt idx="122">
                  <c:v>4.305425874053325E-4</c:v>
                </c:pt>
                <c:pt idx="123">
                  <c:v>2.9878618113912231E-4</c:v>
                </c:pt>
                <c:pt idx="124">
                  <c:v>1.6256502601040416E-3</c:v>
                </c:pt>
                <c:pt idx="125">
                  <c:v>2.9878618113912231E-4</c:v>
                </c:pt>
                <c:pt idx="126">
                  <c:v>1.6256502601040416E-3</c:v>
                </c:pt>
                <c:pt idx="127">
                  <c:v>1.4052359304229719E-3</c:v>
                </c:pt>
                <c:pt idx="128">
                  <c:v>4.305425874053325E-4</c:v>
                </c:pt>
                <c:pt idx="129">
                  <c:v>1.4052359304229719E-3</c:v>
                </c:pt>
                <c:pt idx="130">
                  <c:v>1.3005202080832333E-3</c:v>
                </c:pt>
                <c:pt idx="131">
                  <c:v>2.0347764046985059E-3</c:v>
                </c:pt>
                <c:pt idx="132">
                  <c:v>1.6256502601040416E-3</c:v>
                </c:pt>
                <c:pt idx="133">
                  <c:v>4.305425874053325E-4</c:v>
                </c:pt>
                <c:pt idx="134">
                  <c:v>4.305425874053325E-4</c:v>
                </c:pt>
                <c:pt idx="135">
                  <c:v>4.305425874053325E-4</c:v>
                </c:pt>
                <c:pt idx="136">
                  <c:v>1.1241887443383775E-3</c:v>
                </c:pt>
                <c:pt idx="137">
                  <c:v>2.0347764046985059E-3</c:v>
                </c:pt>
                <c:pt idx="138">
                  <c:v>1.4052359304229719E-3</c:v>
                </c:pt>
                <c:pt idx="139">
                  <c:v>1.6278211237588046E-3</c:v>
                </c:pt>
                <c:pt idx="140">
                  <c:v>4.305425874053325E-4</c:v>
                </c:pt>
                <c:pt idx="141">
                  <c:v>2.0347764046985059E-3</c:v>
                </c:pt>
                <c:pt idx="142">
                  <c:v>2.6260504201680674E-3</c:v>
                </c:pt>
                <c:pt idx="143">
                  <c:v>4.305425874053325E-4</c:v>
                </c:pt>
                <c:pt idx="144">
                  <c:v>4.305425874053325E-4</c:v>
                </c:pt>
                <c:pt idx="145">
                  <c:v>4.305425874053325E-4</c:v>
                </c:pt>
                <c:pt idx="146">
                  <c:v>2.6260504201680674E-3</c:v>
                </c:pt>
                <c:pt idx="147">
                  <c:v>2.6260504201680674E-3</c:v>
                </c:pt>
                <c:pt idx="148">
                  <c:v>2.1008403361344541E-3</c:v>
                </c:pt>
                <c:pt idx="149">
                  <c:v>2.6260504201680674E-3</c:v>
                </c:pt>
                <c:pt idx="150">
                  <c:v>5.4545454545454541E-3</c:v>
                </c:pt>
                <c:pt idx="151">
                  <c:v>5.7142857142857143E-3</c:v>
                </c:pt>
                <c:pt idx="152">
                  <c:v>6.5474078574617092E-3</c:v>
                </c:pt>
                <c:pt idx="153">
                  <c:v>6.8591891840075045E-3</c:v>
                </c:pt>
                <c:pt idx="154">
                  <c:v>6.6666666666666662E-3</c:v>
                </c:pt>
                <c:pt idx="155">
                  <c:v>8.0023873813420895E-3</c:v>
                </c:pt>
                <c:pt idx="156">
                  <c:v>7.2727272727272727E-3</c:v>
                </c:pt>
                <c:pt idx="157">
                  <c:v>8.8888888888888889E-3</c:v>
                </c:pt>
                <c:pt idx="158">
                  <c:v>7.619047619047619E-3</c:v>
                </c:pt>
                <c:pt idx="159">
                  <c:v>7.6923076923076927E-3</c:v>
                </c:pt>
                <c:pt idx="160">
                  <c:v>9.2335239015485654E-3</c:v>
                </c:pt>
                <c:pt idx="161">
                  <c:v>1.0256410256410255E-2</c:v>
                </c:pt>
                <c:pt idx="162">
                  <c:v>1.0909090909090908E-2</c:v>
                </c:pt>
                <c:pt idx="163">
                  <c:v>1.3094815714923418E-2</c:v>
                </c:pt>
                <c:pt idx="164">
                  <c:v>1.4545454545454545E-2</c:v>
                </c:pt>
              </c:numCache>
            </c:numRef>
          </c:val>
          <c:extLst>
            <c:ext xmlns:c16="http://schemas.microsoft.com/office/drawing/2014/chart" uri="{C3380CC4-5D6E-409C-BE32-E72D297353CC}">
              <c16:uniqueId val="{00000005-F45C-465E-A516-77C650081690}"/>
            </c:ext>
          </c:extLst>
        </c:ser>
        <c:ser>
          <c:idx val="6"/>
          <c:order val="6"/>
          <c:tx>
            <c:strRef>
              <c:f>FIGURES!$I$397</c:f>
              <c:strCache>
                <c:ptCount val="1"/>
                <c:pt idx="0">
                  <c:v>Opex var (mode-fees)</c:v>
                </c:pt>
              </c:strCache>
            </c:strRef>
          </c:tx>
          <c:spPr>
            <a:solidFill>
              <a:schemeClr val="accent1">
                <a:lumMod val="60000"/>
              </a:schemeClr>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FIGURES!$I$398:$I$562</c:f>
              <c:numCache>
                <c:formatCode>General</c:formatCode>
                <c:ptCount val="165"/>
                <c:pt idx="0">
                  <c:v>8.6011184229469056E-5</c:v>
                </c:pt>
                <c:pt idx="1">
                  <c:v>8.9502842587904882E-5</c:v>
                </c:pt>
                <c:pt idx="2">
                  <c:v>1.7507002801120447E-3</c:v>
                </c:pt>
                <c:pt idx="3">
                  <c:v>1.7869725535414797E-4</c:v>
                </c:pt>
                <c:pt idx="4">
                  <c:v>8.6011184229469056E-5</c:v>
                </c:pt>
                <c:pt idx="5">
                  <c:v>8.9502842587904882E-5</c:v>
                </c:pt>
                <c:pt idx="6">
                  <c:v>8.6011184229469056E-5</c:v>
                </c:pt>
                <c:pt idx="7">
                  <c:v>1.7869725535414797E-4</c:v>
                </c:pt>
                <c:pt idx="8">
                  <c:v>8.6011184229469056E-5</c:v>
                </c:pt>
                <c:pt idx="9">
                  <c:v>4.0016006402561026E-3</c:v>
                </c:pt>
                <c:pt idx="10">
                  <c:v>1.7507002801120447E-3</c:v>
                </c:pt>
                <c:pt idx="11">
                  <c:v>1.7507002801120447E-3</c:v>
                </c:pt>
                <c:pt idx="12">
                  <c:v>1.6256502601040416E-3</c:v>
                </c:pt>
                <c:pt idx="13">
                  <c:v>1.4005602240896359E-3</c:v>
                </c:pt>
                <c:pt idx="14">
                  <c:v>1.6256502601040416E-3</c:v>
                </c:pt>
                <c:pt idx="15">
                  <c:v>4.0016006402561026E-3</c:v>
                </c:pt>
                <c:pt idx="16">
                  <c:v>4.0016006402561026E-3</c:v>
                </c:pt>
                <c:pt idx="17">
                  <c:v>1.7507002801120447E-3</c:v>
                </c:pt>
                <c:pt idx="18">
                  <c:v>8.6011184229469056E-5</c:v>
                </c:pt>
                <c:pt idx="19">
                  <c:v>8.9502842587904882E-5</c:v>
                </c:pt>
                <c:pt idx="20">
                  <c:v>1.6256502601040416E-3</c:v>
                </c:pt>
                <c:pt idx="21">
                  <c:v>1.6256502601040416E-3</c:v>
                </c:pt>
                <c:pt idx="22">
                  <c:v>1.4005602240896359E-3</c:v>
                </c:pt>
                <c:pt idx="23">
                  <c:v>4.0016006402561026E-3</c:v>
                </c:pt>
                <c:pt idx="24">
                  <c:v>1.6256502601040416E-3</c:v>
                </c:pt>
                <c:pt idx="25">
                  <c:v>1.4005602240896359E-3</c:v>
                </c:pt>
                <c:pt idx="26">
                  <c:v>1.6256502601040416E-3</c:v>
                </c:pt>
                <c:pt idx="27">
                  <c:v>8.6011184229469056E-5</c:v>
                </c:pt>
                <c:pt idx="28">
                  <c:v>8.9502842587904882E-5</c:v>
                </c:pt>
                <c:pt idx="29">
                  <c:v>1.7869725535414797E-4</c:v>
                </c:pt>
                <c:pt idx="30">
                  <c:v>1.6256502601040416E-3</c:v>
                </c:pt>
                <c:pt idx="31">
                  <c:v>8.6011184229469056E-5</c:v>
                </c:pt>
                <c:pt idx="32">
                  <c:v>1.7869725535414797E-4</c:v>
                </c:pt>
                <c:pt idx="33">
                  <c:v>1.4005602240896359E-3</c:v>
                </c:pt>
                <c:pt idx="34">
                  <c:v>1.6256502601040416E-3</c:v>
                </c:pt>
                <c:pt idx="35">
                  <c:v>8.6011184229469056E-5</c:v>
                </c:pt>
                <c:pt idx="36">
                  <c:v>8.6011184229469056E-5</c:v>
                </c:pt>
                <c:pt idx="37">
                  <c:v>8.9502842587904882E-5</c:v>
                </c:pt>
                <c:pt idx="38">
                  <c:v>1.7869725535414797E-4</c:v>
                </c:pt>
                <c:pt idx="39">
                  <c:v>8.6011184229469056E-5</c:v>
                </c:pt>
                <c:pt idx="40">
                  <c:v>4.4000000000000003E-3</c:v>
                </c:pt>
                <c:pt idx="41">
                  <c:v>4.4000000000000003E-3</c:v>
                </c:pt>
                <c:pt idx="42">
                  <c:v>4.4000000000000003E-3</c:v>
                </c:pt>
                <c:pt idx="43">
                  <c:v>4.4000000000000003E-3</c:v>
                </c:pt>
                <c:pt idx="44">
                  <c:v>4.4000000000000003E-3</c:v>
                </c:pt>
                <c:pt idx="45">
                  <c:v>4.4000000000000003E-3</c:v>
                </c:pt>
                <c:pt idx="46">
                  <c:v>4.4000000000000003E-3</c:v>
                </c:pt>
                <c:pt idx="47">
                  <c:v>4.4000000000000003E-3</c:v>
                </c:pt>
                <c:pt idx="48">
                  <c:v>4.4000000000000003E-3</c:v>
                </c:pt>
                <c:pt idx="49">
                  <c:v>4.4000000000000003E-3</c:v>
                </c:pt>
                <c:pt idx="50">
                  <c:v>4.4000000000000003E-3</c:v>
                </c:pt>
                <c:pt idx="51">
                  <c:v>4.4000000000000003E-3</c:v>
                </c:pt>
                <c:pt idx="52">
                  <c:v>4.4000000000000003E-3</c:v>
                </c:pt>
                <c:pt idx="53">
                  <c:v>4.4000000000000003E-3</c:v>
                </c:pt>
                <c:pt idx="54">
                  <c:v>4.4000000000000003E-3</c:v>
                </c:pt>
                <c:pt idx="55">
                  <c:v>8.6011184229469056E-5</c:v>
                </c:pt>
                <c:pt idx="56">
                  <c:v>8.9502842587904882E-5</c:v>
                </c:pt>
                <c:pt idx="57">
                  <c:v>1.7507002801120447E-3</c:v>
                </c:pt>
                <c:pt idx="58">
                  <c:v>1.7869725535414797E-4</c:v>
                </c:pt>
                <c:pt idx="59">
                  <c:v>8.6011184229469056E-5</c:v>
                </c:pt>
                <c:pt idx="60">
                  <c:v>8.9502842587904882E-5</c:v>
                </c:pt>
                <c:pt idx="61">
                  <c:v>8.6011184229469056E-5</c:v>
                </c:pt>
                <c:pt idx="62">
                  <c:v>1.7507002801120447E-3</c:v>
                </c:pt>
                <c:pt idx="63">
                  <c:v>1.7869725535414797E-4</c:v>
                </c:pt>
                <c:pt idx="64">
                  <c:v>4.0016006402561026E-3</c:v>
                </c:pt>
                <c:pt idx="65">
                  <c:v>1.6256502601040416E-3</c:v>
                </c:pt>
                <c:pt idx="66">
                  <c:v>8.6011184229469056E-5</c:v>
                </c:pt>
                <c:pt idx="67">
                  <c:v>1.7507002801120447E-3</c:v>
                </c:pt>
                <c:pt idx="68">
                  <c:v>1.7507002801120447E-3</c:v>
                </c:pt>
                <c:pt idx="69">
                  <c:v>1.4005602240896359E-3</c:v>
                </c:pt>
                <c:pt idx="70">
                  <c:v>1.6256502601040416E-3</c:v>
                </c:pt>
                <c:pt idx="71">
                  <c:v>4.0016006402561026E-3</c:v>
                </c:pt>
                <c:pt idx="72">
                  <c:v>4.0016006402561026E-3</c:v>
                </c:pt>
                <c:pt idx="73">
                  <c:v>4.0016006402561026E-3</c:v>
                </c:pt>
                <c:pt idx="74">
                  <c:v>1.6256502601040416E-3</c:v>
                </c:pt>
                <c:pt idx="75">
                  <c:v>1.4005602240896359E-3</c:v>
                </c:pt>
                <c:pt idx="76">
                  <c:v>8.6011184229469056E-5</c:v>
                </c:pt>
                <c:pt idx="77">
                  <c:v>8.9502842587904882E-5</c:v>
                </c:pt>
                <c:pt idx="78">
                  <c:v>1.6256502601040416E-3</c:v>
                </c:pt>
                <c:pt idx="79">
                  <c:v>8.6011184229469056E-5</c:v>
                </c:pt>
                <c:pt idx="80">
                  <c:v>8.9502842587904882E-5</c:v>
                </c:pt>
                <c:pt idx="81">
                  <c:v>1.6256502601040416E-3</c:v>
                </c:pt>
                <c:pt idx="82">
                  <c:v>1.6256502601040416E-3</c:v>
                </c:pt>
                <c:pt idx="83">
                  <c:v>1.4005602240896359E-3</c:v>
                </c:pt>
                <c:pt idx="84">
                  <c:v>1.4005602240896359E-3</c:v>
                </c:pt>
                <c:pt idx="85">
                  <c:v>1.6256502601040416E-3</c:v>
                </c:pt>
                <c:pt idx="86">
                  <c:v>1.6256502601040416E-3</c:v>
                </c:pt>
                <c:pt idx="87">
                  <c:v>1.7869725535414797E-4</c:v>
                </c:pt>
                <c:pt idx="88">
                  <c:v>8.6011184229469056E-5</c:v>
                </c:pt>
                <c:pt idx="89">
                  <c:v>1.7869725535414797E-4</c:v>
                </c:pt>
                <c:pt idx="90">
                  <c:v>8.6011184229469056E-5</c:v>
                </c:pt>
                <c:pt idx="91">
                  <c:v>8.6011184229469056E-5</c:v>
                </c:pt>
                <c:pt idx="92">
                  <c:v>8.9502842587904882E-5</c:v>
                </c:pt>
                <c:pt idx="93">
                  <c:v>1.7869725535414797E-4</c:v>
                </c:pt>
                <c:pt idx="94">
                  <c:v>8.6011184229469056E-5</c:v>
                </c:pt>
                <c:pt idx="95">
                  <c:v>4.4000000000000003E-3</c:v>
                </c:pt>
                <c:pt idx="96">
                  <c:v>4.4000000000000003E-3</c:v>
                </c:pt>
                <c:pt idx="97">
                  <c:v>4.4000000000000003E-3</c:v>
                </c:pt>
                <c:pt idx="98">
                  <c:v>4.4000000000000003E-3</c:v>
                </c:pt>
                <c:pt idx="99">
                  <c:v>4.4000000000000003E-3</c:v>
                </c:pt>
                <c:pt idx="100">
                  <c:v>4.4000000000000003E-3</c:v>
                </c:pt>
                <c:pt idx="101">
                  <c:v>4.4000000000000003E-3</c:v>
                </c:pt>
                <c:pt idx="102">
                  <c:v>4.4000000000000003E-3</c:v>
                </c:pt>
                <c:pt idx="103">
                  <c:v>4.4000000000000003E-3</c:v>
                </c:pt>
                <c:pt idx="104">
                  <c:v>4.4000000000000003E-3</c:v>
                </c:pt>
                <c:pt idx="105">
                  <c:v>4.4000000000000003E-3</c:v>
                </c:pt>
                <c:pt idx="106">
                  <c:v>4.4000000000000003E-3</c:v>
                </c:pt>
                <c:pt idx="107">
                  <c:v>4.4000000000000003E-3</c:v>
                </c:pt>
                <c:pt idx="108">
                  <c:v>4.4000000000000003E-3</c:v>
                </c:pt>
                <c:pt idx="109">
                  <c:v>4.4000000000000003E-3</c:v>
                </c:pt>
                <c:pt idx="110">
                  <c:v>1.7507002801120447E-3</c:v>
                </c:pt>
                <c:pt idx="111">
                  <c:v>1.7507002801120447E-3</c:v>
                </c:pt>
                <c:pt idx="112">
                  <c:v>8.6011184229469056E-5</c:v>
                </c:pt>
                <c:pt idx="113">
                  <c:v>8.9502842587904882E-5</c:v>
                </c:pt>
                <c:pt idx="114">
                  <c:v>8.6011184229469056E-5</c:v>
                </c:pt>
                <c:pt idx="115">
                  <c:v>8.9502842587904882E-5</c:v>
                </c:pt>
                <c:pt idx="116">
                  <c:v>1.7507002801120447E-3</c:v>
                </c:pt>
                <c:pt idx="117">
                  <c:v>8.6011184229469056E-5</c:v>
                </c:pt>
                <c:pt idx="118">
                  <c:v>8.9502842587904882E-5</c:v>
                </c:pt>
                <c:pt idx="119">
                  <c:v>1.7869725535414797E-4</c:v>
                </c:pt>
                <c:pt idx="120">
                  <c:v>1.7869725535414797E-4</c:v>
                </c:pt>
                <c:pt idx="121">
                  <c:v>8.6011184229469056E-5</c:v>
                </c:pt>
                <c:pt idx="122">
                  <c:v>8.9502842587904882E-5</c:v>
                </c:pt>
                <c:pt idx="123">
                  <c:v>8.6011184229469056E-5</c:v>
                </c:pt>
                <c:pt idx="124">
                  <c:v>4.0016006402561026E-3</c:v>
                </c:pt>
                <c:pt idx="125">
                  <c:v>8.6011184229469056E-5</c:v>
                </c:pt>
                <c:pt idx="126">
                  <c:v>1.6256502601040416E-3</c:v>
                </c:pt>
                <c:pt idx="127">
                  <c:v>4.0016006402561026E-3</c:v>
                </c:pt>
                <c:pt idx="128">
                  <c:v>1.7869725535414797E-4</c:v>
                </c:pt>
                <c:pt idx="129">
                  <c:v>1.6256502601040416E-3</c:v>
                </c:pt>
                <c:pt idx="130">
                  <c:v>1.4005602240896359E-3</c:v>
                </c:pt>
                <c:pt idx="131">
                  <c:v>4.0016006402561026E-3</c:v>
                </c:pt>
                <c:pt idx="132">
                  <c:v>1.6256502601040416E-3</c:v>
                </c:pt>
                <c:pt idx="133">
                  <c:v>8.6011184229469056E-5</c:v>
                </c:pt>
                <c:pt idx="134">
                  <c:v>8.6011184229469056E-5</c:v>
                </c:pt>
                <c:pt idx="135">
                  <c:v>8.9502842587904882E-5</c:v>
                </c:pt>
                <c:pt idx="136">
                  <c:v>1.4005602240896359E-3</c:v>
                </c:pt>
                <c:pt idx="137">
                  <c:v>1.6256502601040416E-3</c:v>
                </c:pt>
                <c:pt idx="138">
                  <c:v>1.6256502601040416E-3</c:v>
                </c:pt>
                <c:pt idx="139">
                  <c:v>1.4005602240896359E-3</c:v>
                </c:pt>
                <c:pt idx="140">
                  <c:v>1.7869725535414797E-4</c:v>
                </c:pt>
                <c:pt idx="141">
                  <c:v>1.6256502601040416E-3</c:v>
                </c:pt>
                <c:pt idx="142">
                  <c:v>1.7507002801120447E-3</c:v>
                </c:pt>
                <c:pt idx="143">
                  <c:v>8.6011184229469056E-5</c:v>
                </c:pt>
                <c:pt idx="144">
                  <c:v>1.7869725535414797E-4</c:v>
                </c:pt>
                <c:pt idx="145">
                  <c:v>8.6011184229469056E-5</c:v>
                </c:pt>
                <c:pt idx="146">
                  <c:v>4.0016006402561026E-3</c:v>
                </c:pt>
                <c:pt idx="147">
                  <c:v>1.6256502601040416E-3</c:v>
                </c:pt>
                <c:pt idx="148">
                  <c:v>1.4005602240896359E-3</c:v>
                </c:pt>
                <c:pt idx="149">
                  <c:v>1.6256502601040416E-3</c:v>
                </c:pt>
                <c:pt idx="150">
                  <c:v>4.4000000000000003E-3</c:v>
                </c:pt>
                <c:pt idx="151">
                  <c:v>4.4000000000000003E-3</c:v>
                </c:pt>
                <c:pt idx="152">
                  <c:v>4.4000000000000003E-3</c:v>
                </c:pt>
                <c:pt idx="153">
                  <c:v>4.4000000000000003E-3</c:v>
                </c:pt>
                <c:pt idx="154">
                  <c:v>4.4000000000000003E-3</c:v>
                </c:pt>
                <c:pt idx="155">
                  <c:v>4.4000000000000003E-3</c:v>
                </c:pt>
                <c:pt idx="156">
                  <c:v>4.4000000000000003E-3</c:v>
                </c:pt>
                <c:pt idx="157">
                  <c:v>4.4000000000000003E-3</c:v>
                </c:pt>
                <c:pt idx="158">
                  <c:v>4.4000000000000003E-3</c:v>
                </c:pt>
                <c:pt idx="159">
                  <c:v>4.4000000000000003E-3</c:v>
                </c:pt>
                <c:pt idx="160">
                  <c:v>4.4000000000000003E-3</c:v>
                </c:pt>
                <c:pt idx="161">
                  <c:v>4.4000000000000003E-3</c:v>
                </c:pt>
                <c:pt idx="162">
                  <c:v>4.4000000000000003E-3</c:v>
                </c:pt>
                <c:pt idx="163">
                  <c:v>4.4000000000000003E-3</c:v>
                </c:pt>
                <c:pt idx="164">
                  <c:v>4.4000000000000003E-3</c:v>
                </c:pt>
              </c:numCache>
            </c:numRef>
          </c:val>
          <c:extLst>
            <c:ext xmlns:c16="http://schemas.microsoft.com/office/drawing/2014/chart" uri="{C3380CC4-5D6E-409C-BE32-E72D297353CC}">
              <c16:uniqueId val="{00000006-F45C-465E-A516-77C650081690}"/>
            </c:ext>
          </c:extLst>
        </c:ser>
        <c:ser>
          <c:idx val="7"/>
          <c:order val="7"/>
          <c:tx>
            <c:strRef>
              <c:f>FIGURES!$J$397</c:f>
              <c:strCache>
                <c:ptCount val="1"/>
                <c:pt idx="0">
                  <c:v>Fuel Cost</c:v>
                </c:pt>
              </c:strCache>
            </c:strRef>
          </c:tx>
          <c:spPr>
            <a:solidFill>
              <a:schemeClr val="accent2">
                <a:lumMod val="60000"/>
              </a:schemeClr>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FIGURES!$J$398:$J$562</c:f>
              <c:numCache>
                <c:formatCode>General</c:formatCode>
                <c:ptCount val="165"/>
                <c:pt idx="0">
                  <c:v>2.1494771182553069E-3</c:v>
                </c:pt>
                <c:pt idx="1">
                  <c:v>2.1494771182553069E-3</c:v>
                </c:pt>
                <c:pt idx="2">
                  <c:v>1.0537248141199494E-3</c:v>
                </c:pt>
                <c:pt idx="3">
                  <c:v>2.1494771182553069E-3</c:v>
                </c:pt>
                <c:pt idx="4">
                  <c:v>4.1072811176853007E-3</c:v>
                </c:pt>
                <c:pt idx="5">
                  <c:v>4.1072811176853007E-3</c:v>
                </c:pt>
                <c:pt idx="6">
                  <c:v>2.1494771182553069E-3</c:v>
                </c:pt>
                <c:pt idx="7">
                  <c:v>4.1072811176853007E-3</c:v>
                </c:pt>
                <c:pt idx="8">
                  <c:v>4.1072811176853007E-3</c:v>
                </c:pt>
                <c:pt idx="9">
                  <c:v>1.0537248141199494E-3</c:v>
                </c:pt>
                <c:pt idx="10">
                  <c:v>1.1195826150024461E-3</c:v>
                </c:pt>
                <c:pt idx="11">
                  <c:v>2.7715714285714288E-3</c:v>
                </c:pt>
                <c:pt idx="12">
                  <c:v>1.0537248141199494E-3</c:v>
                </c:pt>
                <c:pt idx="13">
                  <c:v>8.429798512959595E-4</c:v>
                </c:pt>
                <c:pt idx="14">
                  <c:v>1.0537248141199494E-3</c:v>
                </c:pt>
                <c:pt idx="15">
                  <c:v>1.1195826150024461E-3</c:v>
                </c:pt>
                <c:pt idx="16">
                  <c:v>2.7715714285714288E-3</c:v>
                </c:pt>
                <c:pt idx="17">
                  <c:v>3.7811888058906298E-3</c:v>
                </c:pt>
                <c:pt idx="18">
                  <c:v>1.1790342951953749E-2</c:v>
                </c:pt>
                <c:pt idx="19">
                  <c:v>1.1790342951953749E-2</c:v>
                </c:pt>
                <c:pt idx="20">
                  <c:v>1.1195826150024461E-3</c:v>
                </c:pt>
                <c:pt idx="21">
                  <c:v>2.7715714285714288E-3</c:v>
                </c:pt>
                <c:pt idx="22">
                  <c:v>8.9566609200195687E-4</c:v>
                </c:pt>
                <c:pt idx="23">
                  <c:v>3.7811888058906298E-3</c:v>
                </c:pt>
                <c:pt idx="24">
                  <c:v>1.1195826150024461E-3</c:v>
                </c:pt>
                <c:pt idx="25">
                  <c:v>2.217257142857143E-3</c:v>
                </c:pt>
                <c:pt idx="26">
                  <c:v>2.7715714285714288E-3</c:v>
                </c:pt>
                <c:pt idx="27">
                  <c:v>1.3060247322593066E-2</c:v>
                </c:pt>
                <c:pt idx="28">
                  <c:v>1.3060247322593066E-2</c:v>
                </c:pt>
                <c:pt idx="29">
                  <c:v>1.1790342951953749E-2</c:v>
                </c:pt>
                <c:pt idx="30">
                  <c:v>3.7811888058906298E-3</c:v>
                </c:pt>
                <c:pt idx="31">
                  <c:v>1.1790342951953749E-2</c:v>
                </c:pt>
                <c:pt idx="32">
                  <c:v>1.3060247322593066E-2</c:v>
                </c:pt>
                <c:pt idx="33">
                  <c:v>3.0249510447125042E-3</c:v>
                </c:pt>
                <c:pt idx="34">
                  <c:v>3.7811888058906298E-3</c:v>
                </c:pt>
                <c:pt idx="35">
                  <c:v>1.3060247322593066E-2</c:v>
                </c:pt>
                <c:pt idx="36">
                  <c:v>2.6447470892304818E-2</c:v>
                </c:pt>
                <c:pt idx="37">
                  <c:v>2.6447470892304818E-2</c:v>
                </c:pt>
                <c:pt idx="38">
                  <c:v>2.6447470892304818E-2</c:v>
                </c:pt>
                <c:pt idx="39">
                  <c:v>2.6447470892304818E-2</c:v>
                </c:pt>
                <c:pt idx="40">
                  <c:v>1.1573595723149675E-2</c:v>
                </c:pt>
                <c:pt idx="41">
                  <c:v>1.1573595723149675E-2</c:v>
                </c:pt>
                <c:pt idx="42">
                  <c:v>1.1573595723149675E-2</c:v>
                </c:pt>
                <c:pt idx="43">
                  <c:v>5.5397830482865063E-3</c:v>
                </c:pt>
                <c:pt idx="44">
                  <c:v>5.5397830482865063E-3</c:v>
                </c:pt>
                <c:pt idx="45">
                  <c:v>5.5397830482865063E-3</c:v>
                </c:pt>
                <c:pt idx="46">
                  <c:v>1.1573595723149675E-2</c:v>
                </c:pt>
                <c:pt idx="47">
                  <c:v>2.149698076693125E-2</c:v>
                </c:pt>
                <c:pt idx="48">
                  <c:v>2.149698076693125E-2</c:v>
                </c:pt>
                <c:pt idx="49">
                  <c:v>5.5397830482865063E-3</c:v>
                </c:pt>
                <c:pt idx="50">
                  <c:v>2.149698076693125E-2</c:v>
                </c:pt>
                <c:pt idx="51">
                  <c:v>1.1573595723149675E-2</c:v>
                </c:pt>
                <c:pt idx="52">
                  <c:v>2.149698076693125E-2</c:v>
                </c:pt>
                <c:pt idx="53">
                  <c:v>5.5397830482865063E-3</c:v>
                </c:pt>
                <c:pt idx="54">
                  <c:v>2.149698076693125E-2</c:v>
                </c:pt>
                <c:pt idx="55">
                  <c:v>2.1331638109345504E-3</c:v>
                </c:pt>
                <c:pt idx="56">
                  <c:v>2.1331638109345504E-3</c:v>
                </c:pt>
                <c:pt idx="57">
                  <c:v>9.5987899046131133E-4</c:v>
                </c:pt>
                <c:pt idx="58">
                  <c:v>2.1331638109345504E-3</c:v>
                </c:pt>
                <c:pt idx="59">
                  <c:v>4.076109192868568E-3</c:v>
                </c:pt>
                <c:pt idx="60">
                  <c:v>4.076109192868568E-3</c:v>
                </c:pt>
                <c:pt idx="61">
                  <c:v>2.1331638109345504E-3</c:v>
                </c:pt>
                <c:pt idx="62">
                  <c:v>1.0198714273651432E-3</c:v>
                </c:pt>
                <c:pt idx="63">
                  <c:v>4.076109192868568E-3</c:v>
                </c:pt>
                <c:pt idx="64">
                  <c:v>9.5987899046131133E-4</c:v>
                </c:pt>
                <c:pt idx="65">
                  <c:v>9.5987899046131133E-4</c:v>
                </c:pt>
                <c:pt idx="66">
                  <c:v>4.076109192868568E-3</c:v>
                </c:pt>
                <c:pt idx="67">
                  <c:v>2.7294594720870869E-3</c:v>
                </c:pt>
                <c:pt idx="68">
                  <c:v>2.7715714285714288E-3</c:v>
                </c:pt>
                <c:pt idx="69">
                  <c:v>7.6790319236904909E-4</c:v>
                </c:pt>
                <c:pt idx="70">
                  <c:v>9.5987899046131133E-4</c:v>
                </c:pt>
                <c:pt idx="71">
                  <c:v>1.0198714273651432E-3</c:v>
                </c:pt>
                <c:pt idx="72">
                  <c:v>2.7294594720870869E-3</c:v>
                </c:pt>
                <c:pt idx="73">
                  <c:v>2.7715714285714288E-3</c:v>
                </c:pt>
                <c:pt idx="74">
                  <c:v>1.0198714273651432E-3</c:v>
                </c:pt>
                <c:pt idx="75">
                  <c:v>8.1589714189211459E-4</c:v>
                </c:pt>
                <c:pt idx="76">
                  <c:v>1.1074472868176938E-2</c:v>
                </c:pt>
                <c:pt idx="77">
                  <c:v>1.1074472868176938E-2</c:v>
                </c:pt>
                <c:pt idx="78">
                  <c:v>1.0198714273651432E-3</c:v>
                </c:pt>
                <c:pt idx="79">
                  <c:v>1.2176327875562188E-2</c:v>
                </c:pt>
                <c:pt idx="80">
                  <c:v>1.2176327875562188E-2</c:v>
                </c:pt>
                <c:pt idx="81">
                  <c:v>2.7294594720870869E-3</c:v>
                </c:pt>
                <c:pt idx="82">
                  <c:v>2.7715714285714288E-3</c:v>
                </c:pt>
                <c:pt idx="83">
                  <c:v>2.1835675776696695E-3</c:v>
                </c:pt>
                <c:pt idx="84">
                  <c:v>2.217257142857143E-3</c:v>
                </c:pt>
                <c:pt idx="85">
                  <c:v>2.7294594720870869E-3</c:v>
                </c:pt>
                <c:pt idx="86">
                  <c:v>2.7715714285714288E-3</c:v>
                </c:pt>
                <c:pt idx="87">
                  <c:v>1.1074472868176938E-2</c:v>
                </c:pt>
                <c:pt idx="88">
                  <c:v>1.1074472868176938E-2</c:v>
                </c:pt>
                <c:pt idx="89">
                  <c:v>1.2176327875562188E-2</c:v>
                </c:pt>
                <c:pt idx="90">
                  <c:v>1.2176327875562188E-2</c:v>
                </c:pt>
                <c:pt idx="91">
                  <c:v>2.4202354741507264E-2</c:v>
                </c:pt>
                <c:pt idx="92">
                  <c:v>2.4202354741507264E-2</c:v>
                </c:pt>
                <c:pt idx="93">
                  <c:v>2.4202354741507264E-2</c:v>
                </c:pt>
                <c:pt idx="94">
                  <c:v>2.4202354741507264E-2</c:v>
                </c:pt>
                <c:pt idx="95">
                  <c:v>4.13162426244334E-3</c:v>
                </c:pt>
                <c:pt idx="96">
                  <c:v>4.13162426244334E-3</c:v>
                </c:pt>
                <c:pt idx="97">
                  <c:v>1.0720644957616992E-2</c:v>
                </c:pt>
                <c:pt idx="98">
                  <c:v>4.13162426244334E-3</c:v>
                </c:pt>
                <c:pt idx="99">
                  <c:v>1.0720644957616992E-2</c:v>
                </c:pt>
                <c:pt idx="100">
                  <c:v>1.0720644957616992E-2</c:v>
                </c:pt>
                <c:pt idx="101">
                  <c:v>1.3279381505411613E-2</c:v>
                </c:pt>
                <c:pt idx="102">
                  <c:v>1.3279381505411613E-2</c:v>
                </c:pt>
                <c:pt idx="103">
                  <c:v>4.13162426244334E-3</c:v>
                </c:pt>
                <c:pt idx="104">
                  <c:v>1.3279381505411613E-2</c:v>
                </c:pt>
                <c:pt idx="105">
                  <c:v>1.0720644957616992E-2</c:v>
                </c:pt>
                <c:pt idx="106">
                  <c:v>1.3279381505411613E-2</c:v>
                </c:pt>
                <c:pt idx="107">
                  <c:v>4.13162426244334E-3</c:v>
                </c:pt>
                <c:pt idx="108">
                  <c:v>1.0720644957616992E-2</c:v>
                </c:pt>
                <c:pt idx="109">
                  <c:v>1.3279381505411613E-2</c:v>
                </c:pt>
                <c:pt idx="110">
                  <c:v>8.3706989059071399E-4</c:v>
                </c:pt>
                <c:pt idx="111">
                  <c:v>1.5238870080703825E-3</c:v>
                </c:pt>
                <c:pt idx="112">
                  <c:v>5.4701451293849941E-3</c:v>
                </c:pt>
                <c:pt idx="113">
                  <c:v>5.4701451293849941E-3</c:v>
                </c:pt>
                <c:pt idx="114">
                  <c:v>5.6283132239921011E-3</c:v>
                </c:pt>
                <c:pt idx="115">
                  <c:v>5.6283132239921011E-3</c:v>
                </c:pt>
                <c:pt idx="116">
                  <c:v>8.8938675875263335E-4</c:v>
                </c:pt>
                <c:pt idx="117">
                  <c:v>6.5837900060073855E-3</c:v>
                </c:pt>
                <c:pt idx="118">
                  <c:v>6.5837900060073855E-3</c:v>
                </c:pt>
                <c:pt idx="119">
                  <c:v>5.4701451293849941E-3</c:v>
                </c:pt>
                <c:pt idx="120">
                  <c:v>5.6283132239921011E-3</c:v>
                </c:pt>
                <c:pt idx="121">
                  <c:v>1.9961810868829068E-3</c:v>
                </c:pt>
                <c:pt idx="122">
                  <c:v>1.9961810868829068E-3</c:v>
                </c:pt>
                <c:pt idx="123">
                  <c:v>5.4701451293849941E-3</c:v>
                </c:pt>
                <c:pt idx="124">
                  <c:v>8.3706989059071399E-4</c:v>
                </c:pt>
                <c:pt idx="125">
                  <c:v>5.6283132239921011E-3</c:v>
                </c:pt>
                <c:pt idx="126">
                  <c:v>8.3706989059071399E-4</c:v>
                </c:pt>
                <c:pt idx="127">
                  <c:v>1.5238870080703825E-3</c:v>
                </c:pt>
                <c:pt idx="128">
                  <c:v>6.5837900060073855E-3</c:v>
                </c:pt>
                <c:pt idx="129">
                  <c:v>1.5238870080703825E-3</c:v>
                </c:pt>
                <c:pt idx="130">
                  <c:v>6.6965591247257115E-4</c:v>
                </c:pt>
                <c:pt idx="131">
                  <c:v>8.8938675875263335E-4</c:v>
                </c:pt>
                <c:pt idx="132">
                  <c:v>8.3706989059071399E-4</c:v>
                </c:pt>
                <c:pt idx="133">
                  <c:v>6.5837900060073855E-3</c:v>
                </c:pt>
                <c:pt idx="134">
                  <c:v>3.8143587647444083E-3</c:v>
                </c:pt>
                <c:pt idx="135">
                  <c:v>3.8143587647444083E-3</c:v>
                </c:pt>
                <c:pt idx="136">
                  <c:v>1.2191096064563059E-3</c:v>
                </c:pt>
                <c:pt idx="137">
                  <c:v>8.8938675875263335E-4</c:v>
                </c:pt>
                <c:pt idx="138">
                  <c:v>1.5238870080703825E-3</c:v>
                </c:pt>
                <c:pt idx="139">
                  <c:v>7.1150940700210675E-4</c:v>
                </c:pt>
                <c:pt idx="140">
                  <c:v>1.9961810868829068E-3</c:v>
                </c:pt>
                <c:pt idx="141">
                  <c:v>8.8938675875263335E-4</c:v>
                </c:pt>
                <c:pt idx="142">
                  <c:v>2.7715714285714288E-3</c:v>
                </c:pt>
                <c:pt idx="143">
                  <c:v>1.9961810868829068E-3</c:v>
                </c:pt>
                <c:pt idx="144">
                  <c:v>3.8143587647444083E-3</c:v>
                </c:pt>
                <c:pt idx="145">
                  <c:v>3.8143587647444083E-3</c:v>
                </c:pt>
                <c:pt idx="146">
                  <c:v>2.7715714285714288E-3</c:v>
                </c:pt>
                <c:pt idx="147">
                  <c:v>2.7715714285714288E-3</c:v>
                </c:pt>
                <c:pt idx="148">
                  <c:v>2.217257142857143E-3</c:v>
                </c:pt>
                <c:pt idx="149">
                  <c:v>2.7715714285714288E-3</c:v>
                </c:pt>
                <c:pt idx="150">
                  <c:v>3.3744831090442885E-3</c:v>
                </c:pt>
                <c:pt idx="151">
                  <c:v>3.3744831090442877E-3</c:v>
                </c:pt>
                <c:pt idx="152">
                  <c:v>7.3102100315233995E-3</c:v>
                </c:pt>
                <c:pt idx="153">
                  <c:v>7.3102100315233995E-3</c:v>
                </c:pt>
                <c:pt idx="154">
                  <c:v>3.3744831090442877E-3</c:v>
                </c:pt>
                <c:pt idx="155">
                  <c:v>7.3102100315233995E-3</c:v>
                </c:pt>
                <c:pt idx="156">
                  <c:v>9.604451272429336E-3</c:v>
                </c:pt>
                <c:pt idx="157">
                  <c:v>9.604451272429336E-3</c:v>
                </c:pt>
                <c:pt idx="158">
                  <c:v>9.604451272429336E-3</c:v>
                </c:pt>
                <c:pt idx="159">
                  <c:v>3.3744831090442877E-3</c:v>
                </c:pt>
                <c:pt idx="160">
                  <c:v>7.3102100315233995E-3</c:v>
                </c:pt>
                <c:pt idx="161">
                  <c:v>9.604451272429336E-3</c:v>
                </c:pt>
                <c:pt idx="162">
                  <c:v>3.3744831090442885E-3</c:v>
                </c:pt>
                <c:pt idx="163">
                  <c:v>7.3102100315233995E-3</c:v>
                </c:pt>
                <c:pt idx="164">
                  <c:v>9.604451272429336E-3</c:v>
                </c:pt>
              </c:numCache>
            </c:numRef>
          </c:val>
          <c:extLst>
            <c:ext xmlns:c16="http://schemas.microsoft.com/office/drawing/2014/chart" uri="{C3380CC4-5D6E-409C-BE32-E72D297353CC}">
              <c16:uniqueId val="{00000007-F45C-465E-A516-77C650081690}"/>
            </c:ext>
          </c:extLst>
        </c:ser>
        <c:ser>
          <c:idx val="8"/>
          <c:order val="8"/>
          <c:tx>
            <c:strRef>
              <c:f>FIGURES!$K$397</c:f>
              <c:strCache>
                <c:ptCount val="1"/>
                <c:pt idx="0">
                  <c:v>Market failure (av. utilization)</c:v>
                </c:pt>
              </c:strCache>
            </c:strRef>
          </c:tx>
          <c:spPr>
            <a:solidFill>
              <a:schemeClr val="accent3">
                <a:lumMod val="60000"/>
              </a:schemeClr>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FIGURES!$K$398:$K$562</c:f>
              <c:numCache>
                <c:formatCode>General</c:formatCode>
                <c:ptCount val="165"/>
                <c:pt idx="0">
                  <c:v>6.4101374767547474E-3</c:v>
                </c:pt>
                <c:pt idx="1">
                  <c:v>6.4134922073344211E-3</c:v>
                </c:pt>
                <c:pt idx="2">
                  <c:v>8.4609173316454768E-3</c:v>
                </c:pt>
                <c:pt idx="3">
                  <c:v>9.3691920665066718E-3</c:v>
                </c:pt>
                <c:pt idx="4">
                  <c:v>8.1963859394884164E-3</c:v>
                </c:pt>
                <c:pt idx="5">
                  <c:v>8.1997406700680883E-3</c:v>
                </c:pt>
                <c:pt idx="6">
                  <c:v>1.0435341543790697E-2</c:v>
                </c:pt>
                <c:pt idx="7">
                  <c:v>1.1833655417796072E-2</c:v>
                </c:pt>
                <c:pt idx="8">
                  <c:v>1.3343253091443465E-2</c:v>
                </c:pt>
                <c:pt idx="9">
                  <c:v>1.0274848110927385E-2</c:v>
                </c:pt>
                <c:pt idx="10">
                  <c:v>1.1504824322419243E-2</c:v>
                </c:pt>
                <c:pt idx="11">
                  <c:v>1.1881931563082686E-2</c:v>
                </c:pt>
                <c:pt idx="12">
                  <c:v>1.5550528818373367E-2</c:v>
                </c:pt>
                <c:pt idx="13">
                  <c:v>1.7847936304156639E-2</c:v>
                </c:pt>
                <c:pt idx="14">
                  <c:v>1.6738814318908755E-2</c:v>
                </c:pt>
                <c:pt idx="15">
                  <c:v>1.2668347625040086E-2</c:v>
                </c:pt>
                <c:pt idx="16">
                  <c:v>1.2964876395476299E-2</c:v>
                </c:pt>
                <c:pt idx="17">
                  <c:v>1.4679005149837691E-2</c:v>
                </c:pt>
                <c:pt idx="18">
                  <c:v>1.4934194212517798E-2</c:v>
                </c:pt>
                <c:pt idx="19">
                  <c:v>1.4937548943097472E-2</c:v>
                </c:pt>
                <c:pt idx="20">
                  <c:v>2.1521269454121909E-2</c:v>
                </c:pt>
                <c:pt idx="21">
                  <c:v>2.2260979810807893E-2</c:v>
                </c:pt>
                <c:pt idx="22">
                  <c:v>2.4380628999740327E-2</c:v>
                </c:pt>
                <c:pt idx="23">
                  <c:v>1.5164284685916136E-2</c:v>
                </c:pt>
                <c:pt idx="24">
                  <c:v>2.2709554954657294E-2</c:v>
                </c:pt>
                <c:pt idx="25">
                  <c:v>2.5189959154702641E-2</c:v>
                </c:pt>
                <c:pt idx="26">
                  <c:v>2.3449265311343285E-2</c:v>
                </c:pt>
                <c:pt idx="27">
                  <c:v>1.6149725145607221E-2</c:v>
                </c:pt>
                <c:pt idx="28">
                  <c:v>1.6153079876186895E-2</c:v>
                </c:pt>
                <c:pt idx="29">
                  <c:v>2.1129720272896415E-2</c:v>
                </c:pt>
                <c:pt idx="30">
                  <c:v>2.7747547230981169E-2</c:v>
                </c:pt>
                <c:pt idx="31">
                  <c:v>2.4312024173282508E-2</c:v>
                </c:pt>
                <c:pt idx="32">
                  <c:v>2.2806772205735022E-2</c:v>
                </c:pt>
                <c:pt idx="33">
                  <c:v>3.1192909390892233E-2</c:v>
                </c:pt>
                <c:pt idx="34">
                  <c:v>2.8935832731516557E-2</c:v>
                </c:pt>
                <c:pt idx="35">
                  <c:v>2.6290839836726355E-2</c:v>
                </c:pt>
                <c:pt idx="36">
                  <c:v>2.8551150428794473E-2</c:v>
                </c:pt>
                <c:pt idx="37">
                  <c:v>2.855450515937415E-2</c:v>
                </c:pt>
                <c:pt idx="38">
                  <c:v>3.9916854454536799E-2</c:v>
                </c:pt>
                <c:pt idx="39">
                  <c:v>4.6479659332276088E-2</c:v>
                </c:pt>
                <c:pt idx="40">
                  <c:v>6.5149603783989984E-2</c:v>
                </c:pt>
                <c:pt idx="41">
                  <c:v>7.061358407215175E-2</c:v>
                </c:pt>
                <c:pt idx="42">
                  <c:v>6.9625490706338555E-2</c:v>
                </c:pt>
                <c:pt idx="43">
                  <c:v>6.9194063478279583E-2</c:v>
                </c:pt>
                <c:pt idx="44">
                  <c:v>7.5707949094327057E-2</c:v>
                </c:pt>
                <c:pt idx="45">
                  <c:v>8.0099479887204131E-2</c:v>
                </c:pt>
                <c:pt idx="46">
                  <c:v>8.8326262468132202E-2</c:v>
                </c:pt>
                <c:pt idx="47">
                  <c:v>9.0669449420705039E-2</c:v>
                </c:pt>
                <c:pt idx="48">
                  <c:v>9.9182556352221826E-2</c:v>
                </c:pt>
                <c:pt idx="49">
                  <c:v>9.8840799825624742E-2</c:v>
                </c:pt>
                <c:pt idx="50">
                  <c:v>0.1024517746225366</c:v>
                </c:pt>
                <c:pt idx="51">
                  <c:v>0.13633687757910018</c:v>
                </c:pt>
                <c:pt idx="52">
                  <c:v>0.12386605538599031</c:v>
                </c:pt>
                <c:pt idx="53">
                  <c:v>0.15907506174705863</c:v>
                </c:pt>
                <c:pt idx="54">
                  <c:v>0.19148045910111161</c:v>
                </c:pt>
                <c:pt idx="55">
                  <c:v>6.8331995010663706E-3</c:v>
                </c:pt>
                <c:pt idx="56">
                  <c:v>6.8365542316460425E-3</c:v>
                </c:pt>
                <c:pt idx="57">
                  <c:v>8.3562602548806764E-3</c:v>
                </c:pt>
                <c:pt idx="58">
                  <c:v>9.9528851394415953E-3</c:v>
                </c:pt>
                <c:pt idx="59">
                  <c:v>8.583047072717457E-3</c:v>
                </c:pt>
                <c:pt idx="60">
                  <c:v>8.5864018032971289E-3</c:v>
                </c:pt>
                <c:pt idx="61">
                  <c:v>1.112406261005624E-2</c:v>
                </c:pt>
                <c:pt idx="62">
                  <c:v>1.040846408698637E-2</c:v>
                </c:pt>
                <c:pt idx="63">
                  <c:v>1.2367126663309516E-2</c:v>
                </c:pt>
                <c:pt idx="64">
                  <c:v>1.0192553657402922E-2</c:v>
                </c:pt>
                <c:pt idx="65">
                  <c:v>1.5345239937027022E-2</c:v>
                </c:pt>
                <c:pt idx="66">
                  <c:v>1.3972715564219782E-2</c:v>
                </c:pt>
                <c:pt idx="67">
                  <c:v>1.1947289068638487E-2</c:v>
                </c:pt>
                <c:pt idx="68">
                  <c:v>1.2126242008956489E-2</c:v>
                </c:pt>
                <c:pt idx="69">
                  <c:v>1.7623326116330634E-2</c:v>
                </c:pt>
                <c:pt idx="70">
                  <c:v>1.6533525437562417E-2</c:v>
                </c:pt>
                <c:pt idx="71">
                  <c:v>1.1806252397178342E-2</c:v>
                </c:pt>
                <c:pt idx="72">
                  <c:v>1.3016268622067189E-2</c:v>
                </c:pt>
                <c:pt idx="73">
                  <c:v>1.3156983754624931E-2</c:v>
                </c:pt>
                <c:pt idx="74">
                  <c:v>1.9370716684618969E-2</c:v>
                </c:pt>
                <c:pt idx="75">
                  <c:v>2.2027671263695939E-2</c:v>
                </c:pt>
                <c:pt idx="76">
                  <c:v>1.4134775461909336E-2</c:v>
                </c:pt>
                <c:pt idx="77">
                  <c:v>1.413813019248901E-2</c:v>
                </c:pt>
                <c:pt idx="78">
                  <c:v>2.0559002185154357E-2</c:v>
                </c:pt>
                <c:pt idx="79">
                  <c:v>1.5198693025411145E-2</c:v>
                </c:pt>
                <c:pt idx="80">
                  <c:v>1.5202047755990818E-2</c:v>
                </c:pt>
                <c:pt idx="81">
                  <c:v>2.2389181071705816E-2</c:v>
                </c:pt>
                <c:pt idx="82">
                  <c:v>2.2740204146944967E-2</c:v>
                </c:pt>
                <c:pt idx="83">
                  <c:v>2.5330226416626245E-2</c:v>
                </c:pt>
                <c:pt idx="84">
                  <c:v>2.5714286957770269E-2</c:v>
                </c:pt>
                <c:pt idx="85">
                  <c:v>2.3577466572241201E-2</c:v>
                </c:pt>
                <c:pt idx="86">
                  <c:v>2.3928489647480365E-2</c:v>
                </c:pt>
                <c:pt idx="87">
                  <c:v>2.0026772808245816E-2</c:v>
                </c:pt>
                <c:pt idx="88">
                  <c:v>2.3010615626373594E-2</c:v>
                </c:pt>
                <c:pt idx="89">
                  <c:v>2.1494645782664312E-2</c:v>
                </c:pt>
                <c:pt idx="90">
                  <c:v>2.4742613292545308E-2</c:v>
                </c:pt>
                <c:pt idx="91">
                  <c:v>2.6325694905820204E-2</c:v>
                </c:pt>
                <c:pt idx="92">
                  <c:v>2.6329049636399881E-2</c:v>
                </c:pt>
                <c:pt idx="93">
                  <c:v>3.6846422938026986E-2</c:v>
                </c:pt>
                <c:pt idx="94">
                  <c:v>4.2856743512300705E-2</c:v>
                </c:pt>
                <c:pt idx="95">
                  <c:v>5.6871908459901539E-2</c:v>
                </c:pt>
                <c:pt idx="96">
                  <c:v>6.1799222420589786E-2</c:v>
                </c:pt>
                <c:pt idx="97">
                  <c:v>6.5403373288047129E-2</c:v>
                </c:pt>
                <c:pt idx="98">
                  <c:v>6.5381610164195081E-2</c:v>
                </c:pt>
                <c:pt idx="99">
                  <c:v>7.091509669714792E-2</c:v>
                </c:pt>
                <c:pt idx="100">
                  <c:v>6.9329735996424835E-2</c:v>
                </c:pt>
                <c:pt idx="101">
                  <c:v>7.03336184363543E-2</c:v>
                </c:pt>
                <c:pt idx="102">
                  <c:v>7.6558564675540813E-2</c:v>
                </c:pt>
                <c:pt idx="103">
                  <c:v>8.0695702197474711E-2</c:v>
                </c:pt>
                <c:pt idx="104">
                  <c:v>7.9584359467844631E-2</c:v>
                </c:pt>
                <c:pt idx="105">
                  <c:v>8.8829772674907492E-2</c:v>
                </c:pt>
                <c:pt idx="106">
                  <c:v>9.6765433154279712E-2</c:v>
                </c:pt>
                <c:pt idx="107">
                  <c:v>0.12962524792344063</c:v>
                </c:pt>
                <c:pt idx="108">
                  <c:v>0.13731562811440928</c:v>
                </c:pt>
                <c:pt idx="109">
                  <c:v>0.15103602689119042</c:v>
                </c:pt>
                <c:pt idx="110">
                  <c:v>8.1981036076722927E-3</c:v>
                </c:pt>
                <c:pt idx="111">
                  <c:v>8.5064464888808689E-3</c:v>
                </c:pt>
                <c:pt idx="112">
                  <c:v>7.9008839801519501E-3</c:v>
                </c:pt>
                <c:pt idx="113">
                  <c:v>7.9042387107316255E-3</c:v>
                </c:pt>
                <c:pt idx="114">
                  <c:v>7.9649015468819025E-3</c:v>
                </c:pt>
                <c:pt idx="115">
                  <c:v>7.968256277461578E-3</c:v>
                </c:pt>
                <c:pt idx="116">
                  <c:v>8.9512137644664324E-3</c:v>
                </c:pt>
                <c:pt idx="117">
                  <c:v>8.823841520165767E-3</c:v>
                </c:pt>
                <c:pt idx="118">
                  <c:v>8.8271962507454425E-3</c:v>
                </c:pt>
                <c:pt idx="119">
                  <c:v>1.1425955277411116E-2</c:v>
                </c:pt>
                <c:pt idx="120">
                  <c:v>1.151427946653498E-2</c:v>
                </c:pt>
                <c:pt idx="121">
                  <c:v>1.0385648271480374E-2</c:v>
                </c:pt>
                <c:pt idx="122">
                  <c:v>1.0389003002060049E-2</c:v>
                </c:pt>
                <c:pt idx="123">
                  <c:v>1.2862192601911418E-2</c:v>
                </c:pt>
                <c:pt idx="124">
                  <c:v>1.0068191165580947E-2</c:v>
                </c:pt>
                <c:pt idx="125">
                  <c:v>1.2966409582600527E-2</c:v>
                </c:pt>
                <c:pt idx="126">
                  <c:v>1.5035009590579808E-2</c:v>
                </c:pt>
                <c:pt idx="127">
                  <c:v>1.0310648815762049E-2</c:v>
                </c:pt>
                <c:pt idx="128">
                  <c:v>1.2699347573956049E-2</c:v>
                </c:pt>
                <c:pt idx="129">
                  <c:v>1.5639836011412018E-2</c:v>
                </c:pt>
                <c:pt idx="130">
                  <c:v>1.7283897619629562E-2</c:v>
                </c:pt>
                <c:pt idx="131">
                  <c:v>1.0660380348701126E-2</c:v>
                </c:pt>
                <c:pt idx="132">
                  <c:v>1.6223295091115197E-2</c:v>
                </c:pt>
                <c:pt idx="133">
                  <c:v>1.4364715316188228E-2</c:v>
                </c:pt>
                <c:pt idx="134">
                  <c:v>1.1829837822942339E-2</c:v>
                </c:pt>
                <c:pt idx="135">
                  <c:v>1.1833192553522012E-2</c:v>
                </c:pt>
                <c:pt idx="136">
                  <c:v>1.7945648880069512E-2</c:v>
                </c:pt>
                <c:pt idx="137">
                  <c:v>1.651226412890678E-2</c:v>
                </c:pt>
                <c:pt idx="138">
                  <c:v>1.682812151194741E-2</c:v>
                </c:pt>
                <c:pt idx="139">
                  <c:v>1.8900187879210835E-2</c:v>
                </c:pt>
                <c:pt idx="140">
                  <c:v>1.4854151667962478E-2</c:v>
                </c:pt>
                <c:pt idx="141">
                  <c:v>1.7700549629442175E-2</c:v>
                </c:pt>
                <c:pt idx="142">
                  <c:v>1.3927782054255036E-2</c:v>
                </c:pt>
                <c:pt idx="143">
                  <c:v>1.6907248441954705E-2</c:v>
                </c:pt>
                <c:pt idx="144">
                  <c:v>1.6846680868769288E-2</c:v>
                </c:pt>
                <c:pt idx="145">
                  <c:v>1.925830741348698E-2</c:v>
                </c:pt>
                <c:pt idx="146">
                  <c:v>1.4573579345799854E-2</c:v>
                </c:pt>
                <c:pt idx="147">
                  <c:v>2.6273994235799812E-2</c:v>
                </c:pt>
                <c:pt idx="148">
                  <c:v>2.9580669054987924E-2</c:v>
                </c:pt>
                <c:pt idx="149">
                  <c:v>2.7462279736335207E-2</c:v>
                </c:pt>
                <c:pt idx="150">
                  <c:v>5.2829487710786029E-2</c:v>
                </c:pt>
                <c:pt idx="151">
                  <c:v>5.7259443876853541E-2</c:v>
                </c:pt>
                <c:pt idx="152">
                  <c:v>5.8759413488361334E-2</c:v>
                </c:pt>
                <c:pt idx="153">
                  <c:v>6.3770957790438648E-2</c:v>
                </c:pt>
                <c:pt idx="154">
                  <c:v>6.0652880293585773E-2</c:v>
                </c:pt>
                <c:pt idx="155">
                  <c:v>6.6952203103245081E-2</c:v>
                </c:pt>
                <c:pt idx="156">
                  <c:v>7.0440409181026703E-2</c:v>
                </c:pt>
                <c:pt idx="157">
                  <c:v>6.8942703646012363E-2</c:v>
                </c:pt>
                <c:pt idx="158">
                  <c:v>7.6408000661182016E-2</c:v>
                </c:pt>
                <c:pt idx="159">
                  <c:v>7.4942315028961634E-2</c:v>
                </c:pt>
                <c:pt idx="160">
                  <c:v>8.2107038130745158E-2</c:v>
                </c:pt>
                <c:pt idx="161">
                  <c:v>9.4587015958766452E-2</c:v>
                </c:pt>
                <c:pt idx="162">
                  <c:v>0.12053542189797735</c:v>
                </c:pt>
                <c:pt idx="163">
                  <c:v>0.13021340696332451</c:v>
                </c:pt>
                <c:pt idx="164">
                  <c:v>0.14459396086521706</c:v>
                </c:pt>
              </c:numCache>
            </c:numRef>
          </c:val>
          <c:extLst>
            <c:ext xmlns:c16="http://schemas.microsoft.com/office/drawing/2014/chart" uri="{C3380CC4-5D6E-409C-BE32-E72D297353CC}">
              <c16:uniqueId val="{00000008-F45C-465E-A516-77C650081690}"/>
            </c:ext>
          </c:extLst>
        </c:ser>
        <c:ser>
          <c:idx val="9"/>
          <c:order val="9"/>
          <c:tx>
            <c:strRef>
              <c:f>FIGURES!$L$397</c:f>
              <c:strCache>
                <c:ptCount val="1"/>
                <c:pt idx="0">
                  <c:v>Payload loss (fuel)</c:v>
                </c:pt>
              </c:strCache>
            </c:strRef>
          </c:tx>
          <c:spPr>
            <a:solidFill>
              <a:schemeClr val="accent4">
                <a:lumMod val="60000"/>
              </a:schemeClr>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FIGURES!$L$398:$L$562</c:f>
              <c:numCache>
                <c:formatCode>General</c:formatCode>
                <c:ptCount val="165"/>
                <c:pt idx="0">
                  <c:v>0</c:v>
                </c:pt>
                <c:pt idx="1">
                  <c:v>0</c:v>
                </c:pt>
                <c:pt idx="2">
                  <c:v>0</c:v>
                </c:pt>
                <c:pt idx="3">
                  <c:v>0</c:v>
                </c:pt>
                <c:pt idx="4">
                  <c:v>0</c:v>
                </c:pt>
                <c:pt idx="5">
                  <c:v>0</c:v>
                </c:pt>
                <c:pt idx="6">
                  <c:v>0</c:v>
                </c:pt>
                <c:pt idx="7">
                  <c:v>0</c:v>
                </c:pt>
                <c:pt idx="8">
                  <c:v>0</c:v>
                </c:pt>
                <c:pt idx="9">
                  <c:v>0</c:v>
                </c:pt>
                <c:pt idx="10">
                  <c:v>3.9063544221873935E-4</c:v>
                </c:pt>
                <c:pt idx="11">
                  <c:v>0</c:v>
                </c:pt>
                <c:pt idx="12">
                  <c:v>0</c:v>
                </c:pt>
                <c:pt idx="13">
                  <c:v>0</c:v>
                </c:pt>
                <c:pt idx="14">
                  <c:v>0</c:v>
                </c:pt>
                <c:pt idx="15">
                  <c:v>5.4702812928758213E-4</c:v>
                </c:pt>
                <c:pt idx="16">
                  <c:v>0</c:v>
                </c:pt>
                <c:pt idx="17">
                  <c:v>2.4636092559168071E-4</c:v>
                </c:pt>
                <c:pt idx="18">
                  <c:v>1.3512273869737464E-3</c:v>
                </c:pt>
                <c:pt idx="19">
                  <c:v>1.3515309188396555E-3</c:v>
                </c:pt>
                <c:pt idx="20">
                  <c:v>3.7253124998190904E-4</c:v>
                </c:pt>
                <c:pt idx="21">
                  <c:v>0</c:v>
                </c:pt>
                <c:pt idx="22">
                  <c:v>2.4505998190501796E-4</c:v>
                </c:pt>
                <c:pt idx="23">
                  <c:v>3.2366457432390222E-4</c:v>
                </c:pt>
                <c:pt idx="24">
                  <c:v>3.9310036574868694E-4</c:v>
                </c:pt>
                <c:pt idx="25">
                  <c:v>0</c:v>
                </c:pt>
                <c:pt idx="26">
                  <c:v>0</c:v>
                </c:pt>
                <c:pt idx="27">
                  <c:v>1.8667438119986494E-3</c:v>
                </c:pt>
                <c:pt idx="28">
                  <c:v>1.8671315847002927E-3</c:v>
                </c:pt>
                <c:pt idx="29">
                  <c:v>1.3856702589881906E-3</c:v>
                </c:pt>
                <c:pt idx="30">
                  <c:v>2.3741216882122891E-4</c:v>
                </c:pt>
                <c:pt idx="31">
                  <c:v>1.3512273869737464E-3</c:v>
                </c:pt>
                <c:pt idx="32">
                  <c:v>1.9107458000384783E-3</c:v>
                </c:pt>
                <c:pt idx="33">
                  <c:v>1.5555136364477952E-4</c:v>
                </c:pt>
                <c:pt idx="34">
                  <c:v>2.475793174889114E-4</c:v>
                </c:pt>
                <c:pt idx="35">
                  <c:v>1.8667438119986494E-3</c:v>
                </c:pt>
                <c:pt idx="36">
                  <c:v>1.2381876461467003E-3</c:v>
                </c:pt>
                <c:pt idx="37">
                  <c:v>1.2383331319116356E-3</c:v>
                </c:pt>
                <c:pt idx="38">
                  <c:v>1.2546964484978669E-3</c:v>
                </c:pt>
                <c:pt idx="39">
                  <c:v>1.2381876461467003E-3</c:v>
                </c:pt>
                <c:pt idx="40">
                  <c:v>0</c:v>
                </c:pt>
                <c:pt idx="41">
                  <c:v>0</c:v>
                </c:pt>
                <c:pt idx="42">
                  <c:v>0</c:v>
                </c:pt>
                <c:pt idx="43">
                  <c:v>7.0448133436563226E-3</c:v>
                </c:pt>
                <c:pt idx="44">
                  <c:v>7.1132539649722548E-3</c:v>
                </c:pt>
                <c:pt idx="45">
                  <c:v>8.1551199100547145E-3</c:v>
                </c:pt>
                <c:pt idx="46">
                  <c:v>0</c:v>
                </c:pt>
                <c:pt idx="47">
                  <c:v>4.3682791161508971E-3</c:v>
                </c:pt>
                <c:pt idx="48">
                  <c:v>4.409718611580335E-3</c:v>
                </c:pt>
                <c:pt idx="49">
                  <c:v>9.2867356687296315E-3</c:v>
                </c:pt>
                <c:pt idx="50">
                  <c:v>4.9359288090485148E-3</c:v>
                </c:pt>
                <c:pt idx="51">
                  <c:v>0</c:v>
                </c:pt>
                <c:pt idx="52">
                  <c:v>5.5071624473854025E-3</c:v>
                </c:pt>
                <c:pt idx="53">
                  <c:v>1.2705336115153232E-2</c:v>
                </c:pt>
                <c:pt idx="54">
                  <c:v>7.2369782095337842E-3</c:v>
                </c:pt>
                <c:pt idx="55">
                  <c:v>0</c:v>
                </c:pt>
                <c:pt idx="56">
                  <c:v>0</c:v>
                </c:pt>
                <c:pt idx="57">
                  <c:v>0</c:v>
                </c:pt>
                <c:pt idx="58">
                  <c:v>0</c:v>
                </c:pt>
                <c:pt idx="59">
                  <c:v>0</c:v>
                </c:pt>
                <c:pt idx="60">
                  <c:v>0</c:v>
                </c:pt>
                <c:pt idx="61">
                  <c:v>0</c:v>
                </c:pt>
                <c:pt idx="62">
                  <c:v>2.7537427266196256E-4</c:v>
                </c:pt>
                <c:pt idx="63">
                  <c:v>0</c:v>
                </c:pt>
                <c:pt idx="64">
                  <c:v>0</c:v>
                </c:pt>
                <c:pt idx="65">
                  <c:v>0</c:v>
                </c:pt>
                <c:pt idx="66">
                  <c:v>0</c:v>
                </c:pt>
                <c:pt idx="67">
                  <c:v>2.0051394241071656E-4</c:v>
                </c:pt>
                <c:pt idx="68">
                  <c:v>0</c:v>
                </c:pt>
                <c:pt idx="69">
                  <c:v>0</c:v>
                </c:pt>
                <c:pt idx="70">
                  <c:v>0</c:v>
                </c:pt>
                <c:pt idx="71">
                  <c:v>3.9723436527569315E-4</c:v>
                </c:pt>
                <c:pt idx="72">
                  <c:v>2.7781759114293633E-4</c:v>
                </c:pt>
                <c:pt idx="73">
                  <c:v>0</c:v>
                </c:pt>
                <c:pt idx="74">
                  <c:v>2.6126761215228105E-4</c:v>
                </c:pt>
                <c:pt idx="75">
                  <c:v>1.7279931915194311E-4</c:v>
                </c:pt>
                <c:pt idx="76">
                  <c:v>1.2607618619646342E-3</c:v>
                </c:pt>
                <c:pt idx="77">
                  <c:v>1.2610610896660879E-3</c:v>
                </c:pt>
                <c:pt idx="78">
                  <c:v>2.7729492391027032E-4</c:v>
                </c:pt>
                <c:pt idx="79">
                  <c:v>1.7161115644184627E-3</c:v>
                </c:pt>
                <c:pt idx="80">
                  <c:v>1.7164903530375655E-3</c:v>
                </c:pt>
                <c:pt idx="81">
                  <c:v>1.9156518564026476E-4</c:v>
                </c:pt>
                <c:pt idx="82">
                  <c:v>0</c:v>
                </c:pt>
                <c:pt idx="83">
                  <c:v>1.2631560625401932E-4</c:v>
                </c:pt>
                <c:pt idx="84">
                  <c:v>0</c:v>
                </c:pt>
                <c:pt idx="85">
                  <c:v>2.0173233430794725E-4</c:v>
                </c:pt>
                <c:pt idx="86">
                  <c:v>0</c:v>
                </c:pt>
                <c:pt idx="87">
                  <c:v>1.2947163246812589E-3</c:v>
                </c:pt>
                <c:pt idx="88">
                  <c:v>1.2607618619646342E-3</c:v>
                </c:pt>
                <c:pt idx="89">
                  <c:v>1.7590940957229288E-3</c:v>
                </c:pt>
                <c:pt idx="90">
                  <c:v>1.7161115644184627E-3</c:v>
                </c:pt>
                <c:pt idx="91">
                  <c:v>1.1416755443850596E-3</c:v>
                </c:pt>
                <c:pt idx="92">
                  <c:v>1.1418210301499948E-3</c:v>
                </c:pt>
                <c:pt idx="93">
                  <c:v>1.1581843467362296E-3</c:v>
                </c:pt>
                <c:pt idx="94">
                  <c:v>1.1416755443850596E-3</c:v>
                </c:pt>
                <c:pt idx="95">
                  <c:v>4.4421860038116392E-3</c:v>
                </c:pt>
                <c:pt idx="96">
                  <c:v>4.4545939822651093E-3</c:v>
                </c:pt>
                <c:pt idx="97">
                  <c:v>0</c:v>
                </c:pt>
                <c:pt idx="98">
                  <c:v>5.1068670182368367E-3</c:v>
                </c:pt>
                <c:pt idx="99">
                  <c:v>0</c:v>
                </c:pt>
                <c:pt idx="100">
                  <c:v>0</c:v>
                </c:pt>
                <c:pt idx="101">
                  <c:v>2.4811368469288692E-3</c:v>
                </c:pt>
                <c:pt idx="102">
                  <c:v>2.4923424709268893E-3</c:v>
                </c:pt>
                <c:pt idx="103">
                  <c:v>5.8166846656595439E-3</c:v>
                </c:pt>
                <c:pt idx="104">
                  <c:v>2.8074723170056493E-3</c:v>
                </c:pt>
                <c:pt idx="105">
                  <c:v>0</c:v>
                </c:pt>
                <c:pt idx="106">
                  <c:v>3.1501713725975572E-3</c:v>
                </c:pt>
                <c:pt idx="107">
                  <c:v>7.9427691509175447E-3</c:v>
                </c:pt>
                <c:pt idx="108">
                  <c:v>0</c:v>
                </c:pt>
                <c:pt idx="109">
                  <c:v>4.1797635385618787E-3</c:v>
                </c:pt>
                <c:pt idx="110">
                  <c:v>0</c:v>
                </c:pt>
                <c:pt idx="111">
                  <c:v>1.4276553547772075E-4</c:v>
                </c:pt>
                <c:pt idx="112">
                  <c:v>7.1822500101581012E-4</c:v>
                </c:pt>
                <c:pt idx="113">
                  <c:v>7.1852996073677906E-4</c:v>
                </c:pt>
                <c:pt idx="114">
                  <c:v>6.2553170530739097E-4</c:v>
                </c:pt>
                <c:pt idx="115">
                  <c:v>6.2579517251134739E-4</c:v>
                </c:pt>
                <c:pt idx="116">
                  <c:v>1.5057061177638394E-4</c:v>
                </c:pt>
                <c:pt idx="117">
                  <c:v>3.8266659653780032E-4</c:v>
                </c:pt>
                <c:pt idx="118">
                  <c:v>3.8281208230273554E-4</c:v>
                </c:pt>
                <c:pt idx="119">
                  <c:v>7.528298969710686E-4</c:v>
                </c:pt>
                <c:pt idx="120">
                  <c:v>6.5542829345874992E-4</c:v>
                </c:pt>
                <c:pt idx="121">
                  <c:v>0</c:v>
                </c:pt>
                <c:pt idx="122">
                  <c:v>0</c:v>
                </c:pt>
                <c:pt idx="123">
                  <c:v>7.1822500101581012E-4</c:v>
                </c:pt>
                <c:pt idx="124">
                  <c:v>0</c:v>
                </c:pt>
                <c:pt idx="125">
                  <c:v>6.2553170530739097E-4</c:v>
                </c:pt>
                <c:pt idx="126">
                  <c:v>0</c:v>
                </c:pt>
                <c:pt idx="127">
                  <c:v>2.2006918420994052E-4</c:v>
                </c:pt>
                <c:pt idx="128">
                  <c:v>3.9917539888897034E-4</c:v>
                </c:pt>
                <c:pt idx="129">
                  <c:v>1.3381677870726895E-4</c:v>
                </c:pt>
                <c:pt idx="130">
                  <c:v>0</c:v>
                </c:pt>
                <c:pt idx="131">
                  <c:v>2.280494455759903E-4</c:v>
                </c:pt>
                <c:pt idx="132">
                  <c:v>0</c:v>
                </c:pt>
                <c:pt idx="133">
                  <c:v>3.8266659653780032E-4</c:v>
                </c:pt>
                <c:pt idx="134">
                  <c:v>0</c:v>
                </c:pt>
                <c:pt idx="135">
                  <c:v>0</c:v>
                </c:pt>
                <c:pt idx="136">
                  <c:v>8.9490535166311669E-5</c:v>
                </c:pt>
                <c:pt idx="137">
                  <c:v>1.4160157538674681E-4</c:v>
                </c:pt>
                <c:pt idx="138">
                  <c:v>1.4398392737494971E-4</c:v>
                </c:pt>
                <c:pt idx="139">
                  <c:v>9.4463400767744003E-5</c:v>
                </c:pt>
                <c:pt idx="140">
                  <c:v>0</c:v>
                </c:pt>
                <c:pt idx="141">
                  <c:v>1.5179176478605921E-4</c:v>
                </c:pt>
                <c:pt idx="142">
                  <c:v>0</c:v>
                </c:pt>
                <c:pt idx="143">
                  <c:v>0</c:v>
                </c:pt>
                <c:pt idx="144">
                  <c:v>0</c:v>
                </c:pt>
                <c:pt idx="145">
                  <c:v>0</c:v>
                </c:pt>
                <c:pt idx="146">
                  <c:v>0</c:v>
                </c:pt>
                <c:pt idx="147">
                  <c:v>0</c:v>
                </c:pt>
                <c:pt idx="148">
                  <c:v>0</c:v>
                </c:pt>
                <c:pt idx="149">
                  <c:v>0</c:v>
                </c:pt>
                <c:pt idx="150">
                  <c:v>2.5726284928699536E-3</c:v>
                </c:pt>
                <c:pt idx="151">
                  <c:v>2.5732025895309971E-3</c:v>
                </c:pt>
                <c:pt idx="152">
                  <c:v>1.1106988281009422E-3</c:v>
                </c:pt>
                <c:pt idx="153">
                  <c:v>1.1124179278049692E-3</c:v>
                </c:pt>
                <c:pt idx="154">
                  <c:v>2.9536028982929466E-3</c:v>
                </c:pt>
                <c:pt idx="155">
                  <c:v>1.2655628964077376E-3</c:v>
                </c:pt>
                <c:pt idx="156">
                  <c:v>0</c:v>
                </c:pt>
                <c:pt idx="157">
                  <c:v>0</c:v>
                </c:pt>
                <c:pt idx="158">
                  <c:v>0</c:v>
                </c:pt>
                <c:pt idx="159">
                  <c:v>3.3678594488747021E-3</c:v>
                </c:pt>
                <c:pt idx="160">
                  <c:v>1.4322717484619857E-3</c:v>
                </c:pt>
                <c:pt idx="161">
                  <c:v>0</c:v>
                </c:pt>
                <c:pt idx="162">
                  <c:v>4.6046727573994528E-3</c:v>
                </c:pt>
                <c:pt idx="163">
                  <c:v>1.9308919265353247E-3</c:v>
                </c:pt>
                <c:pt idx="164">
                  <c:v>0</c:v>
                </c:pt>
              </c:numCache>
            </c:numRef>
          </c:val>
          <c:extLst>
            <c:ext xmlns:c16="http://schemas.microsoft.com/office/drawing/2014/chart" uri="{C3380CC4-5D6E-409C-BE32-E72D297353CC}">
              <c16:uniqueId val="{00000009-F45C-465E-A516-77C650081690}"/>
            </c:ext>
          </c:extLst>
        </c:ser>
        <c:ser>
          <c:idx val="10"/>
          <c:order val="10"/>
          <c:tx>
            <c:strRef>
              <c:f>FIGURES!$M$397</c:f>
              <c:strCache>
                <c:ptCount val="1"/>
                <c:pt idx="0">
                  <c:v>Emission Cost</c:v>
                </c:pt>
              </c:strCache>
            </c:strRef>
          </c:tx>
          <c:spPr>
            <a:solidFill>
              <a:schemeClr val="accent5">
                <a:lumMod val="60000"/>
              </a:schemeClr>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FIGURES!$M$398:$M$562</c:f>
              <c:numCache>
                <c:formatCode>General</c:formatCode>
                <c:ptCount val="165"/>
                <c:pt idx="0">
                  <c:v>1.9330162494961441E-3</c:v>
                </c:pt>
                <c:pt idx="1">
                  <c:v>1.9330162494961441E-3</c:v>
                </c:pt>
                <c:pt idx="2">
                  <c:v>2.6370562862784274E-5</c:v>
                </c:pt>
                <c:pt idx="3">
                  <c:v>1.9330162494961441E-3</c:v>
                </c:pt>
                <c:pt idx="4">
                  <c:v>1.8343688133195604E-3</c:v>
                </c:pt>
                <c:pt idx="5">
                  <c:v>1.8343688133195604E-3</c:v>
                </c:pt>
                <c:pt idx="6">
                  <c:v>1.9330162494961441E-3</c:v>
                </c:pt>
                <c:pt idx="7">
                  <c:v>1.8343688133195604E-3</c:v>
                </c:pt>
                <c:pt idx="8">
                  <c:v>1.8343688133195604E-3</c:v>
                </c:pt>
                <c:pt idx="9">
                  <c:v>2.6370562862784274E-5</c:v>
                </c:pt>
                <c:pt idx="10">
                  <c:v>2.8018723041708291E-5</c:v>
                </c:pt>
                <c:pt idx="11">
                  <c:v>7.4298751127533757E-4</c:v>
                </c:pt>
                <c:pt idx="12">
                  <c:v>2.6370562862784274E-5</c:v>
                </c:pt>
                <c:pt idx="13">
                  <c:v>2.1096450290227417E-5</c:v>
                </c:pt>
                <c:pt idx="14">
                  <c:v>2.6370562862784274E-5</c:v>
                </c:pt>
                <c:pt idx="15">
                  <c:v>2.8018723041708291E-5</c:v>
                </c:pt>
                <c:pt idx="16">
                  <c:v>7.4298751127533757E-4</c:v>
                </c:pt>
                <c:pt idx="17">
                  <c:v>6.3470132672722201E-5</c:v>
                </c:pt>
                <c:pt idx="18">
                  <c:v>2.6311642110997044E-4</c:v>
                </c:pt>
                <c:pt idx="19">
                  <c:v>2.6311642110997044E-4</c:v>
                </c:pt>
                <c:pt idx="20">
                  <c:v>2.8018723041708291E-5</c:v>
                </c:pt>
                <c:pt idx="21">
                  <c:v>7.4298751127533757E-4</c:v>
                </c:pt>
                <c:pt idx="22">
                  <c:v>2.2414978433366635E-5</c:v>
                </c:pt>
                <c:pt idx="23">
                  <c:v>6.3470132672722201E-5</c:v>
                </c:pt>
                <c:pt idx="24">
                  <c:v>2.8018723041708291E-5</c:v>
                </c:pt>
                <c:pt idx="25">
                  <c:v>5.9439000902027008E-4</c:v>
                </c:pt>
                <c:pt idx="26">
                  <c:v>7.4298751127533757E-4</c:v>
                </c:pt>
                <c:pt idx="27">
                  <c:v>2.5815196033431064E-4</c:v>
                </c:pt>
                <c:pt idx="28">
                  <c:v>2.5815196033431064E-4</c:v>
                </c:pt>
                <c:pt idx="29">
                  <c:v>2.6311642110997044E-4</c:v>
                </c:pt>
                <c:pt idx="30">
                  <c:v>6.3470132672722201E-5</c:v>
                </c:pt>
                <c:pt idx="31">
                  <c:v>2.6311642110997044E-4</c:v>
                </c:pt>
                <c:pt idx="32">
                  <c:v>2.5815196033431064E-4</c:v>
                </c:pt>
                <c:pt idx="33">
                  <c:v>5.0776106138177758E-5</c:v>
                </c:pt>
                <c:pt idx="34">
                  <c:v>6.3470132672722201E-5</c:v>
                </c:pt>
                <c:pt idx="35">
                  <c:v>2.5815196033431064E-4</c:v>
                </c:pt>
                <c:pt idx="36">
                  <c:v>3.3398562051778328E-4</c:v>
                </c:pt>
                <c:pt idx="37">
                  <c:v>3.3398562051778328E-4</c:v>
                </c:pt>
                <c:pt idx="38">
                  <c:v>3.3398562051778328E-4</c:v>
                </c:pt>
                <c:pt idx="39">
                  <c:v>3.3398562051778328E-4</c:v>
                </c:pt>
                <c:pt idx="40">
                  <c:v>3.105564911133563E-3</c:v>
                </c:pt>
                <c:pt idx="41">
                  <c:v>3.1055649111335639E-3</c:v>
                </c:pt>
                <c:pt idx="42">
                  <c:v>3.1055649111335639E-3</c:v>
                </c:pt>
                <c:pt idx="43">
                  <c:v>1.4049076735721778E-4</c:v>
                </c:pt>
                <c:pt idx="44">
                  <c:v>1.4049076735721778E-4</c:v>
                </c:pt>
                <c:pt idx="45">
                  <c:v>1.4049076735721778E-4</c:v>
                </c:pt>
                <c:pt idx="46">
                  <c:v>3.1055649111335639E-3</c:v>
                </c:pt>
                <c:pt idx="47">
                  <c:v>3.6418200964524684E-4</c:v>
                </c:pt>
                <c:pt idx="48">
                  <c:v>3.6418200964524684E-4</c:v>
                </c:pt>
                <c:pt idx="49">
                  <c:v>1.4049076735721778E-4</c:v>
                </c:pt>
                <c:pt idx="50">
                  <c:v>3.6418200964524684E-4</c:v>
                </c:pt>
                <c:pt idx="51">
                  <c:v>3.105564911133563E-3</c:v>
                </c:pt>
                <c:pt idx="52">
                  <c:v>3.6418200964524684E-4</c:v>
                </c:pt>
                <c:pt idx="53">
                  <c:v>1.4049076735721778E-4</c:v>
                </c:pt>
                <c:pt idx="54">
                  <c:v>3.6418200964524684E-4</c:v>
                </c:pt>
                <c:pt idx="55">
                  <c:v>2.3842549920408719E-3</c:v>
                </c:pt>
                <c:pt idx="56">
                  <c:v>2.3842549920408719E-3</c:v>
                </c:pt>
                <c:pt idx="57">
                  <c:v>2.360985412314249E-5</c:v>
                </c:pt>
                <c:pt idx="58">
                  <c:v>2.3842549920408719E-3</c:v>
                </c:pt>
                <c:pt idx="59">
                  <c:v>2.2625795316212503E-3</c:v>
                </c:pt>
                <c:pt idx="60">
                  <c:v>2.2625795316212503E-3</c:v>
                </c:pt>
                <c:pt idx="61">
                  <c:v>2.3842549920408719E-3</c:v>
                </c:pt>
                <c:pt idx="62">
                  <c:v>2.5085470005838896E-5</c:v>
                </c:pt>
                <c:pt idx="63">
                  <c:v>2.2625795316212503E-3</c:v>
                </c:pt>
                <c:pt idx="64">
                  <c:v>2.360985412314249E-5</c:v>
                </c:pt>
                <c:pt idx="65">
                  <c:v>2.360985412314249E-5</c:v>
                </c:pt>
                <c:pt idx="66">
                  <c:v>2.2625795316212503E-3</c:v>
                </c:pt>
                <c:pt idx="67">
                  <c:v>5.6825505825447255E-5</c:v>
                </c:pt>
                <c:pt idx="68">
                  <c:v>9.3595751810243634E-4</c:v>
                </c:pt>
                <c:pt idx="69">
                  <c:v>1.8887883298513993E-5</c:v>
                </c:pt>
                <c:pt idx="70">
                  <c:v>2.360985412314249E-5</c:v>
                </c:pt>
                <c:pt idx="71">
                  <c:v>2.5085470005838896E-5</c:v>
                </c:pt>
                <c:pt idx="72">
                  <c:v>5.6825505825447255E-5</c:v>
                </c:pt>
                <c:pt idx="73">
                  <c:v>9.3595751810243634E-4</c:v>
                </c:pt>
                <c:pt idx="74">
                  <c:v>2.5085470005838896E-5</c:v>
                </c:pt>
                <c:pt idx="75">
                  <c:v>2.0068376004671116E-5</c:v>
                </c:pt>
                <c:pt idx="76">
                  <c:v>2.3557101727914492E-4</c:v>
                </c:pt>
                <c:pt idx="77">
                  <c:v>2.3557101727914492E-4</c:v>
                </c:pt>
                <c:pt idx="78">
                  <c:v>2.5085470005838896E-5</c:v>
                </c:pt>
                <c:pt idx="79">
                  <c:v>2.3112628110406671E-4</c:v>
                </c:pt>
                <c:pt idx="80">
                  <c:v>2.3112628110406671E-4</c:v>
                </c:pt>
                <c:pt idx="81">
                  <c:v>5.6825505825447255E-5</c:v>
                </c:pt>
                <c:pt idx="82">
                  <c:v>9.3595751810243634E-4</c:v>
                </c:pt>
                <c:pt idx="83">
                  <c:v>4.5460404660357809E-5</c:v>
                </c:pt>
                <c:pt idx="84">
                  <c:v>7.4876601448194905E-4</c:v>
                </c:pt>
                <c:pt idx="85">
                  <c:v>5.6825505825447255E-5</c:v>
                </c:pt>
                <c:pt idx="86">
                  <c:v>9.3595751810243634E-4</c:v>
                </c:pt>
                <c:pt idx="87">
                  <c:v>2.3557101727914492E-4</c:v>
                </c:pt>
                <c:pt idx="88">
                  <c:v>2.3557101727914492E-4</c:v>
                </c:pt>
                <c:pt idx="89">
                  <c:v>2.3112628110406671E-4</c:v>
                </c:pt>
                <c:pt idx="90">
                  <c:v>2.3112628110406671E-4</c:v>
                </c:pt>
                <c:pt idx="91">
                  <c:v>2.9902098869419172E-4</c:v>
                </c:pt>
                <c:pt idx="92">
                  <c:v>2.9902098869419172E-4</c:v>
                </c:pt>
                <c:pt idx="93">
                  <c:v>2.9902098869419172E-4</c:v>
                </c:pt>
                <c:pt idx="94">
                  <c:v>2.9902098869419172E-4</c:v>
                </c:pt>
                <c:pt idx="95">
                  <c:v>1.2578292470326314E-4</c:v>
                </c:pt>
                <c:pt idx="96">
                  <c:v>1.2578292470326314E-4</c:v>
                </c:pt>
                <c:pt idx="97">
                  <c:v>3.7182628349802355E-3</c:v>
                </c:pt>
                <c:pt idx="98">
                  <c:v>1.2578292470326314E-4</c:v>
                </c:pt>
                <c:pt idx="99">
                  <c:v>3.7182628349802355E-3</c:v>
                </c:pt>
                <c:pt idx="100">
                  <c:v>3.718262834980236E-3</c:v>
                </c:pt>
                <c:pt idx="101">
                  <c:v>3.2605614702792577E-4</c:v>
                </c:pt>
                <c:pt idx="102">
                  <c:v>3.2605614702792577E-4</c:v>
                </c:pt>
                <c:pt idx="103">
                  <c:v>1.2578292470326314E-4</c:v>
                </c:pt>
                <c:pt idx="104">
                  <c:v>3.2605614702792577E-4</c:v>
                </c:pt>
                <c:pt idx="105">
                  <c:v>3.7182628349802355E-3</c:v>
                </c:pt>
                <c:pt idx="106">
                  <c:v>3.2605614702792577E-4</c:v>
                </c:pt>
                <c:pt idx="107">
                  <c:v>1.2578292470326314E-4</c:v>
                </c:pt>
                <c:pt idx="108">
                  <c:v>3.7182628349802355E-3</c:v>
                </c:pt>
                <c:pt idx="109">
                  <c:v>3.2605614702792577E-4</c:v>
                </c:pt>
                <c:pt idx="110">
                  <c:v>4.2820272446309834E-7</c:v>
                </c:pt>
                <c:pt idx="111">
                  <c:v>1.0306220566436748E-6</c:v>
                </c:pt>
                <c:pt idx="112">
                  <c:v>4.1918473001819709E-6</c:v>
                </c:pt>
                <c:pt idx="113">
                  <c:v>4.1918473001819709E-6</c:v>
                </c:pt>
                <c:pt idx="114">
                  <c:v>4.2724597482624145E-6</c:v>
                </c:pt>
                <c:pt idx="115">
                  <c:v>4.2724597482624145E-6</c:v>
                </c:pt>
                <c:pt idx="116">
                  <c:v>4.5496539474204176E-7</c:v>
                </c:pt>
                <c:pt idx="117">
                  <c:v>5.4232271560286516E-6</c:v>
                </c:pt>
                <c:pt idx="118">
                  <c:v>5.4232271560286516E-6</c:v>
                </c:pt>
                <c:pt idx="119">
                  <c:v>4.1918473001819709E-6</c:v>
                </c:pt>
                <c:pt idx="120">
                  <c:v>4.2724597482624145E-6</c:v>
                </c:pt>
                <c:pt idx="121">
                  <c:v>6.1733034624737292E-3</c:v>
                </c:pt>
                <c:pt idx="122">
                  <c:v>6.1733034624737292E-3</c:v>
                </c:pt>
                <c:pt idx="123">
                  <c:v>4.1918473001819709E-6</c:v>
                </c:pt>
                <c:pt idx="124">
                  <c:v>4.2820272446309834E-7</c:v>
                </c:pt>
                <c:pt idx="125">
                  <c:v>4.2724597482624145E-6</c:v>
                </c:pt>
                <c:pt idx="126">
                  <c:v>4.2820272446309834E-7</c:v>
                </c:pt>
                <c:pt idx="127">
                  <c:v>1.0306220566436748E-6</c:v>
                </c:pt>
                <c:pt idx="128">
                  <c:v>5.4232271560286516E-6</c:v>
                </c:pt>
                <c:pt idx="129">
                  <c:v>1.0306220566436748E-6</c:v>
                </c:pt>
                <c:pt idx="130">
                  <c:v>3.4256217957047868E-7</c:v>
                </c:pt>
                <c:pt idx="131">
                  <c:v>4.5496539474204176E-7</c:v>
                </c:pt>
                <c:pt idx="132">
                  <c:v>4.2820272446309834E-7</c:v>
                </c:pt>
                <c:pt idx="133">
                  <c:v>5.4232271560286516E-6</c:v>
                </c:pt>
                <c:pt idx="134">
                  <c:v>5.8582618483787648E-3</c:v>
                </c:pt>
                <c:pt idx="135">
                  <c:v>5.8582618483787648E-3</c:v>
                </c:pt>
                <c:pt idx="136">
                  <c:v>8.2449764531493981E-7</c:v>
                </c:pt>
                <c:pt idx="137">
                  <c:v>4.5496539474204176E-7</c:v>
                </c:pt>
                <c:pt idx="138">
                  <c:v>1.0306220566436748E-6</c:v>
                </c:pt>
                <c:pt idx="139">
                  <c:v>3.6397231579363343E-7</c:v>
                </c:pt>
                <c:pt idx="140">
                  <c:v>6.1733034624737292E-3</c:v>
                </c:pt>
                <c:pt idx="141">
                  <c:v>4.5496539474204176E-7</c:v>
                </c:pt>
                <c:pt idx="142">
                  <c:v>2.5563252752773664E-3</c:v>
                </c:pt>
                <c:pt idx="143">
                  <c:v>6.1733034624737292E-3</c:v>
                </c:pt>
                <c:pt idx="144">
                  <c:v>5.8582618483787648E-3</c:v>
                </c:pt>
                <c:pt idx="145">
                  <c:v>5.8582618483787648E-3</c:v>
                </c:pt>
                <c:pt idx="146">
                  <c:v>2.5563252752773664E-3</c:v>
                </c:pt>
                <c:pt idx="147">
                  <c:v>2.5563252752773664E-3</c:v>
                </c:pt>
                <c:pt idx="148">
                  <c:v>2.0450602202218928E-3</c:v>
                </c:pt>
                <c:pt idx="149">
                  <c:v>2.5563252752773664E-3</c:v>
                </c:pt>
                <c:pt idx="150">
                  <c:v>2.2812758930212777E-6</c:v>
                </c:pt>
                <c:pt idx="151">
                  <c:v>2.2812758930212777E-6</c:v>
                </c:pt>
                <c:pt idx="152">
                  <c:v>5.9135532882621105E-6</c:v>
                </c:pt>
                <c:pt idx="153">
                  <c:v>5.9135532882621105E-6</c:v>
                </c:pt>
                <c:pt idx="154">
                  <c:v>2.2812758930212777E-6</c:v>
                </c:pt>
                <c:pt idx="155">
                  <c:v>5.9135532882621105E-6</c:v>
                </c:pt>
                <c:pt idx="156">
                  <c:v>8.8630828876566804E-3</c:v>
                </c:pt>
                <c:pt idx="157">
                  <c:v>8.8630828876566786E-3</c:v>
                </c:pt>
                <c:pt idx="158">
                  <c:v>8.8630828876566786E-3</c:v>
                </c:pt>
                <c:pt idx="159">
                  <c:v>2.2812758930212777E-6</c:v>
                </c:pt>
                <c:pt idx="160">
                  <c:v>5.9135532882621105E-6</c:v>
                </c:pt>
                <c:pt idx="161">
                  <c:v>8.8630828876566786E-3</c:v>
                </c:pt>
                <c:pt idx="162">
                  <c:v>2.2812758930212777E-6</c:v>
                </c:pt>
                <c:pt idx="163">
                  <c:v>5.9135532882621105E-6</c:v>
                </c:pt>
                <c:pt idx="164">
                  <c:v>8.8630828876566804E-3</c:v>
                </c:pt>
              </c:numCache>
            </c:numRef>
          </c:val>
          <c:extLst>
            <c:ext xmlns:c16="http://schemas.microsoft.com/office/drawing/2014/chart" uri="{C3380CC4-5D6E-409C-BE32-E72D297353CC}">
              <c16:uniqueId val="{0000000A-F45C-465E-A516-77C650081690}"/>
            </c:ext>
          </c:extLst>
        </c:ser>
        <c:dLbls>
          <c:showLegendKey val="0"/>
          <c:showVal val="0"/>
          <c:showCatName val="0"/>
          <c:showSerName val="0"/>
          <c:showPercent val="0"/>
          <c:showBubbleSize val="0"/>
        </c:dLbls>
        <c:gapWidth val="150"/>
        <c:overlap val="100"/>
        <c:axId val="956791744"/>
        <c:axId val="956797320"/>
      </c:barChart>
      <c:catAx>
        <c:axId val="956791744"/>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956797320"/>
        <c:crosses val="autoZero"/>
        <c:auto val="1"/>
        <c:lblAlgn val="ctr"/>
        <c:lblOffset val="100"/>
        <c:noMultiLvlLbl val="0"/>
      </c:catAx>
      <c:valAx>
        <c:axId val="956797320"/>
        <c:scaling>
          <c:orientation val="minMax"/>
          <c:max val="0.35000000000000003"/>
          <c:min val="-1.0000000000000002E-2"/>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sz="1400">
                    <a:latin typeface="Arial" panose="020B0604020202020204" pitchFamily="34" charset="0"/>
                    <a:cs typeface="Arial" panose="020B0604020202020204" pitchFamily="34" charset="0"/>
                  </a:rPr>
                  <a:t>Levelized cost of transport [€/tkm]</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nb-NO"/>
          </a:p>
        </c:txPr>
        <c:crossAx val="956791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nb-N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FIGURES!$R$228</c:f>
              <c:strCache>
                <c:ptCount val="1"/>
                <c:pt idx="0">
                  <c:v>Capex vehicle</c:v>
                </c:pt>
              </c:strCache>
            </c:strRef>
          </c:tx>
          <c:spPr>
            <a:solidFill>
              <a:schemeClr val="accent1"/>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FIGURES!$R$229:$R$264</c:f>
              <c:numCache>
                <c:formatCode>General</c:formatCode>
                <c:ptCount val="36"/>
                <c:pt idx="0">
                  <c:v>1.0347449498978036E-3</c:v>
                </c:pt>
                <c:pt idx="1">
                  <c:v>1.0347449498978036E-3</c:v>
                </c:pt>
                <c:pt idx="2">
                  <c:v>1.0902430594344164E-3</c:v>
                </c:pt>
                <c:pt idx="3">
                  <c:v>2.1696909640280381E-3</c:v>
                </c:pt>
                <c:pt idx="4">
                  <c:v>7.6317014160409149E-4</c:v>
                </c:pt>
                <c:pt idx="5">
                  <c:v>2.0676718491395704E-3</c:v>
                </c:pt>
                <c:pt idx="6">
                  <c:v>2.1632138711235615E-3</c:v>
                </c:pt>
                <c:pt idx="7">
                  <c:v>2.0678991054715748E-3</c:v>
                </c:pt>
                <c:pt idx="8">
                  <c:v>1.3444866658711308E-3</c:v>
                </c:pt>
                <c:pt idx="9">
                  <c:v>6.4495368251871292E-3</c:v>
                </c:pt>
                <c:pt idx="10">
                  <c:v>2.3691681943378187E-2</c:v>
                </c:pt>
                <c:pt idx="11">
                  <c:v>2.3374265103106976E-2</c:v>
                </c:pt>
                <c:pt idx="12">
                  <c:v>1.0347449498978036E-3</c:v>
                </c:pt>
                <c:pt idx="13">
                  <c:v>1.0347449498978036E-3</c:v>
                </c:pt>
                <c:pt idx="14">
                  <c:v>1.0902430594344164E-3</c:v>
                </c:pt>
                <c:pt idx="15">
                  <c:v>1.8209695944675583E-3</c:v>
                </c:pt>
                <c:pt idx="16">
                  <c:v>1.6052596798267933E-3</c:v>
                </c:pt>
                <c:pt idx="17">
                  <c:v>7.6317014160409149E-4</c:v>
                </c:pt>
                <c:pt idx="18">
                  <c:v>1.9812010201050753E-3</c:v>
                </c:pt>
                <c:pt idx="19">
                  <c:v>1.9922371300663917E-3</c:v>
                </c:pt>
                <c:pt idx="20">
                  <c:v>1.3120601049831952E-3</c:v>
                </c:pt>
                <c:pt idx="21">
                  <c:v>1.2195666695447615E-2</c:v>
                </c:pt>
                <c:pt idx="22">
                  <c:v>6.7111667881585542E-3</c:v>
                </c:pt>
                <c:pt idx="23">
                  <c:v>1.3602217096595365E-2</c:v>
                </c:pt>
                <c:pt idx="24">
                  <c:v>1.3569040676564852E-3</c:v>
                </c:pt>
                <c:pt idx="25">
                  <c:v>1.2551060916366106E-3</c:v>
                </c:pt>
                <c:pt idx="26">
                  <c:v>1.0902430594344164E-3</c:v>
                </c:pt>
                <c:pt idx="27">
                  <c:v>1.0397745068075209E-3</c:v>
                </c:pt>
                <c:pt idx="28">
                  <c:v>8.7510622887057403E-4</c:v>
                </c:pt>
                <c:pt idx="29">
                  <c:v>1.364623687619921E-3</c:v>
                </c:pt>
                <c:pt idx="30">
                  <c:v>1.0347449498978036E-3</c:v>
                </c:pt>
                <c:pt idx="31">
                  <c:v>1.0347449498978036E-3</c:v>
                </c:pt>
                <c:pt idx="32">
                  <c:v>7.6317014160409149E-4</c:v>
                </c:pt>
                <c:pt idx="33">
                  <c:v>8.9023613155393838E-3</c:v>
                </c:pt>
                <c:pt idx="34">
                  <c:v>9.5184690021196325E-3</c:v>
                </c:pt>
                <c:pt idx="35">
                  <c:v>7.0535426020101408E-3</c:v>
                </c:pt>
              </c:numCache>
            </c:numRef>
          </c:val>
          <c:extLst>
            <c:ext xmlns:c16="http://schemas.microsoft.com/office/drawing/2014/chart" uri="{C3380CC4-5D6E-409C-BE32-E72D297353CC}">
              <c16:uniqueId val="{00000000-2CAB-468E-BC12-1CE65EF5B569}"/>
            </c:ext>
          </c:extLst>
        </c:ser>
        <c:ser>
          <c:idx val="1"/>
          <c:order val="1"/>
          <c:tx>
            <c:strRef>
              <c:f>FIGURES!$S$228</c:f>
              <c:strCache>
                <c:ptCount val="1"/>
                <c:pt idx="0">
                  <c:v>Residual value (vehicle)</c:v>
                </c:pt>
              </c:strCache>
            </c:strRef>
          </c:tx>
          <c:spPr>
            <a:solidFill>
              <a:schemeClr val="accent2"/>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FIGURES!$S$229:$S$264</c:f>
              <c:numCache>
                <c:formatCode>General</c:formatCode>
                <c:ptCount val="36"/>
                <c:pt idx="0">
                  <c:v>-1.0336086682377807E-4</c:v>
                </c:pt>
                <c:pt idx="1">
                  <c:v>-1.0336086682377807E-4</c:v>
                </c:pt>
                <c:pt idx="2">
                  <c:v>-1.6353645891516245E-4</c:v>
                </c:pt>
                <c:pt idx="3">
                  <c:v>-1.1028374067486764E-4</c:v>
                </c:pt>
                <c:pt idx="4">
                  <c:v>-1.1346797345547289E-4</c:v>
                </c:pt>
                <c:pt idx="5">
                  <c:v>-1.0351994625618128E-4</c:v>
                </c:pt>
                <c:pt idx="6">
                  <c:v>-1.0931217673919614E-4</c:v>
                </c:pt>
                <c:pt idx="7">
                  <c:v>-1.0354267188938173E-4</c:v>
                </c:pt>
                <c:pt idx="8">
                  <c:v>-6.7337961459558828E-5</c:v>
                </c:pt>
                <c:pt idx="9">
                  <c:v>-1.6030702191455165E-3</c:v>
                </c:pt>
                <c:pt idx="10">
                  <c:v>-3.6019223357858176E-3</c:v>
                </c:pt>
                <c:pt idx="11">
                  <c:v>-3.5424872620014453E-3</c:v>
                </c:pt>
                <c:pt idx="12">
                  <c:v>-9.7956440009122124E-5</c:v>
                </c:pt>
                <c:pt idx="13">
                  <c:v>-9.7956440009122124E-5</c:v>
                </c:pt>
                <c:pt idx="14">
                  <c:v>-1.6353645891516245E-4</c:v>
                </c:pt>
                <c:pt idx="15">
                  <c:v>-1.5096790045692366E-4</c:v>
                </c:pt>
                <c:pt idx="16">
                  <c:v>-1.1861141326080898E-4</c:v>
                </c:pt>
                <c:pt idx="17">
                  <c:v>-8.0920645629828101E-5</c:v>
                </c:pt>
                <c:pt idx="18">
                  <c:v>-1.0568171698204363E-4</c:v>
                </c:pt>
                <c:pt idx="19">
                  <c:v>-1.067853279781753E-4</c:v>
                </c:pt>
                <c:pt idx="20">
                  <c:v>-7.1121060229817985E-5</c:v>
                </c:pt>
                <c:pt idx="21">
                  <c:v>-2.5312150332824808E-3</c:v>
                </c:pt>
                <c:pt idx="22">
                  <c:v>-1.3676032524712327E-3</c:v>
                </c:pt>
                <c:pt idx="23">
                  <c:v>-2.721219397624406E-3</c:v>
                </c:pt>
                <c:pt idx="24">
                  <c:v>-1.3401388779574273E-4</c:v>
                </c:pt>
                <c:pt idx="25">
                  <c:v>-1.2383409019375524E-4</c:v>
                </c:pt>
                <c:pt idx="26">
                  <c:v>-1.6353645891516245E-4</c:v>
                </c:pt>
                <c:pt idx="27">
                  <c:v>-1.0288771335031333E-4</c:v>
                </c:pt>
                <c:pt idx="28">
                  <c:v>-1.3078063744341263E-4</c:v>
                </c:pt>
                <c:pt idx="29">
                  <c:v>-2.0420825625581466E-4</c:v>
                </c:pt>
                <c:pt idx="30">
                  <c:v>-5.2575506979843073E-5</c:v>
                </c:pt>
                <c:pt idx="31">
                  <c:v>-5.2575506979843073E-5</c:v>
                </c:pt>
                <c:pt idx="32">
                  <c:v>-3.832836099071531E-5</c:v>
                </c:pt>
                <c:pt idx="33">
                  <c:v>-2.2244856106439686E-3</c:v>
                </c:pt>
                <c:pt idx="34">
                  <c:v>-2.3780107811737857E-3</c:v>
                </c:pt>
                <c:pt idx="35">
                  <c:v>-1.0594650200048046E-3</c:v>
                </c:pt>
              </c:numCache>
            </c:numRef>
          </c:val>
          <c:extLst>
            <c:ext xmlns:c16="http://schemas.microsoft.com/office/drawing/2014/chart" uri="{C3380CC4-5D6E-409C-BE32-E72D297353CC}">
              <c16:uniqueId val="{00000001-2CAB-468E-BC12-1CE65EF5B569}"/>
            </c:ext>
          </c:extLst>
        </c:ser>
        <c:ser>
          <c:idx val="2"/>
          <c:order val="2"/>
          <c:tx>
            <c:strRef>
              <c:f>FIGURES!$T$228</c:f>
              <c:strCache>
                <c:ptCount val="1"/>
                <c:pt idx="0">
                  <c:v>Capex costumization</c:v>
                </c:pt>
              </c:strCache>
            </c:strRef>
          </c:tx>
          <c:spPr>
            <a:solidFill>
              <a:schemeClr val="accent3"/>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FIGURES!$T$229:$T$264</c:f>
              <c:numCache>
                <c:formatCode>General</c:formatCode>
                <c:ptCount val="36"/>
                <c:pt idx="0">
                  <c:v>3.4491498329926784E-4</c:v>
                </c:pt>
                <c:pt idx="1">
                  <c:v>3.4491498329926784E-4</c:v>
                </c:pt>
                <c:pt idx="2">
                  <c:v>5.087458787818432E-4</c:v>
                </c:pt>
                <c:pt idx="3">
                  <c:v>5.087458787818432E-4</c:v>
                </c:pt>
                <c:pt idx="4">
                  <c:v>5.087458787818432E-4</c:v>
                </c:pt>
                <c:pt idx="5">
                  <c:v>3.4491498329926784E-4</c:v>
                </c:pt>
                <c:pt idx="6">
                  <c:v>5.087458787818432E-4</c:v>
                </c:pt>
                <c:pt idx="7">
                  <c:v>3.4491498329926784E-4</c:v>
                </c:pt>
                <c:pt idx="8">
                  <c:v>3.4491498329926784E-4</c:v>
                </c:pt>
                <c:pt idx="9">
                  <c:v>1.552776665375814E-3</c:v>
                </c:pt>
                <c:pt idx="10">
                  <c:v>1.552776665375814E-3</c:v>
                </c:pt>
                <c:pt idx="11">
                  <c:v>1.552776665375814E-3</c:v>
                </c:pt>
                <c:pt idx="12">
                  <c:v>3.4491498329926784E-4</c:v>
                </c:pt>
                <c:pt idx="13">
                  <c:v>3.4491498329926784E-4</c:v>
                </c:pt>
                <c:pt idx="14">
                  <c:v>5.087458787818432E-4</c:v>
                </c:pt>
                <c:pt idx="15">
                  <c:v>5.087458787818432E-4</c:v>
                </c:pt>
                <c:pt idx="16">
                  <c:v>5.087458787818432E-4</c:v>
                </c:pt>
                <c:pt idx="17">
                  <c:v>5.087458787818432E-4</c:v>
                </c:pt>
                <c:pt idx="18">
                  <c:v>3.4491498329926784E-4</c:v>
                </c:pt>
                <c:pt idx="19">
                  <c:v>3.4491498329926784E-4</c:v>
                </c:pt>
                <c:pt idx="20">
                  <c:v>3.4491498329926784E-4</c:v>
                </c:pt>
                <c:pt idx="21">
                  <c:v>1.552776665375814E-3</c:v>
                </c:pt>
                <c:pt idx="22">
                  <c:v>1.552776665375814E-3</c:v>
                </c:pt>
                <c:pt idx="23">
                  <c:v>1.552776665375814E-3</c:v>
                </c:pt>
                <c:pt idx="24">
                  <c:v>3.4491498329926784E-4</c:v>
                </c:pt>
                <c:pt idx="25">
                  <c:v>3.4491498329926784E-4</c:v>
                </c:pt>
                <c:pt idx="26">
                  <c:v>5.087458787818432E-4</c:v>
                </c:pt>
                <c:pt idx="27">
                  <c:v>3.4491498329926784E-4</c:v>
                </c:pt>
                <c:pt idx="28">
                  <c:v>5.087458787818432E-4</c:v>
                </c:pt>
                <c:pt idx="29">
                  <c:v>5.087458787818432E-4</c:v>
                </c:pt>
                <c:pt idx="30">
                  <c:v>3.4491498329926784E-4</c:v>
                </c:pt>
                <c:pt idx="31">
                  <c:v>3.4491498329926784E-4</c:v>
                </c:pt>
                <c:pt idx="32">
                  <c:v>5.087458787818432E-4</c:v>
                </c:pt>
                <c:pt idx="33">
                  <c:v>1.552776665375814E-3</c:v>
                </c:pt>
                <c:pt idx="34">
                  <c:v>1.552776665375814E-3</c:v>
                </c:pt>
                <c:pt idx="35">
                  <c:v>1.552776665375814E-3</c:v>
                </c:pt>
              </c:numCache>
            </c:numRef>
          </c:val>
          <c:extLst>
            <c:ext xmlns:c16="http://schemas.microsoft.com/office/drawing/2014/chart" uri="{C3380CC4-5D6E-409C-BE32-E72D297353CC}">
              <c16:uniqueId val="{00000002-2CAB-468E-BC12-1CE65EF5B569}"/>
            </c:ext>
          </c:extLst>
        </c:ser>
        <c:ser>
          <c:idx val="3"/>
          <c:order val="3"/>
          <c:tx>
            <c:strRef>
              <c:f>FIGURES!$U$228</c:f>
              <c:strCache>
                <c:ptCount val="1"/>
                <c:pt idx="0">
                  <c:v>Residual value (costumization)</c:v>
                </c:pt>
              </c:strCache>
            </c:strRef>
          </c:tx>
          <c:spPr>
            <a:solidFill>
              <a:schemeClr val="accent4"/>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FIGURES!$U$229:$U$264</c:f>
              <c:numCache>
                <c:formatCode>General</c:formatCode>
                <c:ptCount val="36"/>
                <c:pt idx="0">
                  <c:v>-3.4491498329926788E-5</c:v>
                </c:pt>
                <c:pt idx="1">
                  <c:v>-3.4491498329926788E-5</c:v>
                </c:pt>
                <c:pt idx="2">
                  <c:v>-2.5437293939092156E-5</c:v>
                </c:pt>
                <c:pt idx="3">
                  <c:v>-2.5437293939092156E-5</c:v>
                </c:pt>
                <c:pt idx="4">
                  <c:v>-2.5437293939092156E-5</c:v>
                </c:pt>
                <c:pt idx="5">
                  <c:v>-3.4491498329926788E-5</c:v>
                </c:pt>
                <c:pt idx="6">
                  <c:v>-2.5437293939092156E-5</c:v>
                </c:pt>
                <c:pt idx="7">
                  <c:v>-3.4491498329926788E-5</c:v>
                </c:pt>
                <c:pt idx="8">
                  <c:v>-3.4491498329926788E-5</c:v>
                </c:pt>
                <c:pt idx="9">
                  <c:v>-3.8819416634395349E-4</c:v>
                </c:pt>
                <c:pt idx="10">
                  <c:v>-3.8819416634395349E-4</c:v>
                </c:pt>
                <c:pt idx="11">
                  <c:v>-3.8819416634395349E-4</c:v>
                </c:pt>
                <c:pt idx="12">
                  <c:v>-3.4491498329926788E-5</c:v>
                </c:pt>
                <c:pt idx="13">
                  <c:v>-3.4491498329926788E-5</c:v>
                </c:pt>
                <c:pt idx="14">
                  <c:v>-2.5437293939092156E-5</c:v>
                </c:pt>
                <c:pt idx="15">
                  <c:v>-2.5437293939092156E-5</c:v>
                </c:pt>
                <c:pt idx="16">
                  <c:v>-2.5437293939092156E-5</c:v>
                </c:pt>
                <c:pt idx="17">
                  <c:v>-2.5437293939092156E-5</c:v>
                </c:pt>
                <c:pt idx="18">
                  <c:v>-3.4491498329926788E-5</c:v>
                </c:pt>
                <c:pt idx="19">
                  <c:v>-3.4491498329926788E-5</c:v>
                </c:pt>
                <c:pt idx="20">
                  <c:v>-3.4491498329926788E-5</c:v>
                </c:pt>
                <c:pt idx="21">
                  <c:v>-3.8819416634395349E-4</c:v>
                </c:pt>
                <c:pt idx="22">
                  <c:v>-3.8819416634395349E-4</c:v>
                </c:pt>
                <c:pt idx="23">
                  <c:v>-3.8819416634395349E-4</c:v>
                </c:pt>
                <c:pt idx="24">
                  <c:v>-3.4491498329926788E-5</c:v>
                </c:pt>
                <c:pt idx="25">
                  <c:v>-3.4491498329926788E-5</c:v>
                </c:pt>
                <c:pt idx="26">
                  <c:v>-2.5437293939092156E-5</c:v>
                </c:pt>
                <c:pt idx="27">
                  <c:v>-3.4491498329926788E-5</c:v>
                </c:pt>
                <c:pt idx="28">
                  <c:v>-2.5437293939092156E-5</c:v>
                </c:pt>
                <c:pt idx="29">
                  <c:v>-2.5437293939092156E-5</c:v>
                </c:pt>
                <c:pt idx="30">
                  <c:v>-3.4491498329926788E-5</c:v>
                </c:pt>
                <c:pt idx="31">
                  <c:v>-3.4491498329926788E-5</c:v>
                </c:pt>
                <c:pt idx="32">
                  <c:v>-2.5437293939092156E-5</c:v>
                </c:pt>
                <c:pt idx="33">
                  <c:v>-3.8819416634395349E-4</c:v>
                </c:pt>
                <c:pt idx="34">
                  <c:v>-3.8819416634395349E-4</c:v>
                </c:pt>
                <c:pt idx="35">
                  <c:v>-3.8819416634395349E-4</c:v>
                </c:pt>
              </c:numCache>
            </c:numRef>
          </c:val>
          <c:extLst>
            <c:ext xmlns:c16="http://schemas.microsoft.com/office/drawing/2014/chart" uri="{C3380CC4-5D6E-409C-BE32-E72D297353CC}">
              <c16:uniqueId val="{00000003-2CAB-468E-BC12-1CE65EF5B569}"/>
            </c:ext>
          </c:extLst>
        </c:ser>
        <c:ser>
          <c:idx val="4"/>
          <c:order val="4"/>
          <c:tx>
            <c:strRef>
              <c:f>FIGURES!$V$228</c:f>
              <c:strCache>
                <c:ptCount val="1"/>
                <c:pt idx="0">
                  <c:v>Opex fix (admin, crew, insurance)</c:v>
                </c:pt>
              </c:strCache>
            </c:strRef>
          </c:tx>
          <c:spPr>
            <a:solidFill>
              <a:schemeClr val="accent5"/>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FIGURES!$V$229:$V$264</c:f>
              <c:numCache>
                <c:formatCode>General</c:formatCode>
                <c:ptCount val="36"/>
                <c:pt idx="0">
                  <c:v>1.0654632223259673E-3</c:v>
                </c:pt>
                <c:pt idx="1">
                  <c:v>1.0654632223259673E-3</c:v>
                </c:pt>
                <c:pt idx="2">
                  <c:v>1.525610244097639E-3</c:v>
                </c:pt>
                <c:pt idx="3">
                  <c:v>1.525610244097639E-3</c:v>
                </c:pt>
                <c:pt idx="4">
                  <c:v>1.525610244097639E-3</c:v>
                </c:pt>
                <c:pt idx="5">
                  <c:v>1.0654632223259673E-3</c:v>
                </c:pt>
                <c:pt idx="6">
                  <c:v>1.525610244097639E-3</c:v>
                </c:pt>
                <c:pt idx="7">
                  <c:v>1.0654632223259673E-3</c:v>
                </c:pt>
                <c:pt idx="8">
                  <c:v>1.0654632223259673E-3</c:v>
                </c:pt>
                <c:pt idx="9">
                  <c:v>2.6666666666666665E-2</c:v>
                </c:pt>
                <c:pt idx="10">
                  <c:v>2.6666666666666665E-2</c:v>
                </c:pt>
                <c:pt idx="11">
                  <c:v>2.6666666666666665E-2</c:v>
                </c:pt>
                <c:pt idx="12">
                  <c:v>1.0654632223259673E-3</c:v>
                </c:pt>
                <c:pt idx="13">
                  <c:v>1.0654632223259673E-3</c:v>
                </c:pt>
                <c:pt idx="14">
                  <c:v>1.525610244097639E-3</c:v>
                </c:pt>
                <c:pt idx="15">
                  <c:v>1.525610244097639E-3</c:v>
                </c:pt>
                <c:pt idx="16">
                  <c:v>1.525610244097639E-3</c:v>
                </c:pt>
                <c:pt idx="17">
                  <c:v>1.525610244097639E-3</c:v>
                </c:pt>
                <c:pt idx="18">
                  <c:v>1.0654632223259673E-3</c:v>
                </c:pt>
                <c:pt idx="19">
                  <c:v>1.0654632223259673E-3</c:v>
                </c:pt>
                <c:pt idx="20">
                  <c:v>1.0654632223259673E-3</c:v>
                </c:pt>
                <c:pt idx="21">
                  <c:v>2.6666666666666665E-2</c:v>
                </c:pt>
                <c:pt idx="22">
                  <c:v>2.6666666666666665E-2</c:v>
                </c:pt>
                <c:pt idx="23">
                  <c:v>2.6666666666666665E-2</c:v>
                </c:pt>
                <c:pt idx="24">
                  <c:v>1.0654632223259673E-3</c:v>
                </c:pt>
                <c:pt idx="25">
                  <c:v>1.0654632223259673E-3</c:v>
                </c:pt>
                <c:pt idx="26">
                  <c:v>1.525610244097639E-3</c:v>
                </c:pt>
                <c:pt idx="27">
                  <c:v>1.0654632223259673E-3</c:v>
                </c:pt>
                <c:pt idx="28">
                  <c:v>1.525610244097639E-3</c:v>
                </c:pt>
                <c:pt idx="29">
                  <c:v>1.525610244097639E-3</c:v>
                </c:pt>
                <c:pt idx="30">
                  <c:v>1.0654632223259673E-3</c:v>
                </c:pt>
                <c:pt idx="31">
                  <c:v>1.0654632223259673E-3</c:v>
                </c:pt>
                <c:pt idx="32">
                  <c:v>1.525610244097639E-3</c:v>
                </c:pt>
                <c:pt idx="33">
                  <c:v>2.6666666666666665E-2</c:v>
                </c:pt>
                <c:pt idx="34">
                  <c:v>2.6666666666666665E-2</c:v>
                </c:pt>
                <c:pt idx="35">
                  <c:v>2.6666666666666665E-2</c:v>
                </c:pt>
              </c:numCache>
            </c:numRef>
          </c:val>
          <c:extLst>
            <c:ext xmlns:c16="http://schemas.microsoft.com/office/drawing/2014/chart" uri="{C3380CC4-5D6E-409C-BE32-E72D297353CC}">
              <c16:uniqueId val="{00000004-2CAB-468E-BC12-1CE65EF5B569}"/>
            </c:ext>
          </c:extLst>
        </c:ser>
        <c:ser>
          <c:idx val="5"/>
          <c:order val="5"/>
          <c:tx>
            <c:strRef>
              <c:f>FIGURES!$W$228</c:f>
              <c:strCache>
                <c:ptCount val="1"/>
                <c:pt idx="0">
                  <c:v>Opex maintenance &amp; repair</c:v>
                </c:pt>
              </c:strCache>
            </c:strRef>
          </c:tx>
          <c:spPr>
            <a:solidFill>
              <a:schemeClr val="accent6"/>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FIGURES!$W$229:$W$264</c:f>
              <c:numCache>
                <c:formatCode>General</c:formatCode>
                <c:ptCount val="36"/>
                <c:pt idx="0">
                  <c:v>4.305425874053325E-4</c:v>
                </c:pt>
                <c:pt idx="1">
                  <c:v>4.305425874053325E-4</c:v>
                </c:pt>
                <c:pt idx="2">
                  <c:v>1.6256502601040416E-3</c:v>
                </c:pt>
                <c:pt idx="3">
                  <c:v>3.235203975384487E-3</c:v>
                </c:pt>
                <c:pt idx="4">
                  <c:v>2.6260504201680674E-3</c:v>
                </c:pt>
                <c:pt idx="5">
                  <c:v>2.9878618113912231E-4</c:v>
                </c:pt>
                <c:pt idx="6">
                  <c:v>3.4736649752972778E-3</c:v>
                </c:pt>
                <c:pt idx="7">
                  <c:v>2.9878618113912231E-4</c:v>
                </c:pt>
                <c:pt idx="8">
                  <c:v>4.305425874053325E-4</c:v>
                </c:pt>
                <c:pt idx="9">
                  <c:v>7.619047619047619E-3</c:v>
                </c:pt>
                <c:pt idx="10">
                  <c:v>5.7142857142857143E-3</c:v>
                </c:pt>
                <c:pt idx="11">
                  <c:v>9.7882661839723516E-3</c:v>
                </c:pt>
                <c:pt idx="12">
                  <c:v>4.305425874053325E-4</c:v>
                </c:pt>
                <c:pt idx="13">
                  <c:v>4.305425874053325E-4</c:v>
                </c:pt>
                <c:pt idx="14">
                  <c:v>1.6256502601040416E-3</c:v>
                </c:pt>
                <c:pt idx="15">
                  <c:v>2.7152291126929309E-3</c:v>
                </c:pt>
                <c:pt idx="16">
                  <c:v>2.5777082888133671E-3</c:v>
                </c:pt>
                <c:pt idx="17">
                  <c:v>2.6260504201680674E-3</c:v>
                </c:pt>
                <c:pt idx="18">
                  <c:v>2.9878618113912231E-4</c:v>
                </c:pt>
                <c:pt idx="19">
                  <c:v>2.9878618113912231E-4</c:v>
                </c:pt>
                <c:pt idx="20">
                  <c:v>4.305425874053325E-4</c:v>
                </c:pt>
                <c:pt idx="21">
                  <c:v>5.7142857142857143E-3</c:v>
                </c:pt>
                <c:pt idx="22">
                  <c:v>7.619047619047619E-3</c:v>
                </c:pt>
                <c:pt idx="23">
                  <c:v>7.7224822441822839E-3</c:v>
                </c:pt>
                <c:pt idx="24">
                  <c:v>2.9878618113912231E-4</c:v>
                </c:pt>
                <c:pt idx="25">
                  <c:v>2.9878618113912231E-4</c:v>
                </c:pt>
                <c:pt idx="26">
                  <c:v>1.6256502601040416E-3</c:v>
                </c:pt>
                <c:pt idx="27">
                  <c:v>4.305425874053325E-4</c:v>
                </c:pt>
                <c:pt idx="28">
                  <c:v>1.4052359304229719E-3</c:v>
                </c:pt>
                <c:pt idx="29">
                  <c:v>2.0347764046985059E-3</c:v>
                </c:pt>
                <c:pt idx="30">
                  <c:v>4.305425874053325E-4</c:v>
                </c:pt>
                <c:pt idx="31">
                  <c:v>4.305425874053325E-4</c:v>
                </c:pt>
                <c:pt idx="32">
                  <c:v>2.6260504201680674E-3</c:v>
                </c:pt>
                <c:pt idx="33">
                  <c:v>5.7142857142857143E-3</c:v>
                </c:pt>
                <c:pt idx="34">
                  <c:v>6.8591891840075045E-3</c:v>
                </c:pt>
                <c:pt idx="35">
                  <c:v>7.619047619047619E-3</c:v>
                </c:pt>
              </c:numCache>
            </c:numRef>
          </c:val>
          <c:extLst>
            <c:ext xmlns:c16="http://schemas.microsoft.com/office/drawing/2014/chart" uri="{C3380CC4-5D6E-409C-BE32-E72D297353CC}">
              <c16:uniqueId val="{00000005-2CAB-468E-BC12-1CE65EF5B569}"/>
            </c:ext>
          </c:extLst>
        </c:ser>
        <c:ser>
          <c:idx val="6"/>
          <c:order val="6"/>
          <c:tx>
            <c:strRef>
              <c:f>FIGURES!$X$228</c:f>
              <c:strCache>
                <c:ptCount val="1"/>
                <c:pt idx="0">
                  <c:v>Opex var (mode-fees)</c:v>
                </c:pt>
              </c:strCache>
            </c:strRef>
          </c:tx>
          <c:spPr>
            <a:solidFill>
              <a:schemeClr val="accent1">
                <a:lumMod val="60000"/>
              </a:schemeClr>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FIGURES!$X$229:$X$264</c:f>
              <c:numCache>
                <c:formatCode>General</c:formatCode>
                <c:ptCount val="36"/>
                <c:pt idx="0">
                  <c:v>1.7869725535414797E-4</c:v>
                </c:pt>
                <c:pt idx="1">
                  <c:v>1.7869725535414797E-4</c:v>
                </c:pt>
                <c:pt idx="2">
                  <c:v>1.6256502601040416E-3</c:v>
                </c:pt>
                <c:pt idx="3">
                  <c:v>1.6256502601040416E-3</c:v>
                </c:pt>
                <c:pt idx="4">
                  <c:v>1.6256502601040416E-3</c:v>
                </c:pt>
                <c:pt idx="5">
                  <c:v>1.7869725535414797E-4</c:v>
                </c:pt>
                <c:pt idx="6">
                  <c:v>1.6256502601040416E-3</c:v>
                </c:pt>
                <c:pt idx="7">
                  <c:v>1.7869725535414797E-4</c:v>
                </c:pt>
                <c:pt idx="8">
                  <c:v>1.7869725535414797E-4</c:v>
                </c:pt>
                <c:pt idx="9">
                  <c:v>4.4000000000000003E-3</c:v>
                </c:pt>
                <c:pt idx="10">
                  <c:v>4.4000000000000003E-3</c:v>
                </c:pt>
                <c:pt idx="11">
                  <c:v>4.4000000000000003E-3</c:v>
                </c:pt>
                <c:pt idx="12">
                  <c:v>1.7869725535414797E-4</c:v>
                </c:pt>
                <c:pt idx="13">
                  <c:v>1.7869725535414797E-4</c:v>
                </c:pt>
                <c:pt idx="14">
                  <c:v>1.6256502601040416E-3</c:v>
                </c:pt>
                <c:pt idx="15">
                  <c:v>1.6256502601040416E-3</c:v>
                </c:pt>
                <c:pt idx="16">
                  <c:v>1.6256502601040416E-3</c:v>
                </c:pt>
                <c:pt idx="17">
                  <c:v>1.6256502601040416E-3</c:v>
                </c:pt>
                <c:pt idx="18">
                  <c:v>1.7869725535414797E-4</c:v>
                </c:pt>
                <c:pt idx="19">
                  <c:v>1.7869725535414797E-4</c:v>
                </c:pt>
                <c:pt idx="20">
                  <c:v>1.7869725535414797E-4</c:v>
                </c:pt>
                <c:pt idx="21">
                  <c:v>4.4000000000000003E-3</c:v>
                </c:pt>
                <c:pt idx="22">
                  <c:v>4.4000000000000003E-3</c:v>
                </c:pt>
                <c:pt idx="23">
                  <c:v>4.4000000000000003E-3</c:v>
                </c:pt>
                <c:pt idx="24">
                  <c:v>1.7869725535414797E-4</c:v>
                </c:pt>
                <c:pt idx="25">
                  <c:v>1.7869725535414797E-4</c:v>
                </c:pt>
                <c:pt idx="26">
                  <c:v>1.6256502601040416E-3</c:v>
                </c:pt>
                <c:pt idx="27">
                  <c:v>1.7869725535414797E-4</c:v>
                </c:pt>
                <c:pt idx="28">
                  <c:v>1.6256502601040416E-3</c:v>
                </c:pt>
                <c:pt idx="29">
                  <c:v>1.6256502601040416E-3</c:v>
                </c:pt>
                <c:pt idx="30">
                  <c:v>1.7869725535414797E-4</c:v>
                </c:pt>
                <c:pt idx="31">
                  <c:v>1.7869725535414797E-4</c:v>
                </c:pt>
                <c:pt idx="32">
                  <c:v>1.6256502601040416E-3</c:v>
                </c:pt>
                <c:pt idx="33">
                  <c:v>4.4000000000000003E-3</c:v>
                </c:pt>
                <c:pt idx="34">
                  <c:v>4.4000000000000003E-3</c:v>
                </c:pt>
                <c:pt idx="35">
                  <c:v>4.4000000000000003E-3</c:v>
                </c:pt>
              </c:numCache>
            </c:numRef>
          </c:val>
          <c:extLst>
            <c:ext xmlns:c16="http://schemas.microsoft.com/office/drawing/2014/chart" uri="{C3380CC4-5D6E-409C-BE32-E72D297353CC}">
              <c16:uniqueId val="{00000006-2CAB-468E-BC12-1CE65EF5B569}"/>
            </c:ext>
          </c:extLst>
        </c:ser>
        <c:ser>
          <c:idx val="7"/>
          <c:order val="7"/>
          <c:tx>
            <c:strRef>
              <c:f>FIGURES!$Y$228</c:f>
              <c:strCache>
                <c:ptCount val="1"/>
                <c:pt idx="0">
                  <c:v>Fuel Cost</c:v>
                </c:pt>
              </c:strCache>
            </c:strRef>
          </c:tx>
          <c:spPr>
            <a:solidFill>
              <a:schemeClr val="accent2">
                <a:lumMod val="60000"/>
              </a:schemeClr>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FIGURES!$Y$229:$Y$264</c:f>
              <c:numCache>
                <c:formatCode>General</c:formatCode>
                <c:ptCount val="36"/>
                <c:pt idx="0">
                  <c:v>2.1494771182553069E-3</c:v>
                </c:pt>
                <c:pt idx="1">
                  <c:v>4.1072811176853007E-3</c:v>
                </c:pt>
                <c:pt idx="2">
                  <c:v>1.0537248141199494E-3</c:v>
                </c:pt>
                <c:pt idx="3">
                  <c:v>1.1195826150024461E-3</c:v>
                </c:pt>
                <c:pt idx="4">
                  <c:v>2.7715714285714288E-3</c:v>
                </c:pt>
                <c:pt idx="5">
                  <c:v>1.1790342951953749E-2</c:v>
                </c:pt>
                <c:pt idx="6">
                  <c:v>3.7811888058906298E-3</c:v>
                </c:pt>
                <c:pt idx="7">
                  <c:v>1.3060247322593066E-2</c:v>
                </c:pt>
                <c:pt idx="8">
                  <c:v>2.6447470892304818E-2</c:v>
                </c:pt>
                <c:pt idx="9">
                  <c:v>1.1573595723149675E-2</c:v>
                </c:pt>
                <c:pt idx="10">
                  <c:v>5.5397830482865063E-3</c:v>
                </c:pt>
                <c:pt idx="11">
                  <c:v>2.149698076693125E-2</c:v>
                </c:pt>
                <c:pt idx="12">
                  <c:v>2.1331638109345504E-3</c:v>
                </c:pt>
                <c:pt idx="13">
                  <c:v>4.076109192868568E-3</c:v>
                </c:pt>
                <c:pt idx="14">
                  <c:v>9.5987899046131133E-4</c:v>
                </c:pt>
                <c:pt idx="15">
                  <c:v>1.0198714273651432E-3</c:v>
                </c:pt>
                <c:pt idx="16">
                  <c:v>2.7294594720870869E-3</c:v>
                </c:pt>
                <c:pt idx="17">
                  <c:v>2.7715714285714288E-3</c:v>
                </c:pt>
                <c:pt idx="18">
                  <c:v>1.1074472868176938E-2</c:v>
                </c:pt>
                <c:pt idx="19">
                  <c:v>1.2176327875562188E-2</c:v>
                </c:pt>
                <c:pt idx="20">
                  <c:v>2.4202354741507264E-2</c:v>
                </c:pt>
                <c:pt idx="21">
                  <c:v>4.13162426244334E-3</c:v>
                </c:pt>
                <c:pt idx="22">
                  <c:v>1.0720644957616992E-2</c:v>
                </c:pt>
                <c:pt idx="23">
                  <c:v>1.3279381505411613E-2</c:v>
                </c:pt>
                <c:pt idx="24">
                  <c:v>5.4701451293849941E-3</c:v>
                </c:pt>
                <c:pt idx="25">
                  <c:v>5.6283132239921011E-3</c:v>
                </c:pt>
                <c:pt idx="26">
                  <c:v>8.3706989059071399E-4</c:v>
                </c:pt>
                <c:pt idx="27">
                  <c:v>6.5837900060073855E-3</c:v>
                </c:pt>
                <c:pt idx="28">
                  <c:v>1.5238870080703825E-3</c:v>
                </c:pt>
                <c:pt idx="29">
                  <c:v>8.8938675875263335E-4</c:v>
                </c:pt>
                <c:pt idx="30">
                  <c:v>1.9961810868829068E-3</c:v>
                </c:pt>
                <c:pt idx="31">
                  <c:v>3.8143587647444083E-3</c:v>
                </c:pt>
                <c:pt idx="32">
                  <c:v>2.7715714285714288E-3</c:v>
                </c:pt>
                <c:pt idx="33">
                  <c:v>3.3744831090442877E-3</c:v>
                </c:pt>
                <c:pt idx="34">
                  <c:v>7.3102100315233995E-3</c:v>
                </c:pt>
                <c:pt idx="35">
                  <c:v>9.604451272429336E-3</c:v>
                </c:pt>
              </c:numCache>
            </c:numRef>
          </c:val>
          <c:extLst>
            <c:ext xmlns:c16="http://schemas.microsoft.com/office/drawing/2014/chart" uri="{C3380CC4-5D6E-409C-BE32-E72D297353CC}">
              <c16:uniqueId val="{00000007-2CAB-468E-BC12-1CE65EF5B569}"/>
            </c:ext>
          </c:extLst>
        </c:ser>
        <c:ser>
          <c:idx val="8"/>
          <c:order val="8"/>
          <c:tx>
            <c:strRef>
              <c:f>FIGURES!$Z$228</c:f>
              <c:strCache>
                <c:ptCount val="1"/>
                <c:pt idx="0">
                  <c:v>Market failure (av. utilization)</c:v>
                </c:pt>
              </c:strCache>
            </c:strRef>
          </c:tx>
          <c:spPr>
            <a:solidFill>
              <a:schemeClr val="accent3">
                <a:lumMod val="60000"/>
              </a:schemeClr>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FIGURES!$Z$229:$Z$264</c:f>
              <c:numCache>
                <c:formatCode>General</c:formatCode>
                <c:ptCount val="36"/>
                <c:pt idx="0">
                  <c:v>9.3691920665066718E-3</c:v>
                </c:pt>
                <c:pt idx="1">
                  <c:v>1.1833655417796072E-2</c:v>
                </c:pt>
                <c:pt idx="2">
                  <c:v>1.5550528818373367E-2</c:v>
                </c:pt>
                <c:pt idx="3">
                  <c:v>2.1521269454121909E-2</c:v>
                </c:pt>
                <c:pt idx="4">
                  <c:v>2.2260979810807893E-2</c:v>
                </c:pt>
                <c:pt idx="5">
                  <c:v>2.1129720272896415E-2</c:v>
                </c:pt>
                <c:pt idx="6">
                  <c:v>2.7747547230981169E-2</c:v>
                </c:pt>
                <c:pt idx="7">
                  <c:v>2.2806772205735022E-2</c:v>
                </c:pt>
                <c:pt idx="8">
                  <c:v>3.9916854454536799E-2</c:v>
                </c:pt>
                <c:pt idx="9">
                  <c:v>7.061358407215175E-2</c:v>
                </c:pt>
                <c:pt idx="10">
                  <c:v>7.5707949094327057E-2</c:v>
                </c:pt>
                <c:pt idx="11">
                  <c:v>9.9182556352221826E-2</c:v>
                </c:pt>
                <c:pt idx="12">
                  <c:v>9.9528851394415953E-3</c:v>
                </c:pt>
                <c:pt idx="13">
                  <c:v>1.2367126663309516E-2</c:v>
                </c:pt>
                <c:pt idx="14">
                  <c:v>1.5345239937027022E-2</c:v>
                </c:pt>
                <c:pt idx="15">
                  <c:v>1.9370716684618969E-2</c:v>
                </c:pt>
                <c:pt idx="16">
                  <c:v>2.2389181071705816E-2</c:v>
                </c:pt>
                <c:pt idx="17">
                  <c:v>2.2740204146944967E-2</c:v>
                </c:pt>
                <c:pt idx="18">
                  <c:v>2.0026772808245816E-2</c:v>
                </c:pt>
                <c:pt idx="19">
                  <c:v>2.1494645782664312E-2</c:v>
                </c:pt>
                <c:pt idx="20">
                  <c:v>3.6846422938026986E-2</c:v>
                </c:pt>
                <c:pt idx="21">
                  <c:v>6.1799222420589786E-2</c:v>
                </c:pt>
                <c:pt idx="22">
                  <c:v>7.091509669714792E-2</c:v>
                </c:pt>
                <c:pt idx="23">
                  <c:v>7.6558564675540813E-2</c:v>
                </c:pt>
                <c:pt idx="24">
                  <c:v>1.1425955277411116E-2</c:v>
                </c:pt>
                <c:pt idx="25">
                  <c:v>1.151427946653498E-2</c:v>
                </c:pt>
                <c:pt idx="26">
                  <c:v>1.5035009590579808E-2</c:v>
                </c:pt>
                <c:pt idx="27">
                  <c:v>1.2699347573956049E-2</c:v>
                </c:pt>
                <c:pt idx="28">
                  <c:v>1.5639836011412018E-2</c:v>
                </c:pt>
                <c:pt idx="29">
                  <c:v>1.651226412890678E-2</c:v>
                </c:pt>
                <c:pt idx="30">
                  <c:v>1.4854151667962478E-2</c:v>
                </c:pt>
                <c:pt idx="31">
                  <c:v>1.6846680868769288E-2</c:v>
                </c:pt>
                <c:pt idx="32">
                  <c:v>2.6273994235799812E-2</c:v>
                </c:pt>
                <c:pt idx="33">
                  <c:v>5.7259443876853541E-2</c:v>
                </c:pt>
                <c:pt idx="34">
                  <c:v>6.3770957790438648E-2</c:v>
                </c:pt>
                <c:pt idx="35">
                  <c:v>7.6408000661182016E-2</c:v>
                </c:pt>
              </c:numCache>
            </c:numRef>
          </c:val>
          <c:extLst>
            <c:ext xmlns:c16="http://schemas.microsoft.com/office/drawing/2014/chart" uri="{C3380CC4-5D6E-409C-BE32-E72D297353CC}">
              <c16:uniqueId val="{00000008-2CAB-468E-BC12-1CE65EF5B569}"/>
            </c:ext>
          </c:extLst>
        </c:ser>
        <c:ser>
          <c:idx val="9"/>
          <c:order val="9"/>
          <c:tx>
            <c:strRef>
              <c:f>FIGURES!$AA$228</c:f>
              <c:strCache>
                <c:ptCount val="1"/>
                <c:pt idx="0">
                  <c:v>Payload loss (fuel)</c:v>
                </c:pt>
              </c:strCache>
            </c:strRef>
          </c:tx>
          <c:spPr>
            <a:solidFill>
              <a:schemeClr val="accent4">
                <a:lumMod val="60000"/>
              </a:schemeClr>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FIGURES!$AA$229:$AA$264</c:f>
              <c:numCache>
                <c:formatCode>General</c:formatCode>
                <c:ptCount val="36"/>
                <c:pt idx="0">
                  <c:v>0</c:v>
                </c:pt>
                <c:pt idx="1">
                  <c:v>0</c:v>
                </c:pt>
                <c:pt idx="2">
                  <c:v>0</c:v>
                </c:pt>
                <c:pt idx="3">
                  <c:v>3.7253124998190904E-4</c:v>
                </c:pt>
                <c:pt idx="4">
                  <c:v>0</c:v>
                </c:pt>
                <c:pt idx="5">
                  <c:v>1.3856702589881906E-3</c:v>
                </c:pt>
                <c:pt idx="6">
                  <c:v>2.3741216882122891E-4</c:v>
                </c:pt>
                <c:pt idx="7">
                  <c:v>1.9107458000384783E-3</c:v>
                </c:pt>
                <c:pt idx="8">
                  <c:v>1.2546964484978669E-3</c:v>
                </c:pt>
                <c:pt idx="9">
                  <c:v>0</c:v>
                </c:pt>
                <c:pt idx="10">
                  <c:v>7.1132539649722548E-3</c:v>
                </c:pt>
                <c:pt idx="11">
                  <c:v>4.409718611580335E-3</c:v>
                </c:pt>
                <c:pt idx="12">
                  <c:v>0</c:v>
                </c:pt>
                <c:pt idx="13">
                  <c:v>0</c:v>
                </c:pt>
                <c:pt idx="14">
                  <c:v>0</c:v>
                </c:pt>
                <c:pt idx="15">
                  <c:v>2.6126761215228105E-4</c:v>
                </c:pt>
                <c:pt idx="16">
                  <c:v>1.9156518564026476E-4</c:v>
                </c:pt>
                <c:pt idx="17">
                  <c:v>0</c:v>
                </c:pt>
                <c:pt idx="18">
                  <c:v>1.2947163246812589E-3</c:v>
                </c:pt>
                <c:pt idx="19">
                  <c:v>1.7590940957229288E-3</c:v>
                </c:pt>
                <c:pt idx="20">
                  <c:v>1.1581843467362296E-3</c:v>
                </c:pt>
                <c:pt idx="21">
                  <c:v>4.4545939822651093E-3</c:v>
                </c:pt>
                <c:pt idx="22">
                  <c:v>0</c:v>
                </c:pt>
                <c:pt idx="23">
                  <c:v>2.4923424709268893E-3</c:v>
                </c:pt>
                <c:pt idx="24">
                  <c:v>7.528298969710686E-4</c:v>
                </c:pt>
                <c:pt idx="25">
                  <c:v>6.5542829345874992E-4</c:v>
                </c:pt>
                <c:pt idx="26">
                  <c:v>0</c:v>
                </c:pt>
                <c:pt idx="27">
                  <c:v>3.9917539888897034E-4</c:v>
                </c:pt>
                <c:pt idx="28">
                  <c:v>1.3381677870726895E-4</c:v>
                </c:pt>
                <c:pt idx="29">
                  <c:v>1.4160157538674681E-4</c:v>
                </c:pt>
                <c:pt idx="30">
                  <c:v>0</c:v>
                </c:pt>
                <c:pt idx="31">
                  <c:v>0</c:v>
                </c:pt>
                <c:pt idx="32">
                  <c:v>0</c:v>
                </c:pt>
                <c:pt idx="33">
                  <c:v>2.5732025895309971E-3</c:v>
                </c:pt>
                <c:pt idx="34">
                  <c:v>1.1124179278049692E-3</c:v>
                </c:pt>
                <c:pt idx="35">
                  <c:v>0</c:v>
                </c:pt>
              </c:numCache>
            </c:numRef>
          </c:val>
          <c:extLst>
            <c:ext xmlns:c16="http://schemas.microsoft.com/office/drawing/2014/chart" uri="{C3380CC4-5D6E-409C-BE32-E72D297353CC}">
              <c16:uniqueId val="{00000009-2CAB-468E-BC12-1CE65EF5B569}"/>
            </c:ext>
          </c:extLst>
        </c:ser>
        <c:ser>
          <c:idx val="10"/>
          <c:order val="10"/>
          <c:tx>
            <c:strRef>
              <c:f>FIGURES!$AB$228</c:f>
              <c:strCache>
                <c:ptCount val="1"/>
                <c:pt idx="0">
                  <c:v>Emission Cost</c:v>
                </c:pt>
              </c:strCache>
            </c:strRef>
          </c:tx>
          <c:spPr>
            <a:solidFill>
              <a:schemeClr val="accent5">
                <a:lumMod val="60000"/>
              </a:schemeClr>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FIGURES!$AB$229:$AB$264</c:f>
              <c:numCache>
                <c:formatCode>General</c:formatCode>
                <c:ptCount val="36"/>
                <c:pt idx="0">
                  <c:v>1.9330162494961441E-3</c:v>
                </c:pt>
                <c:pt idx="1">
                  <c:v>1.8343688133195604E-3</c:v>
                </c:pt>
                <c:pt idx="2">
                  <c:v>2.6370562862784274E-5</c:v>
                </c:pt>
                <c:pt idx="3">
                  <c:v>2.8018723041708291E-5</c:v>
                </c:pt>
                <c:pt idx="4">
                  <c:v>7.4298751127533757E-4</c:v>
                </c:pt>
                <c:pt idx="5">
                  <c:v>2.6311642110997044E-4</c:v>
                </c:pt>
                <c:pt idx="6">
                  <c:v>6.3470132672722201E-5</c:v>
                </c:pt>
                <c:pt idx="7">
                  <c:v>2.5815196033431064E-4</c:v>
                </c:pt>
                <c:pt idx="8">
                  <c:v>3.3398562051778328E-4</c:v>
                </c:pt>
                <c:pt idx="9">
                  <c:v>3.1055649111335639E-3</c:v>
                </c:pt>
                <c:pt idx="10">
                  <c:v>1.4049076735721778E-4</c:v>
                </c:pt>
                <c:pt idx="11">
                  <c:v>3.6418200964524684E-4</c:v>
                </c:pt>
                <c:pt idx="12">
                  <c:v>2.3842549920408719E-3</c:v>
                </c:pt>
                <c:pt idx="13">
                  <c:v>2.2625795316212503E-3</c:v>
                </c:pt>
                <c:pt idx="14">
                  <c:v>2.360985412314249E-5</c:v>
                </c:pt>
                <c:pt idx="15">
                  <c:v>2.5085470005838896E-5</c:v>
                </c:pt>
                <c:pt idx="16">
                  <c:v>5.6825505825447255E-5</c:v>
                </c:pt>
                <c:pt idx="17">
                  <c:v>9.3595751810243634E-4</c:v>
                </c:pt>
                <c:pt idx="18">
                  <c:v>2.3557101727914492E-4</c:v>
                </c:pt>
                <c:pt idx="19">
                  <c:v>2.3112628110406671E-4</c:v>
                </c:pt>
                <c:pt idx="20">
                  <c:v>2.9902098869419172E-4</c:v>
                </c:pt>
                <c:pt idx="21">
                  <c:v>1.2578292470326314E-4</c:v>
                </c:pt>
                <c:pt idx="22">
                  <c:v>3.7182628349802355E-3</c:v>
                </c:pt>
                <c:pt idx="23">
                  <c:v>3.2605614702792577E-4</c:v>
                </c:pt>
                <c:pt idx="24">
                  <c:v>4.1918473001819709E-6</c:v>
                </c:pt>
                <c:pt idx="25">
                  <c:v>4.2724597482624145E-6</c:v>
                </c:pt>
                <c:pt idx="26">
                  <c:v>4.2820272446309834E-7</c:v>
                </c:pt>
                <c:pt idx="27">
                  <c:v>5.4232271560286516E-6</c:v>
                </c:pt>
                <c:pt idx="28">
                  <c:v>1.0306220566436748E-6</c:v>
                </c:pt>
                <c:pt idx="29">
                  <c:v>4.5496539474204176E-7</c:v>
                </c:pt>
                <c:pt idx="30">
                  <c:v>6.1733034624737292E-3</c:v>
                </c:pt>
                <c:pt idx="31">
                  <c:v>5.8582618483787648E-3</c:v>
                </c:pt>
                <c:pt idx="32">
                  <c:v>2.5563252752773664E-3</c:v>
                </c:pt>
                <c:pt idx="33">
                  <c:v>2.2812758930212777E-6</c:v>
                </c:pt>
                <c:pt idx="34">
                  <c:v>5.9135532882621105E-6</c:v>
                </c:pt>
                <c:pt idx="35">
                  <c:v>8.8630828876566786E-3</c:v>
                </c:pt>
              </c:numCache>
            </c:numRef>
          </c:val>
          <c:extLst>
            <c:ext xmlns:c16="http://schemas.microsoft.com/office/drawing/2014/chart" uri="{C3380CC4-5D6E-409C-BE32-E72D297353CC}">
              <c16:uniqueId val="{0000000A-2CAB-468E-BC12-1CE65EF5B569}"/>
            </c:ext>
          </c:extLst>
        </c:ser>
        <c:dLbls>
          <c:showLegendKey val="0"/>
          <c:showVal val="0"/>
          <c:showCatName val="0"/>
          <c:showSerName val="0"/>
          <c:showPercent val="0"/>
          <c:showBubbleSize val="0"/>
        </c:dLbls>
        <c:gapWidth val="150"/>
        <c:overlap val="100"/>
        <c:axId val="696828560"/>
        <c:axId val="696826592"/>
      </c:barChart>
      <c:catAx>
        <c:axId val="696828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96826592"/>
        <c:crosses val="autoZero"/>
        <c:auto val="1"/>
        <c:lblAlgn val="ctr"/>
        <c:lblOffset val="100"/>
        <c:noMultiLvlLbl val="0"/>
      </c:catAx>
      <c:valAx>
        <c:axId val="6968265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968285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FIGURES!$R$301</c:f>
              <c:strCache>
                <c:ptCount val="1"/>
                <c:pt idx="0">
                  <c:v>Capex vehicle</c:v>
                </c:pt>
              </c:strCache>
            </c:strRef>
          </c:tx>
          <c:spPr>
            <a:solidFill>
              <a:schemeClr val="accent1"/>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FIGURES!$R$302:$R$305</c:f>
              <c:numCache>
                <c:formatCode>General</c:formatCode>
                <c:ptCount val="4"/>
                <c:pt idx="0">
                  <c:v>1.0347449498978036E-3</c:v>
                </c:pt>
                <c:pt idx="1">
                  <c:v>1.0347449498978036E-3</c:v>
                </c:pt>
                <c:pt idx="2">
                  <c:v>7.6317014160409149E-4</c:v>
                </c:pt>
                <c:pt idx="3">
                  <c:v>6.4495368251871292E-3</c:v>
                </c:pt>
              </c:numCache>
            </c:numRef>
          </c:val>
          <c:extLst>
            <c:ext xmlns:c16="http://schemas.microsoft.com/office/drawing/2014/chart" uri="{C3380CC4-5D6E-409C-BE32-E72D297353CC}">
              <c16:uniqueId val="{00000000-F68F-4522-841D-3525F1ABAB70}"/>
            </c:ext>
          </c:extLst>
        </c:ser>
        <c:ser>
          <c:idx val="1"/>
          <c:order val="1"/>
          <c:tx>
            <c:strRef>
              <c:f>FIGURES!$S$301</c:f>
              <c:strCache>
                <c:ptCount val="1"/>
                <c:pt idx="0">
                  <c:v>Residual value (vehicle)</c:v>
                </c:pt>
              </c:strCache>
            </c:strRef>
          </c:tx>
          <c:spPr>
            <a:solidFill>
              <a:schemeClr val="accent2"/>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FIGURES!$S$302:$S$305</c:f>
              <c:numCache>
                <c:formatCode>General</c:formatCode>
                <c:ptCount val="4"/>
                <c:pt idx="0">
                  <c:v>-1.0336086682377807E-4</c:v>
                </c:pt>
                <c:pt idx="1">
                  <c:v>-1.0336086682377807E-4</c:v>
                </c:pt>
                <c:pt idx="2">
                  <c:v>-1.1346797345547289E-4</c:v>
                </c:pt>
                <c:pt idx="3">
                  <c:v>-1.6030702191455165E-3</c:v>
                </c:pt>
              </c:numCache>
            </c:numRef>
          </c:val>
          <c:extLst>
            <c:ext xmlns:c16="http://schemas.microsoft.com/office/drawing/2014/chart" uri="{C3380CC4-5D6E-409C-BE32-E72D297353CC}">
              <c16:uniqueId val="{00000001-F68F-4522-841D-3525F1ABAB70}"/>
            </c:ext>
          </c:extLst>
        </c:ser>
        <c:ser>
          <c:idx val="2"/>
          <c:order val="2"/>
          <c:tx>
            <c:strRef>
              <c:f>FIGURES!$T$301</c:f>
              <c:strCache>
                <c:ptCount val="1"/>
                <c:pt idx="0">
                  <c:v>Capex costumization</c:v>
                </c:pt>
              </c:strCache>
            </c:strRef>
          </c:tx>
          <c:spPr>
            <a:solidFill>
              <a:schemeClr val="accent3"/>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FIGURES!$T$302:$T$305</c:f>
              <c:numCache>
                <c:formatCode>General</c:formatCode>
                <c:ptCount val="4"/>
                <c:pt idx="0">
                  <c:v>3.4491498329926784E-4</c:v>
                </c:pt>
                <c:pt idx="1">
                  <c:v>3.4491498329926784E-4</c:v>
                </c:pt>
                <c:pt idx="2">
                  <c:v>5.087458787818432E-4</c:v>
                </c:pt>
                <c:pt idx="3">
                  <c:v>1.552776665375814E-3</c:v>
                </c:pt>
              </c:numCache>
            </c:numRef>
          </c:val>
          <c:extLst>
            <c:ext xmlns:c16="http://schemas.microsoft.com/office/drawing/2014/chart" uri="{C3380CC4-5D6E-409C-BE32-E72D297353CC}">
              <c16:uniqueId val="{00000002-F68F-4522-841D-3525F1ABAB70}"/>
            </c:ext>
          </c:extLst>
        </c:ser>
        <c:ser>
          <c:idx val="3"/>
          <c:order val="3"/>
          <c:tx>
            <c:strRef>
              <c:f>FIGURES!$U$301</c:f>
              <c:strCache>
                <c:ptCount val="1"/>
                <c:pt idx="0">
                  <c:v>Residual value (costumization)</c:v>
                </c:pt>
              </c:strCache>
            </c:strRef>
          </c:tx>
          <c:spPr>
            <a:solidFill>
              <a:schemeClr val="accent4"/>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FIGURES!$U$302:$U$305</c:f>
              <c:numCache>
                <c:formatCode>General</c:formatCode>
                <c:ptCount val="4"/>
                <c:pt idx="0">
                  <c:v>-3.4491498329926788E-5</c:v>
                </c:pt>
                <c:pt idx="1">
                  <c:v>-3.4491498329926788E-5</c:v>
                </c:pt>
                <c:pt idx="2">
                  <c:v>-2.5437293939092156E-5</c:v>
                </c:pt>
                <c:pt idx="3">
                  <c:v>-3.8819416634395349E-4</c:v>
                </c:pt>
              </c:numCache>
            </c:numRef>
          </c:val>
          <c:extLst>
            <c:ext xmlns:c16="http://schemas.microsoft.com/office/drawing/2014/chart" uri="{C3380CC4-5D6E-409C-BE32-E72D297353CC}">
              <c16:uniqueId val="{00000003-F68F-4522-841D-3525F1ABAB70}"/>
            </c:ext>
          </c:extLst>
        </c:ser>
        <c:ser>
          <c:idx val="4"/>
          <c:order val="4"/>
          <c:tx>
            <c:strRef>
              <c:f>FIGURES!$V$301</c:f>
              <c:strCache>
                <c:ptCount val="1"/>
                <c:pt idx="0">
                  <c:v>Opex fix (admin, crew, insurance)</c:v>
                </c:pt>
              </c:strCache>
            </c:strRef>
          </c:tx>
          <c:spPr>
            <a:solidFill>
              <a:schemeClr val="accent5"/>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FIGURES!$V$302:$V$305</c:f>
              <c:numCache>
                <c:formatCode>General</c:formatCode>
                <c:ptCount val="4"/>
                <c:pt idx="0">
                  <c:v>1.0654632223259673E-3</c:v>
                </c:pt>
                <c:pt idx="1">
                  <c:v>1.0654632223259673E-3</c:v>
                </c:pt>
                <c:pt idx="2">
                  <c:v>1.525610244097639E-3</c:v>
                </c:pt>
                <c:pt idx="3">
                  <c:v>2.6666666666666665E-2</c:v>
                </c:pt>
              </c:numCache>
            </c:numRef>
          </c:val>
          <c:extLst>
            <c:ext xmlns:c16="http://schemas.microsoft.com/office/drawing/2014/chart" uri="{C3380CC4-5D6E-409C-BE32-E72D297353CC}">
              <c16:uniqueId val="{00000004-F68F-4522-841D-3525F1ABAB70}"/>
            </c:ext>
          </c:extLst>
        </c:ser>
        <c:ser>
          <c:idx val="5"/>
          <c:order val="5"/>
          <c:tx>
            <c:strRef>
              <c:f>FIGURES!$W$301</c:f>
              <c:strCache>
                <c:ptCount val="1"/>
                <c:pt idx="0">
                  <c:v>Opex maintenance &amp; repair</c:v>
                </c:pt>
              </c:strCache>
            </c:strRef>
          </c:tx>
          <c:spPr>
            <a:solidFill>
              <a:schemeClr val="accent6"/>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FIGURES!$W$302:$W$305</c:f>
              <c:numCache>
                <c:formatCode>General</c:formatCode>
                <c:ptCount val="4"/>
                <c:pt idx="0">
                  <c:v>4.305425874053325E-4</c:v>
                </c:pt>
                <c:pt idx="1">
                  <c:v>4.305425874053325E-4</c:v>
                </c:pt>
                <c:pt idx="2">
                  <c:v>2.6260504201680674E-3</c:v>
                </c:pt>
                <c:pt idx="3">
                  <c:v>7.619047619047619E-3</c:v>
                </c:pt>
              </c:numCache>
            </c:numRef>
          </c:val>
          <c:extLst>
            <c:ext xmlns:c16="http://schemas.microsoft.com/office/drawing/2014/chart" uri="{C3380CC4-5D6E-409C-BE32-E72D297353CC}">
              <c16:uniqueId val="{00000005-F68F-4522-841D-3525F1ABAB70}"/>
            </c:ext>
          </c:extLst>
        </c:ser>
        <c:ser>
          <c:idx val="6"/>
          <c:order val="6"/>
          <c:tx>
            <c:strRef>
              <c:f>FIGURES!$X$301</c:f>
              <c:strCache>
                <c:ptCount val="1"/>
                <c:pt idx="0">
                  <c:v>Opex var (mode-fees)</c:v>
                </c:pt>
              </c:strCache>
            </c:strRef>
          </c:tx>
          <c:spPr>
            <a:solidFill>
              <a:schemeClr val="accent1">
                <a:lumMod val="60000"/>
              </a:schemeClr>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FIGURES!$X$302:$X$305</c:f>
              <c:numCache>
                <c:formatCode>General</c:formatCode>
                <c:ptCount val="4"/>
                <c:pt idx="0">
                  <c:v>1.7869725535414797E-4</c:v>
                </c:pt>
                <c:pt idx="1">
                  <c:v>1.7869725535414797E-4</c:v>
                </c:pt>
                <c:pt idx="2">
                  <c:v>1.6256502601040416E-3</c:v>
                </c:pt>
                <c:pt idx="3">
                  <c:v>4.4000000000000003E-3</c:v>
                </c:pt>
              </c:numCache>
            </c:numRef>
          </c:val>
          <c:extLst>
            <c:ext xmlns:c16="http://schemas.microsoft.com/office/drawing/2014/chart" uri="{C3380CC4-5D6E-409C-BE32-E72D297353CC}">
              <c16:uniqueId val="{00000006-F68F-4522-841D-3525F1ABAB70}"/>
            </c:ext>
          </c:extLst>
        </c:ser>
        <c:ser>
          <c:idx val="7"/>
          <c:order val="7"/>
          <c:tx>
            <c:strRef>
              <c:f>FIGURES!$Y$301</c:f>
              <c:strCache>
                <c:ptCount val="1"/>
                <c:pt idx="0">
                  <c:v>Fuel Cost</c:v>
                </c:pt>
              </c:strCache>
            </c:strRef>
          </c:tx>
          <c:spPr>
            <a:solidFill>
              <a:schemeClr val="accent2">
                <a:lumMod val="60000"/>
              </a:schemeClr>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FIGURES!$Y$302:$Y$305</c:f>
              <c:numCache>
                <c:formatCode>General</c:formatCode>
                <c:ptCount val="4"/>
                <c:pt idx="0">
                  <c:v>2.1494771182553069E-3</c:v>
                </c:pt>
                <c:pt idx="1">
                  <c:v>4.1072811176853007E-3</c:v>
                </c:pt>
                <c:pt idx="2">
                  <c:v>2.7715714285714288E-3</c:v>
                </c:pt>
                <c:pt idx="3">
                  <c:v>1.1573595723149675E-2</c:v>
                </c:pt>
              </c:numCache>
            </c:numRef>
          </c:val>
          <c:extLst>
            <c:ext xmlns:c16="http://schemas.microsoft.com/office/drawing/2014/chart" uri="{C3380CC4-5D6E-409C-BE32-E72D297353CC}">
              <c16:uniqueId val="{00000007-F68F-4522-841D-3525F1ABAB70}"/>
            </c:ext>
          </c:extLst>
        </c:ser>
        <c:ser>
          <c:idx val="8"/>
          <c:order val="8"/>
          <c:tx>
            <c:strRef>
              <c:f>FIGURES!$Z$301</c:f>
              <c:strCache>
                <c:ptCount val="1"/>
                <c:pt idx="0">
                  <c:v>Market failure (av. utilization)</c:v>
                </c:pt>
              </c:strCache>
            </c:strRef>
          </c:tx>
          <c:spPr>
            <a:solidFill>
              <a:schemeClr val="accent3">
                <a:lumMod val="60000"/>
              </a:schemeClr>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FIGURES!$Z$302:$Z$305</c:f>
              <c:numCache>
                <c:formatCode>General</c:formatCode>
                <c:ptCount val="4"/>
                <c:pt idx="0">
                  <c:v>9.3691920665066718E-3</c:v>
                </c:pt>
                <c:pt idx="1">
                  <c:v>1.1833655417796072E-2</c:v>
                </c:pt>
                <c:pt idx="2">
                  <c:v>2.2260979810807893E-2</c:v>
                </c:pt>
                <c:pt idx="3">
                  <c:v>7.061358407215175E-2</c:v>
                </c:pt>
              </c:numCache>
            </c:numRef>
          </c:val>
          <c:extLst>
            <c:ext xmlns:c16="http://schemas.microsoft.com/office/drawing/2014/chart" uri="{C3380CC4-5D6E-409C-BE32-E72D297353CC}">
              <c16:uniqueId val="{00000008-F68F-4522-841D-3525F1ABAB70}"/>
            </c:ext>
          </c:extLst>
        </c:ser>
        <c:ser>
          <c:idx val="9"/>
          <c:order val="9"/>
          <c:tx>
            <c:strRef>
              <c:f>FIGURES!$AA$301</c:f>
              <c:strCache>
                <c:ptCount val="1"/>
                <c:pt idx="0">
                  <c:v>Payload loss (fuel)</c:v>
                </c:pt>
              </c:strCache>
            </c:strRef>
          </c:tx>
          <c:spPr>
            <a:solidFill>
              <a:schemeClr val="accent4">
                <a:lumMod val="60000"/>
              </a:schemeClr>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FIGURES!$AA$302:$AA$305</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9-F68F-4522-841D-3525F1ABAB70}"/>
            </c:ext>
          </c:extLst>
        </c:ser>
        <c:ser>
          <c:idx val="10"/>
          <c:order val="10"/>
          <c:tx>
            <c:strRef>
              <c:f>FIGURES!$AB$301</c:f>
              <c:strCache>
                <c:ptCount val="1"/>
                <c:pt idx="0">
                  <c:v>Emission Cost</c:v>
                </c:pt>
              </c:strCache>
            </c:strRef>
          </c:tx>
          <c:spPr>
            <a:solidFill>
              <a:schemeClr val="accent5">
                <a:lumMod val="60000"/>
              </a:schemeClr>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FIGURES!$AB$302:$AB$305</c:f>
              <c:numCache>
                <c:formatCode>General</c:formatCode>
                <c:ptCount val="4"/>
                <c:pt idx="0">
                  <c:v>1.9330162494961441E-3</c:v>
                </c:pt>
                <c:pt idx="1">
                  <c:v>1.8343688133195604E-3</c:v>
                </c:pt>
                <c:pt idx="2">
                  <c:v>7.4298751127533757E-4</c:v>
                </c:pt>
                <c:pt idx="3">
                  <c:v>3.1055649111335639E-3</c:v>
                </c:pt>
              </c:numCache>
            </c:numRef>
          </c:val>
          <c:extLst>
            <c:ext xmlns:c16="http://schemas.microsoft.com/office/drawing/2014/chart" uri="{C3380CC4-5D6E-409C-BE32-E72D297353CC}">
              <c16:uniqueId val="{0000000A-F68F-4522-841D-3525F1ABAB70}"/>
            </c:ext>
          </c:extLst>
        </c:ser>
        <c:dLbls>
          <c:showLegendKey val="0"/>
          <c:showVal val="0"/>
          <c:showCatName val="0"/>
          <c:showSerName val="0"/>
          <c:showPercent val="0"/>
          <c:showBubbleSize val="0"/>
        </c:dLbls>
        <c:gapWidth val="150"/>
        <c:overlap val="100"/>
        <c:axId val="722911680"/>
        <c:axId val="722919552"/>
      </c:barChart>
      <c:catAx>
        <c:axId val="722911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722919552"/>
        <c:crosses val="autoZero"/>
        <c:auto val="1"/>
        <c:lblAlgn val="ctr"/>
        <c:lblOffset val="100"/>
        <c:noMultiLvlLbl val="0"/>
      </c:catAx>
      <c:valAx>
        <c:axId val="7229195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7229116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FIGURES!$R$279</c:f>
              <c:strCache>
                <c:ptCount val="1"/>
                <c:pt idx="0">
                  <c:v>Capex vehicle</c:v>
                </c:pt>
              </c:strCache>
            </c:strRef>
          </c:tx>
          <c:spPr>
            <a:solidFill>
              <a:schemeClr val="accent1"/>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FIGURES!$R$280:$R$291</c:f>
              <c:numCache>
                <c:formatCode>General</c:formatCode>
                <c:ptCount val="12"/>
                <c:pt idx="0">
                  <c:v>1.0347449498978036E-3</c:v>
                </c:pt>
                <c:pt idx="1">
                  <c:v>2.0676718491395704E-3</c:v>
                </c:pt>
                <c:pt idx="2">
                  <c:v>2.0678991054715748E-3</c:v>
                </c:pt>
                <c:pt idx="3">
                  <c:v>1.3444866658711308E-3</c:v>
                </c:pt>
                <c:pt idx="4">
                  <c:v>1.0347449498978036E-3</c:v>
                </c:pt>
                <c:pt idx="5">
                  <c:v>1.9812010201050753E-3</c:v>
                </c:pt>
                <c:pt idx="6">
                  <c:v>1.9922371300663917E-3</c:v>
                </c:pt>
                <c:pt idx="7">
                  <c:v>1.3120601049831952E-3</c:v>
                </c:pt>
                <c:pt idx="8">
                  <c:v>1.3569040676564852E-3</c:v>
                </c:pt>
                <c:pt idx="9">
                  <c:v>1.2551060916366106E-3</c:v>
                </c:pt>
                <c:pt idx="10">
                  <c:v>1.0397745068075209E-3</c:v>
                </c:pt>
                <c:pt idx="11">
                  <c:v>1.0347449498978036E-3</c:v>
                </c:pt>
              </c:numCache>
            </c:numRef>
          </c:val>
          <c:extLst>
            <c:ext xmlns:c16="http://schemas.microsoft.com/office/drawing/2014/chart" uri="{C3380CC4-5D6E-409C-BE32-E72D297353CC}">
              <c16:uniqueId val="{00000000-72E9-426D-A5C3-9DC6E74FB49A}"/>
            </c:ext>
          </c:extLst>
        </c:ser>
        <c:ser>
          <c:idx val="1"/>
          <c:order val="1"/>
          <c:tx>
            <c:strRef>
              <c:f>FIGURES!$S$279</c:f>
              <c:strCache>
                <c:ptCount val="1"/>
                <c:pt idx="0">
                  <c:v>Residual value (vehicle)</c:v>
                </c:pt>
              </c:strCache>
            </c:strRef>
          </c:tx>
          <c:spPr>
            <a:solidFill>
              <a:schemeClr val="accent2"/>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FIGURES!$S$280:$S$291</c:f>
              <c:numCache>
                <c:formatCode>General</c:formatCode>
                <c:ptCount val="12"/>
                <c:pt idx="0">
                  <c:v>-1.0336086682377807E-4</c:v>
                </c:pt>
                <c:pt idx="1">
                  <c:v>-1.0351994625618128E-4</c:v>
                </c:pt>
                <c:pt idx="2">
                  <c:v>-1.0354267188938173E-4</c:v>
                </c:pt>
                <c:pt idx="3">
                  <c:v>-6.7337961459558828E-5</c:v>
                </c:pt>
                <c:pt idx="4">
                  <c:v>-9.7956440009122124E-5</c:v>
                </c:pt>
                <c:pt idx="5">
                  <c:v>-1.0568171698204363E-4</c:v>
                </c:pt>
                <c:pt idx="6">
                  <c:v>-1.067853279781753E-4</c:v>
                </c:pt>
                <c:pt idx="7">
                  <c:v>-7.1121060229817985E-5</c:v>
                </c:pt>
                <c:pt idx="8">
                  <c:v>-1.3401388779574273E-4</c:v>
                </c:pt>
                <c:pt idx="9">
                  <c:v>-1.2383409019375524E-4</c:v>
                </c:pt>
                <c:pt idx="10">
                  <c:v>-1.0288771335031333E-4</c:v>
                </c:pt>
                <c:pt idx="11">
                  <c:v>-5.2575506979843073E-5</c:v>
                </c:pt>
              </c:numCache>
            </c:numRef>
          </c:val>
          <c:extLst>
            <c:ext xmlns:c16="http://schemas.microsoft.com/office/drawing/2014/chart" uri="{C3380CC4-5D6E-409C-BE32-E72D297353CC}">
              <c16:uniqueId val="{00000001-72E9-426D-A5C3-9DC6E74FB49A}"/>
            </c:ext>
          </c:extLst>
        </c:ser>
        <c:ser>
          <c:idx val="2"/>
          <c:order val="2"/>
          <c:tx>
            <c:strRef>
              <c:f>FIGURES!$T$279</c:f>
              <c:strCache>
                <c:ptCount val="1"/>
                <c:pt idx="0">
                  <c:v>Capex costumization</c:v>
                </c:pt>
              </c:strCache>
            </c:strRef>
          </c:tx>
          <c:spPr>
            <a:solidFill>
              <a:schemeClr val="accent3"/>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FIGURES!$T$280:$T$291</c:f>
              <c:numCache>
                <c:formatCode>General</c:formatCode>
                <c:ptCount val="12"/>
                <c:pt idx="0">
                  <c:v>3.4491498329926784E-4</c:v>
                </c:pt>
                <c:pt idx="1">
                  <c:v>3.4491498329926784E-4</c:v>
                </c:pt>
                <c:pt idx="2">
                  <c:v>3.4491498329926784E-4</c:v>
                </c:pt>
                <c:pt idx="3">
                  <c:v>3.4491498329926784E-4</c:v>
                </c:pt>
                <c:pt idx="4">
                  <c:v>3.4491498329926784E-4</c:v>
                </c:pt>
                <c:pt idx="5">
                  <c:v>3.4491498329926784E-4</c:v>
                </c:pt>
                <c:pt idx="6">
                  <c:v>3.4491498329926784E-4</c:v>
                </c:pt>
                <c:pt idx="7">
                  <c:v>3.4491498329926784E-4</c:v>
                </c:pt>
                <c:pt idx="8">
                  <c:v>3.4491498329926784E-4</c:v>
                </c:pt>
                <c:pt idx="9">
                  <c:v>3.4491498329926784E-4</c:v>
                </c:pt>
                <c:pt idx="10">
                  <c:v>3.4491498329926784E-4</c:v>
                </c:pt>
                <c:pt idx="11">
                  <c:v>3.4491498329926784E-4</c:v>
                </c:pt>
              </c:numCache>
            </c:numRef>
          </c:val>
          <c:extLst>
            <c:ext xmlns:c16="http://schemas.microsoft.com/office/drawing/2014/chart" uri="{C3380CC4-5D6E-409C-BE32-E72D297353CC}">
              <c16:uniqueId val="{00000002-72E9-426D-A5C3-9DC6E74FB49A}"/>
            </c:ext>
          </c:extLst>
        </c:ser>
        <c:ser>
          <c:idx val="3"/>
          <c:order val="3"/>
          <c:tx>
            <c:strRef>
              <c:f>FIGURES!$U$279</c:f>
              <c:strCache>
                <c:ptCount val="1"/>
                <c:pt idx="0">
                  <c:v>Residual value (costumization)</c:v>
                </c:pt>
              </c:strCache>
            </c:strRef>
          </c:tx>
          <c:spPr>
            <a:solidFill>
              <a:schemeClr val="accent4"/>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FIGURES!$U$280:$U$291</c:f>
              <c:numCache>
                <c:formatCode>General</c:formatCode>
                <c:ptCount val="12"/>
                <c:pt idx="0">
                  <c:v>-3.4491498329926788E-5</c:v>
                </c:pt>
                <c:pt idx="1">
                  <c:v>-3.4491498329926788E-5</c:v>
                </c:pt>
                <c:pt idx="2">
                  <c:v>-3.4491498329926788E-5</c:v>
                </c:pt>
                <c:pt idx="3">
                  <c:v>-3.4491498329926788E-5</c:v>
                </c:pt>
                <c:pt idx="4">
                  <c:v>-3.4491498329926788E-5</c:v>
                </c:pt>
                <c:pt idx="5">
                  <c:v>-3.4491498329926788E-5</c:v>
                </c:pt>
                <c:pt idx="6">
                  <c:v>-3.4491498329926788E-5</c:v>
                </c:pt>
                <c:pt idx="7">
                  <c:v>-3.4491498329926788E-5</c:v>
                </c:pt>
                <c:pt idx="8">
                  <c:v>-3.4491498329926788E-5</c:v>
                </c:pt>
                <c:pt idx="9">
                  <c:v>-3.4491498329926788E-5</c:v>
                </c:pt>
                <c:pt idx="10">
                  <c:v>-3.4491498329926788E-5</c:v>
                </c:pt>
                <c:pt idx="11">
                  <c:v>-3.4491498329926788E-5</c:v>
                </c:pt>
              </c:numCache>
            </c:numRef>
          </c:val>
          <c:extLst>
            <c:ext xmlns:c16="http://schemas.microsoft.com/office/drawing/2014/chart" uri="{C3380CC4-5D6E-409C-BE32-E72D297353CC}">
              <c16:uniqueId val="{00000003-72E9-426D-A5C3-9DC6E74FB49A}"/>
            </c:ext>
          </c:extLst>
        </c:ser>
        <c:ser>
          <c:idx val="4"/>
          <c:order val="4"/>
          <c:tx>
            <c:strRef>
              <c:f>FIGURES!$V$279</c:f>
              <c:strCache>
                <c:ptCount val="1"/>
                <c:pt idx="0">
                  <c:v>Opex fix (admin, crew, insurance)</c:v>
                </c:pt>
              </c:strCache>
            </c:strRef>
          </c:tx>
          <c:spPr>
            <a:solidFill>
              <a:schemeClr val="accent5"/>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FIGURES!$V$280:$V$291</c:f>
              <c:numCache>
                <c:formatCode>General</c:formatCode>
                <c:ptCount val="12"/>
                <c:pt idx="0">
                  <c:v>1.0654632223259673E-3</c:v>
                </c:pt>
                <c:pt idx="1">
                  <c:v>1.0654632223259673E-3</c:v>
                </c:pt>
                <c:pt idx="2">
                  <c:v>1.0654632223259673E-3</c:v>
                </c:pt>
                <c:pt idx="3">
                  <c:v>1.0654632223259673E-3</c:v>
                </c:pt>
                <c:pt idx="4">
                  <c:v>1.0654632223259673E-3</c:v>
                </c:pt>
                <c:pt idx="5">
                  <c:v>1.0654632223259673E-3</c:v>
                </c:pt>
                <c:pt idx="6">
                  <c:v>1.0654632223259673E-3</c:v>
                </c:pt>
                <c:pt idx="7">
                  <c:v>1.0654632223259673E-3</c:v>
                </c:pt>
                <c:pt idx="8">
                  <c:v>1.0654632223259673E-3</c:v>
                </c:pt>
                <c:pt idx="9">
                  <c:v>1.0654632223259673E-3</c:v>
                </c:pt>
                <c:pt idx="10">
                  <c:v>1.0654632223259673E-3</c:v>
                </c:pt>
                <c:pt idx="11">
                  <c:v>1.0654632223259673E-3</c:v>
                </c:pt>
              </c:numCache>
            </c:numRef>
          </c:val>
          <c:extLst>
            <c:ext xmlns:c16="http://schemas.microsoft.com/office/drawing/2014/chart" uri="{C3380CC4-5D6E-409C-BE32-E72D297353CC}">
              <c16:uniqueId val="{00000004-72E9-426D-A5C3-9DC6E74FB49A}"/>
            </c:ext>
          </c:extLst>
        </c:ser>
        <c:ser>
          <c:idx val="5"/>
          <c:order val="5"/>
          <c:tx>
            <c:strRef>
              <c:f>FIGURES!$W$279</c:f>
              <c:strCache>
                <c:ptCount val="1"/>
                <c:pt idx="0">
                  <c:v>Opex maintenance &amp; repair</c:v>
                </c:pt>
              </c:strCache>
            </c:strRef>
          </c:tx>
          <c:spPr>
            <a:solidFill>
              <a:schemeClr val="accent6"/>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FIGURES!$W$280:$W$291</c:f>
              <c:numCache>
                <c:formatCode>General</c:formatCode>
                <c:ptCount val="12"/>
                <c:pt idx="0">
                  <c:v>4.305425874053325E-4</c:v>
                </c:pt>
                <c:pt idx="1">
                  <c:v>2.9878618113912231E-4</c:v>
                </c:pt>
                <c:pt idx="2">
                  <c:v>2.9878618113912231E-4</c:v>
                </c:pt>
                <c:pt idx="3">
                  <c:v>4.305425874053325E-4</c:v>
                </c:pt>
                <c:pt idx="4">
                  <c:v>4.305425874053325E-4</c:v>
                </c:pt>
                <c:pt idx="5">
                  <c:v>2.9878618113912231E-4</c:v>
                </c:pt>
                <c:pt idx="6">
                  <c:v>2.9878618113912231E-4</c:v>
                </c:pt>
                <c:pt idx="7">
                  <c:v>4.305425874053325E-4</c:v>
                </c:pt>
                <c:pt idx="8">
                  <c:v>2.9878618113912231E-4</c:v>
                </c:pt>
                <c:pt idx="9">
                  <c:v>2.9878618113912231E-4</c:v>
                </c:pt>
                <c:pt idx="10">
                  <c:v>4.305425874053325E-4</c:v>
                </c:pt>
                <c:pt idx="11">
                  <c:v>4.305425874053325E-4</c:v>
                </c:pt>
              </c:numCache>
            </c:numRef>
          </c:val>
          <c:extLst>
            <c:ext xmlns:c16="http://schemas.microsoft.com/office/drawing/2014/chart" uri="{C3380CC4-5D6E-409C-BE32-E72D297353CC}">
              <c16:uniqueId val="{00000005-72E9-426D-A5C3-9DC6E74FB49A}"/>
            </c:ext>
          </c:extLst>
        </c:ser>
        <c:ser>
          <c:idx val="6"/>
          <c:order val="6"/>
          <c:tx>
            <c:strRef>
              <c:f>FIGURES!$X$279</c:f>
              <c:strCache>
                <c:ptCount val="1"/>
                <c:pt idx="0">
                  <c:v>Opex var (mode-fees)</c:v>
                </c:pt>
              </c:strCache>
            </c:strRef>
          </c:tx>
          <c:spPr>
            <a:solidFill>
              <a:schemeClr val="accent1">
                <a:lumMod val="60000"/>
              </a:schemeClr>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FIGURES!$X$280:$X$291</c:f>
              <c:numCache>
                <c:formatCode>General</c:formatCode>
                <c:ptCount val="12"/>
                <c:pt idx="0">
                  <c:v>1.7869725535414797E-4</c:v>
                </c:pt>
                <c:pt idx="1">
                  <c:v>1.7869725535414797E-4</c:v>
                </c:pt>
                <c:pt idx="2">
                  <c:v>1.7869725535414797E-4</c:v>
                </c:pt>
                <c:pt idx="3">
                  <c:v>1.7869725535414797E-4</c:v>
                </c:pt>
                <c:pt idx="4">
                  <c:v>1.7869725535414797E-4</c:v>
                </c:pt>
                <c:pt idx="5">
                  <c:v>1.7869725535414797E-4</c:v>
                </c:pt>
                <c:pt idx="6">
                  <c:v>1.7869725535414797E-4</c:v>
                </c:pt>
                <c:pt idx="7">
                  <c:v>1.7869725535414797E-4</c:v>
                </c:pt>
                <c:pt idx="8">
                  <c:v>1.7869725535414797E-4</c:v>
                </c:pt>
                <c:pt idx="9">
                  <c:v>1.7869725535414797E-4</c:v>
                </c:pt>
                <c:pt idx="10">
                  <c:v>1.7869725535414797E-4</c:v>
                </c:pt>
                <c:pt idx="11">
                  <c:v>1.7869725535414797E-4</c:v>
                </c:pt>
              </c:numCache>
            </c:numRef>
          </c:val>
          <c:extLst>
            <c:ext xmlns:c16="http://schemas.microsoft.com/office/drawing/2014/chart" uri="{C3380CC4-5D6E-409C-BE32-E72D297353CC}">
              <c16:uniqueId val="{00000006-72E9-426D-A5C3-9DC6E74FB49A}"/>
            </c:ext>
          </c:extLst>
        </c:ser>
        <c:ser>
          <c:idx val="7"/>
          <c:order val="7"/>
          <c:tx>
            <c:strRef>
              <c:f>FIGURES!$Y$279</c:f>
              <c:strCache>
                <c:ptCount val="1"/>
                <c:pt idx="0">
                  <c:v>Fuel Cost</c:v>
                </c:pt>
              </c:strCache>
            </c:strRef>
          </c:tx>
          <c:spPr>
            <a:solidFill>
              <a:schemeClr val="accent2">
                <a:lumMod val="60000"/>
              </a:schemeClr>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FIGURES!$Y$280:$Y$291</c:f>
              <c:numCache>
                <c:formatCode>General</c:formatCode>
                <c:ptCount val="12"/>
                <c:pt idx="0">
                  <c:v>4.1072811176853007E-3</c:v>
                </c:pt>
                <c:pt idx="1">
                  <c:v>1.1790342951953749E-2</c:v>
                </c:pt>
                <c:pt idx="2">
                  <c:v>1.3060247322593066E-2</c:v>
                </c:pt>
                <c:pt idx="3">
                  <c:v>2.6447470892304818E-2</c:v>
                </c:pt>
                <c:pt idx="4">
                  <c:v>4.076109192868568E-3</c:v>
                </c:pt>
                <c:pt idx="5">
                  <c:v>1.1074472868176938E-2</c:v>
                </c:pt>
                <c:pt idx="6">
                  <c:v>1.2176327875562188E-2</c:v>
                </c:pt>
                <c:pt idx="7">
                  <c:v>2.4202354741507264E-2</c:v>
                </c:pt>
                <c:pt idx="8">
                  <c:v>5.4701451293849941E-3</c:v>
                </c:pt>
                <c:pt idx="9">
                  <c:v>5.6283132239921011E-3</c:v>
                </c:pt>
                <c:pt idx="10">
                  <c:v>6.5837900060073855E-3</c:v>
                </c:pt>
                <c:pt idx="11">
                  <c:v>3.8143587647444083E-3</c:v>
                </c:pt>
              </c:numCache>
            </c:numRef>
          </c:val>
          <c:extLst>
            <c:ext xmlns:c16="http://schemas.microsoft.com/office/drawing/2014/chart" uri="{C3380CC4-5D6E-409C-BE32-E72D297353CC}">
              <c16:uniqueId val="{00000007-72E9-426D-A5C3-9DC6E74FB49A}"/>
            </c:ext>
          </c:extLst>
        </c:ser>
        <c:ser>
          <c:idx val="8"/>
          <c:order val="8"/>
          <c:tx>
            <c:strRef>
              <c:f>FIGURES!$Z$279</c:f>
              <c:strCache>
                <c:ptCount val="1"/>
                <c:pt idx="0">
                  <c:v>Market failure (av. utilization)</c:v>
                </c:pt>
              </c:strCache>
            </c:strRef>
          </c:tx>
          <c:spPr>
            <a:solidFill>
              <a:schemeClr val="accent3">
                <a:lumMod val="60000"/>
              </a:schemeClr>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FIGURES!$Z$280:$Z$291</c:f>
              <c:numCache>
                <c:formatCode>General</c:formatCode>
                <c:ptCount val="12"/>
                <c:pt idx="0">
                  <c:v>1.1833655417796072E-2</c:v>
                </c:pt>
                <c:pt idx="1">
                  <c:v>2.1129720272896415E-2</c:v>
                </c:pt>
                <c:pt idx="2">
                  <c:v>2.2806772205735022E-2</c:v>
                </c:pt>
                <c:pt idx="3">
                  <c:v>3.9916854454536799E-2</c:v>
                </c:pt>
                <c:pt idx="4">
                  <c:v>1.2367126663309516E-2</c:v>
                </c:pt>
                <c:pt idx="5">
                  <c:v>2.0026772808245816E-2</c:v>
                </c:pt>
                <c:pt idx="6">
                  <c:v>2.1494645782664312E-2</c:v>
                </c:pt>
                <c:pt idx="7">
                  <c:v>3.6846422938026986E-2</c:v>
                </c:pt>
                <c:pt idx="8">
                  <c:v>1.1425955277411116E-2</c:v>
                </c:pt>
                <c:pt idx="9">
                  <c:v>1.151427946653498E-2</c:v>
                </c:pt>
                <c:pt idx="10">
                  <c:v>1.2699347573956049E-2</c:v>
                </c:pt>
                <c:pt idx="11">
                  <c:v>1.6846680868769288E-2</c:v>
                </c:pt>
              </c:numCache>
            </c:numRef>
          </c:val>
          <c:extLst>
            <c:ext xmlns:c16="http://schemas.microsoft.com/office/drawing/2014/chart" uri="{C3380CC4-5D6E-409C-BE32-E72D297353CC}">
              <c16:uniqueId val="{00000008-72E9-426D-A5C3-9DC6E74FB49A}"/>
            </c:ext>
          </c:extLst>
        </c:ser>
        <c:ser>
          <c:idx val="9"/>
          <c:order val="9"/>
          <c:tx>
            <c:strRef>
              <c:f>FIGURES!$AA$279</c:f>
              <c:strCache>
                <c:ptCount val="1"/>
                <c:pt idx="0">
                  <c:v>Payload loss (fuel)</c:v>
                </c:pt>
              </c:strCache>
            </c:strRef>
          </c:tx>
          <c:spPr>
            <a:solidFill>
              <a:schemeClr val="accent4">
                <a:lumMod val="60000"/>
              </a:schemeClr>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FIGURES!$AA$280:$AA$291</c:f>
              <c:numCache>
                <c:formatCode>General</c:formatCode>
                <c:ptCount val="12"/>
                <c:pt idx="0">
                  <c:v>0</c:v>
                </c:pt>
                <c:pt idx="1">
                  <c:v>1.3856702589881906E-3</c:v>
                </c:pt>
                <c:pt idx="2">
                  <c:v>1.9107458000384783E-3</c:v>
                </c:pt>
                <c:pt idx="3">
                  <c:v>1.2546964484978669E-3</c:v>
                </c:pt>
                <c:pt idx="4">
                  <c:v>0</c:v>
                </c:pt>
                <c:pt idx="5">
                  <c:v>1.2947163246812589E-3</c:v>
                </c:pt>
                <c:pt idx="6">
                  <c:v>1.7590940957229288E-3</c:v>
                </c:pt>
                <c:pt idx="7">
                  <c:v>1.1581843467362296E-3</c:v>
                </c:pt>
                <c:pt idx="8">
                  <c:v>7.528298969710686E-4</c:v>
                </c:pt>
                <c:pt idx="9">
                  <c:v>6.5542829345874992E-4</c:v>
                </c:pt>
                <c:pt idx="10">
                  <c:v>3.9917539888897034E-4</c:v>
                </c:pt>
                <c:pt idx="11">
                  <c:v>0</c:v>
                </c:pt>
              </c:numCache>
            </c:numRef>
          </c:val>
          <c:extLst>
            <c:ext xmlns:c16="http://schemas.microsoft.com/office/drawing/2014/chart" uri="{C3380CC4-5D6E-409C-BE32-E72D297353CC}">
              <c16:uniqueId val="{00000009-72E9-426D-A5C3-9DC6E74FB49A}"/>
            </c:ext>
          </c:extLst>
        </c:ser>
        <c:ser>
          <c:idx val="10"/>
          <c:order val="10"/>
          <c:tx>
            <c:strRef>
              <c:f>FIGURES!$AB$279</c:f>
              <c:strCache>
                <c:ptCount val="1"/>
                <c:pt idx="0">
                  <c:v>Emission Cost</c:v>
                </c:pt>
              </c:strCache>
            </c:strRef>
          </c:tx>
          <c:spPr>
            <a:solidFill>
              <a:schemeClr val="accent5">
                <a:lumMod val="60000"/>
              </a:schemeClr>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FIGURES!$AB$280:$AB$291</c:f>
              <c:numCache>
                <c:formatCode>General</c:formatCode>
                <c:ptCount val="12"/>
                <c:pt idx="0">
                  <c:v>1.8343688133195604E-3</c:v>
                </c:pt>
                <c:pt idx="1">
                  <c:v>2.6311642110997044E-4</c:v>
                </c:pt>
                <c:pt idx="2">
                  <c:v>2.5815196033431064E-4</c:v>
                </c:pt>
                <c:pt idx="3">
                  <c:v>3.3398562051778328E-4</c:v>
                </c:pt>
                <c:pt idx="4">
                  <c:v>2.2625795316212503E-3</c:v>
                </c:pt>
                <c:pt idx="5">
                  <c:v>2.3557101727914492E-4</c:v>
                </c:pt>
                <c:pt idx="6">
                  <c:v>2.3112628110406671E-4</c:v>
                </c:pt>
                <c:pt idx="7">
                  <c:v>2.9902098869419172E-4</c:v>
                </c:pt>
                <c:pt idx="8">
                  <c:v>4.1918473001819709E-6</c:v>
                </c:pt>
                <c:pt idx="9">
                  <c:v>4.2724597482624145E-6</c:v>
                </c:pt>
                <c:pt idx="10">
                  <c:v>5.4232271560286516E-6</c:v>
                </c:pt>
                <c:pt idx="11">
                  <c:v>5.8582618483787648E-3</c:v>
                </c:pt>
              </c:numCache>
            </c:numRef>
          </c:val>
          <c:extLst>
            <c:ext xmlns:c16="http://schemas.microsoft.com/office/drawing/2014/chart" uri="{C3380CC4-5D6E-409C-BE32-E72D297353CC}">
              <c16:uniqueId val="{0000000A-72E9-426D-A5C3-9DC6E74FB49A}"/>
            </c:ext>
          </c:extLst>
        </c:ser>
        <c:dLbls>
          <c:showLegendKey val="0"/>
          <c:showVal val="0"/>
          <c:showCatName val="0"/>
          <c:showSerName val="0"/>
          <c:showPercent val="0"/>
          <c:showBubbleSize val="0"/>
        </c:dLbls>
        <c:gapWidth val="150"/>
        <c:overlap val="100"/>
        <c:axId val="861627664"/>
        <c:axId val="861626680"/>
      </c:barChart>
      <c:catAx>
        <c:axId val="861627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861626680"/>
        <c:crosses val="autoZero"/>
        <c:auto val="1"/>
        <c:lblAlgn val="ctr"/>
        <c:lblOffset val="100"/>
        <c:noMultiLvlLbl val="0"/>
      </c:catAx>
      <c:valAx>
        <c:axId val="8616266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8616276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(Diesel)'!$A$11</c:f>
              <c:strCache>
                <c:ptCount val="1"/>
                <c:pt idx="0">
                  <c:v>Capex vehicle</c:v>
                </c:pt>
              </c:strCache>
            </c:strRef>
          </c:tx>
          <c:spPr>
            <a:ln w="28575" cap="rnd">
              <a:solidFill>
                <a:schemeClr val="accent1"/>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FBD5-4B1B-BB25-F959CC10D433}"/>
            </c:ext>
          </c:extLst>
        </c:ser>
        <c:ser>
          <c:idx val="13"/>
          <c:order val="1"/>
          <c:tx>
            <c:strRef>
              <c:f>'Semi-trailer truck (Diesel)'!$A$12</c:f>
              <c:strCache>
                <c:ptCount val="1"/>
                <c:pt idx="0">
                  <c:v>Residual value (vehicle)</c:v>
                </c:pt>
              </c:strCache>
            </c:strRef>
          </c:tx>
          <c:spPr>
            <a:ln w="28575" cap="rnd">
              <a:solidFill>
                <a:schemeClr val="accent2">
                  <a:lumMod val="80000"/>
                  <a:lumOff val="2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FBD5-4B1B-BB25-F959CC10D433}"/>
            </c:ext>
          </c:extLst>
        </c:ser>
        <c:ser>
          <c:idx val="1"/>
          <c:order val="2"/>
          <c:tx>
            <c:strRef>
              <c:f>'Semi-trailer truck (Diesel)'!$A$13</c:f>
              <c:strCache>
                <c:ptCount val="1"/>
                <c:pt idx="0">
                  <c:v>Capex costumization</c:v>
                </c:pt>
              </c:strCache>
            </c:strRef>
          </c:tx>
          <c:spPr>
            <a:ln w="28575" cap="rnd">
              <a:solidFill>
                <a:schemeClr val="accent2"/>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FBD5-4B1B-BB25-F959CC10D433}"/>
            </c:ext>
          </c:extLst>
        </c:ser>
        <c:ser>
          <c:idx val="14"/>
          <c:order val="3"/>
          <c:tx>
            <c:strRef>
              <c:f>'Semi-trailer truck (Diesel)'!$A$14</c:f>
              <c:strCache>
                <c:ptCount val="1"/>
                <c:pt idx="0">
                  <c:v>Residual value (costumization)</c:v>
                </c:pt>
              </c:strCache>
            </c:strRef>
          </c:tx>
          <c:spPr>
            <a:ln w="28575" cap="rnd">
              <a:solidFill>
                <a:schemeClr val="accent3">
                  <a:lumMod val="80000"/>
                  <a:lumOff val="2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FBD5-4B1B-BB25-F959CC10D433}"/>
            </c:ext>
          </c:extLst>
        </c:ser>
        <c:ser>
          <c:idx val="2"/>
          <c:order val="4"/>
          <c:tx>
            <c:strRef>
              <c:f>'Semi-trailer truck (Diesel)'!$A$15</c:f>
              <c:strCache>
                <c:ptCount val="1"/>
                <c:pt idx="0">
                  <c:v>WACC</c:v>
                </c:pt>
              </c:strCache>
            </c:strRef>
          </c:tx>
          <c:spPr>
            <a:ln w="28575" cap="rnd">
              <a:solidFill>
                <a:schemeClr val="accent3"/>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FBD5-4B1B-BB25-F959CC10D433}"/>
            </c:ext>
          </c:extLst>
        </c:ser>
        <c:ser>
          <c:idx val="3"/>
          <c:order val="5"/>
          <c:tx>
            <c:strRef>
              <c:f>'Semi-trailer truck (Diesel)'!$A$16</c:f>
              <c:strCache>
                <c:ptCount val="1"/>
                <c:pt idx="0">
                  <c:v>Opex fix (admin, crew, insurance)</c:v>
                </c:pt>
              </c:strCache>
            </c:strRef>
          </c:tx>
          <c:spPr>
            <a:ln w="28575" cap="rnd">
              <a:solidFill>
                <a:schemeClr val="accent4"/>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FBD5-4B1B-BB25-F959CC10D433}"/>
            </c:ext>
          </c:extLst>
        </c:ser>
        <c:ser>
          <c:idx val="4"/>
          <c:order val="6"/>
          <c:tx>
            <c:strRef>
              <c:f>'Semi-trailer truck (Diesel)'!$A$18</c:f>
              <c:strCache>
                <c:ptCount val="1"/>
                <c:pt idx="0">
                  <c:v>Opex var (mode-fees)</c:v>
                </c:pt>
              </c:strCache>
            </c:strRef>
          </c:tx>
          <c:spPr>
            <a:ln w="28575" cap="rnd">
              <a:solidFill>
                <a:schemeClr val="accent5"/>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FBD5-4B1B-BB25-F959CC10D433}"/>
            </c:ext>
          </c:extLst>
        </c:ser>
        <c:ser>
          <c:idx val="5"/>
          <c:order val="7"/>
          <c:tx>
            <c:strRef>
              <c:f>'Semi-trailer truck (Diesel)'!$A$19</c:f>
              <c:strCache>
                <c:ptCount val="1"/>
                <c:pt idx="0">
                  <c:v>Fuel Economy</c:v>
                </c:pt>
              </c:strCache>
            </c:strRef>
          </c:tx>
          <c:spPr>
            <a:ln w="28575" cap="rnd">
              <a:solidFill>
                <a:schemeClr val="accent6"/>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FBD5-4B1B-BB25-F959CC10D433}"/>
            </c:ext>
          </c:extLst>
        </c:ser>
        <c:ser>
          <c:idx val="6"/>
          <c:order val="8"/>
          <c:tx>
            <c:strRef>
              <c:f>'Semi-trailer truck (Diesel)'!$A$20</c:f>
              <c:strCache>
                <c:ptCount val="1"/>
                <c:pt idx="0">
                  <c:v>Fuel Cost</c:v>
                </c:pt>
              </c:strCache>
            </c:strRef>
          </c:tx>
          <c:spPr>
            <a:ln w="28575" cap="rnd">
              <a:solidFill>
                <a:schemeClr val="accent1">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FBD5-4B1B-BB25-F959CC10D433}"/>
            </c:ext>
          </c:extLst>
        </c:ser>
        <c:ser>
          <c:idx val="7"/>
          <c:order val="9"/>
          <c:tx>
            <c:strRef>
              <c:f>'Semi-trailer truck (Diesel)'!$A$22</c:f>
              <c:strCache>
                <c:ptCount val="1"/>
                <c:pt idx="0">
                  <c:v>Lifetime vehicle</c:v>
                </c:pt>
              </c:strCache>
            </c:strRef>
          </c:tx>
          <c:spPr>
            <a:ln w="28575" cap="rnd">
              <a:solidFill>
                <a:schemeClr val="accent2">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FBD5-4B1B-BB25-F959CC10D433}"/>
            </c:ext>
          </c:extLst>
        </c:ser>
        <c:ser>
          <c:idx val="8"/>
          <c:order val="10"/>
          <c:tx>
            <c:strRef>
              <c:f>'Semi-trailer truck (Diesel)'!$A$23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FBD5-4B1B-BB25-F959CC10D433}"/>
            </c:ext>
          </c:extLst>
        </c:ser>
        <c:ser>
          <c:idx val="9"/>
          <c:order val="11"/>
          <c:tx>
            <c:strRef>
              <c:f>'Semi-trailer truck (Diesel)'!$A$24</c:f>
              <c:strCache>
                <c:ptCount val="1"/>
                <c:pt idx="0">
                  <c:v>Tonnage .</c:v>
                </c:pt>
              </c:strCache>
            </c:strRef>
          </c:tx>
          <c:spPr>
            <a:ln w="28575" cap="rnd">
              <a:solidFill>
                <a:schemeClr val="accent4">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FBD5-4B1B-BB25-F959CC10D433}"/>
            </c:ext>
          </c:extLst>
        </c:ser>
        <c:ser>
          <c:idx val="10"/>
          <c:order val="12"/>
          <c:tx>
            <c:strRef>
              <c:f>'Semi-trailer truck (Diesel)'!$A$25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FBD5-4B1B-BB25-F959CC10D433}"/>
            </c:ext>
          </c:extLst>
        </c:ser>
        <c:ser>
          <c:idx val="11"/>
          <c:order val="13"/>
          <c:tx>
            <c:strRef>
              <c:f>'Semi-trailer truck (Diesel)'!$A$27</c:f>
              <c:strCache>
                <c:ptCount val="1"/>
                <c:pt idx="0">
                  <c:v>Annual Mileage</c:v>
                </c:pt>
              </c:strCache>
            </c:strRef>
          </c:tx>
          <c:spPr>
            <a:ln w="28575" cap="rnd">
              <a:solidFill>
                <a:schemeClr val="accent6">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FBD5-4B1B-BB25-F959CC10D433}"/>
            </c:ext>
          </c:extLst>
        </c:ser>
        <c:ser>
          <c:idx val="12"/>
          <c:order val="14"/>
          <c:tx>
            <c:strRef>
              <c:f>'Semi-trailer truck (Diesel)'!$A$17</c:f>
              <c:strCache>
                <c:ptCount val="1"/>
                <c:pt idx="0">
                  <c:v>Opex maintenance &amp; repair</c:v>
                </c:pt>
              </c:strCache>
            </c:strRef>
          </c:tx>
          <c:spPr>
            <a:ln w="28575" cap="rnd">
              <a:solidFill>
                <a:schemeClr val="accent1">
                  <a:lumMod val="80000"/>
                  <a:lumOff val="2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FBD5-4B1B-BB25-F959CC10D433}"/>
            </c:ext>
          </c:extLst>
        </c:ser>
        <c:ser>
          <c:idx val="15"/>
          <c:order val="15"/>
          <c:tx>
            <c:strRef>
              <c:f>'Semi-trailer truck (Diesel)'!$A$21</c:f>
              <c:strCache>
                <c:ptCount val="1"/>
                <c:pt idx="0">
                  <c:v>Emission Cost</c:v>
                </c:pt>
              </c:strCache>
            </c:strRef>
          </c:tx>
          <c:spPr>
            <a:ln w="28575" cap="rnd">
              <a:solidFill>
                <a:schemeClr val="accent4">
                  <a:lumMod val="80000"/>
                  <a:lumOff val="2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(Diesel)'!$Q$21:$AR$21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403A-4DC0-B3E7-945A97009BCD}"/>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929147215628378"/>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(Diesel)'!$A$74</c:f>
              <c:strCache>
                <c:ptCount val="1"/>
                <c:pt idx="0">
                  <c:v>Capex vehicle</c:v>
                </c:pt>
              </c:strCache>
            </c:strRef>
          </c:tx>
          <c:spPr>
            <a:solidFill>
              <a:schemeClr val="accent1"/>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(Diesel)'!$B$74,'Semi-trailer truck (Diesel)'!$N$74,'Semi-trailer truck (Diesel)'!$AC$74)</c:f>
              <c:numCache>
                <c:formatCode>0.00</c:formatCode>
                <c:ptCount val="3"/>
                <c:pt idx="0">
                  <c:v>1.2312752120811793E-2</c:v>
                </c:pt>
                <c:pt idx="1">
                  <c:v>1.2924904892565417E-2</c:v>
                </c:pt>
                <c:pt idx="2">
                  <c:v>1.3465854058382996E-2</c:v>
                </c:pt>
              </c:numCache>
            </c:numRef>
          </c:val>
          <c:extLst>
            <c:ext xmlns:c16="http://schemas.microsoft.com/office/drawing/2014/chart" uri="{C3380CC4-5D6E-409C-BE32-E72D297353CC}">
              <c16:uniqueId val="{00000000-143F-43DA-955C-DA2F9840CFC1}"/>
            </c:ext>
          </c:extLst>
        </c:ser>
        <c:ser>
          <c:idx val="1"/>
          <c:order val="1"/>
          <c:tx>
            <c:strRef>
              <c:f>'Semi-trailer truck (Diesel)'!$A$75</c:f>
              <c:strCache>
                <c:ptCount val="1"/>
                <c:pt idx="0">
                  <c:v>Residual value (vehicle)</c:v>
                </c:pt>
              </c:strCache>
            </c:strRef>
          </c:tx>
          <c:spPr>
            <a:solidFill>
              <a:schemeClr val="accent2"/>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(Diesel)'!$B$75,'Semi-trailer truck (Diesel)'!$N$75,'Semi-trailer truck (Diesel)'!$AC$75)</c:f>
              <c:numCache>
                <c:formatCode>0.000</c:formatCode>
                <c:ptCount val="3"/>
                <c:pt idx="0">
                  <c:v>-3.0604067820050769E-3</c:v>
                </c:pt>
                <c:pt idx="1">
                  <c:v>-2.5094692874268148E-3</c:v>
                </c:pt>
                <c:pt idx="2">
                  <c:v>-2.0226150381909905E-3</c:v>
                </c:pt>
              </c:numCache>
            </c:numRef>
          </c:val>
          <c:extLst>
            <c:ext xmlns:c16="http://schemas.microsoft.com/office/drawing/2014/chart" uri="{C3380CC4-5D6E-409C-BE32-E72D297353CC}">
              <c16:uniqueId val="{00000001-143F-43DA-955C-DA2F9840CFC1}"/>
            </c:ext>
          </c:extLst>
        </c:ser>
        <c:ser>
          <c:idx val="2"/>
          <c:order val="2"/>
          <c:tx>
            <c:strRef>
              <c:f>'Semi-trailer truck (Diesel)'!$A$76</c:f>
              <c:strCache>
                <c:ptCount val="1"/>
                <c:pt idx="0">
                  <c:v>Capex costumization</c:v>
                </c:pt>
              </c:strCache>
            </c:strRef>
          </c:tx>
          <c:spPr>
            <a:solidFill>
              <a:schemeClr val="accent3"/>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(Diesel)'!$B$76,'Semi-trailer truck (Diesel)'!$N$76,'Semi-trailer truck (Diesel)'!$AC$76)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143F-43DA-955C-DA2F9840CFC1}"/>
            </c:ext>
          </c:extLst>
        </c:ser>
        <c:ser>
          <c:idx val="3"/>
          <c:order val="3"/>
          <c:tx>
            <c:strRef>
              <c:f>'Semi-trailer truck (Diesel)'!$A$77</c:f>
              <c:strCache>
                <c:ptCount val="1"/>
                <c:pt idx="0">
                  <c:v>Residual value (costumization)</c:v>
                </c:pt>
              </c:strCache>
            </c:strRef>
          </c:tx>
          <c:spPr>
            <a:solidFill>
              <a:schemeClr val="accent4"/>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(Diesel)'!$B$77,'Semi-trailer truck (Diesel)'!$N$77,'Semi-trailer truck (Diesel)'!$AC$77)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143F-43DA-955C-DA2F9840CFC1}"/>
            </c:ext>
          </c:extLst>
        </c:ser>
        <c:ser>
          <c:idx val="4"/>
          <c:order val="4"/>
          <c:tx>
            <c:strRef>
              <c:f>'Semi-trailer truck (Diesel)'!$A$78</c:f>
              <c:strCache>
                <c:ptCount val="1"/>
                <c:pt idx="0">
                  <c:v>Opex fix (admin, crew, insurance)</c:v>
                </c:pt>
              </c:strCache>
            </c:strRef>
          </c:tx>
          <c:spPr>
            <a:solidFill>
              <a:schemeClr val="accent5"/>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(Diesel)'!$B$78,'Semi-trailer truck (Diesel)'!$N$78,'Semi-trailer truck (Diesel)'!$AC$78)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143F-43DA-955C-DA2F9840CFC1}"/>
            </c:ext>
          </c:extLst>
        </c:ser>
        <c:ser>
          <c:idx val="5"/>
          <c:order val="5"/>
          <c:tx>
            <c:strRef>
              <c:f>'Semi-trailer truck (Diesel)'!$A$79</c:f>
              <c:strCache>
                <c:ptCount val="1"/>
                <c:pt idx="0">
                  <c:v>Opex maintenance &amp; repair</c:v>
                </c:pt>
              </c:strCache>
            </c:strRef>
          </c:tx>
          <c:spPr>
            <a:solidFill>
              <a:schemeClr val="accent6"/>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(Diesel)'!$B$79,'Semi-trailer truck (Diesel)'!$N$79,'Semi-trailer truck (Diesel)'!$AC$79)</c:f>
              <c:numCache>
                <c:formatCode>0.00</c:formatCode>
                <c:ptCount val="3"/>
                <c:pt idx="0">
                  <c:v>1.4545454545454545E-2</c:v>
                </c:pt>
                <c:pt idx="1">
                  <c:v>1.4545454545454545E-2</c:v>
                </c:pt>
                <c:pt idx="2">
                  <c:v>1.4545454545454545E-2</c:v>
                </c:pt>
              </c:numCache>
            </c:numRef>
          </c:val>
          <c:extLst>
            <c:ext xmlns:c16="http://schemas.microsoft.com/office/drawing/2014/chart" uri="{C3380CC4-5D6E-409C-BE32-E72D297353CC}">
              <c16:uniqueId val="{00000005-143F-43DA-955C-DA2F9840CFC1}"/>
            </c:ext>
          </c:extLst>
        </c:ser>
        <c:ser>
          <c:idx val="6"/>
          <c:order val="6"/>
          <c:tx>
            <c:strRef>
              <c:f>'Semi-trailer truck (Diesel)'!$A$80</c:f>
              <c:strCache>
                <c:ptCount val="1"/>
                <c:pt idx="0">
                  <c:v>Opex var (mode-fees)</c:v>
                </c:pt>
              </c:strCache>
            </c:strRef>
          </c:tx>
          <c:spPr>
            <a:solidFill>
              <a:schemeClr val="accent1">
                <a:lumMod val="60000"/>
              </a:schemeClr>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(Diesel)'!$B$80,'Semi-trailer truck (Diesel)'!$N$80,'Semi-trailer truck (Diesel)'!$AC$80)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143F-43DA-955C-DA2F9840CFC1}"/>
            </c:ext>
          </c:extLst>
        </c:ser>
        <c:ser>
          <c:idx val="7"/>
          <c:order val="7"/>
          <c:tx>
            <c:strRef>
              <c:f>'Semi-trailer truck (Diesel)'!$A$81</c:f>
              <c:strCache>
                <c:ptCount val="1"/>
                <c:pt idx="0">
                  <c:v>Fuel Cost</c:v>
                </c:pt>
              </c:strCache>
            </c:strRef>
          </c:tx>
          <c:spPr>
            <a:solidFill>
              <a:schemeClr val="accent2">
                <a:lumMod val="60000"/>
              </a:schemeClr>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(Diesel)'!$B$81,'Semi-trailer truck (Diesel)'!$N$81,'Semi-trailer truck (Diesel)'!$AC$81)</c:f>
              <c:numCache>
                <c:formatCode>0.00</c:formatCode>
                <c:ptCount val="3"/>
                <c:pt idx="0">
                  <c:v>1.1573595723149675E-2</c:v>
                </c:pt>
                <c:pt idx="1">
                  <c:v>1.0528226537463705E-2</c:v>
                </c:pt>
                <c:pt idx="2">
                  <c:v>9.604451272429336E-3</c:v>
                </c:pt>
              </c:numCache>
            </c:numRef>
          </c:val>
          <c:extLst>
            <c:ext xmlns:c16="http://schemas.microsoft.com/office/drawing/2014/chart" uri="{C3380CC4-5D6E-409C-BE32-E72D297353CC}">
              <c16:uniqueId val="{00000007-143F-43DA-955C-DA2F9840CFC1}"/>
            </c:ext>
          </c:extLst>
        </c:ser>
        <c:ser>
          <c:idx val="8"/>
          <c:order val="8"/>
          <c:tx>
            <c:strRef>
              <c:f>'Semi-trailer truck (Diesel)'!$A$82</c:f>
              <c:strCache>
                <c:ptCount val="1"/>
                <c:pt idx="0">
                  <c:v>Market failure (av. utilization)</c:v>
                </c:pt>
              </c:strCache>
            </c:strRef>
          </c:tx>
          <c:spPr>
            <a:solidFill>
              <a:schemeClr val="accent3">
                <a:lumMod val="60000"/>
              </a:schemeClr>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(Diesel)'!$B$82,'Semi-trailer truck (Diesel)'!$N$82,'Semi-trailer truck (Diesel)'!$AC$82)</c:f>
              <c:numCache>
                <c:formatCode>0.00</c:formatCode>
                <c:ptCount val="3"/>
                <c:pt idx="0">
                  <c:v>7.7570982070867392E-2</c:v>
                </c:pt>
                <c:pt idx="1">
                  <c:v>7.8332908044272453E-2</c:v>
                </c:pt>
                <c:pt idx="2">
                  <c:v>8.2268977733658016E-2</c:v>
                </c:pt>
              </c:numCache>
            </c:numRef>
          </c:val>
          <c:extLst>
            <c:ext xmlns:c16="http://schemas.microsoft.com/office/drawing/2014/chart" uri="{C3380CC4-5D6E-409C-BE32-E72D297353CC}">
              <c16:uniqueId val="{00000008-143F-43DA-955C-DA2F9840CFC1}"/>
            </c:ext>
          </c:extLst>
        </c:ser>
        <c:ser>
          <c:idx val="9"/>
          <c:order val="9"/>
          <c:tx>
            <c:strRef>
              <c:f>'Semi-trailer truck (Diesel)'!$A$83</c:f>
              <c:strCache>
                <c:ptCount val="1"/>
                <c:pt idx="0">
                  <c:v>Payload loss (fuel)</c:v>
                </c:pt>
              </c:strCache>
            </c:strRef>
          </c:tx>
          <c:spPr>
            <a:solidFill>
              <a:schemeClr val="accent4">
                <a:lumMod val="60000"/>
              </a:schemeClr>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(Diesel)'!$B$83,'Semi-trailer truck (Diesel)'!$N$83,'Semi-trailer truck (Diesel)'!$AC$83)</c:f>
              <c:numCache>
                <c:formatCode>0.00</c:formatCode>
                <c:ptCount val="3"/>
                <c:pt idx="0">
                  <c:v>0</c:v>
                </c:pt>
                <c:pt idx="1">
                  <c:v>0</c:v>
                </c:pt>
                <c:pt idx="2">
                  <c:v>0</c:v>
                </c:pt>
              </c:numCache>
            </c:numRef>
          </c:val>
          <c:extLst>
            <c:ext xmlns:c16="http://schemas.microsoft.com/office/drawing/2014/chart" uri="{C3380CC4-5D6E-409C-BE32-E72D297353CC}">
              <c16:uniqueId val="{00000009-143F-43DA-955C-DA2F9840CFC1}"/>
            </c:ext>
          </c:extLst>
        </c:ser>
        <c:ser>
          <c:idx val="10"/>
          <c:order val="10"/>
          <c:tx>
            <c:strRef>
              <c:f>'Semi-trailer truck (Diesel)'!$A$84</c:f>
              <c:strCache>
                <c:ptCount val="1"/>
                <c:pt idx="0">
                  <c:v>Emission Cost</c:v>
                </c:pt>
              </c:strCache>
            </c:strRef>
          </c:tx>
          <c:spPr>
            <a:solidFill>
              <a:schemeClr val="accent5">
                <a:lumMod val="60000"/>
              </a:schemeClr>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(Diesel)'!$B$84,'Semi-trailer truck (Diesel)'!$N$84,'Semi-trailer truck (Diesel)'!$AC$84)</c:f>
              <c:numCache>
                <c:formatCode>0.000</c:formatCode>
                <c:ptCount val="3"/>
                <c:pt idx="0">
                  <c:v>3.105564911133563E-3</c:v>
                </c:pt>
                <c:pt idx="1">
                  <c:v>3.9575677966395585E-3</c:v>
                </c:pt>
                <c:pt idx="2">
                  <c:v>8.8630828876566804E-3</c:v>
                </c:pt>
              </c:numCache>
            </c:numRef>
          </c:val>
          <c:extLst>
            <c:ext xmlns:c16="http://schemas.microsoft.com/office/drawing/2014/chart" uri="{C3380CC4-5D6E-409C-BE32-E72D297353CC}">
              <c16:uniqueId val="{00000000-28D0-40BB-A665-E63B6DD1CE6B}"/>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(Diesel)'!$A$11</c:f>
              <c:strCache>
                <c:ptCount val="1"/>
                <c:pt idx="0">
                  <c:v>Capex vehicle</c:v>
                </c:pt>
              </c:strCache>
            </c:strRef>
          </c:tx>
          <c:spPr>
            <a:ln w="28575" cap="rnd">
              <a:solidFill>
                <a:schemeClr val="accent1"/>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2B0C-4B41-AB21-91D4E524BC5D}"/>
            </c:ext>
          </c:extLst>
        </c:ser>
        <c:ser>
          <c:idx val="13"/>
          <c:order val="1"/>
          <c:tx>
            <c:strRef>
              <c:f>'Semi-trailer truck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2B0C-4B41-AB21-91D4E524BC5D}"/>
            </c:ext>
          </c:extLst>
        </c:ser>
        <c:ser>
          <c:idx val="1"/>
          <c:order val="2"/>
          <c:tx>
            <c:strRef>
              <c:f>'Semi-trailer truck (Diesel)'!$A$13</c:f>
              <c:strCache>
                <c:ptCount val="1"/>
                <c:pt idx="0">
                  <c:v>Capex costumization</c:v>
                </c:pt>
              </c:strCache>
            </c:strRef>
          </c:tx>
          <c:spPr>
            <a:ln w="28575" cap="rnd">
              <a:solidFill>
                <a:schemeClr val="accent2"/>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B0C-4B41-AB21-91D4E524BC5D}"/>
            </c:ext>
          </c:extLst>
        </c:ser>
        <c:ser>
          <c:idx val="14"/>
          <c:order val="3"/>
          <c:tx>
            <c:strRef>
              <c:f>'Semi-trailer truck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B0C-4B41-AB21-91D4E524BC5D}"/>
            </c:ext>
          </c:extLst>
        </c:ser>
        <c:ser>
          <c:idx val="2"/>
          <c:order val="4"/>
          <c:tx>
            <c:strRef>
              <c:f>'Semi-trailer truck (Diesel)'!$A$15</c:f>
              <c:strCache>
                <c:ptCount val="1"/>
                <c:pt idx="0">
                  <c:v>WACC</c:v>
                </c:pt>
              </c:strCache>
            </c:strRef>
          </c:tx>
          <c:spPr>
            <a:ln w="28575" cap="rnd">
              <a:solidFill>
                <a:schemeClr val="accent3"/>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B0C-4B41-AB21-91D4E524BC5D}"/>
            </c:ext>
          </c:extLst>
        </c:ser>
        <c:ser>
          <c:idx val="3"/>
          <c:order val="5"/>
          <c:tx>
            <c:strRef>
              <c:f>'Semi-trailer truck (Diesel)'!$A$16</c:f>
              <c:strCache>
                <c:ptCount val="1"/>
                <c:pt idx="0">
                  <c:v>Opex fix (admin, crew, insurance)</c:v>
                </c:pt>
              </c:strCache>
            </c:strRef>
          </c:tx>
          <c:spPr>
            <a:ln w="28575" cap="rnd">
              <a:solidFill>
                <a:schemeClr val="accent4"/>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B0C-4B41-AB21-91D4E524BC5D}"/>
            </c:ext>
          </c:extLst>
        </c:ser>
        <c:ser>
          <c:idx val="4"/>
          <c:order val="6"/>
          <c:tx>
            <c:strRef>
              <c:f>'Semi-trailer truck (Diesel)'!$A$18</c:f>
              <c:strCache>
                <c:ptCount val="1"/>
                <c:pt idx="0">
                  <c:v>Opex var (mode-fees)</c:v>
                </c:pt>
              </c:strCache>
            </c:strRef>
          </c:tx>
          <c:spPr>
            <a:ln w="28575" cap="rnd">
              <a:solidFill>
                <a:schemeClr val="accent5"/>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B0C-4B41-AB21-91D4E524BC5D}"/>
            </c:ext>
          </c:extLst>
        </c:ser>
        <c:ser>
          <c:idx val="5"/>
          <c:order val="7"/>
          <c:tx>
            <c:strRef>
              <c:f>'Semi-trailer truck (Diesel)'!$A$19</c:f>
              <c:strCache>
                <c:ptCount val="1"/>
                <c:pt idx="0">
                  <c:v>Fuel Economy</c:v>
                </c:pt>
              </c:strCache>
            </c:strRef>
          </c:tx>
          <c:spPr>
            <a:ln w="28575" cap="rnd">
              <a:solidFill>
                <a:schemeClr val="accent6"/>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2B0C-4B41-AB21-91D4E524BC5D}"/>
            </c:ext>
          </c:extLst>
        </c:ser>
        <c:ser>
          <c:idx val="6"/>
          <c:order val="8"/>
          <c:tx>
            <c:strRef>
              <c:f>'Semi-trailer truck (Diesel)'!$A$20</c:f>
              <c:strCache>
                <c:ptCount val="1"/>
                <c:pt idx="0">
                  <c:v>Fuel Cost</c:v>
                </c:pt>
              </c:strCache>
            </c:strRef>
          </c:tx>
          <c:spPr>
            <a:ln w="28575" cap="rnd">
              <a:solidFill>
                <a:schemeClr val="accent1">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B0C-4B41-AB21-91D4E524BC5D}"/>
            </c:ext>
          </c:extLst>
        </c:ser>
        <c:ser>
          <c:idx val="7"/>
          <c:order val="9"/>
          <c:tx>
            <c:strRef>
              <c:f>'Semi-trailer truck (Diesel)'!$A$22</c:f>
              <c:strCache>
                <c:ptCount val="1"/>
                <c:pt idx="0">
                  <c:v>Lifetime vehicle</c:v>
                </c:pt>
              </c:strCache>
            </c:strRef>
          </c:tx>
          <c:spPr>
            <a:ln w="28575" cap="rnd">
              <a:solidFill>
                <a:schemeClr val="accent2">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2B0C-4B41-AB21-91D4E524BC5D}"/>
            </c:ext>
          </c:extLst>
        </c:ser>
        <c:ser>
          <c:idx val="8"/>
          <c:order val="10"/>
          <c:tx>
            <c:strRef>
              <c:f>'Semi-trailer truck (Diesel)'!$A$23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B0C-4B41-AB21-91D4E524BC5D}"/>
            </c:ext>
          </c:extLst>
        </c:ser>
        <c:ser>
          <c:idx val="9"/>
          <c:order val="11"/>
          <c:tx>
            <c:strRef>
              <c:f>'Semi-trailer truck (Diesel)'!$A$24</c:f>
              <c:strCache>
                <c:ptCount val="1"/>
                <c:pt idx="0">
                  <c:v>Tonnage .</c:v>
                </c:pt>
              </c:strCache>
            </c:strRef>
          </c:tx>
          <c:spPr>
            <a:ln w="28575" cap="rnd">
              <a:solidFill>
                <a:schemeClr val="accent4">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B0C-4B41-AB21-91D4E524BC5D}"/>
            </c:ext>
          </c:extLst>
        </c:ser>
        <c:ser>
          <c:idx val="10"/>
          <c:order val="12"/>
          <c:tx>
            <c:strRef>
              <c:f>'Semi-trailer truck (Diesel)'!$A$25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B0C-4B41-AB21-91D4E524BC5D}"/>
            </c:ext>
          </c:extLst>
        </c:ser>
        <c:ser>
          <c:idx val="11"/>
          <c:order val="13"/>
          <c:tx>
            <c:strRef>
              <c:f>'Semi-trailer truck (Diesel)'!$A$27</c:f>
              <c:strCache>
                <c:ptCount val="1"/>
                <c:pt idx="0">
                  <c:v>Annual Mileage</c:v>
                </c:pt>
              </c:strCache>
            </c:strRef>
          </c:tx>
          <c:spPr>
            <a:ln w="28575" cap="rnd">
              <a:solidFill>
                <a:schemeClr val="accent6">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B0C-4B41-AB21-91D4E524BC5D}"/>
            </c:ext>
          </c:extLst>
        </c:ser>
        <c:ser>
          <c:idx val="12"/>
          <c:order val="14"/>
          <c:tx>
            <c:strRef>
              <c:f>'Semi-trailer truck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2B0C-4B41-AB21-91D4E524BC5D}"/>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(Diesel)'!$A$74</c:f>
              <c:strCache>
                <c:ptCount val="1"/>
                <c:pt idx="0">
                  <c:v>Capex vehicle</c:v>
                </c:pt>
              </c:strCache>
            </c:strRef>
          </c:tx>
          <c:spPr>
            <a:solidFill>
              <a:schemeClr val="accent1"/>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(Diesel)'!$B$74,'Semi-trailer truck (Diesel)'!$N$74,'Semi-trailer truck (Diesel)'!$AC$74)</c:f>
              <c:numCache>
                <c:formatCode>0.00</c:formatCode>
                <c:ptCount val="3"/>
                <c:pt idx="0">
                  <c:v>1.2312752120811793E-2</c:v>
                </c:pt>
                <c:pt idx="1">
                  <c:v>1.2924904892565417E-2</c:v>
                </c:pt>
                <c:pt idx="2">
                  <c:v>1.3465854058382996E-2</c:v>
                </c:pt>
              </c:numCache>
            </c:numRef>
          </c:val>
          <c:extLst>
            <c:ext xmlns:c16="http://schemas.microsoft.com/office/drawing/2014/chart" uri="{C3380CC4-5D6E-409C-BE32-E72D297353CC}">
              <c16:uniqueId val="{00000000-E9D3-427A-B00C-AE949F2D773B}"/>
            </c:ext>
          </c:extLst>
        </c:ser>
        <c:ser>
          <c:idx val="1"/>
          <c:order val="1"/>
          <c:tx>
            <c:strRef>
              <c:f>'Semi-trailer truck (Diesel)'!$A$75</c:f>
              <c:strCache>
                <c:ptCount val="1"/>
                <c:pt idx="0">
                  <c:v>Residual value (vehicle)</c:v>
                </c:pt>
              </c:strCache>
            </c:strRef>
          </c:tx>
          <c:spPr>
            <a:solidFill>
              <a:schemeClr val="accent2"/>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(Diesel)'!$B$75,'Semi-trailer truck (Diesel)'!$N$75,'Semi-trailer truck (Diesel)'!$AC$75)</c:f>
              <c:numCache>
                <c:formatCode>0.000</c:formatCode>
                <c:ptCount val="3"/>
                <c:pt idx="0">
                  <c:v>-3.0604067820050769E-3</c:v>
                </c:pt>
                <c:pt idx="1">
                  <c:v>-2.5094692874268148E-3</c:v>
                </c:pt>
                <c:pt idx="2">
                  <c:v>-2.0226150381909905E-3</c:v>
                </c:pt>
              </c:numCache>
            </c:numRef>
          </c:val>
          <c:extLst>
            <c:ext xmlns:c16="http://schemas.microsoft.com/office/drawing/2014/chart" uri="{C3380CC4-5D6E-409C-BE32-E72D297353CC}">
              <c16:uniqueId val="{00000001-E9D3-427A-B00C-AE949F2D773B}"/>
            </c:ext>
          </c:extLst>
        </c:ser>
        <c:ser>
          <c:idx val="2"/>
          <c:order val="2"/>
          <c:tx>
            <c:strRef>
              <c:f>'Semi-trailer truck (Diesel)'!$A$76</c:f>
              <c:strCache>
                <c:ptCount val="1"/>
                <c:pt idx="0">
                  <c:v>Capex costumization</c:v>
                </c:pt>
              </c:strCache>
            </c:strRef>
          </c:tx>
          <c:spPr>
            <a:solidFill>
              <a:schemeClr val="accent3"/>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(Diesel)'!$B$76,'Semi-trailer truck (Diesel)'!$N$76,'Semi-trailer truck (Diesel)'!$AC$76)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E9D3-427A-B00C-AE949F2D773B}"/>
            </c:ext>
          </c:extLst>
        </c:ser>
        <c:ser>
          <c:idx val="3"/>
          <c:order val="3"/>
          <c:tx>
            <c:strRef>
              <c:f>'Semi-trailer truck (Diesel)'!$A$77</c:f>
              <c:strCache>
                <c:ptCount val="1"/>
                <c:pt idx="0">
                  <c:v>Residual value (costumization)</c:v>
                </c:pt>
              </c:strCache>
            </c:strRef>
          </c:tx>
          <c:spPr>
            <a:solidFill>
              <a:schemeClr val="accent4"/>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(Diesel)'!$B$77,'Semi-trailer truck (Diesel)'!$N$77,'Semi-trailer truck (Diesel)'!$AC$77)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E9D3-427A-B00C-AE949F2D773B}"/>
            </c:ext>
          </c:extLst>
        </c:ser>
        <c:ser>
          <c:idx val="4"/>
          <c:order val="4"/>
          <c:tx>
            <c:strRef>
              <c:f>'Semi-trailer truck (Diesel)'!$A$78</c:f>
              <c:strCache>
                <c:ptCount val="1"/>
                <c:pt idx="0">
                  <c:v>Opex fix (admin, crew, insurance)</c:v>
                </c:pt>
              </c:strCache>
            </c:strRef>
          </c:tx>
          <c:spPr>
            <a:solidFill>
              <a:schemeClr val="accent5"/>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(Diesel)'!$B$78,'Semi-trailer truck (Diesel)'!$N$78,'Semi-trailer truck (Diesel)'!$AC$78)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E9D3-427A-B00C-AE949F2D773B}"/>
            </c:ext>
          </c:extLst>
        </c:ser>
        <c:ser>
          <c:idx val="5"/>
          <c:order val="5"/>
          <c:tx>
            <c:strRef>
              <c:f>'Semi-trailer truck (Diesel)'!$A$79</c:f>
              <c:strCache>
                <c:ptCount val="1"/>
                <c:pt idx="0">
                  <c:v>Opex maintenance &amp; repair</c:v>
                </c:pt>
              </c:strCache>
            </c:strRef>
          </c:tx>
          <c:spPr>
            <a:solidFill>
              <a:schemeClr val="accent6"/>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(Diesel)'!$B$79,'Semi-trailer truck (Diesel)'!$N$79,'Semi-trailer truck (Diesel)'!$AC$79)</c:f>
              <c:numCache>
                <c:formatCode>0.00</c:formatCode>
                <c:ptCount val="3"/>
                <c:pt idx="0">
                  <c:v>1.4545454545454545E-2</c:v>
                </c:pt>
                <c:pt idx="1">
                  <c:v>1.4545454545454545E-2</c:v>
                </c:pt>
                <c:pt idx="2">
                  <c:v>1.4545454545454545E-2</c:v>
                </c:pt>
              </c:numCache>
            </c:numRef>
          </c:val>
          <c:extLst>
            <c:ext xmlns:c16="http://schemas.microsoft.com/office/drawing/2014/chart" uri="{C3380CC4-5D6E-409C-BE32-E72D297353CC}">
              <c16:uniqueId val="{00000005-E9D3-427A-B00C-AE949F2D773B}"/>
            </c:ext>
          </c:extLst>
        </c:ser>
        <c:ser>
          <c:idx val="6"/>
          <c:order val="6"/>
          <c:tx>
            <c:strRef>
              <c:f>'Semi-trailer truck (Diesel)'!$A$80</c:f>
              <c:strCache>
                <c:ptCount val="1"/>
                <c:pt idx="0">
                  <c:v>Opex var (mode-fees)</c:v>
                </c:pt>
              </c:strCache>
            </c:strRef>
          </c:tx>
          <c:spPr>
            <a:solidFill>
              <a:schemeClr val="accent1">
                <a:lumMod val="60000"/>
              </a:schemeClr>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(Diesel)'!$B$80,'Semi-trailer truck (Diesel)'!$N$80,'Semi-trailer truck (Diesel)'!$AC$80)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E9D3-427A-B00C-AE949F2D773B}"/>
            </c:ext>
          </c:extLst>
        </c:ser>
        <c:ser>
          <c:idx val="7"/>
          <c:order val="7"/>
          <c:tx>
            <c:strRef>
              <c:f>'Semi-trailer truck (Diesel)'!$A$81</c:f>
              <c:strCache>
                <c:ptCount val="1"/>
                <c:pt idx="0">
                  <c:v>Fuel Cost</c:v>
                </c:pt>
              </c:strCache>
            </c:strRef>
          </c:tx>
          <c:spPr>
            <a:solidFill>
              <a:schemeClr val="accent2">
                <a:lumMod val="60000"/>
              </a:schemeClr>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(Diesel)'!$B$81,'Semi-trailer truck (Diesel)'!$N$81,'Semi-trailer truck (Diesel)'!$AC$81)</c:f>
              <c:numCache>
                <c:formatCode>0.00</c:formatCode>
                <c:ptCount val="3"/>
                <c:pt idx="0">
                  <c:v>1.1573595723149675E-2</c:v>
                </c:pt>
                <c:pt idx="1">
                  <c:v>1.0528226537463705E-2</c:v>
                </c:pt>
                <c:pt idx="2">
                  <c:v>9.604451272429336E-3</c:v>
                </c:pt>
              </c:numCache>
            </c:numRef>
          </c:val>
          <c:extLst>
            <c:ext xmlns:c16="http://schemas.microsoft.com/office/drawing/2014/chart" uri="{C3380CC4-5D6E-409C-BE32-E72D297353CC}">
              <c16:uniqueId val="{00000007-E9D3-427A-B00C-AE949F2D773B}"/>
            </c:ext>
          </c:extLst>
        </c:ser>
        <c:ser>
          <c:idx val="8"/>
          <c:order val="8"/>
          <c:tx>
            <c:strRef>
              <c:f>'Semi-trailer truck (Diesel)'!$A$82</c:f>
              <c:strCache>
                <c:ptCount val="1"/>
                <c:pt idx="0">
                  <c:v>Market failure (av. utilization)</c:v>
                </c:pt>
              </c:strCache>
            </c:strRef>
          </c:tx>
          <c:spPr>
            <a:solidFill>
              <a:schemeClr val="accent3">
                <a:lumMod val="60000"/>
              </a:schemeClr>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(Diesel)'!$B$82,'Semi-trailer truck (Diesel)'!$N$82,'Semi-trailer truck (Diesel)'!$AC$82)</c:f>
              <c:numCache>
                <c:formatCode>0.00</c:formatCode>
                <c:ptCount val="3"/>
                <c:pt idx="0">
                  <c:v>7.7570982070867392E-2</c:v>
                </c:pt>
                <c:pt idx="1">
                  <c:v>7.8332908044272453E-2</c:v>
                </c:pt>
                <c:pt idx="2">
                  <c:v>8.2268977733658016E-2</c:v>
                </c:pt>
              </c:numCache>
            </c:numRef>
          </c:val>
          <c:extLst>
            <c:ext xmlns:c16="http://schemas.microsoft.com/office/drawing/2014/chart" uri="{C3380CC4-5D6E-409C-BE32-E72D297353CC}">
              <c16:uniqueId val="{00000008-E9D3-427A-B00C-AE949F2D773B}"/>
            </c:ext>
          </c:extLst>
        </c:ser>
        <c:ser>
          <c:idx val="9"/>
          <c:order val="9"/>
          <c:tx>
            <c:strRef>
              <c:f>'Semi-trailer truck (Diesel)'!$A$189</c:f>
              <c:strCache>
                <c:ptCount val="1"/>
                <c:pt idx="0">
                  <c:v>Payload loss (fuel)</c:v>
                </c:pt>
              </c:strCache>
            </c:strRef>
          </c:tx>
          <c:spPr>
            <a:solidFill>
              <a:schemeClr val="accent4">
                <a:lumMod val="60000"/>
              </a:schemeClr>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(Diesel)'!$B$189,'Semi-trailer truck (Diesel)'!$N$189,'Semi-trailer truck (Diesel)'!$AC$189)</c:f>
              <c:numCache>
                <c:formatCode>0.00</c:formatCode>
                <c:ptCount val="3"/>
                <c:pt idx="0">
                  <c:v>0</c:v>
                </c:pt>
                <c:pt idx="1">
                  <c:v>0</c:v>
                </c:pt>
                <c:pt idx="2">
                  <c:v>0</c:v>
                </c:pt>
              </c:numCache>
            </c:numRef>
          </c:val>
          <c:extLst>
            <c:ext xmlns:c16="http://schemas.microsoft.com/office/drawing/2014/chart" uri="{C3380CC4-5D6E-409C-BE32-E72D297353CC}">
              <c16:uniqueId val="{00000009-E9D3-427A-B00C-AE949F2D773B}"/>
            </c:ext>
          </c:extLst>
        </c:ser>
        <c:ser>
          <c:idx val="10"/>
          <c:order val="10"/>
          <c:tx>
            <c:strRef>
              <c:f>'Semi-trailer truck (Diesel)'!$A$190</c:f>
              <c:strCache>
                <c:ptCount val="1"/>
                <c:pt idx="0">
                  <c:v>Emission Cost</c:v>
                </c:pt>
              </c:strCache>
            </c:strRef>
          </c:tx>
          <c:spPr>
            <a:solidFill>
              <a:schemeClr val="accent5">
                <a:lumMod val="60000"/>
              </a:schemeClr>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(Diesel)'!$B$190,'Semi-trailer truck (Diesel)'!$N$190,'Semi-trailer truck (Diesel)'!$AC$190)</c:f>
              <c:numCache>
                <c:formatCode>0.000</c:formatCode>
                <c:ptCount val="3"/>
                <c:pt idx="0">
                  <c:v>3.105564911133563E-3</c:v>
                </c:pt>
                <c:pt idx="1">
                  <c:v>3.9575677966395585E-3</c:v>
                </c:pt>
                <c:pt idx="2">
                  <c:v>8.8630828876566804E-3</c:v>
                </c:pt>
              </c:numCache>
            </c:numRef>
          </c:val>
          <c:extLst>
            <c:ext xmlns:c16="http://schemas.microsoft.com/office/drawing/2014/chart" uri="{C3380CC4-5D6E-409C-BE32-E72D297353CC}">
              <c16:uniqueId val="{00000000-EBC2-4ED2-8525-07ACBF647906}"/>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(Diesel)'!$A$11</c:f>
              <c:strCache>
                <c:ptCount val="1"/>
                <c:pt idx="0">
                  <c:v>Capex vehicle</c:v>
                </c:pt>
              </c:strCache>
            </c:strRef>
          </c:tx>
          <c:spPr>
            <a:ln w="28575" cap="rnd">
              <a:solidFill>
                <a:schemeClr val="accent1"/>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A4B3-437F-B246-EE0D1C720D35}"/>
            </c:ext>
          </c:extLst>
        </c:ser>
        <c:ser>
          <c:idx val="13"/>
          <c:order val="1"/>
          <c:tx>
            <c:strRef>
              <c:f>'Semi-trailer truck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A4B3-437F-B246-EE0D1C720D35}"/>
            </c:ext>
          </c:extLst>
        </c:ser>
        <c:ser>
          <c:idx val="1"/>
          <c:order val="2"/>
          <c:tx>
            <c:strRef>
              <c:f>'Semi-trailer truck (Diesel)'!$A$13</c:f>
              <c:strCache>
                <c:ptCount val="1"/>
                <c:pt idx="0">
                  <c:v>Capex costumization</c:v>
                </c:pt>
              </c:strCache>
            </c:strRef>
          </c:tx>
          <c:spPr>
            <a:ln w="28575" cap="rnd">
              <a:solidFill>
                <a:schemeClr val="accent2"/>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A4B3-437F-B246-EE0D1C720D35}"/>
            </c:ext>
          </c:extLst>
        </c:ser>
        <c:ser>
          <c:idx val="14"/>
          <c:order val="3"/>
          <c:tx>
            <c:strRef>
              <c:f>'Semi-trailer truck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A4B3-437F-B246-EE0D1C720D35}"/>
            </c:ext>
          </c:extLst>
        </c:ser>
        <c:ser>
          <c:idx val="2"/>
          <c:order val="4"/>
          <c:tx>
            <c:strRef>
              <c:f>'Semi-trailer truck (Diesel)'!$A$15</c:f>
              <c:strCache>
                <c:ptCount val="1"/>
                <c:pt idx="0">
                  <c:v>WACC</c:v>
                </c:pt>
              </c:strCache>
            </c:strRef>
          </c:tx>
          <c:spPr>
            <a:ln w="28575" cap="rnd">
              <a:solidFill>
                <a:schemeClr val="accent3"/>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A4B3-437F-B246-EE0D1C720D35}"/>
            </c:ext>
          </c:extLst>
        </c:ser>
        <c:ser>
          <c:idx val="3"/>
          <c:order val="5"/>
          <c:tx>
            <c:strRef>
              <c:f>'Semi-trailer truck (Diesel)'!$A$16</c:f>
              <c:strCache>
                <c:ptCount val="1"/>
                <c:pt idx="0">
                  <c:v>Opex fix (admin, crew, insurance)</c:v>
                </c:pt>
              </c:strCache>
            </c:strRef>
          </c:tx>
          <c:spPr>
            <a:ln w="28575" cap="rnd">
              <a:solidFill>
                <a:schemeClr val="accent4"/>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A4B3-437F-B246-EE0D1C720D35}"/>
            </c:ext>
          </c:extLst>
        </c:ser>
        <c:ser>
          <c:idx val="4"/>
          <c:order val="6"/>
          <c:tx>
            <c:strRef>
              <c:f>'Semi-trailer truck (Diesel)'!$A$18</c:f>
              <c:strCache>
                <c:ptCount val="1"/>
                <c:pt idx="0">
                  <c:v>Opex var (mode-fees)</c:v>
                </c:pt>
              </c:strCache>
            </c:strRef>
          </c:tx>
          <c:spPr>
            <a:ln w="28575" cap="rnd">
              <a:solidFill>
                <a:schemeClr val="accent5"/>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A4B3-437F-B246-EE0D1C720D35}"/>
            </c:ext>
          </c:extLst>
        </c:ser>
        <c:ser>
          <c:idx val="5"/>
          <c:order val="7"/>
          <c:tx>
            <c:strRef>
              <c:f>'Semi-trailer truck (Diesel)'!$A$19</c:f>
              <c:strCache>
                <c:ptCount val="1"/>
                <c:pt idx="0">
                  <c:v>Fuel Economy</c:v>
                </c:pt>
              </c:strCache>
            </c:strRef>
          </c:tx>
          <c:spPr>
            <a:ln w="28575" cap="rnd">
              <a:solidFill>
                <a:schemeClr val="accent6"/>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A4B3-437F-B246-EE0D1C720D35}"/>
            </c:ext>
          </c:extLst>
        </c:ser>
        <c:ser>
          <c:idx val="6"/>
          <c:order val="8"/>
          <c:tx>
            <c:strRef>
              <c:f>'Semi-trailer truck (Diesel)'!$A$20</c:f>
              <c:strCache>
                <c:ptCount val="1"/>
                <c:pt idx="0">
                  <c:v>Fuel Cost</c:v>
                </c:pt>
              </c:strCache>
            </c:strRef>
          </c:tx>
          <c:spPr>
            <a:ln w="28575" cap="rnd">
              <a:solidFill>
                <a:schemeClr val="accent1">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A4B3-437F-B246-EE0D1C720D35}"/>
            </c:ext>
          </c:extLst>
        </c:ser>
        <c:ser>
          <c:idx val="7"/>
          <c:order val="9"/>
          <c:tx>
            <c:strRef>
              <c:f>'Semi-trailer truck (Diesel)'!$A$22</c:f>
              <c:strCache>
                <c:ptCount val="1"/>
                <c:pt idx="0">
                  <c:v>Lifetime vehicle</c:v>
                </c:pt>
              </c:strCache>
            </c:strRef>
          </c:tx>
          <c:spPr>
            <a:ln w="28575" cap="rnd">
              <a:solidFill>
                <a:schemeClr val="accent2">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A4B3-437F-B246-EE0D1C720D35}"/>
            </c:ext>
          </c:extLst>
        </c:ser>
        <c:ser>
          <c:idx val="8"/>
          <c:order val="10"/>
          <c:tx>
            <c:strRef>
              <c:f>'Semi-trailer truck (Diesel)'!$A$23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A4B3-437F-B246-EE0D1C720D35}"/>
            </c:ext>
          </c:extLst>
        </c:ser>
        <c:ser>
          <c:idx val="9"/>
          <c:order val="11"/>
          <c:tx>
            <c:strRef>
              <c:f>'Semi-trailer truck (Diesel)'!$A$24</c:f>
              <c:strCache>
                <c:ptCount val="1"/>
                <c:pt idx="0">
                  <c:v>Tonnage .</c:v>
                </c:pt>
              </c:strCache>
            </c:strRef>
          </c:tx>
          <c:spPr>
            <a:ln w="28575" cap="rnd">
              <a:solidFill>
                <a:schemeClr val="accent4">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A4B3-437F-B246-EE0D1C720D35}"/>
            </c:ext>
          </c:extLst>
        </c:ser>
        <c:ser>
          <c:idx val="10"/>
          <c:order val="12"/>
          <c:tx>
            <c:strRef>
              <c:f>'Semi-trailer truck (Diesel)'!$A$25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A4B3-437F-B246-EE0D1C720D35}"/>
            </c:ext>
          </c:extLst>
        </c:ser>
        <c:ser>
          <c:idx val="11"/>
          <c:order val="13"/>
          <c:tx>
            <c:strRef>
              <c:f>'Semi-trailer truck (Diesel)'!$A$27</c:f>
              <c:strCache>
                <c:ptCount val="1"/>
                <c:pt idx="0">
                  <c:v>Annual Mileage</c:v>
                </c:pt>
              </c:strCache>
            </c:strRef>
          </c:tx>
          <c:spPr>
            <a:ln w="28575" cap="rnd">
              <a:solidFill>
                <a:schemeClr val="accent6">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A4B3-437F-B246-EE0D1C720D35}"/>
            </c:ext>
          </c:extLst>
        </c:ser>
        <c:ser>
          <c:idx val="12"/>
          <c:order val="14"/>
          <c:tx>
            <c:strRef>
              <c:f>'Semi-trailer truck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A4B3-437F-B246-EE0D1C720D35}"/>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(Diesel)'!$A$74</c:f>
              <c:strCache>
                <c:ptCount val="1"/>
                <c:pt idx="0">
                  <c:v>Capex vehicle</c:v>
                </c:pt>
              </c:strCache>
            </c:strRef>
          </c:tx>
          <c:spPr>
            <a:solidFill>
              <a:schemeClr val="accent1"/>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(Diesel)'!$B$74,'Semi-trailer truck (Diesel)'!$N$74,'Semi-trailer truck (Diesel)'!$AC$74)</c:f>
              <c:numCache>
                <c:formatCode>0.00</c:formatCode>
                <c:ptCount val="3"/>
                <c:pt idx="0">
                  <c:v>1.2312752120811793E-2</c:v>
                </c:pt>
                <c:pt idx="1">
                  <c:v>1.2924904892565417E-2</c:v>
                </c:pt>
                <c:pt idx="2">
                  <c:v>1.3465854058382996E-2</c:v>
                </c:pt>
              </c:numCache>
            </c:numRef>
          </c:val>
          <c:extLst>
            <c:ext xmlns:c16="http://schemas.microsoft.com/office/drawing/2014/chart" uri="{C3380CC4-5D6E-409C-BE32-E72D297353CC}">
              <c16:uniqueId val="{00000000-1219-4810-95A5-4CA2A7A8FD4D}"/>
            </c:ext>
          </c:extLst>
        </c:ser>
        <c:ser>
          <c:idx val="1"/>
          <c:order val="1"/>
          <c:tx>
            <c:strRef>
              <c:f>'Semi-trailer truck (Diesel)'!$A$75</c:f>
              <c:strCache>
                <c:ptCount val="1"/>
                <c:pt idx="0">
                  <c:v>Residual value (vehicle)</c:v>
                </c:pt>
              </c:strCache>
            </c:strRef>
          </c:tx>
          <c:spPr>
            <a:solidFill>
              <a:schemeClr val="accent2"/>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(Diesel)'!$B$75,'Semi-trailer truck (Diesel)'!$N$75,'Semi-trailer truck (Diesel)'!$AC$75)</c:f>
              <c:numCache>
                <c:formatCode>0.000</c:formatCode>
                <c:ptCount val="3"/>
                <c:pt idx="0">
                  <c:v>-3.0604067820050769E-3</c:v>
                </c:pt>
                <c:pt idx="1">
                  <c:v>-2.5094692874268148E-3</c:v>
                </c:pt>
                <c:pt idx="2">
                  <c:v>-2.0226150381909905E-3</c:v>
                </c:pt>
              </c:numCache>
            </c:numRef>
          </c:val>
          <c:extLst>
            <c:ext xmlns:c16="http://schemas.microsoft.com/office/drawing/2014/chart" uri="{C3380CC4-5D6E-409C-BE32-E72D297353CC}">
              <c16:uniqueId val="{00000001-1219-4810-95A5-4CA2A7A8FD4D}"/>
            </c:ext>
          </c:extLst>
        </c:ser>
        <c:ser>
          <c:idx val="2"/>
          <c:order val="2"/>
          <c:tx>
            <c:strRef>
              <c:f>'Semi-trailer truck (Diesel)'!$A$76</c:f>
              <c:strCache>
                <c:ptCount val="1"/>
                <c:pt idx="0">
                  <c:v>Capex costumization</c:v>
                </c:pt>
              </c:strCache>
            </c:strRef>
          </c:tx>
          <c:spPr>
            <a:solidFill>
              <a:schemeClr val="accent3"/>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(Diesel)'!$B$76,'Semi-trailer truck (Diesel)'!$N$76,'Semi-trailer truck (Diesel)'!$AC$76)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1219-4810-95A5-4CA2A7A8FD4D}"/>
            </c:ext>
          </c:extLst>
        </c:ser>
        <c:ser>
          <c:idx val="3"/>
          <c:order val="3"/>
          <c:tx>
            <c:strRef>
              <c:f>'Semi-trailer truck (Diesel)'!$A$77</c:f>
              <c:strCache>
                <c:ptCount val="1"/>
                <c:pt idx="0">
                  <c:v>Residual value (costumization)</c:v>
                </c:pt>
              </c:strCache>
            </c:strRef>
          </c:tx>
          <c:spPr>
            <a:solidFill>
              <a:schemeClr val="accent4"/>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(Diesel)'!$B$77,'Semi-trailer truck (Diesel)'!$N$77,'Semi-trailer truck (Diesel)'!$AC$77)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1219-4810-95A5-4CA2A7A8FD4D}"/>
            </c:ext>
          </c:extLst>
        </c:ser>
        <c:ser>
          <c:idx val="4"/>
          <c:order val="4"/>
          <c:tx>
            <c:strRef>
              <c:f>'Semi-trailer truck (Diesel)'!$A$78</c:f>
              <c:strCache>
                <c:ptCount val="1"/>
                <c:pt idx="0">
                  <c:v>Opex fix (admin, crew, insurance)</c:v>
                </c:pt>
              </c:strCache>
            </c:strRef>
          </c:tx>
          <c:spPr>
            <a:solidFill>
              <a:schemeClr val="accent5"/>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(Diesel)'!$B$78,'Semi-trailer truck (Diesel)'!$N$78,'Semi-trailer truck (Diesel)'!$AC$78)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1219-4810-95A5-4CA2A7A8FD4D}"/>
            </c:ext>
          </c:extLst>
        </c:ser>
        <c:ser>
          <c:idx val="5"/>
          <c:order val="5"/>
          <c:tx>
            <c:strRef>
              <c:f>'Semi-trailer truck (Diesel)'!$A$79</c:f>
              <c:strCache>
                <c:ptCount val="1"/>
                <c:pt idx="0">
                  <c:v>Opex maintenance &amp; repair</c:v>
                </c:pt>
              </c:strCache>
            </c:strRef>
          </c:tx>
          <c:spPr>
            <a:solidFill>
              <a:schemeClr val="accent6"/>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(Diesel)'!$B$79,'Semi-trailer truck (Diesel)'!$N$79,'Semi-trailer truck (Diesel)'!$AC$79)</c:f>
              <c:numCache>
                <c:formatCode>0.00</c:formatCode>
                <c:ptCount val="3"/>
                <c:pt idx="0">
                  <c:v>1.4545454545454545E-2</c:v>
                </c:pt>
                <c:pt idx="1">
                  <c:v>1.4545454545454545E-2</c:v>
                </c:pt>
                <c:pt idx="2">
                  <c:v>1.4545454545454545E-2</c:v>
                </c:pt>
              </c:numCache>
            </c:numRef>
          </c:val>
          <c:extLst>
            <c:ext xmlns:c16="http://schemas.microsoft.com/office/drawing/2014/chart" uri="{C3380CC4-5D6E-409C-BE32-E72D297353CC}">
              <c16:uniqueId val="{00000005-1219-4810-95A5-4CA2A7A8FD4D}"/>
            </c:ext>
          </c:extLst>
        </c:ser>
        <c:ser>
          <c:idx val="6"/>
          <c:order val="6"/>
          <c:tx>
            <c:strRef>
              <c:f>'Semi-trailer truck (Diesel)'!$A$80</c:f>
              <c:strCache>
                <c:ptCount val="1"/>
                <c:pt idx="0">
                  <c:v>Opex var (mode-fees)</c:v>
                </c:pt>
              </c:strCache>
            </c:strRef>
          </c:tx>
          <c:spPr>
            <a:solidFill>
              <a:schemeClr val="accent1">
                <a:lumMod val="60000"/>
              </a:schemeClr>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(Diesel)'!$B$80,'Semi-trailer truck (Diesel)'!$N$80,'Semi-trailer truck (Diesel)'!$AC$80)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1219-4810-95A5-4CA2A7A8FD4D}"/>
            </c:ext>
          </c:extLst>
        </c:ser>
        <c:ser>
          <c:idx val="7"/>
          <c:order val="7"/>
          <c:tx>
            <c:strRef>
              <c:f>'Semi-trailer truck (Diesel)'!$A$81</c:f>
              <c:strCache>
                <c:ptCount val="1"/>
                <c:pt idx="0">
                  <c:v>Fuel Cost</c:v>
                </c:pt>
              </c:strCache>
            </c:strRef>
          </c:tx>
          <c:spPr>
            <a:solidFill>
              <a:schemeClr val="accent2">
                <a:lumMod val="60000"/>
              </a:schemeClr>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(Diesel)'!$B$81,'Semi-trailer truck (Diesel)'!$N$81,'Semi-trailer truck (Diesel)'!$AC$81)</c:f>
              <c:numCache>
                <c:formatCode>0.00</c:formatCode>
                <c:ptCount val="3"/>
                <c:pt idx="0">
                  <c:v>1.1573595723149675E-2</c:v>
                </c:pt>
                <c:pt idx="1">
                  <c:v>1.0528226537463705E-2</c:v>
                </c:pt>
                <c:pt idx="2">
                  <c:v>9.604451272429336E-3</c:v>
                </c:pt>
              </c:numCache>
            </c:numRef>
          </c:val>
          <c:extLst>
            <c:ext xmlns:c16="http://schemas.microsoft.com/office/drawing/2014/chart" uri="{C3380CC4-5D6E-409C-BE32-E72D297353CC}">
              <c16:uniqueId val="{00000007-1219-4810-95A5-4CA2A7A8FD4D}"/>
            </c:ext>
          </c:extLst>
        </c:ser>
        <c:ser>
          <c:idx val="8"/>
          <c:order val="8"/>
          <c:tx>
            <c:strRef>
              <c:f>'Semi-trailer truck (Diesel)'!$A$82</c:f>
              <c:strCache>
                <c:ptCount val="1"/>
                <c:pt idx="0">
                  <c:v>Market failure (av. utilization)</c:v>
                </c:pt>
              </c:strCache>
            </c:strRef>
          </c:tx>
          <c:spPr>
            <a:solidFill>
              <a:schemeClr val="accent3">
                <a:lumMod val="60000"/>
              </a:schemeClr>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(Diesel)'!$B$82,'Semi-trailer truck (Diesel)'!$N$82,'Semi-trailer truck (Diesel)'!$AC$82)</c:f>
              <c:numCache>
                <c:formatCode>0.00</c:formatCode>
                <c:ptCount val="3"/>
                <c:pt idx="0">
                  <c:v>7.7570982070867392E-2</c:v>
                </c:pt>
                <c:pt idx="1">
                  <c:v>7.8332908044272453E-2</c:v>
                </c:pt>
                <c:pt idx="2">
                  <c:v>8.2268977733658016E-2</c:v>
                </c:pt>
              </c:numCache>
            </c:numRef>
          </c:val>
          <c:extLst>
            <c:ext xmlns:c16="http://schemas.microsoft.com/office/drawing/2014/chart" uri="{C3380CC4-5D6E-409C-BE32-E72D297353CC}">
              <c16:uniqueId val="{00000008-1219-4810-95A5-4CA2A7A8FD4D}"/>
            </c:ext>
          </c:extLst>
        </c:ser>
        <c:ser>
          <c:idx val="9"/>
          <c:order val="9"/>
          <c:tx>
            <c:strRef>
              <c:f>'Semi-trailer truck (Diesel)'!$A$297</c:f>
              <c:strCache>
                <c:ptCount val="1"/>
                <c:pt idx="0">
                  <c:v>Payload loss (fuel)</c:v>
                </c:pt>
              </c:strCache>
            </c:strRef>
          </c:tx>
          <c:spPr>
            <a:solidFill>
              <a:schemeClr val="accent4">
                <a:lumMod val="60000"/>
              </a:schemeClr>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(Diesel)'!$B$297,'Semi-trailer truck (Diesel)'!$N$297,'Semi-trailer truck (Diesel)'!$AC$297)</c:f>
              <c:numCache>
                <c:formatCode>0.00</c:formatCode>
                <c:ptCount val="3"/>
                <c:pt idx="0">
                  <c:v>0</c:v>
                </c:pt>
                <c:pt idx="1">
                  <c:v>0</c:v>
                </c:pt>
                <c:pt idx="2">
                  <c:v>0</c:v>
                </c:pt>
              </c:numCache>
            </c:numRef>
          </c:val>
          <c:extLst>
            <c:ext xmlns:c16="http://schemas.microsoft.com/office/drawing/2014/chart" uri="{C3380CC4-5D6E-409C-BE32-E72D297353CC}">
              <c16:uniqueId val="{00000009-1219-4810-95A5-4CA2A7A8FD4D}"/>
            </c:ext>
          </c:extLst>
        </c:ser>
        <c:ser>
          <c:idx val="10"/>
          <c:order val="10"/>
          <c:tx>
            <c:strRef>
              <c:f>'Semi-trailer truck (Diesel)'!$A$298</c:f>
              <c:strCache>
                <c:ptCount val="1"/>
                <c:pt idx="0">
                  <c:v>Emission Cost</c:v>
                </c:pt>
              </c:strCache>
            </c:strRef>
          </c:tx>
          <c:spPr>
            <a:solidFill>
              <a:schemeClr val="accent5">
                <a:lumMod val="60000"/>
              </a:schemeClr>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(Diesel)'!$B$298,'Semi-trailer truck (Diesel)'!$N$298,'Semi-trailer truck (Diesel)'!$AC$298)</c:f>
              <c:numCache>
                <c:formatCode>0.000</c:formatCode>
                <c:ptCount val="3"/>
                <c:pt idx="0">
                  <c:v>3.1055649111335639E-3</c:v>
                </c:pt>
                <c:pt idx="1">
                  <c:v>3.9575677966395585E-3</c:v>
                </c:pt>
                <c:pt idx="2">
                  <c:v>8.8630828876566786E-3</c:v>
                </c:pt>
              </c:numCache>
            </c:numRef>
          </c:val>
          <c:extLst>
            <c:ext xmlns:c16="http://schemas.microsoft.com/office/drawing/2014/chart" uri="{C3380CC4-5D6E-409C-BE32-E72D297353CC}">
              <c16:uniqueId val="{00000000-201F-4F66-85E8-E29291D5E889}"/>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(Diesel)'!$A$11</c:f>
              <c:strCache>
                <c:ptCount val="1"/>
                <c:pt idx="0">
                  <c:v>Capex vehicle</c:v>
                </c:pt>
              </c:strCache>
            </c:strRef>
          </c:tx>
          <c:spPr>
            <a:ln w="28575" cap="rnd">
              <a:solidFill>
                <a:schemeClr val="accent1"/>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9635-49B6-8DA7-D0578218743C}"/>
            </c:ext>
          </c:extLst>
        </c:ser>
        <c:ser>
          <c:idx val="13"/>
          <c:order val="1"/>
          <c:tx>
            <c:strRef>
              <c:f>'Semi-trailer truck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9635-49B6-8DA7-D0578218743C}"/>
            </c:ext>
          </c:extLst>
        </c:ser>
        <c:ser>
          <c:idx val="1"/>
          <c:order val="2"/>
          <c:tx>
            <c:strRef>
              <c:f>'Semi-trailer truck (Diesel)'!$A$13</c:f>
              <c:strCache>
                <c:ptCount val="1"/>
                <c:pt idx="0">
                  <c:v>Capex costumization</c:v>
                </c:pt>
              </c:strCache>
            </c:strRef>
          </c:tx>
          <c:spPr>
            <a:ln w="28575" cap="rnd">
              <a:solidFill>
                <a:schemeClr val="accent2"/>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9635-49B6-8DA7-D0578218743C}"/>
            </c:ext>
          </c:extLst>
        </c:ser>
        <c:ser>
          <c:idx val="14"/>
          <c:order val="3"/>
          <c:tx>
            <c:strRef>
              <c:f>'Semi-trailer truck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9635-49B6-8DA7-D0578218743C}"/>
            </c:ext>
          </c:extLst>
        </c:ser>
        <c:ser>
          <c:idx val="2"/>
          <c:order val="4"/>
          <c:tx>
            <c:strRef>
              <c:f>'Semi-trailer truck (Diesel)'!$A$15</c:f>
              <c:strCache>
                <c:ptCount val="1"/>
                <c:pt idx="0">
                  <c:v>WACC</c:v>
                </c:pt>
              </c:strCache>
            </c:strRef>
          </c:tx>
          <c:spPr>
            <a:ln w="28575" cap="rnd">
              <a:solidFill>
                <a:schemeClr val="accent3"/>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9635-49B6-8DA7-D0578218743C}"/>
            </c:ext>
          </c:extLst>
        </c:ser>
        <c:ser>
          <c:idx val="3"/>
          <c:order val="5"/>
          <c:tx>
            <c:strRef>
              <c:f>'Semi-trailer truck (Diesel)'!$A$16</c:f>
              <c:strCache>
                <c:ptCount val="1"/>
                <c:pt idx="0">
                  <c:v>Opex fix (admin, crew, insurance)</c:v>
                </c:pt>
              </c:strCache>
            </c:strRef>
          </c:tx>
          <c:spPr>
            <a:ln w="28575" cap="rnd">
              <a:solidFill>
                <a:schemeClr val="accent4"/>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9635-49B6-8DA7-D0578218743C}"/>
            </c:ext>
          </c:extLst>
        </c:ser>
        <c:ser>
          <c:idx val="4"/>
          <c:order val="6"/>
          <c:tx>
            <c:strRef>
              <c:f>'Semi-trailer truck (Diesel)'!$A$18</c:f>
              <c:strCache>
                <c:ptCount val="1"/>
                <c:pt idx="0">
                  <c:v>Opex var (mode-fees)</c:v>
                </c:pt>
              </c:strCache>
            </c:strRef>
          </c:tx>
          <c:spPr>
            <a:ln w="28575" cap="rnd">
              <a:solidFill>
                <a:schemeClr val="accent5"/>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9635-49B6-8DA7-D0578218743C}"/>
            </c:ext>
          </c:extLst>
        </c:ser>
        <c:ser>
          <c:idx val="5"/>
          <c:order val="7"/>
          <c:tx>
            <c:strRef>
              <c:f>'Semi-trailer truck (Diesel)'!$A$19</c:f>
              <c:strCache>
                <c:ptCount val="1"/>
                <c:pt idx="0">
                  <c:v>Fuel Economy</c:v>
                </c:pt>
              </c:strCache>
            </c:strRef>
          </c:tx>
          <c:spPr>
            <a:ln w="28575" cap="rnd">
              <a:solidFill>
                <a:schemeClr val="accent6"/>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9635-49B6-8DA7-D0578218743C}"/>
            </c:ext>
          </c:extLst>
        </c:ser>
        <c:ser>
          <c:idx val="6"/>
          <c:order val="8"/>
          <c:tx>
            <c:strRef>
              <c:f>'Semi-trailer truck (Diesel)'!$A$20</c:f>
              <c:strCache>
                <c:ptCount val="1"/>
                <c:pt idx="0">
                  <c:v>Fuel Cost</c:v>
                </c:pt>
              </c:strCache>
            </c:strRef>
          </c:tx>
          <c:spPr>
            <a:ln w="28575" cap="rnd">
              <a:solidFill>
                <a:schemeClr val="accent1">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9635-49B6-8DA7-D0578218743C}"/>
            </c:ext>
          </c:extLst>
        </c:ser>
        <c:ser>
          <c:idx val="7"/>
          <c:order val="9"/>
          <c:tx>
            <c:strRef>
              <c:f>'Semi-trailer truck (Diesel)'!$A$22</c:f>
              <c:strCache>
                <c:ptCount val="1"/>
                <c:pt idx="0">
                  <c:v>Lifetime vehicle</c:v>
                </c:pt>
              </c:strCache>
            </c:strRef>
          </c:tx>
          <c:spPr>
            <a:ln w="28575" cap="rnd">
              <a:solidFill>
                <a:schemeClr val="accent2">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9635-49B6-8DA7-D0578218743C}"/>
            </c:ext>
          </c:extLst>
        </c:ser>
        <c:ser>
          <c:idx val="8"/>
          <c:order val="10"/>
          <c:tx>
            <c:strRef>
              <c:f>'Semi-trailer truck (Diesel)'!$A$23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9635-49B6-8DA7-D0578218743C}"/>
            </c:ext>
          </c:extLst>
        </c:ser>
        <c:ser>
          <c:idx val="9"/>
          <c:order val="11"/>
          <c:tx>
            <c:strRef>
              <c:f>'Semi-trailer truck (Diesel)'!$A$24</c:f>
              <c:strCache>
                <c:ptCount val="1"/>
                <c:pt idx="0">
                  <c:v>Tonnage .</c:v>
                </c:pt>
              </c:strCache>
            </c:strRef>
          </c:tx>
          <c:spPr>
            <a:ln w="28575" cap="rnd">
              <a:solidFill>
                <a:schemeClr val="accent4">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9635-49B6-8DA7-D0578218743C}"/>
            </c:ext>
          </c:extLst>
        </c:ser>
        <c:ser>
          <c:idx val="10"/>
          <c:order val="12"/>
          <c:tx>
            <c:strRef>
              <c:f>'Semi-trailer truck (Diesel)'!$A$25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9635-49B6-8DA7-D0578218743C}"/>
            </c:ext>
          </c:extLst>
        </c:ser>
        <c:ser>
          <c:idx val="11"/>
          <c:order val="13"/>
          <c:tx>
            <c:strRef>
              <c:f>'Semi-trailer truck (Diesel)'!$A$27</c:f>
              <c:strCache>
                <c:ptCount val="1"/>
                <c:pt idx="0">
                  <c:v>Annual Mileage</c:v>
                </c:pt>
              </c:strCache>
            </c:strRef>
          </c:tx>
          <c:spPr>
            <a:ln w="28575" cap="rnd">
              <a:solidFill>
                <a:schemeClr val="accent6">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9635-49B6-8DA7-D0578218743C}"/>
            </c:ext>
          </c:extLst>
        </c:ser>
        <c:ser>
          <c:idx val="12"/>
          <c:order val="14"/>
          <c:tx>
            <c:strRef>
              <c:f>'Semi-trailer truck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9635-49B6-8DA7-D0578218743C}"/>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(Diesel)'!$A$74</c:f>
              <c:strCache>
                <c:ptCount val="1"/>
                <c:pt idx="0">
                  <c:v>Capex vehicle</c:v>
                </c:pt>
              </c:strCache>
            </c:strRef>
          </c:tx>
          <c:spPr>
            <a:solidFill>
              <a:schemeClr val="accent1"/>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(Diesel)'!$B$74,'Semi-trailer truck (Diesel)'!$N$74,'Semi-trailer truck (Diesel)'!$AC$74)</c:f>
              <c:numCache>
                <c:formatCode>0.00</c:formatCode>
                <c:ptCount val="3"/>
                <c:pt idx="0">
                  <c:v>1.2312752120811793E-2</c:v>
                </c:pt>
                <c:pt idx="1">
                  <c:v>1.2924904892565417E-2</c:v>
                </c:pt>
                <c:pt idx="2">
                  <c:v>1.3465854058382996E-2</c:v>
                </c:pt>
              </c:numCache>
            </c:numRef>
          </c:val>
          <c:extLst>
            <c:ext xmlns:c16="http://schemas.microsoft.com/office/drawing/2014/chart" uri="{C3380CC4-5D6E-409C-BE32-E72D297353CC}">
              <c16:uniqueId val="{00000000-C904-44D5-BC2A-7FB942D1E673}"/>
            </c:ext>
          </c:extLst>
        </c:ser>
        <c:ser>
          <c:idx val="1"/>
          <c:order val="1"/>
          <c:tx>
            <c:strRef>
              <c:f>'Semi-trailer truck (Diesel)'!$A$75</c:f>
              <c:strCache>
                <c:ptCount val="1"/>
                <c:pt idx="0">
                  <c:v>Residual value (vehicle)</c:v>
                </c:pt>
              </c:strCache>
            </c:strRef>
          </c:tx>
          <c:spPr>
            <a:solidFill>
              <a:schemeClr val="accent2"/>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(Diesel)'!$B$75,'Semi-trailer truck (Diesel)'!$N$75,'Semi-trailer truck (Diesel)'!$AC$75)</c:f>
              <c:numCache>
                <c:formatCode>0.000</c:formatCode>
                <c:ptCount val="3"/>
                <c:pt idx="0">
                  <c:v>-3.0604067820050769E-3</c:v>
                </c:pt>
                <c:pt idx="1">
                  <c:v>-2.5094692874268148E-3</c:v>
                </c:pt>
                <c:pt idx="2">
                  <c:v>-2.0226150381909905E-3</c:v>
                </c:pt>
              </c:numCache>
            </c:numRef>
          </c:val>
          <c:extLst>
            <c:ext xmlns:c16="http://schemas.microsoft.com/office/drawing/2014/chart" uri="{C3380CC4-5D6E-409C-BE32-E72D297353CC}">
              <c16:uniqueId val="{00000001-C904-44D5-BC2A-7FB942D1E673}"/>
            </c:ext>
          </c:extLst>
        </c:ser>
        <c:ser>
          <c:idx val="2"/>
          <c:order val="2"/>
          <c:tx>
            <c:strRef>
              <c:f>'Semi-trailer truck (Diesel)'!$A$76</c:f>
              <c:strCache>
                <c:ptCount val="1"/>
                <c:pt idx="0">
                  <c:v>Capex costumization</c:v>
                </c:pt>
              </c:strCache>
            </c:strRef>
          </c:tx>
          <c:spPr>
            <a:solidFill>
              <a:schemeClr val="accent3"/>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(Diesel)'!$B$76,'Semi-trailer truck (Diesel)'!$N$76,'Semi-trailer truck (Diesel)'!$AC$76)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C904-44D5-BC2A-7FB942D1E673}"/>
            </c:ext>
          </c:extLst>
        </c:ser>
        <c:ser>
          <c:idx val="3"/>
          <c:order val="3"/>
          <c:tx>
            <c:strRef>
              <c:f>'Semi-trailer truck (Diesel)'!$A$77</c:f>
              <c:strCache>
                <c:ptCount val="1"/>
                <c:pt idx="0">
                  <c:v>Residual value (costumization)</c:v>
                </c:pt>
              </c:strCache>
            </c:strRef>
          </c:tx>
          <c:spPr>
            <a:solidFill>
              <a:schemeClr val="accent4"/>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(Diesel)'!$B$77,'Semi-trailer truck (Diesel)'!$N$77,'Semi-trailer truck (Diesel)'!$AC$77)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C904-44D5-BC2A-7FB942D1E673}"/>
            </c:ext>
          </c:extLst>
        </c:ser>
        <c:ser>
          <c:idx val="4"/>
          <c:order val="4"/>
          <c:tx>
            <c:strRef>
              <c:f>'Semi-trailer truck (Diesel)'!$A$78</c:f>
              <c:strCache>
                <c:ptCount val="1"/>
                <c:pt idx="0">
                  <c:v>Opex fix (admin, crew, insurance)</c:v>
                </c:pt>
              </c:strCache>
            </c:strRef>
          </c:tx>
          <c:spPr>
            <a:solidFill>
              <a:schemeClr val="accent5"/>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(Diesel)'!$B$78,'Semi-trailer truck (Diesel)'!$N$78,'Semi-trailer truck (Diesel)'!$AC$78)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C904-44D5-BC2A-7FB942D1E673}"/>
            </c:ext>
          </c:extLst>
        </c:ser>
        <c:ser>
          <c:idx val="5"/>
          <c:order val="5"/>
          <c:tx>
            <c:strRef>
              <c:f>'Semi-trailer truck (Diesel)'!$A$79</c:f>
              <c:strCache>
                <c:ptCount val="1"/>
                <c:pt idx="0">
                  <c:v>Opex maintenance &amp; repair</c:v>
                </c:pt>
              </c:strCache>
            </c:strRef>
          </c:tx>
          <c:spPr>
            <a:solidFill>
              <a:schemeClr val="accent6"/>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(Diesel)'!$B$79,'Semi-trailer truck (Diesel)'!$N$79,'Semi-trailer truck (Diesel)'!$AC$79)</c:f>
              <c:numCache>
                <c:formatCode>0.00</c:formatCode>
                <c:ptCount val="3"/>
                <c:pt idx="0">
                  <c:v>1.4545454545454545E-2</c:v>
                </c:pt>
                <c:pt idx="1">
                  <c:v>1.4545454545454545E-2</c:v>
                </c:pt>
                <c:pt idx="2">
                  <c:v>1.4545454545454545E-2</c:v>
                </c:pt>
              </c:numCache>
            </c:numRef>
          </c:val>
          <c:extLst>
            <c:ext xmlns:c16="http://schemas.microsoft.com/office/drawing/2014/chart" uri="{C3380CC4-5D6E-409C-BE32-E72D297353CC}">
              <c16:uniqueId val="{00000005-C904-44D5-BC2A-7FB942D1E673}"/>
            </c:ext>
          </c:extLst>
        </c:ser>
        <c:ser>
          <c:idx val="6"/>
          <c:order val="6"/>
          <c:tx>
            <c:strRef>
              <c:f>'Semi-trailer truck (Diesel)'!$A$80</c:f>
              <c:strCache>
                <c:ptCount val="1"/>
                <c:pt idx="0">
                  <c:v>Opex var (mode-fees)</c:v>
                </c:pt>
              </c:strCache>
            </c:strRef>
          </c:tx>
          <c:spPr>
            <a:solidFill>
              <a:schemeClr val="accent1">
                <a:lumMod val="60000"/>
              </a:schemeClr>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(Diesel)'!$B$80,'Semi-trailer truck (Diesel)'!$N$80,'Semi-trailer truck (Diesel)'!$AC$80)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C904-44D5-BC2A-7FB942D1E673}"/>
            </c:ext>
          </c:extLst>
        </c:ser>
        <c:ser>
          <c:idx val="7"/>
          <c:order val="7"/>
          <c:tx>
            <c:strRef>
              <c:f>'Semi-trailer truck (Diesel)'!$A$81</c:f>
              <c:strCache>
                <c:ptCount val="1"/>
                <c:pt idx="0">
                  <c:v>Fuel Cost</c:v>
                </c:pt>
              </c:strCache>
            </c:strRef>
          </c:tx>
          <c:spPr>
            <a:solidFill>
              <a:schemeClr val="accent2">
                <a:lumMod val="60000"/>
              </a:schemeClr>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(Diesel)'!$B$81,'Semi-trailer truck (Diesel)'!$N$81,'Semi-trailer truck (Diesel)'!$AC$81)</c:f>
              <c:numCache>
                <c:formatCode>0.00</c:formatCode>
                <c:ptCount val="3"/>
                <c:pt idx="0">
                  <c:v>1.1573595723149675E-2</c:v>
                </c:pt>
                <c:pt idx="1">
                  <c:v>1.0528226537463705E-2</c:v>
                </c:pt>
                <c:pt idx="2">
                  <c:v>9.604451272429336E-3</c:v>
                </c:pt>
              </c:numCache>
            </c:numRef>
          </c:val>
          <c:extLst>
            <c:ext xmlns:c16="http://schemas.microsoft.com/office/drawing/2014/chart" uri="{C3380CC4-5D6E-409C-BE32-E72D297353CC}">
              <c16:uniqueId val="{00000007-C904-44D5-BC2A-7FB942D1E673}"/>
            </c:ext>
          </c:extLst>
        </c:ser>
        <c:ser>
          <c:idx val="8"/>
          <c:order val="8"/>
          <c:tx>
            <c:strRef>
              <c:f>'Semi-trailer truck (Diesel)'!$A$82</c:f>
              <c:strCache>
                <c:ptCount val="1"/>
                <c:pt idx="0">
                  <c:v>Market failure (av. utilization)</c:v>
                </c:pt>
              </c:strCache>
            </c:strRef>
          </c:tx>
          <c:spPr>
            <a:solidFill>
              <a:schemeClr val="accent3">
                <a:lumMod val="60000"/>
              </a:schemeClr>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(Diesel)'!$B$82,'Semi-trailer truck (Diesel)'!$N$82,'Semi-trailer truck (Diesel)'!$AC$82)</c:f>
              <c:numCache>
                <c:formatCode>0.00</c:formatCode>
                <c:ptCount val="3"/>
                <c:pt idx="0">
                  <c:v>7.7570982070867392E-2</c:v>
                </c:pt>
                <c:pt idx="1">
                  <c:v>7.8332908044272453E-2</c:v>
                </c:pt>
                <c:pt idx="2">
                  <c:v>8.2268977733658016E-2</c:v>
                </c:pt>
              </c:numCache>
            </c:numRef>
          </c:val>
          <c:extLst>
            <c:ext xmlns:c16="http://schemas.microsoft.com/office/drawing/2014/chart" uri="{C3380CC4-5D6E-409C-BE32-E72D297353CC}">
              <c16:uniqueId val="{00000008-C904-44D5-BC2A-7FB942D1E673}"/>
            </c:ext>
          </c:extLst>
        </c:ser>
        <c:ser>
          <c:idx val="9"/>
          <c:order val="9"/>
          <c:tx>
            <c:strRef>
              <c:f>'Semi-trailer truck (Diesel)'!$A$406</c:f>
              <c:strCache>
                <c:ptCount val="1"/>
                <c:pt idx="0">
                  <c:v>Payload loss (fuel)</c:v>
                </c:pt>
              </c:strCache>
            </c:strRef>
          </c:tx>
          <c:spPr>
            <a:solidFill>
              <a:schemeClr val="accent4">
                <a:lumMod val="60000"/>
              </a:schemeClr>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(Diesel)'!$B$406,'Semi-trailer truck (Diesel)'!$N$406,'Semi-trailer truck (Diesel)'!$AC$406)</c:f>
              <c:numCache>
                <c:formatCode>0.00</c:formatCode>
                <c:ptCount val="3"/>
                <c:pt idx="0">
                  <c:v>0</c:v>
                </c:pt>
                <c:pt idx="1">
                  <c:v>0</c:v>
                </c:pt>
                <c:pt idx="2">
                  <c:v>0</c:v>
                </c:pt>
              </c:numCache>
            </c:numRef>
          </c:val>
          <c:extLst>
            <c:ext xmlns:c16="http://schemas.microsoft.com/office/drawing/2014/chart" uri="{C3380CC4-5D6E-409C-BE32-E72D297353CC}">
              <c16:uniqueId val="{00000009-C904-44D5-BC2A-7FB942D1E673}"/>
            </c:ext>
          </c:extLst>
        </c:ser>
        <c:ser>
          <c:idx val="10"/>
          <c:order val="10"/>
          <c:tx>
            <c:strRef>
              <c:f>'Semi-trailer truck (Diesel)'!$A$407</c:f>
              <c:strCache>
                <c:ptCount val="1"/>
                <c:pt idx="0">
                  <c:v>Emission Cost</c:v>
                </c:pt>
              </c:strCache>
            </c:strRef>
          </c:tx>
          <c:spPr>
            <a:solidFill>
              <a:schemeClr val="accent5">
                <a:lumMod val="60000"/>
              </a:schemeClr>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(Diesel)'!$B$407,'Semi-trailer truck (Diesel)'!$N$407,'Semi-trailer truck (Diesel)'!$AC$407)</c:f>
              <c:numCache>
                <c:formatCode>0.000</c:formatCode>
                <c:ptCount val="3"/>
                <c:pt idx="0">
                  <c:v>3.1055649111335639E-3</c:v>
                </c:pt>
                <c:pt idx="1">
                  <c:v>3.9575677966395585E-3</c:v>
                </c:pt>
                <c:pt idx="2">
                  <c:v>8.8630828876566786E-3</c:v>
                </c:pt>
              </c:numCache>
            </c:numRef>
          </c:val>
          <c:extLst>
            <c:ext xmlns:c16="http://schemas.microsoft.com/office/drawing/2014/chart" uri="{C3380CC4-5D6E-409C-BE32-E72D297353CC}">
              <c16:uniqueId val="{00000000-0CF8-439D-88BC-B50A8FA04B2E}"/>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(Diesel)'!$A$11</c:f>
              <c:strCache>
                <c:ptCount val="1"/>
                <c:pt idx="0">
                  <c:v>Capex vehicle</c:v>
                </c:pt>
              </c:strCache>
            </c:strRef>
          </c:tx>
          <c:spPr>
            <a:ln w="28575" cap="rnd">
              <a:solidFill>
                <a:schemeClr val="accent1"/>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9497-4E19-8675-2B89731AE142}"/>
            </c:ext>
          </c:extLst>
        </c:ser>
        <c:ser>
          <c:idx val="13"/>
          <c:order val="1"/>
          <c:tx>
            <c:strRef>
              <c:f>'Semi-trailer truck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9497-4E19-8675-2B89731AE142}"/>
            </c:ext>
          </c:extLst>
        </c:ser>
        <c:ser>
          <c:idx val="1"/>
          <c:order val="2"/>
          <c:tx>
            <c:strRef>
              <c:f>'Semi-trailer truck (Diesel)'!$A$13</c:f>
              <c:strCache>
                <c:ptCount val="1"/>
                <c:pt idx="0">
                  <c:v>Capex costumization</c:v>
                </c:pt>
              </c:strCache>
            </c:strRef>
          </c:tx>
          <c:spPr>
            <a:ln w="28575" cap="rnd">
              <a:solidFill>
                <a:schemeClr val="accent2"/>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9497-4E19-8675-2B89731AE142}"/>
            </c:ext>
          </c:extLst>
        </c:ser>
        <c:ser>
          <c:idx val="14"/>
          <c:order val="3"/>
          <c:tx>
            <c:strRef>
              <c:f>'Semi-trailer truck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9497-4E19-8675-2B89731AE142}"/>
            </c:ext>
          </c:extLst>
        </c:ser>
        <c:ser>
          <c:idx val="2"/>
          <c:order val="4"/>
          <c:tx>
            <c:strRef>
              <c:f>'Semi-trailer truck (Diesel)'!$A$15</c:f>
              <c:strCache>
                <c:ptCount val="1"/>
                <c:pt idx="0">
                  <c:v>WACC</c:v>
                </c:pt>
              </c:strCache>
            </c:strRef>
          </c:tx>
          <c:spPr>
            <a:ln w="28575" cap="rnd">
              <a:solidFill>
                <a:schemeClr val="accent3"/>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9497-4E19-8675-2B89731AE142}"/>
            </c:ext>
          </c:extLst>
        </c:ser>
        <c:ser>
          <c:idx val="3"/>
          <c:order val="5"/>
          <c:tx>
            <c:strRef>
              <c:f>'Semi-trailer truck (Diesel)'!$A$16</c:f>
              <c:strCache>
                <c:ptCount val="1"/>
                <c:pt idx="0">
                  <c:v>Opex fix (admin, crew, insurance)</c:v>
                </c:pt>
              </c:strCache>
            </c:strRef>
          </c:tx>
          <c:spPr>
            <a:ln w="28575" cap="rnd">
              <a:solidFill>
                <a:schemeClr val="accent4"/>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9497-4E19-8675-2B89731AE142}"/>
            </c:ext>
          </c:extLst>
        </c:ser>
        <c:ser>
          <c:idx val="4"/>
          <c:order val="6"/>
          <c:tx>
            <c:strRef>
              <c:f>'Semi-trailer truck (Diesel)'!$A$18</c:f>
              <c:strCache>
                <c:ptCount val="1"/>
                <c:pt idx="0">
                  <c:v>Opex var (mode-fees)</c:v>
                </c:pt>
              </c:strCache>
            </c:strRef>
          </c:tx>
          <c:spPr>
            <a:ln w="28575" cap="rnd">
              <a:solidFill>
                <a:schemeClr val="accent5"/>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9497-4E19-8675-2B89731AE142}"/>
            </c:ext>
          </c:extLst>
        </c:ser>
        <c:ser>
          <c:idx val="5"/>
          <c:order val="7"/>
          <c:tx>
            <c:strRef>
              <c:f>'Semi-trailer truck (Diesel)'!$A$19</c:f>
              <c:strCache>
                <c:ptCount val="1"/>
                <c:pt idx="0">
                  <c:v>Fuel Economy</c:v>
                </c:pt>
              </c:strCache>
            </c:strRef>
          </c:tx>
          <c:spPr>
            <a:ln w="28575" cap="rnd">
              <a:solidFill>
                <a:schemeClr val="accent6"/>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9497-4E19-8675-2B89731AE142}"/>
            </c:ext>
          </c:extLst>
        </c:ser>
        <c:ser>
          <c:idx val="6"/>
          <c:order val="8"/>
          <c:tx>
            <c:strRef>
              <c:f>'Semi-trailer truck (Diesel)'!$A$20</c:f>
              <c:strCache>
                <c:ptCount val="1"/>
                <c:pt idx="0">
                  <c:v>Fuel Cost</c:v>
                </c:pt>
              </c:strCache>
            </c:strRef>
          </c:tx>
          <c:spPr>
            <a:ln w="28575" cap="rnd">
              <a:solidFill>
                <a:schemeClr val="accent1">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9497-4E19-8675-2B89731AE142}"/>
            </c:ext>
          </c:extLst>
        </c:ser>
        <c:ser>
          <c:idx val="7"/>
          <c:order val="9"/>
          <c:tx>
            <c:strRef>
              <c:f>'Semi-trailer truck (Diesel)'!$A$22</c:f>
              <c:strCache>
                <c:ptCount val="1"/>
                <c:pt idx="0">
                  <c:v>Lifetime vehicle</c:v>
                </c:pt>
              </c:strCache>
            </c:strRef>
          </c:tx>
          <c:spPr>
            <a:ln w="28575" cap="rnd">
              <a:solidFill>
                <a:schemeClr val="accent2">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9497-4E19-8675-2B89731AE142}"/>
            </c:ext>
          </c:extLst>
        </c:ser>
        <c:ser>
          <c:idx val="8"/>
          <c:order val="10"/>
          <c:tx>
            <c:strRef>
              <c:f>'Semi-trailer truck (Diesel)'!$A$23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9497-4E19-8675-2B89731AE142}"/>
            </c:ext>
          </c:extLst>
        </c:ser>
        <c:ser>
          <c:idx val="9"/>
          <c:order val="11"/>
          <c:tx>
            <c:strRef>
              <c:f>'Semi-trailer truck (Diesel)'!$A$24</c:f>
              <c:strCache>
                <c:ptCount val="1"/>
                <c:pt idx="0">
                  <c:v>Tonnage .</c:v>
                </c:pt>
              </c:strCache>
            </c:strRef>
          </c:tx>
          <c:spPr>
            <a:ln w="28575" cap="rnd">
              <a:solidFill>
                <a:schemeClr val="accent4">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9497-4E19-8675-2B89731AE142}"/>
            </c:ext>
          </c:extLst>
        </c:ser>
        <c:ser>
          <c:idx val="10"/>
          <c:order val="12"/>
          <c:tx>
            <c:strRef>
              <c:f>'Semi-trailer truck (Diesel)'!$A$25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9497-4E19-8675-2B89731AE142}"/>
            </c:ext>
          </c:extLst>
        </c:ser>
        <c:ser>
          <c:idx val="11"/>
          <c:order val="13"/>
          <c:tx>
            <c:strRef>
              <c:f>'Semi-trailer truck (Diesel)'!$A$27</c:f>
              <c:strCache>
                <c:ptCount val="1"/>
                <c:pt idx="0">
                  <c:v>Annual Mileage</c:v>
                </c:pt>
              </c:strCache>
            </c:strRef>
          </c:tx>
          <c:spPr>
            <a:ln w="28575" cap="rnd">
              <a:solidFill>
                <a:schemeClr val="accent6">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9497-4E19-8675-2B89731AE142}"/>
            </c:ext>
          </c:extLst>
        </c:ser>
        <c:ser>
          <c:idx val="12"/>
          <c:order val="14"/>
          <c:tx>
            <c:strRef>
              <c:f>'Semi-trailer truck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9497-4E19-8675-2B89731AE142}"/>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(Diesel)'!$A$74</c:f>
              <c:strCache>
                <c:ptCount val="1"/>
                <c:pt idx="0">
                  <c:v>Capex vehicle</c:v>
                </c:pt>
              </c:strCache>
            </c:strRef>
          </c:tx>
          <c:spPr>
            <a:solidFill>
              <a:schemeClr val="accent1"/>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(Diesel)'!$B$74,'Semi-trailer truck (Diesel)'!$N$74,'Semi-trailer truck (Diesel)'!$AC$74)</c:f>
              <c:numCache>
                <c:formatCode>0.00</c:formatCode>
                <c:ptCount val="3"/>
                <c:pt idx="0">
                  <c:v>1.2312752120811793E-2</c:v>
                </c:pt>
                <c:pt idx="1">
                  <c:v>1.2924904892565417E-2</c:v>
                </c:pt>
                <c:pt idx="2">
                  <c:v>1.3465854058382996E-2</c:v>
                </c:pt>
              </c:numCache>
            </c:numRef>
          </c:val>
          <c:extLst>
            <c:ext xmlns:c16="http://schemas.microsoft.com/office/drawing/2014/chart" uri="{C3380CC4-5D6E-409C-BE32-E72D297353CC}">
              <c16:uniqueId val="{00000000-6020-4440-B6DE-845650791E8A}"/>
            </c:ext>
          </c:extLst>
        </c:ser>
        <c:ser>
          <c:idx val="1"/>
          <c:order val="1"/>
          <c:tx>
            <c:strRef>
              <c:f>'Semi-trailer truck (Diesel)'!$A$75</c:f>
              <c:strCache>
                <c:ptCount val="1"/>
                <c:pt idx="0">
                  <c:v>Residual value (vehicle)</c:v>
                </c:pt>
              </c:strCache>
            </c:strRef>
          </c:tx>
          <c:spPr>
            <a:solidFill>
              <a:schemeClr val="accent2"/>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(Diesel)'!$B$75,'Semi-trailer truck (Diesel)'!$N$75,'Semi-trailer truck (Diesel)'!$AC$75)</c:f>
              <c:numCache>
                <c:formatCode>0.000</c:formatCode>
                <c:ptCount val="3"/>
                <c:pt idx="0">
                  <c:v>-3.0604067820050769E-3</c:v>
                </c:pt>
                <c:pt idx="1">
                  <c:v>-2.5094692874268148E-3</c:v>
                </c:pt>
                <c:pt idx="2">
                  <c:v>-2.0226150381909905E-3</c:v>
                </c:pt>
              </c:numCache>
            </c:numRef>
          </c:val>
          <c:extLst>
            <c:ext xmlns:c16="http://schemas.microsoft.com/office/drawing/2014/chart" uri="{C3380CC4-5D6E-409C-BE32-E72D297353CC}">
              <c16:uniqueId val="{00000001-6020-4440-B6DE-845650791E8A}"/>
            </c:ext>
          </c:extLst>
        </c:ser>
        <c:ser>
          <c:idx val="2"/>
          <c:order val="2"/>
          <c:tx>
            <c:strRef>
              <c:f>'Semi-trailer truck (Diesel)'!$A$76</c:f>
              <c:strCache>
                <c:ptCount val="1"/>
                <c:pt idx="0">
                  <c:v>Capex costumization</c:v>
                </c:pt>
              </c:strCache>
            </c:strRef>
          </c:tx>
          <c:spPr>
            <a:solidFill>
              <a:schemeClr val="accent3"/>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(Diesel)'!$B$76,'Semi-trailer truck (Diesel)'!$N$76,'Semi-trailer truck (Diesel)'!$AC$76)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6020-4440-B6DE-845650791E8A}"/>
            </c:ext>
          </c:extLst>
        </c:ser>
        <c:ser>
          <c:idx val="3"/>
          <c:order val="3"/>
          <c:tx>
            <c:strRef>
              <c:f>'Semi-trailer truck (Diesel)'!$A$77</c:f>
              <c:strCache>
                <c:ptCount val="1"/>
                <c:pt idx="0">
                  <c:v>Residual value (costumization)</c:v>
                </c:pt>
              </c:strCache>
            </c:strRef>
          </c:tx>
          <c:spPr>
            <a:solidFill>
              <a:schemeClr val="accent4"/>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(Diesel)'!$B$77,'Semi-trailer truck (Diesel)'!$N$77,'Semi-trailer truck (Diesel)'!$AC$77)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6020-4440-B6DE-845650791E8A}"/>
            </c:ext>
          </c:extLst>
        </c:ser>
        <c:ser>
          <c:idx val="4"/>
          <c:order val="4"/>
          <c:tx>
            <c:strRef>
              <c:f>'Semi-trailer truck (Diesel)'!$A$78</c:f>
              <c:strCache>
                <c:ptCount val="1"/>
                <c:pt idx="0">
                  <c:v>Opex fix (admin, crew, insurance)</c:v>
                </c:pt>
              </c:strCache>
            </c:strRef>
          </c:tx>
          <c:spPr>
            <a:solidFill>
              <a:schemeClr val="accent5"/>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(Diesel)'!$B$78,'Semi-trailer truck (Diesel)'!$N$78,'Semi-trailer truck (Diesel)'!$AC$78)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6020-4440-B6DE-845650791E8A}"/>
            </c:ext>
          </c:extLst>
        </c:ser>
        <c:ser>
          <c:idx val="5"/>
          <c:order val="5"/>
          <c:tx>
            <c:strRef>
              <c:f>'Semi-trailer truck (Diesel)'!$A$79</c:f>
              <c:strCache>
                <c:ptCount val="1"/>
                <c:pt idx="0">
                  <c:v>Opex maintenance &amp; repair</c:v>
                </c:pt>
              </c:strCache>
            </c:strRef>
          </c:tx>
          <c:spPr>
            <a:solidFill>
              <a:schemeClr val="accent6"/>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(Diesel)'!$B$79,'Semi-trailer truck (Diesel)'!$N$79,'Semi-trailer truck (Diesel)'!$AC$79)</c:f>
              <c:numCache>
                <c:formatCode>0.00</c:formatCode>
                <c:ptCount val="3"/>
                <c:pt idx="0">
                  <c:v>1.4545454545454545E-2</c:v>
                </c:pt>
                <c:pt idx="1">
                  <c:v>1.4545454545454545E-2</c:v>
                </c:pt>
                <c:pt idx="2">
                  <c:v>1.4545454545454545E-2</c:v>
                </c:pt>
              </c:numCache>
            </c:numRef>
          </c:val>
          <c:extLst>
            <c:ext xmlns:c16="http://schemas.microsoft.com/office/drawing/2014/chart" uri="{C3380CC4-5D6E-409C-BE32-E72D297353CC}">
              <c16:uniqueId val="{00000005-6020-4440-B6DE-845650791E8A}"/>
            </c:ext>
          </c:extLst>
        </c:ser>
        <c:ser>
          <c:idx val="6"/>
          <c:order val="6"/>
          <c:tx>
            <c:strRef>
              <c:f>'Semi-trailer truck (Diesel)'!$A$80</c:f>
              <c:strCache>
                <c:ptCount val="1"/>
                <c:pt idx="0">
                  <c:v>Opex var (mode-fees)</c:v>
                </c:pt>
              </c:strCache>
            </c:strRef>
          </c:tx>
          <c:spPr>
            <a:solidFill>
              <a:schemeClr val="accent1">
                <a:lumMod val="60000"/>
              </a:schemeClr>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(Diesel)'!$B$80,'Semi-trailer truck (Diesel)'!$N$80,'Semi-trailer truck (Diesel)'!$AC$80)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6020-4440-B6DE-845650791E8A}"/>
            </c:ext>
          </c:extLst>
        </c:ser>
        <c:ser>
          <c:idx val="7"/>
          <c:order val="7"/>
          <c:tx>
            <c:strRef>
              <c:f>'Semi-trailer truck (Diesel)'!$A$81</c:f>
              <c:strCache>
                <c:ptCount val="1"/>
                <c:pt idx="0">
                  <c:v>Fuel Cost</c:v>
                </c:pt>
              </c:strCache>
            </c:strRef>
          </c:tx>
          <c:spPr>
            <a:solidFill>
              <a:schemeClr val="accent2">
                <a:lumMod val="60000"/>
              </a:schemeClr>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(Diesel)'!$B$81,'Semi-trailer truck (Diesel)'!$N$81,'Semi-trailer truck (Diesel)'!$AC$81)</c:f>
              <c:numCache>
                <c:formatCode>0.00</c:formatCode>
                <c:ptCount val="3"/>
                <c:pt idx="0">
                  <c:v>1.1573595723149675E-2</c:v>
                </c:pt>
                <c:pt idx="1">
                  <c:v>1.0528226537463705E-2</c:v>
                </c:pt>
                <c:pt idx="2">
                  <c:v>9.604451272429336E-3</c:v>
                </c:pt>
              </c:numCache>
            </c:numRef>
          </c:val>
          <c:extLst>
            <c:ext xmlns:c16="http://schemas.microsoft.com/office/drawing/2014/chart" uri="{C3380CC4-5D6E-409C-BE32-E72D297353CC}">
              <c16:uniqueId val="{00000007-6020-4440-B6DE-845650791E8A}"/>
            </c:ext>
          </c:extLst>
        </c:ser>
        <c:ser>
          <c:idx val="8"/>
          <c:order val="8"/>
          <c:tx>
            <c:strRef>
              <c:f>'Semi-trailer truck (Diesel)'!$A$82</c:f>
              <c:strCache>
                <c:ptCount val="1"/>
                <c:pt idx="0">
                  <c:v>Market failure (av. utilization)</c:v>
                </c:pt>
              </c:strCache>
            </c:strRef>
          </c:tx>
          <c:spPr>
            <a:solidFill>
              <a:schemeClr val="accent3">
                <a:lumMod val="60000"/>
              </a:schemeClr>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(Diesel)'!$B$82,'Semi-trailer truck (Diesel)'!$N$82,'Semi-trailer truck (Diesel)'!$AC$82)</c:f>
              <c:numCache>
                <c:formatCode>0.00</c:formatCode>
                <c:ptCount val="3"/>
                <c:pt idx="0">
                  <c:v>7.7570982070867392E-2</c:v>
                </c:pt>
                <c:pt idx="1">
                  <c:v>7.8332908044272453E-2</c:v>
                </c:pt>
                <c:pt idx="2">
                  <c:v>8.2268977733658016E-2</c:v>
                </c:pt>
              </c:numCache>
            </c:numRef>
          </c:val>
          <c:extLst>
            <c:ext xmlns:c16="http://schemas.microsoft.com/office/drawing/2014/chart" uri="{C3380CC4-5D6E-409C-BE32-E72D297353CC}">
              <c16:uniqueId val="{00000008-6020-4440-B6DE-845650791E8A}"/>
            </c:ext>
          </c:extLst>
        </c:ser>
        <c:ser>
          <c:idx val="9"/>
          <c:order val="9"/>
          <c:tx>
            <c:strRef>
              <c:f>'Semi-trailer truck (Diesel)'!$A$511</c:f>
              <c:strCache>
                <c:ptCount val="1"/>
                <c:pt idx="0">
                  <c:v>Payload loss (fuel)</c:v>
                </c:pt>
              </c:strCache>
            </c:strRef>
          </c:tx>
          <c:spPr>
            <a:solidFill>
              <a:schemeClr val="accent4">
                <a:lumMod val="60000"/>
              </a:schemeClr>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(Diesel)'!$B$511,'Semi-trailer truck (Diesel)'!$N$511,'Semi-trailer truck (Diesel)'!$AC$511)</c:f>
              <c:numCache>
                <c:formatCode>0.00</c:formatCode>
                <c:ptCount val="3"/>
                <c:pt idx="0">
                  <c:v>0</c:v>
                </c:pt>
                <c:pt idx="1">
                  <c:v>0</c:v>
                </c:pt>
                <c:pt idx="2">
                  <c:v>0</c:v>
                </c:pt>
              </c:numCache>
            </c:numRef>
          </c:val>
          <c:extLst>
            <c:ext xmlns:c16="http://schemas.microsoft.com/office/drawing/2014/chart" uri="{C3380CC4-5D6E-409C-BE32-E72D297353CC}">
              <c16:uniqueId val="{00000009-6020-4440-B6DE-845650791E8A}"/>
            </c:ext>
          </c:extLst>
        </c:ser>
        <c:ser>
          <c:idx val="10"/>
          <c:order val="10"/>
          <c:tx>
            <c:strRef>
              <c:f>'Semi-trailer truck (Diesel)'!$A$512</c:f>
              <c:strCache>
                <c:ptCount val="1"/>
                <c:pt idx="0">
                  <c:v>Emission Cost</c:v>
                </c:pt>
              </c:strCache>
            </c:strRef>
          </c:tx>
          <c:spPr>
            <a:solidFill>
              <a:schemeClr val="accent5">
                <a:lumMod val="60000"/>
              </a:schemeClr>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(Diesel)'!$B$512,'Semi-trailer truck (Diesel)'!$N$512,'Semi-trailer truck (Diesel)'!$AC$512)</c:f>
              <c:numCache>
                <c:formatCode>0.000</c:formatCode>
                <c:ptCount val="3"/>
                <c:pt idx="0">
                  <c:v>3.1055649111335639E-3</c:v>
                </c:pt>
                <c:pt idx="1">
                  <c:v>3.9575677966395576E-3</c:v>
                </c:pt>
                <c:pt idx="2">
                  <c:v>8.8630828876566786E-3</c:v>
                </c:pt>
              </c:numCache>
            </c:numRef>
          </c:val>
          <c:extLst>
            <c:ext xmlns:c16="http://schemas.microsoft.com/office/drawing/2014/chart" uri="{C3380CC4-5D6E-409C-BE32-E72D297353CC}">
              <c16:uniqueId val="{00000000-3929-4984-97D6-D64A48D83401}"/>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(Battery)'!$A$11</c:f>
              <c:strCache>
                <c:ptCount val="1"/>
                <c:pt idx="0">
                  <c:v>Capex vehicle</c:v>
                </c:pt>
              </c:strCache>
            </c:strRef>
          </c:tx>
          <c:spPr>
            <a:ln w="28575" cap="rnd">
              <a:solidFill>
                <a:schemeClr val="accent1"/>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(Battery)'!$Q$11:$AR$11</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0-CA59-4CE4-954D-5B0F9B45FA70}"/>
            </c:ext>
          </c:extLst>
        </c:ser>
        <c:ser>
          <c:idx val="13"/>
          <c:order val="1"/>
          <c:tx>
            <c:strRef>
              <c:f>'Semi-trailer truck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(Battery)'!$Q$12:$AR$12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1-CA59-4CE4-954D-5B0F9B45FA70}"/>
            </c:ext>
          </c:extLst>
        </c:ser>
        <c:ser>
          <c:idx val="1"/>
          <c:order val="2"/>
          <c:tx>
            <c:strRef>
              <c:f>'Semi-trailer truck (Battery)'!$A$13</c:f>
              <c:strCache>
                <c:ptCount val="1"/>
                <c:pt idx="0">
                  <c:v>Capex costumization</c:v>
                </c:pt>
              </c:strCache>
            </c:strRef>
          </c:tx>
          <c:spPr>
            <a:ln w="28575" cap="rnd">
              <a:solidFill>
                <a:schemeClr val="accent2"/>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CA59-4CE4-954D-5B0F9B45FA70}"/>
            </c:ext>
          </c:extLst>
        </c:ser>
        <c:ser>
          <c:idx val="14"/>
          <c:order val="3"/>
          <c:tx>
            <c:strRef>
              <c:f>'Semi-trailer truck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CA59-4CE4-954D-5B0F9B45FA70}"/>
            </c:ext>
          </c:extLst>
        </c:ser>
        <c:ser>
          <c:idx val="2"/>
          <c:order val="4"/>
          <c:tx>
            <c:strRef>
              <c:f>'Semi-trailer truck (Battery)'!$A$15</c:f>
              <c:strCache>
                <c:ptCount val="1"/>
                <c:pt idx="0">
                  <c:v>WACC</c:v>
                </c:pt>
              </c:strCache>
            </c:strRef>
          </c:tx>
          <c:spPr>
            <a:ln w="28575" cap="rnd">
              <a:solidFill>
                <a:schemeClr val="accent3"/>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CA59-4CE4-954D-5B0F9B45FA70}"/>
            </c:ext>
          </c:extLst>
        </c:ser>
        <c:ser>
          <c:idx val="3"/>
          <c:order val="5"/>
          <c:tx>
            <c:strRef>
              <c:f>'Semi-trailer truck (Battery)'!$A$16</c:f>
              <c:strCache>
                <c:ptCount val="1"/>
                <c:pt idx="0">
                  <c:v>Opex fix (admin, crew, insurance)</c:v>
                </c:pt>
              </c:strCache>
            </c:strRef>
          </c:tx>
          <c:spPr>
            <a:ln w="28575" cap="rnd">
              <a:solidFill>
                <a:schemeClr val="accent4"/>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CA59-4CE4-954D-5B0F9B45FA70}"/>
            </c:ext>
          </c:extLst>
        </c:ser>
        <c:ser>
          <c:idx val="4"/>
          <c:order val="6"/>
          <c:tx>
            <c:strRef>
              <c:f>'Semi-trailer truck (Battery)'!$A$18</c:f>
              <c:strCache>
                <c:ptCount val="1"/>
                <c:pt idx="0">
                  <c:v>Opex var (mode-fees)</c:v>
                </c:pt>
              </c:strCache>
            </c:strRef>
          </c:tx>
          <c:spPr>
            <a:ln w="28575" cap="rnd">
              <a:solidFill>
                <a:schemeClr val="accent5"/>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CA59-4CE4-954D-5B0F9B45FA70}"/>
            </c:ext>
          </c:extLst>
        </c:ser>
        <c:ser>
          <c:idx val="5"/>
          <c:order val="7"/>
          <c:tx>
            <c:strRef>
              <c:f>'Semi-trailer truck (Battery)'!$A$19</c:f>
              <c:strCache>
                <c:ptCount val="1"/>
                <c:pt idx="0">
                  <c:v>Fuel Economy</c:v>
                </c:pt>
              </c:strCache>
            </c:strRef>
          </c:tx>
          <c:spPr>
            <a:ln w="28575" cap="rnd">
              <a:solidFill>
                <a:schemeClr val="accent6"/>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(Battery)'!$Q$19:$AR$19</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7-CA59-4CE4-954D-5B0F9B45FA70}"/>
            </c:ext>
          </c:extLst>
        </c:ser>
        <c:ser>
          <c:idx val="6"/>
          <c:order val="8"/>
          <c:tx>
            <c:strRef>
              <c:f>'Semi-trailer truck (Battery)'!$A$20</c:f>
              <c:strCache>
                <c:ptCount val="1"/>
                <c:pt idx="0">
                  <c:v>Fuel Cost</c:v>
                </c:pt>
              </c:strCache>
            </c:strRef>
          </c:tx>
          <c:spPr>
            <a:ln w="28575" cap="rnd">
              <a:solidFill>
                <a:schemeClr val="accent1">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CA59-4CE4-954D-5B0F9B45FA70}"/>
            </c:ext>
          </c:extLst>
        </c:ser>
        <c:ser>
          <c:idx val="7"/>
          <c:order val="9"/>
          <c:tx>
            <c:strRef>
              <c:f>'Semi-trailer truck (Battery)'!$A$22</c:f>
              <c:strCache>
                <c:ptCount val="1"/>
                <c:pt idx="0">
                  <c:v>Lifetime vehicle</c:v>
                </c:pt>
              </c:strCache>
            </c:strRef>
          </c:tx>
          <c:spPr>
            <a:ln w="28575" cap="rnd">
              <a:solidFill>
                <a:schemeClr val="accent2">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(Battery)'!$Q$22:$AR$22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9-CA59-4CE4-954D-5B0F9B45FA70}"/>
            </c:ext>
          </c:extLst>
        </c:ser>
        <c:ser>
          <c:idx val="8"/>
          <c:order val="10"/>
          <c:tx>
            <c:strRef>
              <c:f>'Semi-trailer truck (Battery)'!$A$23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CA59-4CE4-954D-5B0F9B45FA70}"/>
            </c:ext>
          </c:extLst>
        </c:ser>
        <c:ser>
          <c:idx val="9"/>
          <c:order val="11"/>
          <c:tx>
            <c:strRef>
              <c:f>'Semi-trailer truck (Battery)'!$A$24</c:f>
              <c:strCache>
                <c:ptCount val="1"/>
                <c:pt idx="0">
                  <c:v>Tonnage .</c:v>
                </c:pt>
              </c:strCache>
            </c:strRef>
          </c:tx>
          <c:spPr>
            <a:ln w="28575" cap="rnd">
              <a:solidFill>
                <a:schemeClr val="accent4">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CA59-4CE4-954D-5B0F9B45FA70}"/>
            </c:ext>
          </c:extLst>
        </c:ser>
        <c:ser>
          <c:idx val="10"/>
          <c:order val="12"/>
          <c:tx>
            <c:strRef>
              <c:f>'Semi-trailer truck (Battery)'!$A$25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CA59-4CE4-954D-5B0F9B45FA70}"/>
            </c:ext>
          </c:extLst>
        </c:ser>
        <c:ser>
          <c:idx val="11"/>
          <c:order val="13"/>
          <c:tx>
            <c:strRef>
              <c:f>'Semi-trailer truck (Battery)'!$A$27</c:f>
              <c:strCache>
                <c:ptCount val="1"/>
                <c:pt idx="0">
                  <c:v>Annual Mileage</c:v>
                </c:pt>
              </c:strCache>
            </c:strRef>
          </c:tx>
          <c:spPr>
            <a:ln w="28575" cap="rnd">
              <a:solidFill>
                <a:schemeClr val="accent6">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CA59-4CE4-954D-5B0F9B45FA70}"/>
            </c:ext>
          </c:extLst>
        </c:ser>
        <c:ser>
          <c:idx val="12"/>
          <c:order val="14"/>
          <c:tx>
            <c:strRef>
              <c:f>'Semi-trailer truck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(Battery)'!$Q$17:$AR$17</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E-CA59-4CE4-954D-5B0F9B45FA7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(Battery)'!$A$74</c:f>
              <c:strCache>
                <c:ptCount val="1"/>
                <c:pt idx="0">
                  <c:v>Capex vehicle</c:v>
                </c:pt>
              </c:strCache>
            </c:strRef>
          </c:tx>
          <c:spPr>
            <a:solidFill>
              <a:schemeClr val="accent1"/>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(Battery)'!$B$74,'Semi-trailer truck (Battery)'!$N$74,'Semi-trailer truck (Battery)'!$AC$74)</c:f>
              <c:numCache>
                <c:formatCode>0.00</c:formatCode>
                <c:ptCount val="3"/>
                <c:pt idx="0">
                  <c:v>4.5229574619176545E-2</c:v>
                </c:pt>
                <c:pt idx="1">
                  <c:v>2.1537531385848969E-2</c:v>
                </c:pt>
                <c:pt idx="2">
                  <c:v>1.6995417056938824E-2</c:v>
                </c:pt>
              </c:numCache>
            </c:numRef>
          </c:val>
          <c:extLst>
            <c:ext xmlns:c16="http://schemas.microsoft.com/office/drawing/2014/chart" uri="{C3380CC4-5D6E-409C-BE32-E72D297353CC}">
              <c16:uniqueId val="{00000000-3D93-4F18-A893-6FD088711FBA}"/>
            </c:ext>
          </c:extLst>
        </c:ser>
        <c:ser>
          <c:idx val="1"/>
          <c:order val="1"/>
          <c:tx>
            <c:strRef>
              <c:f>'Semi-trailer truck (Battery)'!$A$75</c:f>
              <c:strCache>
                <c:ptCount val="1"/>
                <c:pt idx="0">
                  <c:v>Residual value (vehicle)</c:v>
                </c:pt>
              </c:strCache>
            </c:strRef>
          </c:tx>
          <c:spPr>
            <a:solidFill>
              <a:schemeClr val="accent2"/>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(Battery)'!$B$75,'Semi-trailer truck (Battery)'!$N$75,'Semi-trailer truck (Battery)'!$AC$75)</c:f>
              <c:numCache>
                <c:formatCode>0.000</c:formatCode>
                <c:ptCount val="3"/>
                <c:pt idx="0">
                  <c:v>-6.8763971865001975E-3</c:v>
                </c:pt>
                <c:pt idx="1">
                  <c:v>-4.6697853167294925E-3</c:v>
                </c:pt>
                <c:pt idx="2">
                  <c:v>-4.2467452566839394E-3</c:v>
                </c:pt>
              </c:numCache>
            </c:numRef>
          </c:val>
          <c:extLst>
            <c:ext xmlns:c16="http://schemas.microsoft.com/office/drawing/2014/chart" uri="{C3380CC4-5D6E-409C-BE32-E72D297353CC}">
              <c16:uniqueId val="{00000001-3D93-4F18-A893-6FD088711FBA}"/>
            </c:ext>
          </c:extLst>
        </c:ser>
        <c:ser>
          <c:idx val="2"/>
          <c:order val="2"/>
          <c:tx>
            <c:strRef>
              <c:f>'Semi-trailer truck (Battery)'!$A$76</c:f>
              <c:strCache>
                <c:ptCount val="1"/>
                <c:pt idx="0">
                  <c:v>Capex costumization</c:v>
                </c:pt>
              </c:strCache>
            </c:strRef>
          </c:tx>
          <c:spPr>
            <a:solidFill>
              <a:schemeClr val="accent3"/>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(Battery)'!$B$76,'Semi-trailer truck (Battery)'!$N$76,'Semi-trailer truck (Battery)'!$AC$76)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3D93-4F18-A893-6FD088711FBA}"/>
            </c:ext>
          </c:extLst>
        </c:ser>
        <c:ser>
          <c:idx val="3"/>
          <c:order val="3"/>
          <c:tx>
            <c:strRef>
              <c:f>'Semi-trailer truck (Battery)'!$A$77</c:f>
              <c:strCache>
                <c:ptCount val="1"/>
                <c:pt idx="0">
                  <c:v>Residual value (costumization)</c:v>
                </c:pt>
              </c:strCache>
            </c:strRef>
          </c:tx>
          <c:spPr>
            <a:solidFill>
              <a:schemeClr val="accent4"/>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(Battery)'!$B$77,'Semi-trailer truck (Battery)'!$N$77,'Semi-trailer truck (Battery)'!$AC$77)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3D93-4F18-A893-6FD088711FBA}"/>
            </c:ext>
          </c:extLst>
        </c:ser>
        <c:ser>
          <c:idx val="4"/>
          <c:order val="4"/>
          <c:tx>
            <c:strRef>
              <c:f>'Semi-trailer truck (Battery)'!$A$78</c:f>
              <c:strCache>
                <c:ptCount val="1"/>
                <c:pt idx="0">
                  <c:v>Opex fix (admin, crew, insurance)</c:v>
                </c:pt>
              </c:strCache>
            </c:strRef>
          </c:tx>
          <c:spPr>
            <a:solidFill>
              <a:schemeClr val="accent5"/>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(Battery)'!$B$78,'Semi-trailer truck (Battery)'!$N$78,'Semi-trailer truck (Battery)'!$AC$78)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3D93-4F18-A893-6FD088711FBA}"/>
            </c:ext>
          </c:extLst>
        </c:ser>
        <c:ser>
          <c:idx val="5"/>
          <c:order val="5"/>
          <c:tx>
            <c:strRef>
              <c:f>'Semi-trailer truck (Battery)'!$A$79</c:f>
              <c:strCache>
                <c:ptCount val="1"/>
                <c:pt idx="0">
                  <c:v>Opex maintenance &amp; repair</c:v>
                </c:pt>
              </c:strCache>
            </c:strRef>
          </c:tx>
          <c:spPr>
            <a:solidFill>
              <a:schemeClr val="accent6"/>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(Battery)'!$B$79,'Semi-trailer truck (Battery)'!$N$79,'Semi-trailer truck (Battery)'!$AC$79)</c:f>
              <c:numCache>
                <c:formatCode>0.00</c:formatCode>
                <c:ptCount val="3"/>
                <c:pt idx="0">
                  <c:v>1.0909090909090908E-2</c:v>
                </c:pt>
                <c:pt idx="1">
                  <c:v>1.0909090909090908E-2</c:v>
                </c:pt>
                <c:pt idx="2">
                  <c:v>1.0909090909090908E-2</c:v>
                </c:pt>
              </c:numCache>
            </c:numRef>
          </c:val>
          <c:extLst>
            <c:ext xmlns:c16="http://schemas.microsoft.com/office/drawing/2014/chart" uri="{C3380CC4-5D6E-409C-BE32-E72D297353CC}">
              <c16:uniqueId val="{00000005-3D93-4F18-A893-6FD088711FBA}"/>
            </c:ext>
          </c:extLst>
        </c:ser>
        <c:ser>
          <c:idx val="6"/>
          <c:order val="6"/>
          <c:tx>
            <c:strRef>
              <c:f>'Semi-trailer truck (Battery)'!$A$80</c:f>
              <c:strCache>
                <c:ptCount val="1"/>
                <c:pt idx="0">
                  <c:v>Opex var (mode-fees)</c:v>
                </c:pt>
              </c:strCache>
            </c:strRef>
          </c:tx>
          <c:spPr>
            <a:solidFill>
              <a:schemeClr val="accent1">
                <a:lumMod val="60000"/>
              </a:schemeClr>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(Battery)'!$B$80,'Semi-trailer truck (Battery)'!$N$80,'Semi-trailer truck (Battery)'!$AC$80)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3D93-4F18-A893-6FD088711FBA}"/>
            </c:ext>
          </c:extLst>
        </c:ser>
        <c:ser>
          <c:idx val="7"/>
          <c:order val="7"/>
          <c:tx>
            <c:strRef>
              <c:f>'Semi-trailer truck (Battery)'!$A$81</c:f>
              <c:strCache>
                <c:ptCount val="1"/>
                <c:pt idx="0">
                  <c:v>Fuel Cost</c:v>
                </c:pt>
              </c:strCache>
            </c:strRef>
          </c:tx>
          <c:spPr>
            <a:solidFill>
              <a:schemeClr val="accent2">
                <a:lumMod val="60000"/>
              </a:schemeClr>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(Battery)'!$B$81,'Semi-trailer truck (Battery)'!$N$81,'Semi-trailer truck (Battery)'!$AC$81)</c:f>
              <c:numCache>
                <c:formatCode>0.00</c:formatCode>
                <c:ptCount val="3"/>
                <c:pt idx="0">
                  <c:v>7.985890061771795E-3</c:v>
                </c:pt>
                <c:pt idx="1">
                  <c:v>5.2597091002081252E-3</c:v>
                </c:pt>
                <c:pt idx="2">
                  <c:v>4.0342174151229478E-3</c:v>
                </c:pt>
              </c:numCache>
            </c:numRef>
          </c:val>
          <c:extLst>
            <c:ext xmlns:c16="http://schemas.microsoft.com/office/drawing/2014/chart" uri="{C3380CC4-5D6E-409C-BE32-E72D297353CC}">
              <c16:uniqueId val="{00000007-3D93-4F18-A893-6FD088711FBA}"/>
            </c:ext>
          </c:extLst>
        </c:ser>
        <c:ser>
          <c:idx val="8"/>
          <c:order val="8"/>
          <c:tx>
            <c:strRef>
              <c:f>'Semi-trailer truck (Battery)'!$A$82</c:f>
              <c:strCache>
                <c:ptCount val="1"/>
                <c:pt idx="0">
                  <c:v>Market failure (av. utilization)</c:v>
                </c:pt>
              </c:strCache>
            </c:strRef>
          </c:tx>
          <c:spPr>
            <a:solidFill>
              <a:schemeClr val="accent3">
                <a:lumMod val="60000"/>
              </a:schemeClr>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(Battery)'!$B$82,'Semi-trailer truck (Battery)'!$N$82,'Semi-trailer truck (Battery)'!$AC$82)</c:f>
              <c:numCache>
                <c:formatCode>0.00</c:formatCode>
                <c:ptCount val="3"/>
                <c:pt idx="0">
                  <c:v>9.2430166012000908E-2</c:v>
                </c:pt>
                <c:pt idx="1">
                  <c:v>7.3390686609020192E-2</c:v>
                </c:pt>
                <c:pt idx="2">
                  <c:v>6.9098861335152389E-2</c:v>
                </c:pt>
              </c:numCache>
            </c:numRef>
          </c:val>
          <c:extLst>
            <c:ext xmlns:c16="http://schemas.microsoft.com/office/drawing/2014/chart" uri="{C3380CC4-5D6E-409C-BE32-E72D297353CC}">
              <c16:uniqueId val="{00000008-3D93-4F18-A893-6FD088711FBA}"/>
            </c:ext>
          </c:extLst>
        </c:ser>
        <c:ser>
          <c:idx val="9"/>
          <c:order val="9"/>
          <c:tx>
            <c:strRef>
              <c:f>'Semi-trailer truck (Battery)'!$A$83</c:f>
              <c:strCache>
                <c:ptCount val="1"/>
                <c:pt idx="0">
                  <c:v>Payload loss (fuel)</c:v>
                </c:pt>
              </c:strCache>
            </c:strRef>
          </c:tx>
          <c:spPr>
            <a:solidFill>
              <a:schemeClr val="accent4">
                <a:lumMod val="60000"/>
              </a:schemeClr>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(Battery)'!$B$83,'Semi-trailer truck (Battery)'!$N$83,'Semi-trailer truck (Battery)'!$AC$83)</c:f>
              <c:numCache>
                <c:formatCode>0.00</c:formatCode>
                <c:ptCount val="3"/>
                <c:pt idx="0">
                  <c:v>1.2975133797221566E-2</c:v>
                </c:pt>
                <c:pt idx="1">
                  <c:v>7.3779823319743004E-3</c:v>
                </c:pt>
                <c:pt idx="2">
                  <c:v>4.6394769729870972E-3</c:v>
                </c:pt>
              </c:numCache>
            </c:numRef>
          </c:val>
          <c:extLst>
            <c:ext xmlns:c16="http://schemas.microsoft.com/office/drawing/2014/chart" uri="{C3380CC4-5D6E-409C-BE32-E72D297353CC}">
              <c16:uniqueId val="{00000009-3D93-4F18-A893-6FD088711FBA}"/>
            </c:ext>
          </c:extLst>
        </c:ser>
        <c:ser>
          <c:idx val="10"/>
          <c:order val="10"/>
          <c:tx>
            <c:strRef>
              <c:f>'Semi-trailer truck (Battery)'!$A$84</c:f>
              <c:strCache>
                <c:ptCount val="1"/>
                <c:pt idx="0">
                  <c:v>Emission Cost</c:v>
                </c:pt>
              </c:strCache>
            </c:strRef>
          </c:tx>
          <c:spPr>
            <a:solidFill>
              <a:schemeClr val="accent5">
                <a:lumMod val="60000"/>
              </a:schemeClr>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(Battery)'!$B$84,'Semi-trailer truck (Battery)'!$N$84,'Semi-trailer truck (Battery)'!$AC$84)</c:f>
              <c:numCache>
                <c:formatCode>0.000</c:formatCode>
                <c:ptCount val="3"/>
                <c:pt idx="0" formatCode="0.00">
                  <c:v>1.4049076735721778E-4</c:v>
                </c:pt>
                <c:pt idx="1">
                  <c:v>1.2003839777505244E-4</c:v>
                </c:pt>
                <c:pt idx="2">
                  <c:v>2.2812758930212777E-6</c:v>
                </c:pt>
              </c:numCache>
            </c:numRef>
          </c:val>
          <c:extLst>
            <c:ext xmlns:c16="http://schemas.microsoft.com/office/drawing/2014/chart" uri="{C3380CC4-5D6E-409C-BE32-E72D297353CC}">
              <c16:uniqueId val="{00000000-C19B-417B-8EFE-6B914785A081}"/>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(Battery)'!$A$11</c:f>
              <c:strCache>
                <c:ptCount val="1"/>
                <c:pt idx="0">
                  <c:v>Capex vehicle</c:v>
                </c:pt>
              </c:strCache>
            </c:strRef>
          </c:tx>
          <c:spPr>
            <a:ln w="28575" cap="rnd">
              <a:solidFill>
                <a:schemeClr val="accent1"/>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(Battery)'!$Q$11:$AR$11</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0-5CB4-413F-BD63-02A9D140A726}"/>
            </c:ext>
          </c:extLst>
        </c:ser>
        <c:ser>
          <c:idx val="13"/>
          <c:order val="1"/>
          <c:tx>
            <c:strRef>
              <c:f>'Semi-trailer truck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(Battery)'!$Q$12:$AR$12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1-5CB4-413F-BD63-02A9D140A726}"/>
            </c:ext>
          </c:extLst>
        </c:ser>
        <c:ser>
          <c:idx val="1"/>
          <c:order val="2"/>
          <c:tx>
            <c:strRef>
              <c:f>'Semi-trailer truck (Battery)'!$A$13</c:f>
              <c:strCache>
                <c:ptCount val="1"/>
                <c:pt idx="0">
                  <c:v>Capex costumization</c:v>
                </c:pt>
              </c:strCache>
            </c:strRef>
          </c:tx>
          <c:spPr>
            <a:ln w="28575" cap="rnd">
              <a:solidFill>
                <a:schemeClr val="accent2"/>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5CB4-413F-BD63-02A9D140A726}"/>
            </c:ext>
          </c:extLst>
        </c:ser>
        <c:ser>
          <c:idx val="14"/>
          <c:order val="3"/>
          <c:tx>
            <c:strRef>
              <c:f>'Semi-trailer truck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5CB4-413F-BD63-02A9D140A726}"/>
            </c:ext>
          </c:extLst>
        </c:ser>
        <c:ser>
          <c:idx val="2"/>
          <c:order val="4"/>
          <c:tx>
            <c:strRef>
              <c:f>'Semi-trailer truck (Battery)'!$A$15</c:f>
              <c:strCache>
                <c:ptCount val="1"/>
                <c:pt idx="0">
                  <c:v>WACC</c:v>
                </c:pt>
              </c:strCache>
            </c:strRef>
          </c:tx>
          <c:spPr>
            <a:ln w="28575" cap="rnd">
              <a:solidFill>
                <a:schemeClr val="accent3"/>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5CB4-413F-BD63-02A9D140A726}"/>
            </c:ext>
          </c:extLst>
        </c:ser>
        <c:ser>
          <c:idx val="3"/>
          <c:order val="5"/>
          <c:tx>
            <c:strRef>
              <c:f>'Semi-trailer truck (Battery)'!$A$16</c:f>
              <c:strCache>
                <c:ptCount val="1"/>
                <c:pt idx="0">
                  <c:v>Opex fix (admin, crew, insurance)</c:v>
                </c:pt>
              </c:strCache>
            </c:strRef>
          </c:tx>
          <c:spPr>
            <a:ln w="28575" cap="rnd">
              <a:solidFill>
                <a:schemeClr val="accent4"/>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5CB4-413F-BD63-02A9D140A726}"/>
            </c:ext>
          </c:extLst>
        </c:ser>
        <c:ser>
          <c:idx val="4"/>
          <c:order val="6"/>
          <c:tx>
            <c:strRef>
              <c:f>'Semi-trailer truck (Battery)'!$A$18</c:f>
              <c:strCache>
                <c:ptCount val="1"/>
                <c:pt idx="0">
                  <c:v>Opex var (mode-fees)</c:v>
                </c:pt>
              </c:strCache>
            </c:strRef>
          </c:tx>
          <c:spPr>
            <a:ln w="28575" cap="rnd">
              <a:solidFill>
                <a:schemeClr val="accent5"/>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5CB4-413F-BD63-02A9D140A726}"/>
            </c:ext>
          </c:extLst>
        </c:ser>
        <c:ser>
          <c:idx val="5"/>
          <c:order val="7"/>
          <c:tx>
            <c:strRef>
              <c:f>'Semi-trailer truck (Battery)'!$A$19</c:f>
              <c:strCache>
                <c:ptCount val="1"/>
                <c:pt idx="0">
                  <c:v>Fuel Economy</c:v>
                </c:pt>
              </c:strCache>
            </c:strRef>
          </c:tx>
          <c:spPr>
            <a:ln w="28575" cap="rnd">
              <a:solidFill>
                <a:schemeClr val="accent6"/>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(Battery)'!$Q$19:$AR$19</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7-5CB4-413F-BD63-02A9D140A726}"/>
            </c:ext>
          </c:extLst>
        </c:ser>
        <c:ser>
          <c:idx val="6"/>
          <c:order val="8"/>
          <c:tx>
            <c:strRef>
              <c:f>'Semi-trailer truck (Battery)'!$A$20</c:f>
              <c:strCache>
                <c:ptCount val="1"/>
                <c:pt idx="0">
                  <c:v>Fuel Cost</c:v>
                </c:pt>
              </c:strCache>
            </c:strRef>
          </c:tx>
          <c:spPr>
            <a:ln w="28575" cap="rnd">
              <a:solidFill>
                <a:schemeClr val="accent1">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5CB4-413F-BD63-02A9D140A726}"/>
            </c:ext>
          </c:extLst>
        </c:ser>
        <c:ser>
          <c:idx val="7"/>
          <c:order val="9"/>
          <c:tx>
            <c:strRef>
              <c:f>'Semi-trailer truck (Battery)'!$A$22</c:f>
              <c:strCache>
                <c:ptCount val="1"/>
                <c:pt idx="0">
                  <c:v>Lifetime vehicle</c:v>
                </c:pt>
              </c:strCache>
            </c:strRef>
          </c:tx>
          <c:spPr>
            <a:ln w="28575" cap="rnd">
              <a:solidFill>
                <a:schemeClr val="accent2">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(Battery)'!$Q$22:$AR$22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9-5CB4-413F-BD63-02A9D140A726}"/>
            </c:ext>
          </c:extLst>
        </c:ser>
        <c:ser>
          <c:idx val="8"/>
          <c:order val="10"/>
          <c:tx>
            <c:strRef>
              <c:f>'Semi-trailer truck (Battery)'!$A$23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5CB4-413F-BD63-02A9D140A726}"/>
            </c:ext>
          </c:extLst>
        </c:ser>
        <c:ser>
          <c:idx val="9"/>
          <c:order val="11"/>
          <c:tx>
            <c:strRef>
              <c:f>'Semi-trailer truck (Battery)'!$A$24</c:f>
              <c:strCache>
                <c:ptCount val="1"/>
                <c:pt idx="0">
                  <c:v>Tonnage .</c:v>
                </c:pt>
              </c:strCache>
            </c:strRef>
          </c:tx>
          <c:spPr>
            <a:ln w="28575" cap="rnd">
              <a:solidFill>
                <a:schemeClr val="accent4">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5CB4-413F-BD63-02A9D140A726}"/>
            </c:ext>
          </c:extLst>
        </c:ser>
        <c:ser>
          <c:idx val="10"/>
          <c:order val="12"/>
          <c:tx>
            <c:strRef>
              <c:f>'Semi-trailer truck (Battery)'!$A$25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5CB4-413F-BD63-02A9D140A726}"/>
            </c:ext>
          </c:extLst>
        </c:ser>
        <c:ser>
          <c:idx val="11"/>
          <c:order val="13"/>
          <c:tx>
            <c:strRef>
              <c:f>'Semi-trailer truck (Battery)'!$A$27</c:f>
              <c:strCache>
                <c:ptCount val="1"/>
                <c:pt idx="0">
                  <c:v>Annual Mileage</c:v>
                </c:pt>
              </c:strCache>
            </c:strRef>
          </c:tx>
          <c:spPr>
            <a:ln w="28575" cap="rnd">
              <a:solidFill>
                <a:schemeClr val="accent6">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5CB4-413F-BD63-02A9D140A726}"/>
            </c:ext>
          </c:extLst>
        </c:ser>
        <c:ser>
          <c:idx val="12"/>
          <c:order val="14"/>
          <c:tx>
            <c:strRef>
              <c:f>'Semi-trailer truck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(Battery)'!$Q$17:$AR$17</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E-5CB4-413F-BD63-02A9D140A726}"/>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(Battery)'!$A$74</c:f>
              <c:strCache>
                <c:ptCount val="1"/>
                <c:pt idx="0">
                  <c:v>Capex vehicle</c:v>
                </c:pt>
              </c:strCache>
            </c:strRef>
          </c:tx>
          <c:spPr>
            <a:solidFill>
              <a:schemeClr val="accent1"/>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(Battery)'!$B$74,'Semi-trailer truck (Battery)'!$N$74,'Semi-trailer truck (Battery)'!$AC$74)</c:f>
              <c:numCache>
                <c:formatCode>0.00</c:formatCode>
                <c:ptCount val="3"/>
                <c:pt idx="0">
                  <c:v>4.5229574619176545E-2</c:v>
                </c:pt>
                <c:pt idx="1">
                  <c:v>2.1537531385848969E-2</c:v>
                </c:pt>
                <c:pt idx="2">
                  <c:v>1.6995417056938824E-2</c:v>
                </c:pt>
              </c:numCache>
            </c:numRef>
          </c:val>
          <c:extLst>
            <c:ext xmlns:c16="http://schemas.microsoft.com/office/drawing/2014/chart" uri="{C3380CC4-5D6E-409C-BE32-E72D297353CC}">
              <c16:uniqueId val="{00000000-B48E-47E7-89C6-03E0C07743EE}"/>
            </c:ext>
          </c:extLst>
        </c:ser>
        <c:ser>
          <c:idx val="1"/>
          <c:order val="1"/>
          <c:tx>
            <c:strRef>
              <c:f>'Semi-trailer truck (Battery)'!$A$75</c:f>
              <c:strCache>
                <c:ptCount val="1"/>
                <c:pt idx="0">
                  <c:v>Residual value (vehicle)</c:v>
                </c:pt>
              </c:strCache>
            </c:strRef>
          </c:tx>
          <c:spPr>
            <a:solidFill>
              <a:schemeClr val="accent2"/>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(Battery)'!$B$75,'Semi-trailer truck (Battery)'!$N$75,'Semi-trailer truck (Battery)'!$AC$75)</c:f>
              <c:numCache>
                <c:formatCode>0.000</c:formatCode>
                <c:ptCount val="3"/>
                <c:pt idx="0">
                  <c:v>-6.8763971865001975E-3</c:v>
                </c:pt>
                <c:pt idx="1">
                  <c:v>-4.6697853167294925E-3</c:v>
                </c:pt>
                <c:pt idx="2">
                  <c:v>-4.2467452566839394E-3</c:v>
                </c:pt>
              </c:numCache>
            </c:numRef>
          </c:val>
          <c:extLst>
            <c:ext xmlns:c16="http://schemas.microsoft.com/office/drawing/2014/chart" uri="{C3380CC4-5D6E-409C-BE32-E72D297353CC}">
              <c16:uniqueId val="{00000001-B48E-47E7-89C6-03E0C07743EE}"/>
            </c:ext>
          </c:extLst>
        </c:ser>
        <c:ser>
          <c:idx val="2"/>
          <c:order val="2"/>
          <c:tx>
            <c:strRef>
              <c:f>'Semi-trailer truck (Battery)'!$A$76</c:f>
              <c:strCache>
                <c:ptCount val="1"/>
                <c:pt idx="0">
                  <c:v>Capex costumization</c:v>
                </c:pt>
              </c:strCache>
            </c:strRef>
          </c:tx>
          <c:spPr>
            <a:solidFill>
              <a:schemeClr val="accent3"/>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(Battery)'!$B$76,'Semi-trailer truck (Battery)'!$N$76,'Semi-trailer truck (Battery)'!$AC$76)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B48E-47E7-89C6-03E0C07743EE}"/>
            </c:ext>
          </c:extLst>
        </c:ser>
        <c:ser>
          <c:idx val="3"/>
          <c:order val="3"/>
          <c:tx>
            <c:strRef>
              <c:f>'Semi-trailer truck (Battery)'!$A$77</c:f>
              <c:strCache>
                <c:ptCount val="1"/>
                <c:pt idx="0">
                  <c:v>Residual value (costumization)</c:v>
                </c:pt>
              </c:strCache>
            </c:strRef>
          </c:tx>
          <c:spPr>
            <a:solidFill>
              <a:schemeClr val="accent4"/>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(Battery)'!$B$77,'Semi-trailer truck (Battery)'!$N$77,'Semi-trailer truck (Battery)'!$AC$77)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B48E-47E7-89C6-03E0C07743EE}"/>
            </c:ext>
          </c:extLst>
        </c:ser>
        <c:ser>
          <c:idx val="4"/>
          <c:order val="4"/>
          <c:tx>
            <c:strRef>
              <c:f>'Semi-trailer truck (Battery)'!$A$78</c:f>
              <c:strCache>
                <c:ptCount val="1"/>
                <c:pt idx="0">
                  <c:v>Opex fix (admin, crew, insurance)</c:v>
                </c:pt>
              </c:strCache>
            </c:strRef>
          </c:tx>
          <c:spPr>
            <a:solidFill>
              <a:schemeClr val="accent5"/>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(Battery)'!$B$78,'Semi-trailer truck (Battery)'!$N$78,'Semi-trailer truck (Battery)'!$AC$78)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B48E-47E7-89C6-03E0C07743EE}"/>
            </c:ext>
          </c:extLst>
        </c:ser>
        <c:ser>
          <c:idx val="5"/>
          <c:order val="5"/>
          <c:tx>
            <c:strRef>
              <c:f>'Semi-trailer truck (Battery)'!$A$79</c:f>
              <c:strCache>
                <c:ptCount val="1"/>
                <c:pt idx="0">
                  <c:v>Opex maintenance &amp; repair</c:v>
                </c:pt>
              </c:strCache>
            </c:strRef>
          </c:tx>
          <c:spPr>
            <a:solidFill>
              <a:schemeClr val="accent6"/>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(Battery)'!$B$79,'Semi-trailer truck (Battery)'!$N$79,'Semi-trailer truck (Battery)'!$AC$79)</c:f>
              <c:numCache>
                <c:formatCode>0.00</c:formatCode>
                <c:ptCount val="3"/>
                <c:pt idx="0">
                  <c:v>1.0909090909090908E-2</c:v>
                </c:pt>
                <c:pt idx="1">
                  <c:v>1.0909090909090908E-2</c:v>
                </c:pt>
                <c:pt idx="2">
                  <c:v>1.0909090909090908E-2</c:v>
                </c:pt>
              </c:numCache>
            </c:numRef>
          </c:val>
          <c:extLst>
            <c:ext xmlns:c16="http://schemas.microsoft.com/office/drawing/2014/chart" uri="{C3380CC4-5D6E-409C-BE32-E72D297353CC}">
              <c16:uniqueId val="{00000005-B48E-47E7-89C6-03E0C07743EE}"/>
            </c:ext>
          </c:extLst>
        </c:ser>
        <c:ser>
          <c:idx val="6"/>
          <c:order val="6"/>
          <c:tx>
            <c:strRef>
              <c:f>'Semi-trailer truck (Battery)'!$A$80</c:f>
              <c:strCache>
                <c:ptCount val="1"/>
                <c:pt idx="0">
                  <c:v>Opex var (mode-fees)</c:v>
                </c:pt>
              </c:strCache>
            </c:strRef>
          </c:tx>
          <c:spPr>
            <a:solidFill>
              <a:schemeClr val="accent1">
                <a:lumMod val="60000"/>
              </a:schemeClr>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(Battery)'!$B$80,'Semi-trailer truck (Battery)'!$N$80,'Semi-trailer truck (Battery)'!$AC$80)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B48E-47E7-89C6-03E0C07743EE}"/>
            </c:ext>
          </c:extLst>
        </c:ser>
        <c:ser>
          <c:idx val="7"/>
          <c:order val="7"/>
          <c:tx>
            <c:strRef>
              <c:f>'Semi-trailer truck (Battery)'!$A$81</c:f>
              <c:strCache>
                <c:ptCount val="1"/>
                <c:pt idx="0">
                  <c:v>Fuel Cost</c:v>
                </c:pt>
              </c:strCache>
            </c:strRef>
          </c:tx>
          <c:spPr>
            <a:solidFill>
              <a:schemeClr val="accent2">
                <a:lumMod val="60000"/>
              </a:schemeClr>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(Battery)'!$B$81,'Semi-trailer truck (Battery)'!$N$81,'Semi-trailer truck (Battery)'!$AC$81)</c:f>
              <c:numCache>
                <c:formatCode>0.00</c:formatCode>
                <c:ptCount val="3"/>
                <c:pt idx="0">
                  <c:v>7.985890061771795E-3</c:v>
                </c:pt>
                <c:pt idx="1">
                  <c:v>5.2597091002081252E-3</c:v>
                </c:pt>
                <c:pt idx="2">
                  <c:v>4.0342174151229478E-3</c:v>
                </c:pt>
              </c:numCache>
            </c:numRef>
          </c:val>
          <c:extLst>
            <c:ext xmlns:c16="http://schemas.microsoft.com/office/drawing/2014/chart" uri="{C3380CC4-5D6E-409C-BE32-E72D297353CC}">
              <c16:uniqueId val="{00000007-B48E-47E7-89C6-03E0C07743EE}"/>
            </c:ext>
          </c:extLst>
        </c:ser>
        <c:ser>
          <c:idx val="8"/>
          <c:order val="8"/>
          <c:tx>
            <c:strRef>
              <c:f>'Semi-trailer truck (Battery)'!$A$82</c:f>
              <c:strCache>
                <c:ptCount val="1"/>
                <c:pt idx="0">
                  <c:v>Market failure (av. utilization)</c:v>
                </c:pt>
              </c:strCache>
            </c:strRef>
          </c:tx>
          <c:spPr>
            <a:solidFill>
              <a:schemeClr val="accent3">
                <a:lumMod val="60000"/>
              </a:schemeClr>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(Battery)'!$B$82,'Semi-trailer truck (Battery)'!$N$82,'Semi-trailer truck (Battery)'!$AC$82)</c:f>
              <c:numCache>
                <c:formatCode>0.00</c:formatCode>
                <c:ptCount val="3"/>
                <c:pt idx="0">
                  <c:v>9.2430166012000908E-2</c:v>
                </c:pt>
                <c:pt idx="1">
                  <c:v>7.3390686609020192E-2</c:v>
                </c:pt>
                <c:pt idx="2">
                  <c:v>6.9098861335152389E-2</c:v>
                </c:pt>
              </c:numCache>
            </c:numRef>
          </c:val>
          <c:extLst>
            <c:ext xmlns:c16="http://schemas.microsoft.com/office/drawing/2014/chart" uri="{C3380CC4-5D6E-409C-BE32-E72D297353CC}">
              <c16:uniqueId val="{00000008-B48E-47E7-89C6-03E0C07743EE}"/>
            </c:ext>
          </c:extLst>
        </c:ser>
        <c:ser>
          <c:idx val="9"/>
          <c:order val="9"/>
          <c:tx>
            <c:strRef>
              <c:f>'Semi-trailer truck (Battery)'!$A$189</c:f>
              <c:strCache>
                <c:ptCount val="1"/>
                <c:pt idx="0">
                  <c:v>Payload loss (fuel)</c:v>
                </c:pt>
              </c:strCache>
            </c:strRef>
          </c:tx>
          <c:spPr>
            <a:solidFill>
              <a:schemeClr val="accent4">
                <a:lumMod val="60000"/>
              </a:schemeClr>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(Battery)'!$B$189,'Semi-trailer truck (Battery)'!$N$189,'Semi-trailer truck (Battery)'!$AC$189)</c:f>
              <c:numCache>
                <c:formatCode>0.00</c:formatCode>
                <c:ptCount val="3"/>
                <c:pt idx="0">
                  <c:v>7.3146110257246849E-3</c:v>
                </c:pt>
                <c:pt idx="1">
                  <c:v>4.1727958029758871E-3</c:v>
                </c:pt>
                <c:pt idx="2">
                  <c:v>2.6074327084575841E-3</c:v>
                </c:pt>
              </c:numCache>
            </c:numRef>
          </c:val>
          <c:extLst>
            <c:ext xmlns:c16="http://schemas.microsoft.com/office/drawing/2014/chart" uri="{C3380CC4-5D6E-409C-BE32-E72D297353CC}">
              <c16:uniqueId val="{00000009-B48E-47E7-89C6-03E0C07743EE}"/>
            </c:ext>
          </c:extLst>
        </c:ser>
        <c:ser>
          <c:idx val="10"/>
          <c:order val="10"/>
          <c:tx>
            <c:strRef>
              <c:f>'Semi-trailer truck (Battery)'!$A$190</c:f>
              <c:strCache>
                <c:ptCount val="1"/>
                <c:pt idx="0">
                  <c:v>Emission Cost</c:v>
                </c:pt>
              </c:strCache>
            </c:strRef>
          </c:tx>
          <c:spPr>
            <a:solidFill>
              <a:schemeClr val="accent5">
                <a:lumMod val="60000"/>
              </a:schemeClr>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(Battery)'!$B$190,'Semi-trailer truck (Battery)'!$N$190,'Semi-trailer truck (Battery)'!$AC$190)</c:f>
              <c:numCache>
                <c:formatCode>0.000</c:formatCode>
                <c:ptCount val="3"/>
                <c:pt idx="0">
                  <c:v>1.4049076735721778E-4</c:v>
                </c:pt>
                <c:pt idx="1">
                  <c:v>1.2003839777505244E-4</c:v>
                </c:pt>
                <c:pt idx="2">
                  <c:v>2.2812758930212777E-6</c:v>
                </c:pt>
              </c:numCache>
            </c:numRef>
          </c:val>
          <c:extLst>
            <c:ext xmlns:c16="http://schemas.microsoft.com/office/drawing/2014/chart" uri="{C3380CC4-5D6E-409C-BE32-E72D297353CC}">
              <c16:uniqueId val="{00000000-6909-4014-96CD-BF9FF8A8423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(Battery)'!$A$11</c:f>
              <c:strCache>
                <c:ptCount val="1"/>
                <c:pt idx="0">
                  <c:v>Capex vehicle</c:v>
                </c:pt>
              </c:strCache>
            </c:strRef>
          </c:tx>
          <c:spPr>
            <a:ln w="28575" cap="rnd">
              <a:solidFill>
                <a:schemeClr val="accent1"/>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(Battery)'!$Q$11:$AR$11</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0-F4CE-4696-B42C-8610F8507980}"/>
            </c:ext>
          </c:extLst>
        </c:ser>
        <c:ser>
          <c:idx val="13"/>
          <c:order val="1"/>
          <c:tx>
            <c:strRef>
              <c:f>'Semi-trailer truck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(Battery)'!$Q$12:$AR$12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1-F4CE-4696-B42C-8610F8507980}"/>
            </c:ext>
          </c:extLst>
        </c:ser>
        <c:ser>
          <c:idx val="1"/>
          <c:order val="2"/>
          <c:tx>
            <c:strRef>
              <c:f>'Semi-trailer truck (Battery)'!$A$13</c:f>
              <c:strCache>
                <c:ptCount val="1"/>
                <c:pt idx="0">
                  <c:v>Capex costumization</c:v>
                </c:pt>
              </c:strCache>
            </c:strRef>
          </c:tx>
          <c:spPr>
            <a:ln w="28575" cap="rnd">
              <a:solidFill>
                <a:schemeClr val="accent2"/>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F4CE-4696-B42C-8610F8507980}"/>
            </c:ext>
          </c:extLst>
        </c:ser>
        <c:ser>
          <c:idx val="14"/>
          <c:order val="3"/>
          <c:tx>
            <c:strRef>
              <c:f>'Semi-trailer truck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F4CE-4696-B42C-8610F8507980}"/>
            </c:ext>
          </c:extLst>
        </c:ser>
        <c:ser>
          <c:idx val="2"/>
          <c:order val="4"/>
          <c:tx>
            <c:strRef>
              <c:f>'Semi-trailer truck (Battery)'!$A$15</c:f>
              <c:strCache>
                <c:ptCount val="1"/>
                <c:pt idx="0">
                  <c:v>WACC</c:v>
                </c:pt>
              </c:strCache>
            </c:strRef>
          </c:tx>
          <c:spPr>
            <a:ln w="28575" cap="rnd">
              <a:solidFill>
                <a:schemeClr val="accent3"/>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F4CE-4696-B42C-8610F8507980}"/>
            </c:ext>
          </c:extLst>
        </c:ser>
        <c:ser>
          <c:idx val="3"/>
          <c:order val="5"/>
          <c:tx>
            <c:strRef>
              <c:f>'Semi-trailer truck (Battery)'!$A$16</c:f>
              <c:strCache>
                <c:ptCount val="1"/>
                <c:pt idx="0">
                  <c:v>Opex fix (admin, crew, insurance)</c:v>
                </c:pt>
              </c:strCache>
            </c:strRef>
          </c:tx>
          <c:spPr>
            <a:ln w="28575" cap="rnd">
              <a:solidFill>
                <a:schemeClr val="accent4"/>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F4CE-4696-B42C-8610F8507980}"/>
            </c:ext>
          </c:extLst>
        </c:ser>
        <c:ser>
          <c:idx val="4"/>
          <c:order val="6"/>
          <c:tx>
            <c:strRef>
              <c:f>'Semi-trailer truck (Battery)'!$A$18</c:f>
              <c:strCache>
                <c:ptCount val="1"/>
                <c:pt idx="0">
                  <c:v>Opex var (mode-fees)</c:v>
                </c:pt>
              </c:strCache>
            </c:strRef>
          </c:tx>
          <c:spPr>
            <a:ln w="28575" cap="rnd">
              <a:solidFill>
                <a:schemeClr val="accent5"/>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F4CE-4696-B42C-8610F8507980}"/>
            </c:ext>
          </c:extLst>
        </c:ser>
        <c:ser>
          <c:idx val="5"/>
          <c:order val="7"/>
          <c:tx>
            <c:strRef>
              <c:f>'Semi-trailer truck (Battery)'!$A$19</c:f>
              <c:strCache>
                <c:ptCount val="1"/>
                <c:pt idx="0">
                  <c:v>Fuel Economy</c:v>
                </c:pt>
              </c:strCache>
            </c:strRef>
          </c:tx>
          <c:spPr>
            <a:ln w="28575" cap="rnd">
              <a:solidFill>
                <a:schemeClr val="accent6"/>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(Battery)'!$Q$19:$AR$19</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7-F4CE-4696-B42C-8610F8507980}"/>
            </c:ext>
          </c:extLst>
        </c:ser>
        <c:ser>
          <c:idx val="6"/>
          <c:order val="8"/>
          <c:tx>
            <c:strRef>
              <c:f>'Semi-trailer truck (Battery)'!$A$20</c:f>
              <c:strCache>
                <c:ptCount val="1"/>
                <c:pt idx="0">
                  <c:v>Fuel Cost</c:v>
                </c:pt>
              </c:strCache>
            </c:strRef>
          </c:tx>
          <c:spPr>
            <a:ln w="28575" cap="rnd">
              <a:solidFill>
                <a:schemeClr val="accent1">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F4CE-4696-B42C-8610F8507980}"/>
            </c:ext>
          </c:extLst>
        </c:ser>
        <c:ser>
          <c:idx val="7"/>
          <c:order val="9"/>
          <c:tx>
            <c:strRef>
              <c:f>'Semi-trailer truck (Battery)'!$A$22</c:f>
              <c:strCache>
                <c:ptCount val="1"/>
                <c:pt idx="0">
                  <c:v>Lifetime vehicle</c:v>
                </c:pt>
              </c:strCache>
            </c:strRef>
          </c:tx>
          <c:spPr>
            <a:ln w="28575" cap="rnd">
              <a:solidFill>
                <a:schemeClr val="accent2">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(Battery)'!$Q$22:$AR$22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9-F4CE-4696-B42C-8610F8507980}"/>
            </c:ext>
          </c:extLst>
        </c:ser>
        <c:ser>
          <c:idx val="8"/>
          <c:order val="10"/>
          <c:tx>
            <c:strRef>
              <c:f>'Semi-trailer truck (Battery)'!$A$23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F4CE-4696-B42C-8610F8507980}"/>
            </c:ext>
          </c:extLst>
        </c:ser>
        <c:ser>
          <c:idx val="9"/>
          <c:order val="11"/>
          <c:tx>
            <c:strRef>
              <c:f>'Semi-trailer truck (Battery)'!$A$24</c:f>
              <c:strCache>
                <c:ptCount val="1"/>
                <c:pt idx="0">
                  <c:v>Tonnage .</c:v>
                </c:pt>
              </c:strCache>
            </c:strRef>
          </c:tx>
          <c:spPr>
            <a:ln w="28575" cap="rnd">
              <a:solidFill>
                <a:schemeClr val="accent4">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F4CE-4696-B42C-8610F8507980}"/>
            </c:ext>
          </c:extLst>
        </c:ser>
        <c:ser>
          <c:idx val="10"/>
          <c:order val="12"/>
          <c:tx>
            <c:strRef>
              <c:f>'Semi-trailer truck (Battery)'!$A$25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F4CE-4696-B42C-8610F8507980}"/>
            </c:ext>
          </c:extLst>
        </c:ser>
        <c:ser>
          <c:idx val="11"/>
          <c:order val="13"/>
          <c:tx>
            <c:strRef>
              <c:f>'Semi-trailer truck (Battery)'!$A$27</c:f>
              <c:strCache>
                <c:ptCount val="1"/>
                <c:pt idx="0">
                  <c:v>Annual Mileage</c:v>
                </c:pt>
              </c:strCache>
            </c:strRef>
          </c:tx>
          <c:spPr>
            <a:ln w="28575" cap="rnd">
              <a:solidFill>
                <a:schemeClr val="accent6">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F4CE-4696-B42C-8610F8507980}"/>
            </c:ext>
          </c:extLst>
        </c:ser>
        <c:ser>
          <c:idx val="12"/>
          <c:order val="14"/>
          <c:tx>
            <c:strRef>
              <c:f>'Semi-trailer truck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(Battery)'!$Q$17:$AR$17</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E-F4CE-4696-B42C-8610F850798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(Battery)'!$A$74</c:f>
              <c:strCache>
                <c:ptCount val="1"/>
                <c:pt idx="0">
                  <c:v>Capex vehicle</c:v>
                </c:pt>
              </c:strCache>
            </c:strRef>
          </c:tx>
          <c:spPr>
            <a:solidFill>
              <a:schemeClr val="accent1"/>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(Battery)'!$B$74,'Semi-trailer truck (Battery)'!$N$74,'Semi-trailer truck (Battery)'!$AC$74)</c:f>
              <c:numCache>
                <c:formatCode>0.00</c:formatCode>
                <c:ptCount val="3"/>
                <c:pt idx="0">
                  <c:v>4.5229574619176545E-2</c:v>
                </c:pt>
                <c:pt idx="1">
                  <c:v>2.1537531385848969E-2</c:v>
                </c:pt>
                <c:pt idx="2">
                  <c:v>1.6995417056938824E-2</c:v>
                </c:pt>
              </c:numCache>
            </c:numRef>
          </c:val>
          <c:extLst>
            <c:ext xmlns:c16="http://schemas.microsoft.com/office/drawing/2014/chart" uri="{C3380CC4-5D6E-409C-BE32-E72D297353CC}">
              <c16:uniqueId val="{00000000-E0DB-4176-84E4-9EDD525CA548}"/>
            </c:ext>
          </c:extLst>
        </c:ser>
        <c:ser>
          <c:idx val="1"/>
          <c:order val="1"/>
          <c:tx>
            <c:strRef>
              <c:f>'Semi-trailer truck (Battery)'!$A$75</c:f>
              <c:strCache>
                <c:ptCount val="1"/>
                <c:pt idx="0">
                  <c:v>Residual value (vehicle)</c:v>
                </c:pt>
              </c:strCache>
            </c:strRef>
          </c:tx>
          <c:spPr>
            <a:solidFill>
              <a:schemeClr val="accent2"/>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(Battery)'!$B$75,'Semi-trailer truck (Battery)'!$N$75,'Semi-trailer truck (Battery)'!$AC$75)</c:f>
              <c:numCache>
                <c:formatCode>0.000</c:formatCode>
                <c:ptCount val="3"/>
                <c:pt idx="0">
                  <c:v>-6.8763971865001975E-3</c:v>
                </c:pt>
                <c:pt idx="1">
                  <c:v>-4.6697853167294925E-3</c:v>
                </c:pt>
                <c:pt idx="2">
                  <c:v>-4.2467452566839394E-3</c:v>
                </c:pt>
              </c:numCache>
            </c:numRef>
          </c:val>
          <c:extLst>
            <c:ext xmlns:c16="http://schemas.microsoft.com/office/drawing/2014/chart" uri="{C3380CC4-5D6E-409C-BE32-E72D297353CC}">
              <c16:uniqueId val="{00000001-E0DB-4176-84E4-9EDD525CA548}"/>
            </c:ext>
          </c:extLst>
        </c:ser>
        <c:ser>
          <c:idx val="2"/>
          <c:order val="2"/>
          <c:tx>
            <c:strRef>
              <c:f>'Semi-trailer truck (Battery)'!$A$76</c:f>
              <c:strCache>
                <c:ptCount val="1"/>
                <c:pt idx="0">
                  <c:v>Capex costumization</c:v>
                </c:pt>
              </c:strCache>
            </c:strRef>
          </c:tx>
          <c:spPr>
            <a:solidFill>
              <a:schemeClr val="accent3"/>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(Battery)'!$B$76,'Semi-trailer truck (Battery)'!$N$76,'Semi-trailer truck (Battery)'!$AC$76)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E0DB-4176-84E4-9EDD525CA548}"/>
            </c:ext>
          </c:extLst>
        </c:ser>
        <c:ser>
          <c:idx val="3"/>
          <c:order val="3"/>
          <c:tx>
            <c:strRef>
              <c:f>'Semi-trailer truck (Battery)'!$A$77</c:f>
              <c:strCache>
                <c:ptCount val="1"/>
                <c:pt idx="0">
                  <c:v>Residual value (costumization)</c:v>
                </c:pt>
              </c:strCache>
            </c:strRef>
          </c:tx>
          <c:spPr>
            <a:solidFill>
              <a:schemeClr val="accent4"/>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(Battery)'!$B$77,'Semi-trailer truck (Battery)'!$N$77,'Semi-trailer truck (Battery)'!$AC$77)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E0DB-4176-84E4-9EDD525CA548}"/>
            </c:ext>
          </c:extLst>
        </c:ser>
        <c:ser>
          <c:idx val="4"/>
          <c:order val="4"/>
          <c:tx>
            <c:strRef>
              <c:f>'Semi-trailer truck (Battery)'!$A$78</c:f>
              <c:strCache>
                <c:ptCount val="1"/>
                <c:pt idx="0">
                  <c:v>Opex fix (admin, crew, insurance)</c:v>
                </c:pt>
              </c:strCache>
            </c:strRef>
          </c:tx>
          <c:spPr>
            <a:solidFill>
              <a:schemeClr val="accent5"/>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(Battery)'!$B$78,'Semi-trailer truck (Battery)'!$N$78,'Semi-trailer truck (Battery)'!$AC$78)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E0DB-4176-84E4-9EDD525CA548}"/>
            </c:ext>
          </c:extLst>
        </c:ser>
        <c:ser>
          <c:idx val="5"/>
          <c:order val="5"/>
          <c:tx>
            <c:strRef>
              <c:f>'Semi-trailer truck (Battery)'!$A$79</c:f>
              <c:strCache>
                <c:ptCount val="1"/>
                <c:pt idx="0">
                  <c:v>Opex maintenance &amp; repair</c:v>
                </c:pt>
              </c:strCache>
            </c:strRef>
          </c:tx>
          <c:spPr>
            <a:solidFill>
              <a:schemeClr val="accent6"/>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(Battery)'!$B$79,'Semi-trailer truck (Battery)'!$N$79,'Semi-trailer truck (Battery)'!$AC$79)</c:f>
              <c:numCache>
                <c:formatCode>0.00</c:formatCode>
                <c:ptCount val="3"/>
                <c:pt idx="0">
                  <c:v>1.0909090909090908E-2</c:v>
                </c:pt>
                <c:pt idx="1">
                  <c:v>1.0909090909090908E-2</c:v>
                </c:pt>
                <c:pt idx="2">
                  <c:v>1.0909090909090908E-2</c:v>
                </c:pt>
              </c:numCache>
            </c:numRef>
          </c:val>
          <c:extLst>
            <c:ext xmlns:c16="http://schemas.microsoft.com/office/drawing/2014/chart" uri="{C3380CC4-5D6E-409C-BE32-E72D297353CC}">
              <c16:uniqueId val="{00000005-E0DB-4176-84E4-9EDD525CA548}"/>
            </c:ext>
          </c:extLst>
        </c:ser>
        <c:ser>
          <c:idx val="6"/>
          <c:order val="6"/>
          <c:tx>
            <c:strRef>
              <c:f>'Semi-trailer truck (Battery)'!$A$80</c:f>
              <c:strCache>
                <c:ptCount val="1"/>
                <c:pt idx="0">
                  <c:v>Opex var (mode-fees)</c:v>
                </c:pt>
              </c:strCache>
            </c:strRef>
          </c:tx>
          <c:spPr>
            <a:solidFill>
              <a:schemeClr val="accent1">
                <a:lumMod val="60000"/>
              </a:schemeClr>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(Battery)'!$B$80,'Semi-trailer truck (Battery)'!$N$80,'Semi-trailer truck (Battery)'!$AC$80)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E0DB-4176-84E4-9EDD525CA548}"/>
            </c:ext>
          </c:extLst>
        </c:ser>
        <c:ser>
          <c:idx val="7"/>
          <c:order val="7"/>
          <c:tx>
            <c:strRef>
              <c:f>'Semi-trailer truck (Battery)'!$A$81</c:f>
              <c:strCache>
                <c:ptCount val="1"/>
                <c:pt idx="0">
                  <c:v>Fuel Cost</c:v>
                </c:pt>
              </c:strCache>
            </c:strRef>
          </c:tx>
          <c:spPr>
            <a:solidFill>
              <a:schemeClr val="accent2">
                <a:lumMod val="60000"/>
              </a:schemeClr>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(Battery)'!$B$81,'Semi-trailer truck (Battery)'!$N$81,'Semi-trailer truck (Battery)'!$AC$81)</c:f>
              <c:numCache>
                <c:formatCode>0.00</c:formatCode>
                <c:ptCount val="3"/>
                <c:pt idx="0">
                  <c:v>7.985890061771795E-3</c:v>
                </c:pt>
                <c:pt idx="1">
                  <c:v>5.2597091002081252E-3</c:v>
                </c:pt>
                <c:pt idx="2">
                  <c:v>4.0342174151229478E-3</c:v>
                </c:pt>
              </c:numCache>
            </c:numRef>
          </c:val>
          <c:extLst>
            <c:ext xmlns:c16="http://schemas.microsoft.com/office/drawing/2014/chart" uri="{C3380CC4-5D6E-409C-BE32-E72D297353CC}">
              <c16:uniqueId val="{00000007-E0DB-4176-84E4-9EDD525CA548}"/>
            </c:ext>
          </c:extLst>
        </c:ser>
        <c:ser>
          <c:idx val="8"/>
          <c:order val="8"/>
          <c:tx>
            <c:strRef>
              <c:f>'Semi-trailer truck (Battery)'!$A$82</c:f>
              <c:strCache>
                <c:ptCount val="1"/>
                <c:pt idx="0">
                  <c:v>Market failure (av. utilization)</c:v>
                </c:pt>
              </c:strCache>
            </c:strRef>
          </c:tx>
          <c:spPr>
            <a:solidFill>
              <a:schemeClr val="accent3">
                <a:lumMod val="60000"/>
              </a:schemeClr>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(Battery)'!$B$82,'Semi-trailer truck (Battery)'!$N$82,'Semi-trailer truck (Battery)'!$AC$82)</c:f>
              <c:numCache>
                <c:formatCode>0.00</c:formatCode>
                <c:ptCount val="3"/>
                <c:pt idx="0">
                  <c:v>9.2430166012000908E-2</c:v>
                </c:pt>
                <c:pt idx="1">
                  <c:v>7.3390686609020192E-2</c:v>
                </c:pt>
                <c:pt idx="2">
                  <c:v>6.9098861335152389E-2</c:v>
                </c:pt>
              </c:numCache>
            </c:numRef>
          </c:val>
          <c:extLst>
            <c:ext xmlns:c16="http://schemas.microsoft.com/office/drawing/2014/chart" uri="{C3380CC4-5D6E-409C-BE32-E72D297353CC}">
              <c16:uniqueId val="{00000008-E0DB-4176-84E4-9EDD525CA548}"/>
            </c:ext>
          </c:extLst>
        </c:ser>
        <c:ser>
          <c:idx val="9"/>
          <c:order val="9"/>
          <c:tx>
            <c:strRef>
              <c:f>'Semi-trailer truck (Battery)'!$A$297</c:f>
              <c:strCache>
                <c:ptCount val="1"/>
                <c:pt idx="0">
                  <c:v>Payload loss (fuel)</c:v>
                </c:pt>
              </c:strCache>
            </c:strRef>
          </c:tx>
          <c:spPr>
            <a:solidFill>
              <a:schemeClr val="accent4">
                <a:lumMod val="60000"/>
              </a:schemeClr>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(Battery)'!$B$297,'Semi-trailer truck (Battery)'!$N$297,'Semi-trailer truck (Battery)'!$AC$297)</c:f>
              <c:numCache>
                <c:formatCode>0.00</c:formatCode>
                <c:ptCount val="3"/>
                <c:pt idx="0">
                  <c:v>7.3830516470406171E-3</c:v>
                </c:pt>
                <c:pt idx="1">
                  <c:v>4.1814019866269481E-3</c:v>
                </c:pt>
                <c:pt idx="2">
                  <c:v>2.6080068051186275E-3</c:v>
                </c:pt>
              </c:numCache>
            </c:numRef>
          </c:val>
          <c:extLst>
            <c:ext xmlns:c16="http://schemas.microsoft.com/office/drawing/2014/chart" uri="{C3380CC4-5D6E-409C-BE32-E72D297353CC}">
              <c16:uniqueId val="{00000009-E0DB-4176-84E4-9EDD525CA548}"/>
            </c:ext>
          </c:extLst>
        </c:ser>
        <c:ser>
          <c:idx val="10"/>
          <c:order val="10"/>
          <c:tx>
            <c:strRef>
              <c:f>'Semi-trailer truck (Battery)'!$A$298</c:f>
              <c:strCache>
                <c:ptCount val="1"/>
                <c:pt idx="0">
                  <c:v>Emission Cost</c:v>
                </c:pt>
              </c:strCache>
            </c:strRef>
          </c:tx>
          <c:spPr>
            <a:solidFill>
              <a:schemeClr val="accent5">
                <a:lumMod val="60000"/>
              </a:schemeClr>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(Battery)'!$B$298,'Semi-trailer truck (Battery)'!$N$298,'Semi-trailer truck (Battery)'!$AC$298)</c:f>
              <c:numCache>
                <c:formatCode>0.000</c:formatCode>
                <c:ptCount val="3"/>
                <c:pt idx="0">
                  <c:v>1.4049076735721778E-4</c:v>
                </c:pt>
                <c:pt idx="1">
                  <c:v>1.2003839777505247E-4</c:v>
                </c:pt>
                <c:pt idx="2">
                  <c:v>2.2812758930212777E-6</c:v>
                </c:pt>
              </c:numCache>
            </c:numRef>
          </c:val>
          <c:extLst>
            <c:ext xmlns:c16="http://schemas.microsoft.com/office/drawing/2014/chart" uri="{C3380CC4-5D6E-409C-BE32-E72D297353CC}">
              <c16:uniqueId val="{00000000-D462-4FB8-A08E-B66768B2DA88}"/>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(Battery)'!$A$11</c:f>
              <c:strCache>
                <c:ptCount val="1"/>
                <c:pt idx="0">
                  <c:v>Capex vehicle</c:v>
                </c:pt>
              </c:strCache>
            </c:strRef>
          </c:tx>
          <c:spPr>
            <a:ln w="28575" cap="rnd">
              <a:solidFill>
                <a:schemeClr val="accent1"/>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(Battery)'!$Q$11:$AR$11</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0-2BD5-43FA-9BCF-2076B3569FBF}"/>
            </c:ext>
          </c:extLst>
        </c:ser>
        <c:ser>
          <c:idx val="13"/>
          <c:order val="1"/>
          <c:tx>
            <c:strRef>
              <c:f>'Semi-trailer truck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(Battery)'!$Q$12:$AR$12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1-2BD5-43FA-9BCF-2076B3569FBF}"/>
            </c:ext>
          </c:extLst>
        </c:ser>
        <c:ser>
          <c:idx val="1"/>
          <c:order val="2"/>
          <c:tx>
            <c:strRef>
              <c:f>'Semi-trailer truck (Battery)'!$A$13</c:f>
              <c:strCache>
                <c:ptCount val="1"/>
                <c:pt idx="0">
                  <c:v>Capex costumization</c:v>
                </c:pt>
              </c:strCache>
            </c:strRef>
          </c:tx>
          <c:spPr>
            <a:ln w="28575" cap="rnd">
              <a:solidFill>
                <a:schemeClr val="accent2"/>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BD5-43FA-9BCF-2076B3569FBF}"/>
            </c:ext>
          </c:extLst>
        </c:ser>
        <c:ser>
          <c:idx val="14"/>
          <c:order val="3"/>
          <c:tx>
            <c:strRef>
              <c:f>'Semi-trailer truck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BD5-43FA-9BCF-2076B3569FBF}"/>
            </c:ext>
          </c:extLst>
        </c:ser>
        <c:ser>
          <c:idx val="2"/>
          <c:order val="4"/>
          <c:tx>
            <c:strRef>
              <c:f>'Semi-trailer truck (Battery)'!$A$15</c:f>
              <c:strCache>
                <c:ptCount val="1"/>
                <c:pt idx="0">
                  <c:v>WACC</c:v>
                </c:pt>
              </c:strCache>
            </c:strRef>
          </c:tx>
          <c:spPr>
            <a:ln w="28575" cap="rnd">
              <a:solidFill>
                <a:schemeClr val="accent3"/>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BD5-43FA-9BCF-2076B3569FBF}"/>
            </c:ext>
          </c:extLst>
        </c:ser>
        <c:ser>
          <c:idx val="3"/>
          <c:order val="5"/>
          <c:tx>
            <c:strRef>
              <c:f>'Semi-trailer truck (Battery)'!$A$16</c:f>
              <c:strCache>
                <c:ptCount val="1"/>
                <c:pt idx="0">
                  <c:v>Opex fix (admin, crew, insurance)</c:v>
                </c:pt>
              </c:strCache>
            </c:strRef>
          </c:tx>
          <c:spPr>
            <a:ln w="28575" cap="rnd">
              <a:solidFill>
                <a:schemeClr val="accent4"/>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BD5-43FA-9BCF-2076B3569FBF}"/>
            </c:ext>
          </c:extLst>
        </c:ser>
        <c:ser>
          <c:idx val="4"/>
          <c:order val="6"/>
          <c:tx>
            <c:strRef>
              <c:f>'Semi-trailer truck (Battery)'!$A$18</c:f>
              <c:strCache>
                <c:ptCount val="1"/>
                <c:pt idx="0">
                  <c:v>Opex var (mode-fees)</c:v>
                </c:pt>
              </c:strCache>
            </c:strRef>
          </c:tx>
          <c:spPr>
            <a:ln w="28575" cap="rnd">
              <a:solidFill>
                <a:schemeClr val="accent5"/>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BD5-43FA-9BCF-2076B3569FBF}"/>
            </c:ext>
          </c:extLst>
        </c:ser>
        <c:ser>
          <c:idx val="5"/>
          <c:order val="7"/>
          <c:tx>
            <c:strRef>
              <c:f>'Semi-trailer truck (Battery)'!$A$19</c:f>
              <c:strCache>
                <c:ptCount val="1"/>
                <c:pt idx="0">
                  <c:v>Fuel Economy</c:v>
                </c:pt>
              </c:strCache>
            </c:strRef>
          </c:tx>
          <c:spPr>
            <a:ln w="28575" cap="rnd">
              <a:solidFill>
                <a:schemeClr val="accent6"/>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(Battery)'!$Q$19:$AR$19</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7-2BD5-43FA-9BCF-2076B3569FBF}"/>
            </c:ext>
          </c:extLst>
        </c:ser>
        <c:ser>
          <c:idx val="6"/>
          <c:order val="8"/>
          <c:tx>
            <c:strRef>
              <c:f>'Semi-trailer truck (Battery)'!$A$20</c:f>
              <c:strCache>
                <c:ptCount val="1"/>
                <c:pt idx="0">
                  <c:v>Fuel Cost</c:v>
                </c:pt>
              </c:strCache>
            </c:strRef>
          </c:tx>
          <c:spPr>
            <a:ln w="28575" cap="rnd">
              <a:solidFill>
                <a:schemeClr val="accent1">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BD5-43FA-9BCF-2076B3569FBF}"/>
            </c:ext>
          </c:extLst>
        </c:ser>
        <c:ser>
          <c:idx val="7"/>
          <c:order val="9"/>
          <c:tx>
            <c:strRef>
              <c:f>'Semi-trailer truck (Battery)'!$A$22</c:f>
              <c:strCache>
                <c:ptCount val="1"/>
                <c:pt idx="0">
                  <c:v>Lifetime vehicle</c:v>
                </c:pt>
              </c:strCache>
            </c:strRef>
          </c:tx>
          <c:spPr>
            <a:ln w="28575" cap="rnd">
              <a:solidFill>
                <a:schemeClr val="accent2">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(Battery)'!$Q$22:$AR$22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9-2BD5-43FA-9BCF-2076B3569FBF}"/>
            </c:ext>
          </c:extLst>
        </c:ser>
        <c:ser>
          <c:idx val="8"/>
          <c:order val="10"/>
          <c:tx>
            <c:strRef>
              <c:f>'Semi-trailer truck (Battery)'!$A$23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BD5-43FA-9BCF-2076B3569FBF}"/>
            </c:ext>
          </c:extLst>
        </c:ser>
        <c:ser>
          <c:idx val="9"/>
          <c:order val="11"/>
          <c:tx>
            <c:strRef>
              <c:f>'Semi-trailer truck (Battery)'!$A$24</c:f>
              <c:strCache>
                <c:ptCount val="1"/>
                <c:pt idx="0">
                  <c:v>Tonnage .</c:v>
                </c:pt>
              </c:strCache>
            </c:strRef>
          </c:tx>
          <c:spPr>
            <a:ln w="28575" cap="rnd">
              <a:solidFill>
                <a:schemeClr val="accent4">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BD5-43FA-9BCF-2076B3569FBF}"/>
            </c:ext>
          </c:extLst>
        </c:ser>
        <c:ser>
          <c:idx val="10"/>
          <c:order val="12"/>
          <c:tx>
            <c:strRef>
              <c:f>'Semi-trailer truck (Battery)'!$A$25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BD5-43FA-9BCF-2076B3569FBF}"/>
            </c:ext>
          </c:extLst>
        </c:ser>
        <c:ser>
          <c:idx val="11"/>
          <c:order val="13"/>
          <c:tx>
            <c:strRef>
              <c:f>'Semi-trailer truck (Battery)'!$A$27</c:f>
              <c:strCache>
                <c:ptCount val="1"/>
                <c:pt idx="0">
                  <c:v>Annual Mileage</c:v>
                </c:pt>
              </c:strCache>
            </c:strRef>
          </c:tx>
          <c:spPr>
            <a:ln w="28575" cap="rnd">
              <a:solidFill>
                <a:schemeClr val="accent6">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BD5-43FA-9BCF-2076B3569FBF}"/>
            </c:ext>
          </c:extLst>
        </c:ser>
        <c:ser>
          <c:idx val="12"/>
          <c:order val="14"/>
          <c:tx>
            <c:strRef>
              <c:f>'Semi-trailer truck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(Battery)'!$Q$17:$AR$17</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E-2BD5-43FA-9BCF-2076B3569FB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(Battery)'!$A$74</c:f>
              <c:strCache>
                <c:ptCount val="1"/>
                <c:pt idx="0">
                  <c:v>Capex vehicle</c:v>
                </c:pt>
              </c:strCache>
            </c:strRef>
          </c:tx>
          <c:spPr>
            <a:solidFill>
              <a:schemeClr val="accent1"/>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(Battery)'!$B$74,'Semi-trailer truck (Battery)'!$N$74,'Semi-trailer truck (Battery)'!$AC$74)</c:f>
              <c:numCache>
                <c:formatCode>0.00</c:formatCode>
                <c:ptCount val="3"/>
                <c:pt idx="0">
                  <c:v>4.5229574619176545E-2</c:v>
                </c:pt>
                <c:pt idx="1">
                  <c:v>2.1537531385848969E-2</c:v>
                </c:pt>
                <c:pt idx="2">
                  <c:v>1.6995417056938824E-2</c:v>
                </c:pt>
              </c:numCache>
            </c:numRef>
          </c:val>
          <c:extLst>
            <c:ext xmlns:c16="http://schemas.microsoft.com/office/drawing/2014/chart" uri="{C3380CC4-5D6E-409C-BE32-E72D297353CC}">
              <c16:uniqueId val="{00000000-B2C0-443C-981C-568BC6F7B274}"/>
            </c:ext>
          </c:extLst>
        </c:ser>
        <c:ser>
          <c:idx val="1"/>
          <c:order val="1"/>
          <c:tx>
            <c:strRef>
              <c:f>'Semi-trailer truck (Battery)'!$A$75</c:f>
              <c:strCache>
                <c:ptCount val="1"/>
                <c:pt idx="0">
                  <c:v>Residual value (vehicle)</c:v>
                </c:pt>
              </c:strCache>
            </c:strRef>
          </c:tx>
          <c:spPr>
            <a:solidFill>
              <a:schemeClr val="accent2"/>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(Battery)'!$B$75,'Semi-trailer truck (Battery)'!$N$75,'Semi-trailer truck (Battery)'!$AC$75)</c:f>
              <c:numCache>
                <c:formatCode>0.000</c:formatCode>
                <c:ptCount val="3"/>
                <c:pt idx="0">
                  <c:v>-6.8763971865001975E-3</c:v>
                </c:pt>
                <c:pt idx="1">
                  <c:v>-4.6697853167294925E-3</c:v>
                </c:pt>
                <c:pt idx="2">
                  <c:v>-4.2467452566839394E-3</c:v>
                </c:pt>
              </c:numCache>
            </c:numRef>
          </c:val>
          <c:extLst>
            <c:ext xmlns:c16="http://schemas.microsoft.com/office/drawing/2014/chart" uri="{C3380CC4-5D6E-409C-BE32-E72D297353CC}">
              <c16:uniqueId val="{00000001-B2C0-443C-981C-568BC6F7B274}"/>
            </c:ext>
          </c:extLst>
        </c:ser>
        <c:ser>
          <c:idx val="2"/>
          <c:order val="2"/>
          <c:tx>
            <c:strRef>
              <c:f>'Semi-trailer truck (Battery)'!$A$76</c:f>
              <c:strCache>
                <c:ptCount val="1"/>
                <c:pt idx="0">
                  <c:v>Capex costumization</c:v>
                </c:pt>
              </c:strCache>
            </c:strRef>
          </c:tx>
          <c:spPr>
            <a:solidFill>
              <a:schemeClr val="accent3"/>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(Battery)'!$B$76,'Semi-trailer truck (Battery)'!$N$76,'Semi-trailer truck (Battery)'!$AC$76)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B2C0-443C-981C-568BC6F7B274}"/>
            </c:ext>
          </c:extLst>
        </c:ser>
        <c:ser>
          <c:idx val="3"/>
          <c:order val="3"/>
          <c:tx>
            <c:strRef>
              <c:f>'Semi-trailer truck (Battery)'!$A$77</c:f>
              <c:strCache>
                <c:ptCount val="1"/>
                <c:pt idx="0">
                  <c:v>Residual value (costumization)</c:v>
                </c:pt>
              </c:strCache>
            </c:strRef>
          </c:tx>
          <c:spPr>
            <a:solidFill>
              <a:schemeClr val="accent4"/>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(Battery)'!$B$77,'Semi-trailer truck (Battery)'!$N$77,'Semi-trailer truck (Battery)'!$AC$77)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B2C0-443C-981C-568BC6F7B274}"/>
            </c:ext>
          </c:extLst>
        </c:ser>
        <c:ser>
          <c:idx val="4"/>
          <c:order val="4"/>
          <c:tx>
            <c:strRef>
              <c:f>'Semi-trailer truck (Battery)'!$A$78</c:f>
              <c:strCache>
                <c:ptCount val="1"/>
                <c:pt idx="0">
                  <c:v>Opex fix (admin, crew, insurance)</c:v>
                </c:pt>
              </c:strCache>
            </c:strRef>
          </c:tx>
          <c:spPr>
            <a:solidFill>
              <a:schemeClr val="accent5"/>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(Battery)'!$B$78,'Semi-trailer truck (Battery)'!$N$78,'Semi-trailer truck (Battery)'!$AC$78)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B2C0-443C-981C-568BC6F7B274}"/>
            </c:ext>
          </c:extLst>
        </c:ser>
        <c:ser>
          <c:idx val="5"/>
          <c:order val="5"/>
          <c:tx>
            <c:strRef>
              <c:f>'Semi-trailer truck (Battery)'!$A$79</c:f>
              <c:strCache>
                <c:ptCount val="1"/>
                <c:pt idx="0">
                  <c:v>Opex maintenance &amp; repair</c:v>
                </c:pt>
              </c:strCache>
            </c:strRef>
          </c:tx>
          <c:spPr>
            <a:solidFill>
              <a:schemeClr val="accent6"/>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(Battery)'!$B$79,'Semi-trailer truck (Battery)'!$N$79,'Semi-trailer truck (Battery)'!$AC$79)</c:f>
              <c:numCache>
                <c:formatCode>0.00</c:formatCode>
                <c:ptCount val="3"/>
                <c:pt idx="0">
                  <c:v>1.0909090909090908E-2</c:v>
                </c:pt>
                <c:pt idx="1">
                  <c:v>1.0909090909090908E-2</c:v>
                </c:pt>
                <c:pt idx="2">
                  <c:v>1.0909090909090908E-2</c:v>
                </c:pt>
              </c:numCache>
            </c:numRef>
          </c:val>
          <c:extLst>
            <c:ext xmlns:c16="http://schemas.microsoft.com/office/drawing/2014/chart" uri="{C3380CC4-5D6E-409C-BE32-E72D297353CC}">
              <c16:uniqueId val="{00000005-B2C0-443C-981C-568BC6F7B274}"/>
            </c:ext>
          </c:extLst>
        </c:ser>
        <c:ser>
          <c:idx val="6"/>
          <c:order val="6"/>
          <c:tx>
            <c:strRef>
              <c:f>'Semi-trailer truck (Battery)'!$A$80</c:f>
              <c:strCache>
                <c:ptCount val="1"/>
                <c:pt idx="0">
                  <c:v>Opex var (mode-fees)</c:v>
                </c:pt>
              </c:strCache>
            </c:strRef>
          </c:tx>
          <c:spPr>
            <a:solidFill>
              <a:schemeClr val="accent1">
                <a:lumMod val="60000"/>
              </a:schemeClr>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(Battery)'!$B$80,'Semi-trailer truck (Battery)'!$N$80,'Semi-trailer truck (Battery)'!$AC$80)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B2C0-443C-981C-568BC6F7B274}"/>
            </c:ext>
          </c:extLst>
        </c:ser>
        <c:ser>
          <c:idx val="7"/>
          <c:order val="7"/>
          <c:tx>
            <c:strRef>
              <c:f>'Semi-trailer truck (Battery)'!$A$81</c:f>
              <c:strCache>
                <c:ptCount val="1"/>
                <c:pt idx="0">
                  <c:v>Fuel Cost</c:v>
                </c:pt>
              </c:strCache>
            </c:strRef>
          </c:tx>
          <c:spPr>
            <a:solidFill>
              <a:schemeClr val="accent2">
                <a:lumMod val="60000"/>
              </a:schemeClr>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(Battery)'!$B$81,'Semi-trailer truck (Battery)'!$N$81,'Semi-trailer truck (Battery)'!$AC$81)</c:f>
              <c:numCache>
                <c:formatCode>0.00</c:formatCode>
                <c:ptCount val="3"/>
                <c:pt idx="0">
                  <c:v>7.985890061771795E-3</c:v>
                </c:pt>
                <c:pt idx="1">
                  <c:v>5.2597091002081252E-3</c:v>
                </c:pt>
                <c:pt idx="2">
                  <c:v>4.0342174151229478E-3</c:v>
                </c:pt>
              </c:numCache>
            </c:numRef>
          </c:val>
          <c:extLst>
            <c:ext xmlns:c16="http://schemas.microsoft.com/office/drawing/2014/chart" uri="{C3380CC4-5D6E-409C-BE32-E72D297353CC}">
              <c16:uniqueId val="{00000007-B2C0-443C-981C-568BC6F7B274}"/>
            </c:ext>
          </c:extLst>
        </c:ser>
        <c:ser>
          <c:idx val="8"/>
          <c:order val="8"/>
          <c:tx>
            <c:strRef>
              <c:f>'Semi-trailer truck (Battery)'!$A$82</c:f>
              <c:strCache>
                <c:ptCount val="1"/>
                <c:pt idx="0">
                  <c:v>Market failure (av. utilization)</c:v>
                </c:pt>
              </c:strCache>
            </c:strRef>
          </c:tx>
          <c:spPr>
            <a:solidFill>
              <a:schemeClr val="accent3">
                <a:lumMod val="60000"/>
              </a:schemeClr>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(Battery)'!$B$82,'Semi-trailer truck (Battery)'!$N$82,'Semi-trailer truck (Battery)'!$AC$82)</c:f>
              <c:numCache>
                <c:formatCode>0.00</c:formatCode>
                <c:ptCount val="3"/>
                <c:pt idx="0">
                  <c:v>9.2430166012000908E-2</c:v>
                </c:pt>
                <c:pt idx="1">
                  <c:v>7.3390686609020192E-2</c:v>
                </c:pt>
                <c:pt idx="2">
                  <c:v>6.9098861335152389E-2</c:v>
                </c:pt>
              </c:numCache>
            </c:numRef>
          </c:val>
          <c:extLst>
            <c:ext xmlns:c16="http://schemas.microsoft.com/office/drawing/2014/chart" uri="{C3380CC4-5D6E-409C-BE32-E72D297353CC}">
              <c16:uniqueId val="{00000008-B2C0-443C-981C-568BC6F7B274}"/>
            </c:ext>
          </c:extLst>
        </c:ser>
        <c:ser>
          <c:idx val="9"/>
          <c:order val="9"/>
          <c:tx>
            <c:strRef>
              <c:f>'Semi-trailer truck (Battery)'!$A$406</c:f>
              <c:strCache>
                <c:ptCount val="1"/>
                <c:pt idx="0">
                  <c:v>Payload loss (fuel)</c:v>
                </c:pt>
              </c:strCache>
            </c:strRef>
          </c:tx>
          <c:spPr>
            <a:solidFill>
              <a:schemeClr val="accent4">
                <a:lumMod val="60000"/>
              </a:schemeClr>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(Battery)'!$B$406,'Semi-trailer truck (Battery)'!$N$406,'Semi-trailer truck (Battery)'!$AC$406)</c:f>
              <c:numCache>
                <c:formatCode>0.00</c:formatCode>
                <c:ptCount val="3"/>
                <c:pt idx="0">
                  <c:v>9.5565333507979938E-3</c:v>
                </c:pt>
                <c:pt idx="1">
                  <c:v>5.4302068988565377E-3</c:v>
                </c:pt>
                <c:pt idx="2">
                  <c:v>3.4026636644623326E-3</c:v>
                </c:pt>
              </c:numCache>
            </c:numRef>
          </c:val>
          <c:extLst>
            <c:ext xmlns:c16="http://schemas.microsoft.com/office/drawing/2014/chart" uri="{C3380CC4-5D6E-409C-BE32-E72D297353CC}">
              <c16:uniqueId val="{00000009-B2C0-443C-981C-568BC6F7B274}"/>
            </c:ext>
          </c:extLst>
        </c:ser>
        <c:ser>
          <c:idx val="10"/>
          <c:order val="10"/>
          <c:tx>
            <c:strRef>
              <c:f>'Semi-trailer truck (Battery)'!$A$407</c:f>
              <c:strCache>
                <c:ptCount val="1"/>
                <c:pt idx="0">
                  <c:v>Emission Cost</c:v>
                </c:pt>
              </c:strCache>
            </c:strRef>
          </c:tx>
          <c:spPr>
            <a:solidFill>
              <a:schemeClr val="accent5">
                <a:lumMod val="60000"/>
              </a:schemeClr>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(Battery)'!$B$407,'Semi-trailer truck (Battery)'!$N$407,'Semi-trailer truck (Battery)'!$AC$407)</c:f>
              <c:numCache>
                <c:formatCode>0.000</c:formatCode>
                <c:ptCount val="3"/>
                <c:pt idx="0">
                  <c:v>1.4049076735721778E-4</c:v>
                </c:pt>
                <c:pt idx="1">
                  <c:v>1.2003839777505244E-4</c:v>
                </c:pt>
                <c:pt idx="2">
                  <c:v>2.2812758930212777E-6</c:v>
                </c:pt>
              </c:numCache>
            </c:numRef>
          </c:val>
          <c:extLst>
            <c:ext xmlns:c16="http://schemas.microsoft.com/office/drawing/2014/chart" uri="{C3380CC4-5D6E-409C-BE32-E72D297353CC}">
              <c16:uniqueId val="{00000000-6FC1-4406-81EA-08CD1A5DB65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(Battery)'!$A$11</c:f>
              <c:strCache>
                <c:ptCount val="1"/>
                <c:pt idx="0">
                  <c:v>Capex vehicle</c:v>
                </c:pt>
              </c:strCache>
            </c:strRef>
          </c:tx>
          <c:spPr>
            <a:ln w="28575" cap="rnd">
              <a:solidFill>
                <a:schemeClr val="accent1"/>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(Battery)'!$Q$11:$AR$11</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0-540E-4595-A087-50EC71B02AC1}"/>
            </c:ext>
          </c:extLst>
        </c:ser>
        <c:ser>
          <c:idx val="13"/>
          <c:order val="1"/>
          <c:tx>
            <c:strRef>
              <c:f>'Semi-trailer truck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(Battery)'!$Q$12:$AR$12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1-540E-4595-A087-50EC71B02AC1}"/>
            </c:ext>
          </c:extLst>
        </c:ser>
        <c:ser>
          <c:idx val="1"/>
          <c:order val="2"/>
          <c:tx>
            <c:strRef>
              <c:f>'Semi-trailer truck (Battery)'!$A$13</c:f>
              <c:strCache>
                <c:ptCount val="1"/>
                <c:pt idx="0">
                  <c:v>Capex costumization</c:v>
                </c:pt>
              </c:strCache>
            </c:strRef>
          </c:tx>
          <c:spPr>
            <a:ln w="28575" cap="rnd">
              <a:solidFill>
                <a:schemeClr val="accent2"/>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540E-4595-A087-50EC71B02AC1}"/>
            </c:ext>
          </c:extLst>
        </c:ser>
        <c:ser>
          <c:idx val="14"/>
          <c:order val="3"/>
          <c:tx>
            <c:strRef>
              <c:f>'Semi-trailer truck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540E-4595-A087-50EC71B02AC1}"/>
            </c:ext>
          </c:extLst>
        </c:ser>
        <c:ser>
          <c:idx val="2"/>
          <c:order val="4"/>
          <c:tx>
            <c:strRef>
              <c:f>'Semi-trailer truck (Battery)'!$A$15</c:f>
              <c:strCache>
                <c:ptCount val="1"/>
                <c:pt idx="0">
                  <c:v>WACC</c:v>
                </c:pt>
              </c:strCache>
            </c:strRef>
          </c:tx>
          <c:spPr>
            <a:ln w="28575" cap="rnd">
              <a:solidFill>
                <a:schemeClr val="accent3"/>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540E-4595-A087-50EC71B02AC1}"/>
            </c:ext>
          </c:extLst>
        </c:ser>
        <c:ser>
          <c:idx val="3"/>
          <c:order val="5"/>
          <c:tx>
            <c:strRef>
              <c:f>'Semi-trailer truck (Battery)'!$A$16</c:f>
              <c:strCache>
                <c:ptCount val="1"/>
                <c:pt idx="0">
                  <c:v>Opex fix (admin, crew, insurance)</c:v>
                </c:pt>
              </c:strCache>
            </c:strRef>
          </c:tx>
          <c:spPr>
            <a:ln w="28575" cap="rnd">
              <a:solidFill>
                <a:schemeClr val="accent4"/>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540E-4595-A087-50EC71B02AC1}"/>
            </c:ext>
          </c:extLst>
        </c:ser>
        <c:ser>
          <c:idx val="4"/>
          <c:order val="6"/>
          <c:tx>
            <c:strRef>
              <c:f>'Semi-trailer truck (Battery)'!$A$18</c:f>
              <c:strCache>
                <c:ptCount val="1"/>
                <c:pt idx="0">
                  <c:v>Opex var (mode-fees)</c:v>
                </c:pt>
              </c:strCache>
            </c:strRef>
          </c:tx>
          <c:spPr>
            <a:ln w="28575" cap="rnd">
              <a:solidFill>
                <a:schemeClr val="accent5"/>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540E-4595-A087-50EC71B02AC1}"/>
            </c:ext>
          </c:extLst>
        </c:ser>
        <c:ser>
          <c:idx val="5"/>
          <c:order val="7"/>
          <c:tx>
            <c:strRef>
              <c:f>'Semi-trailer truck (Battery)'!$A$19</c:f>
              <c:strCache>
                <c:ptCount val="1"/>
                <c:pt idx="0">
                  <c:v>Fuel Economy</c:v>
                </c:pt>
              </c:strCache>
            </c:strRef>
          </c:tx>
          <c:spPr>
            <a:ln w="28575" cap="rnd">
              <a:solidFill>
                <a:schemeClr val="accent6"/>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(Battery)'!$Q$19:$AR$19</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7-540E-4595-A087-50EC71B02AC1}"/>
            </c:ext>
          </c:extLst>
        </c:ser>
        <c:ser>
          <c:idx val="6"/>
          <c:order val="8"/>
          <c:tx>
            <c:strRef>
              <c:f>'Semi-trailer truck (Battery)'!$A$20</c:f>
              <c:strCache>
                <c:ptCount val="1"/>
                <c:pt idx="0">
                  <c:v>Fuel Cost</c:v>
                </c:pt>
              </c:strCache>
            </c:strRef>
          </c:tx>
          <c:spPr>
            <a:ln w="28575" cap="rnd">
              <a:solidFill>
                <a:schemeClr val="accent1">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540E-4595-A087-50EC71B02AC1}"/>
            </c:ext>
          </c:extLst>
        </c:ser>
        <c:ser>
          <c:idx val="7"/>
          <c:order val="9"/>
          <c:tx>
            <c:strRef>
              <c:f>'Semi-trailer truck (Battery)'!$A$22</c:f>
              <c:strCache>
                <c:ptCount val="1"/>
                <c:pt idx="0">
                  <c:v>Lifetime vehicle</c:v>
                </c:pt>
              </c:strCache>
            </c:strRef>
          </c:tx>
          <c:spPr>
            <a:ln w="28575" cap="rnd">
              <a:solidFill>
                <a:schemeClr val="accent2">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(Battery)'!$Q$22:$AR$22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9-540E-4595-A087-50EC71B02AC1}"/>
            </c:ext>
          </c:extLst>
        </c:ser>
        <c:ser>
          <c:idx val="8"/>
          <c:order val="10"/>
          <c:tx>
            <c:strRef>
              <c:f>'Semi-trailer truck (Battery)'!$A$23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540E-4595-A087-50EC71B02AC1}"/>
            </c:ext>
          </c:extLst>
        </c:ser>
        <c:ser>
          <c:idx val="9"/>
          <c:order val="11"/>
          <c:tx>
            <c:strRef>
              <c:f>'Semi-trailer truck (Battery)'!$A$24</c:f>
              <c:strCache>
                <c:ptCount val="1"/>
                <c:pt idx="0">
                  <c:v>Tonnage .</c:v>
                </c:pt>
              </c:strCache>
            </c:strRef>
          </c:tx>
          <c:spPr>
            <a:ln w="28575" cap="rnd">
              <a:solidFill>
                <a:schemeClr val="accent4">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540E-4595-A087-50EC71B02AC1}"/>
            </c:ext>
          </c:extLst>
        </c:ser>
        <c:ser>
          <c:idx val="10"/>
          <c:order val="12"/>
          <c:tx>
            <c:strRef>
              <c:f>'Semi-trailer truck (Battery)'!$A$25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540E-4595-A087-50EC71B02AC1}"/>
            </c:ext>
          </c:extLst>
        </c:ser>
        <c:ser>
          <c:idx val="11"/>
          <c:order val="13"/>
          <c:tx>
            <c:strRef>
              <c:f>'Semi-trailer truck (Battery)'!$A$27</c:f>
              <c:strCache>
                <c:ptCount val="1"/>
                <c:pt idx="0">
                  <c:v>Annual Mileage</c:v>
                </c:pt>
              </c:strCache>
            </c:strRef>
          </c:tx>
          <c:spPr>
            <a:ln w="28575" cap="rnd">
              <a:solidFill>
                <a:schemeClr val="accent6">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540E-4595-A087-50EC71B02AC1}"/>
            </c:ext>
          </c:extLst>
        </c:ser>
        <c:ser>
          <c:idx val="12"/>
          <c:order val="14"/>
          <c:tx>
            <c:strRef>
              <c:f>'Semi-trailer truck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(Battery)'!$Q$17:$AR$17</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E-540E-4595-A087-50EC71B02AC1}"/>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(Battery)'!$A$74</c:f>
              <c:strCache>
                <c:ptCount val="1"/>
                <c:pt idx="0">
                  <c:v>Capex vehicle</c:v>
                </c:pt>
              </c:strCache>
            </c:strRef>
          </c:tx>
          <c:spPr>
            <a:solidFill>
              <a:schemeClr val="accent1"/>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(Battery)'!$B$74,'Semi-trailer truck (Battery)'!$N$74,'Semi-trailer truck (Battery)'!$AC$74)</c:f>
              <c:numCache>
                <c:formatCode>0.00</c:formatCode>
                <c:ptCount val="3"/>
                <c:pt idx="0">
                  <c:v>4.5229574619176545E-2</c:v>
                </c:pt>
                <c:pt idx="1">
                  <c:v>2.1537531385848969E-2</c:v>
                </c:pt>
                <c:pt idx="2">
                  <c:v>1.6995417056938824E-2</c:v>
                </c:pt>
              </c:numCache>
            </c:numRef>
          </c:val>
          <c:extLst>
            <c:ext xmlns:c16="http://schemas.microsoft.com/office/drawing/2014/chart" uri="{C3380CC4-5D6E-409C-BE32-E72D297353CC}">
              <c16:uniqueId val="{00000000-01BA-4679-B7DB-331C49F168D3}"/>
            </c:ext>
          </c:extLst>
        </c:ser>
        <c:ser>
          <c:idx val="1"/>
          <c:order val="1"/>
          <c:tx>
            <c:strRef>
              <c:f>'Semi-trailer truck (Battery)'!$A$75</c:f>
              <c:strCache>
                <c:ptCount val="1"/>
                <c:pt idx="0">
                  <c:v>Residual value (vehicle)</c:v>
                </c:pt>
              </c:strCache>
            </c:strRef>
          </c:tx>
          <c:spPr>
            <a:solidFill>
              <a:schemeClr val="accent2"/>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(Battery)'!$B$75,'Semi-trailer truck (Battery)'!$N$75,'Semi-trailer truck (Battery)'!$AC$75)</c:f>
              <c:numCache>
                <c:formatCode>0.000</c:formatCode>
                <c:ptCount val="3"/>
                <c:pt idx="0">
                  <c:v>-6.8763971865001975E-3</c:v>
                </c:pt>
                <c:pt idx="1">
                  <c:v>-4.6697853167294925E-3</c:v>
                </c:pt>
                <c:pt idx="2">
                  <c:v>-4.2467452566839394E-3</c:v>
                </c:pt>
              </c:numCache>
            </c:numRef>
          </c:val>
          <c:extLst>
            <c:ext xmlns:c16="http://schemas.microsoft.com/office/drawing/2014/chart" uri="{C3380CC4-5D6E-409C-BE32-E72D297353CC}">
              <c16:uniqueId val="{00000001-01BA-4679-B7DB-331C49F168D3}"/>
            </c:ext>
          </c:extLst>
        </c:ser>
        <c:ser>
          <c:idx val="2"/>
          <c:order val="2"/>
          <c:tx>
            <c:strRef>
              <c:f>'Semi-trailer truck (Battery)'!$A$76</c:f>
              <c:strCache>
                <c:ptCount val="1"/>
                <c:pt idx="0">
                  <c:v>Capex costumization</c:v>
                </c:pt>
              </c:strCache>
            </c:strRef>
          </c:tx>
          <c:spPr>
            <a:solidFill>
              <a:schemeClr val="accent3"/>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(Battery)'!$B$76,'Semi-trailer truck (Battery)'!$N$76,'Semi-trailer truck (Battery)'!$AC$76)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01BA-4679-B7DB-331C49F168D3}"/>
            </c:ext>
          </c:extLst>
        </c:ser>
        <c:ser>
          <c:idx val="3"/>
          <c:order val="3"/>
          <c:tx>
            <c:strRef>
              <c:f>'Semi-trailer truck (Battery)'!$A$77</c:f>
              <c:strCache>
                <c:ptCount val="1"/>
                <c:pt idx="0">
                  <c:v>Residual value (costumization)</c:v>
                </c:pt>
              </c:strCache>
            </c:strRef>
          </c:tx>
          <c:spPr>
            <a:solidFill>
              <a:schemeClr val="accent4"/>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(Battery)'!$B$77,'Semi-trailer truck (Battery)'!$N$77,'Semi-trailer truck (Battery)'!$AC$77)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01BA-4679-B7DB-331C49F168D3}"/>
            </c:ext>
          </c:extLst>
        </c:ser>
        <c:ser>
          <c:idx val="4"/>
          <c:order val="4"/>
          <c:tx>
            <c:strRef>
              <c:f>'Semi-trailer truck (Battery)'!$A$78</c:f>
              <c:strCache>
                <c:ptCount val="1"/>
                <c:pt idx="0">
                  <c:v>Opex fix (admin, crew, insurance)</c:v>
                </c:pt>
              </c:strCache>
            </c:strRef>
          </c:tx>
          <c:spPr>
            <a:solidFill>
              <a:schemeClr val="accent5"/>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(Battery)'!$B$78,'Semi-trailer truck (Battery)'!$N$78,'Semi-trailer truck (Battery)'!$AC$78)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01BA-4679-B7DB-331C49F168D3}"/>
            </c:ext>
          </c:extLst>
        </c:ser>
        <c:ser>
          <c:idx val="5"/>
          <c:order val="5"/>
          <c:tx>
            <c:strRef>
              <c:f>'Semi-trailer truck (Battery)'!$A$79</c:f>
              <c:strCache>
                <c:ptCount val="1"/>
                <c:pt idx="0">
                  <c:v>Opex maintenance &amp; repair</c:v>
                </c:pt>
              </c:strCache>
            </c:strRef>
          </c:tx>
          <c:spPr>
            <a:solidFill>
              <a:schemeClr val="accent6"/>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(Battery)'!$B$79,'Semi-trailer truck (Battery)'!$N$79,'Semi-trailer truck (Battery)'!$AC$79)</c:f>
              <c:numCache>
                <c:formatCode>0.00</c:formatCode>
                <c:ptCount val="3"/>
                <c:pt idx="0">
                  <c:v>1.0909090909090908E-2</c:v>
                </c:pt>
                <c:pt idx="1">
                  <c:v>1.0909090909090908E-2</c:v>
                </c:pt>
                <c:pt idx="2">
                  <c:v>1.0909090909090908E-2</c:v>
                </c:pt>
              </c:numCache>
            </c:numRef>
          </c:val>
          <c:extLst>
            <c:ext xmlns:c16="http://schemas.microsoft.com/office/drawing/2014/chart" uri="{C3380CC4-5D6E-409C-BE32-E72D297353CC}">
              <c16:uniqueId val="{00000005-01BA-4679-B7DB-331C49F168D3}"/>
            </c:ext>
          </c:extLst>
        </c:ser>
        <c:ser>
          <c:idx val="6"/>
          <c:order val="6"/>
          <c:tx>
            <c:strRef>
              <c:f>'Semi-trailer truck (Battery)'!$A$80</c:f>
              <c:strCache>
                <c:ptCount val="1"/>
                <c:pt idx="0">
                  <c:v>Opex var (mode-fees)</c:v>
                </c:pt>
              </c:strCache>
            </c:strRef>
          </c:tx>
          <c:spPr>
            <a:solidFill>
              <a:schemeClr val="accent1">
                <a:lumMod val="60000"/>
              </a:schemeClr>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(Battery)'!$B$80,'Semi-trailer truck (Battery)'!$N$80,'Semi-trailer truck (Battery)'!$AC$80)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01BA-4679-B7DB-331C49F168D3}"/>
            </c:ext>
          </c:extLst>
        </c:ser>
        <c:ser>
          <c:idx val="7"/>
          <c:order val="7"/>
          <c:tx>
            <c:strRef>
              <c:f>'Semi-trailer truck (Battery)'!$A$81</c:f>
              <c:strCache>
                <c:ptCount val="1"/>
                <c:pt idx="0">
                  <c:v>Fuel Cost</c:v>
                </c:pt>
              </c:strCache>
            </c:strRef>
          </c:tx>
          <c:spPr>
            <a:solidFill>
              <a:schemeClr val="accent2">
                <a:lumMod val="60000"/>
              </a:schemeClr>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(Battery)'!$B$81,'Semi-trailer truck (Battery)'!$N$81,'Semi-trailer truck (Battery)'!$AC$81)</c:f>
              <c:numCache>
                <c:formatCode>0.00</c:formatCode>
                <c:ptCount val="3"/>
                <c:pt idx="0">
                  <c:v>7.985890061771795E-3</c:v>
                </c:pt>
                <c:pt idx="1">
                  <c:v>5.2597091002081252E-3</c:v>
                </c:pt>
                <c:pt idx="2">
                  <c:v>4.0342174151229478E-3</c:v>
                </c:pt>
              </c:numCache>
            </c:numRef>
          </c:val>
          <c:extLst>
            <c:ext xmlns:c16="http://schemas.microsoft.com/office/drawing/2014/chart" uri="{C3380CC4-5D6E-409C-BE32-E72D297353CC}">
              <c16:uniqueId val="{00000007-01BA-4679-B7DB-331C49F168D3}"/>
            </c:ext>
          </c:extLst>
        </c:ser>
        <c:ser>
          <c:idx val="8"/>
          <c:order val="8"/>
          <c:tx>
            <c:strRef>
              <c:f>'Semi-trailer truck (Battery)'!$A$82</c:f>
              <c:strCache>
                <c:ptCount val="1"/>
                <c:pt idx="0">
                  <c:v>Market failure (av. utilization)</c:v>
                </c:pt>
              </c:strCache>
            </c:strRef>
          </c:tx>
          <c:spPr>
            <a:solidFill>
              <a:schemeClr val="accent3">
                <a:lumMod val="60000"/>
              </a:schemeClr>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(Battery)'!$B$82,'Semi-trailer truck (Battery)'!$N$82,'Semi-trailer truck (Battery)'!$AC$82)</c:f>
              <c:numCache>
                <c:formatCode>0.00</c:formatCode>
                <c:ptCount val="3"/>
                <c:pt idx="0">
                  <c:v>9.2430166012000908E-2</c:v>
                </c:pt>
                <c:pt idx="1">
                  <c:v>7.3390686609020192E-2</c:v>
                </c:pt>
                <c:pt idx="2">
                  <c:v>6.9098861335152389E-2</c:v>
                </c:pt>
              </c:numCache>
            </c:numRef>
          </c:val>
          <c:extLst>
            <c:ext xmlns:c16="http://schemas.microsoft.com/office/drawing/2014/chart" uri="{C3380CC4-5D6E-409C-BE32-E72D297353CC}">
              <c16:uniqueId val="{00000008-01BA-4679-B7DB-331C49F168D3}"/>
            </c:ext>
          </c:extLst>
        </c:ser>
        <c:ser>
          <c:idx val="9"/>
          <c:order val="9"/>
          <c:tx>
            <c:strRef>
              <c:f>'Semi-trailer truck (Battery)'!$A$511</c:f>
              <c:strCache>
                <c:ptCount val="1"/>
                <c:pt idx="0">
                  <c:v>Payload loss (fuel)</c:v>
                </c:pt>
              </c:strCache>
            </c:strRef>
          </c:tx>
          <c:spPr>
            <a:solidFill>
              <a:schemeClr val="accent4">
                <a:lumMod val="60000"/>
              </a:schemeClr>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(Battery)'!$B$511,'Semi-trailer truck (Battery)'!$N$511,'Semi-trailer truck (Battery)'!$AC$511)</c:f>
              <c:numCache>
                <c:formatCode>0.00</c:formatCode>
                <c:ptCount val="3"/>
                <c:pt idx="0">
                  <c:v>8.4249175921230768E-3</c:v>
                </c:pt>
                <c:pt idx="1">
                  <c:v>4.7793660977526742E-3</c:v>
                </c:pt>
                <c:pt idx="2">
                  <c:v>2.9884071138805771E-3</c:v>
                </c:pt>
              </c:numCache>
            </c:numRef>
          </c:val>
          <c:extLst>
            <c:ext xmlns:c16="http://schemas.microsoft.com/office/drawing/2014/chart" uri="{C3380CC4-5D6E-409C-BE32-E72D297353CC}">
              <c16:uniqueId val="{00000009-01BA-4679-B7DB-331C49F168D3}"/>
            </c:ext>
          </c:extLst>
        </c:ser>
        <c:ser>
          <c:idx val="10"/>
          <c:order val="10"/>
          <c:tx>
            <c:strRef>
              <c:f>'Semi-trailer truck (Battery)'!$A$512</c:f>
              <c:strCache>
                <c:ptCount val="1"/>
                <c:pt idx="0">
                  <c:v>Emission Cost</c:v>
                </c:pt>
              </c:strCache>
            </c:strRef>
          </c:tx>
          <c:spPr>
            <a:solidFill>
              <a:schemeClr val="accent5">
                <a:lumMod val="60000"/>
              </a:schemeClr>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(Battery)'!$B$512,'Semi-trailer truck (Battery)'!$N$512,'Semi-trailer truck (Battery)'!$AC$512)</c:f>
              <c:numCache>
                <c:formatCode>0.000</c:formatCode>
                <c:ptCount val="3"/>
                <c:pt idx="0">
                  <c:v>1.4049076735721778E-4</c:v>
                </c:pt>
                <c:pt idx="1">
                  <c:v>1.2003839777505244E-4</c:v>
                </c:pt>
                <c:pt idx="2">
                  <c:v>2.2812758930212777E-6</c:v>
                </c:pt>
              </c:numCache>
            </c:numRef>
          </c:val>
          <c:extLst>
            <c:ext xmlns:c16="http://schemas.microsoft.com/office/drawing/2014/chart" uri="{C3380CC4-5D6E-409C-BE32-E72D297353CC}">
              <c16:uniqueId val="{00000000-13DB-444B-8046-15136314AD1C}"/>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(Hydrogen)'!$A$11</c:f>
              <c:strCache>
                <c:ptCount val="1"/>
                <c:pt idx="0">
                  <c:v>Capex vehicle</c:v>
                </c:pt>
              </c:strCache>
            </c:strRef>
          </c:tx>
          <c:spPr>
            <a:ln w="28575" cap="rnd">
              <a:solidFill>
                <a:schemeClr val="accent1"/>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(Hydrogen)'!$Q$11:$AR$11</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0-15E3-481B-9A23-1359A0931E2E}"/>
            </c:ext>
          </c:extLst>
        </c:ser>
        <c:ser>
          <c:idx val="13"/>
          <c:order val="1"/>
          <c:tx>
            <c:strRef>
              <c:f>'Semi-trailer truck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(Hydrogen)'!$Q$12:$AR$12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1-15E3-481B-9A23-1359A0931E2E}"/>
            </c:ext>
          </c:extLst>
        </c:ser>
        <c:ser>
          <c:idx val="1"/>
          <c:order val="2"/>
          <c:tx>
            <c:strRef>
              <c:f>'Semi-trailer truck (Hydrogen)'!$A$13</c:f>
              <c:strCache>
                <c:ptCount val="1"/>
                <c:pt idx="0">
                  <c:v>Capex costumization</c:v>
                </c:pt>
              </c:strCache>
            </c:strRef>
          </c:tx>
          <c:spPr>
            <a:ln w="28575" cap="rnd">
              <a:solidFill>
                <a:schemeClr val="accent2"/>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15E3-481B-9A23-1359A0931E2E}"/>
            </c:ext>
          </c:extLst>
        </c:ser>
        <c:ser>
          <c:idx val="14"/>
          <c:order val="3"/>
          <c:tx>
            <c:strRef>
              <c:f>'Semi-trailer truck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15E3-481B-9A23-1359A0931E2E}"/>
            </c:ext>
          </c:extLst>
        </c:ser>
        <c:ser>
          <c:idx val="2"/>
          <c:order val="4"/>
          <c:tx>
            <c:strRef>
              <c:f>'Semi-trailer truck (Hydrogen)'!$A$15</c:f>
              <c:strCache>
                <c:ptCount val="1"/>
                <c:pt idx="0">
                  <c:v>WACC</c:v>
                </c:pt>
              </c:strCache>
            </c:strRef>
          </c:tx>
          <c:spPr>
            <a:ln w="28575" cap="rnd">
              <a:solidFill>
                <a:schemeClr val="accent3"/>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15E3-481B-9A23-1359A0931E2E}"/>
            </c:ext>
          </c:extLst>
        </c:ser>
        <c:ser>
          <c:idx val="3"/>
          <c:order val="5"/>
          <c:tx>
            <c:strRef>
              <c:f>'Semi-trailer truck (Hydrogen)'!$A$16</c:f>
              <c:strCache>
                <c:ptCount val="1"/>
                <c:pt idx="0">
                  <c:v>Opex fix (admin, crew, insurance)</c:v>
                </c:pt>
              </c:strCache>
            </c:strRef>
          </c:tx>
          <c:spPr>
            <a:ln w="28575" cap="rnd">
              <a:solidFill>
                <a:schemeClr val="accent4"/>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15E3-481B-9A23-1359A0931E2E}"/>
            </c:ext>
          </c:extLst>
        </c:ser>
        <c:ser>
          <c:idx val="4"/>
          <c:order val="6"/>
          <c:tx>
            <c:strRef>
              <c:f>'Semi-trailer truck (Hydrogen)'!$A$18</c:f>
              <c:strCache>
                <c:ptCount val="1"/>
                <c:pt idx="0">
                  <c:v>Opex var (mode-fees)</c:v>
                </c:pt>
              </c:strCache>
            </c:strRef>
          </c:tx>
          <c:spPr>
            <a:ln w="28575" cap="rnd">
              <a:solidFill>
                <a:schemeClr val="accent5"/>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15E3-481B-9A23-1359A0931E2E}"/>
            </c:ext>
          </c:extLst>
        </c:ser>
        <c:ser>
          <c:idx val="5"/>
          <c:order val="7"/>
          <c:tx>
            <c:strRef>
              <c:f>'Semi-trailer truck (Hydrogen)'!$A$19</c:f>
              <c:strCache>
                <c:ptCount val="1"/>
                <c:pt idx="0">
                  <c:v>Fuel Economy</c:v>
                </c:pt>
              </c:strCache>
            </c:strRef>
          </c:tx>
          <c:spPr>
            <a:ln w="28575" cap="rnd">
              <a:solidFill>
                <a:schemeClr val="accent6"/>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(Hydrogen)'!$Q$19:$AR$19</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7-15E3-481B-9A23-1359A0931E2E}"/>
            </c:ext>
          </c:extLst>
        </c:ser>
        <c:ser>
          <c:idx val="6"/>
          <c:order val="8"/>
          <c:tx>
            <c:strRef>
              <c:f>'Semi-trailer truck (Hydrogen)'!$A$20</c:f>
              <c:strCache>
                <c:ptCount val="1"/>
                <c:pt idx="0">
                  <c:v>Fuel Cost</c:v>
                </c:pt>
              </c:strCache>
            </c:strRef>
          </c:tx>
          <c:spPr>
            <a:ln w="28575" cap="rnd">
              <a:solidFill>
                <a:schemeClr val="accent1">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15E3-481B-9A23-1359A0931E2E}"/>
            </c:ext>
          </c:extLst>
        </c:ser>
        <c:ser>
          <c:idx val="7"/>
          <c:order val="9"/>
          <c:tx>
            <c:strRef>
              <c:f>'Semi-trailer truck (Hydrogen)'!$A$22</c:f>
              <c:strCache>
                <c:ptCount val="1"/>
                <c:pt idx="0">
                  <c:v>Lifetime vehicle</c:v>
                </c:pt>
              </c:strCache>
            </c:strRef>
          </c:tx>
          <c:spPr>
            <a:ln w="28575" cap="rnd">
              <a:solidFill>
                <a:schemeClr val="accent2">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(Hydrogen)'!$Q$22:$AR$22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9-15E3-481B-9A23-1359A0931E2E}"/>
            </c:ext>
          </c:extLst>
        </c:ser>
        <c:ser>
          <c:idx val="8"/>
          <c:order val="10"/>
          <c:tx>
            <c:strRef>
              <c:f>'Semi-trailer truck (Hydrogen)'!$A$23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15E3-481B-9A23-1359A0931E2E}"/>
            </c:ext>
          </c:extLst>
        </c:ser>
        <c:ser>
          <c:idx val="9"/>
          <c:order val="11"/>
          <c:tx>
            <c:strRef>
              <c:f>'Semi-trailer truck (Hydrogen)'!$A$24</c:f>
              <c:strCache>
                <c:ptCount val="1"/>
                <c:pt idx="0">
                  <c:v>Tonnage .</c:v>
                </c:pt>
              </c:strCache>
            </c:strRef>
          </c:tx>
          <c:spPr>
            <a:ln w="28575" cap="rnd">
              <a:solidFill>
                <a:schemeClr val="accent4">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15E3-481B-9A23-1359A0931E2E}"/>
            </c:ext>
          </c:extLst>
        </c:ser>
        <c:ser>
          <c:idx val="10"/>
          <c:order val="12"/>
          <c:tx>
            <c:strRef>
              <c:f>'Semi-trailer truck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15E3-481B-9A23-1359A0931E2E}"/>
            </c:ext>
          </c:extLst>
        </c:ser>
        <c:ser>
          <c:idx val="11"/>
          <c:order val="13"/>
          <c:tx>
            <c:strRef>
              <c:f>'Semi-trailer truck (Hydrogen)'!$A$27</c:f>
              <c:strCache>
                <c:ptCount val="1"/>
                <c:pt idx="0">
                  <c:v>Annual Mileage</c:v>
                </c:pt>
              </c:strCache>
            </c:strRef>
          </c:tx>
          <c:spPr>
            <a:ln w="28575" cap="rnd">
              <a:solidFill>
                <a:schemeClr val="accent6">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15E3-481B-9A23-1359A0931E2E}"/>
            </c:ext>
          </c:extLst>
        </c:ser>
        <c:ser>
          <c:idx val="12"/>
          <c:order val="14"/>
          <c:tx>
            <c:strRef>
              <c:f>'Semi-trailer truck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(Hydrogen)'!$Q$17:$AR$17</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E-15E3-481B-9A23-1359A0931E2E}"/>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(Hydrogen)'!$A$74</c:f>
              <c:strCache>
                <c:ptCount val="1"/>
                <c:pt idx="0">
                  <c:v>Capex vehicle</c:v>
                </c:pt>
              </c:strCache>
            </c:strRef>
          </c:tx>
          <c:spPr>
            <a:solidFill>
              <a:schemeClr val="accent1"/>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(Hydrogen)'!$B$74,'Semi-trailer truck (Hydrogen)'!$N$74,'Semi-trailer truck (Hydrogen)'!$AC$74)</c:f>
              <c:numCache>
                <c:formatCode>0.00</c:formatCode>
                <c:ptCount val="3"/>
                <c:pt idx="0">
                  <c:v>4.4623597015022408E-2</c:v>
                </c:pt>
                <c:pt idx="1">
                  <c:v>2.3959637162742395E-2</c:v>
                </c:pt>
                <c:pt idx="2">
                  <c:v>1.8171622640410206E-2</c:v>
                </c:pt>
              </c:numCache>
            </c:numRef>
          </c:val>
          <c:extLst>
            <c:ext xmlns:c16="http://schemas.microsoft.com/office/drawing/2014/chart" uri="{C3380CC4-5D6E-409C-BE32-E72D297353CC}">
              <c16:uniqueId val="{00000000-5EB2-4522-9D83-5042DF9CD883}"/>
            </c:ext>
          </c:extLst>
        </c:ser>
        <c:ser>
          <c:idx val="1"/>
          <c:order val="1"/>
          <c:tx>
            <c:strRef>
              <c:f>'Semi-trailer truck (Hydrogen)'!$A$75</c:f>
              <c:strCache>
                <c:ptCount val="1"/>
                <c:pt idx="0">
                  <c:v>Residual value (vehicle)</c:v>
                </c:pt>
              </c:strCache>
            </c:strRef>
          </c:tx>
          <c:spPr>
            <a:solidFill>
              <a:schemeClr val="accent2"/>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(Hydrogen)'!$B$75,'Semi-trailer truck (Hydrogen)'!$N$75,'Semi-trailer truck (Hydrogen)'!$AC$75)</c:f>
              <c:numCache>
                <c:formatCode>0.000</c:formatCode>
                <c:ptCount val="3"/>
                <c:pt idx="0">
                  <c:v>-6.7629302274573042E-3</c:v>
                </c:pt>
                <c:pt idx="1">
                  <c:v>-5.0262782824252615E-3</c:v>
                </c:pt>
                <c:pt idx="2">
                  <c:v>-4.5398387640590461E-3</c:v>
                </c:pt>
              </c:numCache>
            </c:numRef>
          </c:val>
          <c:extLst>
            <c:ext xmlns:c16="http://schemas.microsoft.com/office/drawing/2014/chart" uri="{C3380CC4-5D6E-409C-BE32-E72D297353CC}">
              <c16:uniqueId val="{00000001-5EB2-4522-9D83-5042DF9CD883}"/>
            </c:ext>
          </c:extLst>
        </c:ser>
        <c:ser>
          <c:idx val="2"/>
          <c:order val="2"/>
          <c:tx>
            <c:strRef>
              <c:f>'Semi-trailer truck (Hydrogen)'!$A$76</c:f>
              <c:strCache>
                <c:ptCount val="1"/>
                <c:pt idx="0">
                  <c:v>Capex costumization</c:v>
                </c:pt>
              </c:strCache>
            </c:strRef>
          </c:tx>
          <c:spPr>
            <a:solidFill>
              <a:schemeClr val="accent3"/>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(Hydrogen)'!$B$76,'Semi-trailer truck (Hydrogen)'!$N$76,'Semi-trailer truck (Hydrogen)'!$AC$76)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5EB2-4522-9D83-5042DF9CD883}"/>
            </c:ext>
          </c:extLst>
        </c:ser>
        <c:ser>
          <c:idx val="3"/>
          <c:order val="3"/>
          <c:tx>
            <c:strRef>
              <c:f>'Semi-trailer truck (Hydrogen)'!$A$77</c:f>
              <c:strCache>
                <c:ptCount val="1"/>
                <c:pt idx="0">
                  <c:v>Residual value (costumization)</c:v>
                </c:pt>
              </c:strCache>
            </c:strRef>
          </c:tx>
          <c:spPr>
            <a:solidFill>
              <a:schemeClr val="accent4"/>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(Hydrogen)'!$B$77,'Semi-trailer truck (Hydrogen)'!$N$77,'Semi-trailer truck (Hydrogen)'!$AC$77)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5EB2-4522-9D83-5042DF9CD883}"/>
            </c:ext>
          </c:extLst>
        </c:ser>
        <c:ser>
          <c:idx val="4"/>
          <c:order val="4"/>
          <c:tx>
            <c:strRef>
              <c:f>'Semi-trailer truck (Hydrogen)'!$A$78</c:f>
              <c:strCache>
                <c:ptCount val="1"/>
                <c:pt idx="0">
                  <c:v>Opex fix (admin, crew, insurance)</c:v>
                </c:pt>
              </c:strCache>
            </c:strRef>
          </c:tx>
          <c:spPr>
            <a:solidFill>
              <a:schemeClr val="accent5"/>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(Hydrogen)'!$B$78,'Semi-trailer truck (Hydrogen)'!$N$78,'Semi-trailer truck (Hydrogen)'!$AC$78)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5EB2-4522-9D83-5042DF9CD883}"/>
            </c:ext>
          </c:extLst>
        </c:ser>
        <c:ser>
          <c:idx val="5"/>
          <c:order val="5"/>
          <c:tx>
            <c:strRef>
              <c:f>'Semi-trailer truck (Hydrogen)'!$A$79</c:f>
              <c:strCache>
                <c:ptCount val="1"/>
                <c:pt idx="0">
                  <c:v>Opex maintenance &amp; repair</c:v>
                </c:pt>
              </c:strCache>
            </c:strRef>
          </c:tx>
          <c:spPr>
            <a:solidFill>
              <a:schemeClr val="accent6"/>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(Hydrogen)'!$B$79,'Semi-trailer truck (Hydrogen)'!$N$79,'Semi-trailer truck (Hydrogen)'!$AC$79)</c:f>
              <c:numCache>
                <c:formatCode>0.00</c:formatCode>
                <c:ptCount val="3"/>
                <c:pt idx="0">
                  <c:v>1.868668998758358E-2</c:v>
                </c:pt>
                <c:pt idx="1">
                  <c:v>1.4318385987555941E-2</c:v>
                </c:pt>
                <c:pt idx="2">
                  <c:v>1.3094815714923418E-2</c:v>
                </c:pt>
              </c:numCache>
            </c:numRef>
          </c:val>
          <c:extLst>
            <c:ext xmlns:c16="http://schemas.microsoft.com/office/drawing/2014/chart" uri="{C3380CC4-5D6E-409C-BE32-E72D297353CC}">
              <c16:uniqueId val="{00000005-5EB2-4522-9D83-5042DF9CD883}"/>
            </c:ext>
          </c:extLst>
        </c:ser>
        <c:ser>
          <c:idx val="6"/>
          <c:order val="6"/>
          <c:tx>
            <c:strRef>
              <c:f>'Semi-trailer truck (Hydrogen)'!$A$80</c:f>
              <c:strCache>
                <c:ptCount val="1"/>
                <c:pt idx="0">
                  <c:v>Opex var (mode-fees)</c:v>
                </c:pt>
              </c:strCache>
            </c:strRef>
          </c:tx>
          <c:spPr>
            <a:solidFill>
              <a:schemeClr val="accent1">
                <a:lumMod val="60000"/>
              </a:schemeClr>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(Hydrogen)'!$B$80,'Semi-trailer truck (Hydrogen)'!$N$80,'Semi-trailer truck (Hydrogen)'!$AC$80)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5EB2-4522-9D83-5042DF9CD883}"/>
            </c:ext>
          </c:extLst>
        </c:ser>
        <c:ser>
          <c:idx val="7"/>
          <c:order val="7"/>
          <c:tx>
            <c:strRef>
              <c:f>'Semi-trailer truck (Hydrogen)'!$A$81</c:f>
              <c:strCache>
                <c:ptCount val="1"/>
                <c:pt idx="0">
                  <c:v>Fuel Cost</c:v>
                </c:pt>
              </c:strCache>
            </c:strRef>
          </c:tx>
          <c:spPr>
            <a:solidFill>
              <a:schemeClr val="accent2">
                <a:lumMod val="60000"/>
              </a:schemeClr>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(Hydrogen)'!$B$81,'Semi-trailer truck (Hydrogen)'!$N$81,'Semi-trailer truck (Hydrogen)'!$AC$81)</c:f>
              <c:numCache>
                <c:formatCode>0.00</c:formatCode>
                <c:ptCount val="3"/>
                <c:pt idx="0">
                  <c:v>2.5271535978108505E-2</c:v>
                </c:pt>
                <c:pt idx="1">
                  <c:v>1.3760682716616275E-2</c:v>
                </c:pt>
                <c:pt idx="2">
                  <c:v>7.8647748498683282E-3</c:v>
                </c:pt>
              </c:numCache>
            </c:numRef>
          </c:val>
          <c:extLst>
            <c:ext xmlns:c16="http://schemas.microsoft.com/office/drawing/2014/chart" uri="{C3380CC4-5D6E-409C-BE32-E72D297353CC}">
              <c16:uniqueId val="{00000007-5EB2-4522-9D83-5042DF9CD883}"/>
            </c:ext>
          </c:extLst>
        </c:ser>
        <c:ser>
          <c:idx val="8"/>
          <c:order val="8"/>
          <c:tx>
            <c:strRef>
              <c:f>'Semi-trailer truck (Hydrogen)'!$A$82</c:f>
              <c:strCache>
                <c:ptCount val="1"/>
                <c:pt idx="0">
                  <c:v>Market failure (av. utilization)</c:v>
                </c:pt>
              </c:strCache>
            </c:strRef>
          </c:tx>
          <c:spPr>
            <a:solidFill>
              <a:schemeClr val="accent3">
                <a:lumMod val="60000"/>
              </a:schemeClr>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(Hydrogen)'!$B$82,'Semi-trailer truck (Hydrogen)'!$N$82,'Semi-trailer truck (Hydrogen)'!$AC$82)</c:f>
              <c:numCache>
                <c:formatCode>0.00</c:formatCode>
                <c:ptCount val="3"/>
                <c:pt idx="0">
                  <c:v>0.11191150040572001</c:v>
                </c:pt>
                <c:pt idx="1">
                  <c:v>8.4521907351170641E-2</c:v>
                </c:pt>
                <c:pt idx="2">
                  <c:v>7.4522667944778312E-2</c:v>
                </c:pt>
              </c:numCache>
            </c:numRef>
          </c:val>
          <c:extLst>
            <c:ext xmlns:c16="http://schemas.microsoft.com/office/drawing/2014/chart" uri="{C3380CC4-5D6E-409C-BE32-E72D297353CC}">
              <c16:uniqueId val="{00000008-5EB2-4522-9D83-5042DF9CD883}"/>
            </c:ext>
          </c:extLst>
        </c:ser>
        <c:ser>
          <c:idx val="9"/>
          <c:order val="9"/>
          <c:tx>
            <c:strRef>
              <c:f>'Semi-trailer truck (Hydrogen)'!$A$83</c:f>
              <c:strCache>
                <c:ptCount val="1"/>
                <c:pt idx="0">
                  <c:v>Payload loss (fuel)</c:v>
                </c:pt>
              </c:strCache>
            </c:strRef>
          </c:tx>
          <c:spPr>
            <a:solidFill>
              <a:schemeClr val="accent4">
                <a:lumMod val="60000"/>
              </a:schemeClr>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(Hydrogen)'!$B$83,'Semi-trailer truck (Hydrogen)'!$N$83,'Semi-trailer truck (Hydrogen)'!$AC$83)</c:f>
              <c:numCache>
                <c:formatCode>0.00</c:formatCode>
                <c:ptCount val="3"/>
                <c:pt idx="0">
                  <c:v>7.4339832283982221E-3</c:v>
                </c:pt>
                <c:pt idx="1">
                  <c:v>3.7773952003283262E-3</c:v>
                </c:pt>
                <c:pt idx="2">
                  <c:v>1.9422481330625962E-3</c:v>
                </c:pt>
              </c:numCache>
            </c:numRef>
          </c:val>
          <c:extLst>
            <c:ext xmlns:c16="http://schemas.microsoft.com/office/drawing/2014/chart" uri="{C3380CC4-5D6E-409C-BE32-E72D297353CC}">
              <c16:uniqueId val="{00000009-5EB2-4522-9D83-5042DF9CD883}"/>
            </c:ext>
          </c:extLst>
        </c:ser>
        <c:ser>
          <c:idx val="10"/>
          <c:order val="10"/>
          <c:tx>
            <c:strRef>
              <c:f>'Semi-trailer truck (Hydrogen)'!$A$84</c:f>
              <c:strCache>
                <c:ptCount val="1"/>
                <c:pt idx="0">
                  <c:v>Emission Cost</c:v>
                </c:pt>
              </c:strCache>
            </c:strRef>
          </c:tx>
          <c:spPr>
            <a:solidFill>
              <a:schemeClr val="accent5">
                <a:lumMod val="60000"/>
              </a:schemeClr>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(Hydrogen)'!$B$84,'Semi-trailer truck (Hydrogen)'!$N$84,'Semi-trailer truck (Hydrogen)'!$AC$84)</c:f>
              <c:numCache>
                <c:formatCode>0.000</c:formatCode>
                <c:ptCount val="3"/>
                <c:pt idx="0">
                  <c:v>3.6418200964524684E-4</c:v>
                </c:pt>
                <c:pt idx="1">
                  <c:v>3.1116510898656003E-4</c:v>
                </c:pt>
                <c:pt idx="2">
                  <c:v>5.9135532882621105E-6</c:v>
                </c:pt>
              </c:numCache>
            </c:numRef>
          </c:val>
          <c:extLst>
            <c:ext xmlns:c16="http://schemas.microsoft.com/office/drawing/2014/chart" uri="{C3380CC4-5D6E-409C-BE32-E72D297353CC}">
              <c16:uniqueId val="{00000000-12CD-40CB-8763-A06BC754B4CA}"/>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(Hydrogen)'!$A$11</c:f>
              <c:strCache>
                <c:ptCount val="1"/>
                <c:pt idx="0">
                  <c:v>Capex vehicle</c:v>
                </c:pt>
              </c:strCache>
            </c:strRef>
          </c:tx>
          <c:spPr>
            <a:ln w="28575" cap="rnd">
              <a:solidFill>
                <a:schemeClr val="accent1"/>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(Hydrogen)'!$Q$11:$AR$11</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0-3357-4588-AA4E-3B4FB1104729}"/>
            </c:ext>
          </c:extLst>
        </c:ser>
        <c:ser>
          <c:idx val="13"/>
          <c:order val="1"/>
          <c:tx>
            <c:strRef>
              <c:f>'Semi-trailer truck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(Hydrogen)'!$Q$12:$AR$12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1-3357-4588-AA4E-3B4FB1104729}"/>
            </c:ext>
          </c:extLst>
        </c:ser>
        <c:ser>
          <c:idx val="1"/>
          <c:order val="2"/>
          <c:tx>
            <c:strRef>
              <c:f>'Semi-trailer truck (Hydrogen)'!$A$13</c:f>
              <c:strCache>
                <c:ptCount val="1"/>
                <c:pt idx="0">
                  <c:v>Capex costumization</c:v>
                </c:pt>
              </c:strCache>
            </c:strRef>
          </c:tx>
          <c:spPr>
            <a:ln w="28575" cap="rnd">
              <a:solidFill>
                <a:schemeClr val="accent2"/>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3357-4588-AA4E-3B4FB1104729}"/>
            </c:ext>
          </c:extLst>
        </c:ser>
        <c:ser>
          <c:idx val="14"/>
          <c:order val="3"/>
          <c:tx>
            <c:strRef>
              <c:f>'Semi-trailer truck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3357-4588-AA4E-3B4FB1104729}"/>
            </c:ext>
          </c:extLst>
        </c:ser>
        <c:ser>
          <c:idx val="2"/>
          <c:order val="4"/>
          <c:tx>
            <c:strRef>
              <c:f>'Semi-trailer truck (Hydrogen)'!$A$15</c:f>
              <c:strCache>
                <c:ptCount val="1"/>
                <c:pt idx="0">
                  <c:v>WACC</c:v>
                </c:pt>
              </c:strCache>
            </c:strRef>
          </c:tx>
          <c:spPr>
            <a:ln w="28575" cap="rnd">
              <a:solidFill>
                <a:schemeClr val="accent3"/>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3357-4588-AA4E-3B4FB1104729}"/>
            </c:ext>
          </c:extLst>
        </c:ser>
        <c:ser>
          <c:idx val="3"/>
          <c:order val="5"/>
          <c:tx>
            <c:strRef>
              <c:f>'Semi-trailer truck (Hydrogen)'!$A$16</c:f>
              <c:strCache>
                <c:ptCount val="1"/>
                <c:pt idx="0">
                  <c:v>Opex fix (admin, crew, insurance)</c:v>
                </c:pt>
              </c:strCache>
            </c:strRef>
          </c:tx>
          <c:spPr>
            <a:ln w="28575" cap="rnd">
              <a:solidFill>
                <a:schemeClr val="accent4"/>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3357-4588-AA4E-3B4FB1104729}"/>
            </c:ext>
          </c:extLst>
        </c:ser>
        <c:ser>
          <c:idx val="4"/>
          <c:order val="6"/>
          <c:tx>
            <c:strRef>
              <c:f>'Semi-trailer truck (Hydrogen)'!$A$18</c:f>
              <c:strCache>
                <c:ptCount val="1"/>
                <c:pt idx="0">
                  <c:v>Opex var (mode-fees)</c:v>
                </c:pt>
              </c:strCache>
            </c:strRef>
          </c:tx>
          <c:spPr>
            <a:ln w="28575" cap="rnd">
              <a:solidFill>
                <a:schemeClr val="accent5"/>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3357-4588-AA4E-3B4FB1104729}"/>
            </c:ext>
          </c:extLst>
        </c:ser>
        <c:ser>
          <c:idx val="5"/>
          <c:order val="7"/>
          <c:tx>
            <c:strRef>
              <c:f>'Semi-trailer truck (Hydrogen)'!$A$19</c:f>
              <c:strCache>
                <c:ptCount val="1"/>
                <c:pt idx="0">
                  <c:v>Fuel Economy</c:v>
                </c:pt>
              </c:strCache>
            </c:strRef>
          </c:tx>
          <c:spPr>
            <a:ln w="28575" cap="rnd">
              <a:solidFill>
                <a:schemeClr val="accent6"/>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(Hydrogen)'!$Q$19:$AR$19</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7-3357-4588-AA4E-3B4FB1104729}"/>
            </c:ext>
          </c:extLst>
        </c:ser>
        <c:ser>
          <c:idx val="6"/>
          <c:order val="8"/>
          <c:tx>
            <c:strRef>
              <c:f>'Semi-trailer truck (Hydrogen)'!$A$20</c:f>
              <c:strCache>
                <c:ptCount val="1"/>
                <c:pt idx="0">
                  <c:v>Fuel Cost</c:v>
                </c:pt>
              </c:strCache>
            </c:strRef>
          </c:tx>
          <c:spPr>
            <a:ln w="28575" cap="rnd">
              <a:solidFill>
                <a:schemeClr val="accent1">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3357-4588-AA4E-3B4FB1104729}"/>
            </c:ext>
          </c:extLst>
        </c:ser>
        <c:ser>
          <c:idx val="7"/>
          <c:order val="9"/>
          <c:tx>
            <c:strRef>
              <c:f>'Semi-trailer truck (Hydrogen)'!$A$22</c:f>
              <c:strCache>
                <c:ptCount val="1"/>
                <c:pt idx="0">
                  <c:v>Lifetime vehicle</c:v>
                </c:pt>
              </c:strCache>
            </c:strRef>
          </c:tx>
          <c:spPr>
            <a:ln w="28575" cap="rnd">
              <a:solidFill>
                <a:schemeClr val="accent2">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(Hydrogen)'!$Q$22:$AR$22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9-3357-4588-AA4E-3B4FB1104729}"/>
            </c:ext>
          </c:extLst>
        </c:ser>
        <c:ser>
          <c:idx val="8"/>
          <c:order val="10"/>
          <c:tx>
            <c:strRef>
              <c:f>'Semi-trailer truck (Hydrogen)'!$A$23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3357-4588-AA4E-3B4FB1104729}"/>
            </c:ext>
          </c:extLst>
        </c:ser>
        <c:ser>
          <c:idx val="9"/>
          <c:order val="11"/>
          <c:tx>
            <c:strRef>
              <c:f>'Semi-trailer truck (Hydrogen)'!$A$24</c:f>
              <c:strCache>
                <c:ptCount val="1"/>
                <c:pt idx="0">
                  <c:v>Tonnage .</c:v>
                </c:pt>
              </c:strCache>
            </c:strRef>
          </c:tx>
          <c:spPr>
            <a:ln w="28575" cap="rnd">
              <a:solidFill>
                <a:schemeClr val="accent4">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3357-4588-AA4E-3B4FB1104729}"/>
            </c:ext>
          </c:extLst>
        </c:ser>
        <c:ser>
          <c:idx val="10"/>
          <c:order val="12"/>
          <c:tx>
            <c:strRef>
              <c:f>'Semi-trailer truck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3357-4588-AA4E-3B4FB1104729}"/>
            </c:ext>
          </c:extLst>
        </c:ser>
        <c:ser>
          <c:idx val="11"/>
          <c:order val="13"/>
          <c:tx>
            <c:strRef>
              <c:f>'Semi-trailer truck (Hydrogen)'!$A$27</c:f>
              <c:strCache>
                <c:ptCount val="1"/>
                <c:pt idx="0">
                  <c:v>Annual Mileage</c:v>
                </c:pt>
              </c:strCache>
            </c:strRef>
          </c:tx>
          <c:spPr>
            <a:ln w="28575" cap="rnd">
              <a:solidFill>
                <a:schemeClr val="accent6">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3357-4588-AA4E-3B4FB1104729}"/>
            </c:ext>
          </c:extLst>
        </c:ser>
        <c:ser>
          <c:idx val="12"/>
          <c:order val="14"/>
          <c:tx>
            <c:strRef>
              <c:f>'Semi-trailer truck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(Hydrogen)'!$Q$17:$AR$17</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E-3357-4588-AA4E-3B4FB1104729}"/>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(Hydrogen)'!$A$74</c:f>
              <c:strCache>
                <c:ptCount val="1"/>
                <c:pt idx="0">
                  <c:v>Capex vehicle</c:v>
                </c:pt>
              </c:strCache>
            </c:strRef>
          </c:tx>
          <c:spPr>
            <a:solidFill>
              <a:schemeClr val="accent1"/>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(Hydrogen)'!$B$74,'Semi-trailer truck (Hydrogen)'!$N$74,'Semi-trailer truck (Hydrogen)'!$AC$74)</c:f>
              <c:numCache>
                <c:formatCode>0.00</c:formatCode>
                <c:ptCount val="3"/>
                <c:pt idx="0">
                  <c:v>4.4623597015022408E-2</c:v>
                </c:pt>
                <c:pt idx="1">
                  <c:v>2.3959637162742395E-2</c:v>
                </c:pt>
                <c:pt idx="2">
                  <c:v>1.8171622640410206E-2</c:v>
                </c:pt>
              </c:numCache>
            </c:numRef>
          </c:val>
          <c:extLst>
            <c:ext xmlns:c16="http://schemas.microsoft.com/office/drawing/2014/chart" uri="{C3380CC4-5D6E-409C-BE32-E72D297353CC}">
              <c16:uniqueId val="{00000000-1EF3-4967-B3FF-6F6B7AC54B71}"/>
            </c:ext>
          </c:extLst>
        </c:ser>
        <c:ser>
          <c:idx val="1"/>
          <c:order val="1"/>
          <c:tx>
            <c:strRef>
              <c:f>'Semi-trailer truck (Hydrogen)'!$A$75</c:f>
              <c:strCache>
                <c:ptCount val="1"/>
                <c:pt idx="0">
                  <c:v>Residual value (vehicle)</c:v>
                </c:pt>
              </c:strCache>
            </c:strRef>
          </c:tx>
          <c:spPr>
            <a:solidFill>
              <a:schemeClr val="accent2"/>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(Hydrogen)'!$B$75,'Semi-trailer truck (Hydrogen)'!$N$75,'Semi-trailer truck (Hydrogen)'!$AC$75)</c:f>
              <c:numCache>
                <c:formatCode>0.000</c:formatCode>
                <c:ptCount val="3"/>
                <c:pt idx="0">
                  <c:v>-6.7629302274573042E-3</c:v>
                </c:pt>
                <c:pt idx="1">
                  <c:v>-5.0262782824252615E-3</c:v>
                </c:pt>
                <c:pt idx="2">
                  <c:v>-4.5398387640590461E-3</c:v>
                </c:pt>
              </c:numCache>
            </c:numRef>
          </c:val>
          <c:extLst>
            <c:ext xmlns:c16="http://schemas.microsoft.com/office/drawing/2014/chart" uri="{C3380CC4-5D6E-409C-BE32-E72D297353CC}">
              <c16:uniqueId val="{00000001-1EF3-4967-B3FF-6F6B7AC54B71}"/>
            </c:ext>
          </c:extLst>
        </c:ser>
        <c:ser>
          <c:idx val="2"/>
          <c:order val="2"/>
          <c:tx>
            <c:strRef>
              <c:f>'Semi-trailer truck (Hydrogen)'!$A$76</c:f>
              <c:strCache>
                <c:ptCount val="1"/>
                <c:pt idx="0">
                  <c:v>Capex costumization</c:v>
                </c:pt>
              </c:strCache>
            </c:strRef>
          </c:tx>
          <c:spPr>
            <a:solidFill>
              <a:schemeClr val="accent3"/>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(Hydrogen)'!$B$76,'Semi-trailer truck (Hydrogen)'!$N$76,'Semi-trailer truck (Hydrogen)'!$AC$76)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1EF3-4967-B3FF-6F6B7AC54B71}"/>
            </c:ext>
          </c:extLst>
        </c:ser>
        <c:ser>
          <c:idx val="3"/>
          <c:order val="3"/>
          <c:tx>
            <c:strRef>
              <c:f>'Semi-trailer truck (Hydrogen)'!$A$77</c:f>
              <c:strCache>
                <c:ptCount val="1"/>
                <c:pt idx="0">
                  <c:v>Residual value (costumization)</c:v>
                </c:pt>
              </c:strCache>
            </c:strRef>
          </c:tx>
          <c:spPr>
            <a:solidFill>
              <a:schemeClr val="accent4"/>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(Hydrogen)'!$B$77,'Semi-trailer truck (Hydrogen)'!$N$77,'Semi-trailer truck (Hydrogen)'!$AC$77)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1EF3-4967-B3FF-6F6B7AC54B71}"/>
            </c:ext>
          </c:extLst>
        </c:ser>
        <c:ser>
          <c:idx val="4"/>
          <c:order val="4"/>
          <c:tx>
            <c:strRef>
              <c:f>'Semi-trailer truck (Hydrogen)'!$A$78</c:f>
              <c:strCache>
                <c:ptCount val="1"/>
                <c:pt idx="0">
                  <c:v>Opex fix (admin, crew, insurance)</c:v>
                </c:pt>
              </c:strCache>
            </c:strRef>
          </c:tx>
          <c:spPr>
            <a:solidFill>
              <a:schemeClr val="accent5"/>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(Hydrogen)'!$B$78,'Semi-trailer truck (Hydrogen)'!$N$78,'Semi-trailer truck (Hydrogen)'!$AC$78)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1EF3-4967-B3FF-6F6B7AC54B71}"/>
            </c:ext>
          </c:extLst>
        </c:ser>
        <c:ser>
          <c:idx val="5"/>
          <c:order val="5"/>
          <c:tx>
            <c:strRef>
              <c:f>'Semi-trailer truck (Hydrogen)'!$A$79</c:f>
              <c:strCache>
                <c:ptCount val="1"/>
                <c:pt idx="0">
                  <c:v>Opex maintenance &amp; repair</c:v>
                </c:pt>
              </c:strCache>
            </c:strRef>
          </c:tx>
          <c:spPr>
            <a:solidFill>
              <a:schemeClr val="accent6"/>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(Hydrogen)'!$B$79,'Semi-trailer truck (Hydrogen)'!$N$79,'Semi-trailer truck (Hydrogen)'!$AC$79)</c:f>
              <c:numCache>
                <c:formatCode>0.00</c:formatCode>
                <c:ptCount val="3"/>
                <c:pt idx="0">
                  <c:v>1.868668998758358E-2</c:v>
                </c:pt>
                <c:pt idx="1">
                  <c:v>1.4318385987555941E-2</c:v>
                </c:pt>
                <c:pt idx="2">
                  <c:v>1.3094815714923418E-2</c:v>
                </c:pt>
              </c:numCache>
            </c:numRef>
          </c:val>
          <c:extLst>
            <c:ext xmlns:c16="http://schemas.microsoft.com/office/drawing/2014/chart" uri="{C3380CC4-5D6E-409C-BE32-E72D297353CC}">
              <c16:uniqueId val="{00000005-1EF3-4967-B3FF-6F6B7AC54B71}"/>
            </c:ext>
          </c:extLst>
        </c:ser>
        <c:ser>
          <c:idx val="6"/>
          <c:order val="6"/>
          <c:tx>
            <c:strRef>
              <c:f>'Semi-trailer truck (Hydrogen)'!$A$80</c:f>
              <c:strCache>
                <c:ptCount val="1"/>
                <c:pt idx="0">
                  <c:v>Opex var (mode-fees)</c:v>
                </c:pt>
              </c:strCache>
            </c:strRef>
          </c:tx>
          <c:spPr>
            <a:solidFill>
              <a:schemeClr val="accent1">
                <a:lumMod val="60000"/>
              </a:schemeClr>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(Hydrogen)'!$B$80,'Semi-trailer truck (Hydrogen)'!$N$80,'Semi-trailer truck (Hydrogen)'!$AC$80)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1EF3-4967-B3FF-6F6B7AC54B71}"/>
            </c:ext>
          </c:extLst>
        </c:ser>
        <c:ser>
          <c:idx val="7"/>
          <c:order val="7"/>
          <c:tx>
            <c:strRef>
              <c:f>'Semi-trailer truck (Hydrogen)'!$A$81</c:f>
              <c:strCache>
                <c:ptCount val="1"/>
                <c:pt idx="0">
                  <c:v>Fuel Cost</c:v>
                </c:pt>
              </c:strCache>
            </c:strRef>
          </c:tx>
          <c:spPr>
            <a:solidFill>
              <a:schemeClr val="accent2">
                <a:lumMod val="60000"/>
              </a:schemeClr>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(Hydrogen)'!$B$81,'Semi-trailer truck (Hydrogen)'!$N$81,'Semi-trailer truck (Hydrogen)'!$AC$81)</c:f>
              <c:numCache>
                <c:formatCode>0.00</c:formatCode>
                <c:ptCount val="3"/>
                <c:pt idx="0">
                  <c:v>2.5271535978108505E-2</c:v>
                </c:pt>
                <c:pt idx="1">
                  <c:v>1.3760682716616275E-2</c:v>
                </c:pt>
                <c:pt idx="2">
                  <c:v>7.8647748498683282E-3</c:v>
                </c:pt>
              </c:numCache>
            </c:numRef>
          </c:val>
          <c:extLst>
            <c:ext xmlns:c16="http://schemas.microsoft.com/office/drawing/2014/chart" uri="{C3380CC4-5D6E-409C-BE32-E72D297353CC}">
              <c16:uniqueId val="{00000007-1EF3-4967-B3FF-6F6B7AC54B71}"/>
            </c:ext>
          </c:extLst>
        </c:ser>
        <c:ser>
          <c:idx val="8"/>
          <c:order val="8"/>
          <c:tx>
            <c:strRef>
              <c:f>'Semi-trailer truck (Hydrogen)'!$A$82</c:f>
              <c:strCache>
                <c:ptCount val="1"/>
                <c:pt idx="0">
                  <c:v>Market failure (av. utilization)</c:v>
                </c:pt>
              </c:strCache>
            </c:strRef>
          </c:tx>
          <c:spPr>
            <a:solidFill>
              <a:schemeClr val="accent3">
                <a:lumMod val="60000"/>
              </a:schemeClr>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(Hydrogen)'!$B$82,'Semi-trailer truck (Hydrogen)'!$N$82,'Semi-trailer truck (Hydrogen)'!$AC$82)</c:f>
              <c:numCache>
                <c:formatCode>0.00</c:formatCode>
                <c:ptCount val="3"/>
                <c:pt idx="0">
                  <c:v>0.11191150040572001</c:v>
                </c:pt>
                <c:pt idx="1">
                  <c:v>8.4521907351170641E-2</c:v>
                </c:pt>
                <c:pt idx="2">
                  <c:v>7.4522667944778312E-2</c:v>
                </c:pt>
              </c:numCache>
            </c:numRef>
          </c:val>
          <c:extLst>
            <c:ext xmlns:c16="http://schemas.microsoft.com/office/drawing/2014/chart" uri="{C3380CC4-5D6E-409C-BE32-E72D297353CC}">
              <c16:uniqueId val="{00000008-1EF3-4967-B3FF-6F6B7AC54B71}"/>
            </c:ext>
          </c:extLst>
        </c:ser>
        <c:ser>
          <c:idx val="9"/>
          <c:order val="9"/>
          <c:tx>
            <c:strRef>
              <c:f>'Semi-trailer truck (Hydrogen)'!$A$83</c:f>
              <c:strCache>
                <c:ptCount val="1"/>
                <c:pt idx="0">
                  <c:v>Payload loss (fuel)</c:v>
                </c:pt>
              </c:strCache>
            </c:strRef>
          </c:tx>
          <c:spPr>
            <a:solidFill>
              <a:schemeClr val="accent4">
                <a:lumMod val="60000"/>
              </a:schemeClr>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(Hydrogen)'!$B$83,'Semi-trailer truck (Hydrogen)'!$N$83,'Semi-trailer truck (Hydrogen)'!$AC$83)</c:f>
              <c:numCache>
                <c:formatCode>0.00</c:formatCode>
                <c:ptCount val="3"/>
                <c:pt idx="0">
                  <c:v>7.4339832283982221E-3</c:v>
                </c:pt>
                <c:pt idx="1">
                  <c:v>3.7773952003283262E-3</c:v>
                </c:pt>
                <c:pt idx="2">
                  <c:v>1.9422481330625962E-3</c:v>
                </c:pt>
              </c:numCache>
            </c:numRef>
          </c:val>
          <c:extLst>
            <c:ext xmlns:c16="http://schemas.microsoft.com/office/drawing/2014/chart" uri="{C3380CC4-5D6E-409C-BE32-E72D297353CC}">
              <c16:uniqueId val="{00000009-1EF3-4967-B3FF-6F6B7AC54B71}"/>
            </c:ext>
          </c:extLst>
        </c:ser>
        <c:ser>
          <c:idx val="10"/>
          <c:order val="10"/>
          <c:tx>
            <c:strRef>
              <c:f>'Semi-trailer truck (Hydrogen)'!$A$190</c:f>
              <c:strCache>
                <c:ptCount val="1"/>
                <c:pt idx="0">
                  <c:v>Emission Cost</c:v>
                </c:pt>
              </c:strCache>
            </c:strRef>
          </c:tx>
          <c:spPr>
            <a:solidFill>
              <a:schemeClr val="accent5">
                <a:lumMod val="60000"/>
              </a:schemeClr>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(Hydrogen)'!$B$190,'Semi-trailer truck (Hydrogen)'!$N$190,'Semi-trailer truck (Hydrogen)'!$AC$190)</c:f>
              <c:numCache>
                <c:formatCode>0.000</c:formatCode>
                <c:ptCount val="3"/>
                <c:pt idx="0">
                  <c:v>3.6418200964524684E-4</c:v>
                </c:pt>
                <c:pt idx="1">
                  <c:v>3.1116510898656003E-4</c:v>
                </c:pt>
                <c:pt idx="2">
                  <c:v>5.9135532882621105E-6</c:v>
                </c:pt>
              </c:numCache>
            </c:numRef>
          </c:val>
          <c:extLst>
            <c:ext xmlns:c16="http://schemas.microsoft.com/office/drawing/2014/chart" uri="{C3380CC4-5D6E-409C-BE32-E72D297353CC}">
              <c16:uniqueId val="{00000000-4A3F-42BF-9D15-085324D1852E}"/>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(Hydrogen)'!$A$11</c:f>
              <c:strCache>
                <c:ptCount val="1"/>
                <c:pt idx="0">
                  <c:v>Capex vehicle</c:v>
                </c:pt>
              </c:strCache>
            </c:strRef>
          </c:tx>
          <c:spPr>
            <a:ln w="28575" cap="rnd">
              <a:solidFill>
                <a:schemeClr val="accent1"/>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(Hydrogen)'!$Q$11:$AR$11</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0-61B3-4013-8C0B-6EFFEEA5538F}"/>
            </c:ext>
          </c:extLst>
        </c:ser>
        <c:ser>
          <c:idx val="13"/>
          <c:order val="1"/>
          <c:tx>
            <c:strRef>
              <c:f>'Semi-trailer truck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(Hydrogen)'!$Q$12:$AR$12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1-61B3-4013-8C0B-6EFFEEA5538F}"/>
            </c:ext>
          </c:extLst>
        </c:ser>
        <c:ser>
          <c:idx val="1"/>
          <c:order val="2"/>
          <c:tx>
            <c:strRef>
              <c:f>'Semi-trailer truck (Hydrogen)'!$A$13</c:f>
              <c:strCache>
                <c:ptCount val="1"/>
                <c:pt idx="0">
                  <c:v>Capex costumization</c:v>
                </c:pt>
              </c:strCache>
            </c:strRef>
          </c:tx>
          <c:spPr>
            <a:ln w="28575" cap="rnd">
              <a:solidFill>
                <a:schemeClr val="accent2"/>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61B3-4013-8C0B-6EFFEEA5538F}"/>
            </c:ext>
          </c:extLst>
        </c:ser>
        <c:ser>
          <c:idx val="14"/>
          <c:order val="3"/>
          <c:tx>
            <c:strRef>
              <c:f>'Semi-trailer truck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61B3-4013-8C0B-6EFFEEA5538F}"/>
            </c:ext>
          </c:extLst>
        </c:ser>
        <c:ser>
          <c:idx val="2"/>
          <c:order val="4"/>
          <c:tx>
            <c:strRef>
              <c:f>'Semi-trailer truck (Hydrogen)'!$A$15</c:f>
              <c:strCache>
                <c:ptCount val="1"/>
                <c:pt idx="0">
                  <c:v>WACC</c:v>
                </c:pt>
              </c:strCache>
            </c:strRef>
          </c:tx>
          <c:spPr>
            <a:ln w="28575" cap="rnd">
              <a:solidFill>
                <a:schemeClr val="accent3"/>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61B3-4013-8C0B-6EFFEEA5538F}"/>
            </c:ext>
          </c:extLst>
        </c:ser>
        <c:ser>
          <c:idx val="3"/>
          <c:order val="5"/>
          <c:tx>
            <c:strRef>
              <c:f>'Semi-trailer truck (Hydrogen)'!$A$16</c:f>
              <c:strCache>
                <c:ptCount val="1"/>
                <c:pt idx="0">
                  <c:v>Opex fix (admin, crew, insurance)</c:v>
                </c:pt>
              </c:strCache>
            </c:strRef>
          </c:tx>
          <c:spPr>
            <a:ln w="28575" cap="rnd">
              <a:solidFill>
                <a:schemeClr val="accent4"/>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61B3-4013-8C0B-6EFFEEA5538F}"/>
            </c:ext>
          </c:extLst>
        </c:ser>
        <c:ser>
          <c:idx val="4"/>
          <c:order val="6"/>
          <c:tx>
            <c:strRef>
              <c:f>'Semi-trailer truck (Hydrogen)'!$A$18</c:f>
              <c:strCache>
                <c:ptCount val="1"/>
                <c:pt idx="0">
                  <c:v>Opex var (mode-fees)</c:v>
                </c:pt>
              </c:strCache>
            </c:strRef>
          </c:tx>
          <c:spPr>
            <a:ln w="28575" cap="rnd">
              <a:solidFill>
                <a:schemeClr val="accent5"/>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61B3-4013-8C0B-6EFFEEA5538F}"/>
            </c:ext>
          </c:extLst>
        </c:ser>
        <c:ser>
          <c:idx val="5"/>
          <c:order val="7"/>
          <c:tx>
            <c:strRef>
              <c:f>'Semi-trailer truck (Hydrogen)'!$A$19</c:f>
              <c:strCache>
                <c:ptCount val="1"/>
                <c:pt idx="0">
                  <c:v>Fuel Economy</c:v>
                </c:pt>
              </c:strCache>
            </c:strRef>
          </c:tx>
          <c:spPr>
            <a:ln w="28575" cap="rnd">
              <a:solidFill>
                <a:schemeClr val="accent6"/>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(Hydrogen)'!$Q$19:$AR$19</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7-61B3-4013-8C0B-6EFFEEA5538F}"/>
            </c:ext>
          </c:extLst>
        </c:ser>
        <c:ser>
          <c:idx val="6"/>
          <c:order val="8"/>
          <c:tx>
            <c:strRef>
              <c:f>'Semi-trailer truck (Hydrogen)'!$A$20</c:f>
              <c:strCache>
                <c:ptCount val="1"/>
                <c:pt idx="0">
                  <c:v>Fuel Cost</c:v>
                </c:pt>
              </c:strCache>
            </c:strRef>
          </c:tx>
          <c:spPr>
            <a:ln w="28575" cap="rnd">
              <a:solidFill>
                <a:schemeClr val="accent1">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61B3-4013-8C0B-6EFFEEA5538F}"/>
            </c:ext>
          </c:extLst>
        </c:ser>
        <c:ser>
          <c:idx val="7"/>
          <c:order val="9"/>
          <c:tx>
            <c:strRef>
              <c:f>'Semi-trailer truck (Hydrogen)'!$A$22</c:f>
              <c:strCache>
                <c:ptCount val="1"/>
                <c:pt idx="0">
                  <c:v>Lifetime vehicle</c:v>
                </c:pt>
              </c:strCache>
            </c:strRef>
          </c:tx>
          <c:spPr>
            <a:ln w="28575" cap="rnd">
              <a:solidFill>
                <a:schemeClr val="accent2">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(Hydrogen)'!$Q$22:$AR$22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9-61B3-4013-8C0B-6EFFEEA5538F}"/>
            </c:ext>
          </c:extLst>
        </c:ser>
        <c:ser>
          <c:idx val="8"/>
          <c:order val="10"/>
          <c:tx>
            <c:strRef>
              <c:f>'Semi-trailer truck (Hydrogen)'!$A$23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61B3-4013-8C0B-6EFFEEA5538F}"/>
            </c:ext>
          </c:extLst>
        </c:ser>
        <c:ser>
          <c:idx val="9"/>
          <c:order val="11"/>
          <c:tx>
            <c:strRef>
              <c:f>'Semi-trailer truck (Hydrogen)'!$A$24</c:f>
              <c:strCache>
                <c:ptCount val="1"/>
                <c:pt idx="0">
                  <c:v>Tonnage .</c:v>
                </c:pt>
              </c:strCache>
            </c:strRef>
          </c:tx>
          <c:spPr>
            <a:ln w="28575" cap="rnd">
              <a:solidFill>
                <a:schemeClr val="accent4">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61B3-4013-8C0B-6EFFEEA5538F}"/>
            </c:ext>
          </c:extLst>
        </c:ser>
        <c:ser>
          <c:idx val="10"/>
          <c:order val="12"/>
          <c:tx>
            <c:strRef>
              <c:f>'Semi-trailer truck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61B3-4013-8C0B-6EFFEEA5538F}"/>
            </c:ext>
          </c:extLst>
        </c:ser>
        <c:ser>
          <c:idx val="11"/>
          <c:order val="13"/>
          <c:tx>
            <c:strRef>
              <c:f>'Semi-trailer truck (Hydrogen)'!$A$27</c:f>
              <c:strCache>
                <c:ptCount val="1"/>
                <c:pt idx="0">
                  <c:v>Annual Mileage</c:v>
                </c:pt>
              </c:strCache>
            </c:strRef>
          </c:tx>
          <c:spPr>
            <a:ln w="28575" cap="rnd">
              <a:solidFill>
                <a:schemeClr val="accent6">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61B3-4013-8C0B-6EFFEEA5538F}"/>
            </c:ext>
          </c:extLst>
        </c:ser>
        <c:ser>
          <c:idx val="12"/>
          <c:order val="14"/>
          <c:tx>
            <c:strRef>
              <c:f>'Semi-trailer truck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(Hydrogen)'!$Q$17:$AR$17</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E-61B3-4013-8C0B-6EFFEEA5538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(Hydrogen)'!$A$74</c:f>
              <c:strCache>
                <c:ptCount val="1"/>
                <c:pt idx="0">
                  <c:v>Capex vehicle</c:v>
                </c:pt>
              </c:strCache>
            </c:strRef>
          </c:tx>
          <c:spPr>
            <a:solidFill>
              <a:schemeClr val="accent1"/>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(Hydrogen)'!$B$74,'Semi-trailer truck (Hydrogen)'!$N$74,'Semi-trailer truck (Hydrogen)'!$AC$74)</c:f>
              <c:numCache>
                <c:formatCode>0.00</c:formatCode>
                <c:ptCount val="3"/>
                <c:pt idx="0">
                  <c:v>4.4623597015022408E-2</c:v>
                </c:pt>
                <c:pt idx="1">
                  <c:v>2.3959637162742395E-2</c:v>
                </c:pt>
                <c:pt idx="2">
                  <c:v>1.8171622640410206E-2</c:v>
                </c:pt>
              </c:numCache>
            </c:numRef>
          </c:val>
          <c:extLst>
            <c:ext xmlns:c16="http://schemas.microsoft.com/office/drawing/2014/chart" uri="{C3380CC4-5D6E-409C-BE32-E72D297353CC}">
              <c16:uniqueId val="{00000000-D72D-4331-AA75-D36D0ABC75A1}"/>
            </c:ext>
          </c:extLst>
        </c:ser>
        <c:ser>
          <c:idx val="1"/>
          <c:order val="1"/>
          <c:tx>
            <c:strRef>
              <c:f>'Semi-trailer truck (Hydrogen)'!$A$75</c:f>
              <c:strCache>
                <c:ptCount val="1"/>
                <c:pt idx="0">
                  <c:v>Residual value (vehicle)</c:v>
                </c:pt>
              </c:strCache>
            </c:strRef>
          </c:tx>
          <c:spPr>
            <a:solidFill>
              <a:schemeClr val="accent2"/>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(Hydrogen)'!$B$75,'Semi-trailer truck (Hydrogen)'!$N$75,'Semi-trailer truck (Hydrogen)'!$AC$75)</c:f>
              <c:numCache>
                <c:formatCode>0.000</c:formatCode>
                <c:ptCount val="3"/>
                <c:pt idx="0">
                  <c:v>-6.7629302274573042E-3</c:v>
                </c:pt>
                <c:pt idx="1">
                  <c:v>-5.0262782824252615E-3</c:v>
                </c:pt>
                <c:pt idx="2">
                  <c:v>-4.5398387640590461E-3</c:v>
                </c:pt>
              </c:numCache>
            </c:numRef>
          </c:val>
          <c:extLst>
            <c:ext xmlns:c16="http://schemas.microsoft.com/office/drawing/2014/chart" uri="{C3380CC4-5D6E-409C-BE32-E72D297353CC}">
              <c16:uniqueId val="{00000001-D72D-4331-AA75-D36D0ABC75A1}"/>
            </c:ext>
          </c:extLst>
        </c:ser>
        <c:ser>
          <c:idx val="2"/>
          <c:order val="2"/>
          <c:tx>
            <c:strRef>
              <c:f>'Semi-trailer truck (Hydrogen)'!$A$76</c:f>
              <c:strCache>
                <c:ptCount val="1"/>
                <c:pt idx="0">
                  <c:v>Capex costumization</c:v>
                </c:pt>
              </c:strCache>
            </c:strRef>
          </c:tx>
          <c:spPr>
            <a:solidFill>
              <a:schemeClr val="accent3"/>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(Hydrogen)'!$B$76,'Semi-trailer truck (Hydrogen)'!$N$76,'Semi-trailer truck (Hydrogen)'!$AC$76)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D72D-4331-AA75-D36D0ABC75A1}"/>
            </c:ext>
          </c:extLst>
        </c:ser>
        <c:ser>
          <c:idx val="3"/>
          <c:order val="3"/>
          <c:tx>
            <c:strRef>
              <c:f>'Semi-trailer truck (Hydrogen)'!$A$77</c:f>
              <c:strCache>
                <c:ptCount val="1"/>
                <c:pt idx="0">
                  <c:v>Residual value (costumization)</c:v>
                </c:pt>
              </c:strCache>
            </c:strRef>
          </c:tx>
          <c:spPr>
            <a:solidFill>
              <a:schemeClr val="accent4"/>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(Hydrogen)'!$B$77,'Semi-trailer truck (Hydrogen)'!$N$77,'Semi-trailer truck (Hydrogen)'!$AC$77)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D72D-4331-AA75-D36D0ABC75A1}"/>
            </c:ext>
          </c:extLst>
        </c:ser>
        <c:ser>
          <c:idx val="4"/>
          <c:order val="4"/>
          <c:tx>
            <c:strRef>
              <c:f>'Semi-trailer truck (Hydrogen)'!$A$78</c:f>
              <c:strCache>
                <c:ptCount val="1"/>
                <c:pt idx="0">
                  <c:v>Opex fix (admin, crew, insurance)</c:v>
                </c:pt>
              </c:strCache>
            </c:strRef>
          </c:tx>
          <c:spPr>
            <a:solidFill>
              <a:schemeClr val="accent5"/>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(Hydrogen)'!$B$78,'Semi-trailer truck (Hydrogen)'!$N$78,'Semi-trailer truck (Hydrogen)'!$AC$78)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D72D-4331-AA75-D36D0ABC75A1}"/>
            </c:ext>
          </c:extLst>
        </c:ser>
        <c:ser>
          <c:idx val="5"/>
          <c:order val="5"/>
          <c:tx>
            <c:strRef>
              <c:f>'Semi-trailer truck (Hydrogen)'!$A$79</c:f>
              <c:strCache>
                <c:ptCount val="1"/>
                <c:pt idx="0">
                  <c:v>Opex maintenance &amp; repair</c:v>
                </c:pt>
              </c:strCache>
            </c:strRef>
          </c:tx>
          <c:spPr>
            <a:solidFill>
              <a:schemeClr val="accent6"/>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(Hydrogen)'!$B$79,'Semi-trailer truck (Hydrogen)'!$N$79,'Semi-trailer truck (Hydrogen)'!$AC$79)</c:f>
              <c:numCache>
                <c:formatCode>0.00</c:formatCode>
                <c:ptCount val="3"/>
                <c:pt idx="0">
                  <c:v>1.868668998758358E-2</c:v>
                </c:pt>
                <c:pt idx="1">
                  <c:v>1.4318385987555941E-2</c:v>
                </c:pt>
                <c:pt idx="2">
                  <c:v>1.3094815714923418E-2</c:v>
                </c:pt>
              </c:numCache>
            </c:numRef>
          </c:val>
          <c:extLst>
            <c:ext xmlns:c16="http://schemas.microsoft.com/office/drawing/2014/chart" uri="{C3380CC4-5D6E-409C-BE32-E72D297353CC}">
              <c16:uniqueId val="{00000005-D72D-4331-AA75-D36D0ABC75A1}"/>
            </c:ext>
          </c:extLst>
        </c:ser>
        <c:ser>
          <c:idx val="6"/>
          <c:order val="6"/>
          <c:tx>
            <c:strRef>
              <c:f>'Semi-trailer truck (Hydrogen)'!$A$80</c:f>
              <c:strCache>
                <c:ptCount val="1"/>
                <c:pt idx="0">
                  <c:v>Opex var (mode-fees)</c:v>
                </c:pt>
              </c:strCache>
            </c:strRef>
          </c:tx>
          <c:spPr>
            <a:solidFill>
              <a:schemeClr val="accent1">
                <a:lumMod val="60000"/>
              </a:schemeClr>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(Hydrogen)'!$B$80,'Semi-trailer truck (Hydrogen)'!$N$80,'Semi-trailer truck (Hydrogen)'!$AC$80)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D72D-4331-AA75-D36D0ABC75A1}"/>
            </c:ext>
          </c:extLst>
        </c:ser>
        <c:ser>
          <c:idx val="7"/>
          <c:order val="7"/>
          <c:tx>
            <c:strRef>
              <c:f>'Semi-trailer truck (Hydrogen)'!$A$81</c:f>
              <c:strCache>
                <c:ptCount val="1"/>
                <c:pt idx="0">
                  <c:v>Fuel Cost</c:v>
                </c:pt>
              </c:strCache>
            </c:strRef>
          </c:tx>
          <c:spPr>
            <a:solidFill>
              <a:schemeClr val="accent2">
                <a:lumMod val="60000"/>
              </a:schemeClr>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(Hydrogen)'!$B$81,'Semi-trailer truck (Hydrogen)'!$N$81,'Semi-trailer truck (Hydrogen)'!$AC$81)</c:f>
              <c:numCache>
                <c:formatCode>0.00</c:formatCode>
                <c:ptCount val="3"/>
                <c:pt idx="0">
                  <c:v>2.5271535978108505E-2</c:v>
                </c:pt>
                <c:pt idx="1">
                  <c:v>1.3760682716616275E-2</c:v>
                </c:pt>
                <c:pt idx="2">
                  <c:v>7.8647748498683282E-3</c:v>
                </c:pt>
              </c:numCache>
            </c:numRef>
          </c:val>
          <c:extLst>
            <c:ext xmlns:c16="http://schemas.microsoft.com/office/drawing/2014/chart" uri="{C3380CC4-5D6E-409C-BE32-E72D297353CC}">
              <c16:uniqueId val="{00000007-D72D-4331-AA75-D36D0ABC75A1}"/>
            </c:ext>
          </c:extLst>
        </c:ser>
        <c:ser>
          <c:idx val="8"/>
          <c:order val="8"/>
          <c:tx>
            <c:strRef>
              <c:f>'Semi-trailer truck (Hydrogen)'!$A$82</c:f>
              <c:strCache>
                <c:ptCount val="1"/>
                <c:pt idx="0">
                  <c:v>Market failure (av. utilization)</c:v>
                </c:pt>
              </c:strCache>
            </c:strRef>
          </c:tx>
          <c:spPr>
            <a:solidFill>
              <a:schemeClr val="accent3">
                <a:lumMod val="60000"/>
              </a:schemeClr>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(Hydrogen)'!$B$82,'Semi-trailer truck (Hydrogen)'!$N$82,'Semi-trailer truck (Hydrogen)'!$AC$82)</c:f>
              <c:numCache>
                <c:formatCode>0.00</c:formatCode>
                <c:ptCount val="3"/>
                <c:pt idx="0">
                  <c:v>0.11191150040572001</c:v>
                </c:pt>
                <c:pt idx="1">
                  <c:v>8.4521907351170641E-2</c:v>
                </c:pt>
                <c:pt idx="2">
                  <c:v>7.4522667944778312E-2</c:v>
                </c:pt>
              </c:numCache>
            </c:numRef>
          </c:val>
          <c:extLst>
            <c:ext xmlns:c16="http://schemas.microsoft.com/office/drawing/2014/chart" uri="{C3380CC4-5D6E-409C-BE32-E72D297353CC}">
              <c16:uniqueId val="{00000008-D72D-4331-AA75-D36D0ABC75A1}"/>
            </c:ext>
          </c:extLst>
        </c:ser>
        <c:ser>
          <c:idx val="9"/>
          <c:order val="9"/>
          <c:tx>
            <c:strRef>
              <c:f>'Semi-trailer truck (Hydrogen)'!$A$83</c:f>
              <c:strCache>
                <c:ptCount val="1"/>
                <c:pt idx="0">
                  <c:v>Payload loss (fuel)</c:v>
                </c:pt>
              </c:strCache>
            </c:strRef>
          </c:tx>
          <c:spPr>
            <a:solidFill>
              <a:schemeClr val="accent4">
                <a:lumMod val="60000"/>
              </a:schemeClr>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(Hydrogen)'!$B$83,'Semi-trailer truck (Hydrogen)'!$N$83,'Semi-trailer truck (Hydrogen)'!$AC$83)</c:f>
              <c:numCache>
                <c:formatCode>0.00</c:formatCode>
                <c:ptCount val="3"/>
                <c:pt idx="0">
                  <c:v>7.4339832283982221E-3</c:v>
                </c:pt>
                <c:pt idx="1">
                  <c:v>3.7773952003283262E-3</c:v>
                </c:pt>
                <c:pt idx="2">
                  <c:v>1.9422481330625962E-3</c:v>
                </c:pt>
              </c:numCache>
            </c:numRef>
          </c:val>
          <c:extLst>
            <c:ext xmlns:c16="http://schemas.microsoft.com/office/drawing/2014/chart" uri="{C3380CC4-5D6E-409C-BE32-E72D297353CC}">
              <c16:uniqueId val="{00000009-D72D-4331-AA75-D36D0ABC75A1}"/>
            </c:ext>
          </c:extLst>
        </c:ser>
        <c:ser>
          <c:idx val="10"/>
          <c:order val="10"/>
          <c:tx>
            <c:strRef>
              <c:f>'Semi-trailer truck (Hydrogen)'!$A$298</c:f>
              <c:strCache>
                <c:ptCount val="1"/>
                <c:pt idx="0">
                  <c:v>Emission Cost</c:v>
                </c:pt>
              </c:strCache>
            </c:strRef>
          </c:tx>
          <c:spPr>
            <a:solidFill>
              <a:schemeClr val="accent5">
                <a:lumMod val="60000"/>
              </a:schemeClr>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(Hydrogen)'!$B$298,'Semi-trailer truck (Hydrogen)'!$N$298,'Semi-trailer truck (Hydrogen)'!$AC$298)</c:f>
              <c:numCache>
                <c:formatCode>0.000</c:formatCode>
                <c:ptCount val="3"/>
                <c:pt idx="0">
                  <c:v>3.6418200964524684E-4</c:v>
                </c:pt>
                <c:pt idx="1">
                  <c:v>3.1116510898656009E-4</c:v>
                </c:pt>
                <c:pt idx="2">
                  <c:v>5.9135532882621105E-6</c:v>
                </c:pt>
              </c:numCache>
            </c:numRef>
          </c:val>
          <c:extLst>
            <c:ext xmlns:c16="http://schemas.microsoft.com/office/drawing/2014/chart" uri="{C3380CC4-5D6E-409C-BE32-E72D297353CC}">
              <c16:uniqueId val="{00000000-FB87-4000-B302-197E1A21EAEC}"/>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(Hydrogen)'!$A$11</c:f>
              <c:strCache>
                <c:ptCount val="1"/>
                <c:pt idx="0">
                  <c:v>Capex vehicle</c:v>
                </c:pt>
              </c:strCache>
            </c:strRef>
          </c:tx>
          <c:spPr>
            <a:ln w="28575" cap="rnd">
              <a:solidFill>
                <a:schemeClr val="accent1"/>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(Hydrogen)'!$Q$11:$AR$11</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0-79C3-479C-BFCD-5710896D315E}"/>
            </c:ext>
          </c:extLst>
        </c:ser>
        <c:ser>
          <c:idx val="13"/>
          <c:order val="1"/>
          <c:tx>
            <c:strRef>
              <c:f>'Semi-trailer truck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(Hydrogen)'!$Q$12:$AR$12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1-79C3-479C-BFCD-5710896D315E}"/>
            </c:ext>
          </c:extLst>
        </c:ser>
        <c:ser>
          <c:idx val="1"/>
          <c:order val="2"/>
          <c:tx>
            <c:strRef>
              <c:f>'Semi-trailer truck (Hydrogen)'!$A$13</c:f>
              <c:strCache>
                <c:ptCount val="1"/>
                <c:pt idx="0">
                  <c:v>Capex costumization</c:v>
                </c:pt>
              </c:strCache>
            </c:strRef>
          </c:tx>
          <c:spPr>
            <a:ln w="28575" cap="rnd">
              <a:solidFill>
                <a:schemeClr val="accent2"/>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79C3-479C-BFCD-5710896D315E}"/>
            </c:ext>
          </c:extLst>
        </c:ser>
        <c:ser>
          <c:idx val="14"/>
          <c:order val="3"/>
          <c:tx>
            <c:strRef>
              <c:f>'Semi-trailer truck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79C3-479C-BFCD-5710896D315E}"/>
            </c:ext>
          </c:extLst>
        </c:ser>
        <c:ser>
          <c:idx val="2"/>
          <c:order val="4"/>
          <c:tx>
            <c:strRef>
              <c:f>'Semi-trailer truck (Hydrogen)'!$A$15</c:f>
              <c:strCache>
                <c:ptCount val="1"/>
                <c:pt idx="0">
                  <c:v>WACC</c:v>
                </c:pt>
              </c:strCache>
            </c:strRef>
          </c:tx>
          <c:spPr>
            <a:ln w="28575" cap="rnd">
              <a:solidFill>
                <a:schemeClr val="accent3"/>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79C3-479C-BFCD-5710896D315E}"/>
            </c:ext>
          </c:extLst>
        </c:ser>
        <c:ser>
          <c:idx val="3"/>
          <c:order val="5"/>
          <c:tx>
            <c:strRef>
              <c:f>'Semi-trailer truck (Hydrogen)'!$A$16</c:f>
              <c:strCache>
                <c:ptCount val="1"/>
                <c:pt idx="0">
                  <c:v>Opex fix (admin, crew, insurance)</c:v>
                </c:pt>
              </c:strCache>
            </c:strRef>
          </c:tx>
          <c:spPr>
            <a:ln w="28575" cap="rnd">
              <a:solidFill>
                <a:schemeClr val="accent4"/>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79C3-479C-BFCD-5710896D315E}"/>
            </c:ext>
          </c:extLst>
        </c:ser>
        <c:ser>
          <c:idx val="4"/>
          <c:order val="6"/>
          <c:tx>
            <c:strRef>
              <c:f>'Semi-trailer truck (Hydrogen)'!$A$18</c:f>
              <c:strCache>
                <c:ptCount val="1"/>
                <c:pt idx="0">
                  <c:v>Opex var (mode-fees)</c:v>
                </c:pt>
              </c:strCache>
            </c:strRef>
          </c:tx>
          <c:spPr>
            <a:ln w="28575" cap="rnd">
              <a:solidFill>
                <a:schemeClr val="accent5"/>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79C3-479C-BFCD-5710896D315E}"/>
            </c:ext>
          </c:extLst>
        </c:ser>
        <c:ser>
          <c:idx val="5"/>
          <c:order val="7"/>
          <c:tx>
            <c:strRef>
              <c:f>'Semi-trailer truck (Hydrogen)'!$A$19</c:f>
              <c:strCache>
                <c:ptCount val="1"/>
                <c:pt idx="0">
                  <c:v>Fuel Economy</c:v>
                </c:pt>
              </c:strCache>
            </c:strRef>
          </c:tx>
          <c:spPr>
            <a:ln w="28575" cap="rnd">
              <a:solidFill>
                <a:schemeClr val="accent6"/>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(Hydrogen)'!$Q$19:$AR$19</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7-79C3-479C-BFCD-5710896D315E}"/>
            </c:ext>
          </c:extLst>
        </c:ser>
        <c:ser>
          <c:idx val="6"/>
          <c:order val="8"/>
          <c:tx>
            <c:strRef>
              <c:f>'Semi-trailer truck (Hydrogen)'!$A$20</c:f>
              <c:strCache>
                <c:ptCount val="1"/>
                <c:pt idx="0">
                  <c:v>Fuel Cost</c:v>
                </c:pt>
              </c:strCache>
            </c:strRef>
          </c:tx>
          <c:spPr>
            <a:ln w="28575" cap="rnd">
              <a:solidFill>
                <a:schemeClr val="accent1">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79C3-479C-BFCD-5710896D315E}"/>
            </c:ext>
          </c:extLst>
        </c:ser>
        <c:ser>
          <c:idx val="7"/>
          <c:order val="9"/>
          <c:tx>
            <c:strRef>
              <c:f>'Semi-trailer truck (Hydrogen)'!$A$22</c:f>
              <c:strCache>
                <c:ptCount val="1"/>
                <c:pt idx="0">
                  <c:v>Lifetime vehicle</c:v>
                </c:pt>
              </c:strCache>
            </c:strRef>
          </c:tx>
          <c:spPr>
            <a:ln w="28575" cap="rnd">
              <a:solidFill>
                <a:schemeClr val="accent2">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(Hydrogen)'!$Q$22:$AR$22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9-79C3-479C-BFCD-5710896D315E}"/>
            </c:ext>
          </c:extLst>
        </c:ser>
        <c:ser>
          <c:idx val="8"/>
          <c:order val="10"/>
          <c:tx>
            <c:strRef>
              <c:f>'Semi-trailer truck (Hydrogen)'!$A$23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79C3-479C-BFCD-5710896D315E}"/>
            </c:ext>
          </c:extLst>
        </c:ser>
        <c:ser>
          <c:idx val="9"/>
          <c:order val="11"/>
          <c:tx>
            <c:strRef>
              <c:f>'Semi-trailer truck (Hydrogen)'!$A$24</c:f>
              <c:strCache>
                <c:ptCount val="1"/>
                <c:pt idx="0">
                  <c:v>Tonnage .</c:v>
                </c:pt>
              </c:strCache>
            </c:strRef>
          </c:tx>
          <c:spPr>
            <a:ln w="28575" cap="rnd">
              <a:solidFill>
                <a:schemeClr val="accent4">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79C3-479C-BFCD-5710896D315E}"/>
            </c:ext>
          </c:extLst>
        </c:ser>
        <c:ser>
          <c:idx val="10"/>
          <c:order val="12"/>
          <c:tx>
            <c:strRef>
              <c:f>'Semi-trailer truck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79C3-479C-BFCD-5710896D315E}"/>
            </c:ext>
          </c:extLst>
        </c:ser>
        <c:ser>
          <c:idx val="11"/>
          <c:order val="13"/>
          <c:tx>
            <c:strRef>
              <c:f>'Semi-trailer truck (Hydrogen)'!$A$27</c:f>
              <c:strCache>
                <c:ptCount val="1"/>
                <c:pt idx="0">
                  <c:v>Annual Mileage</c:v>
                </c:pt>
              </c:strCache>
            </c:strRef>
          </c:tx>
          <c:spPr>
            <a:ln w="28575" cap="rnd">
              <a:solidFill>
                <a:schemeClr val="accent6">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79C3-479C-BFCD-5710896D315E}"/>
            </c:ext>
          </c:extLst>
        </c:ser>
        <c:ser>
          <c:idx val="12"/>
          <c:order val="14"/>
          <c:tx>
            <c:strRef>
              <c:f>'Semi-trailer truck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(Hydrogen)'!$Q$17:$AR$17</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E-79C3-479C-BFCD-5710896D315E}"/>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(Hydrogen)'!$A$74</c:f>
              <c:strCache>
                <c:ptCount val="1"/>
                <c:pt idx="0">
                  <c:v>Capex vehicle</c:v>
                </c:pt>
              </c:strCache>
            </c:strRef>
          </c:tx>
          <c:spPr>
            <a:solidFill>
              <a:schemeClr val="accent1"/>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(Hydrogen)'!$B$74,'Semi-trailer truck (Hydrogen)'!$N$74,'Semi-trailer truck (Hydrogen)'!$AC$74)</c:f>
              <c:numCache>
                <c:formatCode>0.00</c:formatCode>
                <c:ptCount val="3"/>
                <c:pt idx="0">
                  <c:v>4.4623597015022408E-2</c:v>
                </c:pt>
                <c:pt idx="1">
                  <c:v>2.3959637162742395E-2</c:v>
                </c:pt>
                <c:pt idx="2">
                  <c:v>1.8171622640410206E-2</c:v>
                </c:pt>
              </c:numCache>
            </c:numRef>
          </c:val>
          <c:extLst>
            <c:ext xmlns:c16="http://schemas.microsoft.com/office/drawing/2014/chart" uri="{C3380CC4-5D6E-409C-BE32-E72D297353CC}">
              <c16:uniqueId val="{00000000-E50C-49FD-8CCB-F23B9E1CDECD}"/>
            </c:ext>
          </c:extLst>
        </c:ser>
        <c:ser>
          <c:idx val="1"/>
          <c:order val="1"/>
          <c:tx>
            <c:strRef>
              <c:f>'Semi-trailer truck (Hydrogen)'!$A$75</c:f>
              <c:strCache>
                <c:ptCount val="1"/>
                <c:pt idx="0">
                  <c:v>Residual value (vehicle)</c:v>
                </c:pt>
              </c:strCache>
            </c:strRef>
          </c:tx>
          <c:spPr>
            <a:solidFill>
              <a:schemeClr val="accent2"/>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(Hydrogen)'!$B$75,'Semi-trailer truck (Hydrogen)'!$N$75,'Semi-trailer truck (Hydrogen)'!$AC$75)</c:f>
              <c:numCache>
                <c:formatCode>0.000</c:formatCode>
                <c:ptCount val="3"/>
                <c:pt idx="0">
                  <c:v>-6.7629302274573042E-3</c:v>
                </c:pt>
                <c:pt idx="1">
                  <c:v>-5.0262782824252615E-3</c:v>
                </c:pt>
                <c:pt idx="2">
                  <c:v>-4.5398387640590461E-3</c:v>
                </c:pt>
              </c:numCache>
            </c:numRef>
          </c:val>
          <c:extLst>
            <c:ext xmlns:c16="http://schemas.microsoft.com/office/drawing/2014/chart" uri="{C3380CC4-5D6E-409C-BE32-E72D297353CC}">
              <c16:uniqueId val="{00000001-E50C-49FD-8CCB-F23B9E1CDECD}"/>
            </c:ext>
          </c:extLst>
        </c:ser>
        <c:ser>
          <c:idx val="2"/>
          <c:order val="2"/>
          <c:tx>
            <c:strRef>
              <c:f>'Semi-trailer truck (Hydrogen)'!$A$76</c:f>
              <c:strCache>
                <c:ptCount val="1"/>
                <c:pt idx="0">
                  <c:v>Capex costumization</c:v>
                </c:pt>
              </c:strCache>
            </c:strRef>
          </c:tx>
          <c:spPr>
            <a:solidFill>
              <a:schemeClr val="accent3"/>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(Hydrogen)'!$B$76,'Semi-trailer truck (Hydrogen)'!$N$76,'Semi-trailer truck (Hydrogen)'!$AC$76)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E50C-49FD-8CCB-F23B9E1CDECD}"/>
            </c:ext>
          </c:extLst>
        </c:ser>
        <c:ser>
          <c:idx val="3"/>
          <c:order val="3"/>
          <c:tx>
            <c:strRef>
              <c:f>'Semi-trailer truck (Hydrogen)'!$A$77</c:f>
              <c:strCache>
                <c:ptCount val="1"/>
                <c:pt idx="0">
                  <c:v>Residual value (costumization)</c:v>
                </c:pt>
              </c:strCache>
            </c:strRef>
          </c:tx>
          <c:spPr>
            <a:solidFill>
              <a:schemeClr val="accent4"/>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(Hydrogen)'!$B$77,'Semi-trailer truck (Hydrogen)'!$N$77,'Semi-trailer truck (Hydrogen)'!$AC$77)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E50C-49FD-8CCB-F23B9E1CDECD}"/>
            </c:ext>
          </c:extLst>
        </c:ser>
        <c:ser>
          <c:idx val="4"/>
          <c:order val="4"/>
          <c:tx>
            <c:strRef>
              <c:f>'Semi-trailer truck (Hydrogen)'!$A$78</c:f>
              <c:strCache>
                <c:ptCount val="1"/>
                <c:pt idx="0">
                  <c:v>Opex fix (admin, crew, insurance)</c:v>
                </c:pt>
              </c:strCache>
            </c:strRef>
          </c:tx>
          <c:spPr>
            <a:solidFill>
              <a:schemeClr val="accent5"/>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(Hydrogen)'!$B$78,'Semi-trailer truck (Hydrogen)'!$N$78,'Semi-trailer truck (Hydrogen)'!$AC$78)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E50C-49FD-8CCB-F23B9E1CDECD}"/>
            </c:ext>
          </c:extLst>
        </c:ser>
        <c:ser>
          <c:idx val="5"/>
          <c:order val="5"/>
          <c:tx>
            <c:strRef>
              <c:f>'Semi-trailer truck (Hydrogen)'!$A$79</c:f>
              <c:strCache>
                <c:ptCount val="1"/>
                <c:pt idx="0">
                  <c:v>Opex maintenance &amp; repair</c:v>
                </c:pt>
              </c:strCache>
            </c:strRef>
          </c:tx>
          <c:spPr>
            <a:solidFill>
              <a:schemeClr val="accent6"/>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(Hydrogen)'!$B$79,'Semi-trailer truck (Hydrogen)'!$N$79,'Semi-trailer truck (Hydrogen)'!$AC$79)</c:f>
              <c:numCache>
                <c:formatCode>0.00</c:formatCode>
                <c:ptCount val="3"/>
                <c:pt idx="0">
                  <c:v>1.868668998758358E-2</c:v>
                </c:pt>
                <c:pt idx="1">
                  <c:v>1.4318385987555941E-2</c:v>
                </c:pt>
                <c:pt idx="2">
                  <c:v>1.3094815714923418E-2</c:v>
                </c:pt>
              </c:numCache>
            </c:numRef>
          </c:val>
          <c:extLst>
            <c:ext xmlns:c16="http://schemas.microsoft.com/office/drawing/2014/chart" uri="{C3380CC4-5D6E-409C-BE32-E72D297353CC}">
              <c16:uniqueId val="{00000005-E50C-49FD-8CCB-F23B9E1CDECD}"/>
            </c:ext>
          </c:extLst>
        </c:ser>
        <c:ser>
          <c:idx val="6"/>
          <c:order val="6"/>
          <c:tx>
            <c:strRef>
              <c:f>'Semi-trailer truck (Hydrogen)'!$A$80</c:f>
              <c:strCache>
                <c:ptCount val="1"/>
                <c:pt idx="0">
                  <c:v>Opex var (mode-fees)</c:v>
                </c:pt>
              </c:strCache>
            </c:strRef>
          </c:tx>
          <c:spPr>
            <a:solidFill>
              <a:schemeClr val="accent1">
                <a:lumMod val="60000"/>
              </a:schemeClr>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(Hydrogen)'!$B$80,'Semi-trailer truck (Hydrogen)'!$N$80,'Semi-trailer truck (Hydrogen)'!$AC$80)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E50C-49FD-8CCB-F23B9E1CDECD}"/>
            </c:ext>
          </c:extLst>
        </c:ser>
        <c:ser>
          <c:idx val="7"/>
          <c:order val="7"/>
          <c:tx>
            <c:strRef>
              <c:f>'Semi-trailer truck (Hydrogen)'!$A$81</c:f>
              <c:strCache>
                <c:ptCount val="1"/>
                <c:pt idx="0">
                  <c:v>Fuel Cost</c:v>
                </c:pt>
              </c:strCache>
            </c:strRef>
          </c:tx>
          <c:spPr>
            <a:solidFill>
              <a:schemeClr val="accent2">
                <a:lumMod val="60000"/>
              </a:schemeClr>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(Hydrogen)'!$B$81,'Semi-trailer truck (Hydrogen)'!$N$81,'Semi-trailer truck (Hydrogen)'!$AC$81)</c:f>
              <c:numCache>
                <c:formatCode>0.00</c:formatCode>
                <c:ptCount val="3"/>
                <c:pt idx="0">
                  <c:v>2.5271535978108505E-2</c:v>
                </c:pt>
                <c:pt idx="1">
                  <c:v>1.3760682716616275E-2</c:v>
                </c:pt>
                <c:pt idx="2">
                  <c:v>7.8647748498683282E-3</c:v>
                </c:pt>
              </c:numCache>
            </c:numRef>
          </c:val>
          <c:extLst>
            <c:ext xmlns:c16="http://schemas.microsoft.com/office/drawing/2014/chart" uri="{C3380CC4-5D6E-409C-BE32-E72D297353CC}">
              <c16:uniqueId val="{00000007-E50C-49FD-8CCB-F23B9E1CDECD}"/>
            </c:ext>
          </c:extLst>
        </c:ser>
        <c:ser>
          <c:idx val="8"/>
          <c:order val="8"/>
          <c:tx>
            <c:strRef>
              <c:f>'Semi-trailer truck (Hydrogen)'!$A$82</c:f>
              <c:strCache>
                <c:ptCount val="1"/>
                <c:pt idx="0">
                  <c:v>Market failure (av. utilization)</c:v>
                </c:pt>
              </c:strCache>
            </c:strRef>
          </c:tx>
          <c:spPr>
            <a:solidFill>
              <a:schemeClr val="accent3">
                <a:lumMod val="60000"/>
              </a:schemeClr>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(Hydrogen)'!$B$82,'Semi-trailer truck (Hydrogen)'!$N$82,'Semi-trailer truck (Hydrogen)'!$AC$82)</c:f>
              <c:numCache>
                <c:formatCode>0.00</c:formatCode>
                <c:ptCount val="3"/>
                <c:pt idx="0">
                  <c:v>0.11191150040572001</c:v>
                </c:pt>
                <c:pt idx="1">
                  <c:v>8.4521907351170641E-2</c:v>
                </c:pt>
                <c:pt idx="2">
                  <c:v>7.4522667944778312E-2</c:v>
                </c:pt>
              </c:numCache>
            </c:numRef>
          </c:val>
          <c:extLst>
            <c:ext xmlns:c16="http://schemas.microsoft.com/office/drawing/2014/chart" uri="{C3380CC4-5D6E-409C-BE32-E72D297353CC}">
              <c16:uniqueId val="{00000008-E50C-49FD-8CCB-F23B9E1CDECD}"/>
            </c:ext>
          </c:extLst>
        </c:ser>
        <c:ser>
          <c:idx val="9"/>
          <c:order val="9"/>
          <c:tx>
            <c:strRef>
              <c:f>'Semi-trailer truck (Hydrogen)'!$A$83</c:f>
              <c:strCache>
                <c:ptCount val="1"/>
                <c:pt idx="0">
                  <c:v>Payload loss (fuel)</c:v>
                </c:pt>
              </c:strCache>
            </c:strRef>
          </c:tx>
          <c:spPr>
            <a:solidFill>
              <a:schemeClr val="accent4">
                <a:lumMod val="60000"/>
              </a:schemeClr>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(Hydrogen)'!$B$83,'Semi-trailer truck (Hydrogen)'!$N$83,'Semi-trailer truck (Hydrogen)'!$AC$83)</c:f>
              <c:numCache>
                <c:formatCode>0.00</c:formatCode>
                <c:ptCount val="3"/>
                <c:pt idx="0">
                  <c:v>7.4339832283982221E-3</c:v>
                </c:pt>
                <c:pt idx="1">
                  <c:v>3.7773952003283262E-3</c:v>
                </c:pt>
                <c:pt idx="2">
                  <c:v>1.9422481330625962E-3</c:v>
                </c:pt>
              </c:numCache>
            </c:numRef>
          </c:val>
          <c:extLst>
            <c:ext xmlns:c16="http://schemas.microsoft.com/office/drawing/2014/chart" uri="{C3380CC4-5D6E-409C-BE32-E72D297353CC}">
              <c16:uniqueId val="{00000009-E50C-49FD-8CCB-F23B9E1CDECD}"/>
            </c:ext>
          </c:extLst>
        </c:ser>
        <c:ser>
          <c:idx val="10"/>
          <c:order val="10"/>
          <c:tx>
            <c:strRef>
              <c:f>'Semi-trailer truck (Hydrogen)'!$A$407</c:f>
              <c:strCache>
                <c:ptCount val="1"/>
                <c:pt idx="0">
                  <c:v>Emission Cost</c:v>
                </c:pt>
              </c:strCache>
            </c:strRef>
          </c:tx>
          <c:spPr>
            <a:solidFill>
              <a:schemeClr val="accent5">
                <a:lumMod val="60000"/>
              </a:schemeClr>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(Hydrogen)'!$B$407,'Semi-trailer truck (Hydrogen)'!$N$407,'Semi-trailer truck (Hydrogen)'!$AC$407)</c:f>
              <c:numCache>
                <c:formatCode>0.000</c:formatCode>
                <c:ptCount val="3"/>
                <c:pt idx="0">
                  <c:v>3.6418200964524684E-4</c:v>
                </c:pt>
                <c:pt idx="1">
                  <c:v>3.1116510898656009E-4</c:v>
                </c:pt>
                <c:pt idx="2">
                  <c:v>5.9135532882621105E-6</c:v>
                </c:pt>
              </c:numCache>
            </c:numRef>
          </c:val>
          <c:extLst>
            <c:ext xmlns:c16="http://schemas.microsoft.com/office/drawing/2014/chart" uri="{C3380CC4-5D6E-409C-BE32-E72D297353CC}">
              <c16:uniqueId val="{00000000-EC0E-48C5-909D-D68FBAED9B7F}"/>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(Hydrogen)'!$A$11</c:f>
              <c:strCache>
                <c:ptCount val="1"/>
                <c:pt idx="0">
                  <c:v>Capex vehicle</c:v>
                </c:pt>
              </c:strCache>
            </c:strRef>
          </c:tx>
          <c:spPr>
            <a:ln w="28575" cap="rnd">
              <a:solidFill>
                <a:schemeClr val="accent1"/>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(Hydrogen)'!$Q$11:$AR$11</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0-3F86-4EC3-AF3D-4F3D86D1D8E5}"/>
            </c:ext>
          </c:extLst>
        </c:ser>
        <c:ser>
          <c:idx val="13"/>
          <c:order val="1"/>
          <c:tx>
            <c:strRef>
              <c:f>'Semi-trailer truck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(Hydrogen)'!$Q$12:$AR$12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1-3F86-4EC3-AF3D-4F3D86D1D8E5}"/>
            </c:ext>
          </c:extLst>
        </c:ser>
        <c:ser>
          <c:idx val="1"/>
          <c:order val="2"/>
          <c:tx>
            <c:strRef>
              <c:f>'Semi-trailer truck (Hydrogen)'!$A$13</c:f>
              <c:strCache>
                <c:ptCount val="1"/>
                <c:pt idx="0">
                  <c:v>Capex costumization</c:v>
                </c:pt>
              </c:strCache>
            </c:strRef>
          </c:tx>
          <c:spPr>
            <a:ln w="28575" cap="rnd">
              <a:solidFill>
                <a:schemeClr val="accent2"/>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3F86-4EC3-AF3D-4F3D86D1D8E5}"/>
            </c:ext>
          </c:extLst>
        </c:ser>
        <c:ser>
          <c:idx val="14"/>
          <c:order val="3"/>
          <c:tx>
            <c:strRef>
              <c:f>'Semi-trailer truck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3F86-4EC3-AF3D-4F3D86D1D8E5}"/>
            </c:ext>
          </c:extLst>
        </c:ser>
        <c:ser>
          <c:idx val="2"/>
          <c:order val="4"/>
          <c:tx>
            <c:strRef>
              <c:f>'Semi-trailer truck (Hydrogen)'!$A$15</c:f>
              <c:strCache>
                <c:ptCount val="1"/>
                <c:pt idx="0">
                  <c:v>WACC</c:v>
                </c:pt>
              </c:strCache>
            </c:strRef>
          </c:tx>
          <c:spPr>
            <a:ln w="28575" cap="rnd">
              <a:solidFill>
                <a:schemeClr val="accent3"/>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3F86-4EC3-AF3D-4F3D86D1D8E5}"/>
            </c:ext>
          </c:extLst>
        </c:ser>
        <c:ser>
          <c:idx val="3"/>
          <c:order val="5"/>
          <c:tx>
            <c:strRef>
              <c:f>'Semi-trailer truck (Hydrogen)'!$A$16</c:f>
              <c:strCache>
                <c:ptCount val="1"/>
                <c:pt idx="0">
                  <c:v>Opex fix (admin, crew, insurance)</c:v>
                </c:pt>
              </c:strCache>
            </c:strRef>
          </c:tx>
          <c:spPr>
            <a:ln w="28575" cap="rnd">
              <a:solidFill>
                <a:schemeClr val="accent4"/>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3F86-4EC3-AF3D-4F3D86D1D8E5}"/>
            </c:ext>
          </c:extLst>
        </c:ser>
        <c:ser>
          <c:idx val="4"/>
          <c:order val="6"/>
          <c:tx>
            <c:strRef>
              <c:f>'Semi-trailer truck (Hydrogen)'!$A$18</c:f>
              <c:strCache>
                <c:ptCount val="1"/>
                <c:pt idx="0">
                  <c:v>Opex var (mode-fees)</c:v>
                </c:pt>
              </c:strCache>
            </c:strRef>
          </c:tx>
          <c:spPr>
            <a:ln w="28575" cap="rnd">
              <a:solidFill>
                <a:schemeClr val="accent5"/>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3F86-4EC3-AF3D-4F3D86D1D8E5}"/>
            </c:ext>
          </c:extLst>
        </c:ser>
        <c:ser>
          <c:idx val="5"/>
          <c:order val="7"/>
          <c:tx>
            <c:strRef>
              <c:f>'Semi-trailer truck (Hydrogen)'!$A$19</c:f>
              <c:strCache>
                <c:ptCount val="1"/>
                <c:pt idx="0">
                  <c:v>Fuel Economy</c:v>
                </c:pt>
              </c:strCache>
            </c:strRef>
          </c:tx>
          <c:spPr>
            <a:ln w="28575" cap="rnd">
              <a:solidFill>
                <a:schemeClr val="accent6"/>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(Hydrogen)'!$Q$19:$AR$19</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7-3F86-4EC3-AF3D-4F3D86D1D8E5}"/>
            </c:ext>
          </c:extLst>
        </c:ser>
        <c:ser>
          <c:idx val="6"/>
          <c:order val="8"/>
          <c:tx>
            <c:strRef>
              <c:f>'Semi-trailer truck (Hydrogen)'!$A$20</c:f>
              <c:strCache>
                <c:ptCount val="1"/>
                <c:pt idx="0">
                  <c:v>Fuel Cost</c:v>
                </c:pt>
              </c:strCache>
            </c:strRef>
          </c:tx>
          <c:spPr>
            <a:ln w="28575" cap="rnd">
              <a:solidFill>
                <a:schemeClr val="accent1">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3F86-4EC3-AF3D-4F3D86D1D8E5}"/>
            </c:ext>
          </c:extLst>
        </c:ser>
        <c:ser>
          <c:idx val="7"/>
          <c:order val="9"/>
          <c:tx>
            <c:strRef>
              <c:f>'Semi-trailer truck (Hydrogen)'!$A$22</c:f>
              <c:strCache>
                <c:ptCount val="1"/>
                <c:pt idx="0">
                  <c:v>Lifetime vehicle</c:v>
                </c:pt>
              </c:strCache>
            </c:strRef>
          </c:tx>
          <c:spPr>
            <a:ln w="28575" cap="rnd">
              <a:solidFill>
                <a:schemeClr val="accent2">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(Hydrogen)'!$Q$22:$AR$22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9-3F86-4EC3-AF3D-4F3D86D1D8E5}"/>
            </c:ext>
          </c:extLst>
        </c:ser>
        <c:ser>
          <c:idx val="8"/>
          <c:order val="10"/>
          <c:tx>
            <c:strRef>
              <c:f>'Semi-trailer truck (Hydrogen)'!$A$23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3F86-4EC3-AF3D-4F3D86D1D8E5}"/>
            </c:ext>
          </c:extLst>
        </c:ser>
        <c:ser>
          <c:idx val="9"/>
          <c:order val="11"/>
          <c:tx>
            <c:strRef>
              <c:f>'Semi-trailer truck (Hydrogen)'!$A$24</c:f>
              <c:strCache>
                <c:ptCount val="1"/>
                <c:pt idx="0">
                  <c:v>Tonnage .</c:v>
                </c:pt>
              </c:strCache>
            </c:strRef>
          </c:tx>
          <c:spPr>
            <a:ln w="28575" cap="rnd">
              <a:solidFill>
                <a:schemeClr val="accent4">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3F86-4EC3-AF3D-4F3D86D1D8E5}"/>
            </c:ext>
          </c:extLst>
        </c:ser>
        <c:ser>
          <c:idx val="10"/>
          <c:order val="12"/>
          <c:tx>
            <c:strRef>
              <c:f>'Semi-trailer truck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3F86-4EC3-AF3D-4F3D86D1D8E5}"/>
            </c:ext>
          </c:extLst>
        </c:ser>
        <c:ser>
          <c:idx val="11"/>
          <c:order val="13"/>
          <c:tx>
            <c:strRef>
              <c:f>'Semi-trailer truck (Hydrogen)'!$A$27</c:f>
              <c:strCache>
                <c:ptCount val="1"/>
                <c:pt idx="0">
                  <c:v>Annual Mileage</c:v>
                </c:pt>
              </c:strCache>
            </c:strRef>
          </c:tx>
          <c:spPr>
            <a:ln w="28575" cap="rnd">
              <a:solidFill>
                <a:schemeClr val="accent6">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3F86-4EC3-AF3D-4F3D86D1D8E5}"/>
            </c:ext>
          </c:extLst>
        </c:ser>
        <c:ser>
          <c:idx val="12"/>
          <c:order val="14"/>
          <c:tx>
            <c:strRef>
              <c:f>'Semi-trailer truck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(Hydrogen)'!$Q$17:$AR$17</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E-3F86-4EC3-AF3D-4F3D86D1D8E5}"/>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(Hydrogen)'!$A$74</c:f>
              <c:strCache>
                <c:ptCount val="1"/>
                <c:pt idx="0">
                  <c:v>Capex vehicle</c:v>
                </c:pt>
              </c:strCache>
            </c:strRef>
          </c:tx>
          <c:spPr>
            <a:solidFill>
              <a:schemeClr val="accent1"/>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(Hydrogen)'!$B$74,'Semi-trailer truck (Hydrogen)'!$N$74,'Semi-trailer truck (Hydrogen)'!$AC$74)</c:f>
              <c:numCache>
                <c:formatCode>0.00</c:formatCode>
                <c:ptCount val="3"/>
                <c:pt idx="0">
                  <c:v>4.4623597015022408E-2</c:v>
                </c:pt>
                <c:pt idx="1">
                  <c:v>2.3959637162742395E-2</c:v>
                </c:pt>
                <c:pt idx="2">
                  <c:v>1.8171622640410206E-2</c:v>
                </c:pt>
              </c:numCache>
            </c:numRef>
          </c:val>
          <c:extLst>
            <c:ext xmlns:c16="http://schemas.microsoft.com/office/drawing/2014/chart" uri="{C3380CC4-5D6E-409C-BE32-E72D297353CC}">
              <c16:uniqueId val="{00000000-7A63-4675-8D39-4E7E464EF376}"/>
            </c:ext>
          </c:extLst>
        </c:ser>
        <c:ser>
          <c:idx val="1"/>
          <c:order val="1"/>
          <c:tx>
            <c:strRef>
              <c:f>'Semi-trailer truck (Hydrogen)'!$A$75</c:f>
              <c:strCache>
                <c:ptCount val="1"/>
                <c:pt idx="0">
                  <c:v>Residual value (vehicle)</c:v>
                </c:pt>
              </c:strCache>
            </c:strRef>
          </c:tx>
          <c:spPr>
            <a:solidFill>
              <a:schemeClr val="accent2"/>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(Hydrogen)'!$B$75,'Semi-trailer truck (Hydrogen)'!$N$75,'Semi-trailer truck (Hydrogen)'!$AC$75)</c:f>
              <c:numCache>
                <c:formatCode>0.000</c:formatCode>
                <c:ptCount val="3"/>
                <c:pt idx="0">
                  <c:v>-6.7629302274573042E-3</c:v>
                </c:pt>
                <c:pt idx="1">
                  <c:v>-5.0262782824252615E-3</c:v>
                </c:pt>
                <c:pt idx="2">
                  <c:v>-4.5398387640590461E-3</c:v>
                </c:pt>
              </c:numCache>
            </c:numRef>
          </c:val>
          <c:extLst>
            <c:ext xmlns:c16="http://schemas.microsoft.com/office/drawing/2014/chart" uri="{C3380CC4-5D6E-409C-BE32-E72D297353CC}">
              <c16:uniqueId val="{00000001-7A63-4675-8D39-4E7E464EF376}"/>
            </c:ext>
          </c:extLst>
        </c:ser>
        <c:ser>
          <c:idx val="2"/>
          <c:order val="2"/>
          <c:tx>
            <c:strRef>
              <c:f>'Semi-trailer truck (Hydrogen)'!$A$76</c:f>
              <c:strCache>
                <c:ptCount val="1"/>
                <c:pt idx="0">
                  <c:v>Capex costumization</c:v>
                </c:pt>
              </c:strCache>
            </c:strRef>
          </c:tx>
          <c:spPr>
            <a:solidFill>
              <a:schemeClr val="accent3"/>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(Hydrogen)'!$B$76,'Semi-trailer truck (Hydrogen)'!$N$76,'Semi-trailer truck (Hydrogen)'!$AC$76)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7A63-4675-8D39-4E7E464EF376}"/>
            </c:ext>
          </c:extLst>
        </c:ser>
        <c:ser>
          <c:idx val="3"/>
          <c:order val="3"/>
          <c:tx>
            <c:strRef>
              <c:f>'Semi-trailer truck (Hydrogen)'!$A$77</c:f>
              <c:strCache>
                <c:ptCount val="1"/>
                <c:pt idx="0">
                  <c:v>Residual value (costumization)</c:v>
                </c:pt>
              </c:strCache>
            </c:strRef>
          </c:tx>
          <c:spPr>
            <a:solidFill>
              <a:schemeClr val="accent4"/>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(Hydrogen)'!$B$77,'Semi-trailer truck (Hydrogen)'!$N$77,'Semi-trailer truck (Hydrogen)'!$AC$77)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7A63-4675-8D39-4E7E464EF376}"/>
            </c:ext>
          </c:extLst>
        </c:ser>
        <c:ser>
          <c:idx val="4"/>
          <c:order val="4"/>
          <c:tx>
            <c:strRef>
              <c:f>'Semi-trailer truck (Hydrogen)'!$A$78</c:f>
              <c:strCache>
                <c:ptCount val="1"/>
                <c:pt idx="0">
                  <c:v>Opex fix (admin, crew, insurance)</c:v>
                </c:pt>
              </c:strCache>
            </c:strRef>
          </c:tx>
          <c:spPr>
            <a:solidFill>
              <a:schemeClr val="accent5"/>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(Hydrogen)'!$B$78,'Semi-trailer truck (Hydrogen)'!$N$78,'Semi-trailer truck (Hydrogen)'!$AC$78)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7A63-4675-8D39-4E7E464EF376}"/>
            </c:ext>
          </c:extLst>
        </c:ser>
        <c:ser>
          <c:idx val="5"/>
          <c:order val="5"/>
          <c:tx>
            <c:strRef>
              <c:f>'Semi-trailer truck (Hydrogen)'!$A$79</c:f>
              <c:strCache>
                <c:ptCount val="1"/>
                <c:pt idx="0">
                  <c:v>Opex maintenance &amp; repair</c:v>
                </c:pt>
              </c:strCache>
            </c:strRef>
          </c:tx>
          <c:spPr>
            <a:solidFill>
              <a:schemeClr val="accent6"/>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(Hydrogen)'!$B$79,'Semi-trailer truck (Hydrogen)'!$N$79,'Semi-trailer truck (Hydrogen)'!$AC$79)</c:f>
              <c:numCache>
                <c:formatCode>0.00</c:formatCode>
                <c:ptCount val="3"/>
                <c:pt idx="0">
                  <c:v>1.868668998758358E-2</c:v>
                </c:pt>
                <c:pt idx="1">
                  <c:v>1.4318385987555941E-2</c:v>
                </c:pt>
                <c:pt idx="2">
                  <c:v>1.3094815714923418E-2</c:v>
                </c:pt>
              </c:numCache>
            </c:numRef>
          </c:val>
          <c:extLst>
            <c:ext xmlns:c16="http://schemas.microsoft.com/office/drawing/2014/chart" uri="{C3380CC4-5D6E-409C-BE32-E72D297353CC}">
              <c16:uniqueId val="{00000005-7A63-4675-8D39-4E7E464EF376}"/>
            </c:ext>
          </c:extLst>
        </c:ser>
        <c:ser>
          <c:idx val="6"/>
          <c:order val="6"/>
          <c:tx>
            <c:strRef>
              <c:f>'Semi-trailer truck (Hydrogen)'!$A$80</c:f>
              <c:strCache>
                <c:ptCount val="1"/>
                <c:pt idx="0">
                  <c:v>Opex var (mode-fees)</c:v>
                </c:pt>
              </c:strCache>
            </c:strRef>
          </c:tx>
          <c:spPr>
            <a:solidFill>
              <a:schemeClr val="accent1">
                <a:lumMod val="60000"/>
              </a:schemeClr>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(Hydrogen)'!$B$80,'Semi-trailer truck (Hydrogen)'!$N$80,'Semi-trailer truck (Hydrogen)'!$AC$80)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7A63-4675-8D39-4E7E464EF376}"/>
            </c:ext>
          </c:extLst>
        </c:ser>
        <c:ser>
          <c:idx val="7"/>
          <c:order val="7"/>
          <c:tx>
            <c:strRef>
              <c:f>'Semi-trailer truck (Hydrogen)'!$A$81</c:f>
              <c:strCache>
                <c:ptCount val="1"/>
                <c:pt idx="0">
                  <c:v>Fuel Cost</c:v>
                </c:pt>
              </c:strCache>
            </c:strRef>
          </c:tx>
          <c:spPr>
            <a:solidFill>
              <a:schemeClr val="accent2">
                <a:lumMod val="60000"/>
              </a:schemeClr>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(Hydrogen)'!$B$81,'Semi-trailer truck (Hydrogen)'!$N$81,'Semi-trailer truck (Hydrogen)'!$AC$81)</c:f>
              <c:numCache>
                <c:formatCode>0.00</c:formatCode>
                <c:ptCount val="3"/>
                <c:pt idx="0">
                  <c:v>2.5271535978108505E-2</c:v>
                </c:pt>
                <c:pt idx="1">
                  <c:v>1.3760682716616275E-2</c:v>
                </c:pt>
                <c:pt idx="2">
                  <c:v>7.8647748498683282E-3</c:v>
                </c:pt>
              </c:numCache>
            </c:numRef>
          </c:val>
          <c:extLst>
            <c:ext xmlns:c16="http://schemas.microsoft.com/office/drawing/2014/chart" uri="{C3380CC4-5D6E-409C-BE32-E72D297353CC}">
              <c16:uniqueId val="{00000007-7A63-4675-8D39-4E7E464EF376}"/>
            </c:ext>
          </c:extLst>
        </c:ser>
        <c:ser>
          <c:idx val="8"/>
          <c:order val="8"/>
          <c:tx>
            <c:strRef>
              <c:f>'Semi-trailer truck (Hydrogen)'!$A$82</c:f>
              <c:strCache>
                <c:ptCount val="1"/>
                <c:pt idx="0">
                  <c:v>Market failure (av. utilization)</c:v>
                </c:pt>
              </c:strCache>
            </c:strRef>
          </c:tx>
          <c:spPr>
            <a:solidFill>
              <a:schemeClr val="accent3">
                <a:lumMod val="60000"/>
              </a:schemeClr>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(Hydrogen)'!$B$82,'Semi-trailer truck (Hydrogen)'!$N$82,'Semi-trailer truck (Hydrogen)'!$AC$82)</c:f>
              <c:numCache>
                <c:formatCode>0.00</c:formatCode>
                <c:ptCount val="3"/>
                <c:pt idx="0">
                  <c:v>0.11191150040572001</c:v>
                </c:pt>
                <c:pt idx="1">
                  <c:v>8.4521907351170641E-2</c:v>
                </c:pt>
                <c:pt idx="2">
                  <c:v>7.4522667944778312E-2</c:v>
                </c:pt>
              </c:numCache>
            </c:numRef>
          </c:val>
          <c:extLst>
            <c:ext xmlns:c16="http://schemas.microsoft.com/office/drawing/2014/chart" uri="{C3380CC4-5D6E-409C-BE32-E72D297353CC}">
              <c16:uniqueId val="{00000008-7A63-4675-8D39-4E7E464EF376}"/>
            </c:ext>
          </c:extLst>
        </c:ser>
        <c:ser>
          <c:idx val="9"/>
          <c:order val="9"/>
          <c:tx>
            <c:strRef>
              <c:f>'Semi-trailer truck (Hydrogen)'!$A$83</c:f>
              <c:strCache>
                <c:ptCount val="1"/>
                <c:pt idx="0">
                  <c:v>Payload loss (fuel)</c:v>
                </c:pt>
              </c:strCache>
            </c:strRef>
          </c:tx>
          <c:spPr>
            <a:solidFill>
              <a:schemeClr val="accent4">
                <a:lumMod val="60000"/>
              </a:schemeClr>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(Hydrogen)'!$B$83,'Semi-trailer truck (Hydrogen)'!$N$83,'Semi-trailer truck (Hydrogen)'!$AC$83)</c:f>
              <c:numCache>
                <c:formatCode>0.00</c:formatCode>
                <c:ptCount val="3"/>
                <c:pt idx="0">
                  <c:v>7.4339832283982221E-3</c:v>
                </c:pt>
                <c:pt idx="1">
                  <c:v>3.7773952003283262E-3</c:v>
                </c:pt>
                <c:pt idx="2">
                  <c:v>1.9422481330625962E-3</c:v>
                </c:pt>
              </c:numCache>
            </c:numRef>
          </c:val>
          <c:extLst>
            <c:ext xmlns:c16="http://schemas.microsoft.com/office/drawing/2014/chart" uri="{C3380CC4-5D6E-409C-BE32-E72D297353CC}">
              <c16:uniqueId val="{00000009-7A63-4675-8D39-4E7E464EF376}"/>
            </c:ext>
          </c:extLst>
        </c:ser>
        <c:ser>
          <c:idx val="10"/>
          <c:order val="10"/>
          <c:tx>
            <c:strRef>
              <c:f>'Semi-trailer truck (Hydrogen)'!$A$512</c:f>
              <c:strCache>
                <c:ptCount val="1"/>
                <c:pt idx="0">
                  <c:v>Emission Cost</c:v>
                </c:pt>
              </c:strCache>
            </c:strRef>
          </c:tx>
          <c:spPr>
            <a:solidFill>
              <a:schemeClr val="accent5">
                <a:lumMod val="60000"/>
              </a:schemeClr>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(Hydrogen)'!$B$512,'Semi-trailer truck (Hydrogen)'!$N$512,'Semi-trailer truck (Hydrogen)'!$AC$512)</c:f>
              <c:numCache>
                <c:formatCode>0.000</c:formatCode>
                <c:ptCount val="3"/>
                <c:pt idx="0">
                  <c:v>3.6418200964524684E-4</c:v>
                </c:pt>
                <c:pt idx="1">
                  <c:v>3.1116510898656003E-4</c:v>
                </c:pt>
                <c:pt idx="2">
                  <c:v>5.9135532882621105E-6</c:v>
                </c:pt>
              </c:numCache>
            </c:numRef>
          </c:val>
          <c:extLst>
            <c:ext xmlns:c16="http://schemas.microsoft.com/office/drawing/2014/chart" uri="{C3380CC4-5D6E-409C-BE32-E72D297353CC}">
              <c16:uniqueId val="{00000000-C983-48F9-B402-D632047CA3D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(Diesel)'!$A$11</c:f>
              <c:strCache>
                <c:ptCount val="1"/>
                <c:pt idx="0">
                  <c:v>Capex vehicle</c:v>
                </c:pt>
              </c:strCache>
            </c:strRef>
          </c:tx>
          <c:spPr>
            <a:ln w="28575" cap="rnd">
              <a:solidFill>
                <a:schemeClr val="accent1"/>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6DC7-47BA-88D6-B6A83B519F5C}"/>
            </c:ext>
          </c:extLst>
        </c:ser>
        <c:ser>
          <c:idx val="13"/>
          <c:order val="1"/>
          <c:tx>
            <c:strRef>
              <c:f>'Railway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6DC7-47BA-88D6-B6A83B519F5C}"/>
            </c:ext>
          </c:extLst>
        </c:ser>
        <c:ser>
          <c:idx val="1"/>
          <c:order val="2"/>
          <c:tx>
            <c:strRef>
              <c:f>'Railway (Diesel)'!$A$13</c:f>
              <c:strCache>
                <c:ptCount val="1"/>
                <c:pt idx="0">
                  <c:v>Capex costumization</c:v>
                </c:pt>
              </c:strCache>
            </c:strRef>
          </c:tx>
          <c:spPr>
            <a:ln w="28575" cap="rnd">
              <a:solidFill>
                <a:schemeClr val="accent2"/>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6DC7-47BA-88D6-B6A83B519F5C}"/>
            </c:ext>
          </c:extLst>
        </c:ser>
        <c:ser>
          <c:idx val="14"/>
          <c:order val="3"/>
          <c:tx>
            <c:strRef>
              <c:f>'Railway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6DC7-47BA-88D6-B6A83B519F5C}"/>
            </c:ext>
          </c:extLst>
        </c:ser>
        <c:ser>
          <c:idx val="2"/>
          <c:order val="4"/>
          <c:tx>
            <c:strRef>
              <c:f>'Railway (Diesel)'!$A$15</c:f>
              <c:strCache>
                <c:ptCount val="1"/>
                <c:pt idx="0">
                  <c:v>WACC</c:v>
                </c:pt>
              </c:strCache>
            </c:strRef>
          </c:tx>
          <c:spPr>
            <a:ln w="28575" cap="rnd">
              <a:solidFill>
                <a:schemeClr val="accent3"/>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6DC7-47BA-88D6-B6A83B519F5C}"/>
            </c:ext>
          </c:extLst>
        </c:ser>
        <c:ser>
          <c:idx val="3"/>
          <c:order val="5"/>
          <c:tx>
            <c:strRef>
              <c:f>'Railway (Diesel)'!$A$16</c:f>
              <c:strCache>
                <c:ptCount val="1"/>
                <c:pt idx="0">
                  <c:v>Opex fix (admin, crew, insurance)</c:v>
                </c:pt>
              </c:strCache>
            </c:strRef>
          </c:tx>
          <c:spPr>
            <a:ln w="28575" cap="rnd">
              <a:solidFill>
                <a:schemeClr val="accent4"/>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6DC7-47BA-88D6-B6A83B519F5C}"/>
            </c:ext>
          </c:extLst>
        </c:ser>
        <c:ser>
          <c:idx val="4"/>
          <c:order val="6"/>
          <c:tx>
            <c:strRef>
              <c:f>'Railway (Diesel)'!$A$18</c:f>
              <c:strCache>
                <c:ptCount val="1"/>
                <c:pt idx="0">
                  <c:v>Opex var (mode-fees, shunting)</c:v>
                </c:pt>
              </c:strCache>
            </c:strRef>
          </c:tx>
          <c:spPr>
            <a:ln w="28575" cap="rnd">
              <a:solidFill>
                <a:schemeClr val="accent5"/>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6DC7-47BA-88D6-B6A83B519F5C}"/>
            </c:ext>
          </c:extLst>
        </c:ser>
        <c:ser>
          <c:idx val="5"/>
          <c:order val="7"/>
          <c:tx>
            <c:strRef>
              <c:f>'Railway (Diesel)'!$A$19</c:f>
              <c:strCache>
                <c:ptCount val="1"/>
                <c:pt idx="0">
                  <c:v>Fuel Economy</c:v>
                </c:pt>
              </c:strCache>
            </c:strRef>
          </c:tx>
          <c:spPr>
            <a:ln w="28575" cap="rnd">
              <a:solidFill>
                <a:schemeClr val="accent6"/>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6DC7-47BA-88D6-B6A83B519F5C}"/>
            </c:ext>
          </c:extLst>
        </c:ser>
        <c:ser>
          <c:idx val="6"/>
          <c:order val="8"/>
          <c:tx>
            <c:strRef>
              <c:f>'Railway (Diesel)'!$A$20</c:f>
              <c:strCache>
                <c:ptCount val="1"/>
                <c:pt idx="0">
                  <c:v>Fuel Cost</c:v>
                </c:pt>
              </c:strCache>
            </c:strRef>
          </c:tx>
          <c:spPr>
            <a:ln w="28575" cap="rnd">
              <a:solidFill>
                <a:schemeClr val="accent1">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6DC7-47BA-88D6-B6A83B519F5C}"/>
            </c:ext>
          </c:extLst>
        </c:ser>
        <c:ser>
          <c:idx val="7"/>
          <c:order val="9"/>
          <c:tx>
            <c:strRef>
              <c:f>'Railway (Diesel)'!$A$22</c:f>
              <c:strCache>
                <c:ptCount val="1"/>
                <c:pt idx="0">
                  <c:v>Lifetime vehicle</c:v>
                </c:pt>
              </c:strCache>
            </c:strRef>
          </c:tx>
          <c:spPr>
            <a:ln w="28575" cap="rnd">
              <a:solidFill>
                <a:schemeClr val="accent2">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6DC7-47BA-88D6-B6A83B519F5C}"/>
            </c:ext>
          </c:extLst>
        </c:ser>
        <c:ser>
          <c:idx val="8"/>
          <c:order val="10"/>
          <c:tx>
            <c:strRef>
              <c:f>'Railway (Diesel)'!$A$23</c:f>
              <c:strCache>
                <c:ptCount val="1"/>
                <c:pt idx="0">
                  <c:v>Lifetime costumization</c:v>
                </c:pt>
              </c:strCache>
            </c:strRef>
          </c:tx>
          <c:spPr>
            <a:ln w="28575" cap="rnd">
              <a:solidFill>
                <a:schemeClr val="accent3">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6DC7-47BA-88D6-B6A83B519F5C}"/>
            </c:ext>
          </c:extLst>
        </c:ser>
        <c:ser>
          <c:idx val="9"/>
          <c:order val="11"/>
          <c:tx>
            <c:strRef>
              <c:f>'Railway (Diesel)'!$A$24</c:f>
              <c:strCache>
                <c:ptCount val="1"/>
                <c:pt idx="0">
                  <c:v>Tonnage </c:v>
                </c:pt>
              </c:strCache>
            </c:strRef>
          </c:tx>
          <c:spPr>
            <a:ln w="28575" cap="rnd">
              <a:solidFill>
                <a:schemeClr val="accent4">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6DC7-47BA-88D6-B6A83B519F5C}"/>
            </c:ext>
          </c:extLst>
        </c:ser>
        <c:ser>
          <c:idx val="10"/>
          <c:order val="12"/>
          <c:tx>
            <c:strRef>
              <c:f>'Railway (Diesel)'!$A$25</c:f>
              <c:strCache>
                <c:ptCount val="1"/>
                <c:pt idx="0">
                  <c:v>Market failure (av. utilization)</c:v>
                </c:pt>
              </c:strCache>
            </c:strRef>
          </c:tx>
          <c:spPr>
            <a:ln w="28575" cap="rnd">
              <a:solidFill>
                <a:schemeClr val="accent5">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6DC7-47BA-88D6-B6A83B519F5C}"/>
            </c:ext>
          </c:extLst>
        </c:ser>
        <c:ser>
          <c:idx val="11"/>
          <c:order val="13"/>
          <c:tx>
            <c:strRef>
              <c:f>'Railway (Diesel)'!$A$27</c:f>
              <c:strCache>
                <c:ptCount val="1"/>
                <c:pt idx="0">
                  <c:v>Annual Mileage</c:v>
                </c:pt>
              </c:strCache>
            </c:strRef>
          </c:tx>
          <c:spPr>
            <a:ln w="28575" cap="rnd">
              <a:solidFill>
                <a:schemeClr val="accent6">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6DC7-47BA-88D6-B6A83B519F5C}"/>
            </c:ext>
          </c:extLst>
        </c:ser>
        <c:ser>
          <c:idx val="12"/>
          <c:order val="14"/>
          <c:tx>
            <c:strRef>
              <c:f>'Railway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6DC7-47BA-88D6-B6A83B519F5C}"/>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(Diesel)'!$A$74</c:f>
              <c:strCache>
                <c:ptCount val="1"/>
                <c:pt idx="0">
                  <c:v>Capex vehicle</c:v>
                </c:pt>
              </c:strCache>
            </c:strRef>
          </c:tx>
          <c:spPr>
            <a:solidFill>
              <a:schemeClr val="accent1"/>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(Diesel)'!$B$74,'Railway (Diesel)'!$N$74,'Railway (Diesel)'!$AC$74)</c:f>
              <c:numCache>
                <c:formatCode>0.00</c:formatCode>
                <c:ptCount val="3"/>
                <c:pt idx="0">
                  <c:v>7.6317014160409149E-4</c:v>
                </c:pt>
                <c:pt idx="1">
                  <c:v>7.6317014160409149E-4</c:v>
                </c:pt>
                <c:pt idx="2">
                  <c:v>7.6317014160409149E-4</c:v>
                </c:pt>
              </c:numCache>
            </c:numRef>
          </c:val>
          <c:extLst>
            <c:ext xmlns:c16="http://schemas.microsoft.com/office/drawing/2014/chart" uri="{C3380CC4-5D6E-409C-BE32-E72D297353CC}">
              <c16:uniqueId val="{00000000-C65D-4C98-BAA8-69341C9A608B}"/>
            </c:ext>
          </c:extLst>
        </c:ser>
        <c:ser>
          <c:idx val="1"/>
          <c:order val="1"/>
          <c:tx>
            <c:strRef>
              <c:f>'Railway (Diesel)'!$A$75</c:f>
              <c:strCache>
                <c:ptCount val="1"/>
                <c:pt idx="0">
                  <c:v>Residual value (vehicle)</c:v>
                </c:pt>
              </c:strCache>
            </c:strRef>
          </c:tx>
          <c:spPr>
            <a:solidFill>
              <a:schemeClr val="accent2"/>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(Diesel)'!$B$75,'Railway (Diesel)'!$N$75,'Railway (Diesel)'!$AC$75)</c:f>
              <c:numCache>
                <c:formatCode>0.000</c:formatCode>
                <c:ptCount val="3"/>
                <c:pt idx="0">
                  <c:v>-1.1346797345547289E-4</c:v>
                </c:pt>
                <c:pt idx="1">
                  <c:v>-7.357824598204721E-5</c:v>
                </c:pt>
                <c:pt idx="2">
                  <c:v>-3.832836099071531E-5</c:v>
                </c:pt>
              </c:numCache>
            </c:numRef>
          </c:val>
          <c:extLst>
            <c:ext xmlns:c16="http://schemas.microsoft.com/office/drawing/2014/chart" uri="{C3380CC4-5D6E-409C-BE32-E72D297353CC}">
              <c16:uniqueId val="{00000001-C65D-4C98-BAA8-69341C9A608B}"/>
            </c:ext>
          </c:extLst>
        </c:ser>
        <c:ser>
          <c:idx val="2"/>
          <c:order val="2"/>
          <c:tx>
            <c:strRef>
              <c:f>'Railway (Diesel)'!$A$76</c:f>
              <c:strCache>
                <c:ptCount val="1"/>
                <c:pt idx="0">
                  <c:v>Capex costumization</c:v>
                </c:pt>
              </c:strCache>
            </c:strRef>
          </c:tx>
          <c:spPr>
            <a:solidFill>
              <a:schemeClr val="accent3"/>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(Diesel)'!$B$76,'Railway (Diesel)'!$N$76,'Railway (Diesel)'!$AC$76)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C65D-4C98-BAA8-69341C9A608B}"/>
            </c:ext>
          </c:extLst>
        </c:ser>
        <c:ser>
          <c:idx val="3"/>
          <c:order val="3"/>
          <c:tx>
            <c:strRef>
              <c:f>'Railway (Diesel)'!$A$77</c:f>
              <c:strCache>
                <c:ptCount val="1"/>
                <c:pt idx="0">
                  <c:v>Residual value (costumization)</c:v>
                </c:pt>
              </c:strCache>
            </c:strRef>
          </c:tx>
          <c:spPr>
            <a:solidFill>
              <a:schemeClr val="accent4"/>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(Diesel)'!$B$77,'Railway (Diesel)'!$N$77,'Railway (Diesel)'!$AC$77)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C65D-4C98-BAA8-69341C9A608B}"/>
            </c:ext>
          </c:extLst>
        </c:ser>
        <c:ser>
          <c:idx val="4"/>
          <c:order val="4"/>
          <c:tx>
            <c:strRef>
              <c:f>'Railway (Diesel)'!$A$78</c:f>
              <c:strCache>
                <c:ptCount val="1"/>
                <c:pt idx="0">
                  <c:v>Opex fix (admin, crew, insurance)</c:v>
                </c:pt>
              </c:strCache>
            </c:strRef>
          </c:tx>
          <c:spPr>
            <a:solidFill>
              <a:schemeClr val="accent5"/>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(Diesel)'!$B$78,'Railway (Diesel)'!$N$78,'Railway (Diesel)'!$AC$78)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C65D-4C98-BAA8-69341C9A608B}"/>
            </c:ext>
          </c:extLst>
        </c:ser>
        <c:ser>
          <c:idx val="5"/>
          <c:order val="5"/>
          <c:tx>
            <c:strRef>
              <c:f>'Railway (Diesel)'!$A$79</c:f>
              <c:strCache>
                <c:ptCount val="1"/>
                <c:pt idx="0">
                  <c:v>Opex maintenance &amp; repair</c:v>
                </c:pt>
              </c:strCache>
            </c:strRef>
          </c:tx>
          <c:spPr>
            <a:solidFill>
              <a:schemeClr val="accent6"/>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(Diesel)'!$B$79,'Railway (Diesel)'!$N$79,'Railway (Diesel)'!$AC$79)</c:f>
              <c:numCache>
                <c:formatCode>0.00</c:formatCode>
                <c:ptCount val="3"/>
                <c:pt idx="0">
                  <c:v>2.6260504201680674E-3</c:v>
                </c:pt>
                <c:pt idx="1">
                  <c:v>2.6260504201680674E-3</c:v>
                </c:pt>
                <c:pt idx="2">
                  <c:v>2.6260504201680674E-3</c:v>
                </c:pt>
              </c:numCache>
            </c:numRef>
          </c:val>
          <c:extLst>
            <c:ext xmlns:c16="http://schemas.microsoft.com/office/drawing/2014/chart" uri="{C3380CC4-5D6E-409C-BE32-E72D297353CC}">
              <c16:uniqueId val="{00000005-C65D-4C98-BAA8-69341C9A608B}"/>
            </c:ext>
          </c:extLst>
        </c:ser>
        <c:ser>
          <c:idx val="6"/>
          <c:order val="6"/>
          <c:tx>
            <c:strRef>
              <c:f>'Railway (Diesel)'!$A$80</c:f>
              <c:strCache>
                <c:ptCount val="1"/>
                <c:pt idx="0">
                  <c:v>Opex var (mode-fees, shunting)</c:v>
                </c:pt>
              </c:strCache>
            </c:strRef>
          </c:tx>
          <c:spPr>
            <a:solidFill>
              <a:schemeClr val="accent1">
                <a:lumMod val="60000"/>
              </a:schemeClr>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(Diesel)'!$B$80,'Railway (Diesel)'!$N$80,'Railway (Diesel)'!$AC$80)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C65D-4C98-BAA8-69341C9A608B}"/>
            </c:ext>
          </c:extLst>
        </c:ser>
        <c:ser>
          <c:idx val="7"/>
          <c:order val="7"/>
          <c:tx>
            <c:strRef>
              <c:f>'Railway (Diesel)'!$A$81</c:f>
              <c:strCache>
                <c:ptCount val="1"/>
                <c:pt idx="0">
                  <c:v>Fuel Cost</c:v>
                </c:pt>
              </c:strCache>
            </c:strRef>
          </c:tx>
          <c:spPr>
            <a:solidFill>
              <a:schemeClr val="accent2">
                <a:lumMod val="60000"/>
              </a:schemeClr>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(Diesel)'!$B$81,'Railway (Diesel)'!$N$81,'Railway (Diesel)'!$AC$81)</c:f>
              <c:numCache>
                <c:formatCode>0.00</c:formatCode>
                <c:ptCount val="3"/>
                <c:pt idx="0">
                  <c:v>3.4275714285714283E-3</c:v>
                </c:pt>
                <c:pt idx="1">
                  <c:v>3.4275714285714283E-3</c:v>
                </c:pt>
                <c:pt idx="2">
                  <c:v>3.4275714285714283E-3</c:v>
                </c:pt>
              </c:numCache>
            </c:numRef>
          </c:val>
          <c:extLst>
            <c:ext xmlns:c16="http://schemas.microsoft.com/office/drawing/2014/chart" uri="{C3380CC4-5D6E-409C-BE32-E72D297353CC}">
              <c16:uniqueId val="{00000007-C65D-4C98-BAA8-69341C9A608B}"/>
            </c:ext>
          </c:extLst>
        </c:ser>
        <c:ser>
          <c:idx val="8"/>
          <c:order val="8"/>
          <c:tx>
            <c:strRef>
              <c:f>'Railway (Diesel)'!$A$82</c:f>
              <c:strCache>
                <c:ptCount val="1"/>
                <c:pt idx="0">
                  <c:v>Market failure (av. utilization)</c:v>
                </c:pt>
              </c:strCache>
            </c:strRef>
          </c:tx>
          <c:spPr>
            <a:solidFill>
              <a:schemeClr val="accent3">
                <a:lumMod val="60000"/>
              </a:schemeClr>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(Diesel)'!$B$82,'Railway (Diesel)'!$N$82,'Railway (Diesel)'!$AC$82)</c:f>
              <c:numCache>
                <c:formatCode>0.00</c:formatCode>
                <c:ptCount val="3"/>
                <c:pt idx="0">
                  <c:v>6.6373839408152731E-3</c:v>
                </c:pt>
                <c:pt idx="1">
                  <c:v>6.8464888637036411E-3</c:v>
                </c:pt>
                <c:pt idx="2">
                  <c:v>7.9410756620479587E-3</c:v>
                </c:pt>
              </c:numCache>
            </c:numRef>
          </c:val>
          <c:extLst>
            <c:ext xmlns:c16="http://schemas.microsoft.com/office/drawing/2014/chart" uri="{C3380CC4-5D6E-409C-BE32-E72D297353CC}">
              <c16:uniqueId val="{00000008-C65D-4C98-BAA8-69341C9A608B}"/>
            </c:ext>
          </c:extLst>
        </c:ser>
        <c:ser>
          <c:idx val="9"/>
          <c:order val="9"/>
          <c:tx>
            <c:strRef>
              <c:f>'Railway (Diesel)'!$A$83</c:f>
              <c:strCache>
                <c:ptCount val="1"/>
                <c:pt idx="0">
                  <c:v>Payload loss (fuel)</c:v>
                </c:pt>
              </c:strCache>
            </c:strRef>
          </c:tx>
          <c:spPr>
            <a:solidFill>
              <a:schemeClr val="accent4">
                <a:lumMod val="60000"/>
              </a:schemeClr>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(Diesel)'!$B$83,'Railway (Diesel)'!$N$83,'Railway (Diesel)'!$AC$83)</c:f>
              <c:numCache>
                <c:formatCode>0.00</c:formatCode>
                <c:ptCount val="3"/>
                <c:pt idx="0">
                  <c:v>0</c:v>
                </c:pt>
                <c:pt idx="1">
                  <c:v>0</c:v>
                </c:pt>
                <c:pt idx="2">
                  <c:v>0</c:v>
                </c:pt>
              </c:numCache>
            </c:numRef>
          </c:val>
          <c:extLst>
            <c:ext xmlns:c16="http://schemas.microsoft.com/office/drawing/2014/chart" uri="{C3380CC4-5D6E-409C-BE32-E72D297353CC}">
              <c16:uniqueId val="{00000009-C65D-4C98-BAA8-69341C9A608B}"/>
            </c:ext>
          </c:extLst>
        </c:ser>
        <c:ser>
          <c:idx val="10"/>
          <c:order val="10"/>
          <c:tx>
            <c:strRef>
              <c:f>'Railway (Diesel)'!$A$84</c:f>
              <c:strCache>
                <c:ptCount val="1"/>
                <c:pt idx="0">
                  <c:v>Emission Cost</c:v>
                </c:pt>
              </c:strCache>
            </c:strRef>
          </c:tx>
          <c:spPr>
            <a:solidFill>
              <a:schemeClr val="accent5">
                <a:lumMod val="60000"/>
              </a:schemeClr>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(Diesel)'!$B$84,'Railway (Diesel)'!$N$84,'Railway (Diesel)'!$AC$84)</c:f>
              <c:numCache>
                <c:formatCode>0.0000</c:formatCode>
                <c:ptCount val="3"/>
                <c:pt idx="0">
                  <c:v>9.1884435637488678E-4</c:v>
                </c:pt>
                <c:pt idx="1">
                  <c:v>1.2506967140363367E-3</c:v>
                </c:pt>
                <c:pt idx="2">
                  <c:v>3.1613789149904556E-3</c:v>
                </c:pt>
              </c:numCache>
            </c:numRef>
          </c:val>
          <c:extLst>
            <c:ext xmlns:c16="http://schemas.microsoft.com/office/drawing/2014/chart" uri="{C3380CC4-5D6E-409C-BE32-E72D297353CC}">
              <c16:uniqueId val="{00000000-6813-4620-B12E-94637DE6984E}"/>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(Diesel)'!$A$11</c:f>
              <c:strCache>
                <c:ptCount val="1"/>
                <c:pt idx="0">
                  <c:v>Capex vehicle</c:v>
                </c:pt>
              </c:strCache>
            </c:strRef>
          </c:tx>
          <c:spPr>
            <a:ln w="28575" cap="rnd">
              <a:solidFill>
                <a:schemeClr val="accent1"/>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2092-42BD-B2F0-01671E4BE14E}"/>
            </c:ext>
          </c:extLst>
        </c:ser>
        <c:ser>
          <c:idx val="13"/>
          <c:order val="1"/>
          <c:tx>
            <c:strRef>
              <c:f>'Railway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2092-42BD-B2F0-01671E4BE14E}"/>
            </c:ext>
          </c:extLst>
        </c:ser>
        <c:ser>
          <c:idx val="1"/>
          <c:order val="2"/>
          <c:tx>
            <c:strRef>
              <c:f>'Railway (Diesel)'!$A$13</c:f>
              <c:strCache>
                <c:ptCount val="1"/>
                <c:pt idx="0">
                  <c:v>Capex costumization</c:v>
                </c:pt>
              </c:strCache>
            </c:strRef>
          </c:tx>
          <c:spPr>
            <a:ln w="28575" cap="rnd">
              <a:solidFill>
                <a:schemeClr val="accent2"/>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092-42BD-B2F0-01671E4BE14E}"/>
            </c:ext>
          </c:extLst>
        </c:ser>
        <c:ser>
          <c:idx val="14"/>
          <c:order val="3"/>
          <c:tx>
            <c:strRef>
              <c:f>'Railway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092-42BD-B2F0-01671E4BE14E}"/>
            </c:ext>
          </c:extLst>
        </c:ser>
        <c:ser>
          <c:idx val="2"/>
          <c:order val="4"/>
          <c:tx>
            <c:strRef>
              <c:f>'Railway (Diesel)'!$A$15</c:f>
              <c:strCache>
                <c:ptCount val="1"/>
                <c:pt idx="0">
                  <c:v>WACC</c:v>
                </c:pt>
              </c:strCache>
            </c:strRef>
          </c:tx>
          <c:spPr>
            <a:ln w="28575" cap="rnd">
              <a:solidFill>
                <a:schemeClr val="accent3"/>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092-42BD-B2F0-01671E4BE14E}"/>
            </c:ext>
          </c:extLst>
        </c:ser>
        <c:ser>
          <c:idx val="3"/>
          <c:order val="5"/>
          <c:tx>
            <c:strRef>
              <c:f>'Railway (Diesel)'!$A$16</c:f>
              <c:strCache>
                <c:ptCount val="1"/>
                <c:pt idx="0">
                  <c:v>Opex fix (admin, crew, insurance)</c:v>
                </c:pt>
              </c:strCache>
            </c:strRef>
          </c:tx>
          <c:spPr>
            <a:ln w="28575" cap="rnd">
              <a:solidFill>
                <a:schemeClr val="accent4"/>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092-42BD-B2F0-01671E4BE14E}"/>
            </c:ext>
          </c:extLst>
        </c:ser>
        <c:ser>
          <c:idx val="4"/>
          <c:order val="6"/>
          <c:tx>
            <c:strRef>
              <c:f>'Railway (Diesel)'!$A$18</c:f>
              <c:strCache>
                <c:ptCount val="1"/>
                <c:pt idx="0">
                  <c:v>Opex var (mode-fees, shunting)</c:v>
                </c:pt>
              </c:strCache>
            </c:strRef>
          </c:tx>
          <c:spPr>
            <a:ln w="28575" cap="rnd">
              <a:solidFill>
                <a:schemeClr val="accent5"/>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092-42BD-B2F0-01671E4BE14E}"/>
            </c:ext>
          </c:extLst>
        </c:ser>
        <c:ser>
          <c:idx val="5"/>
          <c:order val="7"/>
          <c:tx>
            <c:strRef>
              <c:f>'Railway (Diesel)'!$A$19</c:f>
              <c:strCache>
                <c:ptCount val="1"/>
                <c:pt idx="0">
                  <c:v>Fuel Economy</c:v>
                </c:pt>
              </c:strCache>
            </c:strRef>
          </c:tx>
          <c:spPr>
            <a:ln w="28575" cap="rnd">
              <a:solidFill>
                <a:schemeClr val="accent6"/>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2092-42BD-B2F0-01671E4BE14E}"/>
            </c:ext>
          </c:extLst>
        </c:ser>
        <c:ser>
          <c:idx val="6"/>
          <c:order val="8"/>
          <c:tx>
            <c:strRef>
              <c:f>'Railway (Diesel)'!$A$20</c:f>
              <c:strCache>
                <c:ptCount val="1"/>
                <c:pt idx="0">
                  <c:v>Fuel Cost</c:v>
                </c:pt>
              </c:strCache>
            </c:strRef>
          </c:tx>
          <c:spPr>
            <a:ln w="28575" cap="rnd">
              <a:solidFill>
                <a:schemeClr val="accent1">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092-42BD-B2F0-01671E4BE14E}"/>
            </c:ext>
          </c:extLst>
        </c:ser>
        <c:ser>
          <c:idx val="7"/>
          <c:order val="9"/>
          <c:tx>
            <c:strRef>
              <c:f>'Railway (Diesel)'!$A$22</c:f>
              <c:strCache>
                <c:ptCount val="1"/>
                <c:pt idx="0">
                  <c:v>Lifetime vehicle</c:v>
                </c:pt>
              </c:strCache>
            </c:strRef>
          </c:tx>
          <c:spPr>
            <a:ln w="28575" cap="rnd">
              <a:solidFill>
                <a:schemeClr val="accent2">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2092-42BD-B2F0-01671E4BE14E}"/>
            </c:ext>
          </c:extLst>
        </c:ser>
        <c:ser>
          <c:idx val="8"/>
          <c:order val="10"/>
          <c:tx>
            <c:strRef>
              <c:f>'Railway (Diesel)'!$A$23</c:f>
              <c:strCache>
                <c:ptCount val="1"/>
                <c:pt idx="0">
                  <c:v>Lifetime costumization</c:v>
                </c:pt>
              </c:strCache>
            </c:strRef>
          </c:tx>
          <c:spPr>
            <a:ln w="28575" cap="rnd">
              <a:solidFill>
                <a:schemeClr val="accent3">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092-42BD-B2F0-01671E4BE14E}"/>
            </c:ext>
          </c:extLst>
        </c:ser>
        <c:ser>
          <c:idx val="9"/>
          <c:order val="11"/>
          <c:tx>
            <c:strRef>
              <c:f>'Railway (Diesel)'!$A$24</c:f>
              <c:strCache>
                <c:ptCount val="1"/>
                <c:pt idx="0">
                  <c:v>Tonnage </c:v>
                </c:pt>
              </c:strCache>
            </c:strRef>
          </c:tx>
          <c:spPr>
            <a:ln w="28575" cap="rnd">
              <a:solidFill>
                <a:schemeClr val="accent4">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092-42BD-B2F0-01671E4BE14E}"/>
            </c:ext>
          </c:extLst>
        </c:ser>
        <c:ser>
          <c:idx val="10"/>
          <c:order val="12"/>
          <c:tx>
            <c:strRef>
              <c:f>'Railway (Diesel)'!$A$25</c:f>
              <c:strCache>
                <c:ptCount val="1"/>
                <c:pt idx="0">
                  <c:v>Market failure (av. utilization)</c:v>
                </c:pt>
              </c:strCache>
            </c:strRef>
          </c:tx>
          <c:spPr>
            <a:ln w="28575" cap="rnd">
              <a:solidFill>
                <a:schemeClr val="accent5">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092-42BD-B2F0-01671E4BE14E}"/>
            </c:ext>
          </c:extLst>
        </c:ser>
        <c:ser>
          <c:idx val="11"/>
          <c:order val="13"/>
          <c:tx>
            <c:strRef>
              <c:f>'Railway (Diesel)'!$A$27</c:f>
              <c:strCache>
                <c:ptCount val="1"/>
                <c:pt idx="0">
                  <c:v>Annual Mileage</c:v>
                </c:pt>
              </c:strCache>
            </c:strRef>
          </c:tx>
          <c:spPr>
            <a:ln w="28575" cap="rnd">
              <a:solidFill>
                <a:schemeClr val="accent6">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092-42BD-B2F0-01671E4BE14E}"/>
            </c:ext>
          </c:extLst>
        </c:ser>
        <c:ser>
          <c:idx val="12"/>
          <c:order val="14"/>
          <c:tx>
            <c:strRef>
              <c:f>'Railway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2092-42BD-B2F0-01671E4BE14E}"/>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(Diesel)'!$A$74</c:f>
              <c:strCache>
                <c:ptCount val="1"/>
                <c:pt idx="0">
                  <c:v>Capex vehicle</c:v>
                </c:pt>
              </c:strCache>
            </c:strRef>
          </c:tx>
          <c:spPr>
            <a:solidFill>
              <a:schemeClr val="accent1"/>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(Diesel)'!$B$74,'Railway (Diesel)'!$N$74,'Railway (Diesel)'!$AC$74)</c:f>
              <c:numCache>
                <c:formatCode>0.00</c:formatCode>
                <c:ptCount val="3"/>
                <c:pt idx="0">
                  <c:v>7.6317014160409149E-4</c:v>
                </c:pt>
                <c:pt idx="1">
                  <c:v>7.6317014160409149E-4</c:v>
                </c:pt>
                <c:pt idx="2">
                  <c:v>7.6317014160409149E-4</c:v>
                </c:pt>
              </c:numCache>
            </c:numRef>
          </c:val>
          <c:extLst>
            <c:ext xmlns:c16="http://schemas.microsoft.com/office/drawing/2014/chart" uri="{C3380CC4-5D6E-409C-BE32-E72D297353CC}">
              <c16:uniqueId val="{00000000-90BC-417E-A6BF-1FBE9F401D82}"/>
            </c:ext>
          </c:extLst>
        </c:ser>
        <c:ser>
          <c:idx val="1"/>
          <c:order val="1"/>
          <c:tx>
            <c:strRef>
              <c:f>'Railway (Diesel)'!$A$75</c:f>
              <c:strCache>
                <c:ptCount val="1"/>
                <c:pt idx="0">
                  <c:v>Residual value (vehicle)</c:v>
                </c:pt>
              </c:strCache>
            </c:strRef>
          </c:tx>
          <c:spPr>
            <a:solidFill>
              <a:schemeClr val="accent2"/>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(Diesel)'!$B$75,'Railway (Diesel)'!$N$75,'Railway (Diesel)'!$AC$75)</c:f>
              <c:numCache>
                <c:formatCode>0.000</c:formatCode>
                <c:ptCount val="3"/>
                <c:pt idx="0">
                  <c:v>-1.1346797345547289E-4</c:v>
                </c:pt>
                <c:pt idx="1">
                  <c:v>-7.357824598204721E-5</c:v>
                </c:pt>
                <c:pt idx="2">
                  <c:v>-3.832836099071531E-5</c:v>
                </c:pt>
              </c:numCache>
            </c:numRef>
          </c:val>
          <c:extLst>
            <c:ext xmlns:c16="http://schemas.microsoft.com/office/drawing/2014/chart" uri="{C3380CC4-5D6E-409C-BE32-E72D297353CC}">
              <c16:uniqueId val="{00000001-90BC-417E-A6BF-1FBE9F401D82}"/>
            </c:ext>
          </c:extLst>
        </c:ser>
        <c:ser>
          <c:idx val="2"/>
          <c:order val="2"/>
          <c:tx>
            <c:strRef>
              <c:f>'Railway (Diesel)'!$A$76</c:f>
              <c:strCache>
                <c:ptCount val="1"/>
                <c:pt idx="0">
                  <c:v>Capex costumization</c:v>
                </c:pt>
              </c:strCache>
            </c:strRef>
          </c:tx>
          <c:spPr>
            <a:solidFill>
              <a:schemeClr val="accent3"/>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(Diesel)'!$B$76,'Railway (Diesel)'!$N$76,'Railway (Diesel)'!$AC$76)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90BC-417E-A6BF-1FBE9F401D82}"/>
            </c:ext>
          </c:extLst>
        </c:ser>
        <c:ser>
          <c:idx val="3"/>
          <c:order val="3"/>
          <c:tx>
            <c:strRef>
              <c:f>'Railway (Diesel)'!$A$77</c:f>
              <c:strCache>
                <c:ptCount val="1"/>
                <c:pt idx="0">
                  <c:v>Residual value (costumization)</c:v>
                </c:pt>
              </c:strCache>
            </c:strRef>
          </c:tx>
          <c:spPr>
            <a:solidFill>
              <a:schemeClr val="accent4"/>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(Diesel)'!$B$77,'Railway (Diesel)'!$N$77,'Railway (Diesel)'!$AC$77)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90BC-417E-A6BF-1FBE9F401D82}"/>
            </c:ext>
          </c:extLst>
        </c:ser>
        <c:ser>
          <c:idx val="4"/>
          <c:order val="4"/>
          <c:tx>
            <c:strRef>
              <c:f>'Railway (Diesel)'!$A$78</c:f>
              <c:strCache>
                <c:ptCount val="1"/>
                <c:pt idx="0">
                  <c:v>Opex fix (admin, crew, insurance)</c:v>
                </c:pt>
              </c:strCache>
            </c:strRef>
          </c:tx>
          <c:spPr>
            <a:solidFill>
              <a:schemeClr val="accent5"/>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(Diesel)'!$B$78,'Railway (Diesel)'!$N$78,'Railway (Diesel)'!$AC$78)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90BC-417E-A6BF-1FBE9F401D82}"/>
            </c:ext>
          </c:extLst>
        </c:ser>
        <c:ser>
          <c:idx val="5"/>
          <c:order val="5"/>
          <c:tx>
            <c:strRef>
              <c:f>'Railway (Diesel)'!$A$79</c:f>
              <c:strCache>
                <c:ptCount val="1"/>
                <c:pt idx="0">
                  <c:v>Opex maintenance &amp; repair</c:v>
                </c:pt>
              </c:strCache>
            </c:strRef>
          </c:tx>
          <c:spPr>
            <a:solidFill>
              <a:schemeClr val="accent6"/>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(Diesel)'!$B$79,'Railway (Diesel)'!$N$79,'Railway (Diesel)'!$AC$79)</c:f>
              <c:numCache>
                <c:formatCode>0.00</c:formatCode>
                <c:ptCount val="3"/>
                <c:pt idx="0">
                  <c:v>2.6260504201680674E-3</c:v>
                </c:pt>
                <c:pt idx="1">
                  <c:v>2.6260504201680674E-3</c:v>
                </c:pt>
                <c:pt idx="2">
                  <c:v>2.6260504201680674E-3</c:v>
                </c:pt>
              </c:numCache>
            </c:numRef>
          </c:val>
          <c:extLst>
            <c:ext xmlns:c16="http://schemas.microsoft.com/office/drawing/2014/chart" uri="{C3380CC4-5D6E-409C-BE32-E72D297353CC}">
              <c16:uniqueId val="{00000005-90BC-417E-A6BF-1FBE9F401D82}"/>
            </c:ext>
          </c:extLst>
        </c:ser>
        <c:ser>
          <c:idx val="6"/>
          <c:order val="6"/>
          <c:tx>
            <c:strRef>
              <c:f>'Railway (Diesel)'!$A$80</c:f>
              <c:strCache>
                <c:ptCount val="1"/>
                <c:pt idx="0">
                  <c:v>Opex var (mode-fees, shunting)</c:v>
                </c:pt>
              </c:strCache>
            </c:strRef>
          </c:tx>
          <c:spPr>
            <a:solidFill>
              <a:schemeClr val="accent1">
                <a:lumMod val="60000"/>
              </a:schemeClr>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(Diesel)'!$B$80,'Railway (Diesel)'!$N$80,'Railway (Diesel)'!$AC$80)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90BC-417E-A6BF-1FBE9F401D82}"/>
            </c:ext>
          </c:extLst>
        </c:ser>
        <c:ser>
          <c:idx val="7"/>
          <c:order val="7"/>
          <c:tx>
            <c:strRef>
              <c:f>'Railway (Diesel)'!$A$81</c:f>
              <c:strCache>
                <c:ptCount val="1"/>
                <c:pt idx="0">
                  <c:v>Fuel Cost</c:v>
                </c:pt>
              </c:strCache>
            </c:strRef>
          </c:tx>
          <c:spPr>
            <a:solidFill>
              <a:schemeClr val="accent2">
                <a:lumMod val="60000"/>
              </a:schemeClr>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(Diesel)'!$B$81,'Railway (Diesel)'!$N$81,'Railway (Diesel)'!$AC$81)</c:f>
              <c:numCache>
                <c:formatCode>0.00</c:formatCode>
                <c:ptCount val="3"/>
                <c:pt idx="0">
                  <c:v>3.4275714285714283E-3</c:v>
                </c:pt>
                <c:pt idx="1">
                  <c:v>3.4275714285714283E-3</c:v>
                </c:pt>
                <c:pt idx="2">
                  <c:v>3.4275714285714283E-3</c:v>
                </c:pt>
              </c:numCache>
            </c:numRef>
          </c:val>
          <c:extLst>
            <c:ext xmlns:c16="http://schemas.microsoft.com/office/drawing/2014/chart" uri="{C3380CC4-5D6E-409C-BE32-E72D297353CC}">
              <c16:uniqueId val="{00000007-90BC-417E-A6BF-1FBE9F401D82}"/>
            </c:ext>
          </c:extLst>
        </c:ser>
        <c:ser>
          <c:idx val="8"/>
          <c:order val="8"/>
          <c:tx>
            <c:strRef>
              <c:f>'Railway (Diesel)'!$A$82</c:f>
              <c:strCache>
                <c:ptCount val="1"/>
                <c:pt idx="0">
                  <c:v>Market failure (av. utilization)</c:v>
                </c:pt>
              </c:strCache>
            </c:strRef>
          </c:tx>
          <c:spPr>
            <a:solidFill>
              <a:schemeClr val="accent3">
                <a:lumMod val="60000"/>
              </a:schemeClr>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(Diesel)'!$B$82,'Railway (Diesel)'!$N$82,'Railway (Diesel)'!$AC$82)</c:f>
              <c:numCache>
                <c:formatCode>0.00</c:formatCode>
                <c:ptCount val="3"/>
                <c:pt idx="0">
                  <c:v>6.6373839408152731E-3</c:v>
                </c:pt>
                <c:pt idx="1">
                  <c:v>6.8464888637036411E-3</c:v>
                </c:pt>
                <c:pt idx="2">
                  <c:v>7.9410756620479587E-3</c:v>
                </c:pt>
              </c:numCache>
            </c:numRef>
          </c:val>
          <c:extLst>
            <c:ext xmlns:c16="http://schemas.microsoft.com/office/drawing/2014/chart" uri="{C3380CC4-5D6E-409C-BE32-E72D297353CC}">
              <c16:uniqueId val="{00000008-90BC-417E-A6BF-1FBE9F401D82}"/>
            </c:ext>
          </c:extLst>
        </c:ser>
        <c:ser>
          <c:idx val="9"/>
          <c:order val="9"/>
          <c:tx>
            <c:strRef>
              <c:f>'Railway (Diesel)'!$A$83</c:f>
              <c:strCache>
                <c:ptCount val="1"/>
                <c:pt idx="0">
                  <c:v>Payload loss (fuel)</c:v>
                </c:pt>
              </c:strCache>
            </c:strRef>
          </c:tx>
          <c:spPr>
            <a:solidFill>
              <a:schemeClr val="accent4">
                <a:lumMod val="60000"/>
              </a:schemeClr>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(Diesel)'!$B$83,'Railway (Diesel)'!$N$83,'Railway (Diesel)'!$AC$83)</c:f>
              <c:numCache>
                <c:formatCode>0.00</c:formatCode>
                <c:ptCount val="3"/>
                <c:pt idx="0">
                  <c:v>0</c:v>
                </c:pt>
                <c:pt idx="1">
                  <c:v>0</c:v>
                </c:pt>
                <c:pt idx="2">
                  <c:v>0</c:v>
                </c:pt>
              </c:numCache>
            </c:numRef>
          </c:val>
          <c:extLst>
            <c:ext xmlns:c16="http://schemas.microsoft.com/office/drawing/2014/chart" uri="{C3380CC4-5D6E-409C-BE32-E72D297353CC}">
              <c16:uniqueId val="{00000009-90BC-417E-A6BF-1FBE9F401D82}"/>
            </c:ext>
          </c:extLst>
        </c:ser>
        <c:ser>
          <c:idx val="10"/>
          <c:order val="10"/>
          <c:tx>
            <c:strRef>
              <c:f>'Railway (Diesel)'!$A$190</c:f>
              <c:strCache>
                <c:ptCount val="1"/>
                <c:pt idx="0">
                  <c:v>Emission Cost</c:v>
                </c:pt>
              </c:strCache>
            </c:strRef>
          </c:tx>
          <c:spPr>
            <a:solidFill>
              <a:schemeClr val="accent5">
                <a:lumMod val="60000"/>
              </a:schemeClr>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(Diesel)'!$B$190,'Railway (Diesel)'!$N$190,'Railway (Diesel)'!$AC$190)</c:f>
              <c:numCache>
                <c:formatCode>0.0000</c:formatCode>
                <c:ptCount val="3"/>
                <c:pt idx="0">
                  <c:v>9.1884435637488678E-4</c:v>
                </c:pt>
                <c:pt idx="1">
                  <c:v>1.2506967140363367E-3</c:v>
                </c:pt>
                <c:pt idx="2">
                  <c:v>3.1613789149904556E-3</c:v>
                </c:pt>
              </c:numCache>
            </c:numRef>
          </c:val>
          <c:extLst>
            <c:ext xmlns:c16="http://schemas.microsoft.com/office/drawing/2014/chart" uri="{C3380CC4-5D6E-409C-BE32-E72D297353CC}">
              <c16:uniqueId val="{00000000-5A87-4F96-965A-089588A003A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(Diesel)'!$A$11</c:f>
              <c:strCache>
                <c:ptCount val="1"/>
                <c:pt idx="0">
                  <c:v>Capex vehicle</c:v>
                </c:pt>
              </c:strCache>
            </c:strRef>
          </c:tx>
          <c:spPr>
            <a:ln w="28575" cap="rnd">
              <a:solidFill>
                <a:schemeClr val="accent1"/>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ACEF-4BE6-B6E8-A3BCD617CD0F}"/>
            </c:ext>
          </c:extLst>
        </c:ser>
        <c:ser>
          <c:idx val="13"/>
          <c:order val="1"/>
          <c:tx>
            <c:strRef>
              <c:f>'Railway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ACEF-4BE6-B6E8-A3BCD617CD0F}"/>
            </c:ext>
          </c:extLst>
        </c:ser>
        <c:ser>
          <c:idx val="1"/>
          <c:order val="2"/>
          <c:tx>
            <c:strRef>
              <c:f>'Railway (Diesel)'!$A$13</c:f>
              <c:strCache>
                <c:ptCount val="1"/>
                <c:pt idx="0">
                  <c:v>Capex costumization</c:v>
                </c:pt>
              </c:strCache>
            </c:strRef>
          </c:tx>
          <c:spPr>
            <a:ln w="28575" cap="rnd">
              <a:solidFill>
                <a:schemeClr val="accent2"/>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ACEF-4BE6-B6E8-A3BCD617CD0F}"/>
            </c:ext>
          </c:extLst>
        </c:ser>
        <c:ser>
          <c:idx val="14"/>
          <c:order val="3"/>
          <c:tx>
            <c:strRef>
              <c:f>'Railway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ACEF-4BE6-B6E8-A3BCD617CD0F}"/>
            </c:ext>
          </c:extLst>
        </c:ser>
        <c:ser>
          <c:idx val="2"/>
          <c:order val="4"/>
          <c:tx>
            <c:strRef>
              <c:f>'Railway (Diesel)'!$A$15</c:f>
              <c:strCache>
                <c:ptCount val="1"/>
                <c:pt idx="0">
                  <c:v>WACC</c:v>
                </c:pt>
              </c:strCache>
            </c:strRef>
          </c:tx>
          <c:spPr>
            <a:ln w="28575" cap="rnd">
              <a:solidFill>
                <a:schemeClr val="accent3"/>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ACEF-4BE6-B6E8-A3BCD617CD0F}"/>
            </c:ext>
          </c:extLst>
        </c:ser>
        <c:ser>
          <c:idx val="3"/>
          <c:order val="5"/>
          <c:tx>
            <c:strRef>
              <c:f>'Railway (Diesel)'!$A$16</c:f>
              <c:strCache>
                <c:ptCount val="1"/>
                <c:pt idx="0">
                  <c:v>Opex fix (admin, crew, insurance)</c:v>
                </c:pt>
              </c:strCache>
            </c:strRef>
          </c:tx>
          <c:spPr>
            <a:ln w="28575" cap="rnd">
              <a:solidFill>
                <a:schemeClr val="accent4"/>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ACEF-4BE6-B6E8-A3BCD617CD0F}"/>
            </c:ext>
          </c:extLst>
        </c:ser>
        <c:ser>
          <c:idx val="4"/>
          <c:order val="6"/>
          <c:tx>
            <c:strRef>
              <c:f>'Railway (Diesel)'!$A$18</c:f>
              <c:strCache>
                <c:ptCount val="1"/>
                <c:pt idx="0">
                  <c:v>Opex var (mode-fees, shunting)</c:v>
                </c:pt>
              </c:strCache>
            </c:strRef>
          </c:tx>
          <c:spPr>
            <a:ln w="28575" cap="rnd">
              <a:solidFill>
                <a:schemeClr val="accent5"/>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ACEF-4BE6-B6E8-A3BCD617CD0F}"/>
            </c:ext>
          </c:extLst>
        </c:ser>
        <c:ser>
          <c:idx val="5"/>
          <c:order val="7"/>
          <c:tx>
            <c:strRef>
              <c:f>'Railway (Diesel)'!$A$19</c:f>
              <c:strCache>
                <c:ptCount val="1"/>
                <c:pt idx="0">
                  <c:v>Fuel Economy</c:v>
                </c:pt>
              </c:strCache>
            </c:strRef>
          </c:tx>
          <c:spPr>
            <a:ln w="28575" cap="rnd">
              <a:solidFill>
                <a:schemeClr val="accent6"/>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ACEF-4BE6-B6E8-A3BCD617CD0F}"/>
            </c:ext>
          </c:extLst>
        </c:ser>
        <c:ser>
          <c:idx val="6"/>
          <c:order val="8"/>
          <c:tx>
            <c:strRef>
              <c:f>'Railway (Diesel)'!$A$20</c:f>
              <c:strCache>
                <c:ptCount val="1"/>
                <c:pt idx="0">
                  <c:v>Fuel Cost</c:v>
                </c:pt>
              </c:strCache>
            </c:strRef>
          </c:tx>
          <c:spPr>
            <a:ln w="28575" cap="rnd">
              <a:solidFill>
                <a:schemeClr val="accent1">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ACEF-4BE6-B6E8-A3BCD617CD0F}"/>
            </c:ext>
          </c:extLst>
        </c:ser>
        <c:ser>
          <c:idx val="7"/>
          <c:order val="9"/>
          <c:tx>
            <c:strRef>
              <c:f>'Railway (Diesel)'!$A$22</c:f>
              <c:strCache>
                <c:ptCount val="1"/>
                <c:pt idx="0">
                  <c:v>Lifetime vehicle</c:v>
                </c:pt>
              </c:strCache>
            </c:strRef>
          </c:tx>
          <c:spPr>
            <a:ln w="28575" cap="rnd">
              <a:solidFill>
                <a:schemeClr val="accent2">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ACEF-4BE6-B6E8-A3BCD617CD0F}"/>
            </c:ext>
          </c:extLst>
        </c:ser>
        <c:ser>
          <c:idx val="8"/>
          <c:order val="10"/>
          <c:tx>
            <c:strRef>
              <c:f>'Railway (Diesel)'!$A$23</c:f>
              <c:strCache>
                <c:ptCount val="1"/>
                <c:pt idx="0">
                  <c:v>Lifetime costumization</c:v>
                </c:pt>
              </c:strCache>
            </c:strRef>
          </c:tx>
          <c:spPr>
            <a:ln w="28575" cap="rnd">
              <a:solidFill>
                <a:schemeClr val="accent3">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ACEF-4BE6-B6E8-A3BCD617CD0F}"/>
            </c:ext>
          </c:extLst>
        </c:ser>
        <c:ser>
          <c:idx val="9"/>
          <c:order val="11"/>
          <c:tx>
            <c:strRef>
              <c:f>'Railway (Diesel)'!$A$24</c:f>
              <c:strCache>
                <c:ptCount val="1"/>
                <c:pt idx="0">
                  <c:v>Tonnage </c:v>
                </c:pt>
              </c:strCache>
            </c:strRef>
          </c:tx>
          <c:spPr>
            <a:ln w="28575" cap="rnd">
              <a:solidFill>
                <a:schemeClr val="accent4">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ACEF-4BE6-B6E8-A3BCD617CD0F}"/>
            </c:ext>
          </c:extLst>
        </c:ser>
        <c:ser>
          <c:idx val="10"/>
          <c:order val="12"/>
          <c:tx>
            <c:strRef>
              <c:f>'Railway (Diesel)'!$A$25</c:f>
              <c:strCache>
                <c:ptCount val="1"/>
                <c:pt idx="0">
                  <c:v>Market failure (av. utilization)</c:v>
                </c:pt>
              </c:strCache>
            </c:strRef>
          </c:tx>
          <c:spPr>
            <a:ln w="28575" cap="rnd">
              <a:solidFill>
                <a:schemeClr val="accent5">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ACEF-4BE6-B6E8-A3BCD617CD0F}"/>
            </c:ext>
          </c:extLst>
        </c:ser>
        <c:ser>
          <c:idx val="11"/>
          <c:order val="13"/>
          <c:tx>
            <c:strRef>
              <c:f>'Railway (Diesel)'!$A$27</c:f>
              <c:strCache>
                <c:ptCount val="1"/>
                <c:pt idx="0">
                  <c:v>Annual Mileage</c:v>
                </c:pt>
              </c:strCache>
            </c:strRef>
          </c:tx>
          <c:spPr>
            <a:ln w="28575" cap="rnd">
              <a:solidFill>
                <a:schemeClr val="accent6">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ACEF-4BE6-B6E8-A3BCD617CD0F}"/>
            </c:ext>
          </c:extLst>
        </c:ser>
        <c:ser>
          <c:idx val="12"/>
          <c:order val="14"/>
          <c:tx>
            <c:strRef>
              <c:f>'Railway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ACEF-4BE6-B6E8-A3BCD617CD0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(Diesel)'!$A$74</c:f>
              <c:strCache>
                <c:ptCount val="1"/>
                <c:pt idx="0">
                  <c:v>Capex vehicle</c:v>
                </c:pt>
              </c:strCache>
            </c:strRef>
          </c:tx>
          <c:spPr>
            <a:solidFill>
              <a:schemeClr val="accent1"/>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(Diesel)'!$B$74,'Railway (Diesel)'!$N$74,'Railway (Diesel)'!$AC$74)</c:f>
              <c:numCache>
                <c:formatCode>0.00</c:formatCode>
                <c:ptCount val="3"/>
                <c:pt idx="0">
                  <c:v>7.6317014160409149E-4</c:v>
                </c:pt>
                <c:pt idx="1">
                  <c:v>7.6317014160409149E-4</c:v>
                </c:pt>
                <c:pt idx="2">
                  <c:v>7.6317014160409149E-4</c:v>
                </c:pt>
              </c:numCache>
            </c:numRef>
          </c:val>
          <c:extLst>
            <c:ext xmlns:c16="http://schemas.microsoft.com/office/drawing/2014/chart" uri="{C3380CC4-5D6E-409C-BE32-E72D297353CC}">
              <c16:uniqueId val="{00000000-B32D-4932-AD84-D402DC9C98FE}"/>
            </c:ext>
          </c:extLst>
        </c:ser>
        <c:ser>
          <c:idx val="1"/>
          <c:order val="1"/>
          <c:tx>
            <c:strRef>
              <c:f>'Railway (Diesel)'!$A$75</c:f>
              <c:strCache>
                <c:ptCount val="1"/>
                <c:pt idx="0">
                  <c:v>Residual value (vehicle)</c:v>
                </c:pt>
              </c:strCache>
            </c:strRef>
          </c:tx>
          <c:spPr>
            <a:solidFill>
              <a:schemeClr val="accent2"/>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(Diesel)'!$B$75,'Railway (Diesel)'!$N$75,'Railway (Diesel)'!$AC$75)</c:f>
              <c:numCache>
                <c:formatCode>0.000</c:formatCode>
                <c:ptCount val="3"/>
                <c:pt idx="0">
                  <c:v>-1.1346797345547289E-4</c:v>
                </c:pt>
                <c:pt idx="1">
                  <c:v>-7.357824598204721E-5</c:v>
                </c:pt>
                <c:pt idx="2">
                  <c:v>-3.832836099071531E-5</c:v>
                </c:pt>
              </c:numCache>
            </c:numRef>
          </c:val>
          <c:extLst>
            <c:ext xmlns:c16="http://schemas.microsoft.com/office/drawing/2014/chart" uri="{C3380CC4-5D6E-409C-BE32-E72D297353CC}">
              <c16:uniqueId val="{00000001-B32D-4932-AD84-D402DC9C98FE}"/>
            </c:ext>
          </c:extLst>
        </c:ser>
        <c:ser>
          <c:idx val="2"/>
          <c:order val="2"/>
          <c:tx>
            <c:strRef>
              <c:f>'Railway (Diesel)'!$A$76</c:f>
              <c:strCache>
                <c:ptCount val="1"/>
                <c:pt idx="0">
                  <c:v>Capex costumization</c:v>
                </c:pt>
              </c:strCache>
            </c:strRef>
          </c:tx>
          <c:spPr>
            <a:solidFill>
              <a:schemeClr val="accent3"/>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(Diesel)'!$B$76,'Railway (Diesel)'!$N$76,'Railway (Diesel)'!$AC$76)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B32D-4932-AD84-D402DC9C98FE}"/>
            </c:ext>
          </c:extLst>
        </c:ser>
        <c:ser>
          <c:idx val="3"/>
          <c:order val="3"/>
          <c:tx>
            <c:strRef>
              <c:f>'Railway (Diesel)'!$A$77</c:f>
              <c:strCache>
                <c:ptCount val="1"/>
                <c:pt idx="0">
                  <c:v>Residual value (costumization)</c:v>
                </c:pt>
              </c:strCache>
            </c:strRef>
          </c:tx>
          <c:spPr>
            <a:solidFill>
              <a:schemeClr val="accent4"/>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(Diesel)'!$B$77,'Railway (Diesel)'!$N$77,'Railway (Diesel)'!$AC$77)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B32D-4932-AD84-D402DC9C98FE}"/>
            </c:ext>
          </c:extLst>
        </c:ser>
        <c:ser>
          <c:idx val="4"/>
          <c:order val="4"/>
          <c:tx>
            <c:strRef>
              <c:f>'Railway (Diesel)'!$A$78</c:f>
              <c:strCache>
                <c:ptCount val="1"/>
                <c:pt idx="0">
                  <c:v>Opex fix (admin, crew, insurance)</c:v>
                </c:pt>
              </c:strCache>
            </c:strRef>
          </c:tx>
          <c:spPr>
            <a:solidFill>
              <a:schemeClr val="accent5"/>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(Diesel)'!$B$78,'Railway (Diesel)'!$N$78,'Railway (Diesel)'!$AC$78)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B32D-4932-AD84-D402DC9C98FE}"/>
            </c:ext>
          </c:extLst>
        </c:ser>
        <c:ser>
          <c:idx val="5"/>
          <c:order val="5"/>
          <c:tx>
            <c:strRef>
              <c:f>'Railway (Diesel)'!$A$79</c:f>
              <c:strCache>
                <c:ptCount val="1"/>
                <c:pt idx="0">
                  <c:v>Opex maintenance &amp; repair</c:v>
                </c:pt>
              </c:strCache>
            </c:strRef>
          </c:tx>
          <c:spPr>
            <a:solidFill>
              <a:schemeClr val="accent6"/>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(Diesel)'!$B$79,'Railway (Diesel)'!$N$79,'Railway (Diesel)'!$AC$79)</c:f>
              <c:numCache>
                <c:formatCode>0.00</c:formatCode>
                <c:ptCount val="3"/>
                <c:pt idx="0">
                  <c:v>2.6260504201680674E-3</c:v>
                </c:pt>
                <c:pt idx="1">
                  <c:v>2.6260504201680674E-3</c:v>
                </c:pt>
                <c:pt idx="2">
                  <c:v>2.6260504201680674E-3</c:v>
                </c:pt>
              </c:numCache>
            </c:numRef>
          </c:val>
          <c:extLst>
            <c:ext xmlns:c16="http://schemas.microsoft.com/office/drawing/2014/chart" uri="{C3380CC4-5D6E-409C-BE32-E72D297353CC}">
              <c16:uniqueId val="{00000005-B32D-4932-AD84-D402DC9C98FE}"/>
            </c:ext>
          </c:extLst>
        </c:ser>
        <c:ser>
          <c:idx val="6"/>
          <c:order val="6"/>
          <c:tx>
            <c:strRef>
              <c:f>'Railway (Diesel)'!$A$80</c:f>
              <c:strCache>
                <c:ptCount val="1"/>
                <c:pt idx="0">
                  <c:v>Opex var (mode-fees, shunting)</c:v>
                </c:pt>
              </c:strCache>
            </c:strRef>
          </c:tx>
          <c:spPr>
            <a:solidFill>
              <a:schemeClr val="accent1">
                <a:lumMod val="60000"/>
              </a:schemeClr>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(Diesel)'!$B$80,'Railway (Diesel)'!$N$80,'Railway (Diesel)'!$AC$80)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B32D-4932-AD84-D402DC9C98FE}"/>
            </c:ext>
          </c:extLst>
        </c:ser>
        <c:ser>
          <c:idx val="7"/>
          <c:order val="7"/>
          <c:tx>
            <c:strRef>
              <c:f>'Railway (Diesel)'!$A$81</c:f>
              <c:strCache>
                <c:ptCount val="1"/>
                <c:pt idx="0">
                  <c:v>Fuel Cost</c:v>
                </c:pt>
              </c:strCache>
            </c:strRef>
          </c:tx>
          <c:spPr>
            <a:solidFill>
              <a:schemeClr val="accent2">
                <a:lumMod val="60000"/>
              </a:schemeClr>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(Diesel)'!$B$81,'Railway (Diesel)'!$N$81,'Railway (Diesel)'!$AC$81)</c:f>
              <c:numCache>
                <c:formatCode>0.00</c:formatCode>
                <c:ptCount val="3"/>
                <c:pt idx="0">
                  <c:v>3.4275714285714283E-3</c:v>
                </c:pt>
                <c:pt idx="1">
                  <c:v>3.4275714285714283E-3</c:v>
                </c:pt>
                <c:pt idx="2">
                  <c:v>3.4275714285714283E-3</c:v>
                </c:pt>
              </c:numCache>
            </c:numRef>
          </c:val>
          <c:extLst>
            <c:ext xmlns:c16="http://schemas.microsoft.com/office/drawing/2014/chart" uri="{C3380CC4-5D6E-409C-BE32-E72D297353CC}">
              <c16:uniqueId val="{00000007-B32D-4932-AD84-D402DC9C98FE}"/>
            </c:ext>
          </c:extLst>
        </c:ser>
        <c:ser>
          <c:idx val="8"/>
          <c:order val="8"/>
          <c:tx>
            <c:strRef>
              <c:f>'Railway (Diesel)'!$A$82</c:f>
              <c:strCache>
                <c:ptCount val="1"/>
                <c:pt idx="0">
                  <c:v>Market failure (av. utilization)</c:v>
                </c:pt>
              </c:strCache>
            </c:strRef>
          </c:tx>
          <c:spPr>
            <a:solidFill>
              <a:schemeClr val="accent3">
                <a:lumMod val="60000"/>
              </a:schemeClr>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(Diesel)'!$B$82,'Railway (Diesel)'!$N$82,'Railway (Diesel)'!$AC$82)</c:f>
              <c:numCache>
                <c:formatCode>0.00</c:formatCode>
                <c:ptCount val="3"/>
                <c:pt idx="0">
                  <c:v>6.6373839408152731E-3</c:v>
                </c:pt>
                <c:pt idx="1">
                  <c:v>6.8464888637036411E-3</c:v>
                </c:pt>
                <c:pt idx="2">
                  <c:v>7.9410756620479587E-3</c:v>
                </c:pt>
              </c:numCache>
            </c:numRef>
          </c:val>
          <c:extLst>
            <c:ext xmlns:c16="http://schemas.microsoft.com/office/drawing/2014/chart" uri="{C3380CC4-5D6E-409C-BE32-E72D297353CC}">
              <c16:uniqueId val="{00000008-B32D-4932-AD84-D402DC9C98FE}"/>
            </c:ext>
          </c:extLst>
        </c:ser>
        <c:ser>
          <c:idx val="9"/>
          <c:order val="9"/>
          <c:tx>
            <c:strRef>
              <c:f>'Railway (Diesel)'!$A$83</c:f>
              <c:strCache>
                <c:ptCount val="1"/>
                <c:pt idx="0">
                  <c:v>Payload loss (fuel)</c:v>
                </c:pt>
              </c:strCache>
            </c:strRef>
          </c:tx>
          <c:spPr>
            <a:solidFill>
              <a:schemeClr val="accent4">
                <a:lumMod val="60000"/>
              </a:schemeClr>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(Diesel)'!$B$83,'Railway (Diesel)'!$N$83,'Railway (Diesel)'!$AC$83)</c:f>
              <c:numCache>
                <c:formatCode>0.00</c:formatCode>
                <c:ptCount val="3"/>
                <c:pt idx="0">
                  <c:v>0</c:v>
                </c:pt>
                <c:pt idx="1">
                  <c:v>0</c:v>
                </c:pt>
                <c:pt idx="2">
                  <c:v>0</c:v>
                </c:pt>
              </c:numCache>
            </c:numRef>
          </c:val>
          <c:extLst>
            <c:ext xmlns:c16="http://schemas.microsoft.com/office/drawing/2014/chart" uri="{C3380CC4-5D6E-409C-BE32-E72D297353CC}">
              <c16:uniqueId val="{00000009-B32D-4932-AD84-D402DC9C98FE}"/>
            </c:ext>
          </c:extLst>
        </c:ser>
        <c:ser>
          <c:idx val="10"/>
          <c:order val="10"/>
          <c:tx>
            <c:strRef>
              <c:f>'Railway (Diesel)'!$A$298</c:f>
              <c:strCache>
                <c:ptCount val="1"/>
                <c:pt idx="0">
                  <c:v>Emission Cost</c:v>
                </c:pt>
              </c:strCache>
            </c:strRef>
          </c:tx>
          <c:spPr>
            <a:solidFill>
              <a:schemeClr val="accent5">
                <a:lumMod val="60000"/>
              </a:schemeClr>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(Diesel)'!$B$298,'Railway (Diesel)'!$N$298,'Railway (Diesel)'!$AC$298)</c:f>
              <c:numCache>
                <c:formatCode>0.00</c:formatCode>
                <c:ptCount val="3"/>
                <c:pt idx="0">
                  <c:v>9.1884435637488678E-4</c:v>
                </c:pt>
                <c:pt idx="1">
                  <c:v>1.2506967140363367E-3</c:v>
                </c:pt>
                <c:pt idx="2">
                  <c:v>3.1613789149904556E-3</c:v>
                </c:pt>
              </c:numCache>
            </c:numRef>
          </c:val>
          <c:extLst>
            <c:ext xmlns:c16="http://schemas.microsoft.com/office/drawing/2014/chart" uri="{C3380CC4-5D6E-409C-BE32-E72D297353CC}">
              <c16:uniqueId val="{00000000-8ADF-4F5F-8066-0D623869C7A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(Diesel)'!$A$11</c:f>
              <c:strCache>
                <c:ptCount val="1"/>
                <c:pt idx="0">
                  <c:v>Capex vehicle</c:v>
                </c:pt>
              </c:strCache>
            </c:strRef>
          </c:tx>
          <c:spPr>
            <a:ln w="28575" cap="rnd">
              <a:solidFill>
                <a:schemeClr val="accent1"/>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3A3E-4952-9F92-E58B8F03017B}"/>
            </c:ext>
          </c:extLst>
        </c:ser>
        <c:ser>
          <c:idx val="13"/>
          <c:order val="1"/>
          <c:tx>
            <c:strRef>
              <c:f>'Railway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3A3E-4952-9F92-E58B8F03017B}"/>
            </c:ext>
          </c:extLst>
        </c:ser>
        <c:ser>
          <c:idx val="1"/>
          <c:order val="2"/>
          <c:tx>
            <c:strRef>
              <c:f>'Railway (Diesel)'!$A$13</c:f>
              <c:strCache>
                <c:ptCount val="1"/>
                <c:pt idx="0">
                  <c:v>Capex costumization</c:v>
                </c:pt>
              </c:strCache>
            </c:strRef>
          </c:tx>
          <c:spPr>
            <a:ln w="28575" cap="rnd">
              <a:solidFill>
                <a:schemeClr val="accent2"/>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3A3E-4952-9F92-E58B8F03017B}"/>
            </c:ext>
          </c:extLst>
        </c:ser>
        <c:ser>
          <c:idx val="14"/>
          <c:order val="3"/>
          <c:tx>
            <c:strRef>
              <c:f>'Railway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3A3E-4952-9F92-E58B8F03017B}"/>
            </c:ext>
          </c:extLst>
        </c:ser>
        <c:ser>
          <c:idx val="2"/>
          <c:order val="4"/>
          <c:tx>
            <c:strRef>
              <c:f>'Railway (Diesel)'!$A$15</c:f>
              <c:strCache>
                <c:ptCount val="1"/>
                <c:pt idx="0">
                  <c:v>WACC</c:v>
                </c:pt>
              </c:strCache>
            </c:strRef>
          </c:tx>
          <c:spPr>
            <a:ln w="28575" cap="rnd">
              <a:solidFill>
                <a:schemeClr val="accent3"/>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3A3E-4952-9F92-E58B8F03017B}"/>
            </c:ext>
          </c:extLst>
        </c:ser>
        <c:ser>
          <c:idx val="3"/>
          <c:order val="5"/>
          <c:tx>
            <c:strRef>
              <c:f>'Railway (Diesel)'!$A$16</c:f>
              <c:strCache>
                <c:ptCount val="1"/>
                <c:pt idx="0">
                  <c:v>Opex fix (admin, crew, insurance)</c:v>
                </c:pt>
              </c:strCache>
            </c:strRef>
          </c:tx>
          <c:spPr>
            <a:ln w="28575" cap="rnd">
              <a:solidFill>
                <a:schemeClr val="accent4"/>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3A3E-4952-9F92-E58B8F03017B}"/>
            </c:ext>
          </c:extLst>
        </c:ser>
        <c:ser>
          <c:idx val="4"/>
          <c:order val="6"/>
          <c:tx>
            <c:strRef>
              <c:f>'Railway (Diesel)'!$A$18</c:f>
              <c:strCache>
                <c:ptCount val="1"/>
                <c:pt idx="0">
                  <c:v>Opex var (mode-fees, shunting)</c:v>
                </c:pt>
              </c:strCache>
            </c:strRef>
          </c:tx>
          <c:spPr>
            <a:ln w="28575" cap="rnd">
              <a:solidFill>
                <a:schemeClr val="accent5"/>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3A3E-4952-9F92-E58B8F03017B}"/>
            </c:ext>
          </c:extLst>
        </c:ser>
        <c:ser>
          <c:idx val="5"/>
          <c:order val="7"/>
          <c:tx>
            <c:strRef>
              <c:f>'Railway (Diesel)'!$A$19</c:f>
              <c:strCache>
                <c:ptCount val="1"/>
                <c:pt idx="0">
                  <c:v>Fuel Economy</c:v>
                </c:pt>
              </c:strCache>
            </c:strRef>
          </c:tx>
          <c:spPr>
            <a:ln w="28575" cap="rnd">
              <a:solidFill>
                <a:schemeClr val="accent6"/>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3A3E-4952-9F92-E58B8F03017B}"/>
            </c:ext>
          </c:extLst>
        </c:ser>
        <c:ser>
          <c:idx val="6"/>
          <c:order val="8"/>
          <c:tx>
            <c:strRef>
              <c:f>'Railway (Diesel)'!$A$20</c:f>
              <c:strCache>
                <c:ptCount val="1"/>
                <c:pt idx="0">
                  <c:v>Fuel Cost</c:v>
                </c:pt>
              </c:strCache>
            </c:strRef>
          </c:tx>
          <c:spPr>
            <a:ln w="28575" cap="rnd">
              <a:solidFill>
                <a:schemeClr val="accent1">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3A3E-4952-9F92-E58B8F03017B}"/>
            </c:ext>
          </c:extLst>
        </c:ser>
        <c:ser>
          <c:idx val="7"/>
          <c:order val="9"/>
          <c:tx>
            <c:strRef>
              <c:f>'Railway (Diesel)'!$A$22</c:f>
              <c:strCache>
                <c:ptCount val="1"/>
                <c:pt idx="0">
                  <c:v>Lifetime vehicle</c:v>
                </c:pt>
              </c:strCache>
            </c:strRef>
          </c:tx>
          <c:spPr>
            <a:ln w="28575" cap="rnd">
              <a:solidFill>
                <a:schemeClr val="accent2">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3A3E-4952-9F92-E58B8F03017B}"/>
            </c:ext>
          </c:extLst>
        </c:ser>
        <c:ser>
          <c:idx val="8"/>
          <c:order val="10"/>
          <c:tx>
            <c:strRef>
              <c:f>'Railway (Diesel)'!$A$23</c:f>
              <c:strCache>
                <c:ptCount val="1"/>
                <c:pt idx="0">
                  <c:v>Lifetime costumization</c:v>
                </c:pt>
              </c:strCache>
            </c:strRef>
          </c:tx>
          <c:spPr>
            <a:ln w="28575" cap="rnd">
              <a:solidFill>
                <a:schemeClr val="accent3">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3A3E-4952-9F92-E58B8F03017B}"/>
            </c:ext>
          </c:extLst>
        </c:ser>
        <c:ser>
          <c:idx val="9"/>
          <c:order val="11"/>
          <c:tx>
            <c:strRef>
              <c:f>'Railway (Diesel)'!$A$24</c:f>
              <c:strCache>
                <c:ptCount val="1"/>
                <c:pt idx="0">
                  <c:v>Tonnage </c:v>
                </c:pt>
              </c:strCache>
            </c:strRef>
          </c:tx>
          <c:spPr>
            <a:ln w="28575" cap="rnd">
              <a:solidFill>
                <a:schemeClr val="accent4">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3A3E-4952-9F92-E58B8F03017B}"/>
            </c:ext>
          </c:extLst>
        </c:ser>
        <c:ser>
          <c:idx val="10"/>
          <c:order val="12"/>
          <c:tx>
            <c:strRef>
              <c:f>'Railway (Diesel)'!$A$25</c:f>
              <c:strCache>
                <c:ptCount val="1"/>
                <c:pt idx="0">
                  <c:v>Market failure (av. utilization)</c:v>
                </c:pt>
              </c:strCache>
            </c:strRef>
          </c:tx>
          <c:spPr>
            <a:ln w="28575" cap="rnd">
              <a:solidFill>
                <a:schemeClr val="accent5">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3A3E-4952-9F92-E58B8F03017B}"/>
            </c:ext>
          </c:extLst>
        </c:ser>
        <c:ser>
          <c:idx val="11"/>
          <c:order val="13"/>
          <c:tx>
            <c:strRef>
              <c:f>'Railway (Diesel)'!$A$27</c:f>
              <c:strCache>
                <c:ptCount val="1"/>
                <c:pt idx="0">
                  <c:v>Annual Mileage</c:v>
                </c:pt>
              </c:strCache>
            </c:strRef>
          </c:tx>
          <c:spPr>
            <a:ln w="28575" cap="rnd">
              <a:solidFill>
                <a:schemeClr val="accent6">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3A3E-4952-9F92-E58B8F03017B}"/>
            </c:ext>
          </c:extLst>
        </c:ser>
        <c:ser>
          <c:idx val="12"/>
          <c:order val="14"/>
          <c:tx>
            <c:strRef>
              <c:f>'Railway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3A3E-4952-9F92-E58B8F03017B}"/>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(Diesel)'!$A$74</c:f>
              <c:strCache>
                <c:ptCount val="1"/>
                <c:pt idx="0">
                  <c:v>Capex vehicle</c:v>
                </c:pt>
              </c:strCache>
            </c:strRef>
          </c:tx>
          <c:spPr>
            <a:solidFill>
              <a:schemeClr val="accent1"/>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(Diesel)'!$B$74,'Railway (Diesel)'!$N$74,'Railway (Diesel)'!$AC$74)</c:f>
              <c:numCache>
                <c:formatCode>0.00</c:formatCode>
                <c:ptCount val="3"/>
                <c:pt idx="0">
                  <c:v>7.6317014160409149E-4</c:v>
                </c:pt>
                <c:pt idx="1">
                  <c:v>7.6317014160409149E-4</c:v>
                </c:pt>
                <c:pt idx="2">
                  <c:v>7.6317014160409149E-4</c:v>
                </c:pt>
              </c:numCache>
            </c:numRef>
          </c:val>
          <c:extLst>
            <c:ext xmlns:c16="http://schemas.microsoft.com/office/drawing/2014/chart" uri="{C3380CC4-5D6E-409C-BE32-E72D297353CC}">
              <c16:uniqueId val="{00000000-AADA-43C0-82D4-1B53BE3A7604}"/>
            </c:ext>
          </c:extLst>
        </c:ser>
        <c:ser>
          <c:idx val="1"/>
          <c:order val="1"/>
          <c:tx>
            <c:strRef>
              <c:f>'Railway (Diesel)'!$A$75</c:f>
              <c:strCache>
                <c:ptCount val="1"/>
                <c:pt idx="0">
                  <c:v>Residual value (vehicle)</c:v>
                </c:pt>
              </c:strCache>
            </c:strRef>
          </c:tx>
          <c:spPr>
            <a:solidFill>
              <a:schemeClr val="accent2"/>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(Diesel)'!$B$75,'Railway (Diesel)'!$N$75,'Railway (Diesel)'!$AC$75)</c:f>
              <c:numCache>
                <c:formatCode>0.000</c:formatCode>
                <c:ptCount val="3"/>
                <c:pt idx="0">
                  <c:v>-1.1346797345547289E-4</c:v>
                </c:pt>
                <c:pt idx="1">
                  <c:v>-7.357824598204721E-5</c:v>
                </c:pt>
                <c:pt idx="2">
                  <c:v>-3.832836099071531E-5</c:v>
                </c:pt>
              </c:numCache>
            </c:numRef>
          </c:val>
          <c:extLst>
            <c:ext xmlns:c16="http://schemas.microsoft.com/office/drawing/2014/chart" uri="{C3380CC4-5D6E-409C-BE32-E72D297353CC}">
              <c16:uniqueId val="{00000001-AADA-43C0-82D4-1B53BE3A7604}"/>
            </c:ext>
          </c:extLst>
        </c:ser>
        <c:ser>
          <c:idx val="2"/>
          <c:order val="2"/>
          <c:tx>
            <c:strRef>
              <c:f>'Railway (Diesel)'!$A$76</c:f>
              <c:strCache>
                <c:ptCount val="1"/>
                <c:pt idx="0">
                  <c:v>Capex costumization</c:v>
                </c:pt>
              </c:strCache>
            </c:strRef>
          </c:tx>
          <c:spPr>
            <a:solidFill>
              <a:schemeClr val="accent3"/>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(Diesel)'!$B$76,'Railway (Diesel)'!$N$76,'Railway (Diesel)'!$AC$76)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AADA-43C0-82D4-1B53BE3A7604}"/>
            </c:ext>
          </c:extLst>
        </c:ser>
        <c:ser>
          <c:idx val="3"/>
          <c:order val="3"/>
          <c:tx>
            <c:strRef>
              <c:f>'Railway (Diesel)'!$A$77</c:f>
              <c:strCache>
                <c:ptCount val="1"/>
                <c:pt idx="0">
                  <c:v>Residual value (costumization)</c:v>
                </c:pt>
              </c:strCache>
            </c:strRef>
          </c:tx>
          <c:spPr>
            <a:solidFill>
              <a:schemeClr val="accent4"/>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(Diesel)'!$B$77,'Railway (Diesel)'!$N$77,'Railway (Diesel)'!$AC$77)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AADA-43C0-82D4-1B53BE3A7604}"/>
            </c:ext>
          </c:extLst>
        </c:ser>
        <c:ser>
          <c:idx val="4"/>
          <c:order val="4"/>
          <c:tx>
            <c:strRef>
              <c:f>'Railway (Diesel)'!$A$78</c:f>
              <c:strCache>
                <c:ptCount val="1"/>
                <c:pt idx="0">
                  <c:v>Opex fix (admin, crew, insurance)</c:v>
                </c:pt>
              </c:strCache>
            </c:strRef>
          </c:tx>
          <c:spPr>
            <a:solidFill>
              <a:schemeClr val="accent5"/>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(Diesel)'!$B$78,'Railway (Diesel)'!$N$78,'Railway (Diesel)'!$AC$78)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AADA-43C0-82D4-1B53BE3A7604}"/>
            </c:ext>
          </c:extLst>
        </c:ser>
        <c:ser>
          <c:idx val="5"/>
          <c:order val="5"/>
          <c:tx>
            <c:strRef>
              <c:f>'Railway (Diesel)'!$A$79</c:f>
              <c:strCache>
                <c:ptCount val="1"/>
                <c:pt idx="0">
                  <c:v>Opex maintenance &amp; repair</c:v>
                </c:pt>
              </c:strCache>
            </c:strRef>
          </c:tx>
          <c:spPr>
            <a:solidFill>
              <a:schemeClr val="accent6"/>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(Diesel)'!$B$79,'Railway (Diesel)'!$N$79,'Railway (Diesel)'!$AC$79)</c:f>
              <c:numCache>
                <c:formatCode>0.00</c:formatCode>
                <c:ptCount val="3"/>
                <c:pt idx="0">
                  <c:v>2.6260504201680674E-3</c:v>
                </c:pt>
                <c:pt idx="1">
                  <c:v>2.6260504201680674E-3</c:v>
                </c:pt>
                <c:pt idx="2">
                  <c:v>2.6260504201680674E-3</c:v>
                </c:pt>
              </c:numCache>
            </c:numRef>
          </c:val>
          <c:extLst>
            <c:ext xmlns:c16="http://schemas.microsoft.com/office/drawing/2014/chart" uri="{C3380CC4-5D6E-409C-BE32-E72D297353CC}">
              <c16:uniqueId val="{00000005-AADA-43C0-82D4-1B53BE3A7604}"/>
            </c:ext>
          </c:extLst>
        </c:ser>
        <c:ser>
          <c:idx val="6"/>
          <c:order val="6"/>
          <c:tx>
            <c:strRef>
              <c:f>'Railway (Diesel)'!$A$80</c:f>
              <c:strCache>
                <c:ptCount val="1"/>
                <c:pt idx="0">
                  <c:v>Opex var (mode-fees, shunting)</c:v>
                </c:pt>
              </c:strCache>
            </c:strRef>
          </c:tx>
          <c:spPr>
            <a:solidFill>
              <a:schemeClr val="accent1">
                <a:lumMod val="60000"/>
              </a:schemeClr>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(Diesel)'!$B$80,'Railway (Diesel)'!$N$80,'Railway (Diesel)'!$AC$80)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AADA-43C0-82D4-1B53BE3A7604}"/>
            </c:ext>
          </c:extLst>
        </c:ser>
        <c:ser>
          <c:idx val="7"/>
          <c:order val="7"/>
          <c:tx>
            <c:strRef>
              <c:f>'Railway (Diesel)'!$A$81</c:f>
              <c:strCache>
                <c:ptCount val="1"/>
                <c:pt idx="0">
                  <c:v>Fuel Cost</c:v>
                </c:pt>
              </c:strCache>
            </c:strRef>
          </c:tx>
          <c:spPr>
            <a:solidFill>
              <a:schemeClr val="accent2">
                <a:lumMod val="60000"/>
              </a:schemeClr>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(Diesel)'!$B$81,'Railway (Diesel)'!$N$81,'Railway (Diesel)'!$AC$81)</c:f>
              <c:numCache>
                <c:formatCode>0.00</c:formatCode>
                <c:ptCount val="3"/>
                <c:pt idx="0">
                  <c:v>3.4275714285714283E-3</c:v>
                </c:pt>
                <c:pt idx="1">
                  <c:v>3.4275714285714283E-3</c:v>
                </c:pt>
                <c:pt idx="2">
                  <c:v>3.4275714285714283E-3</c:v>
                </c:pt>
              </c:numCache>
            </c:numRef>
          </c:val>
          <c:extLst>
            <c:ext xmlns:c16="http://schemas.microsoft.com/office/drawing/2014/chart" uri="{C3380CC4-5D6E-409C-BE32-E72D297353CC}">
              <c16:uniqueId val="{00000007-AADA-43C0-82D4-1B53BE3A7604}"/>
            </c:ext>
          </c:extLst>
        </c:ser>
        <c:ser>
          <c:idx val="8"/>
          <c:order val="8"/>
          <c:tx>
            <c:strRef>
              <c:f>'Railway (Diesel)'!$A$82</c:f>
              <c:strCache>
                <c:ptCount val="1"/>
                <c:pt idx="0">
                  <c:v>Market failure (av. utilization)</c:v>
                </c:pt>
              </c:strCache>
            </c:strRef>
          </c:tx>
          <c:spPr>
            <a:solidFill>
              <a:schemeClr val="accent3">
                <a:lumMod val="60000"/>
              </a:schemeClr>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(Diesel)'!$B$82,'Railway (Diesel)'!$N$82,'Railway (Diesel)'!$AC$82)</c:f>
              <c:numCache>
                <c:formatCode>0.00</c:formatCode>
                <c:ptCount val="3"/>
                <c:pt idx="0">
                  <c:v>6.6373839408152731E-3</c:v>
                </c:pt>
                <c:pt idx="1">
                  <c:v>6.8464888637036411E-3</c:v>
                </c:pt>
                <c:pt idx="2">
                  <c:v>7.9410756620479587E-3</c:v>
                </c:pt>
              </c:numCache>
            </c:numRef>
          </c:val>
          <c:extLst>
            <c:ext xmlns:c16="http://schemas.microsoft.com/office/drawing/2014/chart" uri="{C3380CC4-5D6E-409C-BE32-E72D297353CC}">
              <c16:uniqueId val="{00000008-AADA-43C0-82D4-1B53BE3A7604}"/>
            </c:ext>
          </c:extLst>
        </c:ser>
        <c:ser>
          <c:idx val="9"/>
          <c:order val="9"/>
          <c:tx>
            <c:strRef>
              <c:f>'Railway (Diesel)'!$A$83</c:f>
              <c:strCache>
                <c:ptCount val="1"/>
                <c:pt idx="0">
                  <c:v>Payload loss (fuel)</c:v>
                </c:pt>
              </c:strCache>
            </c:strRef>
          </c:tx>
          <c:spPr>
            <a:solidFill>
              <a:schemeClr val="accent4">
                <a:lumMod val="60000"/>
              </a:schemeClr>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(Diesel)'!$B$83,'Railway (Diesel)'!$N$83,'Railway (Diesel)'!$AC$83)</c:f>
              <c:numCache>
                <c:formatCode>0.00</c:formatCode>
                <c:ptCount val="3"/>
                <c:pt idx="0">
                  <c:v>0</c:v>
                </c:pt>
                <c:pt idx="1">
                  <c:v>0</c:v>
                </c:pt>
                <c:pt idx="2">
                  <c:v>0</c:v>
                </c:pt>
              </c:numCache>
            </c:numRef>
          </c:val>
          <c:extLst>
            <c:ext xmlns:c16="http://schemas.microsoft.com/office/drawing/2014/chart" uri="{C3380CC4-5D6E-409C-BE32-E72D297353CC}">
              <c16:uniqueId val="{00000009-AADA-43C0-82D4-1B53BE3A7604}"/>
            </c:ext>
          </c:extLst>
        </c:ser>
        <c:ser>
          <c:idx val="10"/>
          <c:order val="10"/>
          <c:tx>
            <c:strRef>
              <c:f>'Railway (Diesel)'!$A$407</c:f>
              <c:strCache>
                <c:ptCount val="1"/>
                <c:pt idx="0">
                  <c:v>Emission Cost</c:v>
                </c:pt>
              </c:strCache>
            </c:strRef>
          </c:tx>
          <c:spPr>
            <a:solidFill>
              <a:schemeClr val="accent5">
                <a:lumMod val="60000"/>
              </a:schemeClr>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(Diesel)'!$B$407,'Railway (Diesel)'!$N$407,'Railway (Diesel)'!$AC$407)</c:f>
              <c:numCache>
                <c:formatCode>0.00</c:formatCode>
                <c:ptCount val="3"/>
                <c:pt idx="0">
                  <c:v>9.1884435637488678E-4</c:v>
                </c:pt>
                <c:pt idx="1">
                  <c:v>1.2506967140363367E-3</c:v>
                </c:pt>
                <c:pt idx="2">
                  <c:v>3.1613789149904556E-3</c:v>
                </c:pt>
              </c:numCache>
            </c:numRef>
          </c:val>
          <c:extLst>
            <c:ext xmlns:c16="http://schemas.microsoft.com/office/drawing/2014/chart" uri="{C3380CC4-5D6E-409C-BE32-E72D297353CC}">
              <c16:uniqueId val="{00000000-A1E2-4DBF-9C7D-089A215399B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(Diesel)'!$A$11</c:f>
              <c:strCache>
                <c:ptCount val="1"/>
                <c:pt idx="0">
                  <c:v>Capex vehicle</c:v>
                </c:pt>
              </c:strCache>
            </c:strRef>
          </c:tx>
          <c:spPr>
            <a:ln w="28575" cap="rnd">
              <a:solidFill>
                <a:schemeClr val="accent1"/>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7DD7-42D9-BBEA-193749D6F7E1}"/>
            </c:ext>
          </c:extLst>
        </c:ser>
        <c:ser>
          <c:idx val="13"/>
          <c:order val="1"/>
          <c:tx>
            <c:strRef>
              <c:f>'Railway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7DD7-42D9-BBEA-193749D6F7E1}"/>
            </c:ext>
          </c:extLst>
        </c:ser>
        <c:ser>
          <c:idx val="1"/>
          <c:order val="2"/>
          <c:tx>
            <c:strRef>
              <c:f>'Railway (Diesel)'!$A$13</c:f>
              <c:strCache>
                <c:ptCount val="1"/>
                <c:pt idx="0">
                  <c:v>Capex costumization</c:v>
                </c:pt>
              </c:strCache>
            </c:strRef>
          </c:tx>
          <c:spPr>
            <a:ln w="28575" cap="rnd">
              <a:solidFill>
                <a:schemeClr val="accent2"/>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7DD7-42D9-BBEA-193749D6F7E1}"/>
            </c:ext>
          </c:extLst>
        </c:ser>
        <c:ser>
          <c:idx val="14"/>
          <c:order val="3"/>
          <c:tx>
            <c:strRef>
              <c:f>'Railway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7DD7-42D9-BBEA-193749D6F7E1}"/>
            </c:ext>
          </c:extLst>
        </c:ser>
        <c:ser>
          <c:idx val="2"/>
          <c:order val="4"/>
          <c:tx>
            <c:strRef>
              <c:f>'Railway (Diesel)'!$A$15</c:f>
              <c:strCache>
                <c:ptCount val="1"/>
                <c:pt idx="0">
                  <c:v>WACC</c:v>
                </c:pt>
              </c:strCache>
            </c:strRef>
          </c:tx>
          <c:spPr>
            <a:ln w="28575" cap="rnd">
              <a:solidFill>
                <a:schemeClr val="accent3"/>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7DD7-42D9-BBEA-193749D6F7E1}"/>
            </c:ext>
          </c:extLst>
        </c:ser>
        <c:ser>
          <c:idx val="3"/>
          <c:order val="5"/>
          <c:tx>
            <c:strRef>
              <c:f>'Railway (Diesel)'!$A$16</c:f>
              <c:strCache>
                <c:ptCount val="1"/>
                <c:pt idx="0">
                  <c:v>Opex fix (admin, crew, insurance)</c:v>
                </c:pt>
              </c:strCache>
            </c:strRef>
          </c:tx>
          <c:spPr>
            <a:ln w="28575" cap="rnd">
              <a:solidFill>
                <a:schemeClr val="accent4"/>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7DD7-42D9-BBEA-193749D6F7E1}"/>
            </c:ext>
          </c:extLst>
        </c:ser>
        <c:ser>
          <c:idx val="4"/>
          <c:order val="6"/>
          <c:tx>
            <c:strRef>
              <c:f>'Railway (Diesel)'!$A$18</c:f>
              <c:strCache>
                <c:ptCount val="1"/>
                <c:pt idx="0">
                  <c:v>Opex var (mode-fees, shunting)</c:v>
                </c:pt>
              </c:strCache>
            </c:strRef>
          </c:tx>
          <c:spPr>
            <a:ln w="28575" cap="rnd">
              <a:solidFill>
                <a:schemeClr val="accent5"/>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7DD7-42D9-BBEA-193749D6F7E1}"/>
            </c:ext>
          </c:extLst>
        </c:ser>
        <c:ser>
          <c:idx val="5"/>
          <c:order val="7"/>
          <c:tx>
            <c:strRef>
              <c:f>'Railway (Diesel)'!$A$19</c:f>
              <c:strCache>
                <c:ptCount val="1"/>
                <c:pt idx="0">
                  <c:v>Fuel Economy</c:v>
                </c:pt>
              </c:strCache>
            </c:strRef>
          </c:tx>
          <c:spPr>
            <a:ln w="28575" cap="rnd">
              <a:solidFill>
                <a:schemeClr val="accent6"/>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7DD7-42D9-BBEA-193749D6F7E1}"/>
            </c:ext>
          </c:extLst>
        </c:ser>
        <c:ser>
          <c:idx val="6"/>
          <c:order val="8"/>
          <c:tx>
            <c:strRef>
              <c:f>'Railway (Diesel)'!$A$20</c:f>
              <c:strCache>
                <c:ptCount val="1"/>
                <c:pt idx="0">
                  <c:v>Fuel Cost</c:v>
                </c:pt>
              </c:strCache>
            </c:strRef>
          </c:tx>
          <c:spPr>
            <a:ln w="28575" cap="rnd">
              <a:solidFill>
                <a:schemeClr val="accent1">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7DD7-42D9-BBEA-193749D6F7E1}"/>
            </c:ext>
          </c:extLst>
        </c:ser>
        <c:ser>
          <c:idx val="7"/>
          <c:order val="9"/>
          <c:tx>
            <c:strRef>
              <c:f>'Railway (Diesel)'!$A$22</c:f>
              <c:strCache>
                <c:ptCount val="1"/>
                <c:pt idx="0">
                  <c:v>Lifetime vehicle</c:v>
                </c:pt>
              </c:strCache>
            </c:strRef>
          </c:tx>
          <c:spPr>
            <a:ln w="28575" cap="rnd">
              <a:solidFill>
                <a:schemeClr val="accent2">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7DD7-42D9-BBEA-193749D6F7E1}"/>
            </c:ext>
          </c:extLst>
        </c:ser>
        <c:ser>
          <c:idx val="8"/>
          <c:order val="10"/>
          <c:tx>
            <c:strRef>
              <c:f>'Railway (Diesel)'!$A$23</c:f>
              <c:strCache>
                <c:ptCount val="1"/>
                <c:pt idx="0">
                  <c:v>Lifetime costumization</c:v>
                </c:pt>
              </c:strCache>
            </c:strRef>
          </c:tx>
          <c:spPr>
            <a:ln w="28575" cap="rnd">
              <a:solidFill>
                <a:schemeClr val="accent3">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7DD7-42D9-BBEA-193749D6F7E1}"/>
            </c:ext>
          </c:extLst>
        </c:ser>
        <c:ser>
          <c:idx val="9"/>
          <c:order val="11"/>
          <c:tx>
            <c:strRef>
              <c:f>'Railway (Diesel)'!$A$24</c:f>
              <c:strCache>
                <c:ptCount val="1"/>
                <c:pt idx="0">
                  <c:v>Tonnage </c:v>
                </c:pt>
              </c:strCache>
            </c:strRef>
          </c:tx>
          <c:spPr>
            <a:ln w="28575" cap="rnd">
              <a:solidFill>
                <a:schemeClr val="accent4">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7DD7-42D9-BBEA-193749D6F7E1}"/>
            </c:ext>
          </c:extLst>
        </c:ser>
        <c:ser>
          <c:idx val="10"/>
          <c:order val="12"/>
          <c:tx>
            <c:strRef>
              <c:f>'Railway (Diesel)'!$A$25</c:f>
              <c:strCache>
                <c:ptCount val="1"/>
                <c:pt idx="0">
                  <c:v>Market failure (av. utilization)</c:v>
                </c:pt>
              </c:strCache>
            </c:strRef>
          </c:tx>
          <c:spPr>
            <a:ln w="28575" cap="rnd">
              <a:solidFill>
                <a:schemeClr val="accent5">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7DD7-42D9-BBEA-193749D6F7E1}"/>
            </c:ext>
          </c:extLst>
        </c:ser>
        <c:ser>
          <c:idx val="11"/>
          <c:order val="13"/>
          <c:tx>
            <c:strRef>
              <c:f>'Railway (Diesel)'!$A$27</c:f>
              <c:strCache>
                <c:ptCount val="1"/>
                <c:pt idx="0">
                  <c:v>Annual Mileage</c:v>
                </c:pt>
              </c:strCache>
            </c:strRef>
          </c:tx>
          <c:spPr>
            <a:ln w="28575" cap="rnd">
              <a:solidFill>
                <a:schemeClr val="accent6">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7DD7-42D9-BBEA-193749D6F7E1}"/>
            </c:ext>
          </c:extLst>
        </c:ser>
        <c:ser>
          <c:idx val="12"/>
          <c:order val="14"/>
          <c:tx>
            <c:strRef>
              <c:f>'Railway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7DD7-42D9-BBEA-193749D6F7E1}"/>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(Diesel)'!$A$74</c:f>
              <c:strCache>
                <c:ptCount val="1"/>
                <c:pt idx="0">
                  <c:v>Capex vehicle</c:v>
                </c:pt>
              </c:strCache>
            </c:strRef>
          </c:tx>
          <c:spPr>
            <a:solidFill>
              <a:schemeClr val="accent1"/>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(Diesel)'!$B$74,'Railway (Diesel)'!$N$74,'Railway (Diesel)'!$AC$74)</c:f>
              <c:numCache>
                <c:formatCode>0.00</c:formatCode>
                <c:ptCount val="3"/>
                <c:pt idx="0">
                  <c:v>7.6317014160409149E-4</c:v>
                </c:pt>
                <c:pt idx="1">
                  <c:v>7.6317014160409149E-4</c:v>
                </c:pt>
                <c:pt idx="2">
                  <c:v>7.6317014160409149E-4</c:v>
                </c:pt>
              </c:numCache>
            </c:numRef>
          </c:val>
          <c:extLst>
            <c:ext xmlns:c16="http://schemas.microsoft.com/office/drawing/2014/chart" uri="{C3380CC4-5D6E-409C-BE32-E72D297353CC}">
              <c16:uniqueId val="{00000000-60F4-4FC4-8487-C480768F644D}"/>
            </c:ext>
          </c:extLst>
        </c:ser>
        <c:ser>
          <c:idx val="1"/>
          <c:order val="1"/>
          <c:tx>
            <c:strRef>
              <c:f>'Railway (Diesel)'!$A$75</c:f>
              <c:strCache>
                <c:ptCount val="1"/>
                <c:pt idx="0">
                  <c:v>Residual value (vehicle)</c:v>
                </c:pt>
              </c:strCache>
            </c:strRef>
          </c:tx>
          <c:spPr>
            <a:solidFill>
              <a:schemeClr val="accent2"/>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(Diesel)'!$B$75,'Railway (Diesel)'!$N$75,'Railway (Diesel)'!$AC$75)</c:f>
              <c:numCache>
                <c:formatCode>0.000</c:formatCode>
                <c:ptCount val="3"/>
                <c:pt idx="0">
                  <c:v>-1.1346797345547289E-4</c:v>
                </c:pt>
                <c:pt idx="1">
                  <c:v>-7.357824598204721E-5</c:v>
                </c:pt>
                <c:pt idx="2">
                  <c:v>-3.832836099071531E-5</c:v>
                </c:pt>
              </c:numCache>
            </c:numRef>
          </c:val>
          <c:extLst>
            <c:ext xmlns:c16="http://schemas.microsoft.com/office/drawing/2014/chart" uri="{C3380CC4-5D6E-409C-BE32-E72D297353CC}">
              <c16:uniqueId val="{00000001-60F4-4FC4-8487-C480768F644D}"/>
            </c:ext>
          </c:extLst>
        </c:ser>
        <c:ser>
          <c:idx val="2"/>
          <c:order val="2"/>
          <c:tx>
            <c:strRef>
              <c:f>'Railway (Diesel)'!$A$76</c:f>
              <c:strCache>
                <c:ptCount val="1"/>
                <c:pt idx="0">
                  <c:v>Capex costumization</c:v>
                </c:pt>
              </c:strCache>
            </c:strRef>
          </c:tx>
          <c:spPr>
            <a:solidFill>
              <a:schemeClr val="accent3"/>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(Diesel)'!$B$76,'Railway (Diesel)'!$N$76,'Railway (Diesel)'!$AC$76)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60F4-4FC4-8487-C480768F644D}"/>
            </c:ext>
          </c:extLst>
        </c:ser>
        <c:ser>
          <c:idx val="3"/>
          <c:order val="3"/>
          <c:tx>
            <c:strRef>
              <c:f>'Railway (Diesel)'!$A$77</c:f>
              <c:strCache>
                <c:ptCount val="1"/>
                <c:pt idx="0">
                  <c:v>Residual value (costumization)</c:v>
                </c:pt>
              </c:strCache>
            </c:strRef>
          </c:tx>
          <c:spPr>
            <a:solidFill>
              <a:schemeClr val="accent4"/>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(Diesel)'!$B$77,'Railway (Diesel)'!$N$77,'Railway (Diesel)'!$AC$77)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60F4-4FC4-8487-C480768F644D}"/>
            </c:ext>
          </c:extLst>
        </c:ser>
        <c:ser>
          <c:idx val="4"/>
          <c:order val="4"/>
          <c:tx>
            <c:strRef>
              <c:f>'Railway (Diesel)'!$A$78</c:f>
              <c:strCache>
                <c:ptCount val="1"/>
                <c:pt idx="0">
                  <c:v>Opex fix (admin, crew, insurance)</c:v>
                </c:pt>
              </c:strCache>
            </c:strRef>
          </c:tx>
          <c:spPr>
            <a:solidFill>
              <a:schemeClr val="accent5"/>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(Diesel)'!$B$78,'Railway (Diesel)'!$N$78,'Railway (Diesel)'!$AC$78)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60F4-4FC4-8487-C480768F644D}"/>
            </c:ext>
          </c:extLst>
        </c:ser>
        <c:ser>
          <c:idx val="5"/>
          <c:order val="5"/>
          <c:tx>
            <c:strRef>
              <c:f>'Railway (Diesel)'!$A$79</c:f>
              <c:strCache>
                <c:ptCount val="1"/>
                <c:pt idx="0">
                  <c:v>Opex maintenance &amp; repair</c:v>
                </c:pt>
              </c:strCache>
            </c:strRef>
          </c:tx>
          <c:spPr>
            <a:solidFill>
              <a:schemeClr val="accent6"/>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(Diesel)'!$B$79,'Railway (Diesel)'!$N$79,'Railway (Diesel)'!$AC$79)</c:f>
              <c:numCache>
                <c:formatCode>0.00</c:formatCode>
                <c:ptCount val="3"/>
                <c:pt idx="0">
                  <c:v>2.6260504201680674E-3</c:v>
                </c:pt>
                <c:pt idx="1">
                  <c:v>2.6260504201680674E-3</c:v>
                </c:pt>
                <c:pt idx="2">
                  <c:v>2.6260504201680674E-3</c:v>
                </c:pt>
              </c:numCache>
            </c:numRef>
          </c:val>
          <c:extLst>
            <c:ext xmlns:c16="http://schemas.microsoft.com/office/drawing/2014/chart" uri="{C3380CC4-5D6E-409C-BE32-E72D297353CC}">
              <c16:uniqueId val="{00000005-60F4-4FC4-8487-C480768F644D}"/>
            </c:ext>
          </c:extLst>
        </c:ser>
        <c:ser>
          <c:idx val="6"/>
          <c:order val="6"/>
          <c:tx>
            <c:strRef>
              <c:f>'Railway (Diesel)'!$A$80</c:f>
              <c:strCache>
                <c:ptCount val="1"/>
                <c:pt idx="0">
                  <c:v>Opex var (mode-fees, shunting)</c:v>
                </c:pt>
              </c:strCache>
            </c:strRef>
          </c:tx>
          <c:spPr>
            <a:solidFill>
              <a:schemeClr val="accent1">
                <a:lumMod val="60000"/>
              </a:schemeClr>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(Diesel)'!$B$80,'Railway (Diesel)'!$N$80,'Railway (Diesel)'!$AC$80)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60F4-4FC4-8487-C480768F644D}"/>
            </c:ext>
          </c:extLst>
        </c:ser>
        <c:ser>
          <c:idx val="7"/>
          <c:order val="7"/>
          <c:tx>
            <c:strRef>
              <c:f>'Railway (Diesel)'!$A$81</c:f>
              <c:strCache>
                <c:ptCount val="1"/>
                <c:pt idx="0">
                  <c:v>Fuel Cost</c:v>
                </c:pt>
              </c:strCache>
            </c:strRef>
          </c:tx>
          <c:spPr>
            <a:solidFill>
              <a:schemeClr val="accent2">
                <a:lumMod val="60000"/>
              </a:schemeClr>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(Diesel)'!$B$81,'Railway (Diesel)'!$N$81,'Railway (Diesel)'!$AC$81)</c:f>
              <c:numCache>
                <c:formatCode>0.00</c:formatCode>
                <c:ptCount val="3"/>
                <c:pt idx="0">
                  <c:v>3.4275714285714283E-3</c:v>
                </c:pt>
                <c:pt idx="1">
                  <c:v>3.4275714285714283E-3</c:v>
                </c:pt>
                <c:pt idx="2">
                  <c:v>3.4275714285714283E-3</c:v>
                </c:pt>
              </c:numCache>
            </c:numRef>
          </c:val>
          <c:extLst>
            <c:ext xmlns:c16="http://schemas.microsoft.com/office/drawing/2014/chart" uri="{C3380CC4-5D6E-409C-BE32-E72D297353CC}">
              <c16:uniqueId val="{00000007-60F4-4FC4-8487-C480768F644D}"/>
            </c:ext>
          </c:extLst>
        </c:ser>
        <c:ser>
          <c:idx val="8"/>
          <c:order val="8"/>
          <c:tx>
            <c:strRef>
              <c:f>'Railway (Diesel)'!$A$82</c:f>
              <c:strCache>
                <c:ptCount val="1"/>
                <c:pt idx="0">
                  <c:v>Market failure (av. utilization)</c:v>
                </c:pt>
              </c:strCache>
            </c:strRef>
          </c:tx>
          <c:spPr>
            <a:solidFill>
              <a:schemeClr val="accent3">
                <a:lumMod val="60000"/>
              </a:schemeClr>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(Diesel)'!$B$82,'Railway (Diesel)'!$N$82,'Railway (Diesel)'!$AC$82)</c:f>
              <c:numCache>
                <c:formatCode>0.00</c:formatCode>
                <c:ptCount val="3"/>
                <c:pt idx="0">
                  <c:v>6.6373839408152731E-3</c:v>
                </c:pt>
                <c:pt idx="1">
                  <c:v>6.8464888637036411E-3</c:v>
                </c:pt>
                <c:pt idx="2">
                  <c:v>7.9410756620479587E-3</c:v>
                </c:pt>
              </c:numCache>
            </c:numRef>
          </c:val>
          <c:extLst>
            <c:ext xmlns:c16="http://schemas.microsoft.com/office/drawing/2014/chart" uri="{C3380CC4-5D6E-409C-BE32-E72D297353CC}">
              <c16:uniqueId val="{00000008-60F4-4FC4-8487-C480768F644D}"/>
            </c:ext>
          </c:extLst>
        </c:ser>
        <c:ser>
          <c:idx val="9"/>
          <c:order val="9"/>
          <c:tx>
            <c:strRef>
              <c:f>'Railway (Diesel)'!$A$83</c:f>
              <c:strCache>
                <c:ptCount val="1"/>
                <c:pt idx="0">
                  <c:v>Payload loss (fuel)</c:v>
                </c:pt>
              </c:strCache>
            </c:strRef>
          </c:tx>
          <c:spPr>
            <a:solidFill>
              <a:schemeClr val="accent4">
                <a:lumMod val="60000"/>
              </a:schemeClr>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(Diesel)'!$B$83,'Railway (Diesel)'!$N$83,'Railway (Diesel)'!$AC$83)</c:f>
              <c:numCache>
                <c:formatCode>0.00</c:formatCode>
                <c:ptCount val="3"/>
                <c:pt idx="0">
                  <c:v>0</c:v>
                </c:pt>
                <c:pt idx="1">
                  <c:v>0</c:v>
                </c:pt>
                <c:pt idx="2">
                  <c:v>0</c:v>
                </c:pt>
              </c:numCache>
            </c:numRef>
          </c:val>
          <c:extLst>
            <c:ext xmlns:c16="http://schemas.microsoft.com/office/drawing/2014/chart" uri="{C3380CC4-5D6E-409C-BE32-E72D297353CC}">
              <c16:uniqueId val="{00000009-60F4-4FC4-8487-C480768F644D}"/>
            </c:ext>
          </c:extLst>
        </c:ser>
        <c:ser>
          <c:idx val="10"/>
          <c:order val="10"/>
          <c:tx>
            <c:strRef>
              <c:f>'Railway (Diesel)'!$A$512</c:f>
              <c:strCache>
                <c:ptCount val="1"/>
                <c:pt idx="0">
                  <c:v>Emission Cost</c:v>
                </c:pt>
              </c:strCache>
            </c:strRef>
          </c:tx>
          <c:spPr>
            <a:solidFill>
              <a:schemeClr val="accent5">
                <a:lumMod val="60000"/>
              </a:schemeClr>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(Diesel)'!$B$512,'Railway (Diesel)'!$N$512,'Railway (Diesel)'!$AC$512)</c:f>
              <c:numCache>
                <c:formatCode>0.0000</c:formatCode>
                <c:ptCount val="3"/>
                <c:pt idx="0">
                  <c:v>7.3507548509990943E-4</c:v>
                </c:pt>
                <c:pt idx="1">
                  <c:v>1.0005573712290694E-3</c:v>
                </c:pt>
                <c:pt idx="2">
                  <c:v>2.5291031319923645E-3</c:v>
                </c:pt>
              </c:numCache>
            </c:numRef>
          </c:val>
          <c:extLst>
            <c:ext xmlns:c16="http://schemas.microsoft.com/office/drawing/2014/chart" uri="{C3380CC4-5D6E-409C-BE32-E72D297353CC}">
              <c16:uniqueId val="{00000000-35E0-4114-B663-415E1E6D03DA}"/>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(Catenary)'!$A$11</c:f>
              <c:strCache>
                <c:ptCount val="1"/>
                <c:pt idx="0">
                  <c:v>Capex vehicle</c:v>
                </c:pt>
              </c:strCache>
            </c:strRef>
          </c:tx>
          <c:spPr>
            <a:ln w="28575" cap="rnd">
              <a:solidFill>
                <a:schemeClr val="accent1"/>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21A3-4862-B22D-EDD7A388E5C6}"/>
            </c:ext>
          </c:extLst>
        </c:ser>
        <c:ser>
          <c:idx val="13"/>
          <c:order val="1"/>
          <c:tx>
            <c:strRef>
              <c:f>'Railway (Catenary)'!$A$12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(Catenary)'!$Q$12:$AR$12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21A3-4862-B22D-EDD7A388E5C6}"/>
            </c:ext>
          </c:extLst>
        </c:ser>
        <c:ser>
          <c:idx val="1"/>
          <c:order val="2"/>
          <c:tx>
            <c:strRef>
              <c:f>'Railway (Catenary)'!$A$13</c:f>
              <c:strCache>
                <c:ptCount val="1"/>
                <c:pt idx="0">
                  <c:v>Capex costumization</c:v>
                </c:pt>
              </c:strCache>
            </c:strRef>
          </c:tx>
          <c:spPr>
            <a:ln w="28575" cap="rnd">
              <a:solidFill>
                <a:schemeClr val="accent2"/>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1A3-4862-B22D-EDD7A388E5C6}"/>
            </c:ext>
          </c:extLst>
        </c:ser>
        <c:ser>
          <c:idx val="14"/>
          <c:order val="3"/>
          <c:tx>
            <c:strRef>
              <c:f>'Railway (Catenary)'!$A$14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(Catenary)'!$Q$14:$AR$14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1A3-4862-B22D-EDD7A388E5C6}"/>
            </c:ext>
          </c:extLst>
        </c:ser>
        <c:ser>
          <c:idx val="2"/>
          <c:order val="4"/>
          <c:tx>
            <c:strRef>
              <c:f>'Railway (Catenary)'!$A$15</c:f>
              <c:strCache>
                <c:ptCount val="1"/>
                <c:pt idx="0">
                  <c:v>WACC</c:v>
                </c:pt>
              </c:strCache>
            </c:strRef>
          </c:tx>
          <c:spPr>
            <a:ln w="28575" cap="rnd">
              <a:solidFill>
                <a:schemeClr val="accent3"/>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1A3-4862-B22D-EDD7A388E5C6}"/>
            </c:ext>
          </c:extLst>
        </c:ser>
        <c:ser>
          <c:idx val="3"/>
          <c:order val="5"/>
          <c:tx>
            <c:strRef>
              <c:f>'Railway (Catenary)'!$A$16</c:f>
              <c:strCache>
                <c:ptCount val="1"/>
                <c:pt idx="0">
                  <c:v>Opex fix (admin, crew, insurance)</c:v>
                </c:pt>
              </c:strCache>
            </c:strRef>
          </c:tx>
          <c:spPr>
            <a:ln w="28575" cap="rnd">
              <a:solidFill>
                <a:schemeClr val="accent4"/>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1A3-4862-B22D-EDD7A388E5C6}"/>
            </c:ext>
          </c:extLst>
        </c:ser>
        <c:ser>
          <c:idx val="4"/>
          <c:order val="6"/>
          <c:tx>
            <c:strRef>
              <c:f>'Railway (Catenary)'!$A$18</c:f>
              <c:strCache>
                <c:ptCount val="1"/>
                <c:pt idx="0">
                  <c:v>Opex var (mode-fees, shunting)</c:v>
                </c:pt>
              </c:strCache>
            </c:strRef>
          </c:tx>
          <c:spPr>
            <a:ln w="28575" cap="rnd">
              <a:solidFill>
                <a:schemeClr val="accent5"/>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1A3-4862-B22D-EDD7A388E5C6}"/>
            </c:ext>
          </c:extLst>
        </c:ser>
        <c:ser>
          <c:idx val="5"/>
          <c:order val="7"/>
          <c:tx>
            <c:strRef>
              <c:f>'Railway (Catenary)'!$A$19</c:f>
              <c:strCache>
                <c:ptCount val="1"/>
                <c:pt idx="0">
                  <c:v>Fuel Economy</c:v>
                </c:pt>
              </c:strCache>
            </c:strRef>
          </c:tx>
          <c:spPr>
            <a:ln w="28575" cap="rnd">
              <a:solidFill>
                <a:schemeClr val="accent6"/>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21A3-4862-B22D-EDD7A388E5C6}"/>
            </c:ext>
          </c:extLst>
        </c:ser>
        <c:ser>
          <c:idx val="6"/>
          <c:order val="8"/>
          <c:tx>
            <c:strRef>
              <c:f>'Railway (Catenary)'!$A$20</c:f>
              <c:strCache>
                <c:ptCount val="1"/>
                <c:pt idx="0">
                  <c:v>Fuel Cost</c:v>
                </c:pt>
              </c:strCache>
            </c:strRef>
          </c:tx>
          <c:spPr>
            <a:ln w="28575" cap="rnd">
              <a:solidFill>
                <a:schemeClr val="accent1">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1A3-4862-B22D-EDD7A388E5C6}"/>
            </c:ext>
          </c:extLst>
        </c:ser>
        <c:ser>
          <c:idx val="7"/>
          <c:order val="9"/>
          <c:tx>
            <c:strRef>
              <c:f>'Railway (Catenary)'!$A$22</c:f>
              <c:strCache>
                <c:ptCount val="1"/>
                <c:pt idx="0">
                  <c:v>Lifetime vehicle</c:v>
                </c:pt>
              </c:strCache>
            </c:strRef>
          </c:tx>
          <c:spPr>
            <a:ln w="28575" cap="rnd">
              <a:solidFill>
                <a:schemeClr val="accent2">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21A3-4862-B22D-EDD7A388E5C6}"/>
            </c:ext>
          </c:extLst>
        </c:ser>
        <c:ser>
          <c:idx val="8"/>
          <c:order val="10"/>
          <c:tx>
            <c:strRef>
              <c:f>'Railway (Catenary)'!$A$23</c:f>
              <c:strCache>
                <c:ptCount val="1"/>
                <c:pt idx="0">
                  <c:v>Lifetime costumization</c:v>
                </c:pt>
              </c:strCache>
            </c:strRef>
          </c:tx>
          <c:spPr>
            <a:ln w="28575" cap="rnd">
              <a:solidFill>
                <a:schemeClr val="accent3">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1A3-4862-B22D-EDD7A388E5C6}"/>
            </c:ext>
          </c:extLst>
        </c:ser>
        <c:ser>
          <c:idx val="9"/>
          <c:order val="11"/>
          <c:tx>
            <c:strRef>
              <c:f>'Railway (Catenary)'!$A$24</c:f>
              <c:strCache>
                <c:ptCount val="1"/>
                <c:pt idx="0">
                  <c:v>Tonnage </c:v>
                </c:pt>
              </c:strCache>
            </c:strRef>
          </c:tx>
          <c:spPr>
            <a:ln w="28575" cap="rnd">
              <a:solidFill>
                <a:schemeClr val="accent4">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1A3-4862-B22D-EDD7A388E5C6}"/>
            </c:ext>
          </c:extLst>
        </c:ser>
        <c:ser>
          <c:idx val="10"/>
          <c:order val="12"/>
          <c:tx>
            <c:strRef>
              <c:f>'Railway (Catenary)'!$A$25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1A3-4862-B22D-EDD7A388E5C6}"/>
            </c:ext>
          </c:extLst>
        </c:ser>
        <c:ser>
          <c:idx val="11"/>
          <c:order val="13"/>
          <c:tx>
            <c:strRef>
              <c:f>'Railway (Catenary)'!$A$27</c:f>
              <c:strCache>
                <c:ptCount val="1"/>
                <c:pt idx="0">
                  <c:v>Annual Mileage</c:v>
                </c:pt>
              </c:strCache>
            </c:strRef>
          </c:tx>
          <c:spPr>
            <a:ln w="28575" cap="rnd">
              <a:solidFill>
                <a:schemeClr val="accent6">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1A3-4862-B22D-EDD7A388E5C6}"/>
            </c:ext>
          </c:extLst>
        </c:ser>
        <c:ser>
          <c:idx val="12"/>
          <c:order val="14"/>
          <c:tx>
            <c:strRef>
              <c:f>'Railway (Catenary)'!$A$17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(Catenary)'!$Q$17:$AR$17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21A3-4862-B22D-EDD7A388E5C6}"/>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(Catenary)'!$A$74</c:f>
              <c:strCache>
                <c:ptCount val="1"/>
                <c:pt idx="0">
                  <c:v>Capex vehicle</c:v>
                </c:pt>
              </c:strCache>
            </c:strRef>
          </c:tx>
          <c:spPr>
            <a:solidFill>
              <a:schemeClr val="accent1"/>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(Catenary)'!$B$74,'Railway (Catenary)'!$N$74,'Railway (Catenary)'!$AC$74)</c:f>
              <c:numCache>
                <c:formatCode>0.00</c:formatCode>
                <c:ptCount val="3"/>
                <c:pt idx="0">
                  <c:v>1.0902430594344164E-3</c:v>
                </c:pt>
                <c:pt idx="1">
                  <c:v>1.0902430594344164E-3</c:v>
                </c:pt>
                <c:pt idx="2">
                  <c:v>1.0902430594344164E-3</c:v>
                </c:pt>
              </c:numCache>
            </c:numRef>
          </c:val>
          <c:extLst>
            <c:ext xmlns:c16="http://schemas.microsoft.com/office/drawing/2014/chart" uri="{C3380CC4-5D6E-409C-BE32-E72D297353CC}">
              <c16:uniqueId val="{00000000-B04E-44C3-A1E0-4D226AB27097}"/>
            </c:ext>
          </c:extLst>
        </c:ser>
        <c:ser>
          <c:idx val="1"/>
          <c:order val="1"/>
          <c:tx>
            <c:strRef>
              <c:f>'Railway (Catenary)'!$A$75</c:f>
              <c:strCache>
                <c:ptCount val="1"/>
                <c:pt idx="0">
                  <c:v>Residual value (vehicle)</c:v>
                </c:pt>
              </c:strCache>
            </c:strRef>
          </c:tx>
          <c:spPr>
            <a:solidFill>
              <a:schemeClr val="accent2"/>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(Catenary)'!$B$75,'Railway (Catenary)'!$N$75,'Railway (Catenary)'!$AC$75)</c:f>
              <c:numCache>
                <c:formatCode>0.000</c:formatCode>
                <c:ptCount val="3"/>
                <c:pt idx="0">
                  <c:v>-1.6353645891516245E-4</c:v>
                </c:pt>
                <c:pt idx="1">
                  <c:v>-1.6353645891516245E-4</c:v>
                </c:pt>
                <c:pt idx="2">
                  <c:v>-1.6353645891516245E-4</c:v>
                </c:pt>
              </c:numCache>
            </c:numRef>
          </c:val>
          <c:extLst>
            <c:ext xmlns:c16="http://schemas.microsoft.com/office/drawing/2014/chart" uri="{C3380CC4-5D6E-409C-BE32-E72D297353CC}">
              <c16:uniqueId val="{00000001-B04E-44C3-A1E0-4D226AB27097}"/>
            </c:ext>
          </c:extLst>
        </c:ser>
        <c:ser>
          <c:idx val="2"/>
          <c:order val="2"/>
          <c:tx>
            <c:strRef>
              <c:f>'Railway (Catenary)'!$A$76</c:f>
              <c:strCache>
                <c:ptCount val="1"/>
                <c:pt idx="0">
                  <c:v>Capex costumization</c:v>
                </c:pt>
              </c:strCache>
            </c:strRef>
          </c:tx>
          <c:spPr>
            <a:solidFill>
              <a:schemeClr val="accent3"/>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(Catenary)'!$B$76,'Railway (Catenary)'!$N$76,'Railway (Catenary)'!$AC$76)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B04E-44C3-A1E0-4D226AB27097}"/>
            </c:ext>
          </c:extLst>
        </c:ser>
        <c:ser>
          <c:idx val="3"/>
          <c:order val="3"/>
          <c:tx>
            <c:strRef>
              <c:f>'Railway (Catenary)'!$A$77</c:f>
              <c:strCache>
                <c:ptCount val="1"/>
                <c:pt idx="0">
                  <c:v>Residual value (costumization)</c:v>
                </c:pt>
              </c:strCache>
            </c:strRef>
          </c:tx>
          <c:spPr>
            <a:solidFill>
              <a:schemeClr val="accent4"/>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(Catenary)'!$B$77,'Railway (Catenary)'!$N$77,'Railway (Catenary)'!$AC$77)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B04E-44C3-A1E0-4D226AB27097}"/>
            </c:ext>
          </c:extLst>
        </c:ser>
        <c:ser>
          <c:idx val="4"/>
          <c:order val="4"/>
          <c:tx>
            <c:strRef>
              <c:f>'Railway (Catenary)'!$A$78</c:f>
              <c:strCache>
                <c:ptCount val="1"/>
                <c:pt idx="0">
                  <c:v>Opex fix (admin, crew, insurance)</c:v>
                </c:pt>
              </c:strCache>
            </c:strRef>
          </c:tx>
          <c:spPr>
            <a:solidFill>
              <a:schemeClr val="accent5"/>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(Catenary)'!$B$78,'Railway (Catenary)'!$N$78,'Railway (Catenary)'!$AC$78)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B04E-44C3-A1E0-4D226AB27097}"/>
            </c:ext>
          </c:extLst>
        </c:ser>
        <c:ser>
          <c:idx val="5"/>
          <c:order val="5"/>
          <c:tx>
            <c:strRef>
              <c:f>'Railway (Catenary)'!$A$79</c:f>
              <c:strCache>
                <c:ptCount val="1"/>
                <c:pt idx="0">
                  <c:v>Opex maintenance &amp; repair</c:v>
                </c:pt>
              </c:strCache>
            </c:strRef>
          </c:tx>
          <c:spPr>
            <a:solidFill>
              <a:schemeClr val="accent6"/>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(Catenary)'!$B$79,'Railway (Catenary)'!$N$79,'Railway (Catenary)'!$AC$79)</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5-B04E-44C3-A1E0-4D226AB27097}"/>
            </c:ext>
          </c:extLst>
        </c:ser>
        <c:ser>
          <c:idx val="6"/>
          <c:order val="6"/>
          <c:tx>
            <c:strRef>
              <c:f>'Railway (Catenary)'!$A$80</c:f>
              <c:strCache>
                <c:ptCount val="1"/>
                <c:pt idx="0">
                  <c:v>Opex var (mode-fees, shunting)</c:v>
                </c:pt>
              </c:strCache>
            </c:strRef>
          </c:tx>
          <c:spPr>
            <a:solidFill>
              <a:schemeClr val="accent1">
                <a:lumMod val="60000"/>
              </a:schemeClr>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(Catenary)'!$B$80,'Railway (Catenary)'!$N$80,'Railway (Catenary)'!$AC$80)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B04E-44C3-A1E0-4D226AB27097}"/>
            </c:ext>
          </c:extLst>
        </c:ser>
        <c:ser>
          <c:idx val="7"/>
          <c:order val="7"/>
          <c:tx>
            <c:strRef>
              <c:f>'Railway (Catenary)'!$A$81</c:f>
              <c:strCache>
                <c:ptCount val="1"/>
                <c:pt idx="0">
                  <c:v>Fuel Cost</c:v>
                </c:pt>
              </c:strCache>
            </c:strRef>
          </c:tx>
          <c:spPr>
            <a:solidFill>
              <a:schemeClr val="accent2">
                <a:lumMod val="60000"/>
              </a:schemeClr>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(Catenary)'!$B$81,'Railway (Catenary)'!$N$81,'Railway (Catenary)'!$AC$81)</c:f>
              <c:numCache>
                <c:formatCode>0.00</c:formatCode>
                <c:ptCount val="3"/>
                <c:pt idx="0">
                  <c:v>1.8785303492431114E-3</c:v>
                </c:pt>
                <c:pt idx="1">
                  <c:v>1.5382673431020731E-3</c:v>
                </c:pt>
                <c:pt idx="2">
                  <c:v>1.2375826156552142E-3</c:v>
                </c:pt>
              </c:numCache>
            </c:numRef>
          </c:val>
          <c:extLst>
            <c:ext xmlns:c16="http://schemas.microsoft.com/office/drawing/2014/chart" uri="{C3380CC4-5D6E-409C-BE32-E72D297353CC}">
              <c16:uniqueId val="{00000007-B04E-44C3-A1E0-4D226AB27097}"/>
            </c:ext>
          </c:extLst>
        </c:ser>
        <c:ser>
          <c:idx val="8"/>
          <c:order val="8"/>
          <c:tx>
            <c:strRef>
              <c:f>'Railway (Catenary)'!$A$82</c:f>
              <c:strCache>
                <c:ptCount val="1"/>
                <c:pt idx="0">
                  <c:v>Market failure (av. utilization)</c:v>
                </c:pt>
              </c:strCache>
            </c:strRef>
          </c:tx>
          <c:spPr>
            <a:solidFill>
              <a:schemeClr val="accent3">
                <a:lumMod val="60000"/>
              </a:schemeClr>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(Catenary)'!$B$82,'Railway (Catenary)'!$N$82,'Railway (Catenary)'!$AC$82)</c:f>
              <c:numCache>
                <c:formatCode>0.00</c:formatCode>
                <c:ptCount val="3"/>
                <c:pt idx="0">
                  <c:v>4.8606326379616368E-3</c:v>
                </c:pt>
                <c:pt idx="1">
                  <c:v>4.6665641623889389E-3</c:v>
                </c:pt>
                <c:pt idx="2">
                  <c:v>4.4820530601201673E-3</c:v>
                </c:pt>
              </c:numCache>
            </c:numRef>
          </c:val>
          <c:extLst>
            <c:ext xmlns:c16="http://schemas.microsoft.com/office/drawing/2014/chart" uri="{C3380CC4-5D6E-409C-BE32-E72D297353CC}">
              <c16:uniqueId val="{00000008-B04E-44C3-A1E0-4D226AB27097}"/>
            </c:ext>
          </c:extLst>
        </c:ser>
        <c:ser>
          <c:idx val="9"/>
          <c:order val="9"/>
          <c:tx>
            <c:strRef>
              <c:f>'Railway (Catenary)'!$A$83</c:f>
              <c:strCache>
                <c:ptCount val="1"/>
                <c:pt idx="0">
                  <c:v>Payload loss (fuel)</c:v>
                </c:pt>
              </c:strCache>
            </c:strRef>
          </c:tx>
          <c:spPr>
            <a:solidFill>
              <a:schemeClr val="accent4">
                <a:lumMod val="60000"/>
              </a:schemeClr>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(Catenary)'!$B$83,'Railway (Catenary)'!$N$83,'Railway (Catenary)'!$AC$83)</c:f>
              <c:numCache>
                <c:formatCode>0.00</c:formatCode>
                <c:ptCount val="3"/>
                <c:pt idx="0">
                  <c:v>0</c:v>
                </c:pt>
                <c:pt idx="1">
                  <c:v>0</c:v>
                </c:pt>
                <c:pt idx="2">
                  <c:v>0</c:v>
                </c:pt>
              </c:numCache>
            </c:numRef>
          </c:val>
          <c:extLst>
            <c:ext xmlns:c16="http://schemas.microsoft.com/office/drawing/2014/chart" uri="{C3380CC4-5D6E-409C-BE32-E72D297353CC}">
              <c16:uniqueId val="{00000009-B04E-44C3-A1E0-4D226AB27097}"/>
            </c:ext>
          </c:extLst>
        </c:ser>
        <c:ser>
          <c:idx val="10"/>
          <c:order val="10"/>
          <c:tx>
            <c:strRef>
              <c:f>'Railway (Catenary)'!$A$84</c:f>
              <c:strCache>
                <c:ptCount val="1"/>
                <c:pt idx="0">
                  <c:v>Emission Cost</c:v>
                </c:pt>
              </c:strCache>
            </c:strRef>
          </c:tx>
          <c:spPr>
            <a:solidFill>
              <a:schemeClr val="accent5">
                <a:lumMod val="60000"/>
              </a:schemeClr>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(Catenary)'!$B$84,'Railway (Catenary)'!$N$84,'Railway (Catenary)'!$AC$84)</c:f>
              <c:numCache>
                <c:formatCode>0.000</c:formatCode>
                <c:ptCount val="3"/>
                <c:pt idx="0">
                  <c:v>3.2612180545682326E-5</c:v>
                </c:pt>
                <c:pt idx="1">
                  <c:v>2.7864563446370286E-5</c:v>
                </c:pt>
                <c:pt idx="2">
                  <c:v>5.295535265214743E-7</c:v>
                </c:pt>
              </c:numCache>
            </c:numRef>
          </c:val>
          <c:extLst>
            <c:ext xmlns:c16="http://schemas.microsoft.com/office/drawing/2014/chart" uri="{C3380CC4-5D6E-409C-BE32-E72D297353CC}">
              <c16:uniqueId val="{00000000-79E2-4C75-A6DF-4C5D2F3E412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0.000"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(Catenary)'!$A$11</c:f>
              <c:strCache>
                <c:ptCount val="1"/>
                <c:pt idx="0">
                  <c:v>Capex vehicle</c:v>
                </c:pt>
              </c:strCache>
            </c:strRef>
          </c:tx>
          <c:spPr>
            <a:ln w="28575" cap="rnd">
              <a:solidFill>
                <a:schemeClr val="accent1"/>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A070-4888-9676-746156764CC9}"/>
            </c:ext>
          </c:extLst>
        </c:ser>
        <c:ser>
          <c:idx val="13"/>
          <c:order val="1"/>
          <c:tx>
            <c:strRef>
              <c:f>'Railway (Catenary)'!$A$12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(Catenary)'!$Q$12:$AR$12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A070-4888-9676-746156764CC9}"/>
            </c:ext>
          </c:extLst>
        </c:ser>
        <c:ser>
          <c:idx val="1"/>
          <c:order val="2"/>
          <c:tx>
            <c:strRef>
              <c:f>'Railway (Catenary)'!$A$13</c:f>
              <c:strCache>
                <c:ptCount val="1"/>
                <c:pt idx="0">
                  <c:v>Capex costumization</c:v>
                </c:pt>
              </c:strCache>
            </c:strRef>
          </c:tx>
          <c:spPr>
            <a:ln w="28575" cap="rnd">
              <a:solidFill>
                <a:schemeClr val="accent2"/>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A070-4888-9676-746156764CC9}"/>
            </c:ext>
          </c:extLst>
        </c:ser>
        <c:ser>
          <c:idx val="14"/>
          <c:order val="3"/>
          <c:tx>
            <c:strRef>
              <c:f>'Railway (Catenary)'!$A$14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(Catenary)'!$Q$14:$AR$14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A070-4888-9676-746156764CC9}"/>
            </c:ext>
          </c:extLst>
        </c:ser>
        <c:ser>
          <c:idx val="2"/>
          <c:order val="4"/>
          <c:tx>
            <c:strRef>
              <c:f>'Railway (Catenary)'!$A$15</c:f>
              <c:strCache>
                <c:ptCount val="1"/>
                <c:pt idx="0">
                  <c:v>WACC</c:v>
                </c:pt>
              </c:strCache>
            </c:strRef>
          </c:tx>
          <c:spPr>
            <a:ln w="28575" cap="rnd">
              <a:solidFill>
                <a:schemeClr val="accent3"/>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A070-4888-9676-746156764CC9}"/>
            </c:ext>
          </c:extLst>
        </c:ser>
        <c:ser>
          <c:idx val="3"/>
          <c:order val="5"/>
          <c:tx>
            <c:strRef>
              <c:f>'Railway (Catenary)'!$A$16</c:f>
              <c:strCache>
                <c:ptCount val="1"/>
                <c:pt idx="0">
                  <c:v>Opex fix (admin, crew, insurance)</c:v>
                </c:pt>
              </c:strCache>
            </c:strRef>
          </c:tx>
          <c:spPr>
            <a:ln w="28575" cap="rnd">
              <a:solidFill>
                <a:schemeClr val="accent4"/>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A070-4888-9676-746156764CC9}"/>
            </c:ext>
          </c:extLst>
        </c:ser>
        <c:ser>
          <c:idx val="4"/>
          <c:order val="6"/>
          <c:tx>
            <c:strRef>
              <c:f>'Railway (Catenary)'!$A$18</c:f>
              <c:strCache>
                <c:ptCount val="1"/>
                <c:pt idx="0">
                  <c:v>Opex var (mode-fees, shunting)</c:v>
                </c:pt>
              </c:strCache>
            </c:strRef>
          </c:tx>
          <c:spPr>
            <a:ln w="28575" cap="rnd">
              <a:solidFill>
                <a:schemeClr val="accent5"/>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A070-4888-9676-746156764CC9}"/>
            </c:ext>
          </c:extLst>
        </c:ser>
        <c:ser>
          <c:idx val="5"/>
          <c:order val="7"/>
          <c:tx>
            <c:strRef>
              <c:f>'Railway (Catenary)'!$A$19</c:f>
              <c:strCache>
                <c:ptCount val="1"/>
                <c:pt idx="0">
                  <c:v>Fuel Economy</c:v>
                </c:pt>
              </c:strCache>
            </c:strRef>
          </c:tx>
          <c:spPr>
            <a:ln w="28575" cap="rnd">
              <a:solidFill>
                <a:schemeClr val="accent6"/>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A070-4888-9676-746156764CC9}"/>
            </c:ext>
          </c:extLst>
        </c:ser>
        <c:ser>
          <c:idx val="6"/>
          <c:order val="8"/>
          <c:tx>
            <c:strRef>
              <c:f>'Railway (Catenary)'!$A$20</c:f>
              <c:strCache>
                <c:ptCount val="1"/>
                <c:pt idx="0">
                  <c:v>Fuel Cost</c:v>
                </c:pt>
              </c:strCache>
            </c:strRef>
          </c:tx>
          <c:spPr>
            <a:ln w="28575" cap="rnd">
              <a:solidFill>
                <a:schemeClr val="accent1">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A070-4888-9676-746156764CC9}"/>
            </c:ext>
          </c:extLst>
        </c:ser>
        <c:ser>
          <c:idx val="7"/>
          <c:order val="9"/>
          <c:tx>
            <c:strRef>
              <c:f>'Railway (Catenary)'!$A$22</c:f>
              <c:strCache>
                <c:ptCount val="1"/>
                <c:pt idx="0">
                  <c:v>Lifetime vehicle</c:v>
                </c:pt>
              </c:strCache>
            </c:strRef>
          </c:tx>
          <c:spPr>
            <a:ln w="28575" cap="rnd">
              <a:solidFill>
                <a:schemeClr val="accent2">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A070-4888-9676-746156764CC9}"/>
            </c:ext>
          </c:extLst>
        </c:ser>
        <c:ser>
          <c:idx val="8"/>
          <c:order val="10"/>
          <c:tx>
            <c:strRef>
              <c:f>'Railway (Catenary)'!$A$23</c:f>
              <c:strCache>
                <c:ptCount val="1"/>
                <c:pt idx="0">
                  <c:v>Lifetime costumization</c:v>
                </c:pt>
              </c:strCache>
            </c:strRef>
          </c:tx>
          <c:spPr>
            <a:ln w="28575" cap="rnd">
              <a:solidFill>
                <a:schemeClr val="accent3">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A070-4888-9676-746156764CC9}"/>
            </c:ext>
          </c:extLst>
        </c:ser>
        <c:ser>
          <c:idx val="9"/>
          <c:order val="11"/>
          <c:tx>
            <c:strRef>
              <c:f>'Railway (Catenary)'!$A$24</c:f>
              <c:strCache>
                <c:ptCount val="1"/>
                <c:pt idx="0">
                  <c:v>Tonnage </c:v>
                </c:pt>
              </c:strCache>
            </c:strRef>
          </c:tx>
          <c:spPr>
            <a:ln w="28575" cap="rnd">
              <a:solidFill>
                <a:schemeClr val="accent4">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A070-4888-9676-746156764CC9}"/>
            </c:ext>
          </c:extLst>
        </c:ser>
        <c:ser>
          <c:idx val="10"/>
          <c:order val="12"/>
          <c:tx>
            <c:strRef>
              <c:f>'Railway (Catenary)'!$A$25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A070-4888-9676-746156764CC9}"/>
            </c:ext>
          </c:extLst>
        </c:ser>
        <c:ser>
          <c:idx val="11"/>
          <c:order val="13"/>
          <c:tx>
            <c:strRef>
              <c:f>'Railway (Catenary)'!$A$27</c:f>
              <c:strCache>
                <c:ptCount val="1"/>
                <c:pt idx="0">
                  <c:v>Annual Mileage</c:v>
                </c:pt>
              </c:strCache>
            </c:strRef>
          </c:tx>
          <c:spPr>
            <a:ln w="28575" cap="rnd">
              <a:solidFill>
                <a:schemeClr val="accent6">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A070-4888-9676-746156764CC9}"/>
            </c:ext>
          </c:extLst>
        </c:ser>
        <c:ser>
          <c:idx val="12"/>
          <c:order val="14"/>
          <c:tx>
            <c:strRef>
              <c:f>'Railway (Catenary)'!$A$17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(Catenary)'!$Q$17:$AR$17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A070-4888-9676-746156764CC9}"/>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(Catenary)'!$A$74</c:f>
              <c:strCache>
                <c:ptCount val="1"/>
                <c:pt idx="0">
                  <c:v>Capex vehicle</c:v>
                </c:pt>
              </c:strCache>
            </c:strRef>
          </c:tx>
          <c:spPr>
            <a:solidFill>
              <a:schemeClr val="accent1"/>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(Catenary)'!$B$74,'Railway (Catenary)'!$N$74,'Railway (Catenary)'!$AC$74)</c:f>
              <c:numCache>
                <c:formatCode>0.00</c:formatCode>
                <c:ptCount val="3"/>
                <c:pt idx="0">
                  <c:v>1.0902430594344164E-3</c:v>
                </c:pt>
                <c:pt idx="1">
                  <c:v>1.0902430594344164E-3</c:v>
                </c:pt>
                <c:pt idx="2">
                  <c:v>1.0902430594344164E-3</c:v>
                </c:pt>
              </c:numCache>
            </c:numRef>
          </c:val>
          <c:extLst>
            <c:ext xmlns:c16="http://schemas.microsoft.com/office/drawing/2014/chart" uri="{C3380CC4-5D6E-409C-BE32-E72D297353CC}">
              <c16:uniqueId val="{00000000-3C6C-47DF-B0F0-0465A1B82E35}"/>
            </c:ext>
          </c:extLst>
        </c:ser>
        <c:ser>
          <c:idx val="1"/>
          <c:order val="1"/>
          <c:tx>
            <c:strRef>
              <c:f>'Railway (Catenary)'!$A$75</c:f>
              <c:strCache>
                <c:ptCount val="1"/>
                <c:pt idx="0">
                  <c:v>Residual value (vehicle)</c:v>
                </c:pt>
              </c:strCache>
            </c:strRef>
          </c:tx>
          <c:spPr>
            <a:solidFill>
              <a:schemeClr val="accent2"/>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(Catenary)'!$B$75,'Railway (Catenary)'!$N$75,'Railway (Catenary)'!$AC$75)</c:f>
              <c:numCache>
                <c:formatCode>0.000</c:formatCode>
                <c:ptCount val="3"/>
                <c:pt idx="0">
                  <c:v>-1.6353645891516245E-4</c:v>
                </c:pt>
                <c:pt idx="1">
                  <c:v>-1.6353645891516245E-4</c:v>
                </c:pt>
                <c:pt idx="2">
                  <c:v>-1.6353645891516245E-4</c:v>
                </c:pt>
              </c:numCache>
            </c:numRef>
          </c:val>
          <c:extLst>
            <c:ext xmlns:c16="http://schemas.microsoft.com/office/drawing/2014/chart" uri="{C3380CC4-5D6E-409C-BE32-E72D297353CC}">
              <c16:uniqueId val="{00000001-3C6C-47DF-B0F0-0465A1B82E35}"/>
            </c:ext>
          </c:extLst>
        </c:ser>
        <c:ser>
          <c:idx val="2"/>
          <c:order val="2"/>
          <c:tx>
            <c:strRef>
              <c:f>'Railway (Catenary)'!$A$76</c:f>
              <c:strCache>
                <c:ptCount val="1"/>
                <c:pt idx="0">
                  <c:v>Capex costumization</c:v>
                </c:pt>
              </c:strCache>
            </c:strRef>
          </c:tx>
          <c:spPr>
            <a:solidFill>
              <a:schemeClr val="accent3"/>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(Catenary)'!$B$76,'Railway (Catenary)'!$N$76,'Railway (Catenary)'!$AC$76)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3C6C-47DF-B0F0-0465A1B82E35}"/>
            </c:ext>
          </c:extLst>
        </c:ser>
        <c:ser>
          <c:idx val="3"/>
          <c:order val="3"/>
          <c:tx>
            <c:strRef>
              <c:f>'Railway (Catenary)'!$A$77</c:f>
              <c:strCache>
                <c:ptCount val="1"/>
                <c:pt idx="0">
                  <c:v>Residual value (costumization)</c:v>
                </c:pt>
              </c:strCache>
            </c:strRef>
          </c:tx>
          <c:spPr>
            <a:solidFill>
              <a:schemeClr val="accent4"/>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(Catenary)'!$B$77,'Railway (Catenary)'!$N$77,'Railway (Catenary)'!$AC$77)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3C6C-47DF-B0F0-0465A1B82E35}"/>
            </c:ext>
          </c:extLst>
        </c:ser>
        <c:ser>
          <c:idx val="4"/>
          <c:order val="4"/>
          <c:tx>
            <c:strRef>
              <c:f>'Railway (Catenary)'!$A$78</c:f>
              <c:strCache>
                <c:ptCount val="1"/>
                <c:pt idx="0">
                  <c:v>Opex fix (admin, crew, insurance)</c:v>
                </c:pt>
              </c:strCache>
            </c:strRef>
          </c:tx>
          <c:spPr>
            <a:solidFill>
              <a:schemeClr val="accent5"/>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(Catenary)'!$B$78,'Railway (Catenary)'!$N$78,'Railway (Catenary)'!$AC$78)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3C6C-47DF-B0F0-0465A1B82E35}"/>
            </c:ext>
          </c:extLst>
        </c:ser>
        <c:ser>
          <c:idx val="5"/>
          <c:order val="5"/>
          <c:tx>
            <c:strRef>
              <c:f>'Railway (Catenary)'!$A$79</c:f>
              <c:strCache>
                <c:ptCount val="1"/>
                <c:pt idx="0">
                  <c:v>Opex maintenance &amp; repair</c:v>
                </c:pt>
              </c:strCache>
            </c:strRef>
          </c:tx>
          <c:spPr>
            <a:solidFill>
              <a:schemeClr val="accent6"/>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(Catenary)'!$B$79,'Railway (Catenary)'!$N$79,'Railway (Catenary)'!$AC$79)</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5-3C6C-47DF-B0F0-0465A1B82E35}"/>
            </c:ext>
          </c:extLst>
        </c:ser>
        <c:ser>
          <c:idx val="6"/>
          <c:order val="6"/>
          <c:tx>
            <c:strRef>
              <c:f>'Railway (Catenary)'!$A$80</c:f>
              <c:strCache>
                <c:ptCount val="1"/>
                <c:pt idx="0">
                  <c:v>Opex var (mode-fees, shunting)</c:v>
                </c:pt>
              </c:strCache>
            </c:strRef>
          </c:tx>
          <c:spPr>
            <a:solidFill>
              <a:schemeClr val="accent1">
                <a:lumMod val="60000"/>
              </a:schemeClr>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(Catenary)'!$B$80,'Railway (Catenary)'!$N$80,'Railway (Catenary)'!$AC$80)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3C6C-47DF-B0F0-0465A1B82E35}"/>
            </c:ext>
          </c:extLst>
        </c:ser>
        <c:ser>
          <c:idx val="7"/>
          <c:order val="7"/>
          <c:tx>
            <c:strRef>
              <c:f>'Railway (Catenary)'!$A$81</c:f>
              <c:strCache>
                <c:ptCount val="1"/>
                <c:pt idx="0">
                  <c:v>Fuel Cost</c:v>
                </c:pt>
              </c:strCache>
            </c:strRef>
          </c:tx>
          <c:spPr>
            <a:solidFill>
              <a:schemeClr val="accent2">
                <a:lumMod val="60000"/>
              </a:schemeClr>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(Catenary)'!$B$81,'Railway (Catenary)'!$N$81,'Railway (Catenary)'!$AC$81)</c:f>
              <c:numCache>
                <c:formatCode>0.00</c:formatCode>
                <c:ptCount val="3"/>
                <c:pt idx="0">
                  <c:v>1.8785303492431114E-3</c:v>
                </c:pt>
                <c:pt idx="1">
                  <c:v>1.5382673431020731E-3</c:v>
                </c:pt>
                <c:pt idx="2">
                  <c:v>1.2375826156552142E-3</c:v>
                </c:pt>
              </c:numCache>
            </c:numRef>
          </c:val>
          <c:extLst>
            <c:ext xmlns:c16="http://schemas.microsoft.com/office/drawing/2014/chart" uri="{C3380CC4-5D6E-409C-BE32-E72D297353CC}">
              <c16:uniqueId val="{00000007-3C6C-47DF-B0F0-0465A1B82E35}"/>
            </c:ext>
          </c:extLst>
        </c:ser>
        <c:ser>
          <c:idx val="8"/>
          <c:order val="8"/>
          <c:tx>
            <c:strRef>
              <c:f>'Railway (Catenary)'!$A$82</c:f>
              <c:strCache>
                <c:ptCount val="1"/>
                <c:pt idx="0">
                  <c:v>Market failure (av. utilization)</c:v>
                </c:pt>
              </c:strCache>
            </c:strRef>
          </c:tx>
          <c:spPr>
            <a:solidFill>
              <a:schemeClr val="accent3">
                <a:lumMod val="60000"/>
              </a:schemeClr>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(Catenary)'!$B$82,'Railway (Catenary)'!$N$82,'Railway (Catenary)'!$AC$82)</c:f>
              <c:numCache>
                <c:formatCode>0.00</c:formatCode>
                <c:ptCount val="3"/>
                <c:pt idx="0">
                  <c:v>4.8606326379616368E-3</c:v>
                </c:pt>
                <c:pt idx="1">
                  <c:v>4.6665641623889389E-3</c:v>
                </c:pt>
                <c:pt idx="2">
                  <c:v>4.4820530601201673E-3</c:v>
                </c:pt>
              </c:numCache>
            </c:numRef>
          </c:val>
          <c:extLst>
            <c:ext xmlns:c16="http://schemas.microsoft.com/office/drawing/2014/chart" uri="{C3380CC4-5D6E-409C-BE32-E72D297353CC}">
              <c16:uniqueId val="{00000008-3C6C-47DF-B0F0-0465A1B82E35}"/>
            </c:ext>
          </c:extLst>
        </c:ser>
        <c:ser>
          <c:idx val="9"/>
          <c:order val="9"/>
          <c:tx>
            <c:strRef>
              <c:f>'Railway (Catenary)'!$A$83</c:f>
              <c:strCache>
                <c:ptCount val="1"/>
                <c:pt idx="0">
                  <c:v>Payload loss (fuel)</c:v>
                </c:pt>
              </c:strCache>
            </c:strRef>
          </c:tx>
          <c:spPr>
            <a:solidFill>
              <a:schemeClr val="accent4">
                <a:lumMod val="60000"/>
              </a:schemeClr>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(Catenary)'!$B$83,'Railway (Catenary)'!$N$83,'Railway (Catenary)'!$AC$83)</c:f>
              <c:numCache>
                <c:formatCode>0.00</c:formatCode>
                <c:ptCount val="3"/>
                <c:pt idx="0">
                  <c:v>0</c:v>
                </c:pt>
                <c:pt idx="1">
                  <c:v>0</c:v>
                </c:pt>
                <c:pt idx="2">
                  <c:v>0</c:v>
                </c:pt>
              </c:numCache>
            </c:numRef>
          </c:val>
          <c:extLst>
            <c:ext xmlns:c16="http://schemas.microsoft.com/office/drawing/2014/chart" uri="{C3380CC4-5D6E-409C-BE32-E72D297353CC}">
              <c16:uniqueId val="{00000009-3C6C-47DF-B0F0-0465A1B82E35}"/>
            </c:ext>
          </c:extLst>
        </c:ser>
        <c:ser>
          <c:idx val="10"/>
          <c:order val="10"/>
          <c:tx>
            <c:strRef>
              <c:f>'Railway (Catenary)'!$A$190</c:f>
              <c:strCache>
                <c:ptCount val="1"/>
                <c:pt idx="0">
                  <c:v>Emission Cost</c:v>
                </c:pt>
              </c:strCache>
            </c:strRef>
          </c:tx>
          <c:spPr>
            <a:solidFill>
              <a:schemeClr val="accent5">
                <a:lumMod val="60000"/>
              </a:schemeClr>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(Catenary)'!$B$190,'Railway (Catenary)'!$N$190,'Railway (Catenary)'!$AC$190)</c:f>
              <c:numCache>
                <c:formatCode>0.000</c:formatCode>
                <c:ptCount val="3"/>
                <c:pt idx="0">
                  <c:v>3.2612180545682326E-5</c:v>
                </c:pt>
                <c:pt idx="1">
                  <c:v>2.7864563446370286E-5</c:v>
                </c:pt>
                <c:pt idx="2">
                  <c:v>5.295535265214743E-7</c:v>
                </c:pt>
              </c:numCache>
            </c:numRef>
          </c:val>
          <c:extLst>
            <c:ext xmlns:c16="http://schemas.microsoft.com/office/drawing/2014/chart" uri="{C3380CC4-5D6E-409C-BE32-E72D297353CC}">
              <c16:uniqueId val="{00000000-5654-4117-9E3A-FFAC96523E81}"/>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(Catenary)'!$A$11</c:f>
              <c:strCache>
                <c:ptCount val="1"/>
                <c:pt idx="0">
                  <c:v>Capex vehicle</c:v>
                </c:pt>
              </c:strCache>
            </c:strRef>
          </c:tx>
          <c:spPr>
            <a:ln w="28575" cap="rnd">
              <a:solidFill>
                <a:schemeClr val="accent1"/>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29BE-4FEB-9327-0524F72704EF}"/>
            </c:ext>
          </c:extLst>
        </c:ser>
        <c:ser>
          <c:idx val="13"/>
          <c:order val="1"/>
          <c:tx>
            <c:strRef>
              <c:f>'Railway (Catenary)'!$A$12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(Catenary)'!$Q$12:$AR$12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29BE-4FEB-9327-0524F72704EF}"/>
            </c:ext>
          </c:extLst>
        </c:ser>
        <c:ser>
          <c:idx val="1"/>
          <c:order val="2"/>
          <c:tx>
            <c:strRef>
              <c:f>'Railway (Catenary)'!$A$13</c:f>
              <c:strCache>
                <c:ptCount val="1"/>
                <c:pt idx="0">
                  <c:v>Capex costumization</c:v>
                </c:pt>
              </c:strCache>
            </c:strRef>
          </c:tx>
          <c:spPr>
            <a:ln w="28575" cap="rnd">
              <a:solidFill>
                <a:schemeClr val="accent2"/>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9BE-4FEB-9327-0524F72704EF}"/>
            </c:ext>
          </c:extLst>
        </c:ser>
        <c:ser>
          <c:idx val="14"/>
          <c:order val="3"/>
          <c:tx>
            <c:strRef>
              <c:f>'Railway (Catenary)'!$A$14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(Catenary)'!$Q$14:$AR$14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9BE-4FEB-9327-0524F72704EF}"/>
            </c:ext>
          </c:extLst>
        </c:ser>
        <c:ser>
          <c:idx val="2"/>
          <c:order val="4"/>
          <c:tx>
            <c:strRef>
              <c:f>'Railway (Catenary)'!$A$15</c:f>
              <c:strCache>
                <c:ptCount val="1"/>
                <c:pt idx="0">
                  <c:v>WACC</c:v>
                </c:pt>
              </c:strCache>
            </c:strRef>
          </c:tx>
          <c:spPr>
            <a:ln w="28575" cap="rnd">
              <a:solidFill>
                <a:schemeClr val="accent3"/>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9BE-4FEB-9327-0524F72704EF}"/>
            </c:ext>
          </c:extLst>
        </c:ser>
        <c:ser>
          <c:idx val="3"/>
          <c:order val="5"/>
          <c:tx>
            <c:strRef>
              <c:f>'Railway (Catenary)'!$A$16</c:f>
              <c:strCache>
                <c:ptCount val="1"/>
                <c:pt idx="0">
                  <c:v>Opex fix (admin, crew, insurance)</c:v>
                </c:pt>
              </c:strCache>
            </c:strRef>
          </c:tx>
          <c:spPr>
            <a:ln w="28575" cap="rnd">
              <a:solidFill>
                <a:schemeClr val="accent4"/>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9BE-4FEB-9327-0524F72704EF}"/>
            </c:ext>
          </c:extLst>
        </c:ser>
        <c:ser>
          <c:idx val="4"/>
          <c:order val="6"/>
          <c:tx>
            <c:strRef>
              <c:f>'Railway (Catenary)'!$A$18</c:f>
              <c:strCache>
                <c:ptCount val="1"/>
                <c:pt idx="0">
                  <c:v>Opex var (mode-fees, shunting)</c:v>
                </c:pt>
              </c:strCache>
            </c:strRef>
          </c:tx>
          <c:spPr>
            <a:ln w="28575" cap="rnd">
              <a:solidFill>
                <a:schemeClr val="accent5"/>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9BE-4FEB-9327-0524F72704EF}"/>
            </c:ext>
          </c:extLst>
        </c:ser>
        <c:ser>
          <c:idx val="5"/>
          <c:order val="7"/>
          <c:tx>
            <c:strRef>
              <c:f>'Railway (Catenary)'!$A$19</c:f>
              <c:strCache>
                <c:ptCount val="1"/>
                <c:pt idx="0">
                  <c:v>Fuel Economy</c:v>
                </c:pt>
              </c:strCache>
            </c:strRef>
          </c:tx>
          <c:spPr>
            <a:ln w="28575" cap="rnd">
              <a:solidFill>
                <a:schemeClr val="accent6"/>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29BE-4FEB-9327-0524F72704EF}"/>
            </c:ext>
          </c:extLst>
        </c:ser>
        <c:ser>
          <c:idx val="6"/>
          <c:order val="8"/>
          <c:tx>
            <c:strRef>
              <c:f>'Railway (Catenary)'!$A$20</c:f>
              <c:strCache>
                <c:ptCount val="1"/>
                <c:pt idx="0">
                  <c:v>Fuel Cost</c:v>
                </c:pt>
              </c:strCache>
            </c:strRef>
          </c:tx>
          <c:spPr>
            <a:ln w="28575" cap="rnd">
              <a:solidFill>
                <a:schemeClr val="accent1">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9BE-4FEB-9327-0524F72704EF}"/>
            </c:ext>
          </c:extLst>
        </c:ser>
        <c:ser>
          <c:idx val="7"/>
          <c:order val="9"/>
          <c:tx>
            <c:strRef>
              <c:f>'Railway (Catenary)'!$A$22</c:f>
              <c:strCache>
                <c:ptCount val="1"/>
                <c:pt idx="0">
                  <c:v>Lifetime vehicle</c:v>
                </c:pt>
              </c:strCache>
            </c:strRef>
          </c:tx>
          <c:spPr>
            <a:ln w="28575" cap="rnd">
              <a:solidFill>
                <a:schemeClr val="accent2">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29BE-4FEB-9327-0524F72704EF}"/>
            </c:ext>
          </c:extLst>
        </c:ser>
        <c:ser>
          <c:idx val="8"/>
          <c:order val="10"/>
          <c:tx>
            <c:strRef>
              <c:f>'Railway (Catenary)'!$A$23</c:f>
              <c:strCache>
                <c:ptCount val="1"/>
                <c:pt idx="0">
                  <c:v>Lifetime costumization</c:v>
                </c:pt>
              </c:strCache>
            </c:strRef>
          </c:tx>
          <c:spPr>
            <a:ln w="28575" cap="rnd">
              <a:solidFill>
                <a:schemeClr val="accent3">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9BE-4FEB-9327-0524F72704EF}"/>
            </c:ext>
          </c:extLst>
        </c:ser>
        <c:ser>
          <c:idx val="9"/>
          <c:order val="11"/>
          <c:tx>
            <c:strRef>
              <c:f>'Railway (Catenary)'!$A$24</c:f>
              <c:strCache>
                <c:ptCount val="1"/>
                <c:pt idx="0">
                  <c:v>Tonnage </c:v>
                </c:pt>
              </c:strCache>
            </c:strRef>
          </c:tx>
          <c:spPr>
            <a:ln w="28575" cap="rnd">
              <a:solidFill>
                <a:schemeClr val="accent4">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9BE-4FEB-9327-0524F72704EF}"/>
            </c:ext>
          </c:extLst>
        </c:ser>
        <c:ser>
          <c:idx val="10"/>
          <c:order val="12"/>
          <c:tx>
            <c:strRef>
              <c:f>'Railway (Catenary)'!$A$25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9BE-4FEB-9327-0524F72704EF}"/>
            </c:ext>
          </c:extLst>
        </c:ser>
        <c:ser>
          <c:idx val="11"/>
          <c:order val="13"/>
          <c:tx>
            <c:strRef>
              <c:f>'Railway (Catenary)'!$A$27</c:f>
              <c:strCache>
                <c:ptCount val="1"/>
                <c:pt idx="0">
                  <c:v>Annual Mileage</c:v>
                </c:pt>
              </c:strCache>
            </c:strRef>
          </c:tx>
          <c:spPr>
            <a:ln w="28575" cap="rnd">
              <a:solidFill>
                <a:schemeClr val="accent6">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9BE-4FEB-9327-0524F72704EF}"/>
            </c:ext>
          </c:extLst>
        </c:ser>
        <c:ser>
          <c:idx val="12"/>
          <c:order val="14"/>
          <c:tx>
            <c:strRef>
              <c:f>'Railway (Catenary)'!$A$17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(Catenary)'!$Q$17:$AR$17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29BE-4FEB-9327-0524F72704E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(Catenary)'!$A$74</c:f>
              <c:strCache>
                <c:ptCount val="1"/>
                <c:pt idx="0">
                  <c:v>Capex vehicle</c:v>
                </c:pt>
              </c:strCache>
            </c:strRef>
          </c:tx>
          <c:spPr>
            <a:solidFill>
              <a:schemeClr val="accent1"/>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(Catenary)'!$B$74,'Railway (Catenary)'!$N$74,'Railway (Catenary)'!$AC$74)</c:f>
              <c:numCache>
                <c:formatCode>0.00</c:formatCode>
                <c:ptCount val="3"/>
                <c:pt idx="0">
                  <c:v>1.0902430594344164E-3</c:v>
                </c:pt>
                <c:pt idx="1">
                  <c:v>1.0902430594344164E-3</c:v>
                </c:pt>
                <c:pt idx="2">
                  <c:v>1.0902430594344164E-3</c:v>
                </c:pt>
              </c:numCache>
            </c:numRef>
          </c:val>
          <c:extLst>
            <c:ext xmlns:c16="http://schemas.microsoft.com/office/drawing/2014/chart" uri="{C3380CC4-5D6E-409C-BE32-E72D297353CC}">
              <c16:uniqueId val="{00000000-D32C-4963-9688-BB2BDD10D58A}"/>
            </c:ext>
          </c:extLst>
        </c:ser>
        <c:ser>
          <c:idx val="1"/>
          <c:order val="1"/>
          <c:tx>
            <c:strRef>
              <c:f>'Railway (Catenary)'!$A$75</c:f>
              <c:strCache>
                <c:ptCount val="1"/>
                <c:pt idx="0">
                  <c:v>Residual value (vehicle)</c:v>
                </c:pt>
              </c:strCache>
            </c:strRef>
          </c:tx>
          <c:spPr>
            <a:solidFill>
              <a:schemeClr val="accent2"/>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(Catenary)'!$B$75,'Railway (Catenary)'!$N$75,'Railway (Catenary)'!$AC$75)</c:f>
              <c:numCache>
                <c:formatCode>0.000</c:formatCode>
                <c:ptCount val="3"/>
                <c:pt idx="0">
                  <c:v>-1.6353645891516245E-4</c:v>
                </c:pt>
                <c:pt idx="1">
                  <c:v>-1.6353645891516245E-4</c:v>
                </c:pt>
                <c:pt idx="2">
                  <c:v>-1.6353645891516245E-4</c:v>
                </c:pt>
              </c:numCache>
            </c:numRef>
          </c:val>
          <c:extLst>
            <c:ext xmlns:c16="http://schemas.microsoft.com/office/drawing/2014/chart" uri="{C3380CC4-5D6E-409C-BE32-E72D297353CC}">
              <c16:uniqueId val="{00000001-D32C-4963-9688-BB2BDD10D58A}"/>
            </c:ext>
          </c:extLst>
        </c:ser>
        <c:ser>
          <c:idx val="2"/>
          <c:order val="2"/>
          <c:tx>
            <c:strRef>
              <c:f>'Railway (Catenary)'!$A$76</c:f>
              <c:strCache>
                <c:ptCount val="1"/>
                <c:pt idx="0">
                  <c:v>Capex costumization</c:v>
                </c:pt>
              </c:strCache>
            </c:strRef>
          </c:tx>
          <c:spPr>
            <a:solidFill>
              <a:schemeClr val="accent3"/>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(Catenary)'!$B$76,'Railway (Catenary)'!$N$76,'Railway (Catenary)'!$AC$76)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D32C-4963-9688-BB2BDD10D58A}"/>
            </c:ext>
          </c:extLst>
        </c:ser>
        <c:ser>
          <c:idx val="3"/>
          <c:order val="3"/>
          <c:tx>
            <c:strRef>
              <c:f>'Railway (Catenary)'!$A$77</c:f>
              <c:strCache>
                <c:ptCount val="1"/>
                <c:pt idx="0">
                  <c:v>Residual value (costumization)</c:v>
                </c:pt>
              </c:strCache>
            </c:strRef>
          </c:tx>
          <c:spPr>
            <a:solidFill>
              <a:schemeClr val="accent4"/>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(Catenary)'!$B$77,'Railway (Catenary)'!$N$77,'Railway (Catenary)'!$AC$77)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D32C-4963-9688-BB2BDD10D58A}"/>
            </c:ext>
          </c:extLst>
        </c:ser>
        <c:ser>
          <c:idx val="4"/>
          <c:order val="4"/>
          <c:tx>
            <c:strRef>
              <c:f>'Railway (Catenary)'!$A$78</c:f>
              <c:strCache>
                <c:ptCount val="1"/>
                <c:pt idx="0">
                  <c:v>Opex fix (admin, crew, insurance)</c:v>
                </c:pt>
              </c:strCache>
            </c:strRef>
          </c:tx>
          <c:spPr>
            <a:solidFill>
              <a:schemeClr val="accent5"/>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(Catenary)'!$B$78,'Railway (Catenary)'!$N$78,'Railway (Catenary)'!$AC$78)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D32C-4963-9688-BB2BDD10D58A}"/>
            </c:ext>
          </c:extLst>
        </c:ser>
        <c:ser>
          <c:idx val="5"/>
          <c:order val="5"/>
          <c:tx>
            <c:strRef>
              <c:f>'Railway (Catenary)'!$A$79</c:f>
              <c:strCache>
                <c:ptCount val="1"/>
                <c:pt idx="0">
                  <c:v>Opex maintenance &amp; repair</c:v>
                </c:pt>
              </c:strCache>
            </c:strRef>
          </c:tx>
          <c:spPr>
            <a:solidFill>
              <a:schemeClr val="accent6"/>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(Catenary)'!$B$79,'Railway (Catenary)'!$N$79,'Railway (Catenary)'!$AC$79)</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5-D32C-4963-9688-BB2BDD10D58A}"/>
            </c:ext>
          </c:extLst>
        </c:ser>
        <c:ser>
          <c:idx val="6"/>
          <c:order val="6"/>
          <c:tx>
            <c:strRef>
              <c:f>'Railway (Catenary)'!$A$80</c:f>
              <c:strCache>
                <c:ptCount val="1"/>
                <c:pt idx="0">
                  <c:v>Opex var (mode-fees, shunting)</c:v>
                </c:pt>
              </c:strCache>
            </c:strRef>
          </c:tx>
          <c:spPr>
            <a:solidFill>
              <a:schemeClr val="accent1">
                <a:lumMod val="60000"/>
              </a:schemeClr>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(Catenary)'!$B$80,'Railway (Catenary)'!$N$80,'Railway (Catenary)'!$AC$80)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D32C-4963-9688-BB2BDD10D58A}"/>
            </c:ext>
          </c:extLst>
        </c:ser>
        <c:ser>
          <c:idx val="7"/>
          <c:order val="7"/>
          <c:tx>
            <c:strRef>
              <c:f>'Railway (Catenary)'!$A$81</c:f>
              <c:strCache>
                <c:ptCount val="1"/>
                <c:pt idx="0">
                  <c:v>Fuel Cost</c:v>
                </c:pt>
              </c:strCache>
            </c:strRef>
          </c:tx>
          <c:spPr>
            <a:solidFill>
              <a:schemeClr val="accent2">
                <a:lumMod val="60000"/>
              </a:schemeClr>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(Catenary)'!$B$81,'Railway (Catenary)'!$N$81,'Railway (Catenary)'!$AC$81)</c:f>
              <c:numCache>
                <c:formatCode>0.00</c:formatCode>
                <c:ptCount val="3"/>
                <c:pt idx="0">
                  <c:v>1.8785303492431114E-3</c:v>
                </c:pt>
                <c:pt idx="1">
                  <c:v>1.5382673431020731E-3</c:v>
                </c:pt>
                <c:pt idx="2">
                  <c:v>1.2375826156552142E-3</c:v>
                </c:pt>
              </c:numCache>
            </c:numRef>
          </c:val>
          <c:extLst>
            <c:ext xmlns:c16="http://schemas.microsoft.com/office/drawing/2014/chart" uri="{C3380CC4-5D6E-409C-BE32-E72D297353CC}">
              <c16:uniqueId val="{00000007-D32C-4963-9688-BB2BDD10D58A}"/>
            </c:ext>
          </c:extLst>
        </c:ser>
        <c:ser>
          <c:idx val="8"/>
          <c:order val="8"/>
          <c:tx>
            <c:strRef>
              <c:f>'Railway (Catenary)'!$A$82</c:f>
              <c:strCache>
                <c:ptCount val="1"/>
                <c:pt idx="0">
                  <c:v>Market failure (av. utilization)</c:v>
                </c:pt>
              </c:strCache>
            </c:strRef>
          </c:tx>
          <c:spPr>
            <a:solidFill>
              <a:schemeClr val="accent3">
                <a:lumMod val="60000"/>
              </a:schemeClr>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(Catenary)'!$B$82,'Railway (Catenary)'!$N$82,'Railway (Catenary)'!$AC$82)</c:f>
              <c:numCache>
                <c:formatCode>0.00</c:formatCode>
                <c:ptCount val="3"/>
                <c:pt idx="0">
                  <c:v>4.8606326379616368E-3</c:v>
                </c:pt>
                <c:pt idx="1">
                  <c:v>4.6665641623889389E-3</c:v>
                </c:pt>
                <c:pt idx="2">
                  <c:v>4.4820530601201673E-3</c:v>
                </c:pt>
              </c:numCache>
            </c:numRef>
          </c:val>
          <c:extLst>
            <c:ext xmlns:c16="http://schemas.microsoft.com/office/drawing/2014/chart" uri="{C3380CC4-5D6E-409C-BE32-E72D297353CC}">
              <c16:uniqueId val="{00000008-D32C-4963-9688-BB2BDD10D58A}"/>
            </c:ext>
          </c:extLst>
        </c:ser>
        <c:ser>
          <c:idx val="9"/>
          <c:order val="9"/>
          <c:tx>
            <c:strRef>
              <c:f>'Railway (Catenary)'!$A$83</c:f>
              <c:strCache>
                <c:ptCount val="1"/>
                <c:pt idx="0">
                  <c:v>Payload loss (fuel)</c:v>
                </c:pt>
              </c:strCache>
            </c:strRef>
          </c:tx>
          <c:spPr>
            <a:solidFill>
              <a:schemeClr val="accent4">
                <a:lumMod val="60000"/>
              </a:schemeClr>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(Catenary)'!$B$83,'Railway (Catenary)'!$N$83,'Railway (Catenary)'!$AC$83)</c:f>
              <c:numCache>
                <c:formatCode>0.00</c:formatCode>
                <c:ptCount val="3"/>
                <c:pt idx="0">
                  <c:v>0</c:v>
                </c:pt>
                <c:pt idx="1">
                  <c:v>0</c:v>
                </c:pt>
                <c:pt idx="2">
                  <c:v>0</c:v>
                </c:pt>
              </c:numCache>
            </c:numRef>
          </c:val>
          <c:extLst>
            <c:ext xmlns:c16="http://schemas.microsoft.com/office/drawing/2014/chart" uri="{C3380CC4-5D6E-409C-BE32-E72D297353CC}">
              <c16:uniqueId val="{00000009-D32C-4963-9688-BB2BDD10D58A}"/>
            </c:ext>
          </c:extLst>
        </c:ser>
        <c:ser>
          <c:idx val="10"/>
          <c:order val="10"/>
          <c:tx>
            <c:strRef>
              <c:f>'Railway (Catenary)'!$A$298</c:f>
              <c:strCache>
                <c:ptCount val="1"/>
                <c:pt idx="0">
                  <c:v>Emission Cost</c:v>
                </c:pt>
              </c:strCache>
            </c:strRef>
          </c:tx>
          <c:spPr>
            <a:solidFill>
              <a:schemeClr val="accent5">
                <a:lumMod val="60000"/>
              </a:schemeClr>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(Catenary)'!$B$298,'Railway (Catenary)'!$N$298,'Railway (Catenary)'!$AC$298)</c:f>
              <c:numCache>
                <c:formatCode>0.000</c:formatCode>
                <c:ptCount val="3"/>
                <c:pt idx="0">
                  <c:v>3.2612180545682326E-5</c:v>
                </c:pt>
                <c:pt idx="1">
                  <c:v>2.7864563446370286E-5</c:v>
                </c:pt>
                <c:pt idx="2">
                  <c:v>5.295535265214743E-7</c:v>
                </c:pt>
              </c:numCache>
            </c:numRef>
          </c:val>
          <c:extLst>
            <c:ext xmlns:c16="http://schemas.microsoft.com/office/drawing/2014/chart" uri="{C3380CC4-5D6E-409C-BE32-E72D297353CC}">
              <c16:uniqueId val="{00000000-F6EB-4E41-ADCA-D9ED21E7EE7A}"/>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(Catenary)'!$A$11</c:f>
              <c:strCache>
                <c:ptCount val="1"/>
                <c:pt idx="0">
                  <c:v>Capex vehicle</c:v>
                </c:pt>
              </c:strCache>
            </c:strRef>
          </c:tx>
          <c:spPr>
            <a:ln w="28575" cap="rnd">
              <a:solidFill>
                <a:schemeClr val="accent1"/>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9E9C-4077-9DEE-98C295A2F534}"/>
            </c:ext>
          </c:extLst>
        </c:ser>
        <c:ser>
          <c:idx val="13"/>
          <c:order val="1"/>
          <c:tx>
            <c:strRef>
              <c:f>'Railway (Catenary)'!$A$12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(Catenary)'!$Q$12:$AR$12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9E9C-4077-9DEE-98C295A2F534}"/>
            </c:ext>
          </c:extLst>
        </c:ser>
        <c:ser>
          <c:idx val="1"/>
          <c:order val="2"/>
          <c:tx>
            <c:strRef>
              <c:f>'Railway (Catenary)'!$A$13</c:f>
              <c:strCache>
                <c:ptCount val="1"/>
                <c:pt idx="0">
                  <c:v>Capex costumization</c:v>
                </c:pt>
              </c:strCache>
            </c:strRef>
          </c:tx>
          <c:spPr>
            <a:ln w="28575" cap="rnd">
              <a:solidFill>
                <a:schemeClr val="accent2"/>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9E9C-4077-9DEE-98C295A2F534}"/>
            </c:ext>
          </c:extLst>
        </c:ser>
        <c:ser>
          <c:idx val="14"/>
          <c:order val="3"/>
          <c:tx>
            <c:strRef>
              <c:f>'Railway (Catenary)'!$A$14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(Catenary)'!$Q$14:$AR$14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9E9C-4077-9DEE-98C295A2F534}"/>
            </c:ext>
          </c:extLst>
        </c:ser>
        <c:ser>
          <c:idx val="2"/>
          <c:order val="4"/>
          <c:tx>
            <c:strRef>
              <c:f>'Railway (Catenary)'!$A$15</c:f>
              <c:strCache>
                <c:ptCount val="1"/>
                <c:pt idx="0">
                  <c:v>WACC</c:v>
                </c:pt>
              </c:strCache>
            </c:strRef>
          </c:tx>
          <c:spPr>
            <a:ln w="28575" cap="rnd">
              <a:solidFill>
                <a:schemeClr val="accent3"/>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9E9C-4077-9DEE-98C295A2F534}"/>
            </c:ext>
          </c:extLst>
        </c:ser>
        <c:ser>
          <c:idx val="3"/>
          <c:order val="5"/>
          <c:tx>
            <c:strRef>
              <c:f>'Railway (Catenary)'!$A$16</c:f>
              <c:strCache>
                <c:ptCount val="1"/>
                <c:pt idx="0">
                  <c:v>Opex fix (admin, crew, insurance)</c:v>
                </c:pt>
              </c:strCache>
            </c:strRef>
          </c:tx>
          <c:spPr>
            <a:ln w="28575" cap="rnd">
              <a:solidFill>
                <a:schemeClr val="accent4"/>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9E9C-4077-9DEE-98C295A2F534}"/>
            </c:ext>
          </c:extLst>
        </c:ser>
        <c:ser>
          <c:idx val="4"/>
          <c:order val="6"/>
          <c:tx>
            <c:strRef>
              <c:f>'Railway (Catenary)'!$A$18</c:f>
              <c:strCache>
                <c:ptCount val="1"/>
                <c:pt idx="0">
                  <c:v>Opex var (mode-fees, shunting)</c:v>
                </c:pt>
              </c:strCache>
            </c:strRef>
          </c:tx>
          <c:spPr>
            <a:ln w="28575" cap="rnd">
              <a:solidFill>
                <a:schemeClr val="accent5"/>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9E9C-4077-9DEE-98C295A2F534}"/>
            </c:ext>
          </c:extLst>
        </c:ser>
        <c:ser>
          <c:idx val="5"/>
          <c:order val="7"/>
          <c:tx>
            <c:strRef>
              <c:f>'Railway (Catenary)'!$A$19</c:f>
              <c:strCache>
                <c:ptCount val="1"/>
                <c:pt idx="0">
                  <c:v>Fuel Economy</c:v>
                </c:pt>
              </c:strCache>
            </c:strRef>
          </c:tx>
          <c:spPr>
            <a:ln w="28575" cap="rnd">
              <a:solidFill>
                <a:schemeClr val="accent6"/>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9E9C-4077-9DEE-98C295A2F534}"/>
            </c:ext>
          </c:extLst>
        </c:ser>
        <c:ser>
          <c:idx val="6"/>
          <c:order val="8"/>
          <c:tx>
            <c:strRef>
              <c:f>'Railway (Catenary)'!$A$20</c:f>
              <c:strCache>
                <c:ptCount val="1"/>
                <c:pt idx="0">
                  <c:v>Fuel Cost</c:v>
                </c:pt>
              </c:strCache>
            </c:strRef>
          </c:tx>
          <c:spPr>
            <a:ln w="28575" cap="rnd">
              <a:solidFill>
                <a:schemeClr val="accent1">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9E9C-4077-9DEE-98C295A2F534}"/>
            </c:ext>
          </c:extLst>
        </c:ser>
        <c:ser>
          <c:idx val="7"/>
          <c:order val="9"/>
          <c:tx>
            <c:strRef>
              <c:f>'Railway (Catenary)'!$A$22</c:f>
              <c:strCache>
                <c:ptCount val="1"/>
                <c:pt idx="0">
                  <c:v>Lifetime vehicle</c:v>
                </c:pt>
              </c:strCache>
            </c:strRef>
          </c:tx>
          <c:spPr>
            <a:ln w="28575" cap="rnd">
              <a:solidFill>
                <a:schemeClr val="accent2">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9E9C-4077-9DEE-98C295A2F534}"/>
            </c:ext>
          </c:extLst>
        </c:ser>
        <c:ser>
          <c:idx val="8"/>
          <c:order val="10"/>
          <c:tx>
            <c:strRef>
              <c:f>'Railway (Catenary)'!$A$23</c:f>
              <c:strCache>
                <c:ptCount val="1"/>
                <c:pt idx="0">
                  <c:v>Lifetime costumization</c:v>
                </c:pt>
              </c:strCache>
            </c:strRef>
          </c:tx>
          <c:spPr>
            <a:ln w="28575" cap="rnd">
              <a:solidFill>
                <a:schemeClr val="accent3">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9E9C-4077-9DEE-98C295A2F534}"/>
            </c:ext>
          </c:extLst>
        </c:ser>
        <c:ser>
          <c:idx val="9"/>
          <c:order val="11"/>
          <c:tx>
            <c:strRef>
              <c:f>'Railway (Catenary)'!$A$24</c:f>
              <c:strCache>
                <c:ptCount val="1"/>
                <c:pt idx="0">
                  <c:v>Tonnage </c:v>
                </c:pt>
              </c:strCache>
            </c:strRef>
          </c:tx>
          <c:spPr>
            <a:ln w="28575" cap="rnd">
              <a:solidFill>
                <a:schemeClr val="accent4">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9E9C-4077-9DEE-98C295A2F534}"/>
            </c:ext>
          </c:extLst>
        </c:ser>
        <c:ser>
          <c:idx val="10"/>
          <c:order val="12"/>
          <c:tx>
            <c:strRef>
              <c:f>'Railway (Catenary)'!$A$25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9E9C-4077-9DEE-98C295A2F534}"/>
            </c:ext>
          </c:extLst>
        </c:ser>
        <c:ser>
          <c:idx val="11"/>
          <c:order val="13"/>
          <c:tx>
            <c:strRef>
              <c:f>'Railway (Catenary)'!$A$27</c:f>
              <c:strCache>
                <c:ptCount val="1"/>
                <c:pt idx="0">
                  <c:v>Annual Mileage</c:v>
                </c:pt>
              </c:strCache>
            </c:strRef>
          </c:tx>
          <c:spPr>
            <a:ln w="28575" cap="rnd">
              <a:solidFill>
                <a:schemeClr val="accent6">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9E9C-4077-9DEE-98C295A2F534}"/>
            </c:ext>
          </c:extLst>
        </c:ser>
        <c:ser>
          <c:idx val="12"/>
          <c:order val="14"/>
          <c:tx>
            <c:strRef>
              <c:f>'Railway (Catenary)'!$A$17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(Catenary)'!$Q$17:$AR$17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9E9C-4077-9DEE-98C295A2F534}"/>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(Catenary)'!$A$74</c:f>
              <c:strCache>
                <c:ptCount val="1"/>
                <c:pt idx="0">
                  <c:v>Capex vehicle</c:v>
                </c:pt>
              </c:strCache>
            </c:strRef>
          </c:tx>
          <c:spPr>
            <a:solidFill>
              <a:schemeClr val="accent1"/>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(Catenary)'!$B$74,'Railway (Catenary)'!$N$74,'Railway (Catenary)'!$AC$74)</c:f>
              <c:numCache>
                <c:formatCode>0.00</c:formatCode>
                <c:ptCount val="3"/>
                <c:pt idx="0">
                  <c:v>1.0902430594344164E-3</c:v>
                </c:pt>
                <c:pt idx="1">
                  <c:v>1.0902430594344164E-3</c:v>
                </c:pt>
                <c:pt idx="2">
                  <c:v>1.0902430594344164E-3</c:v>
                </c:pt>
              </c:numCache>
            </c:numRef>
          </c:val>
          <c:extLst>
            <c:ext xmlns:c16="http://schemas.microsoft.com/office/drawing/2014/chart" uri="{C3380CC4-5D6E-409C-BE32-E72D297353CC}">
              <c16:uniqueId val="{00000000-E83A-4823-B73B-ED0F7B91C56A}"/>
            </c:ext>
          </c:extLst>
        </c:ser>
        <c:ser>
          <c:idx val="1"/>
          <c:order val="1"/>
          <c:tx>
            <c:strRef>
              <c:f>'Railway (Catenary)'!$A$75</c:f>
              <c:strCache>
                <c:ptCount val="1"/>
                <c:pt idx="0">
                  <c:v>Residual value (vehicle)</c:v>
                </c:pt>
              </c:strCache>
            </c:strRef>
          </c:tx>
          <c:spPr>
            <a:solidFill>
              <a:schemeClr val="accent2"/>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(Catenary)'!$B$75,'Railway (Catenary)'!$N$75,'Railway (Catenary)'!$AC$75)</c:f>
              <c:numCache>
                <c:formatCode>0.000</c:formatCode>
                <c:ptCount val="3"/>
                <c:pt idx="0">
                  <c:v>-1.6353645891516245E-4</c:v>
                </c:pt>
                <c:pt idx="1">
                  <c:v>-1.6353645891516245E-4</c:v>
                </c:pt>
                <c:pt idx="2">
                  <c:v>-1.6353645891516245E-4</c:v>
                </c:pt>
              </c:numCache>
            </c:numRef>
          </c:val>
          <c:extLst>
            <c:ext xmlns:c16="http://schemas.microsoft.com/office/drawing/2014/chart" uri="{C3380CC4-5D6E-409C-BE32-E72D297353CC}">
              <c16:uniqueId val="{00000001-E83A-4823-B73B-ED0F7B91C56A}"/>
            </c:ext>
          </c:extLst>
        </c:ser>
        <c:ser>
          <c:idx val="2"/>
          <c:order val="2"/>
          <c:tx>
            <c:strRef>
              <c:f>'Railway (Catenary)'!$A$76</c:f>
              <c:strCache>
                <c:ptCount val="1"/>
                <c:pt idx="0">
                  <c:v>Capex costumization</c:v>
                </c:pt>
              </c:strCache>
            </c:strRef>
          </c:tx>
          <c:spPr>
            <a:solidFill>
              <a:schemeClr val="accent3"/>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(Catenary)'!$B$76,'Railway (Catenary)'!$N$76,'Railway (Catenary)'!$AC$76)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E83A-4823-B73B-ED0F7B91C56A}"/>
            </c:ext>
          </c:extLst>
        </c:ser>
        <c:ser>
          <c:idx val="3"/>
          <c:order val="3"/>
          <c:tx>
            <c:strRef>
              <c:f>'Railway (Catenary)'!$A$77</c:f>
              <c:strCache>
                <c:ptCount val="1"/>
                <c:pt idx="0">
                  <c:v>Residual value (costumization)</c:v>
                </c:pt>
              </c:strCache>
            </c:strRef>
          </c:tx>
          <c:spPr>
            <a:solidFill>
              <a:schemeClr val="accent4"/>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(Catenary)'!$B$77,'Railway (Catenary)'!$N$77,'Railway (Catenary)'!$AC$77)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E83A-4823-B73B-ED0F7B91C56A}"/>
            </c:ext>
          </c:extLst>
        </c:ser>
        <c:ser>
          <c:idx val="4"/>
          <c:order val="4"/>
          <c:tx>
            <c:strRef>
              <c:f>'Railway (Catenary)'!$A$78</c:f>
              <c:strCache>
                <c:ptCount val="1"/>
                <c:pt idx="0">
                  <c:v>Opex fix (admin, crew, insurance)</c:v>
                </c:pt>
              </c:strCache>
            </c:strRef>
          </c:tx>
          <c:spPr>
            <a:solidFill>
              <a:schemeClr val="accent5"/>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(Catenary)'!$B$78,'Railway (Catenary)'!$N$78,'Railway (Catenary)'!$AC$78)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E83A-4823-B73B-ED0F7B91C56A}"/>
            </c:ext>
          </c:extLst>
        </c:ser>
        <c:ser>
          <c:idx val="5"/>
          <c:order val="5"/>
          <c:tx>
            <c:strRef>
              <c:f>'Railway (Catenary)'!$A$79</c:f>
              <c:strCache>
                <c:ptCount val="1"/>
                <c:pt idx="0">
                  <c:v>Opex maintenance &amp; repair</c:v>
                </c:pt>
              </c:strCache>
            </c:strRef>
          </c:tx>
          <c:spPr>
            <a:solidFill>
              <a:schemeClr val="accent6"/>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(Catenary)'!$B$79,'Railway (Catenary)'!$N$79,'Railway (Catenary)'!$AC$79)</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5-E83A-4823-B73B-ED0F7B91C56A}"/>
            </c:ext>
          </c:extLst>
        </c:ser>
        <c:ser>
          <c:idx val="6"/>
          <c:order val="6"/>
          <c:tx>
            <c:strRef>
              <c:f>'Railway (Catenary)'!$A$80</c:f>
              <c:strCache>
                <c:ptCount val="1"/>
                <c:pt idx="0">
                  <c:v>Opex var (mode-fees, shunting)</c:v>
                </c:pt>
              </c:strCache>
            </c:strRef>
          </c:tx>
          <c:spPr>
            <a:solidFill>
              <a:schemeClr val="accent1">
                <a:lumMod val="60000"/>
              </a:schemeClr>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(Catenary)'!$B$80,'Railway (Catenary)'!$N$80,'Railway (Catenary)'!$AC$80)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E83A-4823-B73B-ED0F7B91C56A}"/>
            </c:ext>
          </c:extLst>
        </c:ser>
        <c:ser>
          <c:idx val="7"/>
          <c:order val="7"/>
          <c:tx>
            <c:strRef>
              <c:f>'Railway (Catenary)'!$A$81</c:f>
              <c:strCache>
                <c:ptCount val="1"/>
                <c:pt idx="0">
                  <c:v>Fuel Cost</c:v>
                </c:pt>
              </c:strCache>
            </c:strRef>
          </c:tx>
          <c:spPr>
            <a:solidFill>
              <a:schemeClr val="accent2">
                <a:lumMod val="60000"/>
              </a:schemeClr>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(Catenary)'!$B$81,'Railway (Catenary)'!$N$81,'Railway (Catenary)'!$AC$81)</c:f>
              <c:numCache>
                <c:formatCode>0.00</c:formatCode>
                <c:ptCount val="3"/>
                <c:pt idx="0">
                  <c:v>1.8785303492431114E-3</c:v>
                </c:pt>
                <c:pt idx="1">
                  <c:v>1.5382673431020731E-3</c:v>
                </c:pt>
                <c:pt idx="2">
                  <c:v>1.2375826156552142E-3</c:v>
                </c:pt>
              </c:numCache>
            </c:numRef>
          </c:val>
          <c:extLst>
            <c:ext xmlns:c16="http://schemas.microsoft.com/office/drawing/2014/chart" uri="{C3380CC4-5D6E-409C-BE32-E72D297353CC}">
              <c16:uniqueId val="{00000007-E83A-4823-B73B-ED0F7B91C56A}"/>
            </c:ext>
          </c:extLst>
        </c:ser>
        <c:ser>
          <c:idx val="8"/>
          <c:order val="8"/>
          <c:tx>
            <c:strRef>
              <c:f>'Railway (Catenary)'!$A$82</c:f>
              <c:strCache>
                <c:ptCount val="1"/>
                <c:pt idx="0">
                  <c:v>Market failure (av. utilization)</c:v>
                </c:pt>
              </c:strCache>
            </c:strRef>
          </c:tx>
          <c:spPr>
            <a:solidFill>
              <a:schemeClr val="accent3">
                <a:lumMod val="60000"/>
              </a:schemeClr>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(Catenary)'!$B$82,'Railway (Catenary)'!$N$82,'Railway (Catenary)'!$AC$82)</c:f>
              <c:numCache>
                <c:formatCode>0.00</c:formatCode>
                <c:ptCount val="3"/>
                <c:pt idx="0">
                  <c:v>4.8606326379616368E-3</c:v>
                </c:pt>
                <c:pt idx="1">
                  <c:v>4.6665641623889389E-3</c:v>
                </c:pt>
                <c:pt idx="2">
                  <c:v>4.4820530601201673E-3</c:v>
                </c:pt>
              </c:numCache>
            </c:numRef>
          </c:val>
          <c:extLst>
            <c:ext xmlns:c16="http://schemas.microsoft.com/office/drawing/2014/chart" uri="{C3380CC4-5D6E-409C-BE32-E72D297353CC}">
              <c16:uniqueId val="{00000008-E83A-4823-B73B-ED0F7B91C56A}"/>
            </c:ext>
          </c:extLst>
        </c:ser>
        <c:ser>
          <c:idx val="9"/>
          <c:order val="9"/>
          <c:tx>
            <c:strRef>
              <c:f>'Railway (Catenary)'!$A$83</c:f>
              <c:strCache>
                <c:ptCount val="1"/>
                <c:pt idx="0">
                  <c:v>Payload loss (fuel)</c:v>
                </c:pt>
              </c:strCache>
            </c:strRef>
          </c:tx>
          <c:spPr>
            <a:solidFill>
              <a:schemeClr val="accent4">
                <a:lumMod val="60000"/>
              </a:schemeClr>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(Catenary)'!$B$83,'Railway (Catenary)'!$N$83,'Railway (Catenary)'!$AC$83)</c:f>
              <c:numCache>
                <c:formatCode>0.00</c:formatCode>
                <c:ptCount val="3"/>
                <c:pt idx="0">
                  <c:v>0</c:v>
                </c:pt>
                <c:pt idx="1">
                  <c:v>0</c:v>
                </c:pt>
                <c:pt idx="2">
                  <c:v>0</c:v>
                </c:pt>
              </c:numCache>
            </c:numRef>
          </c:val>
          <c:extLst>
            <c:ext xmlns:c16="http://schemas.microsoft.com/office/drawing/2014/chart" uri="{C3380CC4-5D6E-409C-BE32-E72D297353CC}">
              <c16:uniqueId val="{00000009-E83A-4823-B73B-ED0F7B91C56A}"/>
            </c:ext>
          </c:extLst>
        </c:ser>
        <c:ser>
          <c:idx val="10"/>
          <c:order val="10"/>
          <c:tx>
            <c:strRef>
              <c:f>'Railway (Catenary)'!$A$407</c:f>
              <c:strCache>
                <c:ptCount val="1"/>
                <c:pt idx="0">
                  <c:v>Emission Cost</c:v>
                </c:pt>
              </c:strCache>
            </c:strRef>
          </c:tx>
          <c:spPr>
            <a:solidFill>
              <a:schemeClr val="accent5">
                <a:lumMod val="60000"/>
              </a:schemeClr>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(Catenary)'!$B$407,'Railway (Catenary)'!$N$407,'Railway (Catenary)'!$AC$407)</c:f>
              <c:numCache>
                <c:formatCode>0.000</c:formatCode>
                <c:ptCount val="3"/>
                <c:pt idx="0">
                  <c:v>3.2612180545682326E-5</c:v>
                </c:pt>
                <c:pt idx="1">
                  <c:v>2.7864563446370286E-5</c:v>
                </c:pt>
                <c:pt idx="2">
                  <c:v>5.295535265214743E-7</c:v>
                </c:pt>
              </c:numCache>
            </c:numRef>
          </c:val>
          <c:extLst>
            <c:ext xmlns:c16="http://schemas.microsoft.com/office/drawing/2014/chart" uri="{C3380CC4-5D6E-409C-BE32-E72D297353CC}">
              <c16:uniqueId val="{00000000-3B94-4020-A673-816BD1B9A74E}"/>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(Catenary)'!$A$11</c:f>
              <c:strCache>
                <c:ptCount val="1"/>
                <c:pt idx="0">
                  <c:v>Capex vehicle</c:v>
                </c:pt>
              </c:strCache>
            </c:strRef>
          </c:tx>
          <c:spPr>
            <a:ln w="28575" cap="rnd">
              <a:solidFill>
                <a:schemeClr val="accent1"/>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79D3-450D-886E-FD50B22BCB7F}"/>
            </c:ext>
          </c:extLst>
        </c:ser>
        <c:ser>
          <c:idx val="13"/>
          <c:order val="1"/>
          <c:tx>
            <c:strRef>
              <c:f>'Railway (Catenary)'!$A$12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(Catenary)'!$Q$12:$AR$12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79D3-450D-886E-FD50B22BCB7F}"/>
            </c:ext>
          </c:extLst>
        </c:ser>
        <c:ser>
          <c:idx val="1"/>
          <c:order val="2"/>
          <c:tx>
            <c:strRef>
              <c:f>'Railway (Catenary)'!$A$13</c:f>
              <c:strCache>
                <c:ptCount val="1"/>
                <c:pt idx="0">
                  <c:v>Capex costumization</c:v>
                </c:pt>
              </c:strCache>
            </c:strRef>
          </c:tx>
          <c:spPr>
            <a:ln w="28575" cap="rnd">
              <a:solidFill>
                <a:schemeClr val="accent2"/>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79D3-450D-886E-FD50B22BCB7F}"/>
            </c:ext>
          </c:extLst>
        </c:ser>
        <c:ser>
          <c:idx val="14"/>
          <c:order val="3"/>
          <c:tx>
            <c:strRef>
              <c:f>'Railway (Catenary)'!$A$14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(Catenary)'!$Q$14:$AR$14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79D3-450D-886E-FD50B22BCB7F}"/>
            </c:ext>
          </c:extLst>
        </c:ser>
        <c:ser>
          <c:idx val="2"/>
          <c:order val="4"/>
          <c:tx>
            <c:strRef>
              <c:f>'Railway (Catenary)'!$A$15</c:f>
              <c:strCache>
                <c:ptCount val="1"/>
                <c:pt idx="0">
                  <c:v>WACC</c:v>
                </c:pt>
              </c:strCache>
            </c:strRef>
          </c:tx>
          <c:spPr>
            <a:ln w="28575" cap="rnd">
              <a:solidFill>
                <a:schemeClr val="accent3"/>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79D3-450D-886E-FD50B22BCB7F}"/>
            </c:ext>
          </c:extLst>
        </c:ser>
        <c:ser>
          <c:idx val="3"/>
          <c:order val="5"/>
          <c:tx>
            <c:strRef>
              <c:f>'Railway (Catenary)'!$A$16</c:f>
              <c:strCache>
                <c:ptCount val="1"/>
                <c:pt idx="0">
                  <c:v>Opex fix (admin, crew, insurance)</c:v>
                </c:pt>
              </c:strCache>
            </c:strRef>
          </c:tx>
          <c:spPr>
            <a:ln w="28575" cap="rnd">
              <a:solidFill>
                <a:schemeClr val="accent4"/>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79D3-450D-886E-FD50B22BCB7F}"/>
            </c:ext>
          </c:extLst>
        </c:ser>
        <c:ser>
          <c:idx val="4"/>
          <c:order val="6"/>
          <c:tx>
            <c:strRef>
              <c:f>'Railway (Catenary)'!$A$18</c:f>
              <c:strCache>
                <c:ptCount val="1"/>
                <c:pt idx="0">
                  <c:v>Opex var (mode-fees, shunting)</c:v>
                </c:pt>
              </c:strCache>
            </c:strRef>
          </c:tx>
          <c:spPr>
            <a:ln w="28575" cap="rnd">
              <a:solidFill>
                <a:schemeClr val="accent5"/>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79D3-450D-886E-FD50B22BCB7F}"/>
            </c:ext>
          </c:extLst>
        </c:ser>
        <c:ser>
          <c:idx val="5"/>
          <c:order val="7"/>
          <c:tx>
            <c:strRef>
              <c:f>'Railway (Catenary)'!$A$19</c:f>
              <c:strCache>
                <c:ptCount val="1"/>
                <c:pt idx="0">
                  <c:v>Fuel Economy</c:v>
                </c:pt>
              </c:strCache>
            </c:strRef>
          </c:tx>
          <c:spPr>
            <a:ln w="28575" cap="rnd">
              <a:solidFill>
                <a:schemeClr val="accent6"/>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79D3-450D-886E-FD50B22BCB7F}"/>
            </c:ext>
          </c:extLst>
        </c:ser>
        <c:ser>
          <c:idx val="6"/>
          <c:order val="8"/>
          <c:tx>
            <c:strRef>
              <c:f>'Railway (Catenary)'!$A$20</c:f>
              <c:strCache>
                <c:ptCount val="1"/>
                <c:pt idx="0">
                  <c:v>Fuel Cost</c:v>
                </c:pt>
              </c:strCache>
            </c:strRef>
          </c:tx>
          <c:spPr>
            <a:ln w="28575" cap="rnd">
              <a:solidFill>
                <a:schemeClr val="accent1">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79D3-450D-886E-FD50B22BCB7F}"/>
            </c:ext>
          </c:extLst>
        </c:ser>
        <c:ser>
          <c:idx val="7"/>
          <c:order val="9"/>
          <c:tx>
            <c:strRef>
              <c:f>'Railway (Catenary)'!$A$22</c:f>
              <c:strCache>
                <c:ptCount val="1"/>
                <c:pt idx="0">
                  <c:v>Lifetime vehicle</c:v>
                </c:pt>
              </c:strCache>
            </c:strRef>
          </c:tx>
          <c:spPr>
            <a:ln w="28575" cap="rnd">
              <a:solidFill>
                <a:schemeClr val="accent2">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79D3-450D-886E-FD50B22BCB7F}"/>
            </c:ext>
          </c:extLst>
        </c:ser>
        <c:ser>
          <c:idx val="8"/>
          <c:order val="10"/>
          <c:tx>
            <c:strRef>
              <c:f>'Railway (Catenary)'!$A$23</c:f>
              <c:strCache>
                <c:ptCount val="1"/>
                <c:pt idx="0">
                  <c:v>Lifetime costumization</c:v>
                </c:pt>
              </c:strCache>
            </c:strRef>
          </c:tx>
          <c:spPr>
            <a:ln w="28575" cap="rnd">
              <a:solidFill>
                <a:schemeClr val="accent3">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79D3-450D-886E-FD50B22BCB7F}"/>
            </c:ext>
          </c:extLst>
        </c:ser>
        <c:ser>
          <c:idx val="9"/>
          <c:order val="11"/>
          <c:tx>
            <c:strRef>
              <c:f>'Railway (Catenary)'!$A$24</c:f>
              <c:strCache>
                <c:ptCount val="1"/>
                <c:pt idx="0">
                  <c:v>Tonnage </c:v>
                </c:pt>
              </c:strCache>
            </c:strRef>
          </c:tx>
          <c:spPr>
            <a:ln w="28575" cap="rnd">
              <a:solidFill>
                <a:schemeClr val="accent4">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79D3-450D-886E-FD50B22BCB7F}"/>
            </c:ext>
          </c:extLst>
        </c:ser>
        <c:ser>
          <c:idx val="10"/>
          <c:order val="12"/>
          <c:tx>
            <c:strRef>
              <c:f>'Railway (Catenary)'!$A$25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79D3-450D-886E-FD50B22BCB7F}"/>
            </c:ext>
          </c:extLst>
        </c:ser>
        <c:ser>
          <c:idx val="11"/>
          <c:order val="13"/>
          <c:tx>
            <c:strRef>
              <c:f>'Railway (Catenary)'!$A$27</c:f>
              <c:strCache>
                <c:ptCount val="1"/>
                <c:pt idx="0">
                  <c:v>Annual Mileage</c:v>
                </c:pt>
              </c:strCache>
            </c:strRef>
          </c:tx>
          <c:spPr>
            <a:ln w="28575" cap="rnd">
              <a:solidFill>
                <a:schemeClr val="accent6">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79D3-450D-886E-FD50B22BCB7F}"/>
            </c:ext>
          </c:extLst>
        </c:ser>
        <c:ser>
          <c:idx val="12"/>
          <c:order val="14"/>
          <c:tx>
            <c:strRef>
              <c:f>'Railway (Catenary)'!$A$17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(Catenary)'!$Q$17:$AR$17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79D3-450D-886E-FD50B22BCB7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(Catenary)'!$A$74</c:f>
              <c:strCache>
                <c:ptCount val="1"/>
                <c:pt idx="0">
                  <c:v>Capex vehicle</c:v>
                </c:pt>
              </c:strCache>
            </c:strRef>
          </c:tx>
          <c:spPr>
            <a:solidFill>
              <a:schemeClr val="accent1"/>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(Catenary)'!$B$74,'Railway (Catenary)'!$N$74,'Railway (Catenary)'!$AC$74)</c:f>
              <c:numCache>
                <c:formatCode>0.00</c:formatCode>
                <c:ptCount val="3"/>
                <c:pt idx="0">
                  <c:v>1.0902430594344164E-3</c:v>
                </c:pt>
                <c:pt idx="1">
                  <c:v>1.0902430594344164E-3</c:v>
                </c:pt>
                <c:pt idx="2">
                  <c:v>1.0902430594344164E-3</c:v>
                </c:pt>
              </c:numCache>
            </c:numRef>
          </c:val>
          <c:extLst>
            <c:ext xmlns:c16="http://schemas.microsoft.com/office/drawing/2014/chart" uri="{C3380CC4-5D6E-409C-BE32-E72D297353CC}">
              <c16:uniqueId val="{00000000-C806-4F84-830D-07E493B86E71}"/>
            </c:ext>
          </c:extLst>
        </c:ser>
        <c:ser>
          <c:idx val="1"/>
          <c:order val="1"/>
          <c:tx>
            <c:strRef>
              <c:f>'Railway (Catenary)'!$A$75</c:f>
              <c:strCache>
                <c:ptCount val="1"/>
                <c:pt idx="0">
                  <c:v>Residual value (vehicle)</c:v>
                </c:pt>
              </c:strCache>
            </c:strRef>
          </c:tx>
          <c:spPr>
            <a:solidFill>
              <a:schemeClr val="accent2"/>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(Catenary)'!$B$75,'Railway (Catenary)'!$N$75,'Railway (Catenary)'!$AC$75)</c:f>
              <c:numCache>
                <c:formatCode>0.000</c:formatCode>
                <c:ptCount val="3"/>
                <c:pt idx="0">
                  <c:v>-1.6353645891516245E-4</c:v>
                </c:pt>
                <c:pt idx="1">
                  <c:v>-1.6353645891516245E-4</c:v>
                </c:pt>
                <c:pt idx="2">
                  <c:v>-1.6353645891516245E-4</c:v>
                </c:pt>
              </c:numCache>
            </c:numRef>
          </c:val>
          <c:extLst>
            <c:ext xmlns:c16="http://schemas.microsoft.com/office/drawing/2014/chart" uri="{C3380CC4-5D6E-409C-BE32-E72D297353CC}">
              <c16:uniqueId val="{00000001-C806-4F84-830D-07E493B86E71}"/>
            </c:ext>
          </c:extLst>
        </c:ser>
        <c:ser>
          <c:idx val="2"/>
          <c:order val="2"/>
          <c:tx>
            <c:strRef>
              <c:f>'Railway (Catenary)'!$A$76</c:f>
              <c:strCache>
                <c:ptCount val="1"/>
                <c:pt idx="0">
                  <c:v>Capex costumization</c:v>
                </c:pt>
              </c:strCache>
            </c:strRef>
          </c:tx>
          <c:spPr>
            <a:solidFill>
              <a:schemeClr val="accent3"/>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(Catenary)'!$B$76,'Railway (Catenary)'!$N$76,'Railway (Catenary)'!$AC$76)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C806-4F84-830D-07E493B86E71}"/>
            </c:ext>
          </c:extLst>
        </c:ser>
        <c:ser>
          <c:idx val="3"/>
          <c:order val="3"/>
          <c:tx>
            <c:strRef>
              <c:f>'Railway (Catenary)'!$A$77</c:f>
              <c:strCache>
                <c:ptCount val="1"/>
                <c:pt idx="0">
                  <c:v>Residual value (costumization)</c:v>
                </c:pt>
              </c:strCache>
            </c:strRef>
          </c:tx>
          <c:spPr>
            <a:solidFill>
              <a:schemeClr val="accent4"/>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(Catenary)'!$B$77,'Railway (Catenary)'!$N$77,'Railway (Catenary)'!$AC$77)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C806-4F84-830D-07E493B86E71}"/>
            </c:ext>
          </c:extLst>
        </c:ser>
        <c:ser>
          <c:idx val="4"/>
          <c:order val="4"/>
          <c:tx>
            <c:strRef>
              <c:f>'Railway (Catenary)'!$A$78</c:f>
              <c:strCache>
                <c:ptCount val="1"/>
                <c:pt idx="0">
                  <c:v>Opex fix (admin, crew, insurance)</c:v>
                </c:pt>
              </c:strCache>
            </c:strRef>
          </c:tx>
          <c:spPr>
            <a:solidFill>
              <a:schemeClr val="accent5"/>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(Catenary)'!$B$78,'Railway (Catenary)'!$N$78,'Railway (Catenary)'!$AC$78)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C806-4F84-830D-07E493B86E71}"/>
            </c:ext>
          </c:extLst>
        </c:ser>
        <c:ser>
          <c:idx val="5"/>
          <c:order val="5"/>
          <c:tx>
            <c:strRef>
              <c:f>'Railway (Catenary)'!$A$79</c:f>
              <c:strCache>
                <c:ptCount val="1"/>
                <c:pt idx="0">
                  <c:v>Opex maintenance &amp; repair</c:v>
                </c:pt>
              </c:strCache>
            </c:strRef>
          </c:tx>
          <c:spPr>
            <a:solidFill>
              <a:schemeClr val="accent6"/>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(Catenary)'!$B$79,'Railway (Catenary)'!$N$79,'Railway (Catenary)'!$AC$79)</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5-C806-4F84-830D-07E493B86E71}"/>
            </c:ext>
          </c:extLst>
        </c:ser>
        <c:ser>
          <c:idx val="6"/>
          <c:order val="6"/>
          <c:tx>
            <c:strRef>
              <c:f>'Railway (Catenary)'!$A$80</c:f>
              <c:strCache>
                <c:ptCount val="1"/>
                <c:pt idx="0">
                  <c:v>Opex var (mode-fees, shunting)</c:v>
                </c:pt>
              </c:strCache>
            </c:strRef>
          </c:tx>
          <c:spPr>
            <a:solidFill>
              <a:schemeClr val="accent1">
                <a:lumMod val="60000"/>
              </a:schemeClr>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(Catenary)'!$B$80,'Railway (Catenary)'!$N$80,'Railway (Catenary)'!$AC$80)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C806-4F84-830D-07E493B86E71}"/>
            </c:ext>
          </c:extLst>
        </c:ser>
        <c:ser>
          <c:idx val="7"/>
          <c:order val="7"/>
          <c:tx>
            <c:strRef>
              <c:f>'Railway (Catenary)'!$A$81</c:f>
              <c:strCache>
                <c:ptCount val="1"/>
                <c:pt idx="0">
                  <c:v>Fuel Cost</c:v>
                </c:pt>
              </c:strCache>
            </c:strRef>
          </c:tx>
          <c:spPr>
            <a:solidFill>
              <a:schemeClr val="accent2">
                <a:lumMod val="60000"/>
              </a:schemeClr>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(Catenary)'!$B$81,'Railway (Catenary)'!$N$81,'Railway (Catenary)'!$AC$81)</c:f>
              <c:numCache>
                <c:formatCode>0.00</c:formatCode>
                <c:ptCount val="3"/>
                <c:pt idx="0">
                  <c:v>1.8785303492431114E-3</c:v>
                </c:pt>
                <c:pt idx="1">
                  <c:v>1.5382673431020731E-3</c:v>
                </c:pt>
                <c:pt idx="2">
                  <c:v>1.2375826156552142E-3</c:v>
                </c:pt>
              </c:numCache>
            </c:numRef>
          </c:val>
          <c:extLst>
            <c:ext xmlns:c16="http://schemas.microsoft.com/office/drawing/2014/chart" uri="{C3380CC4-5D6E-409C-BE32-E72D297353CC}">
              <c16:uniqueId val="{00000007-C806-4F84-830D-07E493B86E71}"/>
            </c:ext>
          </c:extLst>
        </c:ser>
        <c:ser>
          <c:idx val="8"/>
          <c:order val="8"/>
          <c:tx>
            <c:strRef>
              <c:f>'Railway (Catenary)'!$A$82</c:f>
              <c:strCache>
                <c:ptCount val="1"/>
                <c:pt idx="0">
                  <c:v>Market failure (av. utilization)</c:v>
                </c:pt>
              </c:strCache>
            </c:strRef>
          </c:tx>
          <c:spPr>
            <a:solidFill>
              <a:schemeClr val="accent3">
                <a:lumMod val="60000"/>
              </a:schemeClr>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(Catenary)'!$B$82,'Railway (Catenary)'!$N$82,'Railway (Catenary)'!$AC$82)</c:f>
              <c:numCache>
                <c:formatCode>0.00</c:formatCode>
                <c:ptCount val="3"/>
                <c:pt idx="0">
                  <c:v>4.8606326379616368E-3</c:v>
                </c:pt>
                <c:pt idx="1">
                  <c:v>4.6665641623889389E-3</c:v>
                </c:pt>
                <c:pt idx="2">
                  <c:v>4.4820530601201673E-3</c:v>
                </c:pt>
              </c:numCache>
            </c:numRef>
          </c:val>
          <c:extLst>
            <c:ext xmlns:c16="http://schemas.microsoft.com/office/drawing/2014/chart" uri="{C3380CC4-5D6E-409C-BE32-E72D297353CC}">
              <c16:uniqueId val="{00000008-C806-4F84-830D-07E493B86E71}"/>
            </c:ext>
          </c:extLst>
        </c:ser>
        <c:ser>
          <c:idx val="9"/>
          <c:order val="9"/>
          <c:tx>
            <c:strRef>
              <c:f>'Railway (Catenary)'!$A$83</c:f>
              <c:strCache>
                <c:ptCount val="1"/>
                <c:pt idx="0">
                  <c:v>Payload loss (fuel)</c:v>
                </c:pt>
              </c:strCache>
            </c:strRef>
          </c:tx>
          <c:spPr>
            <a:solidFill>
              <a:schemeClr val="accent4">
                <a:lumMod val="60000"/>
              </a:schemeClr>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(Catenary)'!$B$83,'Railway (Catenary)'!$N$83,'Railway (Catenary)'!$AC$83)</c:f>
              <c:numCache>
                <c:formatCode>0.00</c:formatCode>
                <c:ptCount val="3"/>
                <c:pt idx="0">
                  <c:v>0</c:v>
                </c:pt>
                <c:pt idx="1">
                  <c:v>0</c:v>
                </c:pt>
                <c:pt idx="2">
                  <c:v>0</c:v>
                </c:pt>
              </c:numCache>
            </c:numRef>
          </c:val>
          <c:extLst>
            <c:ext xmlns:c16="http://schemas.microsoft.com/office/drawing/2014/chart" uri="{C3380CC4-5D6E-409C-BE32-E72D297353CC}">
              <c16:uniqueId val="{00000009-C806-4F84-830D-07E493B86E71}"/>
            </c:ext>
          </c:extLst>
        </c:ser>
        <c:ser>
          <c:idx val="10"/>
          <c:order val="10"/>
          <c:tx>
            <c:strRef>
              <c:f>'Railway (Catenary)'!$A$512</c:f>
              <c:strCache>
                <c:ptCount val="1"/>
                <c:pt idx="0">
                  <c:v>Emission Cost</c:v>
                </c:pt>
              </c:strCache>
            </c:strRef>
          </c:tx>
          <c:spPr>
            <a:solidFill>
              <a:schemeClr val="accent5">
                <a:lumMod val="60000"/>
              </a:schemeClr>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(Catenary)'!$B$512,'Railway (Catenary)'!$N$512,'Railway (Catenary)'!$AC$512)</c:f>
              <c:numCache>
                <c:formatCode>0.000</c:formatCode>
                <c:ptCount val="3"/>
                <c:pt idx="0">
                  <c:v>2.6089744436545862E-5</c:v>
                </c:pt>
                <c:pt idx="1">
                  <c:v>2.2291650757096228E-5</c:v>
                </c:pt>
                <c:pt idx="2">
                  <c:v>4.2364282121717942E-7</c:v>
                </c:pt>
              </c:numCache>
            </c:numRef>
          </c:val>
          <c:extLst>
            <c:ext xmlns:c16="http://schemas.microsoft.com/office/drawing/2014/chart" uri="{C3380CC4-5D6E-409C-BE32-E72D297353CC}">
              <c16:uniqueId val="{00000000-B89E-4F3E-ABF6-3FA8B7164754}"/>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(Battery)'!$A$11</c:f>
              <c:strCache>
                <c:ptCount val="1"/>
                <c:pt idx="0">
                  <c:v>Capex vehicle</c:v>
                </c:pt>
              </c:strCache>
            </c:strRef>
          </c:tx>
          <c:spPr>
            <a:ln w="28575" cap="rnd">
              <a:solidFill>
                <a:schemeClr val="accent1"/>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1338-4C79-9656-4F3D02CA1FAE}"/>
            </c:ext>
          </c:extLst>
        </c:ser>
        <c:ser>
          <c:idx val="13"/>
          <c:order val="1"/>
          <c:tx>
            <c:strRef>
              <c:f>'Railway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(Battery)'!$Q$12:$AR$12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1338-4C79-9656-4F3D02CA1FAE}"/>
            </c:ext>
          </c:extLst>
        </c:ser>
        <c:ser>
          <c:idx val="1"/>
          <c:order val="2"/>
          <c:tx>
            <c:strRef>
              <c:f>'Railway (Battery)'!$A$13</c:f>
              <c:strCache>
                <c:ptCount val="1"/>
                <c:pt idx="0">
                  <c:v>Capex costumization</c:v>
                </c:pt>
              </c:strCache>
            </c:strRef>
          </c:tx>
          <c:spPr>
            <a:ln w="28575" cap="rnd">
              <a:solidFill>
                <a:schemeClr val="accent2"/>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1338-4C79-9656-4F3D02CA1FAE}"/>
            </c:ext>
          </c:extLst>
        </c:ser>
        <c:ser>
          <c:idx val="14"/>
          <c:order val="3"/>
          <c:tx>
            <c:strRef>
              <c:f>'Railway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1338-4C79-9656-4F3D02CA1FAE}"/>
            </c:ext>
          </c:extLst>
        </c:ser>
        <c:ser>
          <c:idx val="2"/>
          <c:order val="4"/>
          <c:tx>
            <c:strRef>
              <c:f>'Railway (Battery)'!$A$15</c:f>
              <c:strCache>
                <c:ptCount val="1"/>
                <c:pt idx="0">
                  <c:v>WACC</c:v>
                </c:pt>
              </c:strCache>
            </c:strRef>
          </c:tx>
          <c:spPr>
            <a:ln w="28575" cap="rnd">
              <a:solidFill>
                <a:schemeClr val="accent3"/>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1338-4C79-9656-4F3D02CA1FAE}"/>
            </c:ext>
          </c:extLst>
        </c:ser>
        <c:ser>
          <c:idx val="3"/>
          <c:order val="5"/>
          <c:tx>
            <c:strRef>
              <c:f>'Railway (Battery)'!$A$16</c:f>
              <c:strCache>
                <c:ptCount val="1"/>
                <c:pt idx="0">
                  <c:v>Opex fix (admin, crew, insurance)</c:v>
                </c:pt>
              </c:strCache>
            </c:strRef>
          </c:tx>
          <c:spPr>
            <a:ln w="28575" cap="rnd">
              <a:solidFill>
                <a:schemeClr val="accent4"/>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1338-4C79-9656-4F3D02CA1FAE}"/>
            </c:ext>
          </c:extLst>
        </c:ser>
        <c:ser>
          <c:idx val="4"/>
          <c:order val="6"/>
          <c:tx>
            <c:strRef>
              <c:f>'Railway (Battery)'!$A$18</c:f>
              <c:strCache>
                <c:ptCount val="1"/>
                <c:pt idx="0">
                  <c:v>Opex var (mode-fees, shunting)</c:v>
                </c:pt>
              </c:strCache>
            </c:strRef>
          </c:tx>
          <c:spPr>
            <a:ln w="28575" cap="rnd">
              <a:solidFill>
                <a:schemeClr val="accent5"/>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1338-4C79-9656-4F3D02CA1FAE}"/>
            </c:ext>
          </c:extLst>
        </c:ser>
        <c:ser>
          <c:idx val="5"/>
          <c:order val="7"/>
          <c:tx>
            <c:strRef>
              <c:f>'Railway (Battery)'!$A$19</c:f>
              <c:strCache>
                <c:ptCount val="1"/>
                <c:pt idx="0">
                  <c:v>Fuel Economy</c:v>
                </c:pt>
              </c:strCache>
            </c:strRef>
          </c:tx>
          <c:spPr>
            <a:ln w="28575" cap="rnd">
              <a:solidFill>
                <a:schemeClr val="accent6"/>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1338-4C79-9656-4F3D02CA1FAE}"/>
            </c:ext>
          </c:extLst>
        </c:ser>
        <c:ser>
          <c:idx val="6"/>
          <c:order val="8"/>
          <c:tx>
            <c:strRef>
              <c:f>'Railway (Battery)'!$A$20</c:f>
              <c:strCache>
                <c:ptCount val="1"/>
                <c:pt idx="0">
                  <c:v>Fuel Cost</c:v>
                </c:pt>
              </c:strCache>
            </c:strRef>
          </c:tx>
          <c:spPr>
            <a:ln w="28575" cap="rnd">
              <a:solidFill>
                <a:schemeClr val="accent1">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1338-4C79-9656-4F3D02CA1FAE}"/>
            </c:ext>
          </c:extLst>
        </c:ser>
        <c:ser>
          <c:idx val="7"/>
          <c:order val="9"/>
          <c:tx>
            <c:strRef>
              <c:f>'Railway (Battery)'!$A$22</c:f>
              <c:strCache>
                <c:ptCount val="1"/>
                <c:pt idx="0">
                  <c:v>Lifetime vehicle</c:v>
                </c:pt>
              </c:strCache>
            </c:strRef>
          </c:tx>
          <c:spPr>
            <a:ln w="28575" cap="rnd">
              <a:solidFill>
                <a:schemeClr val="accent2">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1338-4C79-9656-4F3D02CA1FAE}"/>
            </c:ext>
          </c:extLst>
        </c:ser>
        <c:ser>
          <c:idx val="8"/>
          <c:order val="10"/>
          <c:tx>
            <c:strRef>
              <c:f>'Railway (Battery)'!$A$23</c:f>
              <c:strCache>
                <c:ptCount val="1"/>
                <c:pt idx="0">
                  <c:v>Lifetime costumization</c:v>
                </c:pt>
              </c:strCache>
            </c:strRef>
          </c:tx>
          <c:spPr>
            <a:ln w="28575" cap="rnd">
              <a:solidFill>
                <a:schemeClr val="accent3">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1338-4C79-9656-4F3D02CA1FAE}"/>
            </c:ext>
          </c:extLst>
        </c:ser>
        <c:ser>
          <c:idx val="9"/>
          <c:order val="11"/>
          <c:tx>
            <c:strRef>
              <c:f>'Railway (Battery)'!$A$24</c:f>
              <c:strCache>
                <c:ptCount val="1"/>
                <c:pt idx="0">
                  <c:v>Tonnage </c:v>
                </c:pt>
              </c:strCache>
            </c:strRef>
          </c:tx>
          <c:spPr>
            <a:ln w="28575" cap="rnd">
              <a:solidFill>
                <a:schemeClr val="accent4">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1338-4C79-9656-4F3D02CA1FAE}"/>
            </c:ext>
          </c:extLst>
        </c:ser>
        <c:ser>
          <c:idx val="10"/>
          <c:order val="12"/>
          <c:tx>
            <c:strRef>
              <c:f>'Railway (Battery)'!$A$25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1338-4C79-9656-4F3D02CA1FAE}"/>
            </c:ext>
          </c:extLst>
        </c:ser>
        <c:ser>
          <c:idx val="11"/>
          <c:order val="13"/>
          <c:tx>
            <c:strRef>
              <c:f>'Railway (Battery)'!$A$27</c:f>
              <c:strCache>
                <c:ptCount val="1"/>
                <c:pt idx="0">
                  <c:v>Annual Mileage</c:v>
                </c:pt>
              </c:strCache>
            </c:strRef>
          </c:tx>
          <c:spPr>
            <a:ln w="28575" cap="rnd">
              <a:solidFill>
                <a:schemeClr val="accent6">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1338-4C79-9656-4F3D02CA1FAE}"/>
            </c:ext>
          </c:extLst>
        </c:ser>
        <c:ser>
          <c:idx val="12"/>
          <c:order val="14"/>
          <c:tx>
            <c:strRef>
              <c:f>'Railway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(Battery)'!$Q$17:$AR$17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1338-4C79-9656-4F3D02CA1FAE}"/>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(Battery)'!$A$74</c:f>
              <c:strCache>
                <c:ptCount val="1"/>
                <c:pt idx="0">
                  <c:v>Capex vehicle</c:v>
                </c:pt>
              </c:strCache>
            </c:strRef>
          </c:tx>
          <c:spPr>
            <a:solidFill>
              <a:schemeClr val="accent1"/>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(Battery)'!$B$74,'Railway (Battery)'!$N$74,'Railway (Battery)'!$AC$74)</c:f>
              <c:numCache>
                <c:formatCode>0.00</c:formatCode>
                <c:ptCount val="3"/>
                <c:pt idx="0">
                  <c:v>2.1696909640280381E-3</c:v>
                </c:pt>
                <c:pt idx="1">
                  <c:v>1.7423010268127629E-3</c:v>
                </c:pt>
                <c:pt idx="2">
                  <c:v>1.364623687619921E-3</c:v>
                </c:pt>
              </c:numCache>
            </c:numRef>
          </c:val>
          <c:extLst>
            <c:ext xmlns:c16="http://schemas.microsoft.com/office/drawing/2014/chart" uri="{C3380CC4-5D6E-409C-BE32-E72D297353CC}">
              <c16:uniqueId val="{00000000-C882-4105-98E8-0EC41112B3FC}"/>
            </c:ext>
          </c:extLst>
        </c:ser>
        <c:ser>
          <c:idx val="1"/>
          <c:order val="1"/>
          <c:tx>
            <c:strRef>
              <c:f>'Railway (Battery)'!$A$75</c:f>
              <c:strCache>
                <c:ptCount val="1"/>
                <c:pt idx="0">
                  <c:v>Residual value (vehicle)</c:v>
                </c:pt>
              </c:strCache>
            </c:strRef>
          </c:tx>
          <c:spPr>
            <a:solidFill>
              <a:schemeClr val="accent2"/>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(Battery)'!$B$75,'Railway (Battery)'!$N$75,'Railway (Battery)'!$AC$75)</c:f>
              <c:numCache>
                <c:formatCode>0.000</c:formatCode>
                <c:ptCount val="3"/>
                <c:pt idx="0">
                  <c:v>-1.1028374067486764E-4</c:v>
                </c:pt>
                <c:pt idx="1">
                  <c:v>-1.6014590001664974E-4</c:v>
                </c:pt>
                <c:pt idx="2">
                  <c:v>-2.0420825625581466E-4</c:v>
                </c:pt>
              </c:numCache>
            </c:numRef>
          </c:val>
          <c:extLst>
            <c:ext xmlns:c16="http://schemas.microsoft.com/office/drawing/2014/chart" uri="{C3380CC4-5D6E-409C-BE32-E72D297353CC}">
              <c16:uniqueId val="{00000001-C882-4105-98E8-0EC41112B3FC}"/>
            </c:ext>
          </c:extLst>
        </c:ser>
        <c:ser>
          <c:idx val="2"/>
          <c:order val="2"/>
          <c:tx>
            <c:strRef>
              <c:f>'Railway (Battery)'!$A$76</c:f>
              <c:strCache>
                <c:ptCount val="1"/>
                <c:pt idx="0">
                  <c:v>Capex costumization</c:v>
                </c:pt>
              </c:strCache>
            </c:strRef>
          </c:tx>
          <c:spPr>
            <a:solidFill>
              <a:schemeClr val="accent3"/>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(Battery)'!$B$76,'Railway (Battery)'!$N$76,'Railway (Battery)'!$AC$76)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C882-4105-98E8-0EC41112B3FC}"/>
            </c:ext>
          </c:extLst>
        </c:ser>
        <c:ser>
          <c:idx val="3"/>
          <c:order val="3"/>
          <c:tx>
            <c:strRef>
              <c:f>'Railway (Battery)'!$A$77</c:f>
              <c:strCache>
                <c:ptCount val="1"/>
                <c:pt idx="0">
                  <c:v>Residual value (costumization)</c:v>
                </c:pt>
              </c:strCache>
            </c:strRef>
          </c:tx>
          <c:spPr>
            <a:solidFill>
              <a:schemeClr val="accent4"/>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(Battery)'!$B$77,'Railway (Battery)'!$N$77,'Railway (Battery)'!$AC$77)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C882-4105-98E8-0EC41112B3FC}"/>
            </c:ext>
          </c:extLst>
        </c:ser>
        <c:ser>
          <c:idx val="4"/>
          <c:order val="4"/>
          <c:tx>
            <c:strRef>
              <c:f>'Railway (Battery)'!$A$78</c:f>
              <c:strCache>
                <c:ptCount val="1"/>
                <c:pt idx="0">
                  <c:v>Opex fix (admin, crew, insurance)</c:v>
                </c:pt>
              </c:strCache>
            </c:strRef>
          </c:tx>
          <c:spPr>
            <a:solidFill>
              <a:schemeClr val="accent5"/>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(Battery)'!$B$78,'Railway (Battery)'!$N$78,'Railway (Battery)'!$AC$78)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C882-4105-98E8-0EC41112B3FC}"/>
            </c:ext>
          </c:extLst>
        </c:ser>
        <c:ser>
          <c:idx val="5"/>
          <c:order val="5"/>
          <c:tx>
            <c:strRef>
              <c:f>'Railway (Battery)'!$A$79</c:f>
              <c:strCache>
                <c:ptCount val="1"/>
                <c:pt idx="0">
                  <c:v>Opex maintenance &amp; repair</c:v>
                </c:pt>
              </c:strCache>
            </c:strRef>
          </c:tx>
          <c:spPr>
            <a:solidFill>
              <a:schemeClr val="accent6"/>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(Battery)'!$B$79,'Railway (Battery)'!$N$79,'Railway (Battery)'!$AC$79)</c:f>
              <c:numCache>
                <c:formatCode>0.00</c:formatCode>
                <c:ptCount val="3"/>
                <c:pt idx="0">
                  <c:v>3.235203975384487E-3</c:v>
                </c:pt>
                <c:pt idx="1">
                  <c:v>2.5979272171538078E-3</c:v>
                </c:pt>
                <c:pt idx="2">
                  <c:v>2.0347764046985059E-3</c:v>
                </c:pt>
              </c:numCache>
            </c:numRef>
          </c:val>
          <c:extLst>
            <c:ext xmlns:c16="http://schemas.microsoft.com/office/drawing/2014/chart" uri="{C3380CC4-5D6E-409C-BE32-E72D297353CC}">
              <c16:uniqueId val="{00000005-C882-4105-98E8-0EC41112B3FC}"/>
            </c:ext>
          </c:extLst>
        </c:ser>
        <c:ser>
          <c:idx val="6"/>
          <c:order val="6"/>
          <c:tx>
            <c:strRef>
              <c:f>'Railway (Battery)'!$A$80</c:f>
              <c:strCache>
                <c:ptCount val="1"/>
                <c:pt idx="0">
                  <c:v>Opex var (mode-fees, shunting)</c:v>
                </c:pt>
              </c:strCache>
            </c:strRef>
          </c:tx>
          <c:spPr>
            <a:solidFill>
              <a:schemeClr val="accent1">
                <a:lumMod val="60000"/>
              </a:schemeClr>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(Battery)'!$B$80,'Railway (Battery)'!$N$80,'Railway (Battery)'!$AC$80)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C882-4105-98E8-0EC41112B3FC}"/>
            </c:ext>
          </c:extLst>
        </c:ser>
        <c:ser>
          <c:idx val="7"/>
          <c:order val="7"/>
          <c:tx>
            <c:strRef>
              <c:f>'Railway (Battery)'!$A$81</c:f>
              <c:strCache>
                <c:ptCount val="1"/>
                <c:pt idx="0">
                  <c:v>Fuel Cost</c:v>
                </c:pt>
              </c:strCache>
            </c:strRef>
          </c:tx>
          <c:spPr>
            <a:solidFill>
              <a:schemeClr val="accent2">
                <a:lumMod val="60000"/>
              </a:schemeClr>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(Battery)'!$B$81,'Railway (Battery)'!$N$81,'Railway (Battery)'!$AC$81)</c:f>
              <c:numCache>
                <c:formatCode>0.00</c:formatCode>
                <c:ptCount val="3"/>
                <c:pt idx="0">
                  <c:v>1.995938496070806E-3</c:v>
                </c:pt>
                <c:pt idx="1">
                  <c:v>1.6344090520459527E-3</c:v>
                </c:pt>
                <c:pt idx="2">
                  <c:v>1.3149315291336651E-3</c:v>
                </c:pt>
              </c:numCache>
            </c:numRef>
          </c:val>
          <c:extLst>
            <c:ext xmlns:c16="http://schemas.microsoft.com/office/drawing/2014/chart" uri="{C3380CC4-5D6E-409C-BE32-E72D297353CC}">
              <c16:uniqueId val="{00000007-C882-4105-98E8-0EC41112B3FC}"/>
            </c:ext>
          </c:extLst>
        </c:ser>
        <c:ser>
          <c:idx val="8"/>
          <c:order val="8"/>
          <c:tx>
            <c:strRef>
              <c:f>'Railway (Battery)'!$A$82</c:f>
              <c:strCache>
                <c:ptCount val="1"/>
                <c:pt idx="0">
                  <c:v>Market failure (av. utilization)</c:v>
                </c:pt>
              </c:strCache>
            </c:strRef>
          </c:tx>
          <c:spPr>
            <a:solidFill>
              <a:schemeClr val="accent3">
                <a:lumMod val="60000"/>
              </a:schemeClr>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(Battery)'!$B$82,'Railway (Battery)'!$N$82,'Railway (Battery)'!$AC$82)</c:f>
              <c:numCache>
                <c:formatCode>0.00</c:formatCode>
                <c:ptCount val="3"/>
                <c:pt idx="0">
                  <c:v>6.4703393077138547E-3</c:v>
                </c:pt>
                <c:pt idx="1">
                  <c:v>5.6372190715997597E-3</c:v>
                </c:pt>
                <c:pt idx="2">
                  <c:v>4.8871751147525778E-3</c:v>
                </c:pt>
              </c:numCache>
            </c:numRef>
          </c:val>
          <c:extLst>
            <c:ext xmlns:c16="http://schemas.microsoft.com/office/drawing/2014/chart" uri="{C3380CC4-5D6E-409C-BE32-E72D297353CC}">
              <c16:uniqueId val="{00000008-C882-4105-98E8-0EC41112B3FC}"/>
            </c:ext>
          </c:extLst>
        </c:ser>
        <c:ser>
          <c:idx val="9"/>
          <c:order val="9"/>
          <c:tx>
            <c:strRef>
              <c:f>'Railway (Battery)'!$A$83</c:f>
              <c:strCache>
                <c:ptCount val="1"/>
                <c:pt idx="0">
                  <c:v>Payload loss (fuel)</c:v>
                </c:pt>
              </c:strCache>
            </c:strRef>
          </c:tx>
          <c:spPr>
            <a:solidFill>
              <a:schemeClr val="accent4">
                <a:lumMod val="60000"/>
              </a:schemeClr>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(Battery)'!$B$83,'Railway (Battery)'!$N$83,'Railway (Battery)'!$AC$83)</c:f>
              <c:numCache>
                <c:formatCode>0.00</c:formatCode>
                <c:ptCount val="3"/>
                <c:pt idx="0">
                  <c:v>4.2311486957607308E-4</c:v>
                </c:pt>
                <c:pt idx="1">
                  <c:v>2.6905104505744494E-4</c:v>
                </c:pt>
                <c:pt idx="2">
                  <c:v>1.5832728571570434E-4</c:v>
                </c:pt>
              </c:numCache>
            </c:numRef>
          </c:val>
          <c:extLst>
            <c:ext xmlns:c16="http://schemas.microsoft.com/office/drawing/2014/chart" uri="{C3380CC4-5D6E-409C-BE32-E72D297353CC}">
              <c16:uniqueId val="{00000009-C882-4105-98E8-0EC41112B3FC}"/>
            </c:ext>
          </c:extLst>
        </c:ser>
        <c:ser>
          <c:idx val="10"/>
          <c:order val="10"/>
          <c:tx>
            <c:strRef>
              <c:f>'Railway (Battery)'!$A$84</c:f>
              <c:strCache>
                <c:ptCount val="1"/>
                <c:pt idx="0">
                  <c:v>Emission Cost</c:v>
                </c:pt>
              </c:strCache>
            </c:strRef>
          </c:tx>
          <c:spPr>
            <a:solidFill>
              <a:schemeClr val="accent5">
                <a:lumMod val="60000"/>
              </a:schemeClr>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(Battery)'!$B$84,'Railway (Battery)'!$N$84,'Railway (Battery)'!$AC$84)</c:f>
              <c:numCache>
                <c:formatCode>0.000</c:formatCode>
                <c:ptCount val="3"/>
                <c:pt idx="0">
                  <c:v>3.465044182978748E-5</c:v>
                </c:pt>
                <c:pt idx="1">
                  <c:v>2.9606098661768426E-5</c:v>
                </c:pt>
                <c:pt idx="2">
                  <c:v>5.6265062192906486E-7</c:v>
                </c:pt>
              </c:numCache>
            </c:numRef>
          </c:val>
          <c:extLst>
            <c:ext xmlns:c16="http://schemas.microsoft.com/office/drawing/2014/chart" uri="{C3380CC4-5D6E-409C-BE32-E72D297353CC}">
              <c16:uniqueId val="{00000000-F546-4F24-A6ED-F725E23304E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0.0000"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(Battery)'!$A$11</c:f>
              <c:strCache>
                <c:ptCount val="1"/>
                <c:pt idx="0">
                  <c:v>Capex vehicle</c:v>
                </c:pt>
              </c:strCache>
            </c:strRef>
          </c:tx>
          <c:spPr>
            <a:ln w="28575" cap="rnd">
              <a:solidFill>
                <a:schemeClr val="accent1"/>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AD29-43ED-9A7C-D194E98DB7C3}"/>
            </c:ext>
          </c:extLst>
        </c:ser>
        <c:ser>
          <c:idx val="13"/>
          <c:order val="1"/>
          <c:tx>
            <c:strRef>
              <c:f>'Railway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(Battery)'!$Q$12:$AR$12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AD29-43ED-9A7C-D194E98DB7C3}"/>
            </c:ext>
          </c:extLst>
        </c:ser>
        <c:ser>
          <c:idx val="1"/>
          <c:order val="2"/>
          <c:tx>
            <c:strRef>
              <c:f>'Railway (Battery)'!$A$13</c:f>
              <c:strCache>
                <c:ptCount val="1"/>
                <c:pt idx="0">
                  <c:v>Capex costumization</c:v>
                </c:pt>
              </c:strCache>
            </c:strRef>
          </c:tx>
          <c:spPr>
            <a:ln w="28575" cap="rnd">
              <a:solidFill>
                <a:schemeClr val="accent2"/>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AD29-43ED-9A7C-D194E98DB7C3}"/>
            </c:ext>
          </c:extLst>
        </c:ser>
        <c:ser>
          <c:idx val="14"/>
          <c:order val="3"/>
          <c:tx>
            <c:strRef>
              <c:f>'Railway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AD29-43ED-9A7C-D194E98DB7C3}"/>
            </c:ext>
          </c:extLst>
        </c:ser>
        <c:ser>
          <c:idx val="2"/>
          <c:order val="4"/>
          <c:tx>
            <c:strRef>
              <c:f>'Railway (Battery)'!$A$15</c:f>
              <c:strCache>
                <c:ptCount val="1"/>
                <c:pt idx="0">
                  <c:v>WACC</c:v>
                </c:pt>
              </c:strCache>
            </c:strRef>
          </c:tx>
          <c:spPr>
            <a:ln w="28575" cap="rnd">
              <a:solidFill>
                <a:schemeClr val="accent3"/>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AD29-43ED-9A7C-D194E98DB7C3}"/>
            </c:ext>
          </c:extLst>
        </c:ser>
        <c:ser>
          <c:idx val="3"/>
          <c:order val="5"/>
          <c:tx>
            <c:strRef>
              <c:f>'Railway (Battery)'!$A$16</c:f>
              <c:strCache>
                <c:ptCount val="1"/>
                <c:pt idx="0">
                  <c:v>Opex fix (admin, crew, insurance)</c:v>
                </c:pt>
              </c:strCache>
            </c:strRef>
          </c:tx>
          <c:spPr>
            <a:ln w="28575" cap="rnd">
              <a:solidFill>
                <a:schemeClr val="accent4"/>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AD29-43ED-9A7C-D194E98DB7C3}"/>
            </c:ext>
          </c:extLst>
        </c:ser>
        <c:ser>
          <c:idx val="4"/>
          <c:order val="6"/>
          <c:tx>
            <c:strRef>
              <c:f>'Railway (Battery)'!$A$18</c:f>
              <c:strCache>
                <c:ptCount val="1"/>
                <c:pt idx="0">
                  <c:v>Opex var (mode-fees, shunting)</c:v>
                </c:pt>
              </c:strCache>
            </c:strRef>
          </c:tx>
          <c:spPr>
            <a:ln w="28575" cap="rnd">
              <a:solidFill>
                <a:schemeClr val="accent5"/>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AD29-43ED-9A7C-D194E98DB7C3}"/>
            </c:ext>
          </c:extLst>
        </c:ser>
        <c:ser>
          <c:idx val="5"/>
          <c:order val="7"/>
          <c:tx>
            <c:strRef>
              <c:f>'Railway (Battery)'!$A$19</c:f>
              <c:strCache>
                <c:ptCount val="1"/>
                <c:pt idx="0">
                  <c:v>Fuel Economy</c:v>
                </c:pt>
              </c:strCache>
            </c:strRef>
          </c:tx>
          <c:spPr>
            <a:ln w="28575" cap="rnd">
              <a:solidFill>
                <a:schemeClr val="accent6"/>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AD29-43ED-9A7C-D194E98DB7C3}"/>
            </c:ext>
          </c:extLst>
        </c:ser>
        <c:ser>
          <c:idx val="6"/>
          <c:order val="8"/>
          <c:tx>
            <c:strRef>
              <c:f>'Railway (Battery)'!$A$20</c:f>
              <c:strCache>
                <c:ptCount val="1"/>
                <c:pt idx="0">
                  <c:v>Fuel Cost</c:v>
                </c:pt>
              </c:strCache>
            </c:strRef>
          </c:tx>
          <c:spPr>
            <a:ln w="28575" cap="rnd">
              <a:solidFill>
                <a:schemeClr val="accent1">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AD29-43ED-9A7C-D194E98DB7C3}"/>
            </c:ext>
          </c:extLst>
        </c:ser>
        <c:ser>
          <c:idx val="7"/>
          <c:order val="9"/>
          <c:tx>
            <c:strRef>
              <c:f>'Railway (Battery)'!$A$22</c:f>
              <c:strCache>
                <c:ptCount val="1"/>
                <c:pt idx="0">
                  <c:v>Lifetime vehicle</c:v>
                </c:pt>
              </c:strCache>
            </c:strRef>
          </c:tx>
          <c:spPr>
            <a:ln w="28575" cap="rnd">
              <a:solidFill>
                <a:schemeClr val="accent2">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AD29-43ED-9A7C-D194E98DB7C3}"/>
            </c:ext>
          </c:extLst>
        </c:ser>
        <c:ser>
          <c:idx val="8"/>
          <c:order val="10"/>
          <c:tx>
            <c:strRef>
              <c:f>'Railway (Battery)'!$A$23</c:f>
              <c:strCache>
                <c:ptCount val="1"/>
                <c:pt idx="0">
                  <c:v>Lifetime costumization</c:v>
                </c:pt>
              </c:strCache>
            </c:strRef>
          </c:tx>
          <c:spPr>
            <a:ln w="28575" cap="rnd">
              <a:solidFill>
                <a:schemeClr val="accent3">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AD29-43ED-9A7C-D194E98DB7C3}"/>
            </c:ext>
          </c:extLst>
        </c:ser>
        <c:ser>
          <c:idx val="9"/>
          <c:order val="11"/>
          <c:tx>
            <c:strRef>
              <c:f>'Railway (Battery)'!$A$24</c:f>
              <c:strCache>
                <c:ptCount val="1"/>
                <c:pt idx="0">
                  <c:v>Tonnage </c:v>
                </c:pt>
              </c:strCache>
            </c:strRef>
          </c:tx>
          <c:spPr>
            <a:ln w="28575" cap="rnd">
              <a:solidFill>
                <a:schemeClr val="accent4">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AD29-43ED-9A7C-D194E98DB7C3}"/>
            </c:ext>
          </c:extLst>
        </c:ser>
        <c:ser>
          <c:idx val="10"/>
          <c:order val="12"/>
          <c:tx>
            <c:strRef>
              <c:f>'Railway (Battery)'!$A$25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AD29-43ED-9A7C-D194E98DB7C3}"/>
            </c:ext>
          </c:extLst>
        </c:ser>
        <c:ser>
          <c:idx val="11"/>
          <c:order val="13"/>
          <c:tx>
            <c:strRef>
              <c:f>'Railway (Battery)'!$A$27</c:f>
              <c:strCache>
                <c:ptCount val="1"/>
                <c:pt idx="0">
                  <c:v>Annual Mileage</c:v>
                </c:pt>
              </c:strCache>
            </c:strRef>
          </c:tx>
          <c:spPr>
            <a:ln w="28575" cap="rnd">
              <a:solidFill>
                <a:schemeClr val="accent6">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AD29-43ED-9A7C-D194E98DB7C3}"/>
            </c:ext>
          </c:extLst>
        </c:ser>
        <c:ser>
          <c:idx val="12"/>
          <c:order val="14"/>
          <c:tx>
            <c:strRef>
              <c:f>'Railway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(Battery)'!$Q$17:$AR$17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AD29-43ED-9A7C-D194E98DB7C3}"/>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(Battery)'!$A$74</c:f>
              <c:strCache>
                <c:ptCount val="1"/>
                <c:pt idx="0">
                  <c:v>Capex vehicle</c:v>
                </c:pt>
              </c:strCache>
            </c:strRef>
          </c:tx>
          <c:spPr>
            <a:solidFill>
              <a:schemeClr val="accent1"/>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(Battery)'!$B$74,'Railway (Battery)'!$N$74,'Railway (Battery)'!$AC$74)</c:f>
              <c:numCache>
                <c:formatCode>0.00</c:formatCode>
                <c:ptCount val="3"/>
                <c:pt idx="0">
                  <c:v>2.1696909640280381E-3</c:v>
                </c:pt>
                <c:pt idx="1">
                  <c:v>1.7423010268127629E-3</c:v>
                </c:pt>
                <c:pt idx="2">
                  <c:v>1.364623687619921E-3</c:v>
                </c:pt>
              </c:numCache>
            </c:numRef>
          </c:val>
          <c:extLst>
            <c:ext xmlns:c16="http://schemas.microsoft.com/office/drawing/2014/chart" uri="{C3380CC4-5D6E-409C-BE32-E72D297353CC}">
              <c16:uniqueId val="{00000000-779B-4D7A-8B6E-6A8482632A5B}"/>
            </c:ext>
          </c:extLst>
        </c:ser>
        <c:ser>
          <c:idx val="1"/>
          <c:order val="1"/>
          <c:tx>
            <c:strRef>
              <c:f>'Railway (Battery)'!$A$75</c:f>
              <c:strCache>
                <c:ptCount val="1"/>
                <c:pt idx="0">
                  <c:v>Residual value (vehicle)</c:v>
                </c:pt>
              </c:strCache>
            </c:strRef>
          </c:tx>
          <c:spPr>
            <a:solidFill>
              <a:schemeClr val="accent2"/>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(Battery)'!$B$75,'Railway (Battery)'!$N$75,'Railway (Battery)'!$AC$75)</c:f>
              <c:numCache>
                <c:formatCode>0.000</c:formatCode>
                <c:ptCount val="3"/>
                <c:pt idx="0">
                  <c:v>-1.1028374067486764E-4</c:v>
                </c:pt>
                <c:pt idx="1">
                  <c:v>-1.6014590001664974E-4</c:v>
                </c:pt>
                <c:pt idx="2">
                  <c:v>-2.0420825625581466E-4</c:v>
                </c:pt>
              </c:numCache>
            </c:numRef>
          </c:val>
          <c:extLst>
            <c:ext xmlns:c16="http://schemas.microsoft.com/office/drawing/2014/chart" uri="{C3380CC4-5D6E-409C-BE32-E72D297353CC}">
              <c16:uniqueId val="{00000001-779B-4D7A-8B6E-6A8482632A5B}"/>
            </c:ext>
          </c:extLst>
        </c:ser>
        <c:ser>
          <c:idx val="2"/>
          <c:order val="2"/>
          <c:tx>
            <c:strRef>
              <c:f>'Railway (Battery)'!$A$76</c:f>
              <c:strCache>
                <c:ptCount val="1"/>
                <c:pt idx="0">
                  <c:v>Capex costumization</c:v>
                </c:pt>
              </c:strCache>
            </c:strRef>
          </c:tx>
          <c:spPr>
            <a:solidFill>
              <a:schemeClr val="accent3"/>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(Battery)'!$B$76,'Railway (Battery)'!$N$76,'Railway (Battery)'!$AC$76)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779B-4D7A-8B6E-6A8482632A5B}"/>
            </c:ext>
          </c:extLst>
        </c:ser>
        <c:ser>
          <c:idx val="3"/>
          <c:order val="3"/>
          <c:tx>
            <c:strRef>
              <c:f>'Railway (Battery)'!$A$77</c:f>
              <c:strCache>
                <c:ptCount val="1"/>
                <c:pt idx="0">
                  <c:v>Residual value (costumization)</c:v>
                </c:pt>
              </c:strCache>
            </c:strRef>
          </c:tx>
          <c:spPr>
            <a:solidFill>
              <a:schemeClr val="accent4"/>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(Battery)'!$B$77,'Railway (Battery)'!$N$77,'Railway (Battery)'!$AC$77)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779B-4D7A-8B6E-6A8482632A5B}"/>
            </c:ext>
          </c:extLst>
        </c:ser>
        <c:ser>
          <c:idx val="4"/>
          <c:order val="4"/>
          <c:tx>
            <c:strRef>
              <c:f>'Railway (Battery)'!$A$78</c:f>
              <c:strCache>
                <c:ptCount val="1"/>
                <c:pt idx="0">
                  <c:v>Opex fix (admin, crew, insurance)</c:v>
                </c:pt>
              </c:strCache>
            </c:strRef>
          </c:tx>
          <c:spPr>
            <a:solidFill>
              <a:schemeClr val="accent5"/>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(Battery)'!$B$78,'Railway (Battery)'!$N$78,'Railway (Battery)'!$AC$78)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779B-4D7A-8B6E-6A8482632A5B}"/>
            </c:ext>
          </c:extLst>
        </c:ser>
        <c:ser>
          <c:idx val="5"/>
          <c:order val="5"/>
          <c:tx>
            <c:strRef>
              <c:f>'Railway (Battery)'!$A$79</c:f>
              <c:strCache>
                <c:ptCount val="1"/>
                <c:pt idx="0">
                  <c:v>Opex maintenance &amp; repair</c:v>
                </c:pt>
              </c:strCache>
            </c:strRef>
          </c:tx>
          <c:spPr>
            <a:solidFill>
              <a:schemeClr val="accent6"/>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(Battery)'!$B$79,'Railway (Battery)'!$N$79,'Railway (Battery)'!$AC$79)</c:f>
              <c:numCache>
                <c:formatCode>0.00</c:formatCode>
                <c:ptCount val="3"/>
                <c:pt idx="0">
                  <c:v>3.235203975384487E-3</c:v>
                </c:pt>
                <c:pt idx="1">
                  <c:v>2.5979272171538078E-3</c:v>
                </c:pt>
                <c:pt idx="2">
                  <c:v>2.0347764046985059E-3</c:v>
                </c:pt>
              </c:numCache>
            </c:numRef>
          </c:val>
          <c:extLst>
            <c:ext xmlns:c16="http://schemas.microsoft.com/office/drawing/2014/chart" uri="{C3380CC4-5D6E-409C-BE32-E72D297353CC}">
              <c16:uniqueId val="{00000005-779B-4D7A-8B6E-6A8482632A5B}"/>
            </c:ext>
          </c:extLst>
        </c:ser>
        <c:ser>
          <c:idx val="6"/>
          <c:order val="6"/>
          <c:tx>
            <c:strRef>
              <c:f>'Railway (Battery)'!$A$80</c:f>
              <c:strCache>
                <c:ptCount val="1"/>
                <c:pt idx="0">
                  <c:v>Opex var (mode-fees, shunting)</c:v>
                </c:pt>
              </c:strCache>
            </c:strRef>
          </c:tx>
          <c:spPr>
            <a:solidFill>
              <a:schemeClr val="accent1">
                <a:lumMod val="60000"/>
              </a:schemeClr>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(Battery)'!$B$80,'Railway (Battery)'!$N$80,'Railway (Battery)'!$AC$80)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779B-4D7A-8B6E-6A8482632A5B}"/>
            </c:ext>
          </c:extLst>
        </c:ser>
        <c:ser>
          <c:idx val="7"/>
          <c:order val="7"/>
          <c:tx>
            <c:strRef>
              <c:f>'Railway (Battery)'!$A$81</c:f>
              <c:strCache>
                <c:ptCount val="1"/>
                <c:pt idx="0">
                  <c:v>Fuel Cost</c:v>
                </c:pt>
              </c:strCache>
            </c:strRef>
          </c:tx>
          <c:spPr>
            <a:solidFill>
              <a:schemeClr val="accent2">
                <a:lumMod val="60000"/>
              </a:schemeClr>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(Battery)'!$B$81,'Railway (Battery)'!$N$81,'Railway (Battery)'!$AC$81)</c:f>
              <c:numCache>
                <c:formatCode>0.00</c:formatCode>
                <c:ptCount val="3"/>
                <c:pt idx="0">
                  <c:v>1.995938496070806E-3</c:v>
                </c:pt>
                <c:pt idx="1">
                  <c:v>1.6344090520459527E-3</c:v>
                </c:pt>
                <c:pt idx="2">
                  <c:v>1.3149315291336651E-3</c:v>
                </c:pt>
              </c:numCache>
            </c:numRef>
          </c:val>
          <c:extLst>
            <c:ext xmlns:c16="http://schemas.microsoft.com/office/drawing/2014/chart" uri="{C3380CC4-5D6E-409C-BE32-E72D297353CC}">
              <c16:uniqueId val="{00000007-779B-4D7A-8B6E-6A8482632A5B}"/>
            </c:ext>
          </c:extLst>
        </c:ser>
        <c:ser>
          <c:idx val="8"/>
          <c:order val="8"/>
          <c:tx>
            <c:strRef>
              <c:f>'Railway (Battery)'!$A$82</c:f>
              <c:strCache>
                <c:ptCount val="1"/>
                <c:pt idx="0">
                  <c:v>Market failure (av. utilization)</c:v>
                </c:pt>
              </c:strCache>
            </c:strRef>
          </c:tx>
          <c:spPr>
            <a:solidFill>
              <a:schemeClr val="accent3">
                <a:lumMod val="60000"/>
              </a:schemeClr>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(Battery)'!$B$82,'Railway (Battery)'!$N$82,'Railway (Battery)'!$AC$82)</c:f>
              <c:numCache>
                <c:formatCode>0.00</c:formatCode>
                <c:ptCount val="3"/>
                <c:pt idx="0">
                  <c:v>6.4703393077138547E-3</c:v>
                </c:pt>
                <c:pt idx="1">
                  <c:v>5.6372190715997597E-3</c:v>
                </c:pt>
                <c:pt idx="2">
                  <c:v>4.8871751147525778E-3</c:v>
                </c:pt>
              </c:numCache>
            </c:numRef>
          </c:val>
          <c:extLst>
            <c:ext xmlns:c16="http://schemas.microsoft.com/office/drawing/2014/chart" uri="{C3380CC4-5D6E-409C-BE32-E72D297353CC}">
              <c16:uniqueId val="{00000008-779B-4D7A-8B6E-6A8482632A5B}"/>
            </c:ext>
          </c:extLst>
        </c:ser>
        <c:ser>
          <c:idx val="9"/>
          <c:order val="9"/>
          <c:tx>
            <c:strRef>
              <c:f>'Railway (Battery)'!$A$83</c:f>
              <c:strCache>
                <c:ptCount val="1"/>
                <c:pt idx="0">
                  <c:v>Payload loss (fuel)</c:v>
                </c:pt>
              </c:strCache>
            </c:strRef>
          </c:tx>
          <c:spPr>
            <a:solidFill>
              <a:schemeClr val="accent4">
                <a:lumMod val="60000"/>
              </a:schemeClr>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(Battery)'!$B$83,'Railway (Battery)'!$N$83,'Railway (Battery)'!$AC$83)</c:f>
              <c:numCache>
                <c:formatCode>0.00</c:formatCode>
                <c:ptCount val="3"/>
                <c:pt idx="0">
                  <c:v>4.2311486957607308E-4</c:v>
                </c:pt>
                <c:pt idx="1">
                  <c:v>2.6905104505744494E-4</c:v>
                </c:pt>
                <c:pt idx="2">
                  <c:v>1.5832728571570434E-4</c:v>
                </c:pt>
              </c:numCache>
            </c:numRef>
          </c:val>
          <c:extLst>
            <c:ext xmlns:c16="http://schemas.microsoft.com/office/drawing/2014/chart" uri="{C3380CC4-5D6E-409C-BE32-E72D297353CC}">
              <c16:uniqueId val="{00000009-779B-4D7A-8B6E-6A8482632A5B}"/>
            </c:ext>
          </c:extLst>
        </c:ser>
        <c:ser>
          <c:idx val="10"/>
          <c:order val="10"/>
          <c:tx>
            <c:strRef>
              <c:f>'Railway (Battery)'!$A$190</c:f>
              <c:strCache>
                <c:ptCount val="1"/>
                <c:pt idx="0">
                  <c:v>Emission Cost</c:v>
                </c:pt>
              </c:strCache>
            </c:strRef>
          </c:tx>
          <c:spPr>
            <a:solidFill>
              <a:schemeClr val="accent5">
                <a:lumMod val="60000"/>
              </a:schemeClr>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(Battery)'!$B$190,'Railway (Battery)'!$N$190,'Railway (Battery)'!$AC$190)</c:f>
              <c:numCache>
                <c:formatCode>0.000</c:formatCode>
                <c:ptCount val="3"/>
                <c:pt idx="0">
                  <c:v>3.465044182978748E-5</c:v>
                </c:pt>
                <c:pt idx="1">
                  <c:v>2.9606098661768426E-5</c:v>
                </c:pt>
                <c:pt idx="2">
                  <c:v>5.6265062192906486E-7</c:v>
                </c:pt>
              </c:numCache>
            </c:numRef>
          </c:val>
          <c:extLst>
            <c:ext xmlns:c16="http://schemas.microsoft.com/office/drawing/2014/chart" uri="{C3380CC4-5D6E-409C-BE32-E72D297353CC}">
              <c16:uniqueId val="{00000000-483B-41AC-83D1-0B05607B738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(Battery)'!$A$11</c:f>
              <c:strCache>
                <c:ptCount val="1"/>
                <c:pt idx="0">
                  <c:v>Capex vehicle</c:v>
                </c:pt>
              </c:strCache>
            </c:strRef>
          </c:tx>
          <c:spPr>
            <a:ln w="28575" cap="rnd">
              <a:solidFill>
                <a:schemeClr val="accent1"/>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6D8A-4F01-919C-06109563D12E}"/>
            </c:ext>
          </c:extLst>
        </c:ser>
        <c:ser>
          <c:idx val="13"/>
          <c:order val="1"/>
          <c:tx>
            <c:strRef>
              <c:f>'Railway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(Battery)'!$Q$12:$AR$12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6D8A-4F01-919C-06109563D12E}"/>
            </c:ext>
          </c:extLst>
        </c:ser>
        <c:ser>
          <c:idx val="1"/>
          <c:order val="2"/>
          <c:tx>
            <c:strRef>
              <c:f>'Railway (Battery)'!$A$13</c:f>
              <c:strCache>
                <c:ptCount val="1"/>
                <c:pt idx="0">
                  <c:v>Capex costumization</c:v>
                </c:pt>
              </c:strCache>
            </c:strRef>
          </c:tx>
          <c:spPr>
            <a:ln w="28575" cap="rnd">
              <a:solidFill>
                <a:schemeClr val="accent2"/>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6D8A-4F01-919C-06109563D12E}"/>
            </c:ext>
          </c:extLst>
        </c:ser>
        <c:ser>
          <c:idx val="14"/>
          <c:order val="3"/>
          <c:tx>
            <c:strRef>
              <c:f>'Railway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6D8A-4F01-919C-06109563D12E}"/>
            </c:ext>
          </c:extLst>
        </c:ser>
        <c:ser>
          <c:idx val="2"/>
          <c:order val="4"/>
          <c:tx>
            <c:strRef>
              <c:f>'Railway (Battery)'!$A$15</c:f>
              <c:strCache>
                <c:ptCount val="1"/>
                <c:pt idx="0">
                  <c:v>WACC</c:v>
                </c:pt>
              </c:strCache>
            </c:strRef>
          </c:tx>
          <c:spPr>
            <a:ln w="28575" cap="rnd">
              <a:solidFill>
                <a:schemeClr val="accent3"/>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6D8A-4F01-919C-06109563D12E}"/>
            </c:ext>
          </c:extLst>
        </c:ser>
        <c:ser>
          <c:idx val="3"/>
          <c:order val="5"/>
          <c:tx>
            <c:strRef>
              <c:f>'Railway (Battery)'!$A$16</c:f>
              <c:strCache>
                <c:ptCount val="1"/>
                <c:pt idx="0">
                  <c:v>Opex fix (admin, crew, insurance)</c:v>
                </c:pt>
              </c:strCache>
            </c:strRef>
          </c:tx>
          <c:spPr>
            <a:ln w="28575" cap="rnd">
              <a:solidFill>
                <a:schemeClr val="accent4"/>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6D8A-4F01-919C-06109563D12E}"/>
            </c:ext>
          </c:extLst>
        </c:ser>
        <c:ser>
          <c:idx val="4"/>
          <c:order val="6"/>
          <c:tx>
            <c:strRef>
              <c:f>'Railway (Battery)'!$A$18</c:f>
              <c:strCache>
                <c:ptCount val="1"/>
                <c:pt idx="0">
                  <c:v>Opex var (mode-fees, shunting)</c:v>
                </c:pt>
              </c:strCache>
            </c:strRef>
          </c:tx>
          <c:spPr>
            <a:ln w="28575" cap="rnd">
              <a:solidFill>
                <a:schemeClr val="accent5"/>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6D8A-4F01-919C-06109563D12E}"/>
            </c:ext>
          </c:extLst>
        </c:ser>
        <c:ser>
          <c:idx val="5"/>
          <c:order val="7"/>
          <c:tx>
            <c:strRef>
              <c:f>'Railway (Battery)'!$A$19</c:f>
              <c:strCache>
                <c:ptCount val="1"/>
                <c:pt idx="0">
                  <c:v>Fuel Economy</c:v>
                </c:pt>
              </c:strCache>
            </c:strRef>
          </c:tx>
          <c:spPr>
            <a:ln w="28575" cap="rnd">
              <a:solidFill>
                <a:schemeClr val="accent6"/>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6D8A-4F01-919C-06109563D12E}"/>
            </c:ext>
          </c:extLst>
        </c:ser>
        <c:ser>
          <c:idx val="6"/>
          <c:order val="8"/>
          <c:tx>
            <c:strRef>
              <c:f>'Railway (Battery)'!$A$20</c:f>
              <c:strCache>
                <c:ptCount val="1"/>
                <c:pt idx="0">
                  <c:v>Fuel Cost</c:v>
                </c:pt>
              </c:strCache>
            </c:strRef>
          </c:tx>
          <c:spPr>
            <a:ln w="28575" cap="rnd">
              <a:solidFill>
                <a:schemeClr val="accent1">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6D8A-4F01-919C-06109563D12E}"/>
            </c:ext>
          </c:extLst>
        </c:ser>
        <c:ser>
          <c:idx val="7"/>
          <c:order val="9"/>
          <c:tx>
            <c:strRef>
              <c:f>'Railway (Battery)'!$A$22</c:f>
              <c:strCache>
                <c:ptCount val="1"/>
                <c:pt idx="0">
                  <c:v>Lifetime vehicle</c:v>
                </c:pt>
              </c:strCache>
            </c:strRef>
          </c:tx>
          <c:spPr>
            <a:ln w="28575" cap="rnd">
              <a:solidFill>
                <a:schemeClr val="accent2">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6D8A-4F01-919C-06109563D12E}"/>
            </c:ext>
          </c:extLst>
        </c:ser>
        <c:ser>
          <c:idx val="8"/>
          <c:order val="10"/>
          <c:tx>
            <c:strRef>
              <c:f>'Railway (Battery)'!$A$23</c:f>
              <c:strCache>
                <c:ptCount val="1"/>
                <c:pt idx="0">
                  <c:v>Lifetime costumization</c:v>
                </c:pt>
              </c:strCache>
            </c:strRef>
          </c:tx>
          <c:spPr>
            <a:ln w="28575" cap="rnd">
              <a:solidFill>
                <a:schemeClr val="accent3">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6D8A-4F01-919C-06109563D12E}"/>
            </c:ext>
          </c:extLst>
        </c:ser>
        <c:ser>
          <c:idx val="9"/>
          <c:order val="11"/>
          <c:tx>
            <c:strRef>
              <c:f>'Railway (Battery)'!$A$24</c:f>
              <c:strCache>
                <c:ptCount val="1"/>
                <c:pt idx="0">
                  <c:v>Tonnage </c:v>
                </c:pt>
              </c:strCache>
            </c:strRef>
          </c:tx>
          <c:spPr>
            <a:ln w="28575" cap="rnd">
              <a:solidFill>
                <a:schemeClr val="accent4">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6D8A-4F01-919C-06109563D12E}"/>
            </c:ext>
          </c:extLst>
        </c:ser>
        <c:ser>
          <c:idx val="10"/>
          <c:order val="12"/>
          <c:tx>
            <c:strRef>
              <c:f>'Railway (Battery)'!$A$25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6D8A-4F01-919C-06109563D12E}"/>
            </c:ext>
          </c:extLst>
        </c:ser>
        <c:ser>
          <c:idx val="11"/>
          <c:order val="13"/>
          <c:tx>
            <c:strRef>
              <c:f>'Railway (Battery)'!$A$27</c:f>
              <c:strCache>
                <c:ptCount val="1"/>
                <c:pt idx="0">
                  <c:v>Annual Mileage</c:v>
                </c:pt>
              </c:strCache>
            </c:strRef>
          </c:tx>
          <c:spPr>
            <a:ln w="28575" cap="rnd">
              <a:solidFill>
                <a:schemeClr val="accent6">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6D8A-4F01-919C-06109563D12E}"/>
            </c:ext>
          </c:extLst>
        </c:ser>
        <c:ser>
          <c:idx val="12"/>
          <c:order val="14"/>
          <c:tx>
            <c:strRef>
              <c:f>'Railway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(Battery)'!$Q$17:$AR$17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6D8A-4F01-919C-06109563D12E}"/>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(Battery)'!$A$74</c:f>
              <c:strCache>
                <c:ptCount val="1"/>
                <c:pt idx="0">
                  <c:v>Capex vehicle</c:v>
                </c:pt>
              </c:strCache>
            </c:strRef>
          </c:tx>
          <c:spPr>
            <a:solidFill>
              <a:schemeClr val="accent1"/>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(Battery)'!$B$74,'Railway (Battery)'!$N$74,'Railway (Battery)'!$AC$74)</c:f>
              <c:numCache>
                <c:formatCode>0.00</c:formatCode>
                <c:ptCount val="3"/>
                <c:pt idx="0">
                  <c:v>2.1696909640280381E-3</c:v>
                </c:pt>
                <c:pt idx="1">
                  <c:v>1.7423010268127629E-3</c:v>
                </c:pt>
                <c:pt idx="2">
                  <c:v>1.364623687619921E-3</c:v>
                </c:pt>
              </c:numCache>
            </c:numRef>
          </c:val>
          <c:extLst>
            <c:ext xmlns:c16="http://schemas.microsoft.com/office/drawing/2014/chart" uri="{C3380CC4-5D6E-409C-BE32-E72D297353CC}">
              <c16:uniqueId val="{00000000-358F-4E6F-BC1B-9802EECBD5F9}"/>
            </c:ext>
          </c:extLst>
        </c:ser>
        <c:ser>
          <c:idx val="1"/>
          <c:order val="1"/>
          <c:tx>
            <c:strRef>
              <c:f>'Railway (Battery)'!$A$75</c:f>
              <c:strCache>
                <c:ptCount val="1"/>
                <c:pt idx="0">
                  <c:v>Residual value (vehicle)</c:v>
                </c:pt>
              </c:strCache>
            </c:strRef>
          </c:tx>
          <c:spPr>
            <a:solidFill>
              <a:schemeClr val="accent2"/>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(Battery)'!$B$75,'Railway (Battery)'!$N$75,'Railway (Battery)'!$AC$75)</c:f>
              <c:numCache>
                <c:formatCode>0.000</c:formatCode>
                <c:ptCount val="3"/>
                <c:pt idx="0">
                  <c:v>-1.1028374067486764E-4</c:v>
                </c:pt>
                <c:pt idx="1">
                  <c:v>-1.6014590001664974E-4</c:v>
                </c:pt>
                <c:pt idx="2">
                  <c:v>-2.0420825625581466E-4</c:v>
                </c:pt>
              </c:numCache>
            </c:numRef>
          </c:val>
          <c:extLst>
            <c:ext xmlns:c16="http://schemas.microsoft.com/office/drawing/2014/chart" uri="{C3380CC4-5D6E-409C-BE32-E72D297353CC}">
              <c16:uniqueId val="{00000001-358F-4E6F-BC1B-9802EECBD5F9}"/>
            </c:ext>
          </c:extLst>
        </c:ser>
        <c:ser>
          <c:idx val="2"/>
          <c:order val="2"/>
          <c:tx>
            <c:strRef>
              <c:f>'Railway (Battery)'!$A$76</c:f>
              <c:strCache>
                <c:ptCount val="1"/>
                <c:pt idx="0">
                  <c:v>Capex costumization</c:v>
                </c:pt>
              </c:strCache>
            </c:strRef>
          </c:tx>
          <c:spPr>
            <a:solidFill>
              <a:schemeClr val="accent3"/>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(Battery)'!$B$76,'Railway (Battery)'!$N$76,'Railway (Battery)'!$AC$76)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358F-4E6F-BC1B-9802EECBD5F9}"/>
            </c:ext>
          </c:extLst>
        </c:ser>
        <c:ser>
          <c:idx val="3"/>
          <c:order val="3"/>
          <c:tx>
            <c:strRef>
              <c:f>'Railway (Battery)'!$A$77</c:f>
              <c:strCache>
                <c:ptCount val="1"/>
                <c:pt idx="0">
                  <c:v>Residual value (costumization)</c:v>
                </c:pt>
              </c:strCache>
            </c:strRef>
          </c:tx>
          <c:spPr>
            <a:solidFill>
              <a:schemeClr val="accent4"/>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(Battery)'!$B$77,'Railway (Battery)'!$N$77,'Railway (Battery)'!$AC$77)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358F-4E6F-BC1B-9802EECBD5F9}"/>
            </c:ext>
          </c:extLst>
        </c:ser>
        <c:ser>
          <c:idx val="4"/>
          <c:order val="4"/>
          <c:tx>
            <c:strRef>
              <c:f>'Railway (Battery)'!$A$78</c:f>
              <c:strCache>
                <c:ptCount val="1"/>
                <c:pt idx="0">
                  <c:v>Opex fix (admin, crew, insurance)</c:v>
                </c:pt>
              </c:strCache>
            </c:strRef>
          </c:tx>
          <c:spPr>
            <a:solidFill>
              <a:schemeClr val="accent5"/>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(Battery)'!$B$78,'Railway (Battery)'!$N$78,'Railway (Battery)'!$AC$78)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358F-4E6F-BC1B-9802EECBD5F9}"/>
            </c:ext>
          </c:extLst>
        </c:ser>
        <c:ser>
          <c:idx val="5"/>
          <c:order val="5"/>
          <c:tx>
            <c:strRef>
              <c:f>'Railway (Battery)'!$A$79</c:f>
              <c:strCache>
                <c:ptCount val="1"/>
                <c:pt idx="0">
                  <c:v>Opex maintenance &amp; repair</c:v>
                </c:pt>
              </c:strCache>
            </c:strRef>
          </c:tx>
          <c:spPr>
            <a:solidFill>
              <a:schemeClr val="accent6"/>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(Battery)'!$B$79,'Railway (Battery)'!$N$79,'Railway (Battery)'!$AC$79)</c:f>
              <c:numCache>
                <c:formatCode>0.00</c:formatCode>
                <c:ptCount val="3"/>
                <c:pt idx="0">
                  <c:v>3.235203975384487E-3</c:v>
                </c:pt>
                <c:pt idx="1">
                  <c:v>2.5979272171538078E-3</c:v>
                </c:pt>
                <c:pt idx="2">
                  <c:v>2.0347764046985059E-3</c:v>
                </c:pt>
              </c:numCache>
            </c:numRef>
          </c:val>
          <c:extLst>
            <c:ext xmlns:c16="http://schemas.microsoft.com/office/drawing/2014/chart" uri="{C3380CC4-5D6E-409C-BE32-E72D297353CC}">
              <c16:uniqueId val="{00000005-358F-4E6F-BC1B-9802EECBD5F9}"/>
            </c:ext>
          </c:extLst>
        </c:ser>
        <c:ser>
          <c:idx val="6"/>
          <c:order val="6"/>
          <c:tx>
            <c:strRef>
              <c:f>'Railway (Battery)'!$A$80</c:f>
              <c:strCache>
                <c:ptCount val="1"/>
                <c:pt idx="0">
                  <c:v>Opex var (mode-fees, shunting)</c:v>
                </c:pt>
              </c:strCache>
            </c:strRef>
          </c:tx>
          <c:spPr>
            <a:solidFill>
              <a:schemeClr val="accent1">
                <a:lumMod val="60000"/>
              </a:schemeClr>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(Battery)'!$B$80,'Railway (Battery)'!$N$80,'Railway (Battery)'!$AC$80)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358F-4E6F-BC1B-9802EECBD5F9}"/>
            </c:ext>
          </c:extLst>
        </c:ser>
        <c:ser>
          <c:idx val="7"/>
          <c:order val="7"/>
          <c:tx>
            <c:strRef>
              <c:f>'Railway (Battery)'!$A$81</c:f>
              <c:strCache>
                <c:ptCount val="1"/>
                <c:pt idx="0">
                  <c:v>Fuel Cost</c:v>
                </c:pt>
              </c:strCache>
            </c:strRef>
          </c:tx>
          <c:spPr>
            <a:solidFill>
              <a:schemeClr val="accent2">
                <a:lumMod val="60000"/>
              </a:schemeClr>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(Battery)'!$B$81,'Railway (Battery)'!$N$81,'Railway (Battery)'!$AC$81)</c:f>
              <c:numCache>
                <c:formatCode>0.00</c:formatCode>
                <c:ptCount val="3"/>
                <c:pt idx="0">
                  <c:v>1.995938496070806E-3</c:v>
                </c:pt>
                <c:pt idx="1">
                  <c:v>1.6344090520459527E-3</c:v>
                </c:pt>
                <c:pt idx="2">
                  <c:v>1.3149315291336651E-3</c:v>
                </c:pt>
              </c:numCache>
            </c:numRef>
          </c:val>
          <c:extLst>
            <c:ext xmlns:c16="http://schemas.microsoft.com/office/drawing/2014/chart" uri="{C3380CC4-5D6E-409C-BE32-E72D297353CC}">
              <c16:uniqueId val="{00000007-358F-4E6F-BC1B-9802EECBD5F9}"/>
            </c:ext>
          </c:extLst>
        </c:ser>
        <c:ser>
          <c:idx val="8"/>
          <c:order val="8"/>
          <c:tx>
            <c:strRef>
              <c:f>'Railway (Battery)'!$A$82</c:f>
              <c:strCache>
                <c:ptCount val="1"/>
                <c:pt idx="0">
                  <c:v>Market failure (av. utilization)</c:v>
                </c:pt>
              </c:strCache>
            </c:strRef>
          </c:tx>
          <c:spPr>
            <a:solidFill>
              <a:schemeClr val="accent3">
                <a:lumMod val="60000"/>
              </a:schemeClr>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(Battery)'!$B$82,'Railway (Battery)'!$N$82,'Railway (Battery)'!$AC$82)</c:f>
              <c:numCache>
                <c:formatCode>0.00</c:formatCode>
                <c:ptCount val="3"/>
                <c:pt idx="0">
                  <c:v>6.4703393077138547E-3</c:v>
                </c:pt>
                <c:pt idx="1">
                  <c:v>5.6372190715997597E-3</c:v>
                </c:pt>
                <c:pt idx="2">
                  <c:v>4.8871751147525778E-3</c:v>
                </c:pt>
              </c:numCache>
            </c:numRef>
          </c:val>
          <c:extLst>
            <c:ext xmlns:c16="http://schemas.microsoft.com/office/drawing/2014/chart" uri="{C3380CC4-5D6E-409C-BE32-E72D297353CC}">
              <c16:uniqueId val="{00000008-358F-4E6F-BC1B-9802EECBD5F9}"/>
            </c:ext>
          </c:extLst>
        </c:ser>
        <c:ser>
          <c:idx val="9"/>
          <c:order val="9"/>
          <c:tx>
            <c:strRef>
              <c:f>'Railway (Battery)'!$A$83</c:f>
              <c:strCache>
                <c:ptCount val="1"/>
                <c:pt idx="0">
                  <c:v>Payload loss (fuel)</c:v>
                </c:pt>
              </c:strCache>
            </c:strRef>
          </c:tx>
          <c:spPr>
            <a:solidFill>
              <a:schemeClr val="accent4">
                <a:lumMod val="60000"/>
              </a:schemeClr>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(Battery)'!$B$83,'Railway (Battery)'!$N$83,'Railway (Battery)'!$AC$83)</c:f>
              <c:numCache>
                <c:formatCode>0.00</c:formatCode>
                <c:ptCount val="3"/>
                <c:pt idx="0">
                  <c:v>4.2311486957607308E-4</c:v>
                </c:pt>
                <c:pt idx="1">
                  <c:v>2.6905104505744494E-4</c:v>
                </c:pt>
                <c:pt idx="2">
                  <c:v>1.5832728571570434E-4</c:v>
                </c:pt>
              </c:numCache>
            </c:numRef>
          </c:val>
          <c:extLst>
            <c:ext xmlns:c16="http://schemas.microsoft.com/office/drawing/2014/chart" uri="{C3380CC4-5D6E-409C-BE32-E72D297353CC}">
              <c16:uniqueId val="{00000009-358F-4E6F-BC1B-9802EECBD5F9}"/>
            </c:ext>
          </c:extLst>
        </c:ser>
        <c:ser>
          <c:idx val="10"/>
          <c:order val="10"/>
          <c:tx>
            <c:strRef>
              <c:f>'Railway (Battery)'!$A$298</c:f>
              <c:strCache>
                <c:ptCount val="1"/>
                <c:pt idx="0">
                  <c:v>Emission Cost</c:v>
                </c:pt>
              </c:strCache>
            </c:strRef>
          </c:tx>
          <c:spPr>
            <a:solidFill>
              <a:schemeClr val="accent5">
                <a:lumMod val="60000"/>
              </a:schemeClr>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(Battery)'!$B$298,'Railway (Battery)'!$N$298,'Railway (Battery)'!$AC$298)</c:f>
              <c:numCache>
                <c:formatCode>0.000</c:formatCode>
                <c:ptCount val="3"/>
                <c:pt idx="0">
                  <c:v>3.465044182978748E-5</c:v>
                </c:pt>
                <c:pt idx="1">
                  <c:v>2.9606098661768426E-5</c:v>
                </c:pt>
                <c:pt idx="2">
                  <c:v>5.6265062192906486E-7</c:v>
                </c:pt>
              </c:numCache>
            </c:numRef>
          </c:val>
          <c:extLst>
            <c:ext xmlns:c16="http://schemas.microsoft.com/office/drawing/2014/chart" uri="{C3380CC4-5D6E-409C-BE32-E72D297353CC}">
              <c16:uniqueId val="{00000000-F0F9-414D-8B51-2F4C0551D11E}"/>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(Battery)'!$A$11</c:f>
              <c:strCache>
                <c:ptCount val="1"/>
                <c:pt idx="0">
                  <c:v>Capex vehicle</c:v>
                </c:pt>
              </c:strCache>
            </c:strRef>
          </c:tx>
          <c:spPr>
            <a:ln w="28575" cap="rnd">
              <a:solidFill>
                <a:schemeClr val="accent1"/>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394A-4D87-A2D2-65857608AB30}"/>
            </c:ext>
          </c:extLst>
        </c:ser>
        <c:ser>
          <c:idx val="13"/>
          <c:order val="1"/>
          <c:tx>
            <c:strRef>
              <c:f>'Railway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(Battery)'!$Q$12:$AR$12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394A-4D87-A2D2-65857608AB30}"/>
            </c:ext>
          </c:extLst>
        </c:ser>
        <c:ser>
          <c:idx val="1"/>
          <c:order val="2"/>
          <c:tx>
            <c:strRef>
              <c:f>'Railway (Battery)'!$A$13</c:f>
              <c:strCache>
                <c:ptCount val="1"/>
                <c:pt idx="0">
                  <c:v>Capex costumization</c:v>
                </c:pt>
              </c:strCache>
            </c:strRef>
          </c:tx>
          <c:spPr>
            <a:ln w="28575" cap="rnd">
              <a:solidFill>
                <a:schemeClr val="accent2"/>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394A-4D87-A2D2-65857608AB30}"/>
            </c:ext>
          </c:extLst>
        </c:ser>
        <c:ser>
          <c:idx val="14"/>
          <c:order val="3"/>
          <c:tx>
            <c:strRef>
              <c:f>'Railway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394A-4D87-A2D2-65857608AB30}"/>
            </c:ext>
          </c:extLst>
        </c:ser>
        <c:ser>
          <c:idx val="2"/>
          <c:order val="4"/>
          <c:tx>
            <c:strRef>
              <c:f>'Railway (Battery)'!$A$15</c:f>
              <c:strCache>
                <c:ptCount val="1"/>
                <c:pt idx="0">
                  <c:v>WACC</c:v>
                </c:pt>
              </c:strCache>
            </c:strRef>
          </c:tx>
          <c:spPr>
            <a:ln w="28575" cap="rnd">
              <a:solidFill>
                <a:schemeClr val="accent3"/>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394A-4D87-A2D2-65857608AB30}"/>
            </c:ext>
          </c:extLst>
        </c:ser>
        <c:ser>
          <c:idx val="3"/>
          <c:order val="5"/>
          <c:tx>
            <c:strRef>
              <c:f>'Railway (Battery)'!$A$16</c:f>
              <c:strCache>
                <c:ptCount val="1"/>
                <c:pt idx="0">
                  <c:v>Opex fix (admin, crew, insurance)</c:v>
                </c:pt>
              </c:strCache>
            </c:strRef>
          </c:tx>
          <c:spPr>
            <a:ln w="28575" cap="rnd">
              <a:solidFill>
                <a:schemeClr val="accent4"/>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394A-4D87-A2D2-65857608AB30}"/>
            </c:ext>
          </c:extLst>
        </c:ser>
        <c:ser>
          <c:idx val="4"/>
          <c:order val="6"/>
          <c:tx>
            <c:strRef>
              <c:f>'Railway (Battery)'!$A$18</c:f>
              <c:strCache>
                <c:ptCount val="1"/>
                <c:pt idx="0">
                  <c:v>Opex var (mode-fees, shunting)</c:v>
                </c:pt>
              </c:strCache>
            </c:strRef>
          </c:tx>
          <c:spPr>
            <a:ln w="28575" cap="rnd">
              <a:solidFill>
                <a:schemeClr val="accent5"/>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394A-4D87-A2D2-65857608AB30}"/>
            </c:ext>
          </c:extLst>
        </c:ser>
        <c:ser>
          <c:idx val="5"/>
          <c:order val="7"/>
          <c:tx>
            <c:strRef>
              <c:f>'Railway (Battery)'!$A$19</c:f>
              <c:strCache>
                <c:ptCount val="1"/>
                <c:pt idx="0">
                  <c:v>Fuel Economy</c:v>
                </c:pt>
              </c:strCache>
            </c:strRef>
          </c:tx>
          <c:spPr>
            <a:ln w="28575" cap="rnd">
              <a:solidFill>
                <a:schemeClr val="accent6"/>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394A-4D87-A2D2-65857608AB30}"/>
            </c:ext>
          </c:extLst>
        </c:ser>
        <c:ser>
          <c:idx val="6"/>
          <c:order val="8"/>
          <c:tx>
            <c:strRef>
              <c:f>'Railway (Battery)'!$A$20</c:f>
              <c:strCache>
                <c:ptCount val="1"/>
                <c:pt idx="0">
                  <c:v>Fuel Cost</c:v>
                </c:pt>
              </c:strCache>
            </c:strRef>
          </c:tx>
          <c:spPr>
            <a:ln w="28575" cap="rnd">
              <a:solidFill>
                <a:schemeClr val="accent1">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394A-4D87-A2D2-65857608AB30}"/>
            </c:ext>
          </c:extLst>
        </c:ser>
        <c:ser>
          <c:idx val="7"/>
          <c:order val="9"/>
          <c:tx>
            <c:strRef>
              <c:f>'Railway (Battery)'!$A$22</c:f>
              <c:strCache>
                <c:ptCount val="1"/>
                <c:pt idx="0">
                  <c:v>Lifetime vehicle</c:v>
                </c:pt>
              </c:strCache>
            </c:strRef>
          </c:tx>
          <c:spPr>
            <a:ln w="28575" cap="rnd">
              <a:solidFill>
                <a:schemeClr val="accent2">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394A-4D87-A2D2-65857608AB30}"/>
            </c:ext>
          </c:extLst>
        </c:ser>
        <c:ser>
          <c:idx val="8"/>
          <c:order val="10"/>
          <c:tx>
            <c:strRef>
              <c:f>'Railway (Battery)'!$A$23</c:f>
              <c:strCache>
                <c:ptCount val="1"/>
                <c:pt idx="0">
                  <c:v>Lifetime costumization</c:v>
                </c:pt>
              </c:strCache>
            </c:strRef>
          </c:tx>
          <c:spPr>
            <a:ln w="28575" cap="rnd">
              <a:solidFill>
                <a:schemeClr val="accent3">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394A-4D87-A2D2-65857608AB30}"/>
            </c:ext>
          </c:extLst>
        </c:ser>
        <c:ser>
          <c:idx val="9"/>
          <c:order val="11"/>
          <c:tx>
            <c:strRef>
              <c:f>'Railway (Battery)'!$A$24</c:f>
              <c:strCache>
                <c:ptCount val="1"/>
                <c:pt idx="0">
                  <c:v>Tonnage </c:v>
                </c:pt>
              </c:strCache>
            </c:strRef>
          </c:tx>
          <c:spPr>
            <a:ln w="28575" cap="rnd">
              <a:solidFill>
                <a:schemeClr val="accent4">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394A-4D87-A2D2-65857608AB30}"/>
            </c:ext>
          </c:extLst>
        </c:ser>
        <c:ser>
          <c:idx val="10"/>
          <c:order val="12"/>
          <c:tx>
            <c:strRef>
              <c:f>'Railway (Battery)'!$A$25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394A-4D87-A2D2-65857608AB30}"/>
            </c:ext>
          </c:extLst>
        </c:ser>
        <c:ser>
          <c:idx val="11"/>
          <c:order val="13"/>
          <c:tx>
            <c:strRef>
              <c:f>'Railway (Battery)'!$A$27</c:f>
              <c:strCache>
                <c:ptCount val="1"/>
                <c:pt idx="0">
                  <c:v>Annual Mileage</c:v>
                </c:pt>
              </c:strCache>
            </c:strRef>
          </c:tx>
          <c:spPr>
            <a:ln w="28575" cap="rnd">
              <a:solidFill>
                <a:schemeClr val="accent6">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394A-4D87-A2D2-65857608AB30}"/>
            </c:ext>
          </c:extLst>
        </c:ser>
        <c:ser>
          <c:idx val="12"/>
          <c:order val="14"/>
          <c:tx>
            <c:strRef>
              <c:f>'Railway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(Battery)'!$Q$17:$AR$17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394A-4D87-A2D2-65857608AB3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(Battery)'!$A$74</c:f>
              <c:strCache>
                <c:ptCount val="1"/>
                <c:pt idx="0">
                  <c:v>Capex vehicle</c:v>
                </c:pt>
              </c:strCache>
            </c:strRef>
          </c:tx>
          <c:spPr>
            <a:solidFill>
              <a:schemeClr val="accent1"/>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(Battery)'!$B$74,'Railway (Battery)'!$N$74,'Railway (Battery)'!$AC$74)</c:f>
              <c:numCache>
                <c:formatCode>0.00</c:formatCode>
                <c:ptCount val="3"/>
                <c:pt idx="0">
                  <c:v>2.1696909640280381E-3</c:v>
                </c:pt>
                <c:pt idx="1">
                  <c:v>1.7423010268127629E-3</c:v>
                </c:pt>
                <c:pt idx="2">
                  <c:v>1.364623687619921E-3</c:v>
                </c:pt>
              </c:numCache>
            </c:numRef>
          </c:val>
          <c:extLst>
            <c:ext xmlns:c16="http://schemas.microsoft.com/office/drawing/2014/chart" uri="{C3380CC4-5D6E-409C-BE32-E72D297353CC}">
              <c16:uniqueId val="{00000000-A213-4E8D-9405-3EC9AF73DE43}"/>
            </c:ext>
          </c:extLst>
        </c:ser>
        <c:ser>
          <c:idx val="1"/>
          <c:order val="1"/>
          <c:tx>
            <c:strRef>
              <c:f>'Railway (Battery)'!$A$75</c:f>
              <c:strCache>
                <c:ptCount val="1"/>
                <c:pt idx="0">
                  <c:v>Residual value (vehicle)</c:v>
                </c:pt>
              </c:strCache>
            </c:strRef>
          </c:tx>
          <c:spPr>
            <a:solidFill>
              <a:schemeClr val="accent2"/>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(Battery)'!$B$75,'Railway (Battery)'!$N$75,'Railway (Battery)'!$AC$75)</c:f>
              <c:numCache>
                <c:formatCode>0.000</c:formatCode>
                <c:ptCount val="3"/>
                <c:pt idx="0">
                  <c:v>-1.1028374067486764E-4</c:v>
                </c:pt>
                <c:pt idx="1">
                  <c:v>-1.6014590001664974E-4</c:v>
                </c:pt>
                <c:pt idx="2">
                  <c:v>-2.0420825625581466E-4</c:v>
                </c:pt>
              </c:numCache>
            </c:numRef>
          </c:val>
          <c:extLst>
            <c:ext xmlns:c16="http://schemas.microsoft.com/office/drawing/2014/chart" uri="{C3380CC4-5D6E-409C-BE32-E72D297353CC}">
              <c16:uniqueId val="{00000001-A213-4E8D-9405-3EC9AF73DE43}"/>
            </c:ext>
          </c:extLst>
        </c:ser>
        <c:ser>
          <c:idx val="2"/>
          <c:order val="2"/>
          <c:tx>
            <c:strRef>
              <c:f>'Railway (Battery)'!$A$76</c:f>
              <c:strCache>
                <c:ptCount val="1"/>
                <c:pt idx="0">
                  <c:v>Capex costumization</c:v>
                </c:pt>
              </c:strCache>
            </c:strRef>
          </c:tx>
          <c:spPr>
            <a:solidFill>
              <a:schemeClr val="accent3"/>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(Battery)'!$B$76,'Railway (Battery)'!$N$76,'Railway (Battery)'!$AC$76)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A213-4E8D-9405-3EC9AF73DE43}"/>
            </c:ext>
          </c:extLst>
        </c:ser>
        <c:ser>
          <c:idx val="3"/>
          <c:order val="3"/>
          <c:tx>
            <c:strRef>
              <c:f>'Railway (Battery)'!$A$77</c:f>
              <c:strCache>
                <c:ptCount val="1"/>
                <c:pt idx="0">
                  <c:v>Residual value (costumization)</c:v>
                </c:pt>
              </c:strCache>
            </c:strRef>
          </c:tx>
          <c:spPr>
            <a:solidFill>
              <a:schemeClr val="accent4"/>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(Battery)'!$B$77,'Railway (Battery)'!$N$77,'Railway (Battery)'!$AC$77)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A213-4E8D-9405-3EC9AF73DE43}"/>
            </c:ext>
          </c:extLst>
        </c:ser>
        <c:ser>
          <c:idx val="4"/>
          <c:order val="4"/>
          <c:tx>
            <c:strRef>
              <c:f>'Railway (Battery)'!$A$78</c:f>
              <c:strCache>
                <c:ptCount val="1"/>
                <c:pt idx="0">
                  <c:v>Opex fix (admin, crew, insurance)</c:v>
                </c:pt>
              </c:strCache>
            </c:strRef>
          </c:tx>
          <c:spPr>
            <a:solidFill>
              <a:schemeClr val="accent5"/>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(Battery)'!$B$78,'Railway (Battery)'!$N$78,'Railway (Battery)'!$AC$78)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A213-4E8D-9405-3EC9AF73DE43}"/>
            </c:ext>
          </c:extLst>
        </c:ser>
        <c:ser>
          <c:idx val="5"/>
          <c:order val="5"/>
          <c:tx>
            <c:strRef>
              <c:f>'Railway (Battery)'!$A$79</c:f>
              <c:strCache>
                <c:ptCount val="1"/>
                <c:pt idx="0">
                  <c:v>Opex maintenance &amp; repair</c:v>
                </c:pt>
              </c:strCache>
            </c:strRef>
          </c:tx>
          <c:spPr>
            <a:solidFill>
              <a:schemeClr val="accent6"/>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(Battery)'!$B$79,'Railway (Battery)'!$N$79,'Railway (Battery)'!$AC$79)</c:f>
              <c:numCache>
                <c:formatCode>0.00</c:formatCode>
                <c:ptCount val="3"/>
                <c:pt idx="0">
                  <c:v>3.235203975384487E-3</c:v>
                </c:pt>
                <c:pt idx="1">
                  <c:v>2.5979272171538078E-3</c:v>
                </c:pt>
                <c:pt idx="2">
                  <c:v>2.0347764046985059E-3</c:v>
                </c:pt>
              </c:numCache>
            </c:numRef>
          </c:val>
          <c:extLst>
            <c:ext xmlns:c16="http://schemas.microsoft.com/office/drawing/2014/chart" uri="{C3380CC4-5D6E-409C-BE32-E72D297353CC}">
              <c16:uniqueId val="{00000005-A213-4E8D-9405-3EC9AF73DE43}"/>
            </c:ext>
          </c:extLst>
        </c:ser>
        <c:ser>
          <c:idx val="6"/>
          <c:order val="6"/>
          <c:tx>
            <c:strRef>
              <c:f>'Railway (Battery)'!$A$80</c:f>
              <c:strCache>
                <c:ptCount val="1"/>
                <c:pt idx="0">
                  <c:v>Opex var (mode-fees, shunting)</c:v>
                </c:pt>
              </c:strCache>
            </c:strRef>
          </c:tx>
          <c:spPr>
            <a:solidFill>
              <a:schemeClr val="accent1">
                <a:lumMod val="60000"/>
              </a:schemeClr>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(Battery)'!$B$80,'Railway (Battery)'!$N$80,'Railway (Battery)'!$AC$80)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A213-4E8D-9405-3EC9AF73DE43}"/>
            </c:ext>
          </c:extLst>
        </c:ser>
        <c:ser>
          <c:idx val="7"/>
          <c:order val="7"/>
          <c:tx>
            <c:strRef>
              <c:f>'Railway (Battery)'!$A$81</c:f>
              <c:strCache>
                <c:ptCount val="1"/>
                <c:pt idx="0">
                  <c:v>Fuel Cost</c:v>
                </c:pt>
              </c:strCache>
            </c:strRef>
          </c:tx>
          <c:spPr>
            <a:solidFill>
              <a:schemeClr val="accent2">
                <a:lumMod val="60000"/>
              </a:schemeClr>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(Battery)'!$B$81,'Railway (Battery)'!$N$81,'Railway (Battery)'!$AC$81)</c:f>
              <c:numCache>
                <c:formatCode>0.00</c:formatCode>
                <c:ptCount val="3"/>
                <c:pt idx="0">
                  <c:v>1.995938496070806E-3</c:v>
                </c:pt>
                <c:pt idx="1">
                  <c:v>1.6344090520459527E-3</c:v>
                </c:pt>
                <c:pt idx="2">
                  <c:v>1.3149315291336651E-3</c:v>
                </c:pt>
              </c:numCache>
            </c:numRef>
          </c:val>
          <c:extLst>
            <c:ext xmlns:c16="http://schemas.microsoft.com/office/drawing/2014/chart" uri="{C3380CC4-5D6E-409C-BE32-E72D297353CC}">
              <c16:uniqueId val="{00000007-A213-4E8D-9405-3EC9AF73DE43}"/>
            </c:ext>
          </c:extLst>
        </c:ser>
        <c:ser>
          <c:idx val="8"/>
          <c:order val="8"/>
          <c:tx>
            <c:strRef>
              <c:f>'Railway (Battery)'!$A$82</c:f>
              <c:strCache>
                <c:ptCount val="1"/>
                <c:pt idx="0">
                  <c:v>Market failure (av. utilization)</c:v>
                </c:pt>
              </c:strCache>
            </c:strRef>
          </c:tx>
          <c:spPr>
            <a:solidFill>
              <a:schemeClr val="accent3">
                <a:lumMod val="60000"/>
              </a:schemeClr>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(Battery)'!$B$82,'Railway (Battery)'!$N$82,'Railway (Battery)'!$AC$82)</c:f>
              <c:numCache>
                <c:formatCode>0.00</c:formatCode>
                <c:ptCount val="3"/>
                <c:pt idx="0">
                  <c:v>6.4703393077138547E-3</c:v>
                </c:pt>
                <c:pt idx="1">
                  <c:v>5.6372190715997597E-3</c:v>
                </c:pt>
                <c:pt idx="2">
                  <c:v>4.8871751147525778E-3</c:v>
                </c:pt>
              </c:numCache>
            </c:numRef>
          </c:val>
          <c:extLst>
            <c:ext xmlns:c16="http://schemas.microsoft.com/office/drawing/2014/chart" uri="{C3380CC4-5D6E-409C-BE32-E72D297353CC}">
              <c16:uniqueId val="{00000008-A213-4E8D-9405-3EC9AF73DE43}"/>
            </c:ext>
          </c:extLst>
        </c:ser>
        <c:ser>
          <c:idx val="9"/>
          <c:order val="9"/>
          <c:tx>
            <c:strRef>
              <c:f>'Railway (Battery)'!$A$83</c:f>
              <c:strCache>
                <c:ptCount val="1"/>
                <c:pt idx="0">
                  <c:v>Payload loss (fuel)</c:v>
                </c:pt>
              </c:strCache>
            </c:strRef>
          </c:tx>
          <c:spPr>
            <a:solidFill>
              <a:schemeClr val="accent4">
                <a:lumMod val="60000"/>
              </a:schemeClr>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(Battery)'!$B$83,'Railway (Battery)'!$N$83,'Railway (Battery)'!$AC$83)</c:f>
              <c:numCache>
                <c:formatCode>0.00</c:formatCode>
                <c:ptCount val="3"/>
                <c:pt idx="0">
                  <c:v>4.2311486957607308E-4</c:v>
                </c:pt>
                <c:pt idx="1">
                  <c:v>2.6905104505744494E-4</c:v>
                </c:pt>
                <c:pt idx="2">
                  <c:v>1.5832728571570434E-4</c:v>
                </c:pt>
              </c:numCache>
            </c:numRef>
          </c:val>
          <c:extLst>
            <c:ext xmlns:c16="http://schemas.microsoft.com/office/drawing/2014/chart" uri="{C3380CC4-5D6E-409C-BE32-E72D297353CC}">
              <c16:uniqueId val="{00000009-A213-4E8D-9405-3EC9AF73DE43}"/>
            </c:ext>
          </c:extLst>
        </c:ser>
        <c:ser>
          <c:idx val="10"/>
          <c:order val="10"/>
          <c:tx>
            <c:strRef>
              <c:f>'Railway (Battery)'!$A$407</c:f>
              <c:strCache>
                <c:ptCount val="1"/>
                <c:pt idx="0">
                  <c:v>Emission Cost</c:v>
                </c:pt>
              </c:strCache>
            </c:strRef>
          </c:tx>
          <c:spPr>
            <a:solidFill>
              <a:schemeClr val="accent5">
                <a:lumMod val="60000"/>
              </a:schemeClr>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(Battery)'!$B$407,'Railway (Battery)'!$N$407,'Railway (Battery)'!$AC$407)</c:f>
              <c:numCache>
                <c:formatCode>0.000</c:formatCode>
                <c:ptCount val="3"/>
                <c:pt idx="0">
                  <c:v>3.465044182978748E-5</c:v>
                </c:pt>
                <c:pt idx="1">
                  <c:v>2.9606098661768426E-5</c:v>
                </c:pt>
                <c:pt idx="2">
                  <c:v>5.6265062192906486E-7</c:v>
                </c:pt>
              </c:numCache>
            </c:numRef>
          </c:val>
          <c:extLst>
            <c:ext xmlns:c16="http://schemas.microsoft.com/office/drawing/2014/chart" uri="{C3380CC4-5D6E-409C-BE32-E72D297353CC}">
              <c16:uniqueId val="{00000000-DC5D-430E-9D29-52238F294630}"/>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(Battery)'!$A$11</c:f>
              <c:strCache>
                <c:ptCount val="1"/>
                <c:pt idx="0">
                  <c:v>Capex vehicle</c:v>
                </c:pt>
              </c:strCache>
            </c:strRef>
          </c:tx>
          <c:spPr>
            <a:ln w="28575" cap="rnd">
              <a:solidFill>
                <a:schemeClr val="accent1"/>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44E8-4FED-846B-3719F1CAE2DA}"/>
            </c:ext>
          </c:extLst>
        </c:ser>
        <c:ser>
          <c:idx val="13"/>
          <c:order val="1"/>
          <c:tx>
            <c:strRef>
              <c:f>'Railway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(Battery)'!$Q$12:$AR$12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44E8-4FED-846B-3719F1CAE2DA}"/>
            </c:ext>
          </c:extLst>
        </c:ser>
        <c:ser>
          <c:idx val="1"/>
          <c:order val="2"/>
          <c:tx>
            <c:strRef>
              <c:f>'Railway (Battery)'!$A$13</c:f>
              <c:strCache>
                <c:ptCount val="1"/>
                <c:pt idx="0">
                  <c:v>Capex costumization</c:v>
                </c:pt>
              </c:strCache>
            </c:strRef>
          </c:tx>
          <c:spPr>
            <a:ln w="28575" cap="rnd">
              <a:solidFill>
                <a:schemeClr val="accent2"/>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44E8-4FED-846B-3719F1CAE2DA}"/>
            </c:ext>
          </c:extLst>
        </c:ser>
        <c:ser>
          <c:idx val="14"/>
          <c:order val="3"/>
          <c:tx>
            <c:strRef>
              <c:f>'Railway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44E8-4FED-846B-3719F1CAE2DA}"/>
            </c:ext>
          </c:extLst>
        </c:ser>
        <c:ser>
          <c:idx val="2"/>
          <c:order val="4"/>
          <c:tx>
            <c:strRef>
              <c:f>'Railway (Battery)'!$A$15</c:f>
              <c:strCache>
                <c:ptCount val="1"/>
                <c:pt idx="0">
                  <c:v>WACC</c:v>
                </c:pt>
              </c:strCache>
            </c:strRef>
          </c:tx>
          <c:spPr>
            <a:ln w="28575" cap="rnd">
              <a:solidFill>
                <a:schemeClr val="accent3"/>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44E8-4FED-846B-3719F1CAE2DA}"/>
            </c:ext>
          </c:extLst>
        </c:ser>
        <c:ser>
          <c:idx val="3"/>
          <c:order val="5"/>
          <c:tx>
            <c:strRef>
              <c:f>'Railway (Battery)'!$A$16</c:f>
              <c:strCache>
                <c:ptCount val="1"/>
                <c:pt idx="0">
                  <c:v>Opex fix (admin, crew, insurance)</c:v>
                </c:pt>
              </c:strCache>
            </c:strRef>
          </c:tx>
          <c:spPr>
            <a:ln w="28575" cap="rnd">
              <a:solidFill>
                <a:schemeClr val="accent4"/>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44E8-4FED-846B-3719F1CAE2DA}"/>
            </c:ext>
          </c:extLst>
        </c:ser>
        <c:ser>
          <c:idx val="4"/>
          <c:order val="6"/>
          <c:tx>
            <c:strRef>
              <c:f>'Railway (Battery)'!$A$18</c:f>
              <c:strCache>
                <c:ptCount val="1"/>
                <c:pt idx="0">
                  <c:v>Opex var (mode-fees, shunting)</c:v>
                </c:pt>
              </c:strCache>
            </c:strRef>
          </c:tx>
          <c:spPr>
            <a:ln w="28575" cap="rnd">
              <a:solidFill>
                <a:schemeClr val="accent5"/>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44E8-4FED-846B-3719F1CAE2DA}"/>
            </c:ext>
          </c:extLst>
        </c:ser>
        <c:ser>
          <c:idx val="5"/>
          <c:order val="7"/>
          <c:tx>
            <c:strRef>
              <c:f>'Railway (Battery)'!$A$19</c:f>
              <c:strCache>
                <c:ptCount val="1"/>
                <c:pt idx="0">
                  <c:v>Fuel Economy</c:v>
                </c:pt>
              </c:strCache>
            </c:strRef>
          </c:tx>
          <c:spPr>
            <a:ln w="28575" cap="rnd">
              <a:solidFill>
                <a:schemeClr val="accent6"/>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44E8-4FED-846B-3719F1CAE2DA}"/>
            </c:ext>
          </c:extLst>
        </c:ser>
        <c:ser>
          <c:idx val="6"/>
          <c:order val="8"/>
          <c:tx>
            <c:strRef>
              <c:f>'Railway (Battery)'!$A$20</c:f>
              <c:strCache>
                <c:ptCount val="1"/>
                <c:pt idx="0">
                  <c:v>Fuel Cost</c:v>
                </c:pt>
              </c:strCache>
            </c:strRef>
          </c:tx>
          <c:spPr>
            <a:ln w="28575" cap="rnd">
              <a:solidFill>
                <a:schemeClr val="accent1">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44E8-4FED-846B-3719F1CAE2DA}"/>
            </c:ext>
          </c:extLst>
        </c:ser>
        <c:ser>
          <c:idx val="7"/>
          <c:order val="9"/>
          <c:tx>
            <c:strRef>
              <c:f>'Railway (Battery)'!$A$22</c:f>
              <c:strCache>
                <c:ptCount val="1"/>
                <c:pt idx="0">
                  <c:v>Lifetime vehicle</c:v>
                </c:pt>
              </c:strCache>
            </c:strRef>
          </c:tx>
          <c:spPr>
            <a:ln w="28575" cap="rnd">
              <a:solidFill>
                <a:schemeClr val="accent2">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44E8-4FED-846B-3719F1CAE2DA}"/>
            </c:ext>
          </c:extLst>
        </c:ser>
        <c:ser>
          <c:idx val="8"/>
          <c:order val="10"/>
          <c:tx>
            <c:strRef>
              <c:f>'Railway (Battery)'!$A$23</c:f>
              <c:strCache>
                <c:ptCount val="1"/>
                <c:pt idx="0">
                  <c:v>Lifetime costumization</c:v>
                </c:pt>
              </c:strCache>
            </c:strRef>
          </c:tx>
          <c:spPr>
            <a:ln w="28575" cap="rnd">
              <a:solidFill>
                <a:schemeClr val="accent3">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44E8-4FED-846B-3719F1CAE2DA}"/>
            </c:ext>
          </c:extLst>
        </c:ser>
        <c:ser>
          <c:idx val="9"/>
          <c:order val="11"/>
          <c:tx>
            <c:strRef>
              <c:f>'Railway (Battery)'!$A$24</c:f>
              <c:strCache>
                <c:ptCount val="1"/>
                <c:pt idx="0">
                  <c:v>Tonnage </c:v>
                </c:pt>
              </c:strCache>
            </c:strRef>
          </c:tx>
          <c:spPr>
            <a:ln w="28575" cap="rnd">
              <a:solidFill>
                <a:schemeClr val="accent4">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44E8-4FED-846B-3719F1CAE2DA}"/>
            </c:ext>
          </c:extLst>
        </c:ser>
        <c:ser>
          <c:idx val="10"/>
          <c:order val="12"/>
          <c:tx>
            <c:strRef>
              <c:f>'Railway (Battery)'!$A$25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44E8-4FED-846B-3719F1CAE2DA}"/>
            </c:ext>
          </c:extLst>
        </c:ser>
        <c:ser>
          <c:idx val="11"/>
          <c:order val="13"/>
          <c:tx>
            <c:strRef>
              <c:f>'Railway (Battery)'!$A$27</c:f>
              <c:strCache>
                <c:ptCount val="1"/>
                <c:pt idx="0">
                  <c:v>Annual Mileage</c:v>
                </c:pt>
              </c:strCache>
            </c:strRef>
          </c:tx>
          <c:spPr>
            <a:ln w="28575" cap="rnd">
              <a:solidFill>
                <a:schemeClr val="accent6">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44E8-4FED-846B-3719F1CAE2DA}"/>
            </c:ext>
          </c:extLst>
        </c:ser>
        <c:ser>
          <c:idx val="12"/>
          <c:order val="14"/>
          <c:tx>
            <c:strRef>
              <c:f>'Railway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(Battery)'!$Q$17:$AR$17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44E8-4FED-846B-3719F1CAE2DA}"/>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(Battery)'!$A$74</c:f>
              <c:strCache>
                <c:ptCount val="1"/>
                <c:pt idx="0">
                  <c:v>Capex vehicle</c:v>
                </c:pt>
              </c:strCache>
            </c:strRef>
          </c:tx>
          <c:spPr>
            <a:solidFill>
              <a:schemeClr val="accent1"/>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(Battery)'!$B$74,'Railway (Battery)'!$N$74,'Railway (Battery)'!$AC$74)</c:f>
              <c:numCache>
                <c:formatCode>0.00</c:formatCode>
                <c:ptCount val="3"/>
                <c:pt idx="0">
                  <c:v>2.1696909640280381E-3</c:v>
                </c:pt>
                <c:pt idx="1">
                  <c:v>1.7423010268127629E-3</c:v>
                </c:pt>
                <c:pt idx="2">
                  <c:v>1.364623687619921E-3</c:v>
                </c:pt>
              </c:numCache>
            </c:numRef>
          </c:val>
          <c:extLst>
            <c:ext xmlns:c16="http://schemas.microsoft.com/office/drawing/2014/chart" uri="{C3380CC4-5D6E-409C-BE32-E72D297353CC}">
              <c16:uniqueId val="{00000000-5089-4833-A7D9-841B0BDF08F1}"/>
            </c:ext>
          </c:extLst>
        </c:ser>
        <c:ser>
          <c:idx val="1"/>
          <c:order val="1"/>
          <c:tx>
            <c:strRef>
              <c:f>'Railway (Battery)'!$A$75</c:f>
              <c:strCache>
                <c:ptCount val="1"/>
                <c:pt idx="0">
                  <c:v>Residual value (vehicle)</c:v>
                </c:pt>
              </c:strCache>
            </c:strRef>
          </c:tx>
          <c:spPr>
            <a:solidFill>
              <a:schemeClr val="accent2"/>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(Battery)'!$B$75,'Railway (Battery)'!$N$75,'Railway (Battery)'!$AC$75)</c:f>
              <c:numCache>
                <c:formatCode>0.000</c:formatCode>
                <c:ptCount val="3"/>
                <c:pt idx="0">
                  <c:v>-1.1028374067486764E-4</c:v>
                </c:pt>
                <c:pt idx="1">
                  <c:v>-1.6014590001664974E-4</c:v>
                </c:pt>
                <c:pt idx="2">
                  <c:v>-2.0420825625581466E-4</c:v>
                </c:pt>
              </c:numCache>
            </c:numRef>
          </c:val>
          <c:extLst>
            <c:ext xmlns:c16="http://schemas.microsoft.com/office/drawing/2014/chart" uri="{C3380CC4-5D6E-409C-BE32-E72D297353CC}">
              <c16:uniqueId val="{00000001-5089-4833-A7D9-841B0BDF08F1}"/>
            </c:ext>
          </c:extLst>
        </c:ser>
        <c:ser>
          <c:idx val="2"/>
          <c:order val="2"/>
          <c:tx>
            <c:strRef>
              <c:f>'Railway (Battery)'!$A$76</c:f>
              <c:strCache>
                <c:ptCount val="1"/>
                <c:pt idx="0">
                  <c:v>Capex costumization</c:v>
                </c:pt>
              </c:strCache>
            </c:strRef>
          </c:tx>
          <c:spPr>
            <a:solidFill>
              <a:schemeClr val="accent3"/>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(Battery)'!$B$76,'Railway (Battery)'!$N$76,'Railway (Battery)'!$AC$76)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5089-4833-A7D9-841B0BDF08F1}"/>
            </c:ext>
          </c:extLst>
        </c:ser>
        <c:ser>
          <c:idx val="3"/>
          <c:order val="3"/>
          <c:tx>
            <c:strRef>
              <c:f>'Railway (Battery)'!$A$77</c:f>
              <c:strCache>
                <c:ptCount val="1"/>
                <c:pt idx="0">
                  <c:v>Residual value (costumization)</c:v>
                </c:pt>
              </c:strCache>
            </c:strRef>
          </c:tx>
          <c:spPr>
            <a:solidFill>
              <a:schemeClr val="accent4"/>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(Battery)'!$B$77,'Railway (Battery)'!$N$77,'Railway (Battery)'!$AC$77)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5089-4833-A7D9-841B0BDF08F1}"/>
            </c:ext>
          </c:extLst>
        </c:ser>
        <c:ser>
          <c:idx val="4"/>
          <c:order val="4"/>
          <c:tx>
            <c:strRef>
              <c:f>'Railway (Battery)'!$A$78</c:f>
              <c:strCache>
                <c:ptCount val="1"/>
                <c:pt idx="0">
                  <c:v>Opex fix (admin, crew, insurance)</c:v>
                </c:pt>
              </c:strCache>
            </c:strRef>
          </c:tx>
          <c:spPr>
            <a:solidFill>
              <a:schemeClr val="accent5"/>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(Battery)'!$B$78,'Railway (Battery)'!$N$78,'Railway (Battery)'!$AC$78)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5089-4833-A7D9-841B0BDF08F1}"/>
            </c:ext>
          </c:extLst>
        </c:ser>
        <c:ser>
          <c:idx val="5"/>
          <c:order val="5"/>
          <c:tx>
            <c:strRef>
              <c:f>'Railway (Battery)'!$A$79</c:f>
              <c:strCache>
                <c:ptCount val="1"/>
                <c:pt idx="0">
                  <c:v>Opex maintenance &amp; repair</c:v>
                </c:pt>
              </c:strCache>
            </c:strRef>
          </c:tx>
          <c:spPr>
            <a:solidFill>
              <a:schemeClr val="accent6"/>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(Battery)'!$B$79,'Railway (Battery)'!$N$79,'Railway (Battery)'!$AC$79)</c:f>
              <c:numCache>
                <c:formatCode>0.00</c:formatCode>
                <c:ptCount val="3"/>
                <c:pt idx="0">
                  <c:v>3.235203975384487E-3</c:v>
                </c:pt>
                <c:pt idx="1">
                  <c:v>2.5979272171538078E-3</c:v>
                </c:pt>
                <c:pt idx="2">
                  <c:v>2.0347764046985059E-3</c:v>
                </c:pt>
              </c:numCache>
            </c:numRef>
          </c:val>
          <c:extLst>
            <c:ext xmlns:c16="http://schemas.microsoft.com/office/drawing/2014/chart" uri="{C3380CC4-5D6E-409C-BE32-E72D297353CC}">
              <c16:uniqueId val="{00000005-5089-4833-A7D9-841B0BDF08F1}"/>
            </c:ext>
          </c:extLst>
        </c:ser>
        <c:ser>
          <c:idx val="6"/>
          <c:order val="6"/>
          <c:tx>
            <c:strRef>
              <c:f>'Railway (Battery)'!$A$80</c:f>
              <c:strCache>
                <c:ptCount val="1"/>
                <c:pt idx="0">
                  <c:v>Opex var (mode-fees, shunting)</c:v>
                </c:pt>
              </c:strCache>
            </c:strRef>
          </c:tx>
          <c:spPr>
            <a:solidFill>
              <a:schemeClr val="accent1">
                <a:lumMod val="60000"/>
              </a:schemeClr>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(Battery)'!$B$80,'Railway (Battery)'!$N$80,'Railway (Battery)'!$AC$80)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5089-4833-A7D9-841B0BDF08F1}"/>
            </c:ext>
          </c:extLst>
        </c:ser>
        <c:ser>
          <c:idx val="7"/>
          <c:order val="7"/>
          <c:tx>
            <c:strRef>
              <c:f>'Railway (Battery)'!$A$81</c:f>
              <c:strCache>
                <c:ptCount val="1"/>
                <c:pt idx="0">
                  <c:v>Fuel Cost</c:v>
                </c:pt>
              </c:strCache>
            </c:strRef>
          </c:tx>
          <c:spPr>
            <a:solidFill>
              <a:schemeClr val="accent2">
                <a:lumMod val="60000"/>
              </a:schemeClr>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(Battery)'!$B$81,'Railway (Battery)'!$N$81,'Railway (Battery)'!$AC$81)</c:f>
              <c:numCache>
                <c:formatCode>0.00</c:formatCode>
                <c:ptCount val="3"/>
                <c:pt idx="0">
                  <c:v>1.995938496070806E-3</c:v>
                </c:pt>
                <c:pt idx="1">
                  <c:v>1.6344090520459527E-3</c:v>
                </c:pt>
                <c:pt idx="2">
                  <c:v>1.3149315291336651E-3</c:v>
                </c:pt>
              </c:numCache>
            </c:numRef>
          </c:val>
          <c:extLst>
            <c:ext xmlns:c16="http://schemas.microsoft.com/office/drawing/2014/chart" uri="{C3380CC4-5D6E-409C-BE32-E72D297353CC}">
              <c16:uniqueId val="{00000007-5089-4833-A7D9-841B0BDF08F1}"/>
            </c:ext>
          </c:extLst>
        </c:ser>
        <c:ser>
          <c:idx val="8"/>
          <c:order val="8"/>
          <c:tx>
            <c:strRef>
              <c:f>'Railway (Battery)'!$A$82</c:f>
              <c:strCache>
                <c:ptCount val="1"/>
                <c:pt idx="0">
                  <c:v>Market failure (av. utilization)</c:v>
                </c:pt>
              </c:strCache>
            </c:strRef>
          </c:tx>
          <c:spPr>
            <a:solidFill>
              <a:schemeClr val="accent3">
                <a:lumMod val="60000"/>
              </a:schemeClr>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(Battery)'!$B$82,'Railway (Battery)'!$N$82,'Railway (Battery)'!$AC$82)</c:f>
              <c:numCache>
                <c:formatCode>0.00</c:formatCode>
                <c:ptCount val="3"/>
                <c:pt idx="0">
                  <c:v>6.4703393077138547E-3</c:v>
                </c:pt>
                <c:pt idx="1">
                  <c:v>5.6372190715997597E-3</c:v>
                </c:pt>
                <c:pt idx="2">
                  <c:v>4.8871751147525778E-3</c:v>
                </c:pt>
              </c:numCache>
            </c:numRef>
          </c:val>
          <c:extLst>
            <c:ext xmlns:c16="http://schemas.microsoft.com/office/drawing/2014/chart" uri="{C3380CC4-5D6E-409C-BE32-E72D297353CC}">
              <c16:uniqueId val="{00000008-5089-4833-A7D9-841B0BDF08F1}"/>
            </c:ext>
          </c:extLst>
        </c:ser>
        <c:ser>
          <c:idx val="9"/>
          <c:order val="9"/>
          <c:tx>
            <c:strRef>
              <c:f>'Railway (Battery)'!$A$83</c:f>
              <c:strCache>
                <c:ptCount val="1"/>
                <c:pt idx="0">
                  <c:v>Payload loss (fuel)</c:v>
                </c:pt>
              </c:strCache>
            </c:strRef>
          </c:tx>
          <c:spPr>
            <a:solidFill>
              <a:schemeClr val="accent4">
                <a:lumMod val="60000"/>
              </a:schemeClr>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(Battery)'!$B$83,'Railway (Battery)'!$N$83,'Railway (Battery)'!$AC$83)</c:f>
              <c:numCache>
                <c:formatCode>0.00</c:formatCode>
                <c:ptCount val="3"/>
                <c:pt idx="0">
                  <c:v>4.2311486957607308E-4</c:v>
                </c:pt>
                <c:pt idx="1">
                  <c:v>2.6905104505744494E-4</c:v>
                </c:pt>
                <c:pt idx="2">
                  <c:v>1.5832728571570434E-4</c:v>
                </c:pt>
              </c:numCache>
            </c:numRef>
          </c:val>
          <c:extLst>
            <c:ext xmlns:c16="http://schemas.microsoft.com/office/drawing/2014/chart" uri="{C3380CC4-5D6E-409C-BE32-E72D297353CC}">
              <c16:uniqueId val="{00000009-5089-4833-A7D9-841B0BDF08F1}"/>
            </c:ext>
          </c:extLst>
        </c:ser>
        <c:ser>
          <c:idx val="10"/>
          <c:order val="10"/>
          <c:tx>
            <c:strRef>
              <c:f>'Railway (Battery)'!$A$512</c:f>
              <c:strCache>
                <c:ptCount val="1"/>
                <c:pt idx="0">
                  <c:v>Emission Cost</c:v>
                </c:pt>
              </c:strCache>
            </c:strRef>
          </c:tx>
          <c:spPr>
            <a:solidFill>
              <a:schemeClr val="accent5">
                <a:lumMod val="60000"/>
              </a:schemeClr>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(Battery)'!$B$512,'Railway (Battery)'!$N$512,'Railway (Battery)'!$AC$512)</c:f>
              <c:numCache>
                <c:formatCode>0.000</c:formatCode>
                <c:ptCount val="3"/>
                <c:pt idx="0">
                  <c:v>2.7720353463829981E-5</c:v>
                </c:pt>
                <c:pt idx="1">
                  <c:v>2.3684878929414742E-5</c:v>
                </c:pt>
                <c:pt idx="2">
                  <c:v>4.501204975432519E-7</c:v>
                </c:pt>
              </c:numCache>
            </c:numRef>
          </c:val>
          <c:extLst>
            <c:ext xmlns:c16="http://schemas.microsoft.com/office/drawing/2014/chart" uri="{C3380CC4-5D6E-409C-BE32-E72D297353CC}">
              <c16:uniqueId val="{00000000-F795-4FAE-995F-C67C88D3C37B}"/>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(Hydrogen)'!$A$11</c:f>
              <c:strCache>
                <c:ptCount val="1"/>
                <c:pt idx="0">
                  <c:v>Capex vehicle</c:v>
                </c:pt>
              </c:strCache>
            </c:strRef>
          </c:tx>
          <c:spPr>
            <a:ln w="28575" cap="rnd">
              <a:solidFill>
                <a:schemeClr val="accent1"/>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2FFC-4B26-99EA-21EE51B59872}"/>
            </c:ext>
          </c:extLst>
        </c:ser>
        <c:ser>
          <c:idx val="13"/>
          <c:order val="1"/>
          <c:tx>
            <c:strRef>
              <c:f>'Railway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(Hydrogen)'!$Q$12:$AR$12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2FFC-4B26-99EA-21EE51B59872}"/>
            </c:ext>
          </c:extLst>
        </c:ser>
        <c:ser>
          <c:idx val="1"/>
          <c:order val="2"/>
          <c:tx>
            <c:strRef>
              <c:f>'Railway (Hydrogen)'!$A$13</c:f>
              <c:strCache>
                <c:ptCount val="1"/>
                <c:pt idx="0">
                  <c:v>Capex costumization</c:v>
                </c:pt>
              </c:strCache>
            </c:strRef>
          </c:tx>
          <c:spPr>
            <a:ln w="28575" cap="rnd">
              <a:solidFill>
                <a:schemeClr val="accent2"/>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FFC-4B26-99EA-21EE51B59872}"/>
            </c:ext>
          </c:extLst>
        </c:ser>
        <c:ser>
          <c:idx val="14"/>
          <c:order val="3"/>
          <c:tx>
            <c:strRef>
              <c:f>'Railway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FFC-4B26-99EA-21EE51B59872}"/>
            </c:ext>
          </c:extLst>
        </c:ser>
        <c:ser>
          <c:idx val="2"/>
          <c:order val="4"/>
          <c:tx>
            <c:strRef>
              <c:f>'Railway (Hydrogen)'!$A$15</c:f>
              <c:strCache>
                <c:ptCount val="1"/>
                <c:pt idx="0">
                  <c:v>WACC</c:v>
                </c:pt>
              </c:strCache>
            </c:strRef>
          </c:tx>
          <c:spPr>
            <a:ln w="28575" cap="rnd">
              <a:solidFill>
                <a:schemeClr val="accent3"/>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FFC-4B26-99EA-21EE51B59872}"/>
            </c:ext>
          </c:extLst>
        </c:ser>
        <c:ser>
          <c:idx val="3"/>
          <c:order val="5"/>
          <c:tx>
            <c:strRef>
              <c:f>'Railway (Hydrogen)'!$A$16</c:f>
              <c:strCache>
                <c:ptCount val="1"/>
                <c:pt idx="0">
                  <c:v>Opex fix (admin, crew, insurance)</c:v>
                </c:pt>
              </c:strCache>
            </c:strRef>
          </c:tx>
          <c:spPr>
            <a:ln w="28575" cap="rnd">
              <a:solidFill>
                <a:schemeClr val="accent4"/>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FFC-4B26-99EA-21EE51B59872}"/>
            </c:ext>
          </c:extLst>
        </c:ser>
        <c:ser>
          <c:idx val="4"/>
          <c:order val="6"/>
          <c:tx>
            <c:strRef>
              <c:f>'Railway (Hydrogen)'!$A$18</c:f>
              <c:strCache>
                <c:ptCount val="1"/>
                <c:pt idx="0">
                  <c:v>Opex var (mode-fees, shunting)</c:v>
                </c:pt>
              </c:strCache>
            </c:strRef>
          </c:tx>
          <c:spPr>
            <a:ln w="28575" cap="rnd">
              <a:solidFill>
                <a:schemeClr val="accent5"/>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FFC-4B26-99EA-21EE51B59872}"/>
            </c:ext>
          </c:extLst>
        </c:ser>
        <c:ser>
          <c:idx val="5"/>
          <c:order val="7"/>
          <c:tx>
            <c:strRef>
              <c:f>'Railway (Hydrogen)'!$A$19</c:f>
              <c:strCache>
                <c:ptCount val="1"/>
                <c:pt idx="0">
                  <c:v>Fuel Economy</c:v>
                </c:pt>
              </c:strCache>
            </c:strRef>
          </c:tx>
          <c:spPr>
            <a:ln w="28575" cap="rnd">
              <a:solidFill>
                <a:schemeClr val="accent6"/>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2FFC-4B26-99EA-21EE51B59872}"/>
            </c:ext>
          </c:extLst>
        </c:ser>
        <c:ser>
          <c:idx val="6"/>
          <c:order val="8"/>
          <c:tx>
            <c:strRef>
              <c:f>'Railway (Hydrogen)'!$A$20</c:f>
              <c:strCache>
                <c:ptCount val="1"/>
                <c:pt idx="0">
                  <c:v>Fuel Cost</c:v>
                </c:pt>
              </c:strCache>
            </c:strRef>
          </c:tx>
          <c:spPr>
            <a:ln w="28575" cap="rnd">
              <a:solidFill>
                <a:schemeClr val="accent1">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FFC-4B26-99EA-21EE51B59872}"/>
            </c:ext>
          </c:extLst>
        </c:ser>
        <c:ser>
          <c:idx val="7"/>
          <c:order val="9"/>
          <c:tx>
            <c:strRef>
              <c:f>'Railway (Hydrogen)'!$A$22</c:f>
              <c:strCache>
                <c:ptCount val="1"/>
                <c:pt idx="0">
                  <c:v>Lifetime vehicle</c:v>
                </c:pt>
              </c:strCache>
            </c:strRef>
          </c:tx>
          <c:spPr>
            <a:ln w="28575" cap="rnd">
              <a:solidFill>
                <a:schemeClr val="accent2">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2FFC-4B26-99EA-21EE51B59872}"/>
            </c:ext>
          </c:extLst>
        </c:ser>
        <c:ser>
          <c:idx val="8"/>
          <c:order val="10"/>
          <c:tx>
            <c:strRef>
              <c:f>'Railway (Hydrogen)'!$A$23</c:f>
              <c:strCache>
                <c:ptCount val="1"/>
                <c:pt idx="0">
                  <c:v>Lifetime costumization</c:v>
                </c:pt>
              </c:strCache>
            </c:strRef>
          </c:tx>
          <c:spPr>
            <a:ln w="28575" cap="rnd">
              <a:solidFill>
                <a:schemeClr val="accent3">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FFC-4B26-99EA-21EE51B59872}"/>
            </c:ext>
          </c:extLst>
        </c:ser>
        <c:ser>
          <c:idx val="9"/>
          <c:order val="11"/>
          <c:tx>
            <c:strRef>
              <c:f>'Railway (Hydrogen)'!$A$24</c:f>
              <c:strCache>
                <c:ptCount val="1"/>
                <c:pt idx="0">
                  <c:v>Tonnage </c:v>
                </c:pt>
              </c:strCache>
            </c:strRef>
          </c:tx>
          <c:spPr>
            <a:ln w="28575" cap="rnd">
              <a:solidFill>
                <a:schemeClr val="accent4">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FFC-4B26-99EA-21EE51B59872}"/>
            </c:ext>
          </c:extLst>
        </c:ser>
        <c:ser>
          <c:idx val="10"/>
          <c:order val="12"/>
          <c:tx>
            <c:strRef>
              <c:f>'Railway (Hydrogen)'!$A$25</c:f>
              <c:strCache>
                <c:ptCount val="1"/>
                <c:pt idx="0">
                  <c:v>Market failure (av. utilization)</c:v>
                </c:pt>
              </c:strCache>
            </c:strRef>
          </c:tx>
          <c:spPr>
            <a:ln w="28575" cap="rnd">
              <a:solidFill>
                <a:schemeClr val="accent5">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FFC-4B26-99EA-21EE51B59872}"/>
            </c:ext>
          </c:extLst>
        </c:ser>
        <c:ser>
          <c:idx val="11"/>
          <c:order val="13"/>
          <c:tx>
            <c:strRef>
              <c:f>'Railway (Hydrogen)'!$A$27</c:f>
              <c:strCache>
                <c:ptCount val="1"/>
                <c:pt idx="0">
                  <c:v>Annual Mileage</c:v>
                </c:pt>
              </c:strCache>
            </c:strRef>
          </c:tx>
          <c:spPr>
            <a:ln w="28575" cap="rnd">
              <a:solidFill>
                <a:schemeClr val="accent6">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FFC-4B26-99EA-21EE51B59872}"/>
            </c:ext>
          </c:extLst>
        </c:ser>
        <c:ser>
          <c:idx val="12"/>
          <c:order val="14"/>
          <c:tx>
            <c:strRef>
              <c:f>'Railway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(Hydrogen)'!$Q$17:$AR$17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2FFC-4B26-99EA-21EE51B59872}"/>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(Hydrogen)'!$A$74</c:f>
              <c:strCache>
                <c:ptCount val="1"/>
                <c:pt idx="0">
                  <c:v>Capex vehicle</c:v>
                </c:pt>
              </c:strCache>
            </c:strRef>
          </c:tx>
          <c:spPr>
            <a:solidFill>
              <a:schemeClr val="accent1"/>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(Hydrogen)'!$B$74,'Railway (Hydrogen)'!$N$74,'Railway (Hydrogen)'!$AC$74)</c:f>
              <c:numCache>
                <c:formatCode>0.00</c:formatCode>
                <c:ptCount val="3"/>
                <c:pt idx="0">
                  <c:v>2.1632138711235615E-3</c:v>
                </c:pt>
                <c:pt idx="1">
                  <c:v>1.479389971579121E-3</c:v>
                </c:pt>
                <c:pt idx="2">
                  <c:v>8.7510622887057403E-4</c:v>
                </c:pt>
              </c:numCache>
            </c:numRef>
          </c:val>
          <c:extLst>
            <c:ext xmlns:c16="http://schemas.microsoft.com/office/drawing/2014/chart" uri="{C3380CC4-5D6E-409C-BE32-E72D297353CC}">
              <c16:uniqueId val="{00000000-8B42-48FE-BAF9-04FAB2EBF7B2}"/>
            </c:ext>
          </c:extLst>
        </c:ser>
        <c:ser>
          <c:idx val="1"/>
          <c:order val="1"/>
          <c:tx>
            <c:strRef>
              <c:f>'Railway (Hydrogen)'!$A$75</c:f>
              <c:strCache>
                <c:ptCount val="1"/>
                <c:pt idx="0">
                  <c:v>Residual value (vehicle)</c:v>
                </c:pt>
              </c:strCache>
            </c:strRef>
          </c:tx>
          <c:spPr>
            <a:solidFill>
              <a:schemeClr val="accent2"/>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(Hydrogen)'!$B$75,'Railway (Hydrogen)'!$N$75,'Railway (Hydrogen)'!$AC$75)</c:f>
              <c:numCache>
                <c:formatCode>0.000</c:formatCode>
                <c:ptCount val="3"/>
                <c:pt idx="0">
                  <c:v>-1.0931217673919614E-4</c:v>
                </c:pt>
                <c:pt idx="1">
                  <c:v>-1.2070924173160351E-4</c:v>
                </c:pt>
                <c:pt idx="2">
                  <c:v>-1.3078063744341263E-4</c:v>
                </c:pt>
              </c:numCache>
            </c:numRef>
          </c:val>
          <c:extLst>
            <c:ext xmlns:c16="http://schemas.microsoft.com/office/drawing/2014/chart" uri="{C3380CC4-5D6E-409C-BE32-E72D297353CC}">
              <c16:uniqueId val="{00000001-8B42-48FE-BAF9-04FAB2EBF7B2}"/>
            </c:ext>
          </c:extLst>
        </c:ser>
        <c:ser>
          <c:idx val="2"/>
          <c:order val="2"/>
          <c:tx>
            <c:strRef>
              <c:f>'Railway (Hydrogen)'!$A$76</c:f>
              <c:strCache>
                <c:ptCount val="1"/>
                <c:pt idx="0">
                  <c:v>Capex costumization</c:v>
                </c:pt>
              </c:strCache>
            </c:strRef>
          </c:tx>
          <c:spPr>
            <a:solidFill>
              <a:schemeClr val="accent3"/>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(Hydrogen)'!$B$76,'Railway (Hydrogen)'!$N$76,'Railway (Hydrogen)'!$AC$76)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8B42-48FE-BAF9-04FAB2EBF7B2}"/>
            </c:ext>
          </c:extLst>
        </c:ser>
        <c:ser>
          <c:idx val="3"/>
          <c:order val="3"/>
          <c:tx>
            <c:strRef>
              <c:f>'Railway (Hydrogen)'!$A$77</c:f>
              <c:strCache>
                <c:ptCount val="1"/>
                <c:pt idx="0">
                  <c:v>Residual value (costumization)</c:v>
                </c:pt>
              </c:strCache>
            </c:strRef>
          </c:tx>
          <c:spPr>
            <a:solidFill>
              <a:schemeClr val="accent4"/>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(Hydrogen)'!$B$77,'Railway (Hydrogen)'!$N$77,'Railway (Hydrogen)'!$AC$77)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8B42-48FE-BAF9-04FAB2EBF7B2}"/>
            </c:ext>
          </c:extLst>
        </c:ser>
        <c:ser>
          <c:idx val="4"/>
          <c:order val="4"/>
          <c:tx>
            <c:strRef>
              <c:f>'Railway (Hydrogen)'!$A$78</c:f>
              <c:strCache>
                <c:ptCount val="1"/>
                <c:pt idx="0">
                  <c:v>Opex fix (admin, crew, insurance)</c:v>
                </c:pt>
              </c:strCache>
            </c:strRef>
          </c:tx>
          <c:spPr>
            <a:solidFill>
              <a:schemeClr val="accent5"/>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(Hydrogen)'!$B$78,'Railway (Hydrogen)'!$N$78,'Railway (Hydrogen)'!$AC$78)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8B42-48FE-BAF9-04FAB2EBF7B2}"/>
            </c:ext>
          </c:extLst>
        </c:ser>
        <c:ser>
          <c:idx val="5"/>
          <c:order val="5"/>
          <c:tx>
            <c:strRef>
              <c:f>'Railway (Hydrogen)'!$A$79</c:f>
              <c:strCache>
                <c:ptCount val="1"/>
                <c:pt idx="0">
                  <c:v>Opex maintenance &amp; repair</c:v>
                </c:pt>
              </c:strCache>
            </c:strRef>
          </c:tx>
          <c:spPr>
            <a:solidFill>
              <a:schemeClr val="accent6"/>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(Hydrogen)'!$B$79,'Railway (Hydrogen)'!$N$79,'Railway (Hydrogen)'!$AC$79)</c:f>
              <c:numCache>
                <c:formatCode>0.00</c:formatCode>
                <c:ptCount val="3"/>
                <c:pt idx="0">
                  <c:v>3.4736649752972778E-3</c:v>
                </c:pt>
                <c:pt idx="1">
                  <c:v>2.3755880995767228E-3</c:v>
                </c:pt>
                <c:pt idx="2">
                  <c:v>1.4052359304229719E-3</c:v>
                </c:pt>
              </c:numCache>
            </c:numRef>
          </c:val>
          <c:extLst>
            <c:ext xmlns:c16="http://schemas.microsoft.com/office/drawing/2014/chart" uri="{C3380CC4-5D6E-409C-BE32-E72D297353CC}">
              <c16:uniqueId val="{00000005-8B42-48FE-BAF9-04FAB2EBF7B2}"/>
            </c:ext>
          </c:extLst>
        </c:ser>
        <c:ser>
          <c:idx val="6"/>
          <c:order val="6"/>
          <c:tx>
            <c:strRef>
              <c:f>'Railway (Hydrogen)'!$A$80</c:f>
              <c:strCache>
                <c:ptCount val="1"/>
                <c:pt idx="0">
                  <c:v>Opex var (mode-fees, shunting)</c:v>
                </c:pt>
              </c:strCache>
            </c:strRef>
          </c:tx>
          <c:spPr>
            <a:solidFill>
              <a:schemeClr val="accent1">
                <a:lumMod val="60000"/>
              </a:schemeClr>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(Hydrogen)'!$B$80,'Railway (Hydrogen)'!$N$80,'Railway (Hydrogen)'!$AC$80)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8B42-48FE-BAF9-04FAB2EBF7B2}"/>
            </c:ext>
          </c:extLst>
        </c:ser>
        <c:ser>
          <c:idx val="7"/>
          <c:order val="7"/>
          <c:tx>
            <c:strRef>
              <c:f>'Railway (Hydrogen)'!$A$81</c:f>
              <c:strCache>
                <c:ptCount val="1"/>
                <c:pt idx="0">
                  <c:v>Fuel Cost</c:v>
                </c:pt>
              </c:strCache>
            </c:strRef>
          </c:tx>
          <c:spPr>
            <a:solidFill>
              <a:schemeClr val="accent2">
                <a:lumMod val="60000"/>
              </a:schemeClr>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(Hydrogen)'!$B$81,'Railway (Hydrogen)'!$N$81,'Railway (Hydrogen)'!$AC$81)</c:f>
              <c:numCache>
                <c:formatCode>0.00</c:formatCode>
                <c:ptCount val="3"/>
                <c:pt idx="0">
                  <c:v>5.4972181617018003E-3</c:v>
                </c:pt>
                <c:pt idx="1">
                  <c:v>3.5378126638938596E-3</c:v>
                </c:pt>
                <c:pt idx="2">
                  <c:v>2.0275409957600308E-3</c:v>
                </c:pt>
              </c:numCache>
            </c:numRef>
          </c:val>
          <c:extLst>
            <c:ext xmlns:c16="http://schemas.microsoft.com/office/drawing/2014/chart" uri="{C3380CC4-5D6E-409C-BE32-E72D297353CC}">
              <c16:uniqueId val="{00000007-8B42-48FE-BAF9-04FAB2EBF7B2}"/>
            </c:ext>
          </c:extLst>
        </c:ser>
        <c:ser>
          <c:idx val="8"/>
          <c:order val="8"/>
          <c:tx>
            <c:strRef>
              <c:f>'Railway (Hydrogen)'!$A$82</c:f>
              <c:strCache>
                <c:ptCount val="1"/>
                <c:pt idx="0">
                  <c:v>Market failure (av. utilization)</c:v>
                </c:pt>
              </c:strCache>
            </c:strRef>
          </c:tx>
          <c:spPr>
            <a:solidFill>
              <a:schemeClr val="accent3">
                <a:lumMod val="60000"/>
              </a:schemeClr>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(Hydrogen)'!$B$82,'Railway (Hydrogen)'!$N$82,'Railway (Hydrogen)'!$AC$82)</c:f>
              <c:numCache>
                <c:formatCode>0.00</c:formatCode>
                <c:ptCount val="3"/>
                <c:pt idx="0">
                  <c:v>8.5955079008395684E-3</c:v>
                </c:pt>
                <c:pt idx="1">
                  <c:v>6.4781846824048545E-3</c:v>
                </c:pt>
                <c:pt idx="2">
                  <c:v>4.7002513363276176E-3</c:v>
                </c:pt>
              </c:numCache>
            </c:numRef>
          </c:val>
          <c:extLst>
            <c:ext xmlns:c16="http://schemas.microsoft.com/office/drawing/2014/chart" uri="{C3380CC4-5D6E-409C-BE32-E72D297353CC}">
              <c16:uniqueId val="{00000008-8B42-48FE-BAF9-04FAB2EBF7B2}"/>
            </c:ext>
          </c:extLst>
        </c:ser>
        <c:ser>
          <c:idx val="9"/>
          <c:order val="9"/>
          <c:tx>
            <c:strRef>
              <c:f>'Railway (Hydrogen)'!$A$83</c:f>
              <c:strCache>
                <c:ptCount val="1"/>
                <c:pt idx="0">
                  <c:v>Payload loss (fuel)</c:v>
                </c:pt>
              </c:strCache>
            </c:strRef>
          </c:tx>
          <c:spPr>
            <a:solidFill>
              <a:schemeClr val="accent4">
                <a:lumMod val="60000"/>
              </a:schemeClr>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(Hydrogen)'!$B$83,'Railway (Hydrogen)'!$N$83,'Railway (Hydrogen)'!$AC$83)</c:f>
              <c:numCache>
                <c:formatCode>0.00</c:formatCode>
                <c:ptCount val="3"/>
                <c:pt idx="0">
                  <c:v>2.7783459881501604E-4</c:v>
                </c:pt>
                <c:pt idx="1">
                  <c:v>2.0939586852217716E-4</c:v>
                </c:pt>
                <c:pt idx="2">
                  <c:v>1.5192731592169988E-4</c:v>
                </c:pt>
              </c:numCache>
            </c:numRef>
          </c:val>
          <c:extLst>
            <c:ext xmlns:c16="http://schemas.microsoft.com/office/drawing/2014/chart" uri="{C3380CC4-5D6E-409C-BE32-E72D297353CC}">
              <c16:uniqueId val="{00000009-8B42-48FE-BAF9-04FAB2EBF7B2}"/>
            </c:ext>
          </c:extLst>
        </c:ser>
        <c:ser>
          <c:idx val="10"/>
          <c:order val="10"/>
          <c:tx>
            <c:strRef>
              <c:f>'Railway (Hydrogen)'!$A$84</c:f>
              <c:strCache>
                <c:ptCount val="1"/>
                <c:pt idx="0">
                  <c:v>Emission Cost</c:v>
                </c:pt>
              </c:strCache>
            </c:strRef>
          </c:tx>
          <c:spPr>
            <a:solidFill>
              <a:schemeClr val="accent5">
                <a:lumMod val="60000"/>
              </a:schemeClr>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(Hydrogen)'!$B$84,'Railway (Hydrogen)'!$N$84,'Railway (Hydrogen)'!$AC$84)</c:f>
              <c:numCache>
                <c:formatCode>0.000</c:formatCode>
                <c:ptCount val="3"/>
                <c:pt idx="0">
                  <c:v>7.8492804144973097E-5</c:v>
                </c:pt>
                <c:pt idx="1">
                  <c:v>6.7065976104154992E-5</c:v>
                </c:pt>
                <c:pt idx="2">
                  <c:v>1.2745587858899847E-6</c:v>
                </c:pt>
              </c:numCache>
            </c:numRef>
          </c:val>
          <c:extLst>
            <c:ext xmlns:c16="http://schemas.microsoft.com/office/drawing/2014/chart" uri="{C3380CC4-5D6E-409C-BE32-E72D297353CC}">
              <c16:uniqueId val="{00000000-BCF5-4DBC-A6D6-CC5F3AB80FB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0.0000"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(Hydrogen)'!$A$11</c:f>
              <c:strCache>
                <c:ptCount val="1"/>
                <c:pt idx="0">
                  <c:v>Capex vehicle</c:v>
                </c:pt>
              </c:strCache>
            </c:strRef>
          </c:tx>
          <c:spPr>
            <a:ln w="28575" cap="rnd">
              <a:solidFill>
                <a:schemeClr val="accent1"/>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4A6A-4683-A4A1-4BF79C4364FC}"/>
            </c:ext>
          </c:extLst>
        </c:ser>
        <c:ser>
          <c:idx val="13"/>
          <c:order val="1"/>
          <c:tx>
            <c:strRef>
              <c:f>'Railway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(Hydrogen)'!$Q$12:$AR$12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4A6A-4683-A4A1-4BF79C4364FC}"/>
            </c:ext>
          </c:extLst>
        </c:ser>
        <c:ser>
          <c:idx val="1"/>
          <c:order val="2"/>
          <c:tx>
            <c:strRef>
              <c:f>'Railway (Hydrogen)'!$A$13</c:f>
              <c:strCache>
                <c:ptCount val="1"/>
                <c:pt idx="0">
                  <c:v>Capex costumization</c:v>
                </c:pt>
              </c:strCache>
            </c:strRef>
          </c:tx>
          <c:spPr>
            <a:ln w="28575" cap="rnd">
              <a:solidFill>
                <a:schemeClr val="accent2"/>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4A6A-4683-A4A1-4BF79C4364FC}"/>
            </c:ext>
          </c:extLst>
        </c:ser>
        <c:ser>
          <c:idx val="14"/>
          <c:order val="3"/>
          <c:tx>
            <c:strRef>
              <c:f>'Railway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4A6A-4683-A4A1-4BF79C4364FC}"/>
            </c:ext>
          </c:extLst>
        </c:ser>
        <c:ser>
          <c:idx val="2"/>
          <c:order val="4"/>
          <c:tx>
            <c:strRef>
              <c:f>'Railway (Hydrogen)'!$A$15</c:f>
              <c:strCache>
                <c:ptCount val="1"/>
                <c:pt idx="0">
                  <c:v>WACC</c:v>
                </c:pt>
              </c:strCache>
            </c:strRef>
          </c:tx>
          <c:spPr>
            <a:ln w="28575" cap="rnd">
              <a:solidFill>
                <a:schemeClr val="accent3"/>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4A6A-4683-A4A1-4BF79C4364FC}"/>
            </c:ext>
          </c:extLst>
        </c:ser>
        <c:ser>
          <c:idx val="3"/>
          <c:order val="5"/>
          <c:tx>
            <c:strRef>
              <c:f>'Railway (Hydrogen)'!$A$16</c:f>
              <c:strCache>
                <c:ptCount val="1"/>
                <c:pt idx="0">
                  <c:v>Opex fix (admin, crew, insurance)</c:v>
                </c:pt>
              </c:strCache>
            </c:strRef>
          </c:tx>
          <c:spPr>
            <a:ln w="28575" cap="rnd">
              <a:solidFill>
                <a:schemeClr val="accent4"/>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4A6A-4683-A4A1-4BF79C4364FC}"/>
            </c:ext>
          </c:extLst>
        </c:ser>
        <c:ser>
          <c:idx val="4"/>
          <c:order val="6"/>
          <c:tx>
            <c:strRef>
              <c:f>'Railway (Hydrogen)'!$A$18</c:f>
              <c:strCache>
                <c:ptCount val="1"/>
                <c:pt idx="0">
                  <c:v>Opex var (mode-fees, shunting)</c:v>
                </c:pt>
              </c:strCache>
            </c:strRef>
          </c:tx>
          <c:spPr>
            <a:ln w="28575" cap="rnd">
              <a:solidFill>
                <a:schemeClr val="accent5"/>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4A6A-4683-A4A1-4BF79C4364FC}"/>
            </c:ext>
          </c:extLst>
        </c:ser>
        <c:ser>
          <c:idx val="5"/>
          <c:order val="7"/>
          <c:tx>
            <c:strRef>
              <c:f>'Railway (Hydrogen)'!$A$19</c:f>
              <c:strCache>
                <c:ptCount val="1"/>
                <c:pt idx="0">
                  <c:v>Fuel Economy</c:v>
                </c:pt>
              </c:strCache>
            </c:strRef>
          </c:tx>
          <c:spPr>
            <a:ln w="28575" cap="rnd">
              <a:solidFill>
                <a:schemeClr val="accent6"/>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4A6A-4683-A4A1-4BF79C4364FC}"/>
            </c:ext>
          </c:extLst>
        </c:ser>
        <c:ser>
          <c:idx val="6"/>
          <c:order val="8"/>
          <c:tx>
            <c:strRef>
              <c:f>'Railway (Hydrogen)'!$A$20</c:f>
              <c:strCache>
                <c:ptCount val="1"/>
                <c:pt idx="0">
                  <c:v>Fuel Cost</c:v>
                </c:pt>
              </c:strCache>
            </c:strRef>
          </c:tx>
          <c:spPr>
            <a:ln w="28575" cap="rnd">
              <a:solidFill>
                <a:schemeClr val="accent1">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4A6A-4683-A4A1-4BF79C4364FC}"/>
            </c:ext>
          </c:extLst>
        </c:ser>
        <c:ser>
          <c:idx val="7"/>
          <c:order val="9"/>
          <c:tx>
            <c:strRef>
              <c:f>'Railway (Hydrogen)'!$A$22</c:f>
              <c:strCache>
                <c:ptCount val="1"/>
                <c:pt idx="0">
                  <c:v>Lifetime vehicle</c:v>
                </c:pt>
              </c:strCache>
            </c:strRef>
          </c:tx>
          <c:spPr>
            <a:ln w="28575" cap="rnd">
              <a:solidFill>
                <a:schemeClr val="accent2">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4A6A-4683-A4A1-4BF79C4364FC}"/>
            </c:ext>
          </c:extLst>
        </c:ser>
        <c:ser>
          <c:idx val="8"/>
          <c:order val="10"/>
          <c:tx>
            <c:strRef>
              <c:f>'Railway (Hydrogen)'!$A$23</c:f>
              <c:strCache>
                <c:ptCount val="1"/>
                <c:pt idx="0">
                  <c:v>Lifetime costumization</c:v>
                </c:pt>
              </c:strCache>
            </c:strRef>
          </c:tx>
          <c:spPr>
            <a:ln w="28575" cap="rnd">
              <a:solidFill>
                <a:schemeClr val="accent3">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4A6A-4683-A4A1-4BF79C4364FC}"/>
            </c:ext>
          </c:extLst>
        </c:ser>
        <c:ser>
          <c:idx val="9"/>
          <c:order val="11"/>
          <c:tx>
            <c:strRef>
              <c:f>'Railway (Hydrogen)'!$A$24</c:f>
              <c:strCache>
                <c:ptCount val="1"/>
                <c:pt idx="0">
                  <c:v>Tonnage </c:v>
                </c:pt>
              </c:strCache>
            </c:strRef>
          </c:tx>
          <c:spPr>
            <a:ln w="28575" cap="rnd">
              <a:solidFill>
                <a:schemeClr val="accent4">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4A6A-4683-A4A1-4BF79C4364FC}"/>
            </c:ext>
          </c:extLst>
        </c:ser>
        <c:ser>
          <c:idx val="10"/>
          <c:order val="12"/>
          <c:tx>
            <c:strRef>
              <c:f>'Railway (Hydrogen)'!$A$25</c:f>
              <c:strCache>
                <c:ptCount val="1"/>
                <c:pt idx="0">
                  <c:v>Market failure (av. utilization)</c:v>
                </c:pt>
              </c:strCache>
            </c:strRef>
          </c:tx>
          <c:spPr>
            <a:ln w="28575" cap="rnd">
              <a:solidFill>
                <a:schemeClr val="accent5">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4A6A-4683-A4A1-4BF79C4364FC}"/>
            </c:ext>
          </c:extLst>
        </c:ser>
        <c:ser>
          <c:idx val="11"/>
          <c:order val="13"/>
          <c:tx>
            <c:strRef>
              <c:f>'Railway (Hydrogen)'!$A$27</c:f>
              <c:strCache>
                <c:ptCount val="1"/>
                <c:pt idx="0">
                  <c:v>Annual Mileage</c:v>
                </c:pt>
              </c:strCache>
            </c:strRef>
          </c:tx>
          <c:spPr>
            <a:ln w="28575" cap="rnd">
              <a:solidFill>
                <a:schemeClr val="accent6">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4A6A-4683-A4A1-4BF79C4364FC}"/>
            </c:ext>
          </c:extLst>
        </c:ser>
        <c:ser>
          <c:idx val="12"/>
          <c:order val="14"/>
          <c:tx>
            <c:strRef>
              <c:f>'Railway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(Hydrogen)'!$Q$17:$AR$17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4A6A-4683-A4A1-4BF79C4364FC}"/>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(Hydrogen)'!$A$74</c:f>
              <c:strCache>
                <c:ptCount val="1"/>
                <c:pt idx="0">
                  <c:v>Capex vehicle</c:v>
                </c:pt>
              </c:strCache>
            </c:strRef>
          </c:tx>
          <c:spPr>
            <a:solidFill>
              <a:schemeClr val="accent1"/>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(Hydrogen)'!$B$74,'Railway (Hydrogen)'!$N$74,'Railway (Hydrogen)'!$AC$74)</c:f>
              <c:numCache>
                <c:formatCode>0.00</c:formatCode>
                <c:ptCount val="3"/>
                <c:pt idx="0">
                  <c:v>2.1632138711235615E-3</c:v>
                </c:pt>
                <c:pt idx="1">
                  <c:v>1.479389971579121E-3</c:v>
                </c:pt>
                <c:pt idx="2">
                  <c:v>8.7510622887057403E-4</c:v>
                </c:pt>
              </c:numCache>
            </c:numRef>
          </c:val>
          <c:extLst>
            <c:ext xmlns:c16="http://schemas.microsoft.com/office/drawing/2014/chart" uri="{C3380CC4-5D6E-409C-BE32-E72D297353CC}">
              <c16:uniqueId val="{00000000-47B2-43E5-979E-5222732E1249}"/>
            </c:ext>
          </c:extLst>
        </c:ser>
        <c:ser>
          <c:idx val="1"/>
          <c:order val="1"/>
          <c:tx>
            <c:strRef>
              <c:f>'Railway (Hydrogen)'!$A$75</c:f>
              <c:strCache>
                <c:ptCount val="1"/>
                <c:pt idx="0">
                  <c:v>Residual value (vehicle)</c:v>
                </c:pt>
              </c:strCache>
            </c:strRef>
          </c:tx>
          <c:spPr>
            <a:solidFill>
              <a:schemeClr val="accent2"/>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(Hydrogen)'!$B$75,'Railway (Hydrogen)'!$N$75,'Railway (Hydrogen)'!$AC$75)</c:f>
              <c:numCache>
                <c:formatCode>0.000</c:formatCode>
                <c:ptCount val="3"/>
                <c:pt idx="0">
                  <c:v>-1.0931217673919614E-4</c:v>
                </c:pt>
                <c:pt idx="1">
                  <c:v>-1.2070924173160351E-4</c:v>
                </c:pt>
                <c:pt idx="2">
                  <c:v>-1.3078063744341263E-4</c:v>
                </c:pt>
              </c:numCache>
            </c:numRef>
          </c:val>
          <c:extLst>
            <c:ext xmlns:c16="http://schemas.microsoft.com/office/drawing/2014/chart" uri="{C3380CC4-5D6E-409C-BE32-E72D297353CC}">
              <c16:uniqueId val="{00000001-47B2-43E5-979E-5222732E1249}"/>
            </c:ext>
          </c:extLst>
        </c:ser>
        <c:ser>
          <c:idx val="2"/>
          <c:order val="2"/>
          <c:tx>
            <c:strRef>
              <c:f>'Railway (Hydrogen)'!$A$76</c:f>
              <c:strCache>
                <c:ptCount val="1"/>
                <c:pt idx="0">
                  <c:v>Capex costumization</c:v>
                </c:pt>
              </c:strCache>
            </c:strRef>
          </c:tx>
          <c:spPr>
            <a:solidFill>
              <a:schemeClr val="accent3"/>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(Hydrogen)'!$B$76,'Railway (Hydrogen)'!$N$76,'Railway (Hydrogen)'!$AC$76)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47B2-43E5-979E-5222732E1249}"/>
            </c:ext>
          </c:extLst>
        </c:ser>
        <c:ser>
          <c:idx val="3"/>
          <c:order val="3"/>
          <c:tx>
            <c:strRef>
              <c:f>'Railway (Hydrogen)'!$A$77</c:f>
              <c:strCache>
                <c:ptCount val="1"/>
                <c:pt idx="0">
                  <c:v>Residual value (costumization)</c:v>
                </c:pt>
              </c:strCache>
            </c:strRef>
          </c:tx>
          <c:spPr>
            <a:solidFill>
              <a:schemeClr val="accent4"/>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(Hydrogen)'!$B$77,'Railway (Hydrogen)'!$N$77,'Railway (Hydrogen)'!$AC$77)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47B2-43E5-979E-5222732E1249}"/>
            </c:ext>
          </c:extLst>
        </c:ser>
        <c:ser>
          <c:idx val="4"/>
          <c:order val="4"/>
          <c:tx>
            <c:strRef>
              <c:f>'Railway (Hydrogen)'!$A$78</c:f>
              <c:strCache>
                <c:ptCount val="1"/>
                <c:pt idx="0">
                  <c:v>Opex fix (admin, crew, insurance)</c:v>
                </c:pt>
              </c:strCache>
            </c:strRef>
          </c:tx>
          <c:spPr>
            <a:solidFill>
              <a:schemeClr val="accent5"/>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(Hydrogen)'!$B$78,'Railway (Hydrogen)'!$N$78,'Railway (Hydrogen)'!$AC$78)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47B2-43E5-979E-5222732E1249}"/>
            </c:ext>
          </c:extLst>
        </c:ser>
        <c:ser>
          <c:idx val="5"/>
          <c:order val="5"/>
          <c:tx>
            <c:strRef>
              <c:f>'Railway (Hydrogen)'!$A$79</c:f>
              <c:strCache>
                <c:ptCount val="1"/>
                <c:pt idx="0">
                  <c:v>Opex maintenance &amp; repair</c:v>
                </c:pt>
              </c:strCache>
            </c:strRef>
          </c:tx>
          <c:spPr>
            <a:solidFill>
              <a:schemeClr val="accent6"/>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(Hydrogen)'!$B$79,'Railway (Hydrogen)'!$N$79,'Railway (Hydrogen)'!$AC$79)</c:f>
              <c:numCache>
                <c:formatCode>0.00</c:formatCode>
                <c:ptCount val="3"/>
                <c:pt idx="0">
                  <c:v>3.4736649752972778E-3</c:v>
                </c:pt>
                <c:pt idx="1">
                  <c:v>2.3755880995767228E-3</c:v>
                </c:pt>
                <c:pt idx="2">
                  <c:v>1.4052359304229719E-3</c:v>
                </c:pt>
              </c:numCache>
            </c:numRef>
          </c:val>
          <c:extLst>
            <c:ext xmlns:c16="http://schemas.microsoft.com/office/drawing/2014/chart" uri="{C3380CC4-5D6E-409C-BE32-E72D297353CC}">
              <c16:uniqueId val="{00000005-47B2-43E5-979E-5222732E1249}"/>
            </c:ext>
          </c:extLst>
        </c:ser>
        <c:ser>
          <c:idx val="6"/>
          <c:order val="6"/>
          <c:tx>
            <c:strRef>
              <c:f>'Railway (Hydrogen)'!$A$80</c:f>
              <c:strCache>
                <c:ptCount val="1"/>
                <c:pt idx="0">
                  <c:v>Opex var (mode-fees, shunting)</c:v>
                </c:pt>
              </c:strCache>
            </c:strRef>
          </c:tx>
          <c:spPr>
            <a:solidFill>
              <a:schemeClr val="accent1">
                <a:lumMod val="60000"/>
              </a:schemeClr>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(Hydrogen)'!$B$80,'Railway (Hydrogen)'!$N$80,'Railway (Hydrogen)'!$AC$80)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47B2-43E5-979E-5222732E1249}"/>
            </c:ext>
          </c:extLst>
        </c:ser>
        <c:ser>
          <c:idx val="7"/>
          <c:order val="7"/>
          <c:tx>
            <c:strRef>
              <c:f>'Railway (Hydrogen)'!$A$81</c:f>
              <c:strCache>
                <c:ptCount val="1"/>
                <c:pt idx="0">
                  <c:v>Fuel Cost</c:v>
                </c:pt>
              </c:strCache>
            </c:strRef>
          </c:tx>
          <c:spPr>
            <a:solidFill>
              <a:schemeClr val="accent2">
                <a:lumMod val="60000"/>
              </a:schemeClr>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(Hydrogen)'!$B$81,'Railway (Hydrogen)'!$N$81,'Railway (Hydrogen)'!$AC$81)</c:f>
              <c:numCache>
                <c:formatCode>0.00</c:formatCode>
                <c:ptCount val="3"/>
                <c:pt idx="0">
                  <c:v>5.4972181617018003E-3</c:v>
                </c:pt>
                <c:pt idx="1">
                  <c:v>3.5378126638938596E-3</c:v>
                </c:pt>
                <c:pt idx="2">
                  <c:v>2.0275409957600308E-3</c:v>
                </c:pt>
              </c:numCache>
            </c:numRef>
          </c:val>
          <c:extLst>
            <c:ext xmlns:c16="http://schemas.microsoft.com/office/drawing/2014/chart" uri="{C3380CC4-5D6E-409C-BE32-E72D297353CC}">
              <c16:uniqueId val="{00000007-47B2-43E5-979E-5222732E1249}"/>
            </c:ext>
          </c:extLst>
        </c:ser>
        <c:ser>
          <c:idx val="8"/>
          <c:order val="8"/>
          <c:tx>
            <c:strRef>
              <c:f>'Railway (Hydrogen)'!$A$82</c:f>
              <c:strCache>
                <c:ptCount val="1"/>
                <c:pt idx="0">
                  <c:v>Market failure (av. utilization)</c:v>
                </c:pt>
              </c:strCache>
            </c:strRef>
          </c:tx>
          <c:spPr>
            <a:solidFill>
              <a:schemeClr val="accent3">
                <a:lumMod val="60000"/>
              </a:schemeClr>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(Hydrogen)'!$B$82,'Railway (Hydrogen)'!$N$82,'Railway (Hydrogen)'!$AC$82)</c:f>
              <c:numCache>
                <c:formatCode>0.00</c:formatCode>
                <c:ptCount val="3"/>
                <c:pt idx="0">
                  <c:v>8.5955079008395684E-3</c:v>
                </c:pt>
                <c:pt idx="1">
                  <c:v>6.4781846824048545E-3</c:v>
                </c:pt>
                <c:pt idx="2">
                  <c:v>4.7002513363276176E-3</c:v>
                </c:pt>
              </c:numCache>
            </c:numRef>
          </c:val>
          <c:extLst>
            <c:ext xmlns:c16="http://schemas.microsoft.com/office/drawing/2014/chart" uri="{C3380CC4-5D6E-409C-BE32-E72D297353CC}">
              <c16:uniqueId val="{00000008-47B2-43E5-979E-5222732E1249}"/>
            </c:ext>
          </c:extLst>
        </c:ser>
        <c:ser>
          <c:idx val="9"/>
          <c:order val="9"/>
          <c:tx>
            <c:strRef>
              <c:f>'Railway (Hydrogen)'!$A$83</c:f>
              <c:strCache>
                <c:ptCount val="1"/>
                <c:pt idx="0">
                  <c:v>Payload loss (fuel)</c:v>
                </c:pt>
              </c:strCache>
            </c:strRef>
          </c:tx>
          <c:spPr>
            <a:solidFill>
              <a:schemeClr val="accent4">
                <a:lumMod val="60000"/>
              </a:schemeClr>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(Hydrogen)'!$B$83,'Railway (Hydrogen)'!$N$83,'Railway (Hydrogen)'!$AC$83)</c:f>
              <c:numCache>
                <c:formatCode>0.00</c:formatCode>
                <c:ptCount val="3"/>
                <c:pt idx="0">
                  <c:v>2.7783459881501604E-4</c:v>
                </c:pt>
                <c:pt idx="1">
                  <c:v>2.0939586852217716E-4</c:v>
                </c:pt>
                <c:pt idx="2">
                  <c:v>1.5192731592169988E-4</c:v>
                </c:pt>
              </c:numCache>
            </c:numRef>
          </c:val>
          <c:extLst>
            <c:ext xmlns:c16="http://schemas.microsoft.com/office/drawing/2014/chart" uri="{C3380CC4-5D6E-409C-BE32-E72D297353CC}">
              <c16:uniqueId val="{00000009-47B2-43E5-979E-5222732E1249}"/>
            </c:ext>
          </c:extLst>
        </c:ser>
        <c:ser>
          <c:idx val="10"/>
          <c:order val="10"/>
          <c:tx>
            <c:strRef>
              <c:f>'Railway (Hydrogen)'!$A$190</c:f>
              <c:strCache>
                <c:ptCount val="1"/>
                <c:pt idx="0">
                  <c:v>Emission Cost</c:v>
                </c:pt>
              </c:strCache>
            </c:strRef>
          </c:tx>
          <c:spPr>
            <a:solidFill>
              <a:schemeClr val="accent5">
                <a:lumMod val="60000"/>
              </a:schemeClr>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(Hydrogen)'!$B$190</c:f>
              <c:numCache>
                <c:formatCode>0.000</c:formatCode>
                <c:ptCount val="1"/>
                <c:pt idx="0">
                  <c:v>7.8492804144973097E-5</c:v>
                </c:pt>
              </c:numCache>
            </c:numRef>
          </c:val>
          <c:extLst>
            <c:ext xmlns:c16="http://schemas.microsoft.com/office/drawing/2014/chart" uri="{C3380CC4-5D6E-409C-BE32-E72D297353CC}">
              <c16:uniqueId val="{00000000-34DF-4A18-878B-C0196A8CB09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(Hydrogen)'!$A$11</c:f>
              <c:strCache>
                <c:ptCount val="1"/>
                <c:pt idx="0">
                  <c:v>Capex vehicle</c:v>
                </c:pt>
              </c:strCache>
            </c:strRef>
          </c:tx>
          <c:spPr>
            <a:ln w="28575" cap="rnd">
              <a:solidFill>
                <a:schemeClr val="accent1"/>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1059-498E-99B6-FE0475734110}"/>
            </c:ext>
          </c:extLst>
        </c:ser>
        <c:ser>
          <c:idx val="13"/>
          <c:order val="1"/>
          <c:tx>
            <c:strRef>
              <c:f>'Railway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(Hydrogen)'!$Q$12:$AR$12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1059-498E-99B6-FE0475734110}"/>
            </c:ext>
          </c:extLst>
        </c:ser>
        <c:ser>
          <c:idx val="1"/>
          <c:order val="2"/>
          <c:tx>
            <c:strRef>
              <c:f>'Railway (Hydrogen)'!$A$13</c:f>
              <c:strCache>
                <c:ptCount val="1"/>
                <c:pt idx="0">
                  <c:v>Capex costumization</c:v>
                </c:pt>
              </c:strCache>
            </c:strRef>
          </c:tx>
          <c:spPr>
            <a:ln w="28575" cap="rnd">
              <a:solidFill>
                <a:schemeClr val="accent2"/>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1059-498E-99B6-FE0475734110}"/>
            </c:ext>
          </c:extLst>
        </c:ser>
        <c:ser>
          <c:idx val="14"/>
          <c:order val="3"/>
          <c:tx>
            <c:strRef>
              <c:f>'Railway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1059-498E-99B6-FE0475734110}"/>
            </c:ext>
          </c:extLst>
        </c:ser>
        <c:ser>
          <c:idx val="2"/>
          <c:order val="4"/>
          <c:tx>
            <c:strRef>
              <c:f>'Railway (Hydrogen)'!$A$15</c:f>
              <c:strCache>
                <c:ptCount val="1"/>
                <c:pt idx="0">
                  <c:v>WACC</c:v>
                </c:pt>
              </c:strCache>
            </c:strRef>
          </c:tx>
          <c:spPr>
            <a:ln w="28575" cap="rnd">
              <a:solidFill>
                <a:schemeClr val="accent3"/>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1059-498E-99B6-FE0475734110}"/>
            </c:ext>
          </c:extLst>
        </c:ser>
        <c:ser>
          <c:idx val="3"/>
          <c:order val="5"/>
          <c:tx>
            <c:strRef>
              <c:f>'Railway (Hydrogen)'!$A$16</c:f>
              <c:strCache>
                <c:ptCount val="1"/>
                <c:pt idx="0">
                  <c:v>Opex fix (admin, crew, insurance)</c:v>
                </c:pt>
              </c:strCache>
            </c:strRef>
          </c:tx>
          <c:spPr>
            <a:ln w="28575" cap="rnd">
              <a:solidFill>
                <a:schemeClr val="accent4"/>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1059-498E-99B6-FE0475734110}"/>
            </c:ext>
          </c:extLst>
        </c:ser>
        <c:ser>
          <c:idx val="4"/>
          <c:order val="6"/>
          <c:tx>
            <c:strRef>
              <c:f>'Railway (Hydrogen)'!$A$18</c:f>
              <c:strCache>
                <c:ptCount val="1"/>
                <c:pt idx="0">
                  <c:v>Opex var (mode-fees, shunting)</c:v>
                </c:pt>
              </c:strCache>
            </c:strRef>
          </c:tx>
          <c:spPr>
            <a:ln w="28575" cap="rnd">
              <a:solidFill>
                <a:schemeClr val="accent5"/>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1059-498E-99B6-FE0475734110}"/>
            </c:ext>
          </c:extLst>
        </c:ser>
        <c:ser>
          <c:idx val="5"/>
          <c:order val="7"/>
          <c:tx>
            <c:strRef>
              <c:f>'Railway (Hydrogen)'!$A$19</c:f>
              <c:strCache>
                <c:ptCount val="1"/>
                <c:pt idx="0">
                  <c:v>Fuel Economy</c:v>
                </c:pt>
              </c:strCache>
            </c:strRef>
          </c:tx>
          <c:spPr>
            <a:ln w="28575" cap="rnd">
              <a:solidFill>
                <a:schemeClr val="accent6"/>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1059-498E-99B6-FE0475734110}"/>
            </c:ext>
          </c:extLst>
        </c:ser>
        <c:ser>
          <c:idx val="6"/>
          <c:order val="8"/>
          <c:tx>
            <c:strRef>
              <c:f>'Railway (Hydrogen)'!$A$20</c:f>
              <c:strCache>
                <c:ptCount val="1"/>
                <c:pt idx="0">
                  <c:v>Fuel Cost</c:v>
                </c:pt>
              </c:strCache>
            </c:strRef>
          </c:tx>
          <c:spPr>
            <a:ln w="28575" cap="rnd">
              <a:solidFill>
                <a:schemeClr val="accent1">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1059-498E-99B6-FE0475734110}"/>
            </c:ext>
          </c:extLst>
        </c:ser>
        <c:ser>
          <c:idx val="7"/>
          <c:order val="9"/>
          <c:tx>
            <c:strRef>
              <c:f>'Railway (Hydrogen)'!$A$22</c:f>
              <c:strCache>
                <c:ptCount val="1"/>
                <c:pt idx="0">
                  <c:v>Lifetime vehicle</c:v>
                </c:pt>
              </c:strCache>
            </c:strRef>
          </c:tx>
          <c:spPr>
            <a:ln w="28575" cap="rnd">
              <a:solidFill>
                <a:schemeClr val="accent2">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1059-498E-99B6-FE0475734110}"/>
            </c:ext>
          </c:extLst>
        </c:ser>
        <c:ser>
          <c:idx val="8"/>
          <c:order val="10"/>
          <c:tx>
            <c:strRef>
              <c:f>'Railway (Hydrogen)'!$A$23</c:f>
              <c:strCache>
                <c:ptCount val="1"/>
                <c:pt idx="0">
                  <c:v>Lifetime costumization</c:v>
                </c:pt>
              </c:strCache>
            </c:strRef>
          </c:tx>
          <c:spPr>
            <a:ln w="28575" cap="rnd">
              <a:solidFill>
                <a:schemeClr val="accent3">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1059-498E-99B6-FE0475734110}"/>
            </c:ext>
          </c:extLst>
        </c:ser>
        <c:ser>
          <c:idx val="9"/>
          <c:order val="11"/>
          <c:tx>
            <c:strRef>
              <c:f>'Railway (Hydrogen)'!$A$24</c:f>
              <c:strCache>
                <c:ptCount val="1"/>
                <c:pt idx="0">
                  <c:v>Tonnage </c:v>
                </c:pt>
              </c:strCache>
            </c:strRef>
          </c:tx>
          <c:spPr>
            <a:ln w="28575" cap="rnd">
              <a:solidFill>
                <a:schemeClr val="accent4">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1059-498E-99B6-FE0475734110}"/>
            </c:ext>
          </c:extLst>
        </c:ser>
        <c:ser>
          <c:idx val="10"/>
          <c:order val="12"/>
          <c:tx>
            <c:strRef>
              <c:f>'Railway (Hydrogen)'!$A$25</c:f>
              <c:strCache>
                <c:ptCount val="1"/>
                <c:pt idx="0">
                  <c:v>Market failure (av. utilization)</c:v>
                </c:pt>
              </c:strCache>
            </c:strRef>
          </c:tx>
          <c:spPr>
            <a:ln w="28575" cap="rnd">
              <a:solidFill>
                <a:schemeClr val="accent5">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1059-498E-99B6-FE0475734110}"/>
            </c:ext>
          </c:extLst>
        </c:ser>
        <c:ser>
          <c:idx val="11"/>
          <c:order val="13"/>
          <c:tx>
            <c:strRef>
              <c:f>'Railway (Hydrogen)'!$A$27</c:f>
              <c:strCache>
                <c:ptCount val="1"/>
                <c:pt idx="0">
                  <c:v>Annual Mileage</c:v>
                </c:pt>
              </c:strCache>
            </c:strRef>
          </c:tx>
          <c:spPr>
            <a:ln w="28575" cap="rnd">
              <a:solidFill>
                <a:schemeClr val="accent6">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1059-498E-99B6-FE0475734110}"/>
            </c:ext>
          </c:extLst>
        </c:ser>
        <c:ser>
          <c:idx val="12"/>
          <c:order val="14"/>
          <c:tx>
            <c:strRef>
              <c:f>'Railway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(Hydrogen)'!$Q$17:$AR$17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1059-498E-99B6-FE047573411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(Hydrogen)'!$A$74</c:f>
              <c:strCache>
                <c:ptCount val="1"/>
                <c:pt idx="0">
                  <c:v>Capex vehicle</c:v>
                </c:pt>
              </c:strCache>
            </c:strRef>
          </c:tx>
          <c:spPr>
            <a:solidFill>
              <a:schemeClr val="accent1"/>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(Hydrogen)'!$B$74,'Railway (Hydrogen)'!$N$74,'Railway (Hydrogen)'!$AC$74)</c:f>
              <c:numCache>
                <c:formatCode>0.00</c:formatCode>
                <c:ptCount val="3"/>
                <c:pt idx="0">
                  <c:v>2.1632138711235615E-3</c:v>
                </c:pt>
                <c:pt idx="1">
                  <c:v>1.479389971579121E-3</c:v>
                </c:pt>
                <c:pt idx="2">
                  <c:v>8.7510622887057403E-4</c:v>
                </c:pt>
              </c:numCache>
            </c:numRef>
          </c:val>
          <c:extLst>
            <c:ext xmlns:c16="http://schemas.microsoft.com/office/drawing/2014/chart" uri="{C3380CC4-5D6E-409C-BE32-E72D297353CC}">
              <c16:uniqueId val="{00000000-5EA1-497D-8C3D-D7E43BB89E71}"/>
            </c:ext>
          </c:extLst>
        </c:ser>
        <c:ser>
          <c:idx val="1"/>
          <c:order val="1"/>
          <c:tx>
            <c:strRef>
              <c:f>'Railway (Hydrogen)'!$A$75</c:f>
              <c:strCache>
                <c:ptCount val="1"/>
                <c:pt idx="0">
                  <c:v>Residual value (vehicle)</c:v>
                </c:pt>
              </c:strCache>
            </c:strRef>
          </c:tx>
          <c:spPr>
            <a:solidFill>
              <a:schemeClr val="accent2"/>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(Hydrogen)'!$B$75,'Railway (Hydrogen)'!$N$75,'Railway (Hydrogen)'!$AC$75)</c:f>
              <c:numCache>
                <c:formatCode>0.000</c:formatCode>
                <c:ptCount val="3"/>
                <c:pt idx="0">
                  <c:v>-1.0931217673919614E-4</c:v>
                </c:pt>
                <c:pt idx="1">
                  <c:v>-1.2070924173160351E-4</c:v>
                </c:pt>
                <c:pt idx="2">
                  <c:v>-1.3078063744341263E-4</c:v>
                </c:pt>
              </c:numCache>
            </c:numRef>
          </c:val>
          <c:extLst>
            <c:ext xmlns:c16="http://schemas.microsoft.com/office/drawing/2014/chart" uri="{C3380CC4-5D6E-409C-BE32-E72D297353CC}">
              <c16:uniqueId val="{00000001-5EA1-497D-8C3D-D7E43BB89E71}"/>
            </c:ext>
          </c:extLst>
        </c:ser>
        <c:ser>
          <c:idx val="2"/>
          <c:order val="2"/>
          <c:tx>
            <c:strRef>
              <c:f>'Railway (Hydrogen)'!$A$76</c:f>
              <c:strCache>
                <c:ptCount val="1"/>
                <c:pt idx="0">
                  <c:v>Capex costumization</c:v>
                </c:pt>
              </c:strCache>
            </c:strRef>
          </c:tx>
          <c:spPr>
            <a:solidFill>
              <a:schemeClr val="accent3"/>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(Hydrogen)'!$B$76,'Railway (Hydrogen)'!$N$76,'Railway (Hydrogen)'!$AC$76)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5EA1-497D-8C3D-D7E43BB89E71}"/>
            </c:ext>
          </c:extLst>
        </c:ser>
        <c:ser>
          <c:idx val="3"/>
          <c:order val="3"/>
          <c:tx>
            <c:strRef>
              <c:f>'Railway (Hydrogen)'!$A$77</c:f>
              <c:strCache>
                <c:ptCount val="1"/>
                <c:pt idx="0">
                  <c:v>Residual value (costumization)</c:v>
                </c:pt>
              </c:strCache>
            </c:strRef>
          </c:tx>
          <c:spPr>
            <a:solidFill>
              <a:schemeClr val="accent4"/>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(Hydrogen)'!$B$77,'Railway (Hydrogen)'!$N$77,'Railway (Hydrogen)'!$AC$77)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5EA1-497D-8C3D-D7E43BB89E71}"/>
            </c:ext>
          </c:extLst>
        </c:ser>
        <c:ser>
          <c:idx val="4"/>
          <c:order val="4"/>
          <c:tx>
            <c:strRef>
              <c:f>'Railway (Hydrogen)'!$A$78</c:f>
              <c:strCache>
                <c:ptCount val="1"/>
                <c:pt idx="0">
                  <c:v>Opex fix (admin, crew, insurance)</c:v>
                </c:pt>
              </c:strCache>
            </c:strRef>
          </c:tx>
          <c:spPr>
            <a:solidFill>
              <a:schemeClr val="accent5"/>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(Hydrogen)'!$B$78,'Railway (Hydrogen)'!$N$78,'Railway (Hydrogen)'!$AC$78)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5EA1-497D-8C3D-D7E43BB89E71}"/>
            </c:ext>
          </c:extLst>
        </c:ser>
        <c:ser>
          <c:idx val="5"/>
          <c:order val="5"/>
          <c:tx>
            <c:strRef>
              <c:f>'Railway (Hydrogen)'!$A$79</c:f>
              <c:strCache>
                <c:ptCount val="1"/>
                <c:pt idx="0">
                  <c:v>Opex maintenance &amp; repair</c:v>
                </c:pt>
              </c:strCache>
            </c:strRef>
          </c:tx>
          <c:spPr>
            <a:solidFill>
              <a:schemeClr val="accent6"/>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(Hydrogen)'!$B$79,'Railway (Hydrogen)'!$N$79,'Railway (Hydrogen)'!$AC$79)</c:f>
              <c:numCache>
                <c:formatCode>0.00</c:formatCode>
                <c:ptCount val="3"/>
                <c:pt idx="0">
                  <c:v>3.4736649752972778E-3</c:v>
                </c:pt>
                <c:pt idx="1">
                  <c:v>2.3755880995767228E-3</c:v>
                </c:pt>
                <c:pt idx="2">
                  <c:v>1.4052359304229719E-3</c:v>
                </c:pt>
              </c:numCache>
            </c:numRef>
          </c:val>
          <c:extLst>
            <c:ext xmlns:c16="http://schemas.microsoft.com/office/drawing/2014/chart" uri="{C3380CC4-5D6E-409C-BE32-E72D297353CC}">
              <c16:uniqueId val="{00000005-5EA1-497D-8C3D-D7E43BB89E71}"/>
            </c:ext>
          </c:extLst>
        </c:ser>
        <c:ser>
          <c:idx val="6"/>
          <c:order val="6"/>
          <c:tx>
            <c:strRef>
              <c:f>'Railway (Hydrogen)'!$A$80</c:f>
              <c:strCache>
                <c:ptCount val="1"/>
                <c:pt idx="0">
                  <c:v>Opex var (mode-fees, shunting)</c:v>
                </c:pt>
              </c:strCache>
            </c:strRef>
          </c:tx>
          <c:spPr>
            <a:solidFill>
              <a:schemeClr val="accent1">
                <a:lumMod val="60000"/>
              </a:schemeClr>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(Hydrogen)'!$B$80,'Railway (Hydrogen)'!$N$80,'Railway (Hydrogen)'!$AC$80)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5EA1-497D-8C3D-D7E43BB89E71}"/>
            </c:ext>
          </c:extLst>
        </c:ser>
        <c:ser>
          <c:idx val="7"/>
          <c:order val="7"/>
          <c:tx>
            <c:strRef>
              <c:f>'Railway (Hydrogen)'!$A$81</c:f>
              <c:strCache>
                <c:ptCount val="1"/>
                <c:pt idx="0">
                  <c:v>Fuel Cost</c:v>
                </c:pt>
              </c:strCache>
            </c:strRef>
          </c:tx>
          <c:spPr>
            <a:solidFill>
              <a:schemeClr val="accent2">
                <a:lumMod val="60000"/>
              </a:schemeClr>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(Hydrogen)'!$B$81,'Railway (Hydrogen)'!$N$81,'Railway (Hydrogen)'!$AC$81)</c:f>
              <c:numCache>
                <c:formatCode>0.00</c:formatCode>
                <c:ptCount val="3"/>
                <c:pt idx="0">
                  <c:v>5.4972181617018003E-3</c:v>
                </c:pt>
                <c:pt idx="1">
                  <c:v>3.5378126638938596E-3</c:v>
                </c:pt>
                <c:pt idx="2">
                  <c:v>2.0275409957600308E-3</c:v>
                </c:pt>
              </c:numCache>
            </c:numRef>
          </c:val>
          <c:extLst>
            <c:ext xmlns:c16="http://schemas.microsoft.com/office/drawing/2014/chart" uri="{C3380CC4-5D6E-409C-BE32-E72D297353CC}">
              <c16:uniqueId val="{00000007-5EA1-497D-8C3D-D7E43BB89E71}"/>
            </c:ext>
          </c:extLst>
        </c:ser>
        <c:ser>
          <c:idx val="8"/>
          <c:order val="8"/>
          <c:tx>
            <c:strRef>
              <c:f>'Railway (Hydrogen)'!$A$82</c:f>
              <c:strCache>
                <c:ptCount val="1"/>
                <c:pt idx="0">
                  <c:v>Market failure (av. utilization)</c:v>
                </c:pt>
              </c:strCache>
            </c:strRef>
          </c:tx>
          <c:spPr>
            <a:solidFill>
              <a:schemeClr val="accent3">
                <a:lumMod val="60000"/>
              </a:schemeClr>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(Hydrogen)'!$B$82,'Railway (Hydrogen)'!$N$82,'Railway (Hydrogen)'!$AC$82)</c:f>
              <c:numCache>
                <c:formatCode>0.00</c:formatCode>
                <c:ptCount val="3"/>
                <c:pt idx="0">
                  <c:v>8.5955079008395684E-3</c:v>
                </c:pt>
                <c:pt idx="1">
                  <c:v>6.4781846824048545E-3</c:v>
                </c:pt>
                <c:pt idx="2">
                  <c:v>4.7002513363276176E-3</c:v>
                </c:pt>
              </c:numCache>
            </c:numRef>
          </c:val>
          <c:extLst>
            <c:ext xmlns:c16="http://schemas.microsoft.com/office/drawing/2014/chart" uri="{C3380CC4-5D6E-409C-BE32-E72D297353CC}">
              <c16:uniqueId val="{00000008-5EA1-497D-8C3D-D7E43BB89E71}"/>
            </c:ext>
          </c:extLst>
        </c:ser>
        <c:ser>
          <c:idx val="9"/>
          <c:order val="9"/>
          <c:tx>
            <c:strRef>
              <c:f>'Railway (Hydrogen)'!$A$83</c:f>
              <c:strCache>
                <c:ptCount val="1"/>
                <c:pt idx="0">
                  <c:v>Payload loss (fuel)</c:v>
                </c:pt>
              </c:strCache>
            </c:strRef>
          </c:tx>
          <c:spPr>
            <a:solidFill>
              <a:schemeClr val="accent4">
                <a:lumMod val="60000"/>
              </a:schemeClr>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(Hydrogen)'!$B$83,'Railway (Hydrogen)'!$N$83,'Railway (Hydrogen)'!$AC$83)</c:f>
              <c:numCache>
                <c:formatCode>0.00</c:formatCode>
                <c:ptCount val="3"/>
                <c:pt idx="0">
                  <c:v>2.7783459881501604E-4</c:v>
                </c:pt>
                <c:pt idx="1">
                  <c:v>2.0939586852217716E-4</c:v>
                </c:pt>
                <c:pt idx="2">
                  <c:v>1.5192731592169988E-4</c:v>
                </c:pt>
              </c:numCache>
            </c:numRef>
          </c:val>
          <c:extLst>
            <c:ext xmlns:c16="http://schemas.microsoft.com/office/drawing/2014/chart" uri="{C3380CC4-5D6E-409C-BE32-E72D297353CC}">
              <c16:uniqueId val="{00000009-5EA1-497D-8C3D-D7E43BB89E71}"/>
            </c:ext>
          </c:extLst>
        </c:ser>
        <c:ser>
          <c:idx val="10"/>
          <c:order val="10"/>
          <c:tx>
            <c:strRef>
              <c:f>'Railway (Hydrogen)'!$A$298</c:f>
              <c:strCache>
                <c:ptCount val="1"/>
                <c:pt idx="0">
                  <c:v>Emission Cost</c:v>
                </c:pt>
              </c:strCache>
            </c:strRef>
          </c:tx>
          <c:spPr>
            <a:solidFill>
              <a:schemeClr val="accent5">
                <a:lumMod val="60000"/>
              </a:schemeClr>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(Hydrogen)'!$B$298,'Railway (Hydrogen)'!$N$298,'Railway (Hydrogen)'!$AC$298)</c:f>
              <c:numCache>
                <c:formatCode>0.000</c:formatCode>
                <c:ptCount val="3"/>
                <c:pt idx="0">
                  <c:v>7.8492804144973097E-5</c:v>
                </c:pt>
                <c:pt idx="1">
                  <c:v>6.7065976104154992E-5</c:v>
                </c:pt>
                <c:pt idx="2">
                  <c:v>1.2745587858899847E-6</c:v>
                </c:pt>
              </c:numCache>
            </c:numRef>
          </c:val>
          <c:extLst>
            <c:ext xmlns:c16="http://schemas.microsoft.com/office/drawing/2014/chart" uri="{C3380CC4-5D6E-409C-BE32-E72D297353CC}">
              <c16:uniqueId val="{00000000-6A20-475F-9CBB-10718AB88A8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(Hydrogen)'!$A$11</c:f>
              <c:strCache>
                <c:ptCount val="1"/>
                <c:pt idx="0">
                  <c:v>Capex vehicle</c:v>
                </c:pt>
              </c:strCache>
            </c:strRef>
          </c:tx>
          <c:spPr>
            <a:ln w="28575" cap="rnd">
              <a:solidFill>
                <a:schemeClr val="accent1"/>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CE08-4324-9ADB-A744EC39608C}"/>
            </c:ext>
          </c:extLst>
        </c:ser>
        <c:ser>
          <c:idx val="13"/>
          <c:order val="1"/>
          <c:tx>
            <c:strRef>
              <c:f>'Railway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(Hydrogen)'!$Q$12:$AR$12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CE08-4324-9ADB-A744EC39608C}"/>
            </c:ext>
          </c:extLst>
        </c:ser>
        <c:ser>
          <c:idx val="1"/>
          <c:order val="2"/>
          <c:tx>
            <c:strRef>
              <c:f>'Railway (Hydrogen)'!$A$13</c:f>
              <c:strCache>
                <c:ptCount val="1"/>
                <c:pt idx="0">
                  <c:v>Capex costumization</c:v>
                </c:pt>
              </c:strCache>
            </c:strRef>
          </c:tx>
          <c:spPr>
            <a:ln w="28575" cap="rnd">
              <a:solidFill>
                <a:schemeClr val="accent2"/>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CE08-4324-9ADB-A744EC39608C}"/>
            </c:ext>
          </c:extLst>
        </c:ser>
        <c:ser>
          <c:idx val="14"/>
          <c:order val="3"/>
          <c:tx>
            <c:strRef>
              <c:f>'Railway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CE08-4324-9ADB-A744EC39608C}"/>
            </c:ext>
          </c:extLst>
        </c:ser>
        <c:ser>
          <c:idx val="2"/>
          <c:order val="4"/>
          <c:tx>
            <c:strRef>
              <c:f>'Railway (Hydrogen)'!$A$15</c:f>
              <c:strCache>
                <c:ptCount val="1"/>
                <c:pt idx="0">
                  <c:v>WACC</c:v>
                </c:pt>
              </c:strCache>
            </c:strRef>
          </c:tx>
          <c:spPr>
            <a:ln w="28575" cap="rnd">
              <a:solidFill>
                <a:schemeClr val="accent3"/>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CE08-4324-9ADB-A744EC39608C}"/>
            </c:ext>
          </c:extLst>
        </c:ser>
        <c:ser>
          <c:idx val="3"/>
          <c:order val="5"/>
          <c:tx>
            <c:strRef>
              <c:f>'Railway (Hydrogen)'!$A$16</c:f>
              <c:strCache>
                <c:ptCount val="1"/>
                <c:pt idx="0">
                  <c:v>Opex fix (admin, crew, insurance)</c:v>
                </c:pt>
              </c:strCache>
            </c:strRef>
          </c:tx>
          <c:spPr>
            <a:ln w="28575" cap="rnd">
              <a:solidFill>
                <a:schemeClr val="accent4"/>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CE08-4324-9ADB-A744EC39608C}"/>
            </c:ext>
          </c:extLst>
        </c:ser>
        <c:ser>
          <c:idx val="4"/>
          <c:order val="6"/>
          <c:tx>
            <c:strRef>
              <c:f>'Railway (Hydrogen)'!$A$18</c:f>
              <c:strCache>
                <c:ptCount val="1"/>
                <c:pt idx="0">
                  <c:v>Opex var (mode-fees, shunting)</c:v>
                </c:pt>
              </c:strCache>
            </c:strRef>
          </c:tx>
          <c:spPr>
            <a:ln w="28575" cap="rnd">
              <a:solidFill>
                <a:schemeClr val="accent5"/>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CE08-4324-9ADB-A744EC39608C}"/>
            </c:ext>
          </c:extLst>
        </c:ser>
        <c:ser>
          <c:idx val="5"/>
          <c:order val="7"/>
          <c:tx>
            <c:strRef>
              <c:f>'Railway (Hydrogen)'!$A$19</c:f>
              <c:strCache>
                <c:ptCount val="1"/>
                <c:pt idx="0">
                  <c:v>Fuel Economy</c:v>
                </c:pt>
              </c:strCache>
            </c:strRef>
          </c:tx>
          <c:spPr>
            <a:ln w="28575" cap="rnd">
              <a:solidFill>
                <a:schemeClr val="accent6"/>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CE08-4324-9ADB-A744EC39608C}"/>
            </c:ext>
          </c:extLst>
        </c:ser>
        <c:ser>
          <c:idx val="6"/>
          <c:order val="8"/>
          <c:tx>
            <c:strRef>
              <c:f>'Railway (Hydrogen)'!$A$20</c:f>
              <c:strCache>
                <c:ptCount val="1"/>
                <c:pt idx="0">
                  <c:v>Fuel Cost</c:v>
                </c:pt>
              </c:strCache>
            </c:strRef>
          </c:tx>
          <c:spPr>
            <a:ln w="28575" cap="rnd">
              <a:solidFill>
                <a:schemeClr val="accent1">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CE08-4324-9ADB-A744EC39608C}"/>
            </c:ext>
          </c:extLst>
        </c:ser>
        <c:ser>
          <c:idx val="7"/>
          <c:order val="9"/>
          <c:tx>
            <c:strRef>
              <c:f>'Railway (Hydrogen)'!$A$22</c:f>
              <c:strCache>
                <c:ptCount val="1"/>
                <c:pt idx="0">
                  <c:v>Lifetime vehicle</c:v>
                </c:pt>
              </c:strCache>
            </c:strRef>
          </c:tx>
          <c:spPr>
            <a:ln w="28575" cap="rnd">
              <a:solidFill>
                <a:schemeClr val="accent2">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CE08-4324-9ADB-A744EC39608C}"/>
            </c:ext>
          </c:extLst>
        </c:ser>
        <c:ser>
          <c:idx val="8"/>
          <c:order val="10"/>
          <c:tx>
            <c:strRef>
              <c:f>'Railway (Hydrogen)'!$A$23</c:f>
              <c:strCache>
                <c:ptCount val="1"/>
                <c:pt idx="0">
                  <c:v>Lifetime costumization</c:v>
                </c:pt>
              </c:strCache>
            </c:strRef>
          </c:tx>
          <c:spPr>
            <a:ln w="28575" cap="rnd">
              <a:solidFill>
                <a:schemeClr val="accent3">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CE08-4324-9ADB-A744EC39608C}"/>
            </c:ext>
          </c:extLst>
        </c:ser>
        <c:ser>
          <c:idx val="9"/>
          <c:order val="11"/>
          <c:tx>
            <c:strRef>
              <c:f>'Railway (Hydrogen)'!$A$24</c:f>
              <c:strCache>
                <c:ptCount val="1"/>
                <c:pt idx="0">
                  <c:v>Tonnage </c:v>
                </c:pt>
              </c:strCache>
            </c:strRef>
          </c:tx>
          <c:spPr>
            <a:ln w="28575" cap="rnd">
              <a:solidFill>
                <a:schemeClr val="accent4">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CE08-4324-9ADB-A744EC39608C}"/>
            </c:ext>
          </c:extLst>
        </c:ser>
        <c:ser>
          <c:idx val="10"/>
          <c:order val="12"/>
          <c:tx>
            <c:strRef>
              <c:f>'Railway (Hydrogen)'!$A$25</c:f>
              <c:strCache>
                <c:ptCount val="1"/>
                <c:pt idx="0">
                  <c:v>Market failure (av. utilization)</c:v>
                </c:pt>
              </c:strCache>
            </c:strRef>
          </c:tx>
          <c:spPr>
            <a:ln w="28575" cap="rnd">
              <a:solidFill>
                <a:schemeClr val="accent5">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CE08-4324-9ADB-A744EC39608C}"/>
            </c:ext>
          </c:extLst>
        </c:ser>
        <c:ser>
          <c:idx val="11"/>
          <c:order val="13"/>
          <c:tx>
            <c:strRef>
              <c:f>'Railway (Hydrogen)'!$A$27</c:f>
              <c:strCache>
                <c:ptCount val="1"/>
                <c:pt idx="0">
                  <c:v>Annual Mileage</c:v>
                </c:pt>
              </c:strCache>
            </c:strRef>
          </c:tx>
          <c:spPr>
            <a:ln w="28575" cap="rnd">
              <a:solidFill>
                <a:schemeClr val="accent6">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CE08-4324-9ADB-A744EC39608C}"/>
            </c:ext>
          </c:extLst>
        </c:ser>
        <c:ser>
          <c:idx val="12"/>
          <c:order val="14"/>
          <c:tx>
            <c:strRef>
              <c:f>'Railway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(Hydrogen)'!$Q$17:$AR$17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CE08-4324-9ADB-A744EC39608C}"/>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(Hydrogen)'!$A$74</c:f>
              <c:strCache>
                <c:ptCount val="1"/>
                <c:pt idx="0">
                  <c:v>Capex vehicle</c:v>
                </c:pt>
              </c:strCache>
            </c:strRef>
          </c:tx>
          <c:spPr>
            <a:solidFill>
              <a:schemeClr val="accent1"/>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(Hydrogen)'!$B$74,'Railway (Hydrogen)'!$N$74,'Railway (Hydrogen)'!$AC$74)</c:f>
              <c:numCache>
                <c:formatCode>0.00</c:formatCode>
                <c:ptCount val="3"/>
                <c:pt idx="0">
                  <c:v>2.1632138711235615E-3</c:v>
                </c:pt>
                <c:pt idx="1">
                  <c:v>1.479389971579121E-3</c:v>
                </c:pt>
                <c:pt idx="2">
                  <c:v>8.7510622887057403E-4</c:v>
                </c:pt>
              </c:numCache>
            </c:numRef>
          </c:val>
          <c:extLst>
            <c:ext xmlns:c16="http://schemas.microsoft.com/office/drawing/2014/chart" uri="{C3380CC4-5D6E-409C-BE32-E72D297353CC}">
              <c16:uniqueId val="{00000000-1117-44D5-8D52-F07D534292B2}"/>
            </c:ext>
          </c:extLst>
        </c:ser>
        <c:ser>
          <c:idx val="1"/>
          <c:order val="1"/>
          <c:tx>
            <c:strRef>
              <c:f>'Railway (Hydrogen)'!$A$75</c:f>
              <c:strCache>
                <c:ptCount val="1"/>
                <c:pt idx="0">
                  <c:v>Residual value (vehicle)</c:v>
                </c:pt>
              </c:strCache>
            </c:strRef>
          </c:tx>
          <c:spPr>
            <a:solidFill>
              <a:schemeClr val="accent2"/>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(Hydrogen)'!$B$75,'Railway (Hydrogen)'!$N$75,'Railway (Hydrogen)'!$AC$75)</c:f>
              <c:numCache>
                <c:formatCode>0.000</c:formatCode>
                <c:ptCount val="3"/>
                <c:pt idx="0">
                  <c:v>-1.0931217673919614E-4</c:v>
                </c:pt>
                <c:pt idx="1">
                  <c:v>-1.2070924173160351E-4</c:v>
                </c:pt>
                <c:pt idx="2">
                  <c:v>-1.3078063744341263E-4</c:v>
                </c:pt>
              </c:numCache>
            </c:numRef>
          </c:val>
          <c:extLst>
            <c:ext xmlns:c16="http://schemas.microsoft.com/office/drawing/2014/chart" uri="{C3380CC4-5D6E-409C-BE32-E72D297353CC}">
              <c16:uniqueId val="{00000001-1117-44D5-8D52-F07D534292B2}"/>
            </c:ext>
          </c:extLst>
        </c:ser>
        <c:ser>
          <c:idx val="2"/>
          <c:order val="2"/>
          <c:tx>
            <c:strRef>
              <c:f>'Railway (Hydrogen)'!$A$76</c:f>
              <c:strCache>
                <c:ptCount val="1"/>
                <c:pt idx="0">
                  <c:v>Capex costumization</c:v>
                </c:pt>
              </c:strCache>
            </c:strRef>
          </c:tx>
          <c:spPr>
            <a:solidFill>
              <a:schemeClr val="accent3"/>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(Hydrogen)'!$B$76,'Railway (Hydrogen)'!$N$76,'Railway (Hydrogen)'!$AC$76)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1117-44D5-8D52-F07D534292B2}"/>
            </c:ext>
          </c:extLst>
        </c:ser>
        <c:ser>
          <c:idx val="3"/>
          <c:order val="3"/>
          <c:tx>
            <c:strRef>
              <c:f>'Railway (Hydrogen)'!$A$77</c:f>
              <c:strCache>
                <c:ptCount val="1"/>
                <c:pt idx="0">
                  <c:v>Residual value (costumization)</c:v>
                </c:pt>
              </c:strCache>
            </c:strRef>
          </c:tx>
          <c:spPr>
            <a:solidFill>
              <a:schemeClr val="accent4"/>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(Hydrogen)'!$B$77,'Railway (Hydrogen)'!$N$77,'Railway (Hydrogen)'!$AC$77)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1117-44D5-8D52-F07D534292B2}"/>
            </c:ext>
          </c:extLst>
        </c:ser>
        <c:ser>
          <c:idx val="4"/>
          <c:order val="4"/>
          <c:tx>
            <c:strRef>
              <c:f>'Railway (Hydrogen)'!$A$78</c:f>
              <c:strCache>
                <c:ptCount val="1"/>
                <c:pt idx="0">
                  <c:v>Opex fix (admin, crew, insurance)</c:v>
                </c:pt>
              </c:strCache>
            </c:strRef>
          </c:tx>
          <c:spPr>
            <a:solidFill>
              <a:schemeClr val="accent5"/>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(Hydrogen)'!$B$78,'Railway (Hydrogen)'!$N$78,'Railway (Hydrogen)'!$AC$78)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1117-44D5-8D52-F07D534292B2}"/>
            </c:ext>
          </c:extLst>
        </c:ser>
        <c:ser>
          <c:idx val="5"/>
          <c:order val="5"/>
          <c:tx>
            <c:strRef>
              <c:f>'Railway (Hydrogen)'!$A$79</c:f>
              <c:strCache>
                <c:ptCount val="1"/>
                <c:pt idx="0">
                  <c:v>Opex maintenance &amp; repair</c:v>
                </c:pt>
              </c:strCache>
            </c:strRef>
          </c:tx>
          <c:spPr>
            <a:solidFill>
              <a:schemeClr val="accent6"/>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(Hydrogen)'!$B$79,'Railway (Hydrogen)'!$N$79,'Railway (Hydrogen)'!$AC$79)</c:f>
              <c:numCache>
                <c:formatCode>0.00</c:formatCode>
                <c:ptCount val="3"/>
                <c:pt idx="0">
                  <c:v>3.4736649752972778E-3</c:v>
                </c:pt>
                <c:pt idx="1">
                  <c:v>2.3755880995767228E-3</c:v>
                </c:pt>
                <c:pt idx="2">
                  <c:v>1.4052359304229719E-3</c:v>
                </c:pt>
              </c:numCache>
            </c:numRef>
          </c:val>
          <c:extLst>
            <c:ext xmlns:c16="http://schemas.microsoft.com/office/drawing/2014/chart" uri="{C3380CC4-5D6E-409C-BE32-E72D297353CC}">
              <c16:uniqueId val="{00000005-1117-44D5-8D52-F07D534292B2}"/>
            </c:ext>
          </c:extLst>
        </c:ser>
        <c:ser>
          <c:idx val="6"/>
          <c:order val="6"/>
          <c:tx>
            <c:strRef>
              <c:f>'Railway (Hydrogen)'!$A$80</c:f>
              <c:strCache>
                <c:ptCount val="1"/>
                <c:pt idx="0">
                  <c:v>Opex var (mode-fees, shunting)</c:v>
                </c:pt>
              </c:strCache>
            </c:strRef>
          </c:tx>
          <c:spPr>
            <a:solidFill>
              <a:schemeClr val="accent1">
                <a:lumMod val="60000"/>
              </a:schemeClr>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(Hydrogen)'!$B$80,'Railway (Hydrogen)'!$N$80,'Railway (Hydrogen)'!$AC$80)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1117-44D5-8D52-F07D534292B2}"/>
            </c:ext>
          </c:extLst>
        </c:ser>
        <c:ser>
          <c:idx val="7"/>
          <c:order val="7"/>
          <c:tx>
            <c:strRef>
              <c:f>'Railway (Hydrogen)'!$A$81</c:f>
              <c:strCache>
                <c:ptCount val="1"/>
                <c:pt idx="0">
                  <c:v>Fuel Cost</c:v>
                </c:pt>
              </c:strCache>
            </c:strRef>
          </c:tx>
          <c:spPr>
            <a:solidFill>
              <a:schemeClr val="accent2">
                <a:lumMod val="60000"/>
              </a:schemeClr>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(Hydrogen)'!$B$81,'Railway (Hydrogen)'!$N$81,'Railway (Hydrogen)'!$AC$81)</c:f>
              <c:numCache>
                <c:formatCode>0.00</c:formatCode>
                <c:ptCount val="3"/>
                <c:pt idx="0">
                  <c:v>5.4972181617018003E-3</c:v>
                </c:pt>
                <c:pt idx="1">
                  <c:v>3.5378126638938596E-3</c:v>
                </c:pt>
                <c:pt idx="2">
                  <c:v>2.0275409957600308E-3</c:v>
                </c:pt>
              </c:numCache>
            </c:numRef>
          </c:val>
          <c:extLst>
            <c:ext xmlns:c16="http://schemas.microsoft.com/office/drawing/2014/chart" uri="{C3380CC4-5D6E-409C-BE32-E72D297353CC}">
              <c16:uniqueId val="{00000007-1117-44D5-8D52-F07D534292B2}"/>
            </c:ext>
          </c:extLst>
        </c:ser>
        <c:ser>
          <c:idx val="8"/>
          <c:order val="8"/>
          <c:tx>
            <c:strRef>
              <c:f>'Railway (Hydrogen)'!$A$82</c:f>
              <c:strCache>
                <c:ptCount val="1"/>
                <c:pt idx="0">
                  <c:v>Market failure (av. utilization)</c:v>
                </c:pt>
              </c:strCache>
            </c:strRef>
          </c:tx>
          <c:spPr>
            <a:solidFill>
              <a:schemeClr val="accent3">
                <a:lumMod val="60000"/>
              </a:schemeClr>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(Hydrogen)'!$B$82,'Railway (Hydrogen)'!$N$82,'Railway (Hydrogen)'!$AC$82)</c:f>
              <c:numCache>
                <c:formatCode>0.00</c:formatCode>
                <c:ptCount val="3"/>
                <c:pt idx="0">
                  <c:v>8.5955079008395684E-3</c:v>
                </c:pt>
                <c:pt idx="1">
                  <c:v>6.4781846824048545E-3</c:v>
                </c:pt>
                <c:pt idx="2">
                  <c:v>4.7002513363276176E-3</c:v>
                </c:pt>
              </c:numCache>
            </c:numRef>
          </c:val>
          <c:extLst>
            <c:ext xmlns:c16="http://schemas.microsoft.com/office/drawing/2014/chart" uri="{C3380CC4-5D6E-409C-BE32-E72D297353CC}">
              <c16:uniqueId val="{00000008-1117-44D5-8D52-F07D534292B2}"/>
            </c:ext>
          </c:extLst>
        </c:ser>
        <c:ser>
          <c:idx val="9"/>
          <c:order val="9"/>
          <c:tx>
            <c:strRef>
              <c:f>'Railway (Hydrogen)'!$A$83</c:f>
              <c:strCache>
                <c:ptCount val="1"/>
                <c:pt idx="0">
                  <c:v>Payload loss (fuel)</c:v>
                </c:pt>
              </c:strCache>
            </c:strRef>
          </c:tx>
          <c:spPr>
            <a:solidFill>
              <a:schemeClr val="accent4">
                <a:lumMod val="60000"/>
              </a:schemeClr>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(Hydrogen)'!$B$83,'Railway (Hydrogen)'!$N$83,'Railway (Hydrogen)'!$AC$83)</c:f>
              <c:numCache>
                <c:formatCode>0.00</c:formatCode>
                <c:ptCount val="3"/>
                <c:pt idx="0">
                  <c:v>2.7783459881501604E-4</c:v>
                </c:pt>
                <c:pt idx="1">
                  <c:v>2.0939586852217716E-4</c:v>
                </c:pt>
                <c:pt idx="2">
                  <c:v>1.5192731592169988E-4</c:v>
                </c:pt>
              </c:numCache>
            </c:numRef>
          </c:val>
          <c:extLst>
            <c:ext xmlns:c16="http://schemas.microsoft.com/office/drawing/2014/chart" uri="{C3380CC4-5D6E-409C-BE32-E72D297353CC}">
              <c16:uniqueId val="{00000009-1117-44D5-8D52-F07D534292B2}"/>
            </c:ext>
          </c:extLst>
        </c:ser>
        <c:ser>
          <c:idx val="10"/>
          <c:order val="10"/>
          <c:tx>
            <c:strRef>
              <c:f>'Railway (Hydrogen)'!$A$407</c:f>
              <c:strCache>
                <c:ptCount val="1"/>
                <c:pt idx="0">
                  <c:v>Emission Cost</c:v>
                </c:pt>
              </c:strCache>
            </c:strRef>
          </c:tx>
          <c:spPr>
            <a:solidFill>
              <a:schemeClr val="accent5">
                <a:lumMod val="60000"/>
              </a:schemeClr>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(Hydrogen)'!$B$407,'Railway (Hydrogen)'!$N$407,'Railway (Hydrogen)'!$AC$407)</c:f>
              <c:numCache>
                <c:formatCode>0.000</c:formatCode>
                <c:ptCount val="3"/>
                <c:pt idx="0">
                  <c:v>7.8492804144973097E-5</c:v>
                </c:pt>
                <c:pt idx="1">
                  <c:v>6.7065976104154992E-5</c:v>
                </c:pt>
                <c:pt idx="2">
                  <c:v>1.2745587858899847E-6</c:v>
                </c:pt>
              </c:numCache>
            </c:numRef>
          </c:val>
          <c:extLst>
            <c:ext xmlns:c16="http://schemas.microsoft.com/office/drawing/2014/chart" uri="{C3380CC4-5D6E-409C-BE32-E72D297353CC}">
              <c16:uniqueId val="{00000000-0F53-43A3-808D-55B2A724F651}"/>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(Hydrogen)'!$A$11</c:f>
              <c:strCache>
                <c:ptCount val="1"/>
                <c:pt idx="0">
                  <c:v>Capex vehicle</c:v>
                </c:pt>
              </c:strCache>
            </c:strRef>
          </c:tx>
          <c:spPr>
            <a:ln w="28575" cap="rnd">
              <a:solidFill>
                <a:schemeClr val="accent1"/>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55E8-46A8-BF55-A5892207382A}"/>
            </c:ext>
          </c:extLst>
        </c:ser>
        <c:ser>
          <c:idx val="13"/>
          <c:order val="1"/>
          <c:tx>
            <c:strRef>
              <c:f>'Railway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(Hydrogen)'!$Q$12:$AR$12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55E8-46A8-BF55-A5892207382A}"/>
            </c:ext>
          </c:extLst>
        </c:ser>
        <c:ser>
          <c:idx val="1"/>
          <c:order val="2"/>
          <c:tx>
            <c:strRef>
              <c:f>'Railway (Hydrogen)'!$A$13</c:f>
              <c:strCache>
                <c:ptCount val="1"/>
                <c:pt idx="0">
                  <c:v>Capex costumization</c:v>
                </c:pt>
              </c:strCache>
            </c:strRef>
          </c:tx>
          <c:spPr>
            <a:ln w="28575" cap="rnd">
              <a:solidFill>
                <a:schemeClr val="accent2"/>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55E8-46A8-BF55-A5892207382A}"/>
            </c:ext>
          </c:extLst>
        </c:ser>
        <c:ser>
          <c:idx val="14"/>
          <c:order val="3"/>
          <c:tx>
            <c:strRef>
              <c:f>'Railway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55E8-46A8-BF55-A5892207382A}"/>
            </c:ext>
          </c:extLst>
        </c:ser>
        <c:ser>
          <c:idx val="2"/>
          <c:order val="4"/>
          <c:tx>
            <c:strRef>
              <c:f>'Railway (Hydrogen)'!$A$15</c:f>
              <c:strCache>
                <c:ptCount val="1"/>
                <c:pt idx="0">
                  <c:v>WACC</c:v>
                </c:pt>
              </c:strCache>
            </c:strRef>
          </c:tx>
          <c:spPr>
            <a:ln w="28575" cap="rnd">
              <a:solidFill>
                <a:schemeClr val="accent3"/>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55E8-46A8-BF55-A5892207382A}"/>
            </c:ext>
          </c:extLst>
        </c:ser>
        <c:ser>
          <c:idx val="3"/>
          <c:order val="5"/>
          <c:tx>
            <c:strRef>
              <c:f>'Railway (Hydrogen)'!$A$16</c:f>
              <c:strCache>
                <c:ptCount val="1"/>
                <c:pt idx="0">
                  <c:v>Opex fix (admin, crew, insurance)</c:v>
                </c:pt>
              </c:strCache>
            </c:strRef>
          </c:tx>
          <c:spPr>
            <a:ln w="28575" cap="rnd">
              <a:solidFill>
                <a:schemeClr val="accent4"/>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55E8-46A8-BF55-A5892207382A}"/>
            </c:ext>
          </c:extLst>
        </c:ser>
        <c:ser>
          <c:idx val="4"/>
          <c:order val="6"/>
          <c:tx>
            <c:strRef>
              <c:f>'Railway (Hydrogen)'!$A$18</c:f>
              <c:strCache>
                <c:ptCount val="1"/>
                <c:pt idx="0">
                  <c:v>Opex var (mode-fees, shunting)</c:v>
                </c:pt>
              </c:strCache>
            </c:strRef>
          </c:tx>
          <c:spPr>
            <a:ln w="28575" cap="rnd">
              <a:solidFill>
                <a:schemeClr val="accent5"/>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55E8-46A8-BF55-A5892207382A}"/>
            </c:ext>
          </c:extLst>
        </c:ser>
        <c:ser>
          <c:idx val="5"/>
          <c:order val="7"/>
          <c:tx>
            <c:strRef>
              <c:f>'Railway (Hydrogen)'!$A$19</c:f>
              <c:strCache>
                <c:ptCount val="1"/>
                <c:pt idx="0">
                  <c:v>Fuel Economy</c:v>
                </c:pt>
              </c:strCache>
            </c:strRef>
          </c:tx>
          <c:spPr>
            <a:ln w="28575" cap="rnd">
              <a:solidFill>
                <a:schemeClr val="accent6"/>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55E8-46A8-BF55-A5892207382A}"/>
            </c:ext>
          </c:extLst>
        </c:ser>
        <c:ser>
          <c:idx val="6"/>
          <c:order val="8"/>
          <c:tx>
            <c:strRef>
              <c:f>'Railway (Hydrogen)'!$A$20</c:f>
              <c:strCache>
                <c:ptCount val="1"/>
                <c:pt idx="0">
                  <c:v>Fuel Cost</c:v>
                </c:pt>
              </c:strCache>
            </c:strRef>
          </c:tx>
          <c:spPr>
            <a:ln w="28575" cap="rnd">
              <a:solidFill>
                <a:schemeClr val="accent1">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55E8-46A8-BF55-A5892207382A}"/>
            </c:ext>
          </c:extLst>
        </c:ser>
        <c:ser>
          <c:idx val="7"/>
          <c:order val="9"/>
          <c:tx>
            <c:strRef>
              <c:f>'Railway (Hydrogen)'!$A$22</c:f>
              <c:strCache>
                <c:ptCount val="1"/>
                <c:pt idx="0">
                  <c:v>Lifetime vehicle</c:v>
                </c:pt>
              </c:strCache>
            </c:strRef>
          </c:tx>
          <c:spPr>
            <a:ln w="28575" cap="rnd">
              <a:solidFill>
                <a:schemeClr val="accent2">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55E8-46A8-BF55-A5892207382A}"/>
            </c:ext>
          </c:extLst>
        </c:ser>
        <c:ser>
          <c:idx val="8"/>
          <c:order val="10"/>
          <c:tx>
            <c:strRef>
              <c:f>'Railway (Hydrogen)'!$A$23</c:f>
              <c:strCache>
                <c:ptCount val="1"/>
                <c:pt idx="0">
                  <c:v>Lifetime costumization</c:v>
                </c:pt>
              </c:strCache>
            </c:strRef>
          </c:tx>
          <c:spPr>
            <a:ln w="28575" cap="rnd">
              <a:solidFill>
                <a:schemeClr val="accent3">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55E8-46A8-BF55-A5892207382A}"/>
            </c:ext>
          </c:extLst>
        </c:ser>
        <c:ser>
          <c:idx val="9"/>
          <c:order val="11"/>
          <c:tx>
            <c:strRef>
              <c:f>'Railway (Hydrogen)'!$A$24</c:f>
              <c:strCache>
                <c:ptCount val="1"/>
                <c:pt idx="0">
                  <c:v>Tonnage </c:v>
                </c:pt>
              </c:strCache>
            </c:strRef>
          </c:tx>
          <c:spPr>
            <a:ln w="28575" cap="rnd">
              <a:solidFill>
                <a:schemeClr val="accent4">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55E8-46A8-BF55-A5892207382A}"/>
            </c:ext>
          </c:extLst>
        </c:ser>
        <c:ser>
          <c:idx val="10"/>
          <c:order val="12"/>
          <c:tx>
            <c:strRef>
              <c:f>'Railway (Hydrogen)'!$A$25</c:f>
              <c:strCache>
                <c:ptCount val="1"/>
                <c:pt idx="0">
                  <c:v>Market failure (av. utilization)</c:v>
                </c:pt>
              </c:strCache>
            </c:strRef>
          </c:tx>
          <c:spPr>
            <a:ln w="28575" cap="rnd">
              <a:solidFill>
                <a:schemeClr val="accent5">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55E8-46A8-BF55-A5892207382A}"/>
            </c:ext>
          </c:extLst>
        </c:ser>
        <c:ser>
          <c:idx val="11"/>
          <c:order val="13"/>
          <c:tx>
            <c:strRef>
              <c:f>'Railway (Hydrogen)'!$A$27</c:f>
              <c:strCache>
                <c:ptCount val="1"/>
                <c:pt idx="0">
                  <c:v>Annual Mileage</c:v>
                </c:pt>
              </c:strCache>
            </c:strRef>
          </c:tx>
          <c:spPr>
            <a:ln w="28575" cap="rnd">
              <a:solidFill>
                <a:schemeClr val="accent6">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55E8-46A8-BF55-A5892207382A}"/>
            </c:ext>
          </c:extLst>
        </c:ser>
        <c:ser>
          <c:idx val="12"/>
          <c:order val="14"/>
          <c:tx>
            <c:strRef>
              <c:f>'Railway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(Hydrogen)'!$Q$17:$AR$17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55E8-46A8-BF55-A5892207382A}"/>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(Hydrogen)'!$A$74</c:f>
              <c:strCache>
                <c:ptCount val="1"/>
                <c:pt idx="0">
                  <c:v>Capex vehicle</c:v>
                </c:pt>
              </c:strCache>
            </c:strRef>
          </c:tx>
          <c:spPr>
            <a:solidFill>
              <a:schemeClr val="accent1"/>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(Hydrogen)'!$B$74,'Railway (Hydrogen)'!$N$74,'Railway (Hydrogen)'!$AC$74)</c:f>
              <c:numCache>
                <c:formatCode>0.00</c:formatCode>
                <c:ptCount val="3"/>
                <c:pt idx="0">
                  <c:v>2.1632138711235615E-3</c:v>
                </c:pt>
                <c:pt idx="1">
                  <c:v>1.479389971579121E-3</c:v>
                </c:pt>
                <c:pt idx="2">
                  <c:v>8.7510622887057403E-4</c:v>
                </c:pt>
              </c:numCache>
            </c:numRef>
          </c:val>
          <c:extLst>
            <c:ext xmlns:c16="http://schemas.microsoft.com/office/drawing/2014/chart" uri="{C3380CC4-5D6E-409C-BE32-E72D297353CC}">
              <c16:uniqueId val="{00000000-0166-4C5E-8E8B-2DCAB9D68994}"/>
            </c:ext>
          </c:extLst>
        </c:ser>
        <c:ser>
          <c:idx val="1"/>
          <c:order val="1"/>
          <c:tx>
            <c:strRef>
              <c:f>'Railway (Hydrogen)'!$A$75</c:f>
              <c:strCache>
                <c:ptCount val="1"/>
                <c:pt idx="0">
                  <c:v>Residual value (vehicle)</c:v>
                </c:pt>
              </c:strCache>
            </c:strRef>
          </c:tx>
          <c:spPr>
            <a:solidFill>
              <a:schemeClr val="accent2"/>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(Hydrogen)'!$B$75,'Railway (Hydrogen)'!$N$75,'Railway (Hydrogen)'!$AC$75)</c:f>
              <c:numCache>
                <c:formatCode>0.000</c:formatCode>
                <c:ptCount val="3"/>
                <c:pt idx="0">
                  <c:v>-1.0931217673919614E-4</c:v>
                </c:pt>
                <c:pt idx="1">
                  <c:v>-1.2070924173160351E-4</c:v>
                </c:pt>
                <c:pt idx="2">
                  <c:v>-1.3078063744341263E-4</c:v>
                </c:pt>
              </c:numCache>
            </c:numRef>
          </c:val>
          <c:extLst>
            <c:ext xmlns:c16="http://schemas.microsoft.com/office/drawing/2014/chart" uri="{C3380CC4-5D6E-409C-BE32-E72D297353CC}">
              <c16:uniqueId val="{00000001-0166-4C5E-8E8B-2DCAB9D68994}"/>
            </c:ext>
          </c:extLst>
        </c:ser>
        <c:ser>
          <c:idx val="2"/>
          <c:order val="2"/>
          <c:tx>
            <c:strRef>
              <c:f>'Railway (Hydrogen)'!$A$76</c:f>
              <c:strCache>
                <c:ptCount val="1"/>
                <c:pt idx="0">
                  <c:v>Capex costumization</c:v>
                </c:pt>
              </c:strCache>
            </c:strRef>
          </c:tx>
          <c:spPr>
            <a:solidFill>
              <a:schemeClr val="accent3"/>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(Hydrogen)'!$B$76,'Railway (Hydrogen)'!$N$76,'Railway (Hydrogen)'!$AC$76)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0166-4C5E-8E8B-2DCAB9D68994}"/>
            </c:ext>
          </c:extLst>
        </c:ser>
        <c:ser>
          <c:idx val="3"/>
          <c:order val="3"/>
          <c:tx>
            <c:strRef>
              <c:f>'Railway (Hydrogen)'!$A$77</c:f>
              <c:strCache>
                <c:ptCount val="1"/>
                <c:pt idx="0">
                  <c:v>Residual value (costumization)</c:v>
                </c:pt>
              </c:strCache>
            </c:strRef>
          </c:tx>
          <c:spPr>
            <a:solidFill>
              <a:schemeClr val="accent4"/>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(Hydrogen)'!$B$77,'Railway (Hydrogen)'!$N$77,'Railway (Hydrogen)'!$AC$77)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0166-4C5E-8E8B-2DCAB9D68994}"/>
            </c:ext>
          </c:extLst>
        </c:ser>
        <c:ser>
          <c:idx val="4"/>
          <c:order val="4"/>
          <c:tx>
            <c:strRef>
              <c:f>'Railway (Hydrogen)'!$A$78</c:f>
              <c:strCache>
                <c:ptCount val="1"/>
                <c:pt idx="0">
                  <c:v>Opex fix (admin, crew, insurance)</c:v>
                </c:pt>
              </c:strCache>
            </c:strRef>
          </c:tx>
          <c:spPr>
            <a:solidFill>
              <a:schemeClr val="accent5"/>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(Hydrogen)'!$B$78,'Railway (Hydrogen)'!$N$78,'Railway (Hydrogen)'!$AC$78)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0166-4C5E-8E8B-2DCAB9D68994}"/>
            </c:ext>
          </c:extLst>
        </c:ser>
        <c:ser>
          <c:idx val="5"/>
          <c:order val="5"/>
          <c:tx>
            <c:strRef>
              <c:f>'Railway (Hydrogen)'!$A$79</c:f>
              <c:strCache>
                <c:ptCount val="1"/>
                <c:pt idx="0">
                  <c:v>Opex maintenance &amp; repair</c:v>
                </c:pt>
              </c:strCache>
            </c:strRef>
          </c:tx>
          <c:spPr>
            <a:solidFill>
              <a:schemeClr val="accent6"/>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(Hydrogen)'!$B$79,'Railway (Hydrogen)'!$N$79,'Railway (Hydrogen)'!$AC$79)</c:f>
              <c:numCache>
                <c:formatCode>0.00</c:formatCode>
                <c:ptCount val="3"/>
                <c:pt idx="0">
                  <c:v>3.4736649752972778E-3</c:v>
                </c:pt>
                <c:pt idx="1">
                  <c:v>2.3755880995767228E-3</c:v>
                </c:pt>
                <c:pt idx="2">
                  <c:v>1.4052359304229719E-3</c:v>
                </c:pt>
              </c:numCache>
            </c:numRef>
          </c:val>
          <c:extLst>
            <c:ext xmlns:c16="http://schemas.microsoft.com/office/drawing/2014/chart" uri="{C3380CC4-5D6E-409C-BE32-E72D297353CC}">
              <c16:uniqueId val="{00000005-0166-4C5E-8E8B-2DCAB9D68994}"/>
            </c:ext>
          </c:extLst>
        </c:ser>
        <c:ser>
          <c:idx val="6"/>
          <c:order val="6"/>
          <c:tx>
            <c:strRef>
              <c:f>'Railway (Hydrogen)'!$A$80</c:f>
              <c:strCache>
                <c:ptCount val="1"/>
                <c:pt idx="0">
                  <c:v>Opex var (mode-fees, shunting)</c:v>
                </c:pt>
              </c:strCache>
            </c:strRef>
          </c:tx>
          <c:spPr>
            <a:solidFill>
              <a:schemeClr val="accent1">
                <a:lumMod val="60000"/>
              </a:schemeClr>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(Hydrogen)'!$B$80,'Railway (Hydrogen)'!$N$80,'Railway (Hydrogen)'!$AC$80)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0166-4C5E-8E8B-2DCAB9D68994}"/>
            </c:ext>
          </c:extLst>
        </c:ser>
        <c:ser>
          <c:idx val="7"/>
          <c:order val="7"/>
          <c:tx>
            <c:strRef>
              <c:f>'Railway (Hydrogen)'!$A$81</c:f>
              <c:strCache>
                <c:ptCount val="1"/>
                <c:pt idx="0">
                  <c:v>Fuel Cost</c:v>
                </c:pt>
              </c:strCache>
            </c:strRef>
          </c:tx>
          <c:spPr>
            <a:solidFill>
              <a:schemeClr val="accent2">
                <a:lumMod val="60000"/>
              </a:schemeClr>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(Hydrogen)'!$B$81,'Railway (Hydrogen)'!$N$81,'Railway (Hydrogen)'!$AC$81)</c:f>
              <c:numCache>
                <c:formatCode>0.00</c:formatCode>
                <c:ptCount val="3"/>
                <c:pt idx="0">
                  <c:v>5.4972181617018003E-3</c:v>
                </c:pt>
                <c:pt idx="1">
                  <c:v>3.5378126638938596E-3</c:v>
                </c:pt>
                <c:pt idx="2">
                  <c:v>2.0275409957600308E-3</c:v>
                </c:pt>
              </c:numCache>
            </c:numRef>
          </c:val>
          <c:extLst>
            <c:ext xmlns:c16="http://schemas.microsoft.com/office/drawing/2014/chart" uri="{C3380CC4-5D6E-409C-BE32-E72D297353CC}">
              <c16:uniqueId val="{00000007-0166-4C5E-8E8B-2DCAB9D68994}"/>
            </c:ext>
          </c:extLst>
        </c:ser>
        <c:ser>
          <c:idx val="8"/>
          <c:order val="8"/>
          <c:tx>
            <c:strRef>
              <c:f>'Railway (Hydrogen)'!$A$82</c:f>
              <c:strCache>
                <c:ptCount val="1"/>
                <c:pt idx="0">
                  <c:v>Market failure (av. utilization)</c:v>
                </c:pt>
              </c:strCache>
            </c:strRef>
          </c:tx>
          <c:spPr>
            <a:solidFill>
              <a:schemeClr val="accent3">
                <a:lumMod val="60000"/>
              </a:schemeClr>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(Hydrogen)'!$B$82,'Railway (Hydrogen)'!$N$82,'Railway (Hydrogen)'!$AC$82)</c:f>
              <c:numCache>
                <c:formatCode>0.00</c:formatCode>
                <c:ptCount val="3"/>
                <c:pt idx="0">
                  <c:v>8.5955079008395684E-3</c:v>
                </c:pt>
                <c:pt idx="1">
                  <c:v>6.4781846824048545E-3</c:v>
                </c:pt>
                <c:pt idx="2">
                  <c:v>4.7002513363276176E-3</c:v>
                </c:pt>
              </c:numCache>
            </c:numRef>
          </c:val>
          <c:extLst>
            <c:ext xmlns:c16="http://schemas.microsoft.com/office/drawing/2014/chart" uri="{C3380CC4-5D6E-409C-BE32-E72D297353CC}">
              <c16:uniqueId val="{00000008-0166-4C5E-8E8B-2DCAB9D68994}"/>
            </c:ext>
          </c:extLst>
        </c:ser>
        <c:ser>
          <c:idx val="9"/>
          <c:order val="9"/>
          <c:tx>
            <c:strRef>
              <c:f>'Railway (Hydrogen)'!$A$83</c:f>
              <c:strCache>
                <c:ptCount val="1"/>
                <c:pt idx="0">
                  <c:v>Payload loss (fuel)</c:v>
                </c:pt>
              </c:strCache>
            </c:strRef>
          </c:tx>
          <c:spPr>
            <a:solidFill>
              <a:schemeClr val="accent4">
                <a:lumMod val="60000"/>
              </a:schemeClr>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(Hydrogen)'!$B$83,'Railway (Hydrogen)'!$N$83,'Railway (Hydrogen)'!$AC$83)</c:f>
              <c:numCache>
                <c:formatCode>0.00</c:formatCode>
                <c:ptCount val="3"/>
                <c:pt idx="0">
                  <c:v>2.7783459881501604E-4</c:v>
                </c:pt>
                <c:pt idx="1">
                  <c:v>2.0939586852217716E-4</c:v>
                </c:pt>
                <c:pt idx="2">
                  <c:v>1.5192731592169988E-4</c:v>
                </c:pt>
              </c:numCache>
            </c:numRef>
          </c:val>
          <c:extLst>
            <c:ext xmlns:c16="http://schemas.microsoft.com/office/drawing/2014/chart" uri="{C3380CC4-5D6E-409C-BE32-E72D297353CC}">
              <c16:uniqueId val="{00000009-0166-4C5E-8E8B-2DCAB9D68994}"/>
            </c:ext>
          </c:extLst>
        </c:ser>
        <c:ser>
          <c:idx val="10"/>
          <c:order val="10"/>
          <c:tx>
            <c:strRef>
              <c:f>'Railway (Hydrogen)'!$A$512</c:f>
              <c:strCache>
                <c:ptCount val="1"/>
                <c:pt idx="0">
                  <c:v>Emission Cost</c:v>
                </c:pt>
              </c:strCache>
            </c:strRef>
          </c:tx>
          <c:spPr>
            <a:solidFill>
              <a:schemeClr val="accent5">
                <a:lumMod val="60000"/>
              </a:schemeClr>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(Hydrogen)'!$B$512,'Railway (Hydrogen)'!$N$512,'Railway (Hydrogen)'!$AC$512)</c:f>
              <c:numCache>
                <c:formatCode>0.000</c:formatCode>
                <c:ptCount val="3"/>
                <c:pt idx="0">
                  <c:v>6.2794243315978485E-5</c:v>
                </c:pt>
                <c:pt idx="1">
                  <c:v>5.3652780883323994E-5</c:v>
                </c:pt>
                <c:pt idx="2">
                  <c:v>1.0196470287119876E-6</c:v>
                </c:pt>
              </c:numCache>
            </c:numRef>
          </c:val>
          <c:extLst>
            <c:ext xmlns:c16="http://schemas.microsoft.com/office/drawing/2014/chart" uri="{C3380CC4-5D6E-409C-BE32-E72D297353CC}">
              <c16:uniqueId val="{00000000-CD98-47C3-B6A2-1953B30AE3E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(HFO)'!$A$11</c:f>
              <c:strCache>
                <c:ptCount val="1"/>
                <c:pt idx="0">
                  <c:v>Capex vehicle</c:v>
                </c:pt>
              </c:strCache>
            </c:strRef>
          </c:tx>
          <c:spPr>
            <a:ln w="28575" cap="rnd">
              <a:solidFill>
                <a:schemeClr val="accent1"/>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A0C6-4509-9A40-18765C91BBAF}"/>
            </c:ext>
          </c:extLst>
        </c:ser>
        <c:ser>
          <c:idx val="13"/>
          <c:order val="1"/>
          <c:tx>
            <c:strRef>
              <c:f>'Short-sea (HFO)'!$A$12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(HFO)'!$Q$12:$AR$12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A0C6-4509-9A40-18765C91BBAF}"/>
            </c:ext>
          </c:extLst>
        </c:ser>
        <c:ser>
          <c:idx val="1"/>
          <c:order val="2"/>
          <c:tx>
            <c:strRef>
              <c:f>'Short-sea (HFO)'!$A$13</c:f>
              <c:strCache>
                <c:ptCount val="1"/>
                <c:pt idx="0">
                  <c:v>Capex costumization</c:v>
                </c:pt>
              </c:strCache>
            </c:strRef>
          </c:tx>
          <c:spPr>
            <a:ln w="28575" cap="rnd">
              <a:solidFill>
                <a:schemeClr val="accent2"/>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A0C6-4509-9A40-18765C91BBAF}"/>
            </c:ext>
          </c:extLst>
        </c:ser>
        <c:ser>
          <c:idx val="14"/>
          <c:order val="3"/>
          <c:tx>
            <c:strRef>
              <c:f>'Short-sea (HFO)'!$A$14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(HFO)'!$Q$14:$AR$14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A0C6-4509-9A40-18765C91BBAF}"/>
            </c:ext>
          </c:extLst>
        </c:ser>
        <c:ser>
          <c:idx val="2"/>
          <c:order val="4"/>
          <c:tx>
            <c:strRef>
              <c:f>'Short-sea (HFO)'!$A$15</c:f>
              <c:strCache>
                <c:ptCount val="1"/>
                <c:pt idx="0">
                  <c:v>WACC</c:v>
                </c:pt>
              </c:strCache>
            </c:strRef>
          </c:tx>
          <c:spPr>
            <a:ln w="28575" cap="rnd">
              <a:solidFill>
                <a:schemeClr val="accent3"/>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A0C6-4509-9A40-18765C91BBAF}"/>
            </c:ext>
          </c:extLst>
        </c:ser>
        <c:ser>
          <c:idx val="3"/>
          <c:order val="5"/>
          <c:tx>
            <c:strRef>
              <c:f>'Short-sea (HFO)'!$A$16</c:f>
              <c:strCache>
                <c:ptCount val="1"/>
                <c:pt idx="0">
                  <c:v>Opex fix (admin, crew, insurance)</c:v>
                </c:pt>
              </c:strCache>
            </c:strRef>
          </c:tx>
          <c:spPr>
            <a:ln w="28575" cap="rnd">
              <a:solidFill>
                <a:schemeClr val="accent4"/>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A0C6-4509-9A40-18765C91BBAF}"/>
            </c:ext>
          </c:extLst>
        </c:ser>
        <c:ser>
          <c:idx val="4"/>
          <c:order val="6"/>
          <c:tx>
            <c:strRef>
              <c:f>'Short-sea (HFO)'!$A$18</c:f>
              <c:strCache>
                <c:ptCount val="1"/>
                <c:pt idx="0">
                  <c:v>Opex var (mode-fees)</c:v>
                </c:pt>
              </c:strCache>
            </c:strRef>
          </c:tx>
          <c:spPr>
            <a:ln w="28575" cap="rnd">
              <a:solidFill>
                <a:schemeClr val="accent5"/>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A0C6-4509-9A40-18765C91BBAF}"/>
            </c:ext>
          </c:extLst>
        </c:ser>
        <c:ser>
          <c:idx val="5"/>
          <c:order val="7"/>
          <c:tx>
            <c:strRef>
              <c:f>'Short-sea (HFO)'!$A$19</c:f>
              <c:strCache>
                <c:ptCount val="1"/>
                <c:pt idx="0">
                  <c:v>Fuel Economy</c:v>
                </c:pt>
              </c:strCache>
            </c:strRef>
          </c:tx>
          <c:spPr>
            <a:ln w="28575" cap="rnd">
              <a:solidFill>
                <a:schemeClr val="accent6"/>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A0C6-4509-9A40-18765C91BBAF}"/>
            </c:ext>
          </c:extLst>
        </c:ser>
        <c:ser>
          <c:idx val="6"/>
          <c:order val="8"/>
          <c:tx>
            <c:strRef>
              <c:f>'Short-sea (HFO)'!$A$20</c:f>
              <c:strCache>
                <c:ptCount val="1"/>
                <c:pt idx="0">
                  <c:v>Fuel Cost</c:v>
                </c:pt>
              </c:strCache>
            </c:strRef>
          </c:tx>
          <c:spPr>
            <a:ln w="28575" cap="rnd">
              <a:solidFill>
                <a:schemeClr val="accent1">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A0C6-4509-9A40-18765C91BBAF}"/>
            </c:ext>
          </c:extLst>
        </c:ser>
        <c:ser>
          <c:idx val="7"/>
          <c:order val="9"/>
          <c:tx>
            <c:strRef>
              <c:f>'Short-sea (HFO)'!$A$22</c:f>
              <c:strCache>
                <c:ptCount val="1"/>
                <c:pt idx="0">
                  <c:v>Lifetime vehicle</c:v>
                </c:pt>
              </c:strCache>
            </c:strRef>
          </c:tx>
          <c:spPr>
            <a:ln w="28575" cap="rnd">
              <a:solidFill>
                <a:schemeClr val="accent2">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A0C6-4509-9A40-18765C91BBAF}"/>
            </c:ext>
          </c:extLst>
        </c:ser>
        <c:ser>
          <c:idx val="8"/>
          <c:order val="10"/>
          <c:tx>
            <c:strRef>
              <c:f>'Short-sea (HFO)'!$A$23</c:f>
              <c:strCache>
                <c:ptCount val="1"/>
                <c:pt idx="0">
                  <c:v>Lifetime costumization</c:v>
                </c:pt>
              </c:strCache>
            </c:strRef>
          </c:tx>
          <c:spPr>
            <a:ln w="28575" cap="rnd">
              <a:solidFill>
                <a:schemeClr val="accent3">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A0C6-4509-9A40-18765C91BBAF}"/>
            </c:ext>
          </c:extLst>
        </c:ser>
        <c:ser>
          <c:idx val="9"/>
          <c:order val="11"/>
          <c:tx>
            <c:strRef>
              <c:f>'Short-sea (HFO)'!$A$24</c:f>
              <c:strCache>
                <c:ptCount val="1"/>
                <c:pt idx="0">
                  <c:v>Tonnage .</c:v>
                </c:pt>
              </c:strCache>
            </c:strRef>
          </c:tx>
          <c:spPr>
            <a:ln w="28575" cap="rnd">
              <a:solidFill>
                <a:schemeClr val="accent4">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A0C6-4509-9A40-18765C91BBAF}"/>
            </c:ext>
          </c:extLst>
        </c:ser>
        <c:ser>
          <c:idx val="10"/>
          <c:order val="12"/>
          <c:tx>
            <c:strRef>
              <c:f>'Short-sea (HFO)'!$A$25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A0C6-4509-9A40-18765C91BBAF}"/>
            </c:ext>
          </c:extLst>
        </c:ser>
        <c:ser>
          <c:idx val="11"/>
          <c:order val="13"/>
          <c:tx>
            <c:strRef>
              <c:f>'Short-sea (HFO)'!$A$27</c:f>
              <c:strCache>
                <c:ptCount val="1"/>
                <c:pt idx="0">
                  <c:v>Annual Mileage</c:v>
                </c:pt>
              </c:strCache>
            </c:strRef>
          </c:tx>
          <c:spPr>
            <a:ln w="28575" cap="rnd">
              <a:solidFill>
                <a:schemeClr val="accent6">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A0C6-4509-9A40-18765C91BBAF}"/>
            </c:ext>
          </c:extLst>
        </c:ser>
        <c:ser>
          <c:idx val="12"/>
          <c:order val="14"/>
          <c:tx>
            <c:strRef>
              <c:f>'Short-sea (HFO)'!$A$17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(HFO)'!$Q$17:$AR$17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A0C6-4509-9A40-18765C91BBA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(HFO)'!$A$74</c:f>
              <c:strCache>
                <c:ptCount val="1"/>
                <c:pt idx="0">
                  <c:v>Capex vehicle</c:v>
                </c:pt>
              </c:strCache>
            </c:strRef>
          </c:tx>
          <c:spPr>
            <a:solidFill>
              <a:schemeClr val="accent1"/>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(HFO)'!$B$74,'Short-sea (HFO)'!$N$74,'Short-sea (HFO)'!$AC$74)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A9F7-4A28-B620-F3262053A6E2}"/>
            </c:ext>
          </c:extLst>
        </c:ser>
        <c:ser>
          <c:idx val="1"/>
          <c:order val="1"/>
          <c:tx>
            <c:strRef>
              <c:f>'Short-sea (HFO)'!$A$75</c:f>
              <c:strCache>
                <c:ptCount val="1"/>
                <c:pt idx="0">
                  <c:v>Residual value (vehicle)</c:v>
                </c:pt>
              </c:strCache>
            </c:strRef>
          </c:tx>
          <c:spPr>
            <a:solidFill>
              <a:schemeClr val="accent2"/>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(HFO)'!$B$75,'Short-sea (HFO)'!$N$75,'Short-sea (HFO)'!$AC$75)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A9F7-4A28-B620-F3262053A6E2}"/>
            </c:ext>
          </c:extLst>
        </c:ser>
        <c:ser>
          <c:idx val="2"/>
          <c:order val="2"/>
          <c:tx>
            <c:strRef>
              <c:f>'Short-sea (HFO)'!$A$76</c:f>
              <c:strCache>
                <c:ptCount val="1"/>
                <c:pt idx="0">
                  <c:v>Capex costumization</c:v>
                </c:pt>
              </c:strCache>
            </c:strRef>
          </c:tx>
          <c:spPr>
            <a:solidFill>
              <a:schemeClr val="accent3"/>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(HFO)'!$B$76,'Short-sea (HFO)'!$N$76,'Short-sea (HFO)'!$AC$76)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A9F7-4A28-B620-F3262053A6E2}"/>
            </c:ext>
          </c:extLst>
        </c:ser>
        <c:ser>
          <c:idx val="3"/>
          <c:order val="3"/>
          <c:tx>
            <c:strRef>
              <c:f>'Short-sea (HFO)'!$A$77</c:f>
              <c:strCache>
                <c:ptCount val="1"/>
                <c:pt idx="0">
                  <c:v>Residual value (costumization)</c:v>
                </c:pt>
              </c:strCache>
            </c:strRef>
          </c:tx>
          <c:spPr>
            <a:solidFill>
              <a:schemeClr val="accent4"/>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(HFO)'!$B$77,'Short-sea (HFO)'!$N$77,'Short-sea (HFO)'!$AC$77)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A9F7-4A28-B620-F3262053A6E2}"/>
            </c:ext>
          </c:extLst>
        </c:ser>
        <c:ser>
          <c:idx val="4"/>
          <c:order val="4"/>
          <c:tx>
            <c:strRef>
              <c:f>'Short-sea (HFO)'!$A$78</c:f>
              <c:strCache>
                <c:ptCount val="1"/>
                <c:pt idx="0">
                  <c:v>Opex fix (admin, crew, insurance)</c:v>
                </c:pt>
              </c:strCache>
            </c:strRef>
          </c:tx>
          <c:spPr>
            <a:solidFill>
              <a:schemeClr val="accent5"/>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(HFO)'!$B$78,'Short-sea (HFO)'!$N$78,'Short-sea (HFO)'!$AC$78)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A9F7-4A28-B620-F3262053A6E2}"/>
            </c:ext>
          </c:extLst>
        </c:ser>
        <c:ser>
          <c:idx val="5"/>
          <c:order val="5"/>
          <c:tx>
            <c:strRef>
              <c:f>'Short-sea (HFO)'!$A$79</c:f>
              <c:strCache>
                <c:ptCount val="1"/>
                <c:pt idx="0">
                  <c:v>Opex maintenance &amp; repair</c:v>
                </c:pt>
              </c:strCache>
            </c:strRef>
          </c:tx>
          <c:spPr>
            <a:solidFill>
              <a:schemeClr val="accent6"/>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(HFO)'!$B$79,'Short-sea (HFO)'!$N$79,'Short-sea (HFO)'!$AC$79)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A9F7-4A28-B620-F3262053A6E2}"/>
            </c:ext>
          </c:extLst>
        </c:ser>
        <c:ser>
          <c:idx val="6"/>
          <c:order val="6"/>
          <c:tx>
            <c:strRef>
              <c:f>'Short-sea (HFO)'!$A$80</c:f>
              <c:strCache>
                <c:ptCount val="1"/>
                <c:pt idx="0">
                  <c:v>Opex var (mode-fees)</c:v>
                </c:pt>
              </c:strCache>
            </c:strRef>
          </c:tx>
          <c:spPr>
            <a:solidFill>
              <a:schemeClr val="accent1">
                <a:lumMod val="60000"/>
              </a:schemeClr>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(HFO)'!$B$80,'Short-sea (HFO)'!$N$80,'Short-sea (HFO)'!$AC$80)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A9F7-4A28-B620-F3262053A6E2}"/>
            </c:ext>
          </c:extLst>
        </c:ser>
        <c:ser>
          <c:idx val="7"/>
          <c:order val="7"/>
          <c:tx>
            <c:strRef>
              <c:f>'Short-sea (HFO)'!$A$81</c:f>
              <c:strCache>
                <c:ptCount val="1"/>
                <c:pt idx="0">
                  <c:v>Fuel Cost</c:v>
                </c:pt>
              </c:strCache>
            </c:strRef>
          </c:tx>
          <c:spPr>
            <a:solidFill>
              <a:schemeClr val="accent2">
                <a:lumMod val="60000"/>
              </a:schemeClr>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(HFO)'!$B$81,'Short-sea (HFO)'!$N$81,'Short-sea (HFO)'!$AC$81)</c:f>
              <c:numCache>
                <c:formatCode>0.00</c:formatCode>
                <c:ptCount val="3"/>
                <c:pt idx="0">
                  <c:v>2.1494771182553069E-3</c:v>
                </c:pt>
                <c:pt idx="1">
                  <c:v>2.1267922284124146E-3</c:v>
                </c:pt>
                <c:pt idx="2">
                  <c:v>1.9961810868829068E-3</c:v>
                </c:pt>
              </c:numCache>
            </c:numRef>
          </c:val>
          <c:extLst>
            <c:ext xmlns:c16="http://schemas.microsoft.com/office/drawing/2014/chart" uri="{C3380CC4-5D6E-409C-BE32-E72D297353CC}">
              <c16:uniqueId val="{00000007-A9F7-4A28-B620-F3262053A6E2}"/>
            </c:ext>
          </c:extLst>
        </c:ser>
        <c:ser>
          <c:idx val="8"/>
          <c:order val="8"/>
          <c:tx>
            <c:strRef>
              <c:f>'Short-sea (HFO)'!$A$82</c:f>
              <c:strCache>
                <c:ptCount val="1"/>
                <c:pt idx="0">
                  <c:v>Market failure (av. utilization)</c:v>
                </c:pt>
              </c:strCache>
            </c:strRef>
          </c:tx>
          <c:spPr>
            <a:solidFill>
              <a:schemeClr val="accent3">
                <a:lumMod val="60000"/>
              </a:schemeClr>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(HFO)'!$B$82,'Short-sea (HFO)'!$N$82,'Short-sea (HFO)'!$AC$82)</c:f>
              <c:numCache>
                <c:formatCode>0.00</c:formatCode>
                <c:ptCount val="3"/>
                <c:pt idx="0">
                  <c:v>3.1413023056331849E-3</c:v>
                </c:pt>
                <c:pt idx="1">
                  <c:v>3.4294491459715424E-3</c:v>
                </c:pt>
                <c:pt idx="2">
                  <c:v>5.0884912663151215E-3</c:v>
                </c:pt>
              </c:numCache>
            </c:numRef>
          </c:val>
          <c:extLst>
            <c:ext xmlns:c16="http://schemas.microsoft.com/office/drawing/2014/chart" uri="{C3380CC4-5D6E-409C-BE32-E72D297353CC}">
              <c16:uniqueId val="{00000008-A9F7-4A28-B620-F3262053A6E2}"/>
            </c:ext>
          </c:extLst>
        </c:ser>
        <c:ser>
          <c:idx val="9"/>
          <c:order val="9"/>
          <c:tx>
            <c:strRef>
              <c:f>'Short-sea (HFO)'!$A$83</c:f>
              <c:strCache>
                <c:ptCount val="1"/>
                <c:pt idx="0">
                  <c:v>Payload loss (fuel)</c:v>
                </c:pt>
              </c:strCache>
            </c:strRef>
          </c:tx>
          <c:spPr>
            <a:solidFill>
              <a:schemeClr val="accent4">
                <a:lumMod val="60000"/>
              </a:schemeClr>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(HFO)'!$B$83,'Short-sea (HFO)'!$N$83,'Short-sea (HFO)'!$AC$83)</c:f>
              <c:numCache>
                <c:formatCode>0.00</c:formatCode>
                <c:ptCount val="3"/>
                <c:pt idx="0">
                  <c:v>0</c:v>
                </c:pt>
                <c:pt idx="1">
                  <c:v>0</c:v>
                </c:pt>
                <c:pt idx="2">
                  <c:v>0</c:v>
                </c:pt>
              </c:numCache>
            </c:numRef>
          </c:val>
          <c:extLst>
            <c:ext xmlns:c16="http://schemas.microsoft.com/office/drawing/2014/chart" uri="{C3380CC4-5D6E-409C-BE32-E72D297353CC}">
              <c16:uniqueId val="{00000009-A9F7-4A28-B620-F3262053A6E2}"/>
            </c:ext>
          </c:extLst>
        </c:ser>
        <c:ser>
          <c:idx val="10"/>
          <c:order val="10"/>
          <c:tx>
            <c:strRef>
              <c:f>'Short-sea (HFO)'!$A$84</c:f>
              <c:strCache>
                <c:ptCount val="1"/>
                <c:pt idx="0">
                  <c:v>Emission Cost</c:v>
                </c:pt>
              </c:strCache>
            </c:strRef>
          </c:tx>
          <c:spPr>
            <a:solidFill>
              <a:schemeClr val="accent5">
                <a:lumMod val="60000"/>
              </a:schemeClr>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(HFO)'!$B$84,'Short-sea (HFO)'!$N$84,'Short-sea (HFO)'!$AC$84)</c:f>
              <c:numCache>
                <c:formatCode>0.000</c:formatCode>
                <c:ptCount val="3"/>
                <c:pt idx="0">
                  <c:v>1.9330162494961441E-3</c:v>
                </c:pt>
                <c:pt idx="1">
                  <c:v>2.5604979100940593E-3</c:v>
                </c:pt>
                <c:pt idx="2">
                  <c:v>6.1733034624737292E-3</c:v>
                </c:pt>
              </c:numCache>
            </c:numRef>
          </c:val>
          <c:extLst>
            <c:ext xmlns:c16="http://schemas.microsoft.com/office/drawing/2014/chart" uri="{C3380CC4-5D6E-409C-BE32-E72D297353CC}">
              <c16:uniqueId val="{0000000A-A9F7-4A28-B620-F3262053A6E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(HFO)'!$A$11</c:f>
              <c:strCache>
                <c:ptCount val="1"/>
                <c:pt idx="0">
                  <c:v>Capex vehicle</c:v>
                </c:pt>
              </c:strCache>
            </c:strRef>
          </c:tx>
          <c:spPr>
            <a:ln w="28575" cap="rnd">
              <a:solidFill>
                <a:schemeClr val="accent1"/>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21EC-4564-B839-3EFB1AF219FD}"/>
            </c:ext>
          </c:extLst>
        </c:ser>
        <c:ser>
          <c:idx val="13"/>
          <c:order val="1"/>
          <c:tx>
            <c:strRef>
              <c:f>'Short-sea (HFO)'!$A$12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(HFO)'!$Q$12:$AR$12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21EC-4564-B839-3EFB1AF219FD}"/>
            </c:ext>
          </c:extLst>
        </c:ser>
        <c:ser>
          <c:idx val="1"/>
          <c:order val="2"/>
          <c:tx>
            <c:strRef>
              <c:f>'Short-sea (HFO)'!$A$13</c:f>
              <c:strCache>
                <c:ptCount val="1"/>
                <c:pt idx="0">
                  <c:v>Capex costumization</c:v>
                </c:pt>
              </c:strCache>
            </c:strRef>
          </c:tx>
          <c:spPr>
            <a:ln w="28575" cap="rnd">
              <a:solidFill>
                <a:schemeClr val="accent2"/>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21EC-4564-B839-3EFB1AF219FD}"/>
            </c:ext>
          </c:extLst>
        </c:ser>
        <c:ser>
          <c:idx val="14"/>
          <c:order val="3"/>
          <c:tx>
            <c:strRef>
              <c:f>'Short-sea (HFO)'!$A$14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(HFO)'!$Q$14:$AR$14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21EC-4564-B839-3EFB1AF219FD}"/>
            </c:ext>
          </c:extLst>
        </c:ser>
        <c:ser>
          <c:idx val="2"/>
          <c:order val="4"/>
          <c:tx>
            <c:strRef>
              <c:f>'Short-sea (HFO)'!$A$15</c:f>
              <c:strCache>
                <c:ptCount val="1"/>
                <c:pt idx="0">
                  <c:v>WACC</c:v>
                </c:pt>
              </c:strCache>
            </c:strRef>
          </c:tx>
          <c:spPr>
            <a:ln w="28575" cap="rnd">
              <a:solidFill>
                <a:schemeClr val="accent3"/>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21EC-4564-B839-3EFB1AF219FD}"/>
            </c:ext>
          </c:extLst>
        </c:ser>
        <c:ser>
          <c:idx val="3"/>
          <c:order val="5"/>
          <c:tx>
            <c:strRef>
              <c:f>'Short-sea (HFO)'!$A$16</c:f>
              <c:strCache>
                <c:ptCount val="1"/>
                <c:pt idx="0">
                  <c:v>Opex fix (admin, crew, insurance)</c:v>
                </c:pt>
              </c:strCache>
            </c:strRef>
          </c:tx>
          <c:spPr>
            <a:ln w="28575" cap="rnd">
              <a:solidFill>
                <a:schemeClr val="accent4"/>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21EC-4564-B839-3EFB1AF219FD}"/>
            </c:ext>
          </c:extLst>
        </c:ser>
        <c:ser>
          <c:idx val="4"/>
          <c:order val="6"/>
          <c:tx>
            <c:strRef>
              <c:f>'Short-sea (HFO)'!$A$18</c:f>
              <c:strCache>
                <c:ptCount val="1"/>
                <c:pt idx="0">
                  <c:v>Opex var (mode-fees)</c:v>
                </c:pt>
              </c:strCache>
            </c:strRef>
          </c:tx>
          <c:spPr>
            <a:ln w="28575" cap="rnd">
              <a:solidFill>
                <a:schemeClr val="accent5"/>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21EC-4564-B839-3EFB1AF219FD}"/>
            </c:ext>
          </c:extLst>
        </c:ser>
        <c:ser>
          <c:idx val="5"/>
          <c:order val="7"/>
          <c:tx>
            <c:strRef>
              <c:f>'Short-sea (HFO)'!$A$19</c:f>
              <c:strCache>
                <c:ptCount val="1"/>
                <c:pt idx="0">
                  <c:v>Fuel Economy</c:v>
                </c:pt>
              </c:strCache>
            </c:strRef>
          </c:tx>
          <c:spPr>
            <a:ln w="28575" cap="rnd">
              <a:solidFill>
                <a:schemeClr val="accent6"/>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21EC-4564-B839-3EFB1AF219FD}"/>
            </c:ext>
          </c:extLst>
        </c:ser>
        <c:ser>
          <c:idx val="6"/>
          <c:order val="8"/>
          <c:tx>
            <c:strRef>
              <c:f>'Short-sea (HFO)'!$A$20</c:f>
              <c:strCache>
                <c:ptCount val="1"/>
                <c:pt idx="0">
                  <c:v>Fuel Cost</c:v>
                </c:pt>
              </c:strCache>
            </c:strRef>
          </c:tx>
          <c:spPr>
            <a:ln w="28575" cap="rnd">
              <a:solidFill>
                <a:schemeClr val="accent1">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21EC-4564-B839-3EFB1AF219FD}"/>
            </c:ext>
          </c:extLst>
        </c:ser>
        <c:ser>
          <c:idx val="7"/>
          <c:order val="9"/>
          <c:tx>
            <c:strRef>
              <c:f>'Short-sea (HFO)'!$A$22</c:f>
              <c:strCache>
                <c:ptCount val="1"/>
                <c:pt idx="0">
                  <c:v>Lifetime vehicle</c:v>
                </c:pt>
              </c:strCache>
            </c:strRef>
          </c:tx>
          <c:spPr>
            <a:ln w="28575" cap="rnd">
              <a:solidFill>
                <a:schemeClr val="accent2">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21EC-4564-B839-3EFB1AF219FD}"/>
            </c:ext>
          </c:extLst>
        </c:ser>
        <c:ser>
          <c:idx val="8"/>
          <c:order val="10"/>
          <c:tx>
            <c:strRef>
              <c:f>'Short-sea (HFO)'!$A$23</c:f>
              <c:strCache>
                <c:ptCount val="1"/>
                <c:pt idx="0">
                  <c:v>Lifetime costumization</c:v>
                </c:pt>
              </c:strCache>
            </c:strRef>
          </c:tx>
          <c:spPr>
            <a:ln w="28575" cap="rnd">
              <a:solidFill>
                <a:schemeClr val="accent3">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21EC-4564-B839-3EFB1AF219FD}"/>
            </c:ext>
          </c:extLst>
        </c:ser>
        <c:ser>
          <c:idx val="9"/>
          <c:order val="11"/>
          <c:tx>
            <c:strRef>
              <c:f>'Short-sea (HFO)'!$A$24</c:f>
              <c:strCache>
                <c:ptCount val="1"/>
                <c:pt idx="0">
                  <c:v>Tonnage .</c:v>
                </c:pt>
              </c:strCache>
            </c:strRef>
          </c:tx>
          <c:spPr>
            <a:ln w="28575" cap="rnd">
              <a:solidFill>
                <a:schemeClr val="accent4">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21EC-4564-B839-3EFB1AF219FD}"/>
            </c:ext>
          </c:extLst>
        </c:ser>
        <c:ser>
          <c:idx val="10"/>
          <c:order val="12"/>
          <c:tx>
            <c:strRef>
              <c:f>'Short-sea (HFO)'!$A$25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21EC-4564-B839-3EFB1AF219FD}"/>
            </c:ext>
          </c:extLst>
        </c:ser>
        <c:ser>
          <c:idx val="11"/>
          <c:order val="13"/>
          <c:tx>
            <c:strRef>
              <c:f>'Short-sea (HFO)'!$A$27</c:f>
              <c:strCache>
                <c:ptCount val="1"/>
                <c:pt idx="0">
                  <c:v>Annual Mileage</c:v>
                </c:pt>
              </c:strCache>
            </c:strRef>
          </c:tx>
          <c:spPr>
            <a:ln w="28575" cap="rnd">
              <a:solidFill>
                <a:schemeClr val="accent6">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21EC-4564-B839-3EFB1AF219FD}"/>
            </c:ext>
          </c:extLst>
        </c:ser>
        <c:ser>
          <c:idx val="12"/>
          <c:order val="14"/>
          <c:tx>
            <c:strRef>
              <c:f>'Short-sea (HFO)'!$A$17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(HFO)'!$Q$17:$AR$17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21EC-4564-B839-3EFB1AF219FD}"/>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(HFO)'!$A$74</c:f>
              <c:strCache>
                <c:ptCount val="1"/>
                <c:pt idx="0">
                  <c:v>Capex vehicle</c:v>
                </c:pt>
              </c:strCache>
            </c:strRef>
          </c:tx>
          <c:spPr>
            <a:solidFill>
              <a:schemeClr val="accent1"/>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(HFO)'!$B$74,'Short-sea (HFO)'!$N$74,'Short-sea (HFO)'!$AC$74)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6CB8-4A60-B005-7CB105BD7A65}"/>
            </c:ext>
          </c:extLst>
        </c:ser>
        <c:ser>
          <c:idx val="1"/>
          <c:order val="1"/>
          <c:tx>
            <c:strRef>
              <c:f>'Short-sea (HFO)'!$A$75</c:f>
              <c:strCache>
                <c:ptCount val="1"/>
                <c:pt idx="0">
                  <c:v>Residual value (vehicle)</c:v>
                </c:pt>
              </c:strCache>
            </c:strRef>
          </c:tx>
          <c:spPr>
            <a:solidFill>
              <a:schemeClr val="accent2"/>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(HFO)'!$B$75,'Short-sea (HFO)'!$N$75,'Short-sea (HFO)'!$AC$75)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6CB8-4A60-B005-7CB105BD7A65}"/>
            </c:ext>
          </c:extLst>
        </c:ser>
        <c:ser>
          <c:idx val="2"/>
          <c:order val="2"/>
          <c:tx>
            <c:strRef>
              <c:f>'Short-sea (HFO)'!$A$76</c:f>
              <c:strCache>
                <c:ptCount val="1"/>
                <c:pt idx="0">
                  <c:v>Capex costumization</c:v>
                </c:pt>
              </c:strCache>
            </c:strRef>
          </c:tx>
          <c:spPr>
            <a:solidFill>
              <a:schemeClr val="accent3"/>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(HFO)'!$B$76,'Short-sea (HFO)'!$N$76,'Short-sea (HFO)'!$AC$76)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6CB8-4A60-B005-7CB105BD7A65}"/>
            </c:ext>
          </c:extLst>
        </c:ser>
        <c:ser>
          <c:idx val="3"/>
          <c:order val="3"/>
          <c:tx>
            <c:strRef>
              <c:f>'Short-sea (HFO)'!$A$77</c:f>
              <c:strCache>
                <c:ptCount val="1"/>
                <c:pt idx="0">
                  <c:v>Residual value (costumization)</c:v>
                </c:pt>
              </c:strCache>
            </c:strRef>
          </c:tx>
          <c:spPr>
            <a:solidFill>
              <a:schemeClr val="accent4"/>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(HFO)'!$B$77,'Short-sea (HFO)'!$N$77,'Short-sea (HFO)'!$AC$77)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6CB8-4A60-B005-7CB105BD7A65}"/>
            </c:ext>
          </c:extLst>
        </c:ser>
        <c:ser>
          <c:idx val="4"/>
          <c:order val="4"/>
          <c:tx>
            <c:strRef>
              <c:f>'Short-sea (HFO)'!$A$78</c:f>
              <c:strCache>
                <c:ptCount val="1"/>
                <c:pt idx="0">
                  <c:v>Opex fix (admin, crew, insurance)</c:v>
                </c:pt>
              </c:strCache>
            </c:strRef>
          </c:tx>
          <c:spPr>
            <a:solidFill>
              <a:schemeClr val="accent5"/>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(HFO)'!$B$78,'Short-sea (HFO)'!$N$78,'Short-sea (HFO)'!$AC$78)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6CB8-4A60-B005-7CB105BD7A65}"/>
            </c:ext>
          </c:extLst>
        </c:ser>
        <c:ser>
          <c:idx val="5"/>
          <c:order val="5"/>
          <c:tx>
            <c:strRef>
              <c:f>'Short-sea (HFO)'!$A$79</c:f>
              <c:strCache>
                <c:ptCount val="1"/>
                <c:pt idx="0">
                  <c:v>Opex maintenance &amp; repair</c:v>
                </c:pt>
              </c:strCache>
            </c:strRef>
          </c:tx>
          <c:spPr>
            <a:solidFill>
              <a:schemeClr val="accent6"/>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(HFO)'!$B$79,'Short-sea (HFO)'!$N$79,'Short-sea (HFO)'!$AC$79)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6CB8-4A60-B005-7CB105BD7A65}"/>
            </c:ext>
          </c:extLst>
        </c:ser>
        <c:ser>
          <c:idx val="6"/>
          <c:order val="6"/>
          <c:tx>
            <c:strRef>
              <c:f>'Short-sea (HFO)'!$A$80</c:f>
              <c:strCache>
                <c:ptCount val="1"/>
                <c:pt idx="0">
                  <c:v>Opex var (mode-fees)</c:v>
                </c:pt>
              </c:strCache>
            </c:strRef>
          </c:tx>
          <c:spPr>
            <a:solidFill>
              <a:schemeClr val="accent1">
                <a:lumMod val="60000"/>
              </a:schemeClr>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(HFO)'!$B$80,'Short-sea (HFO)'!$N$80,'Short-sea (HFO)'!$AC$80)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6CB8-4A60-B005-7CB105BD7A65}"/>
            </c:ext>
          </c:extLst>
        </c:ser>
        <c:ser>
          <c:idx val="7"/>
          <c:order val="7"/>
          <c:tx>
            <c:strRef>
              <c:f>'Short-sea (HFO)'!$A$81</c:f>
              <c:strCache>
                <c:ptCount val="1"/>
                <c:pt idx="0">
                  <c:v>Fuel Cost</c:v>
                </c:pt>
              </c:strCache>
            </c:strRef>
          </c:tx>
          <c:spPr>
            <a:solidFill>
              <a:schemeClr val="accent2">
                <a:lumMod val="60000"/>
              </a:schemeClr>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(HFO)'!$B$81,'Short-sea (HFO)'!$N$81,'Short-sea (HFO)'!$AC$81)</c:f>
              <c:numCache>
                <c:formatCode>0.00</c:formatCode>
                <c:ptCount val="3"/>
                <c:pt idx="0">
                  <c:v>2.1494771182553069E-3</c:v>
                </c:pt>
                <c:pt idx="1">
                  <c:v>2.1267922284124146E-3</c:v>
                </c:pt>
                <c:pt idx="2">
                  <c:v>1.9961810868829068E-3</c:v>
                </c:pt>
              </c:numCache>
            </c:numRef>
          </c:val>
          <c:extLst>
            <c:ext xmlns:c16="http://schemas.microsoft.com/office/drawing/2014/chart" uri="{C3380CC4-5D6E-409C-BE32-E72D297353CC}">
              <c16:uniqueId val="{00000007-6CB8-4A60-B005-7CB105BD7A65}"/>
            </c:ext>
          </c:extLst>
        </c:ser>
        <c:ser>
          <c:idx val="8"/>
          <c:order val="8"/>
          <c:tx>
            <c:strRef>
              <c:f>'Short-sea (HFO)'!$A$82</c:f>
              <c:strCache>
                <c:ptCount val="1"/>
                <c:pt idx="0">
                  <c:v>Market failure (av. utilization)</c:v>
                </c:pt>
              </c:strCache>
            </c:strRef>
          </c:tx>
          <c:spPr>
            <a:solidFill>
              <a:schemeClr val="accent3">
                <a:lumMod val="60000"/>
              </a:schemeClr>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(HFO)'!$B$82,'Short-sea (HFO)'!$N$82,'Short-sea (HFO)'!$AC$82)</c:f>
              <c:numCache>
                <c:formatCode>0.00</c:formatCode>
                <c:ptCount val="3"/>
                <c:pt idx="0">
                  <c:v>3.1413023056331849E-3</c:v>
                </c:pt>
                <c:pt idx="1">
                  <c:v>3.4294491459715424E-3</c:v>
                </c:pt>
                <c:pt idx="2">
                  <c:v>5.0884912663151215E-3</c:v>
                </c:pt>
              </c:numCache>
            </c:numRef>
          </c:val>
          <c:extLst>
            <c:ext xmlns:c16="http://schemas.microsoft.com/office/drawing/2014/chart" uri="{C3380CC4-5D6E-409C-BE32-E72D297353CC}">
              <c16:uniqueId val="{00000008-6CB8-4A60-B005-7CB105BD7A65}"/>
            </c:ext>
          </c:extLst>
        </c:ser>
        <c:ser>
          <c:idx val="9"/>
          <c:order val="9"/>
          <c:tx>
            <c:strRef>
              <c:f>'Short-sea (HFO)'!$A$83</c:f>
              <c:strCache>
                <c:ptCount val="1"/>
                <c:pt idx="0">
                  <c:v>Payload loss (fuel)</c:v>
                </c:pt>
              </c:strCache>
            </c:strRef>
          </c:tx>
          <c:spPr>
            <a:solidFill>
              <a:schemeClr val="accent4">
                <a:lumMod val="60000"/>
              </a:schemeClr>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(HFO)'!$B$83,'Short-sea (HFO)'!$N$83,'Short-sea (HFO)'!$AC$83)</c:f>
              <c:numCache>
                <c:formatCode>0.00</c:formatCode>
                <c:ptCount val="3"/>
                <c:pt idx="0">
                  <c:v>0</c:v>
                </c:pt>
                <c:pt idx="1">
                  <c:v>0</c:v>
                </c:pt>
                <c:pt idx="2">
                  <c:v>0</c:v>
                </c:pt>
              </c:numCache>
            </c:numRef>
          </c:val>
          <c:extLst>
            <c:ext xmlns:c16="http://schemas.microsoft.com/office/drawing/2014/chart" uri="{C3380CC4-5D6E-409C-BE32-E72D297353CC}">
              <c16:uniqueId val="{00000009-6CB8-4A60-B005-7CB105BD7A65}"/>
            </c:ext>
          </c:extLst>
        </c:ser>
        <c:ser>
          <c:idx val="10"/>
          <c:order val="10"/>
          <c:tx>
            <c:strRef>
              <c:f>'Short-sea (HFO)'!$A$190</c:f>
              <c:strCache>
                <c:ptCount val="1"/>
                <c:pt idx="0">
                  <c:v>Emission Cost</c:v>
                </c:pt>
              </c:strCache>
            </c:strRef>
          </c:tx>
          <c:spPr>
            <a:solidFill>
              <a:schemeClr val="accent5">
                <a:lumMod val="60000"/>
              </a:schemeClr>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(HFO)'!$B$190,'Short-sea (HFO)'!$N$190,'Short-sea (HFO)'!$AC$190)</c:f>
              <c:numCache>
                <c:formatCode>0.000</c:formatCode>
                <c:ptCount val="3"/>
                <c:pt idx="0" formatCode="0.0000">
                  <c:v>1.9330162494961441E-3</c:v>
                </c:pt>
                <c:pt idx="1">
                  <c:v>2.5604979100940593E-3</c:v>
                </c:pt>
                <c:pt idx="2">
                  <c:v>6.1733034624737292E-3</c:v>
                </c:pt>
              </c:numCache>
            </c:numRef>
          </c:val>
          <c:extLst>
            <c:ext xmlns:c16="http://schemas.microsoft.com/office/drawing/2014/chart" uri="{C3380CC4-5D6E-409C-BE32-E72D297353CC}">
              <c16:uniqueId val="{0000000A-6CB8-4A60-B005-7CB105BD7A6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(HFO)'!$A$11</c:f>
              <c:strCache>
                <c:ptCount val="1"/>
                <c:pt idx="0">
                  <c:v>Capex vehicle</c:v>
                </c:pt>
              </c:strCache>
            </c:strRef>
          </c:tx>
          <c:spPr>
            <a:ln w="28575" cap="rnd">
              <a:solidFill>
                <a:schemeClr val="accent1"/>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31AF-434F-9482-0D5ADD06AC80}"/>
            </c:ext>
          </c:extLst>
        </c:ser>
        <c:ser>
          <c:idx val="13"/>
          <c:order val="1"/>
          <c:tx>
            <c:strRef>
              <c:f>'Short-sea (HFO)'!$A$12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(HFO)'!$Q$12:$AR$12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31AF-434F-9482-0D5ADD06AC80}"/>
            </c:ext>
          </c:extLst>
        </c:ser>
        <c:ser>
          <c:idx val="1"/>
          <c:order val="2"/>
          <c:tx>
            <c:strRef>
              <c:f>'Short-sea (HFO)'!$A$13</c:f>
              <c:strCache>
                <c:ptCount val="1"/>
                <c:pt idx="0">
                  <c:v>Capex costumization</c:v>
                </c:pt>
              </c:strCache>
            </c:strRef>
          </c:tx>
          <c:spPr>
            <a:ln w="28575" cap="rnd">
              <a:solidFill>
                <a:schemeClr val="accent2"/>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31AF-434F-9482-0D5ADD06AC80}"/>
            </c:ext>
          </c:extLst>
        </c:ser>
        <c:ser>
          <c:idx val="14"/>
          <c:order val="3"/>
          <c:tx>
            <c:strRef>
              <c:f>'Short-sea (HFO)'!$A$14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(HFO)'!$Q$14:$AR$14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31AF-434F-9482-0D5ADD06AC80}"/>
            </c:ext>
          </c:extLst>
        </c:ser>
        <c:ser>
          <c:idx val="2"/>
          <c:order val="4"/>
          <c:tx>
            <c:strRef>
              <c:f>'Short-sea (HFO)'!$A$15</c:f>
              <c:strCache>
                <c:ptCount val="1"/>
                <c:pt idx="0">
                  <c:v>WACC</c:v>
                </c:pt>
              </c:strCache>
            </c:strRef>
          </c:tx>
          <c:spPr>
            <a:ln w="28575" cap="rnd">
              <a:solidFill>
                <a:schemeClr val="accent3"/>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31AF-434F-9482-0D5ADD06AC80}"/>
            </c:ext>
          </c:extLst>
        </c:ser>
        <c:ser>
          <c:idx val="3"/>
          <c:order val="5"/>
          <c:tx>
            <c:strRef>
              <c:f>'Short-sea (HFO)'!$A$16</c:f>
              <c:strCache>
                <c:ptCount val="1"/>
                <c:pt idx="0">
                  <c:v>Opex fix (admin, crew, insurance)</c:v>
                </c:pt>
              </c:strCache>
            </c:strRef>
          </c:tx>
          <c:spPr>
            <a:ln w="28575" cap="rnd">
              <a:solidFill>
                <a:schemeClr val="accent4"/>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31AF-434F-9482-0D5ADD06AC80}"/>
            </c:ext>
          </c:extLst>
        </c:ser>
        <c:ser>
          <c:idx val="4"/>
          <c:order val="6"/>
          <c:tx>
            <c:strRef>
              <c:f>'Short-sea (HFO)'!$A$18</c:f>
              <c:strCache>
                <c:ptCount val="1"/>
                <c:pt idx="0">
                  <c:v>Opex var (mode-fees)</c:v>
                </c:pt>
              </c:strCache>
            </c:strRef>
          </c:tx>
          <c:spPr>
            <a:ln w="28575" cap="rnd">
              <a:solidFill>
                <a:schemeClr val="accent5"/>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31AF-434F-9482-0D5ADD06AC80}"/>
            </c:ext>
          </c:extLst>
        </c:ser>
        <c:ser>
          <c:idx val="5"/>
          <c:order val="7"/>
          <c:tx>
            <c:strRef>
              <c:f>'Short-sea (HFO)'!$A$19</c:f>
              <c:strCache>
                <c:ptCount val="1"/>
                <c:pt idx="0">
                  <c:v>Fuel Economy</c:v>
                </c:pt>
              </c:strCache>
            </c:strRef>
          </c:tx>
          <c:spPr>
            <a:ln w="28575" cap="rnd">
              <a:solidFill>
                <a:schemeClr val="accent6"/>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31AF-434F-9482-0D5ADD06AC80}"/>
            </c:ext>
          </c:extLst>
        </c:ser>
        <c:ser>
          <c:idx val="6"/>
          <c:order val="8"/>
          <c:tx>
            <c:strRef>
              <c:f>'Short-sea (HFO)'!$A$20</c:f>
              <c:strCache>
                <c:ptCount val="1"/>
                <c:pt idx="0">
                  <c:v>Fuel Cost</c:v>
                </c:pt>
              </c:strCache>
            </c:strRef>
          </c:tx>
          <c:spPr>
            <a:ln w="28575" cap="rnd">
              <a:solidFill>
                <a:schemeClr val="accent1">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31AF-434F-9482-0D5ADD06AC80}"/>
            </c:ext>
          </c:extLst>
        </c:ser>
        <c:ser>
          <c:idx val="7"/>
          <c:order val="9"/>
          <c:tx>
            <c:strRef>
              <c:f>'Short-sea (HFO)'!$A$22</c:f>
              <c:strCache>
                <c:ptCount val="1"/>
                <c:pt idx="0">
                  <c:v>Lifetime vehicle</c:v>
                </c:pt>
              </c:strCache>
            </c:strRef>
          </c:tx>
          <c:spPr>
            <a:ln w="28575" cap="rnd">
              <a:solidFill>
                <a:schemeClr val="accent2">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31AF-434F-9482-0D5ADD06AC80}"/>
            </c:ext>
          </c:extLst>
        </c:ser>
        <c:ser>
          <c:idx val="8"/>
          <c:order val="10"/>
          <c:tx>
            <c:strRef>
              <c:f>'Short-sea (HFO)'!$A$23</c:f>
              <c:strCache>
                <c:ptCount val="1"/>
                <c:pt idx="0">
                  <c:v>Lifetime costumization</c:v>
                </c:pt>
              </c:strCache>
            </c:strRef>
          </c:tx>
          <c:spPr>
            <a:ln w="28575" cap="rnd">
              <a:solidFill>
                <a:schemeClr val="accent3">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31AF-434F-9482-0D5ADD06AC80}"/>
            </c:ext>
          </c:extLst>
        </c:ser>
        <c:ser>
          <c:idx val="9"/>
          <c:order val="11"/>
          <c:tx>
            <c:strRef>
              <c:f>'Short-sea (HFO)'!$A$24</c:f>
              <c:strCache>
                <c:ptCount val="1"/>
                <c:pt idx="0">
                  <c:v>Tonnage .</c:v>
                </c:pt>
              </c:strCache>
            </c:strRef>
          </c:tx>
          <c:spPr>
            <a:ln w="28575" cap="rnd">
              <a:solidFill>
                <a:schemeClr val="accent4">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31AF-434F-9482-0D5ADD06AC80}"/>
            </c:ext>
          </c:extLst>
        </c:ser>
        <c:ser>
          <c:idx val="10"/>
          <c:order val="12"/>
          <c:tx>
            <c:strRef>
              <c:f>'Short-sea (HFO)'!$A$25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31AF-434F-9482-0D5ADD06AC80}"/>
            </c:ext>
          </c:extLst>
        </c:ser>
        <c:ser>
          <c:idx val="11"/>
          <c:order val="13"/>
          <c:tx>
            <c:strRef>
              <c:f>'Short-sea (HFO)'!$A$27</c:f>
              <c:strCache>
                <c:ptCount val="1"/>
                <c:pt idx="0">
                  <c:v>Annual Mileage</c:v>
                </c:pt>
              </c:strCache>
            </c:strRef>
          </c:tx>
          <c:spPr>
            <a:ln w="28575" cap="rnd">
              <a:solidFill>
                <a:schemeClr val="accent6">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31AF-434F-9482-0D5ADD06AC80}"/>
            </c:ext>
          </c:extLst>
        </c:ser>
        <c:ser>
          <c:idx val="12"/>
          <c:order val="14"/>
          <c:tx>
            <c:strRef>
              <c:f>'Short-sea (HFO)'!$A$17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(HFO)'!$Q$17:$AR$17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31AF-434F-9482-0D5ADD06AC8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(HFO)'!$A$74</c:f>
              <c:strCache>
                <c:ptCount val="1"/>
                <c:pt idx="0">
                  <c:v>Capex vehicle</c:v>
                </c:pt>
              </c:strCache>
            </c:strRef>
          </c:tx>
          <c:spPr>
            <a:solidFill>
              <a:schemeClr val="accent1"/>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(HFO)'!$B$74,'Short-sea (HFO)'!$N$74,'Short-sea (HFO)'!$AC$74)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0109-4011-A603-DB225F32065D}"/>
            </c:ext>
          </c:extLst>
        </c:ser>
        <c:ser>
          <c:idx val="1"/>
          <c:order val="1"/>
          <c:tx>
            <c:strRef>
              <c:f>'Short-sea (HFO)'!$A$75</c:f>
              <c:strCache>
                <c:ptCount val="1"/>
                <c:pt idx="0">
                  <c:v>Residual value (vehicle)</c:v>
                </c:pt>
              </c:strCache>
            </c:strRef>
          </c:tx>
          <c:spPr>
            <a:solidFill>
              <a:schemeClr val="accent2"/>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(HFO)'!$B$75,'Short-sea (HFO)'!$N$75,'Short-sea (HFO)'!$AC$75)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0109-4011-A603-DB225F32065D}"/>
            </c:ext>
          </c:extLst>
        </c:ser>
        <c:ser>
          <c:idx val="2"/>
          <c:order val="2"/>
          <c:tx>
            <c:strRef>
              <c:f>'Short-sea (HFO)'!$A$76</c:f>
              <c:strCache>
                <c:ptCount val="1"/>
                <c:pt idx="0">
                  <c:v>Capex costumization</c:v>
                </c:pt>
              </c:strCache>
            </c:strRef>
          </c:tx>
          <c:spPr>
            <a:solidFill>
              <a:schemeClr val="accent3"/>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(HFO)'!$B$76,'Short-sea (HFO)'!$N$76,'Short-sea (HFO)'!$AC$76)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0109-4011-A603-DB225F32065D}"/>
            </c:ext>
          </c:extLst>
        </c:ser>
        <c:ser>
          <c:idx val="3"/>
          <c:order val="3"/>
          <c:tx>
            <c:strRef>
              <c:f>'Short-sea (HFO)'!$A$77</c:f>
              <c:strCache>
                <c:ptCount val="1"/>
                <c:pt idx="0">
                  <c:v>Residual value (costumization)</c:v>
                </c:pt>
              </c:strCache>
            </c:strRef>
          </c:tx>
          <c:spPr>
            <a:solidFill>
              <a:schemeClr val="accent4"/>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(HFO)'!$B$77,'Short-sea (HFO)'!$N$77,'Short-sea (HFO)'!$AC$77)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0109-4011-A603-DB225F32065D}"/>
            </c:ext>
          </c:extLst>
        </c:ser>
        <c:ser>
          <c:idx val="4"/>
          <c:order val="4"/>
          <c:tx>
            <c:strRef>
              <c:f>'Short-sea (HFO)'!$A$78</c:f>
              <c:strCache>
                <c:ptCount val="1"/>
                <c:pt idx="0">
                  <c:v>Opex fix (admin, crew, insurance)</c:v>
                </c:pt>
              </c:strCache>
            </c:strRef>
          </c:tx>
          <c:spPr>
            <a:solidFill>
              <a:schemeClr val="accent5"/>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(HFO)'!$B$78,'Short-sea (HFO)'!$N$78,'Short-sea (HFO)'!$AC$78)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0109-4011-A603-DB225F32065D}"/>
            </c:ext>
          </c:extLst>
        </c:ser>
        <c:ser>
          <c:idx val="5"/>
          <c:order val="5"/>
          <c:tx>
            <c:strRef>
              <c:f>'Short-sea (HFO)'!$A$79</c:f>
              <c:strCache>
                <c:ptCount val="1"/>
                <c:pt idx="0">
                  <c:v>Opex maintenance &amp; repair</c:v>
                </c:pt>
              </c:strCache>
            </c:strRef>
          </c:tx>
          <c:spPr>
            <a:solidFill>
              <a:schemeClr val="accent6"/>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(HFO)'!$B$79,'Short-sea (HFO)'!$N$79,'Short-sea (HFO)'!$AC$79)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0109-4011-A603-DB225F32065D}"/>
            </c:ext>
          </c:extLst>
        </c:ser>
        <c:ser>
          <c:idx val="6"/>
          <c:order val="6"/>
          <c:tx>
            <c:strRef>
              <c:f>'Short-sea (HFO)'!$A$80</c:f>
              <c:strCache>
                <c:ptCount val="1"/>
                <c:pt idx="0">
                  <c:v>Opex var (mode-fees)</c:v>
                </c:pt>
              </c:strCache>
            </c:strRef>
          </c:tx>
          <c:spPr>
            <a:solidFill>
              <a:schemeClr val="accent1">
                <a:lumMod val="60000"/>
              </a:schemeClr>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(HFO)'!$B$80,'Short-sea (HFO)'!$N$80,'Short-sea (HFO)'!$AC$80)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0109-4011-A603-DB225F32065D}"/>
            </c:ext>
          </c:extLst>
        </c:ser>
        <c:ser>
          <c:idx val="7"/>
          <c:order val="7"/>
          <c:tx>
            <c:strRef>
              <c:f>'Short-sea (HFO)'!$A$81</c:f>
              <c:strCache>
                <c:ptCount val="1"/>
                <c:pt idx="0">
                  <c:v>Fuel Cost</c:v>
                </c:pt>
              </c:strCache>
            </c:strRef>
          </c:tx>
          <c:spPr>
            <a:solidFill>
              <a:schemeClr val="accent2">
                <a:lumMod val="60000"/>
              </a:schemeClr>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(HFO)'!$B$81,'Short-sea (HFO)'!$N$81,'Short-sea (HFO)'!$AC$81)</c:f>
              <c:numCache>
                <c:formatCode>0.00</c:formatCode>
                <c:ptCount val="3"/>
                <c:pt idx="0">
                  <c:v>2.1494771182553069E-3</c:v>
                </c:pt>
                <c:pt idx="1">
                  <c:v>2.1267922284124146E-3</c:v>
                </c:pt>
                <c:pt idx="2">
                  <c:v>1.9961810868829068E-3</c:v>
                </c:pt>
              </c:numCache>
            </c:numRef>
          </c:val>
          <c:extLst>
            <c:ext xmlns:c16="http://schemas.microsoft.com/office/drawing/2014/chart" uri="{C3380CC4-5D6E-409C-BE32-E72D297353CC}">
              <c16:uniqueId val="{00000007-0109-4011-A603-DB225F32065D}"/>
            </c:ext>
          </c:extLst>
        </c:ser>
        <c:ser>
          <c:idx val="8"/>
          <c:order val="8"/>
          <c:tx>
            <c:strRef>
              <c:f>'Short-sea (HFO)'!$A$82</c:f>
              <c:strCache>
                <c:ptCount val="1"/>
                <c:pt idx="0">
                  <c:v>Market failure (av. utilization)</c:v>
                </c:pt>
              </c:strCache>
            </c:strRef>
          </c:tx>
          <c:spPr>
            <a:solidFill>
              <a:schemeClr val="accent3">
                <a:lumMod val="60000"/>
              </a:schemeClr>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(HFO)'!$B$82,'Short-sea (HFO)'!$N$82,'Short-sea (HFO)'!$AC$82)</c:f>
              <c:numCache>
                <c:formatCode>0.00</c:formatCode>
                <c:ptCount val="3"/>
                <c:pt idx="0">
                  <c:v>3.1413023056331849E-3</c:v>
                </c:pt>
                <c:pt idx="1">
                  <c:v>3.4294491459715424E-3</c:v>
                </c:pt>
                <c:pt idx="2">
                  <c:v>5.0884912663151215E-3</c:v>
                </c:pt>
              </c:numCache>
            </c:numRef>
          </c:val>
          <c:extLst>
            <c:ext xmlns:c16="http://schemas.microsoft.com/office/drawing/2014/chart" uri="{C3380CC4-5D6E-409C-BE32-E72D297353CC}">
              <c16:uniqueId val="{00000008-0109-4011-A603-DB225F32065D}"/>
            </c:ext>
          </c:extLst>
        </c:ser>
        <c:ser>
          <c:idx val="9"/>
          <c:order val="9"/>
          <c:tx>
            <c:strRef>
              <c:f>'Short-sea (HFO)'!$A$83</c:f>
              <c:strCache>
                <c:ptCount val="1"/>
                <c:pt idx="0">
                  <c:v>Payload loss (fuel)</c:v>
                </c:pt>
              </c:strCache>
            </c:strRef>
          </c:tx>
          <c:spPr>
            <a:solidFill>
              <a:schemeClr val="accent4">
                <a:lumMod val="60000"/>
              </a:schemeClr>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(HFO)'!$B$83,'Short-sea (HFO)'!$N$83,'Short-sea (HFO)'!$AC$83)</c:f>
              <c:numCache>
                <c:formatCode>0.00</c:formatCode>
                <c:ptCount val="3"/>
                <c:pt idx="0">
                  <c:v>0</c:v>
                </c:pt>
                <c:pt idx="1">
                  <c:v>0</c:v>
                </c:pt>
                <c:pt idx="2">
                  <c:v>0</c:v>
                </c:pt>
              </c:numCache>
            </c:numRef>
          </c:val>
          <c:extLst>
            <c:ext xmlns:c16="http://schemas.microsoft.com/office/drawing/2014/chart" uri="{C3380CC4-5D6E-409C-BE32-E72D297353CC}">
              <c16:uniqueId val="{00000009-0109-4011-A603-DB225F32065D}"/>
            </c:ext>
          </c:extLst>
        </c:ser>
        <c:ser>
          <c:idx val="10"/>
          <c:order val="10"/>
          <c:tx>
            <c:strRef>
              <c:f>'Short-sea (HFO)'!$A$298</c:f>
              <c:strCache>
                <c:ptCount val="1"/>
                <c:pt idx="0">
                  <c:v>Emission Cost</c:v>
                </c:pt>
              </c:strCache>
            </c:strRef>
          </c:tx>
          <c:spPr>
            <a:solidFill>
              <a:schemeClr val="accent5">
                <a:lumMod val="60000"/>
              </a:schemeClr>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(HFO)'!$B$298,'Short-sea (HFO)'!$N$298,'Short-sea (HFO)'!$AC$298)</c:f>
              <c:numCache>
                <c:formatCode>0.000</c:formatCode>
                <c:ptCount val="3"/>
                <c:pt idx="0">
                  <c:v>1.9330162494961441E-3</c:v>
                </c:pt>
                <c:pt idx="1">
                  <c:v>2.5604979100940593E-3</c:v>
                </c:pt>
                <c:pt idx="2">
                  <c:v>6.1733034624737292E-3</c:v>
                </c:pt>
              </c:numCache>
            </c:numRef>
          </c:val>
          <c:extLst>
            <c:ext xmlns:c16="http://schemas.microsoft.com/office/drawing/2014/chart" uri="{C3380CC4-5D6E-409C-BE32-E72D297353CC}">
              <c16:uniqueId val="{0000000A-0109-4011-A603-DB225F32065D}"/>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(HFO)'!$A$11</c:f>
              <c:strCache>
                <c:ptCount val="1"/>
                <c:pt idx="0">
                  <c:v>Capex vehicle</c:v>
                </c:pt>
              </c:strCache>
            </c:strRef>
          </c:tx>
          <c:spPr>
            <a:ln w="28575" cap="rnd">
              <a:solidFill>
                <a:schemeClr val="accent1"/>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8B3A-4AF2-8BE2-01944DD08679}"/>
            </c:ext>
          </c:extLst>
        </c:ser>
        <c:ser>
          <c:idx val="13"/>
          <c:order val="1"/>
          <c:tx>
            <c:strRef>
              <c:f>'Short-sea (HFO)'!$A$12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(HFO)'!$Q$12:$AR$12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8B3A-4AF2-8BE2-01944DD08679}"/>
            </c:ext>
          </c:extLst>
        </c:ser>
        <c:ser>
          <c:idx val="1"/>
          <c:order val="2"/>
          <c:tx>
            <c:strRef>
              <c:f>'Short-sea (HFO)'!$A$13</c:f>
              <c:strCache>
                <c:ptCount val="1"/>
                <c:pt idx="0">
                  <c:v>Capex costumization</c:v>
                </c:pt>
              </c:strCache>
            </c:strRef>
          </c:tx>
          <c:spPr>
            <a:ln w="28575" cap="rnd">
              <a:solidFill>
                <a:schemeClr val="accent2"/>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8B3A-4AF2-8BE2-01944DD08679}"/>
            </c:ext>
          </c:extLst>
        </c:ser>
        <c:ser>
          <c:idx val="14"/>
          <c:order val="3"/>
          <c:tx>
            <c:strRef>
              <c:f>'Short-sea (HFO)'!$A$14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(HFO)'!$Q$14:$AR$14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8B3A-4AF2-8BE2-01944DD08679}"/>
            </c:ext>
          </c:extLst>
        </c:ser>
        <c:ser>
          <c:idx val="2"/>
          <c:order val="4"/>
          <c:tx>
            <c:strRef>
              <c:f>'Short-sea (HFO)'!$A$15</c:f>
              <c:strCache>
                <c:ptCount val="1"/>
                <c:pt idx="0">
                  <c:v>WACC</c:v>
                </c:pt>
              </c:strCache>
            </c:strRef>
          </c:tx>
          <c:spPr>
            <a:ln w="28575" cap="rnd">
              <a:solidFill>
                <a:schemeClr val="accent3"/>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8B3A-4AF2-8BE2-01944DD08679}"/>
            </c:ext>
          </c:extLst>
        </c:ser>
        <c:ser>
          <c:idx val="3"/>
          <c:order val="5"/>
          <c:tx>
            <c:strRef>
              <c:f>'Short-sea (HFO)'!$A$16</c:f>
              <c:strCache>
                <c:ptCount val="1"/>
                <c:pt idx="0">
                  <c:v>Opex fix (admin, crew, insurance)</c:v>
                </c:pt>
              </c:strCache>
            </c:strRef>
          </c:tx>
          <c:spPr>
            <a:ln w="28575" cap="rnd">
              <a:solidFill>
                <a:schemeClr val="accent4"/>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8B3A-4AF2-8BE2-01944DD08679}"/>
            </c:ext>
          </c:extLst>
        </c:ser>
        <c:ser>
          <c:idx val="4"/>
          <c:order val="6"/>
          <c:tx>
            <c:strRef>
              <c:f>'Short-sea (HFO)'!$A$18</c:f>
              <c:strCache>
                <c:ptCount val="1"/>
                <c:pt idx="0">
                  <c:v>Opex var (mode-fees)</c:v>
                </c:pt>
              </c:strCache>
            </c:strRef>
          </c:tx>
          <c:spPr>
            <a:ln w="28575" cap="rnd">
              <a:solidFill>
                <a:schemeClr val="accent5"/>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8B3A-4AF2-8BE2-01944DD08679}"/>
            </c:ext>
          </c:extLst>
        </c:ser>
        <c:ser>
          <c:idx val="5"/>
          <c:order val="7"/>
          <c:tx>
            <c:strRef>
              <c:f>'Short-sea (HFO)'!$A$19</c:f>
              <c:strCache>
                <c:ptCount val="1"/>
                <c:pt idx="0">
                  <c:v>Fuel Economy</c:v>
                </c:pt>
              </c:strCache>
            </c:strRef>
          </c:tx>
          <c:spPr>
            <a:ln w="28575" cap="rnd">
              <a:solidFill>
                <a:schemeClr val="accent6"/>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8B3A-4AF2-8BE2-01944DD08679}"/>
            </c:ext>
          </c:extLst>
        </c:ser>
        <c:ser>
          <c:idx val="6"/>
          <c:order val="8"/>
          <c:tx>
            <c:strRef>
              <c:f>'Short-sea (HFO)'!$A$20</c:f>
              <c:strCache>
                <c:ptCount val="1"/>
                <c:pt idx="0">
                  <c:v>Fuel Cost</c:v>
                </c:pt>
              </c:strCache>
            </c:strRef>
          </c:tx>
          <c:spPr>
            <a:ln w="28575" cap="rnd">
              <a:solidFill>
                <a:schemeClr val="accent1">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8B3A-4AF2-8BE2-01944DD08679}"/>
            </c:ext>
          </c:extLst>
        </c:ser>
        <c:ser>
          <c:idx val="7"/>
          <c:order val="9"/>
          <c:tx>
            <c:strRef>
              <c:f>'Short-sea (HFO)'!$A$22</c:f>
              <c:strCache>
                <c:ptCount val="1"/>
                <c:pt idx="0">
                  <c:v>Lifetime vehicle</c:v>
                </c:pt>
              </c:strCache>
            </c:strRef>
          </c:tx>
          <c:spPr>
            <a:ln w="28575" cap="rnd">
              <a:solidFill>
                <a:schemeClr val="accent2">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8B3A-4AF2-8BE2-01944DD08679}"/>
            </c:ext>
          </c:extLst>
        </c:ser>
        <c:ser>
          <c:idx val="8"/>
          <c:order val="10"/>
          <c:tx>
            <c:strRef>
              <c:f>'Short-sea (HFO)'!$A$23</c:f>
              <c:strCache>
                <c:ptCount val="1"/>
                <c:pt idx="0">
                  <c:v>Lifetime costumization</c:v>
                </c:pt>
              </c:strCache>
            </c:strRef>
          </c:tx>
          <c:spPr>
            <a:ln w="28575" cap="rnd">
              <a:solidFill>
                <a:schemeClr val="accent3">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8B3A-4AF2-8BE2-01944DD08679}"/>
            </c:ext>
          </c:extLst>
        </c:ser>
        <c:ser>
          <c:idx val="9"/>
          <c:order val="11"/>
          <c:tx>
            <c:strRef>
              <c:f>'Short-sea (HFO)'!$A$24</c:f>
              <c:strCache>
                <c:ptCount val="1"/>
                <c:pt idx="0">
                  <c:v>Tonnage .</c:v>
                </c:pt>
              </c:strCache>
            </c:strRef>
          </c:tx>
          <c:spPr>
            <a:ln w="28575" cap="rnd">
              <a:solidFill>
                <a:schemeClr val="accent4">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8B3A-4AF2-8BE2-01944DD08679}"/>
            </c:ext>
          </c:extLst>
        </c:ser>
        <c:ser>
          <c:idx val="10"/>
          <c:order val="12"/>
          <c:tx>
            <c:strRef>
              <c:f>'Short-sea (HFO)'!$A$25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8B3A-4AF2-8BE2-01944DD08679}"/>
            </c:ext>
          </c:extLst>
        </c:ser>
        <c:ser>
          <c:idx val="11"/>
          <c:order val="13"/>
          <c:tx>
            <c:strRef>
              <c:f>'Short-sea (HFO)'!$A$27</c:f>
              <c:strCache>
                <c:ptCount val="1"/>
                <c:pt idx="0">
                  <c:v>Annual Mileage</c:v>
                </c:pt>
              </c:strCache>
            </c:strRef>
          </c:tx>
          <c:spPr>
            <a:ln w="28575" cap="rnd">
              <a:solidFill>
                <a:schemeClr val="accent6">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8B3A-4AF2-8BE2-01944DD08679}"/>
            </c:ext>
          </c:extLst>
        </c:ser>
        <c:ser>
          <c:idx val="12"/>
          <c:order val="14"/>
          <c:tx>
            <c:strRef>
              <c:f>'Short-sea (HFO)'!$A$17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(HFO)'!$Q$17:$AR$17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8B3A-4AF2-8BE2-01944DD08679}"/>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(HFO)'!$A$74</c:f>
              <c:strCache>
                <c:ptCount val="1"/>
                <c:pt idx="0">
                  <c:v>Capex vehicle</c:v>
                </c:pt>
              </c:strCache>
            </c:strRef>
          </c:tx>
          <c:spPr>
            <a:solidFill>
              <a:schemeClr val="accent1"/>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(HFO)'!$B$74,'Short-sea (HFO)'!$N$74,'Short-sea (HFO)'!$AC$74)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D8E6-4117-BDE9-C9D958F00767}"/>
            </c:ext>
          </c:extLst>
        </c:ser>
        <c:ser>
          <c:idx val="1"/>
          <c:order val="1"/>
          <c:tx>
            <c:strRef>
              <c:f>'Short-sea (HFO)'!$A$75</c:f>
              <c:strCache>
                <c:ptCount val="1"/>
                <c:pt idx="0">
                  <c:v>Residual value (vehicle)</c:v>
                </c:pt>
              </c:strCache>
            </c:strRef>
          </c:tx>
          <c:spPr>
            <a:solidFill>
              <a:schemeClr val="accent2"/>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(HFO)'!$B$75,'Short-sea (HFO)'!$N$75,'Short-sea (HFO)'!$AC$75)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D8E6-4117-BDE9-C9D958F00767}"/>
            </c:ext>
          </c:extLst>
        </c:ser>
        <c:ser>
          <c:idx val="2"/>
          <c:order val="2"/>
          <c:tx>
            <c:strRef>
              <c:f>'Short-sea (HFO)'!$A$76</c:f>
              <c:strCache>
                <c:ptCount val="1"/>
                <c:pt idx="0">
                  <c:v>Capex costumization</c:v>
                </c:pt>
              </c:strCache>
            </c:strRef>
          </c:tx>
          <c:spPr>
            <a:solidFill>
              <a:schemeClr val="accent3"/>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(HFO)'!$B$76,'Short-sea (HFO)'!$N$76,'Short-sea (HFO)'!$AC$76)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D8E6-4117-BDE9-C9D958F00767}"/>
            </c:ext>
          </c:extLst>
        </c:ser>
        <c:ser>
          <c:idx val="3"/>
          <c:order val="3"/>
          <c:tx>
            <c:strRef>
              <c:f>'Short-sea (HFO)'!$A$77</c:f>
              <c:strCache>
                <c:ptCount val="1"/>
                <c:pt idx="0">
                  <c:v>Residual value (costumization)</c:v>
                </c:pt>
              </c:strCache>
            </c:strRef>
          </c:tx>
          <c:spPr>
            <a:solidFill>
              <a:schemeClr val="accent4"/>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(HFO)'!$B$77,'Short-sea (HFO)'!$N$77,'Short-sea (HFO)'!$AC$77)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D8E6-4117-BDE9-C9D958F00767}"/>
            </c:ext>
          </c:extLst>
        </c:ser>
        <c:ser>
          <c:idx val="4"/>
          <c:order val="4"/>
          <c:tx>
            <c:strRef>
              <c:f>'Short-sea (HFO)'!$A$78</c:f>
              <c:strCache>
                <c:ptCount val="1"/>
                <c:pt idx="0">
                  <c:v>Opex fix (admin, crew, insurance)</c:v>
                </c:pt>
              </c:strCache>
            </c:strRef>
          </c:tx>
          <c:spPr>
            <a:solidFill>
              <a:schemeClr val="accent5"/>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(HFO)'!$B$78,'Short-sea (HFO)'!$N$78,'Short-sea (HFO)'!$AC$78)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D8E6-4117-BDE9-C9D958F00767}"/>
            </c:ext>
          </c:extLst>
        </c:ser>
        <c:ser>
          <c:idx val="5"/>
          <c:order val="5"/>
          <c:tx>
            <c:strRef>
              <c:f>'Short-sea (HFO)'!$A$79</c:f>
              <c:strCache>
                <c:ptCount val="1"/>
                <c:pt idx="0">
                  <c:v>Opex maintenance &amp; repair</c:v>
                </c:pt>
              </c:strCache>
            </c:strRef>
          </c:tx>
          <c:spPr>
            <a:solidFill>
              <a:schemeClr val="accent6"/>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(HFO)'!$B$79,'Short-sea (HFO)'!$N$79,'Short-sea (HFO)'!$AC$79)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D8E6-4117-BDE9-C9D958F00767}"/>
            </c:ext>
          </c:extLst>
        </c:ser>
        <c:ser>
          <c:idx val="6"/>
          <c:order val="6"/>
          <c:tx>
            <c:strRef>
              <c:f>'Short-sea (HFO)'!$A$80</c:f>
              <c:strCache>
                <c:ptCount val="1"/>
                <c:pt idx="0">
                  <c:v>Opex var (mode-fees)</c:v>
                </c:pt>
              </c:strCache>
            </c:strRef>
          </c:tx>
          <c:spPr>
            <a:solidFill>
              <a:schemeClr val="accent1">
                <a:lumMod val="60000"/>
              </a:schemeClr>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(HFO)'!$B$80,'Short-sea (HFO)'!$N$80,'Short-sea (HFO)'!$AC$80)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D8E6-4117-BDE9-C9D958F00767}"/>
            </c:ext>
          </c:extLst>
        </c:ser>
        <c:ser>
          <c:idx val="7"/>
          <c:order val="7"/>
          <c:tx>
            <c:strRef>
              <c:f>'Short-sea (HFO)'!$A$81</c:f>
              <c:strCache>
                <c:ptCount val="1"/>
                <c:pt idx="0">
                  <c:v>Fuel Cost</c:v>
                </c:pt>
              </c:strCache>
            </c:strRef>
          </c:tx>
          <c:spPr>
            <a:solidFill>
              <a:schemeClr val="accent2">
                <a:lumMod val="60000"/>
              </a:schemeClr>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(HFO)'!$B$81,'Short-sea (HFO)'!$N$81,'Short-sea (HFO)'!$AC$81)</c:f>
              <c:numCache>
                <c:formatCode>0.00</c:formatCode>
                <c:ptCount val="3"/>
                <c:pt idx="0">
                  <c:v>2.1494771182553069E-3</c:v>
                </c:pt>
                <c:pt idx="1">
                  <c:v>2.1267922284124146E-3</c:v>
                </c:pt>
                <c:pt idx="2">
                  <c:v>1.9961810868829068E-3</c:v>
                </c:pt>
              </c:numCache>
            </c:numRef>
          </c:val>
          <c:extLst>
            <c:ext xmlns:c16="http://schemas.microsoft.com/office/drawing/2014/chart" uri="{C3380CC4-5D6E-409C-BE32-E72D297353CC}">
              <c16:uniqueId val="{00000007-D8E6-4117-BDE9-C9D958F00767}"/>
            </c:ext>
          </c:extLst>
        </c:ser>
        <c:ser>
          <c:idx val="8"/>
          <c:order val="8"/>
          <c:tx>
            <c:strRef>
              <c:f>'Short-sea (HFO)'!$A$82</c:f>
              <c:strCache>
                <c:ptCount val="1"/>
                <c:pt idx="0">
                  <c:v>Market failure (av. utilization)</c:v>
                </c:pt>
              </c:strCache>
            </c:strRef>
          </c:tx>
          <c:spPr>
            <a:solidFill>
              <a:schemeClr val="accent3">
                <a:lumMod val="60000"/>
              </a:schemeClr>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(HFO)'!$B$82,'Short-sea (HFO)'!$N$82,'Short-sea (HFO)'!$AC$82)</c:f>
              <c:numCache>
                <c:formatCode>0.00</c:formatCode>
                <c:ptCount val="3"/>
                <c:pt idx="0">
                  <c:v>3.1413023056331849E-3</c:v>
                </c:pt>
                <c:pt idx="1">
                  <c:v>3.4294491459715424E-3</c:v>
                </c:pt>
                <c:pt idx="2">
                  <c:v>5.0884912663151215E-3</c:v>
                </c:pt>
              </c:numCache>
            </c:numRef>
          </c:val>
          <c:extLst>
            <c:ext xmlns:c16="http://schemas.microsoft.com/office/drawing/2014/chart" uri="{C3380CC4-5D6E-409C-BE32-E72D297353CC}">
              <c16:uniqueId val="{00000008-D8E6-4117-BDE9-C9D958F00767}"/>
            </c:ext>
          </c:extLst>
        </c:ser>
        <c:ser>
          <c:idx val="9"/>
          <c:order val="9"/>
          <c:tx>
            <c:strRef>
              <c:f>'Short-sea (HFO)'!$A$83</c:f>
              <c:strCache>
                <c:ptCount val="1"/>
                <c:pt idx="0">
                  <c:v>Payload loss (fuel)</c:v>
                </c:pt>
              </c:strCache>
            </c:strRef>
          </c:tx>
          <c:spPr>
            <a:solidFill>
              <a:schemeClr val="accent4">
                <a:lumMod val="60000"/>
              </a:schemeClr>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(HFO)'!$B$83,'Short-sea (HFO)'!$N$83,'Short-sea (HFO)'!$AC$83)</c:f>
              <c:numCache>
                <c:formatCode>0.00</c:formatCode>
                <c:ptCount val="3"/>
                <c:pt idx="0">
                  <c:v>0</c:v>
                </c:pt>
                <c:pt idx="1">
                  <c:v>0</c:v>
                </c:pt>
                <c:pt idx="2">
                  <c:v>0</c:v>
                </c:pt>
              </c:numCache>
            </c:numRef>
          </c:val>
          <c:extLst>
            <c:ext xmlns:c16="http://schemas.microsoft.com/office/drawing/2014/chart" uri="{C3380CC4-5D6E-409C-BE32-E72D297353CC}">
              <c16:uniqueId val="{00000009-D8E6-4117-BDE9-C9D958F00767}"/>
            </c:ext>
          </c:extLst>
        </c:ser>
        <c:ser>
          <c:idx val="10"/>
          <c:order val="10"/>
          <c:tx>
            <c:strRef>
              <c:f>'Short-sea (HFO)'!$A$407</c:f>
              <c:strCache>
                <c:ptCount val="1"/>
                <c:pt idx="0">
                  <c:v>Emission Cost</c:v>
                </c:pt>
              </c:strCache>
            </c:strRef>
          </c:tx>
          <c:spPr>
            <a:solidFill>
              <a:schemeClr val="accent5">
                <a:lumMod val="60000"/>
              </a:schemeClr>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(HFO)'!$B$407,'Short-sea (HFO)'!$N$407,'Short-sea (HFO)'!$AC$407)</c:f>
              <c:numCache>
                <c:formatCode>0.000</c:formatCode>
                <c:ptCount val="3"/>
                <c:pt idx="0">
                  <c:v>1.9330162494961441E-3</c:v>
                </c:pt>
                <c:pt idx="1">
                  <c:v>2.5604979100940593E-3</c:v>
                </c:pt>
                <c:pt idx="2">
                  <c:v>6.1733034624737292E-3</c:v>
                </c:pt>
              </c:numCache>
            </c:numRef>
          </c:val>
          <c:extLst>
            <c:ext xmlns:c16="http://schemas.microsoft.com/office/drawing/2014/chart" uri="{C3380CC4-5D6E-409C-BE32-E72D297353CC}">
              <c16:uniqueId val="{0000000A-D8E6-4117-BDE9-C9D958F0076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(MGO)'!$A$11</c:f>
              <c:strCache>
                <c:ptCount val="1"/>
                <c:pt idx="0">
                  <c:v>Capex vehicle</c:v>
                </c:pt>
              </c:strCache>
            </c:strRef>
          </c:tx>
          <c:spPr>
            <a:ln w="28575" cap="rnd">
              <a:solidFill>
                <a:schemeClr val="accent1"/>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A86A-4228-A85E-AA4DCC03883B}"/>
            </c:ext>
          </c:extLst>
        </c:ser>
        <c:ser>
          <c:idx val="13"/>
          <c:order val="1"/>
          <c:tx>
            <c:strRef>
              <c:f>'Short-sea (MGO)'!$A$12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(MGO)'!$Q$12:$AR$12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A86A-4228-A85E-AA4DCC03883B}"/>
            </c:ext>
          </c:extLst>
        </c:ser>
        <c:ser>
          <c:idx val="1"/>
          <c:order val="2"/>
          <c:tx>
            <c:strRef>
              <c:f>'Short-sea (MGO)'!$A$13</c:f>
              <c:strCache>
                <c:ptCount val="1"/>
                <c:pt idx="0">
                  <c:v>Capex costumization</c:v>
                </c:pt>
              </c:strCache>
            </c:strRef>
          </c:tx>
          <c:spPr>
            <a:ln w="28575" cap="rnd">
              <a:solidFill>
                <a:schemeClr val="accent2"/>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A86A-4228-A85E-AA4DCC03883B}"/>
            </c:ext>
          </c:extLst>
        </c:ser>
        <c:ser>
          <c:idx val="14"/>
          <c:order val="3"/>
          <c:tx>
            <c:strRef>
              <c:f>'Short-sea (MGO)'!$A$14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(MGO)'!$Q$14:$AR$14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A86A-4228-A85E-AA4DCC03883B}"/>
            </c:ext>
          </c:extLst>
        </c:ser>
        <c:ser>
          <c:idx val="2"/>
          <c:order val="4"/>
          <c:tx>
            <c:strRef>
              <c:f>'Short-sea (MGO)'!$A$15</c:f>
              <c:strCache>
                <c:ptCount val="1"/>
                <c:pt idx="0">
                  <c:v>WACC</c:v>
                </c:pt>
              </c:strCache>
            </c:strRef>
          </c:tx>
          <c:spPr>
            <a:ln w="28575" cap="rnd">
              <a:solidFill>
                <a:schemeClr val="accent3"/>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A86A-4228-A85E-AA4DCC03883B}"/>
            </c:ext>
          </c:extLst>
        </c:ser>
        <c:ser>
          <c:idx val="3"/>
          <c:order val="5"/>
          <c:tx>
            <c:strRef>
              <c:f>'Short-sea (MGO)'!$A$16</c:f>
              <c:strCache>
                <c:ptCount val="1"/>
                <c:pt idx="0">
                  <c:v>Opex fix (admin, crew, insurance)</c:v>
                </c:pt>
              </c:strCache>
            </c:strRef>
          </c:tx>
          <c:spPr>
            <a:ln w="28575" cap="rnd">
              <a:solidFill>
                <a:schemeClr val="accent4"/>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A86A-4228-A85E-AA4DCC03883B}"/>
            </c:ext>
          </c:extLst>
        </c:ser>
        <c:ser>
          <c:idx val="4"/>
          <c:order val="6"/>
          <c:tx>
            <c:strRef>
              <c:f>'Short-sea (MGO)'!$A$18</c:f>
              <c:strCache>
                <c:ptCount val="1"/>
                <c:pt idx="0">
                  <c:v>Opex var (mode-fees)</c:v>
                </c:pt>
              </c:strCache>
            </c:strRef>
          </c:tx>
          <c:spPr>
            <a:ln w="28575" cap="rnd">
              <a:solidFill>
                <a:schemeClr val="accent5"/>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A86A-4228-A85E-AA4DCC03883B}"/>
            </c:ext>
          </c:extLst>
        </c:ser>
        <c:ser>
          <c:idx val="5"/>
          <c:order val="7"/>
          <c:tx>
            <c:strRef>
              <c:f>'Short-sea (MGO)'!$A$19</c:f>
              <c:strCache>
                <c:ptCount val="1"/>
                <c:pt idx="0">
                  <c:v>Fuel Economy</c:v>
                </c:pt>
              </c:strCache>
            </c:strRef>
          </c:tx>
          <c:spPr>
            <a:ln w="28575" cap="rnd">
              <a:solidFill>
                <a:schemeClr val="accent6"/>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A86A-4228-A85E-AA4DCC03883B}"/>
            </c:ext>
          </c:extLst>
        </c:ser>
        <c:ser>
          <c:idx val="6"/>
          <c:order val="8"/>
          <c:tx>
            <c:strRef>
              <c:f>'Short-sea (MGO)'!$A$20</c:f>
              <c:strCache>
                <c:ptCount val="1"/>
                <c:pt idx="0">
                  <c:v>Fuel Cost</c:v>
                </c:pt>
              </c:strCache>
            </c:strRef>
          </c:tx>
          <c:spPr>
            <a:ln w="28575" cap="rnd">
              <a:solidFill>
                <a:schemeClr val="accent1">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A86A-4228-A85E-AA4DCC03883B}"/>
            </c:ext>
          </c:extLst>
        </c:ser>
        <c:ser>
          <c:idx val="7"/>
          <c:order val="9"/>
          <c:tx>
            <c:strRef>
              <c:f>'Short-sea (MGO)'!$A$22</c:f>
              <c:strCache>
                <c:ptCount val="1"/>
                <c:pt idx="0">
                  <c:v>Lifetime vehicle</c:v>
                </c:pt>
              </c:strCache>
            </c:strRef>
          </c:tx>
          <c:spPr>
            <a:ln w="28575" cap="rnd">
              <a:solidFill>
                <a:schemeClr val="accent2">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A86A-4228-A85E-AA4DCC03883B}"/>
            </c:ext>
          </c:extLst>
        </c:ser>
        <c:ser>
          <c:idx val="8"/>
          <c:order val="10"/>
          <c:tx>
            <c:strRef>
              <c:f>'Short-sea (MGO)'!$A$23</c:f>
              <c:strCache>
                <c:ptCount val="1"/>
                <c:pt idx="0">
                  <c:v>Lifetime costumization</c:v>
                </c:pt>
              </c:strCache>
            </c:strRef>
          </c:tx>
          <c:spPr>
            <a:ln w="28575" cap="rnd">
              <a:solidFill>
                <a:schemeClr val="accent3">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A86A-4228-A85E-AA4DCC03883B}"/>
            </c:ext>
          </c:extLst>
        </c:ser>
        <c:ser>
          <c:idx val="9"/>
          <c:order val="11"/>
          <c:tx>
            <c:strRef>
              <c:f>'Short-sea (MGO)'!$A$24</c:f>
              <c:strCache>
                <c:ptCount val="1"/>
                <c:pt idx="0">
                  <c:v>Tonnage .</c:v>
                </c:pt>
              </c:strCache>
            </c:strRef>
          </c:tx>
          <c:spPr>
            <a:ln w="28575" cap="rnd">
              <a:solidFill>
                <a:schemeClr val="accent4">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A86A-4228-A85E-AA4DCC03883B}"/>
            </c:ext>
          </c:extLst>
        </c:ser>
        <c:ser>
          <c:idx val="10"/>
          <c:order val="12"/>
          <c:tx>
            <c:strRef>
              <c:f>'Short-sea (MGO)'!$A$25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A86A-4228-A85E-AA4DCC03883B}"/>
            </c:ext>
          </c:extLst>
        </c:ser>
        <c:ser>
          <c:idx val="11"/>
          <c:order val="13"/>
          <c:tx>
            <c:strRef>
              <c:f>'Short-sea (MGO)'!$A$27</c:f>
              <c:strCache>
                <c:ptCount val="1"/>
                <c:pt idx="0">
                  <c:v>Annual Mileage</c:v>
                </c:pt>
              </c:strCache>
            </c:strRef>
          </c:tx>
          <c:spPr>
            <a:ln w="28575" cap="rnd">
              <a:solidFill>
                <a:schemeClr val="accent6">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A86A-4228-A85E-AA4DCC03883B}"/>
            </c:ext>
          </c:extLst>
        </c:ser>
        <c:ser>
          <c:idx val="12"/>
          <c:order val="14"/>
          <c:tx>
            <c:strRef>
              <c:f>'Short-sea (MGO)'!$A$17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(MGO)'!$Q$17:$AR$17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A86A-4228-A85E-AA4DCC03883B}"/>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(MGO)'!$A$74</c:f>
              <c:strCache>
                <c:ptCount val="1"/>
                <c:pt idx="0">
                  <c:v>Capex vehicle</c:v>
                </c:pt>
              </c:strCache>
            </c:strRef>
          </c:tx>
          <c:spPr>
            <a:solidFill>
              <a:schemeClr val="accent1"/>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(MGO)'!$B$74,'Short-sea (MGO)'!$N$74,'Short-sea (MGO)'!$AC$74)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B9B2-44B3-AA23-C83296541D6D}"/>
            </c:ext>
          </c:extLst>
        </c:ser>
        <c:ser>
          <c:idx val="1"/>
          <c:order val="1"/>
          <c:tx>
            <c:strRef>
              <c:f>'Short-sea (MGO)'!$A$75</c:f>
              <c:strCache>
                <c:ptCount val="1"/>
                <c:pt idx="0">
                  <c:v>Residual value (vehicle)</c:v>
                </c:pt>
              </c:strCache>
            </c:strRef>
          </c:tx>
          <c:spPr>
            <a:solidFill>
              <a:schemeClr val="accent2"/>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(MGO)'!$B$75,'Short-sea (MGO)'!$N$75,'Short-sea (MGO)'!$AC$75)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B9B2-44B3-AA23-C83296541D6D}"/>
            </c:ext>
          </c:extLst>
        </c:ser>
        <c:ser>
          <c:idx val="2"/>
          <c:order val="2"/>
          <c:tx>
            <c:strRef>
              <c:f>'Short-sea (MGO)'!$A$76</c:f>
              <c:strCache>
                <c:ptCount val="1"/>
                <c:pt idx="0">
                  <c:v>Capex costumization</c:v>
                </c:pt>
              </c:strCache>
            </c:strRef>
          </c:tx>
          <c:spPr>
            <a:solidFill>
              <a:schemeClr val="accent3"/>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(MGO)'!$B$76,'Short-sea (MGO)'!$N$76,'Short-sea (MGO)'!$AC$76)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B9B2-44B3-AA23-C83296541D6D}"/>
            </c:ext>
          </c:extLst>
        </c:ser>
        <c:ser>
          <c:idx val="3"/>
          <c:order val="3"/>
          <c:tx>
            <c:strRef>
              <c:f>'Short-sea (MGO)'!$A$77</c:f>
              <c:strCache>
                <c:ptCount val="1"/>
                <c:pt idx="0">
                  <c:v>Residual value (costumization)</c:v>
                </c:pt>
              </c:strCache>
            </c:strRef>
          </c:tx>
          <c:spPr>
            <a:solidFill>
              <a:schemeClr val="accent4"/>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(MGO)'!$B$77,'Short-sea (MGO)'!$N$77,'Short-sea (MGO)'!$AC$77)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B9B2-44B3-AA23-C83296541D6D}"/>
            </c:ext>
          </c:extLst>
        </c:ser>
        <c:ser>
          <c:idx val="4"/>
          <c:order val="4"/>
          <c:tx>
            <c:strRef>
              <c:f>'Short-sea (MGO)'!$A$78</c:f>
              <c:strCache>
                <c:ptCount val="1"/>
                <c:pt idx="0">
                  <c:v>Opex fix (admin, crew, insurance)</c:v>
                </c:pt>
              </c:strCache>
            </c:strRef>
          </c:tx>
          <c:spPr>
            <a:solidFill>
              <a:schemeClr val="accent5"/>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(MGO)'!$B$78,'Short-sea (MGO)'!$N$78,'Short-sea (MGO)'!$AC$78)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B9B2-44B3-AA23-C83296541D6D}"/>
            </c:ext>
          </c:extLst>
        </c:ser>
        <c:ser>
          <c:idx val="5"/>
          <c:order val="5"/>
          <c:tx>
            <c:strRef>
              <c:f>'Short-sea (MGO)'!$A$79</c:f>
              <c:strCache>
                <c:ptCount val="1"/>
                <c:pt idx="0">
                  <c:v>Opex maintenance &amp; repair</c:v>
                </c:pt>
              </c:strCache>
            </c:strRef>
          </c:tx>
          <c:spPr>
            <a:solidFill>
              <a:schemeClr val="accent6"/>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(MGO)'!$B$79,'Short-sea (MGO)'!$N$79,'Short-sea (MGO)'!$AC$79)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B9B2-44B3-AA23-C83296541D6D}"/>
            </c:ext>
          </c:extLst>
        </c:ser>
        <c:ser>
          <c:idx val="6"/>
          <c:order val="6"/>
          <c:tx>
            <c:strRef>
              <c:f>'Short-sea (MGO)'!$A$80</c:f>
              <c:strCache>
                <c:ptCount val="1"/>
                <c:pt idx="0">
                  <c:v>Opex var (mode-fees)</c:v>
                </c:pt>
              </c:strCache>
            </c:strRef>
          </c:tx>
          <c:spPr>
            <a:solidFill>
              <a:schemeClr val="accent1">
                <a:lumMod val="60000"/>
              </a:schemeClr>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(MGO)'!$B$80,'Short-sea (MGO)'!$N$80,'Short-sea (MGO)'!$AC$80)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B9B2-44B3-AA23-C83296541D6D}"/>
            </c:ext>
          </c:extLst>
        </c:ser>
        <c:ser>
          <c:idx val="7"/>
          <c:order val="7"/>
          <c:tx>
            <c:strRef>
              <c:f>'Short-sea (MGO)'!$A$81</c:f>
              <c:strCache>
                <c:ptCount val="1"/>
                <c:pt idx="0">
                  <c:v>Fuel Cost</c:v>
                </c:pt>
              </c:strCache>
            </c:strRef>
          </c:tx>
          <c:spPr>
            <a:solidFill>
              <a:schemeClr val="accent2">
                <a:lumMod val="60000"/>
              </a:schemeClr>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(MGO)'!$B$81,'Short-sea (MGO)'!$N$81,'Short-sea (MGO)'!$AC$81)</c:f>
              <c:numCache>
                <c:formatCode>0.00</c:formatCode>
                <c:ptCount val="3"/>
                <c:pt idx="0">
                  <c:v>4.1072811176853007E-3</c:v>
                </c:pt>
                <c:pt idx="1">
                  <c:v>4.0639341944186261E-3</c:v>
                </c:pt>
                <c:pt idx="2">
                  <c:v>3.8143587647444083E-3</c:v>
                </c:pt>
              </c:numCache>
            </c:numRef>
          </c:val>
          <c:extLst>
            <c:ext xmlns:c16="http://schemas.microsoft.com/office/drawing/2014/chart" uri="{C3380CC4-5D6E-409C-BE32-E72D297353CC}">
              <c16:uniqueId val="{00000007-B9B2-44B3-AA23-C83296541D6D}"/>
            </c:ext>
          </c:extLst>
        </c:ser>
        <c:ser>
          <c:idx val="8"/>
          <c:order val="8"/>
          <c:tx>
            <c:strRef>
              <c:f>'Short-sea (MGO)'!$A$82</c:f>
              <c:strCache>
                <c:ptCount val="1"/>
                <c:pt idx="0">
                  <c:v>Market failure (av. utilization)</c:v>
                </c:pt>
              </c:strCache>
            </c:strRef>
          </c:tx>
          <c:spPr>
            <a:solidFill>
              <a:schemeClr val="accent3">
                <a:lumMod val="60000"/>
              </a:schemeClr>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(MGO)'!$B$82,'Short-sea (MGO)'!$N$82,'Short-sea (MGO)'!$AC$82)</c:f>
              <c:numCache>
                <c:formatCode>0.00</c:formatCode>
                <c:ptCount val="3"/>
                <c:pt idx="0">
                  <c:v>4.0161995118700826E-3</c:v>
                </c:pt>
                <c:pt idx="1">
                  <c:v>4.2795537659014726E-3</c:v>
                </c:pt>
                <c:pt idx="2">
                  <c:v>5.7958494139699612E-3</c:v>
                </c:pt>
              </c:numCache>
            </c:numRef>
          </c:val>
          <c:extLst>
            <c:ext xmlns:c16="http://schemas.microsoft.com/office/drawing/2014/chart" uri="{C3380CC4-5D6E-409C-BE32-E72D297353CC}">
              <c16:uniqueId val="{00000008-B9B2-44B3-AA23-C83296541D6D}"/>
            </c:ext>
          </c:extLst>
        </c:ser>
        <c:ser>
          <c:idx val="9"/>
          <c:order val="9"/>
          <c:tx>
            <c:strRef>
              <c:f>'Short-sea (MGO)'!$A$83</c:f>
              <c:strCache>
                <c:ptCount val="1"/>
                <c:pt idx="0">
                  <c:v>Payload loss (fuel)</c:v>
                </c:pt>
              </c:strCache>
            </c:strRef>
          </c:tx>
          <c:spPr>
            <a:solidFill>
              <a:schemeClr val="accent4">
                <a:lumMod val="60000"/>
              </a:schemeClr>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(MGO)'!$B$83,'Short-sea (MGO)'!$N$83,'Short-sea (MGO)'!$AC$83)</c:f>
              <c:numCache>
                <c:formatCode>0.00</c:formatCode>
                <c:ptCount val="3"/>
                <c:pt idx="0">
                  <c:v>0</c:v>
                </c:pt>
                <c:pt idx="1">
                  <c:v>0</c:v>
                </c:pt>
                <c:pt idx="2">
                  <c:v>0</c:v>
                </c:pt>
              </c:numCache>
            </c:numRef>
          </c:val>
          <c:extLst>
            <c:ext xmlns:c16="http://schemas.microsoft.com/office/drawing/2014/chart" uri="{C3380CC4-5D6E-409C-BE32-E72D297353CC}">
              <c16:uniqueId val="{00000009-B9B2-44B3-AA23-C83296541D6D}"/>
            </c:ext>
          </c:extLst>
        </c:ser>
        <c:ser>
          <c:idx val="10"/>
          <c:order val="10"/>
          <c:tx>
            <c:strRef>
              <c:f>'Short-sea (MGO)'!$A$84</c:f>
              <c:strCache>
                <c:ptCount val="1"/>
                <c:pt idx="0">
                  <c:v>Emission Cost</c:v>
                </c:pt>
              </c:strCache>
            </c:strRef>
          </c:tx>
          <c:spPr>
            <a:solidFill>
              <a:schemeClr val="accent5">
                <a:lumMod val="60000"/>
              </a:schemeClr>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(MGO)'!$B$84,'Short-sea (MGO)'!$N$84,'Short-sea (MGO)'!$AC$84)</c:f>
              <c:numCache>
                <c:formatCode>0.000</c:formatCode>
                <c:ptCount val="3"/>
                <c:pt idx="0">
                  <c:v>1.8343688133195604E-3</c:v>
                </c:pt>
                <c:pt idx="1">
                  <c:v>2.4298282614389497E-3</c:v>
                </c:pt>
                <c:pt idx="2">
                  <c:v>5.8582618483787648E-3</c:v>
                </c:pt>
              </c:numCache>
            </c:numRef>
          </c:val>
          <c:extLst>
            <c:ext xmlns:c16="http://schemas.microsoft.com/office/drawing/2014/chart" uri="{C3380CC4-5D6E-409C-BE32-E72D297353CC}">
              <c16:uniqueId val="{00000000-220A-4124-A37A-FC8976F89BAC}"/>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(MGO)'!$A$11</c:f>
              <c:strCache>
                <c:ptCount val="1"/>
                <c:pt idx="0">
                  <c:v>Capex vehicle</c:v>
                </c:pt>
              </c:strCache>
            </c:strRef>
          </c:tx>
          <c:spPr>
            <a:ln w="28575" cap="rnd">
              <a:solidFill>
                <a:schemeClr val="accent1"/>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63F9-4019-A079-1BEF786858C4}"/>
            </c:ext>
          </c:extLst>
        </c:ser>
        <c:ser>
          <c:idx val="13"/>
          <c:order val="1"/>
          <c:tx>
            <c:strRef>
              <c:f>'Short-sea (MGO)'!$A$12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(MGO)'!$Q$12:$AR$12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63F9-4019-A079-1BEF786858C4}"/>
            </c:ext>
          </c:extLst>
        </c:ser>
        <c:ser>
          <c:idx val="1"/>
          <c:order val="2"/>
          <c:tx>
            <c:strRef>
              <c:f>'Short-sea (MGO)'!$A$13</c:f>
              <c:strCache>
                <c:ptCount val="1"/>
                <c:pt idx="0">
                  <c:v>Capex costumization</c:v>
                </c:pt>
              </c:strCache>
            </c:strRef>
          </c:tx>
          <c:spPr>
            <a:ln w="28575" cap="rnd">
              <a:solidFill>
                <a:schemeClr val="accent2"/>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63F9-4019-A079-1BEF786858C4}"/>
            </c:ext>
          </c:extLst>
        </c:ser>
        <c:ser>
          <c:idx val="14"/>
          <c:order val="3"/>
          <c:tx>
            <c:strRef>
              <c:f>'Short-sea (MGO)'!$A$14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(MGO)'!$Q$14:$AR$14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63F9-4019-A079-1BEF786858C4}"/>
            </c:ext>
          </c:extLst>
        </c:ser>
        <c:ser>
          <c:idx val="2"/>
          <c:order val="4"/>
          <c:tx>
            <c:strRef>
              <c:f>'Short-sea (MGO)'!$A$15</c:f>
              <c:strCache>
                <c:ptCount val="1"/>
                <c:pt idx="0">
                  <c:v>WACC</c:v>
                </c:pt>
              </c:strCache>
            </c:strRef>
          </c:tx>
          <c:spPr>
            <a:ln w="28575" cap="rnd">
              <a:solidFill>
                <a:schemeClr val="accent3"/>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63F9-4019-A079-1BEF786858C4}"/>
            </c:ext>
          </c:extLst>
        </c:ser>
        <c:ser>
          <c:idx val="3"/>
          <c:order val="5"/>
          <c:tx>
            <c:strRef>
              <c:f>'Short-sea (MGO)'!$A$16</c:f>
              <c:strCache>
                <c:ptCount val="1"/>
                <c:pt idx="0">
                  <c:v>Opex fix (admin, crew, insurance)</c:v>
                </c:pt>
              </c:strCache>
            </c:strRef>
          </c:tx>
          <c:spPr>
            <a:ln w="28575" cap="rnd">
              <a:solidFill>
                <a:schemeClr val="accent4"/>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63F9-4019-A079-1BEF786858C4}"/>
            </c:ext>
          </c:extLst>
        </c:ser>
        <c:ser>
          <c:idx val="4"/>
          <c:order val="6"/>
          <c:tx>
            <c:strRef>
              <c:f>'Short-sea (MGO)'!$A$18</c:f>
              <c:strCache>
                <c:ptCount val="1"/>
                <c:pt idx="0">
                  <c:v>Opex var (mode-fees)</c:v>
                </c:pt>
              </c:strCache>
            </c:strRef>
          </c:tx>
          <c:spPr>
            <a:ln w="28575" cap="rnd">
              <a:solidFill>
                <a:schemeClr val="accent5"/>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63F9-4019-A079-1BEF786858C4}"/>
            </c:ext>
          </c:extLst>
        </c:ser>
        <c:ser>
          <c:idx val="5"/>
          <c:order val="7"/>
          <c:tx>
            <c:strRef>
              <c:f>'Short-sea (MGO)'!$A$19</c:f>
              <c:strCache>
                <c:ptCount val="1"/>
                <c:pt idx="0">
                  <c:v>Fuel Economy</c:v>
                </c:pt>
              </c:strCache>
            </c:strRef>
          </c:tx>
          <c:spPr>
            <a:ln w="28575" cap="rnd">
              <a:solidFill>
                <a:schemeClr val="accent6"/>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63F9-4019-A079-1BEF786858C4}"/>
            </c:ext>
          </c:extLst>
        </c:ser>
        <c:ser>
          <c:idx val="6"/>
          <c:order val="8"/>
          <c:tx>
            <c:strRef>
              <c:f>'Short-sea (MGO)'!$A$20</c:f>
              <c:strCache>
                <c:ptCount val="1"/>
                <c:pt idx="0">
                  <c:v>Fuel Cost</c:v>
                </c:pt>
              </c:strCache>
            </c:strRef>
          </c:tx>
          <c:spPr>
            <a:ln w="28575" cap="rnd">
              <a:solidFill>
                <a:schemeClr val="accent1">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63F9-4019-A079-1BEF786858C4}"/>
            </c:ext>
          </c:extLst>
        </c:ser>
        <c:ser>
          <c:idx val="7"/>
          <c:order val="9"/>
          <c:tx>
            <c:strRef>
              <c:f>'Short-sea (MGO)'!$A$22</c:f>
              <c:strCache>
                <c:ptCount val="1"/>
                <c:pt idx="0">
                  <c:v>Lifetime vehicle</c:v>
                </c:pt>
              </c:strCache>
            </c:strRef>
          </c:tx>
          <c:spPr>
            <a:ln w="28575" cap="rnd">
              <a:solidFill>
                <a:schemeClr val="accent2">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63F9-4019-A079-1BEF786858C4}"/>
            </c:ext>
          </c:extLst>
        </c:ser>
        <c:ser>
          <c:idx val="8"/>
          <c:order val="10"/>
          <c:tx>
            <c:strRef>
              <c:f>'Short-sea (MGO)'!$A$23</c:f>
              <c:strCache>
                <c:ptCount val="1"/>
                <c:pt idx="0">
                  <c:v>Lifetime costumization</c:v>
                </c:pt>
              </c:strCache>
            </c:strRef>
          </c:tx>
          <c:spPr>
            <a:ln w="28575" cap="rnd">
              <a:solidFill>
                <a:schemeClr val="accent3">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63F9-4019-A079-1BEF786858C4}"/>
            </c:ext>
          </c:extLst>
        </c:ser>
        <c:ser>
          <c:idx val="9"/>
          <c:order val="11"/>
          <c:tx>
            <c:strRef>
              <c:f>'Short-sea (MGO)'!$A$24</c:f>
              <c:strCache>
                <c:ptCount val="1"/>
                <c:pt idx="0">
                  <c:v>Tonnage .</c:v>
                </c:pt>
              </c:strCache>
            </c:strRef>
          </c:tx>
          <c:spPr>
            <a:ln w="28575" cap="rnd">
              <a:solidFill>
                <a:schemeClr val="accent4">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63F9-4019-A079-1BEF786858C4}"/>
            </c:ext>
          </c:extLst>
        </c:ser>
        <c:ser>
          <c:idx val="10"/>
          <c:order val="12"/>
          <c:tx>
            <c:strRef>
              <c:f>'Short-sea (MGO)'!$A$25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63F9-4019-A079-1BEF786858C4}"/>
            </c:ext>
          </c:extLst>
        </c:ser>
        <c:ser>
          <c:idx val="11"/>
          <c:order val="13"/>
          <c:tx>
            <c:strRef>
              <c:f>'Short-sea (MGO)'!$A$27</c:f>
              <c:strCache>
                <c:ptCount val="1"/>
                <c:pt idx="0">
                  <c:v>Annual Mileage</c:v>
                </c:pt>
              </c:strCache>
            </c:strRef>
          </c:tx>
          <c:spPr>
            <a:ln w="28575" cap="rnd">
              <a:solidFill>
                <a:schemeClr val="accent6">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63F9-4019-A079-1BEF786858C4}"/>
            </c:ext>
          </c:extLst>
        </c:ser>
        <c:ser>
          <c:idx val="12"/>
          <c:order val="14"/>
          <c:tx>
            <c:strRef>
              <c:f>'Short-sea (MGO)'!$A$17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(MGO)'!$Q$17:$AR$17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63F9-4019-A079-1BEF786858C4}"/>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(MGO)'!$A$74</c:f>
              <c:strCache>
                <c:ptCount val="1"/>
                <c:pt idx="0">
                  <c:v>Capex vehicle</c:v>
                </c:pt>
              </c:strCache>
            </c:strRef>
          </c:tx>
          <c:spPr>
            <a:solidFill>
              <a:schemeClr val="accent1"/>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(MGO)'!$B$74,'Short-sea (MGO)'!$N$74,'Short-sea (MGO)'!$AC$74)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E27A-4C07-92B9-CBE69A820DA1}"/>
            </c:ext>
          </c:extLst>
        </c:ser>
        <c:ser>
          <c:idx val="1"/>
          <c:order val="1"/>
          <c:tx>
            <c:strRef>
              <c:f>'Short-sea (MGO)'!$A$75</c:f>
              <c:strCache>
                <c:ptCount val="1"/>
                <c:pt idx="0">
                  <c:v>Residual value (vehicle)</c:v>
                </c:pt>
              </c:strCache>
            </c:strRef>
          </c:tx>
          <c:spPr>
            <a:solidFill>
              <a:schemeClr val="accent2"/>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(MGO)'!$B$75,'Short-sea (MGO)'!$N$75,'Short-sea (MGO)'!$AC$75)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E27A-4C07-92B9-CBE69A820DA1}"/>
            </c:ext>
          </c:extLst>
        </c:ser>
        <c:ser>
          <c:idx val="2"/>
          <c:order val="2"/>
          <c:tx>
            <c:strRef>
              <c:f>'Short-sea (MGO)'!$A$76</c:f>
              <c:strCache>
                <c:ptCount val="1"/>
                <c:pt idx="0">
                  <c:v>Capex costumization</c:v>
                </c:pt>
              </c:strCache>
            </c:strRef>
          </c:tx>
          <c:spPr>
            <a:solidFill>
              <a:schemeClr val="accent3"/>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(MGO)'!$B$76,'Short-sea (MGO)'!$N$76,'Short-sea (MGO)'!$AC$76)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E27A-4C07-92B9-CBE69A820DA1}"/>
            </c:ext>
          </c:extLst>
        </c:ser>
        <c:ser>
          <c:idx val="3"/>
          <c:order val="3"/>
          <c:tx>
            <c:strRef>
              <c:f>'Short-sea (MGO)'!$A$77</c:f>
              <c:strCache>
                <c:ptCount val="1"/>
                <c:pt idx="0">
                  <c:v>Residual value (costumization)</c:v>
                </c:pt>
              </c:strCache>
            </c:strRef>
          </c:tx>
          <c:spPr>
            <a:solidFill>
              <a:schemeClr val="accent4"/>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(MGO)'!$B$77,'Short-sea (MGO)'!$N$77,'Short-sea (MGO)'!$AC$77)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E27A-4C07-92B9-CBE69A820DA1}"/>
            </c:ext>
          </c:extLst>
        </c:ser>
        <c:ser>
          <c:idx val="4"/>
          <c:order val="4"/>
          <c:tx>
            <c:strRef>
              <c:f>'Short-sea (MGO)'!$A$78</c:f>
              <c:strCache>
                <c:ptCount val="1"/>
                <c:pt idx="0">
                  <c:v>Opex fix (admin, crew, insurance)</c:v>
                </c:pt>
              </c:strCache>
            </c:strRef>
          </c:tx>
          <c:spPr>
            <a:solidFill>
              <a:schemeClr val="accent5"/>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(MGO)'!$B$78,'Short-sea (MGO)'!$N$78,'Short-sea (MGO)'!$AC$78)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E27A-4C07-92B9-CBE69A820DA1}"/>
            </c:ext>
          </c:extLst>
        </c:ser>
        <c:ser>
          <c:idx val="5"/>
          <c:order val="5"/>
          <c:tx>
            <c:strRef>
              <c:f>'Short-sea (MGO)'!$A$79</c:f>
              <c:strCache>
                <c:ptCount val="1"/>
                <c:pt idx="0">
                  <c:v>Opex maintenance &amp; repair</c:v>
                </c:pt>
              </c:strCache>
            </c:strRef>
          </c:tx>
          <c:spPr>
            <a:solidFill>
              <a:schemeClr val="accent6"/>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(MGO)'!$B$79,'Short-sea (MGO)'!$N$79,'Short-sea (MGO)'!$AC$79)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E27A-4C07-92B9-CBE69A820DA1}"/>
            </c:ext>
          </c:extLst>
        </c:ser>
        <c:ser>
          <c:idx val="6"/>
          <c:order val="6"/>
          <c:tx>
            <c:strRef>
              <c:f>'Short-sea (MGO)'!$A$80</c:f>
              <c:strCache>
                <c:ptCount val="1"/>
                <c:pt idx="0">
                  <c:v>Opex var (mode-fees)</c:v>
                </c:pt>
              </c:strCache>
            </c:strRef>
          </c:tx>
          <c:spPr>
            <a:solidFill>
              <a:schemeClr val="accent1">
                <a:lumMod val="60000"/>
              </a:schemeClr>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(MGO)'!$B$80,'Short-sea (MGO)'!$N$80,'Short-sea (MGO)'!$AC$80)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E27A-4C07-92B9-CBE69A820DA1}"/>
            </c:ext>
          </c:extLst>
        </c:ser>
        <c:ser>
          <c:idx val="7"/>
          <c:order val="7"/>
          <c:tx>
            <c:strRef>
              <c:f>'Short-sea (MGO)'!$A$81</c:f>
              <c:strCache>
                <c:ptCount val="1"/>
                <c:pt idx="0">
                  <c:v>Fuel Cost</c:v>
                </c:pt>
              </c:strCache>
            </c:strRef>
          </c:tx>
          <c:spPr>
            <a:solidFill>
              <a:schemeClr val="accent2">
                <a:lumMod val="60000"/>
              </a:schemeClr>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(MGO)'!$B$81,'Short-sea (MGO)'!$N$81,'Short-sea (MGO)'!$AC$81)</c:f>
              <c:numCache>
                <c:formatCode>0.00</c:formatCode>
                <c:ptCount val="3"/>
                <c:pt idx="0">
                  <c:v>4.1072811176853007E-3</c:v>
                </c:pt>
                <c:pt idx="1">
                  <c:v>4.0639341944186261E-3</c:v>
                </c:pt>
                <c:pt idx="2">
                  <c:v>3.8143587647444083E-3</c:v>
                </c:pt>
              </c:numCache>
            </c:numRef>
          </c:val>
          <c:extLst>
            <c:ext xmlns:c16="http://schemas.microsoft.com/office/drawing/2014/chart" uri="{C3380CC4-5D6E-409C-BE32-E72D297353CC}">
              <c16:uniqueId val="{00000007-E27A-4C07-92B9-CBE69A820DA1}"/>
            </c:ext>
          </c:extLst>
        </c:ser>
        <c:ser>
          <c:idx val="8"/>
          <c:order val="8"/>
          <c:tx>
            <c:strRef>
              <c:f>'Short-sea (MGO)'!$A$82</c:f>
              <c:strCache>
                <c:ptCount val="1"/>
                <c:pt idx="0">
                  <c:v>Market failure (av. utilization)</c:v>
                </c:pt>
              </c:strCache>
            </c:strRef>
          </c:tx>
          <c:spPr>
            <a:solidFill>
              <a:schemeClr val="accent3">
                <a:lumMod val="60000"/>
              </a:schemeClr>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(MGO)'!$B$82,'Short-sea (MGO)'!$N$82,'Short-sea (MGO)'!$AC$82)</c:f>
              <c:numCache>
                <c:formatCode>0.00</c:formatCode>
                <c:ptCount val="3"/>
                <c:pt idx="0">
                  <c:v>4.0161995118700826E-3</c:v>
                </c:pt>
                <c:pt idx="1">
                  <c:v>4.2795537659014726E-3</c:v>
                </c:pt>
                <c:pt idx="2">
                  <c:v>5.7958494139699612E-3</c:v>
                </c:pt>
              </c:numCache>
            </c:numRef>
          </c:val>
          <c:extLst>
            <c:ext xmlns:c16="http://schemas.microsoft.com/office/drawing/2014/chart" uri="{C3380CC4-5D6E-409C-BE32-E72D297353CC}">
              <c16:uniqueId val="{00000008-E27A-4C07-92B9-CBE69A820DA1}"/>
            </c:ext>
          </c:extLst>
        </c:ser>
        <c:ser>
          <c:idx val="9"/>
          <c:order val="9"/>
          <c:tx>
            <c:strRef>
              <c:f>'Short-sea (MGO)'!$A$83</c:f>
              <c:strCache>
                <c:ptCount val="1"/>
                <c:pt idx="0">
                  <c:v>Payload loss (fuel)</c:v>
                </c:pt>
              </c:strCache>
            </c:strRef>
          </c:tx>
          <c:spPr>
            <a:solidFill>
              <a:schemeClr val="accent4">
                <a:lumMod val="60000"/>
              </a:schemeClr>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(MGO)'!$B$83,'Short-sea (MGO)'!$N$83,'Short-sea (MGO)'!$AC$83)</c:f>
              <c:numCache>
                <c:formatCode>0.00</c:formatCode>
                <c:ptCount val="3"/>
                <c:pt idx="0">
                  <c:v>0</c:v>
                </c:pt>
                <c:pt idx="1">
                  <c:v>0</c:v>
                </c:pt>
                <c:pt idx="2">
                  <c:v>0</c:v>
                </c:pt>
              </c:numCache>
            </c:numRef>
          </c:val>
          <c:extLst>
            <c:ext xmlns:c16="http://schemas.microsoft.com/office/drawing/2014/chart" uri="{C3380CC4-5D6E-409C-BE32-E72D297353CC}">
              <c16:uniqueId val="{00000009-E27A-4C07-92B9-CBE69A820DA1}"/>
            </c:ext>
          </c:extLst>
        </c:ser>
        <c:ser>
          <c:idx val="10"/>
          <c:order val="10"/>
          <c:tx>
            <c:strRef>
              <c:f>'Short-sea (MGO)'!$A$190</c:f>
              <c:strCache>
                <c:ptCount val="1"/>
                <c:pt idx="0">
                  <c:v>Emission Cost</c:v>
                </c:pt>
              </c:strCache>
            </c:strRef>
          </c:tx>
          <c:spPr>
            <a:solidFill>
              <a:schemeClr val="accent5">
                <a:lumMod val="60000"/>
              </a:schemeClr>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(MGO)'!$B$190,'Short-sea (MGO)'!$N$190,'Short-sea (MGO)'!$AC$190)</c:f>
              <c:numCache>
                <c:formatCode>0.000</c:formatCode>
                <c:ptCount val="3"/>
                <c:pt idx="0">
                  <c:v>1.8343688133195604E-3</c:v>
                </c:pt>
                <c:pt idx="1">
                  <c:v>2.4298282614389497E-3</c:v>
                </c:pt>
                <c:pt idx="2">
                  <c:v>5.8582618483787648E-3</c:v>
                </c:pt>
              </c:numCache>
            </c:numRef>
          </c:val>
          <c:extLst>
            <c:ext xmlns:c16="http://schemas.microsoft.com/office/drawing/2014/chart" uri="{C3380CC4-5D6E-409C-BE32-E72D297353CC}">
              <c16:uniqueId val="{00000001-E1E0-405D-983D-3C4F95FC6FB9}"/>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(MGO)'!$A$11</c:f>
              <c:strCache>
                <c:ptCount val="1"/>
                <c:pt idx="0">
                  <c:v>Capex vehicle</c:v>
                </c:pt>
              </c:strCache>
            </c:strRef>
          </c:tx>
          <c:spPr>
            <a:ln w="28575" cap="rnd">
              <a:solidFill>
                <a:schemeClr val="accent1"/>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7C69-4BEF-ADFF-89FA72C67DD8}"/>
            </c:ext>
          </c:extLst>
        </c:ser>
        <c:ser>
          <c:idx val="13"/>
          <c:order val="1"/>
          <c:tx>
            <c:strRef>
              <c:f>'Short-sea (MGO)'!$A$12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(MGO)'!$Q$12:$AR$12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7C69-4BEF-ADFF-89FA72C67DD8}"/>
            </c:ext>
          </c:extLst>
        </c:ser>
        <c:ser>
          <c:idx val="1"/>
          <c:order val="2"/>
          <c:tx>
            <c:strRef>
              <c:f>'Short-sea (MGO)'!$A$13</c:f>
              <c:strCache>
                <c:ptCount val="1"/>
                <c:pt idx="0">
                  <c:v>Capex costumization</c:v>
                </c:pt>
              </c:strCache>
            </c:strRef>
          </c:tx>
          <c:spPr>
            <a:ln w="28575" cap="rnd">
              <a:solidFill>
                <a:schemeClr val="accent2"/>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7C69-4BEF-ADFF-89FA72C67DD8}"/>
            </c:ext>
          </c:extLst>
        </c:ser>
        <c:ser>
          <c:idx val="14"/>
          <c:order val="3"/>
          <c:tx>
            <c:strRef>
              <c:f>'Short-sea (MGO)'!$A$14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(MGO)'!$Q$14:$AR$14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7C69-4BEF-ADFF-89FA72C67DD8}"/>
            </c:ext>
          </c:extLst>
        </c:ser>
        <c:ser>
          <c:idx val="2"/>
          <c:order val="4"/>
          <c:tx>
            <c:strRef>
              <c:f>'Short-sea (MGO)'!$A$15</c:f>
              <c:strCache>
                <c:ptCount val="1"/>
                <c:pt idx="0">
                  <c:v>WACC</c:v>
                </c:pt>
              </c:strCache>
            </c:strRef>
          </c:tx>
          <c:spPr>
            <a:ln w="28575" cap="rnd">
              <a:solidFill>
                <a:schemeClr val="accent3"/>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7C69-4BEF-ADFF-89FA72C67DD8}"/>
            </c:ext>
          </c:extLst>
        </c:ser>
        <c:ser>
          <c:idx val="3"/>
          <c:order val="5"/>
          <c:tx>
            <c:strRef>
              <c:f>'Short-sea (MGO)'!$A$16</c:f>
              <c:strCache>
                <c:ptCount val="1"/>
                <c:pt idx="0">
                  <c:v>Opex fix (admin, crew, insurance)</c:v>
                </c:pt>
              </c:strCache>
            </c:strRef>
          </c:tx>
          <c:spPr>
            <a:ln w="28575" cap="rnd">
              <a:solidFill>
                <a:schemeClr val="accent4"/>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7C69-4BEF-ADFF-89FA72C67DD8}"/>
            </c:ext>
          </c:extLst>
        </c:ser>
        <c:ser>
          <c:idx val="4"/>
          <c:order val="6"/>
          <c:tx>
            <c:strRef>
              <c:f>'Short-sea (MGO)'!$A$18</c:f>
              <c:strCache>
                <c:ptCount val="1"/>
                <c:pt idx="0">
                  <c:v>Opex var (mode-fees)</c:v>
                </c:pt>
              </c:strCache>
            </c:strRef>
          </c:tx>
          <c:spPr>
            <a:ln w="28575" cap="rnd">
              <a:solidFill>
                <a:schemeClr val="accent5"/>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7C69-4BEF-ADFF-89FA72C67DD8}"/>
            </c:ext>
          </c:extLst>
        </c:ser>
        <c:ser>
          <c:idx val="5"/>
          <c:order val="7"/>
          <c:tx>
            <c:strRef>
              <c:f>'Short-sea (MGO)'!$A$19</c:f>
              <c:strCache>
                <c:ptCount val="1"/>
                <c:pt idx="0">
                  <c:v>Fuel Economy</c:v>
                </c:pt>
              </c:strCache>
            </c:strRef>
          </c:tx>
          <c:spPr>
            <a:ln w="28575" cap="rnd">
              <a:solidFill>
                <a:schemeClr val="accent6"/>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7C69-4BEF-ADFF-89FA72C67DD8}"/>
            </c:ext>
          </c:extLst>
        </c:ser>
        <c:ser>
          <c:idx val="6"/>
          <c:order val="8"/>
          <c:tx>
            <c:strRef>
              <c:f>'Short-sea (MGO)'!$A$20</c:f>
              <c:strCache>
                <c:ptCount val="1"/>
                <c:pt idx="0">
                  <c:v>Fuel Cost</c:v>
                </c:pt>
              </c:strCache>
            </c:strRef>
          </c:tx>
          <c:spPr>
            <a:ln w="28575" cap="rnd">
              <a:solidFill>
                <a:schemeClr val="accent1">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7C69-4BEF-ADFF-89FA72C67DD8}"/>
            </c:ext>
          </c:extLst>
        </c:ser>
        <c:ser>
          <c:idx val="7"/>
          <c:order val="9"/>
          <c:tx>
            <c:strRef>
              <c:f>'Short-sea (MGO)'!$A$22</c:f>
              <c:strCache>
                <c:ptCount val="1"/>
                <c:pt idx="0">
                  <c:v>Lifetime vehicle</c:v>
                </c:pt>
              </c:strCache>
            </c:strRef>
          </c:tx>
          <c:spPr>
            <a:ln w="28575" cap="rnd">
              <a:solidFill>
                <a:schemeClr val="accent2">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7C69-4BEF-ADFF-89FA72C67DD8}"/>
            </c:ext>
          </c:extLst>
        </c:ser>
        <c:ser>
          <c:idx val="8"/>
          <c:order val="10"/>
          <c:tx>
            <c:strRef>
              <c:f>'Short-sea (MGO)'!$A$23</c:f>
              <c:strCache>
                <c:ptCount val="1"/>
                <c:pt idx="0">
                  <c:v>Lifetime costumization</c:v>
                </c:pt>
              </c:strCache>
            </c:strRef>
          </c:tx>
          <c:spPr>
            <a:ln w="28575" cap="rnd">
              <a:solidFill>
                <a:schemeClr val="accent3">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7C69-4BEF-ADFF-89FA72C67DD8}"/>
            </c:ext>
          </c:extLst>
        </c:ser>
        <c:ser>
          <c:idx val="9"/>
          <c:order val="11"/>
          <c:tx>
            <c:strRef>
              <c:f>'Short-sea (MGO)'!$A$24</c:f>
              <c:strCache>
                <c:ptCount val="1"/>
                <c:pt idx="0">
                  <c:v>Tonnage .</c:v>
                </c:pt>
              </c:strCache>
            </c:strRef>
          </c:tx>
          <c:spPr>
            <a:ln w="28575" cap="rnd">
              <a:solidFill>
                <a:schemeClr val="accent4">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7C69-4BEF-ADFF-89FA72C67DD8}"/>
            </c:ext>
          </c:extLst>
        </c:ser>
        <c:ser>
          <c:idx val="10"/>
          <c:order val="12"/>
          <c:tx>
            <c:strRef>
              <c:f>'Short-sea (MGO)'!$A$25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7C69-4BEF-ADFF-89FA72C67DD8}"/>
            </c:ext>
          </c:extLst>
        </c:ser>
        <c:ser>
          <c:idx val="11"/>
          <c:order val="13"/>
          <c:tx>
            <c:strRef>
              <c:f>'Short-sea (MGO)'!$A$27</c:f>
              <c:strCache>
                <c:ptCount val="1"/>
                <c:pt idx="0">
                  <c:v>Annual Mileage</c:v>
                </c:pt>
              </c:strCache>
            </c:strRef>
          </c:tx>
          <c:spPr>
            <a:ln w="28575" cap="rnd">
              <a:solidFill>
                <a:schemeClr val="accent6">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7C69-4BEF-ADFF-89FA72C67DD8}"/>
            </c:ext>
          </c:extLst>
        </c:ser>
        <c:ser>
          <c:idx val="12"/>
          <c:order val="14"/>
          <c:tx>
            <c:strRef>
              <c:f>'Short-sea (MGO)'!$A$17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(MGO)'!$Q$17:$AR$17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7C69-4BEF-ADFF-89FA72C67DD8}"/>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(MGO)'!$A$74</c:f>
              <c:strCache>
                <c:ptCount val="1"/>
                <c:pt idx="0">
                  <c:v>Capex vehicle</c:v>
                </c:pt>
              </c:strCache>
            </c:strRef>
          </c:tx>
          <c:spPr>
            <a:solidFill>
              <a:schemeClr val="accent1"/>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(MGO)'!$B$74,'Short-sea (MGO)'!$N$74,'Short-sea (MGO)'!$AC$74)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7008-459C-B852-A56F31C35D23}"/>
            </c:ext>
          </c:extLst>
        </c:ser>
        <c:ser>
          <c:idx val="1"/>
          <c:order val="1"/>
          <c:tx>
            <c:strRef>
              <c:f>'Short-sea (MGO)'!$A$75</c:f>
              <c:strCache>
                <c:ptCount val="1"/>
                <c:pt idx="0">
                  <c:v>Residual value (vehicle)</c:v>
                </c:pt>
              </c:strCache>
            </c:strRef>
          </c:tx>
          <c:spPr>
            <a:solidFill>
              <a:schemeClr val="accent2"/>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(MGO)'!$B$75,'Short-sea (MGO)'!$N$75,'Short-sea (MGO)'!$AC$75)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7008-459C-B852-A56F31C35D23}"/>
            </c:ext>
          </c:extLst>
        </c:ser>
        <c:ser>
          <c:idx val="2"/>
          <c:order val="2"/>
          <c:tx>
            <c:strRef>
              <c:f>'Short-sea (MGO)'!$A$76</c:f>
              <c:strCache>
                <c:ptCount val="1"/>
                <c:pt idx="0">
                  <c:v>Capex costumization</c:v>
                </c:pt>
              </c:strCache>
            </c:strRef>
          </c:tx>
          <c:spPr>
            <a:solidFill>
              <a:schemeClr val="accent3"/>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(MGO)'!$B$76,'Short-sea (MGO)'!$N$76,'Short-sea (MGO)'!$AC$76)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7008-459C-B852-A56F31C35D23}"/>
            </c:ext>
          </c:extLst>
        </c:ser>
        <c:ser>
          <c:idx val="3"/>
          <c:order val="3"/>
          <c:tx>
            <c:strRef>
              <c:f>'Short-sea (MGO)'!$A$77</c:f>
              <c:strCache>
                <c:ptCount val="1"/>
                <c:pt idx="0">
                  <c:v>Residual value (costumization)</c:v>
                </c:pt>
              </c:strCache>
            </c:strRef>
          </c:tx>
          <c:spPr>
            <a:solidFill>
              <a:schemeClr val="accent4"/>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(MGO)'!$B$77,'Short-sea (MGO)'!$N$77,'Short-sea (MGO)'!$AC$77)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7008-459C-B852-A56F31C35D23}"/>
            </c:ext>
          </c:extLst>
        </c:ser>
        <c:ser>
          <c:idx val="4"/>
          <c:order val="4"/>
          <c:tx>
            <c:strRef>
              <c:f>'Short-sea (MGO)'!$A$78</c:f>
              <c:strCache>
                <c:ptCount val="1"/>
                <c:pt idx="0">
                  <c:v>Opex fix (admin, crew, insurance)</c:v>
                </c:pt>
              </c:strCache>
            </c:strRef>
          </c:tx>
          <c:spPr>
            <a:solidFill>
              <a:schemeClr val="accent5"/>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(MGO)'!$B$78,'Short-sea (MGO)'!$N$78,'Short-sea (MGO)'!$AC$78)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7008-459C-B852-A56F31C35D23}"/>
            </c:ext>
          </c:extLst>
        </c:ser>
        <c:ser>
          <c:idx val="5"/>
          <c:order val="5"/>
          <c:tx>
            <c:strRef>
              <c:f>'Short-sea (MGO)'!$A$79</c:f>
              <c:strCache>
                <c:ptCount val="1"/>
                <c:pt idx="0">
                  <c:v>Opex maintenance &amp; repair</c:v>
                </c:pt>
              </c:strCache>
            </c:strRef>
          </c:tx>
          <c:spPr>
            <a:solidFill>
              <a:schemeClr val="accent6"/>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(MGO)'!$B$79,'Short-sea (MGO)'!$N$79,'Short-sea (MGO)'!$AC$79)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7008-459C-B852-A56F31C35D23}"/>
            </c:ext>
          </c:extLst>
        </c:ser>
        <c:ser>
          <c:idx val="6"/>
          <c:order val="6"/>
          <c:tx>
            <c:strRef>
              <c:f>'Short-sea (MGO)'!$A$80</c:f>
              <c:strCache>
                <c:ptCount val="1"/>
                <c:pt idx="0">
                  <c:v>Opex var (mode-fees)</c:v>
                </c:pt>
              </c:strCache>
            </c:strRef>
          </c:tx>
          <c:spPr>
            <a:solidFill>
              <a:schemeClr val="accent1">
                <a:lumMod val="60000"/>
              </a:schemeClr>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(MGO)'!$B$80,'Short-sea (MGO)'!$N$80,'Short-sea (MGO)'!$AC$80)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7008-459C-B852-A56F31C35D23}"/>
            </c:ext>
          </c:extLst>
        </c:ser>
        <c:ser>
          <c:idx val="7"/>
          <c:order val="7"/>
          <c:tx>
            <c:strRef>
              <c:f>'Short-sea (MGO)'!$A$81</c:f>
              <c:strCache>
                <c:ptCount val="1"/>
                <c:pt idx="0">
                  <c:v>Fuel Cost</c:v>
                </c:pt>
              </c:strCache>
            </c:strRef>
          </c:tx>
          <c:spPr>
            <a:solidFill>
              <a:schemeClr val="accent2">
                <a:lumMod val="60000"/>
              </a:schemeClr>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(MGO)'!$B$81,'Short-sea (MGO)'!$N$81,'Short-sea (MGO)'!$AC$81)</c:f>
              <c:numCache>
                <c:formatCode>0.00</c:formatCode>
                <c:ptCount val="3"/>
                <c:pt idx="0">
                  <c:v>4.1072811176853007E-3</c:v>
                </c:pt>
                <c:pt idx="1">
                  <c:v>4.0639341944186261E-3</c:v>
                </c:pt>
                <c:pt idx="2">
                  <c:v>3.8143587647444083E-3</c:v>
                </c:pt>
              </c:numCache>
            </c:numRef>
          </c:val>
          <c:extLst>
            <c:ext xmlns:c16="http://schemas.microsoft.com/office/drawing/2014/chart" uri="{C3380CC4-5D6E-409C-BE32-E72D297353CC}">
              <c16:uniqueId val="{00000007-7008-459C-B852-A56F31C35D23}"/>
            </c:ext>
          </c:extLst>
        </c:ser>
        <c:ser>
          <c:idx val="8"/>
          <c:order val="8"/>
          <c:tx>
            <c:strRef>
              <c:f>'Short-sea (MGO)'!$A$82</c:f>
              <c:strCache>
                <c:ptCount val="1"/>
                <c:pt idx="0">
                  <c:v>Market failure (av. utilization)</c:v>
                </c:pt>
              </c:strCache>
            </c:strRef>
          </c:tx>
          <c:spPr>
            <a:solidFill>
              <a:schemeClr val="accent3">
                <a:lumMod val="60000"/>
              </a:schemeClr>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(MGO)'!$B$82,'Short-sea (MGO)'!$N$82,'Short-sea (MGO)'!$AC$82)</c:f>
              <c:numCache>
                <c:formatCode>0.00</c:formatCode>
                <c:ptCount val="3"/>
                <c:pt idx="0">
                  <c:v>4.0161995118700826E-3</c:v>
                </c:pt>
                <c:pt idx="1">
                  <c:v>4.2795537659014726E-3</c:v>
                </c:pt>
                <c:pt idx="2">
                  <c:v>5.7958494139699612E-3</c:v>
                </c:pt>
              </c:numCache>
            </c:numRef>
          </c:val>
          <c:extLst>
            <c:ext xmlns:c16="http://schemas.microsoft.com/office/drawing/2014/chart" uri="{C3380CC4-5D6E-409C-BE32-E72D297353CC}">
              <c16:uniqueId val="{00000008-7008-459C-B852-A56F31C35D23}"/>
            </c:ext>
          </c:extLst>
        </c:ser>
        <c:ser>
          <c:idx val="9"/>
          <c:order val="9"/>
          <c:tx>
            <c:strRef>
              <c:f>'Short-sea (MGO)'!$A$83</c:f>
              <c:strCache>
                <c:ptCount val="1"/>
                <c:pt idx="0">
                  <c:v>Payload loss (fuel)</c:v>
                </c:pt>
              </c:strCache>
            </c:strRef>
          </c:tx>
          <c:spPr>
            <a:solidFill>
              <a:schemeClr val="accent4">
                <a:lumMod val="60000"/>
              </a:schemeClr>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(MGO)'!$B$83,'Short-sea (MGO)'!$N$83,'Short-sea (MGO)'!$AC$83)</c:f>
              <c:numCache>
                <c:formatCode>0.00</c:formatCode>
                <c:ptCount val="3"/>
                <c:pt idx="0">
                  <c:v>0</c:v>
                </c:pt>
                <c:pt idx="1">
                  <c:v>0</c:v>
                </c:pt>
                <c:pt idx="2">
                  <c:v>0</c:v>
                </c:pt>
              </c:numCache>
            </c:numRef>
          </c:val>
          <c:extLst>
            <c:ext xmlns:c16="http://schemas.microsoft.com/office/drawing/2014/chart" uri="{C3380CC4-5D6E-409C-BE32-E72D297353CC}">
              <c16:uniqueId val="{00000009-7008-459C-B852-A56F31C35D23}"/>
            </c:ext>
          </c:extLst>
        </c:ser>
        <c:ser>
          <c:idx val="10"/>
          <c:order val="10"/>
          <c:tx>
            <c:strRef>
              <c:f>'Short-sea (MGO)'!$A$298</c:f>
              <c:strCache>
                <c:ptCount val="1"/>
                <c:pt idx="0">
                  <c:v>Emission Cost</c:v>
                </c:pt>
              </c:strCache>
            </c:strRef>
          </c:tx>
          <c:spPr>
            <a:solidFill>
              <a:schemeClr val="accent5">
                <a:lumMod val="60000"/>
              </a:schemeClr>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(MGO)'!$B$298,'Short-sea (MGO)'!$N$298,'Short-sea (MGO)'!$AC$298)</c:f>
              <c:numCache>
                <c:formatCode>0.000</c:formatCode>
                <c:ptCount val="3"/>
                <c:pt idx="0">
                  <c:v>1.8343688133195604E-3</c:v>
                </c:pt>
                <c:pt idx="1">
                  <c:v>2.4298282614389497E-3</c:v>
                </c:pt>
                <c:pt idx="2">
                  <c:v>5.8582618483787648E-3</c:v>
                </c:pt>
              </c:numCache>
            </c:numRef>
          </c:val>
          <c:extLst>
            <c:ext xmlns:c16="http://schemas.microsoft.com/office/drawing/2014/chart" uri="{C3380CC4-5D6E-409C-BE32-E72D297353CC}">
              <c16:uniqueId val="{00000000-A16E-47F1-B877-00A32C2680DD}"/>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(MGO)'!$A$11</c:f>
              <c:strCache>
                <c:ptCount val="1"/>
                <c:pt idx="0">
                  <c:v>Capex vehicle</c:v>
                </c:pt>
              </c:strCache>
            </c:strRef>
          </c:tx>
          <c:spPr>
            <a:ln w="28575" cap="rnd">
              <a:solidFill>
                <a:schemeClr val="accent1"/>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433D-4F07-B681-ED0C3CBA9E2B}"/>
            </c:ext>
          </c:extLst>
        </c:ser>
        <c:ser>
          <c:idx val="13"/>
          <c:order val="1"/>
          <c:tx>
            <c:strRef>
              <c:f>'Short-sea (MGO)'!$A$12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(MGO)'!$Q$12:$AR$12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433D-4F07-B681-ED0C3CBA9E2B}"/>
            </c:ext>
          </c:extLst>
        </c:ser>
        <c:ser>
          <c:idx val="1"/>
          <c:order val="2"/>
          <c:tx>
            <c:strRef>
              <c:f>'Short-sea (MGO)'!$A$13</c:f>
              <c:strCache>
                <c:ptCount val="1"/>
                <c:pt idx="0">
                  <c:v>Capex costumization</c:v>
                </c:pt>
              </c:strCache>
            </c:strRef>
          </c:tx>
          <c:spPr>
            <a:ln w="28575" cap="rnd">
              <a:solidFill>
                <a:schemeClr val="accent2"/>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433D-4F07-B681-ED0C3CBA9E2B}"/>
            </c:ext>
          </c:extLst>
        </c:ser>
        <c:ser>
          <c:idx val="14"/>
          <c:order val="3"/>
          <c:tx>
            <c:strRef>
              <c:f>'Short-sea (MGO)'!$A$14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(MGO)'!$Q$14:$AR$14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433D-4F07-B681-ED0C3CBA9E2B}"/>
            </c:ext>
          </c:extLst>
        </c:ser>
        <c:ser>
          <c:idx val="2"/>
          <c:order val="4"/>
          <c:tx>
            <c:strRef>
              <c:f>'Short-sea (MGO)'!$A$15</c:f>
              <c:strCache>
                <c:ptCount val="1"/>
                <c:pt idx="0">
                  <c:v>WACC</c:v>
                </c:pt>
              </c:strCache>
            </c:strRef>
          </c:tx>
          <c:spPr>
            <a:ln w="28575" cap="rnd">
              <a:solidFill>
                <a:schemeClr val="accent3"/>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433D-4F07-B681-ED0C3CBA9E2B}"/>
            </c:ext>
          </c:extLst>
        </c:ser>
        <c:ser>
          <c:idx val="3"/>
          <c:order val="5"/>
          <c:tx>
            <c:strRef>
              <c:f>'Short-sea (MGO)'!$A$16</c:f>
              <c:strCache>
                <c:ptCount val="1"/>
                <c:pt idx="0">
                  <c:v>Opex fix (admin, crew, insurance)</c:v>
                </c:pt>
              </c:strCache>
            </c:strRef>
          </c:tx>
          <c:spPr>
            <a:ln w="28575" cap="rnd">
              <a:solidFill>
                <a:schemeClr val="accent4"/>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433D-4F07-B681-ED0C3CBA9E2B}"/>
            </c:ext>
          </c:extLst>
        </c:ser>
        <c:ser>
          <c:idx val="4"/>
          <c:order val="6"/>
          <c:tx>
            <c:strRef>
              <c:f>'Short-sea (MGO)'!$A$18</c:f>
              <c:strCache>
                <c:ptCount val="1"/>
                <c:pt idx="0">
                  <c:v>Opex var (mode-fees)</c:v>
                </c:pt>
              </c:strCache>
            </c:strRef>
          </c:tx>
          <c:spPr>
            <a:ln w="28575" cap="rnd">
              <a:solidFill>
                <a:schemeClr val="accent5"/>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433D-4F07-B681-ED0C3CBA9E2B}"/>
            </c:ext>
          </c:extLst>
        </c:ser>
        <c:ser>
          <c:idx val="5"/>
          <c:order val="7"/>
          <c:tx>
            <c:strRef>
              <c:f>'Short-sea (MGO)'!$A$19</c:f>
              <c:strCache>
                <c:ptCount val="1"/>
                <c:pt idx="0">
                  <c:v>Fuel Economy</c:v>
                </c:pt>
              </c:strCache>
            </c:strRef>
          </c:tx>
          <c:spPr>
            <a:ln w="28575" cap="rnd">
              <a:solidFill>
                <a:schemeClr val="accent6"/>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433D-4F07-B681-ED0C3CBA9E2B}"/>
            </c:ext>
          </c:extLst>
        </c:ser>
        <c:ser>
          <c:idx val="6"/>
          <c:order val="8"/>
          <c:tx>
            <c:strRef>
              <c:f>'Short-sea (MGO)'!$A$20</c:f>
              <c:strCache>
                <c:ptCount val="1"/>
                <c:pt idx="0">
                  <c:v>Fuel Cost</c:v>
                </c:pt>
              </c:strCache>
            </c:strRef>
          </c:tx>
          <c:spPr>
            <a:ln w="28575" cap="rnd">
              <a:solidFill>
                <a:schemeClr val="accent1">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433D-4F07-B681-ED0C3CBA9E2B}"/>
            </c:ext>
          </c:extLst>
        </c:ser>
        <c:ser>
          <c:idx val="7"/>
          <c:order val="9"/>
          <c:tx>
            <c:strRef>
              <c:f>'Short-sea (MGO)'!$A$22</c:f>
              <c:strCache>
                <c:ptCount val="1"/>
                <c:pt idx="0">
                  <c:v>Lifetime vehicle</c:v>
                </c:pt>
              </c:strCache>
            </c:strRef>
          </c:tx>
          <c:spPr>
            <a:ln w="28575" cap="rnd">
              <a:solidFill>
                <a:schemeClr val="accent2">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433D-4F07-B681-ED0C3CBA9E2B}"/>
            </c:ext>
          </c:extLst>
        </c:ser>
        <c:ser>
          <c:idx val="8"/>
          <c:order val="10"/>
          <c:tx>
            <c:strRef>
              <c:f>'Short-sea (MGO)'!$A$23</c:f>
              <c:strCache>
                <c:ptCount val="1"/>
                <c:pt idx="0">
                  <c:v>Lifetime costumization</c:v>
                </c:pt>
              </c:strCache>
            </c:strRef>
          </c:tx>
          <c:spPr>
            <a:ln w="28575" cap="rnd">
              <a:solidFill>
                <a:schemeClr val="accent3">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433D-4F07-B681-ED0C3CBA9E2B}"/>
            </c:ext>
          </c:extLst>
        </c:ser>
        <c:ser>
          <c:idx val="9"/>
          <c:order val="11"/>
          <c:tx>
            <c:strRef>
              <c:f>'Short-sea (MGO)'!$A$24</c:f>
              <c:strCache>
                <c:ptCount val="1"/>
                <c:pt idx="0">
                  <c:v>Tonnage .</c:v>
                </c:pt>
              </c:strCache>
            </c:strRef>
          </c:tx>
          <c:spPr>
            <a:ln w="28575" cap="rnd">
              <a:solidFill>
                <a:schemeClr val="accent4">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433D-4F07-B681-ED0C3CBA9E2B}"/>
            </c:ext>
          </c:extLst>
        </c:ser>
        <c:ser>
          <c:idx val="10"/>
          <c:order val="12"/>
          <c:tx>
            <c:strRef>
              <c:f>'Short-sea (MGO)'!$A$25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433D-4F07-B681-ED0C3CBA9E2B}"/>
            </c:ext>
          </c:extLst>
        </c:ser>
        <c:ser>
          <c:idx val="11"/>
          <c:order val="13"/>
          <c:tx>
            <c:strRef>
              <c:f>'Short-sea (MGO)'!$A$27</c:f>
              <c:strCache>
                <c:ptCount val="1"/>
                <c:pt idx="0">
                  <c:v>Annual Mileage</c:v>
                </c:pt>
              </c:strCache>
            </c:strRef>
          </c:tx>
          <c:spPr>
            <a:ln w="28575" cap="rnd">
              <a:solidFill>
                <a:schemeClr val="accent6">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433D-4F07-B681-ED0C3CBA9E2B}"/>
            </c:ext>
          </c:extLst>
        </c:ser>
        <c:ser>
          <c:idx val="12"/>
          <c:order val="14"/>
          <c:tx>
            <c:strRef>
              <c:f>'Short-sea (MGO)'!$A$17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(MGO)'!$Q$17:$AR$17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433D-4F07-B681-ED0C3CBA9E2B}"/>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(MGO)'!$A$74</c:f>
              <c:strCache>
                <c:ptCount val="1"/>
                <c:pt idx="0">
                  <c:v>Capex vehicle</c:v>
                </c:pt>
              </c:strCache>
            </c:strRef>
          </c:tx>
          <c:spPr>
            <a:solidFill>
              <a:schemeClr val="accent1"/>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(MGO)'!$B$74,'Short-sea (MGO)'!$N$74,'Short-sea (MGO)'!$AC$74)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B11C-44D5-B42B-589144BC1338}"/>
            </c:ext>
          </c:extLst>
        </c:ser>
        <c:ser>
          <c:idx val="1"/>
          <c:order val="1"/>
          <c:tx>
            <c:strRef>
              <c:f>'Short-sea (MGO)'!$A$75</c:f>
              <c:strCache>
                <c:ptCount val="1"/>
                <c:pt idx="0">
                  <c:v>Residual value (vehicle)</c:v>
                </c:pt>
              </c:strCache>
            </c:strRef>
          </c:tx>
          <c:spPr>
            <a:solidFill>
              <a:schemeClr val="accent2"/>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(MGO)'!$B$75,'Short-sea (MGO)'!$N$75,'Short-sea (MGO)'!$AC$75)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B11C-44D5-B42B-589144BC1338}"/>
            </c:ext>
          </c:extLst>
        </c:ser>
        <c:ser>
          <c:idx val="2"/>
          <c:order val="2"/>
          <c:tx>
            <c:strRef>
              <c:f>'Short-sea (MGO)'!$A$76</c:f>
              <c:strCache>
                <c:ptCount val="1"/>
                <c:pt idx="0">
                  <c:v>Capex costumization</c:v>
                </c:pt>
              </c:strCache>
            </c:strRef>
          </c:tx>
          <c:spPr>
            <a:solidFill>
              <a:schemeClr val="accent3"/>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(MGO)'!$B$76,'Short-sea (MGO)'!$N$76,'Short-sea (MGO)'!$AC$76)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B11C-44D5-B42B-589144BC1338}"/>
            </c:ext>
          </c:extLst>
        </c:ser>
        <c:ser>
          <c:idx val="3"/>
          <c:order val="3"/>
          <c:tx>
            <c:strRef>
              <c:f>'Short-sea (MGO)'!$A$77</c:f>
              <c:strCache>
                <c:ptCount val="1"/>
                <c:pt idx="0">
                  <c:v>Residual value (costumization)</c:v>
                </c:pt>
              </c:strCache>
            </c:strRef>
          </c:tx>
          <c:spPr>
            <a:solidFill>
              <a:schemeClr val="accent4"/>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(MGO)'!$B$77,'Short-sea (MGO)'!$N$77,'Short-sea (MGO)'!$AC$77)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B11C-44D5-B42B-589144BC1338}"/>
            </c:ext>
          </c:extLst>
        </c:ser>
        <c:ser>
          <c:idx val="4"/>
          <c:order val="4"/>
          <c:tx>
            <c:strRef>
              <c:f>'Short-sea (MGO)'!$A$78</c:f>
              <c:strCache>
                <c:ptCount val="1"/>
                <c:pt idx="0">
                  <c:v>Opex fix (admin, crew, insurance)</c:v>
                </c:pt>
              </c:strCache>
            </c:strRef>
          </c:tx>
          <c:spPr>
            <a:solidFill>
              <a:schemeClr val="accent5"/>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(MGO)'!$B$78,'Short-sea (MGO)'!$N$78,'Short-sea (MGO)'!$AC$78)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B11C-44D5-B42B-589144BC1338}"/>
            </c:ext>
          </c:extLst>
        </c:ser>
        <c:ser>
          <c:idx val="5"/>
          <c:order val="5"/>
          <c:tx>
            <c:strRef>
              <c:f>'Short-sea (MGO)'!$A$79</c:f>
              <c:strCache>
                <c:ptCount val="1"/>
                <c:pt idx="0">
                  <c:v>Opex maintenance &amp; repair</c:v>
                </c:pt>
              </c:strCache>
            </c:strRef>
          </c:tx>
          <c:spPr>
            <a:solidFill>
              <a:schemeClr val="accent6"/>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(MGO)'!$B$79,'Short-sea (MGO)'!$N$79,'Short-sea (MGO)'!$AC$79)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B11C-44D5-B42B-589144BC1338}"/>
            </c:ext>
          </c:extLst>
        </c:ser>
        <c:ser>
          <c:idx val="6"/>
          <c:order val="6"/>
          <c:tx>
            <c:strRef>
              <c:f>'Short-sea (MGO)'!$A$80</c:f>
              <c:strCache>
                <c:ptCount val="1"/>
                <c:pt idx="0">
                  <c:v>Opex var (mode-fees)</c:v>
                </c:pt>
              </c:strCache>
            </c:strRef>
          </c:tx>
          <c:spPr>
            <a:solidFill>
              <a:schemeClr val="accent1">
                <a:lumMod val="60000"/>
              </a:schemeClr>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(MGO)'!$B$80,'Short-sea (MGO)'!$N$80,'Short-sea (MGO)'!$AC$80)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B11C-44D5-B42B-589144BC1338}"/>
            </c:ext>
          </c:extLst>
        </c:ser>
        <c:ser>
          <c:idx val="7"/>
          <c:order val="7"/>
          <c:tx>
            <c:strRef>
              <c:f>'Short-sea (MGO)'!$A$81</c:f>
              <c:strCache>
                <c:ptCount val="1"/>
                <c:pt idx="0">
                  <c:v>Fuel Cost</c:v>
                </c:pt>
              </c:strCache>
            </c:strRef>
          </c:tx>
          <c:spPr>
            <a:solidFill>
              <a:schemeClr val="accent2">
                <a:lumMod val="60000"/>
              </a:schemeClr>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(MGO)'!$B$81,'Short-sea (MGO)'!$N$81,'Short-sea (MGO)'!$AC$81)</c:f>
              <c:numCache>
                <c:formatCode>0.00</c:formatCode>
                <c:ptCount val="3"/>
                <c:pt idx="0">
                  <c:v>4.1072811176853007E-3</c:v>
                </c:pt>
                <c:pt idx="1">
                  <c:v>4.0639341944186261E-3</c:v>
                </c:pt>
                <c:pt idx="2">
                  <c:v>3.8143587647444083E-3</c:v>
                </c:pt>
              </c:numCache>
            </c:numRef>
          </c:val>
          <c:extLst>
            <c:ext xmlns:c16="http://schemas.microsoft.com/office/drawing/2014/chart" uri="{C3380CC4-5D6E-409C-BE32-E72D297353CC}">
              <c16:uniqueId val="{00000007-B11C-44D5-B42B-589144BC1338}"/>
            </c:ext>
          </c:extLst>
        </c:ser>
        <c:ser>
          <c:idx val="8"/>
          <c:order val="8"/>
          <c:tx>
            <c:strRef>
              <c:f>'Short-sea (MGO)'!$A$82</c:f>
              <c:strCache>
                <c:ptCount val="1"/>
                <c:pt idx="0">
                  <c:v>Market failure (av. utilization)</c:v>
                </c:pt>
              </c:strCache>
            </c:strRef>
          </c:tx>
          <c:spPr>
            <a:solidFill>
              <a:schemeClr val="accent3">
                <a:lumMod val="60000"/>
              </a:schemeClr>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(MGO)'!$B$82,'Short-sea (MGO)'!$N$82,'Short-sea (MGO)'!$AC$82)</c:f>
              <c:numCache>
                <c:formatCode>0.00</c:formatCode>
                <c:ptCount val="3"/>
                <c:pt idx="0">
                  <c:v>4.0161995118700826E-3</c:v>
                </c:pt>
                <c:pt idx="1">
                  <c:v>4.2795537659014726E-3</c:v>
                </c:pt>
                <c:pt idx="2">
                  <c:v>5.7958494139699612E-3</c:v>
                </c:pt>
              </c:numCache>
            </c:numRef>
          </c:val>
          <c:extLst>
            <c:ext xmlns:c16="http://schemas.microsoft.com/office/drawing/2014/chart" uri="{C3380CC4-5D6E-409C-BE32-E72D297353CC}">
              <c16:uniqueId val="{00000008-B11C-44D5-B42B-589144BC1338}"/>
            </c:ext>
          </c:extLst>
        </c:ser>
        <c:ser>
          <c:idx val="9"/>
          <c:order val="9"/>
          <c:tx>
            <c:strRef>
              <c:f>'Short-sea (MGO)'!$A$83</c:f>
              <c:strCache>
                <c:ptCount val="1"/>
                <c:pt idx="0">
                  <c:v>Payload loss (fuel)</c:v>
                </c:pt>
              </c:strCache>
            </c:strRef>
          </c:tx>
          <c:spPr>
            <a:solidFill>
              <a:schemeClr val="accent4">
                <a:lumMod val="60000"/>
              </a:schemeClr>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(MGO)'!$B$83,'Short-sea (MGO)'!$N$83,'Short-sea (MGO)'!$AC$83)</c:f>
              <c:numCache>
                <c:formatCode>0.00</c:formatCode>
                <c:ptCount val="3"/>
                <c:pt idx="0">
                  <c:v>0</c:v>
                </c:pt>
                <c:pt idx="1">
                  <c:v>0</c:v>
                </c:pt>
                <c:pt idx="2">
                  <c:v>0</c:v>
                </c:pt>
              </c:numCache>
            </c:numRef>
          </c:val>
          <c:extLst>
            <c:ext xmlns:c16="http://schemas.microsoft.com/office/drawing/2014/chart" uri="{C3380CC4-5D6E-409C-BE32-E72D297353CC}">
              <c16:uniqueId val="{00000009-B11C-44D5-B42B-589144BC1338}"/>
            </c:ext>
          </c:extLst>
        </c:ser>
        <c:ser>
          <c:idx val="10"/>
          <c:order val="10"/>
          <c:tx>
            <c:strRef>
              <c:f>'Short-sea (MGO)'!$A$407</c:f>
              <c:strCache>
                <c:ptCount val="1"/>
                <c:pt idx="0">
                  <c:v>Emission Cost</c:v>
                </c:pt>
              </c:strCache>
            </c:strRef>
          </c:tx>
          <c:spPr>
            <a:solidFill>
              <a:schemeClr val="accent5">
                <a:lumMod val="60000"/>
              </a:schemeClr>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(MGO)'!$B$407,'Short-sea (MGO)'!$N$407,'Short-sea (MGO)'!$AC$407)</c:f>
              <c:numCache>
                <c:formatCode>0.000</c:formatCode>
                <c:ptCount val="3"/>
                <c:pt idx="0">
                  <c:v>1.8343688133195604E-3</c:v>
                </c:pt>
                <c:pt idx="1">
                  <c:v>2.4298282614389497E-3</c:v>
                </c:pt>
                <c:pt idx="2">
                  <c:v>5.8582618483787648E-3</c:v>
                </c:pt>
              </c:numCache>
            </c:numRef>
          </c:val>
          <c:extLst>
            <c:ext xmlns:c16="http://schemas.microsoft.com/office/drawing/2014/chart" uri="{C3380CC4-5D6E-409C-BE32-E72D297353CC}">
              <c16:uniqueId val="{00000000-239A-4D9A-A3A8-416D095FF596}"/>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(Hydrogen)'!$A$11</c:f>
              <c:strCache>
                <c:ptCount val="1"/>
                <c:pt idx="0">
                  <c:v>Capex vehicle</c:v>
                </c:pt>
              </c:strCache>
            </c:strRef>
          </c:tx>
          <c:spPr>
            <a:ln w="28575" cap="rnd">
              <a:solidFill>
                <a:schemeClr val="accent1"/>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CDFD-434D-88D1-5419540AF7C8}"/>
            </c:ext>
          </c:extLst>
        </c:ser>
        <c:ser>
          <c:idx val="13"/>
          <c:order val="1"/>
          <c:tx>
            <c:strRef>
              <c:f>'Short-sea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(Hydrogen)'!$Q$12:$AR$12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CDFD-434D-88D1-5419540AF7C8}"/>
            </c:ext>
          </c:extLst>
        </c:ser>
        <c:ser>
          <c:idx val="1"/>
          <c:order val="2"/>
          <c:tx>
            <c:strRef>
              <c:f>'Short-sea (Hydrogen)'!$A$13</c:f>
              <c:strCache>
                <c:ptCount val="1"/>
                <c:pt idx="0">
                  <c:v>Capex costumization</c:v>
                </c:pt>
              </c:strCache>
            </c:strRef>
          </c:tx>
          <c:spPr>
            <a:ln w="28575" cap="rnd">
              <a:solidFill>
                <a:schemeClr val="accent2"/>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CDFD-434D-88D1-5419540AF7C8}"/>
            </c:ext>
          </c:extLst>
        </c:ser>
        <c:ser>
          <c:idx val="14"/>
          <c:order val="3"/>
          <c:tx>
            <c:strRef>
              <c:f>'Short-sea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(Hydrogen)'!$Q$14:$AR$14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CDFD-434D-88D1-5419540AF7C8}"/>
            </c:ext>
          </c:extLst>
        </c:ser>
        <c:ser>
          <c:idx val="2"/>
          <c:order val="4"/>
          <c:tx>
            <c:strRef>
              <c:f>'Short-sea (Hydrogen)'!$A$15</c:f>
              <c:strCache>
                <c:ptCount val="1"/>
                <c:pt idx="0">
                  <c:v>WACC</c:v>
                </c:pt>
              </c:strCache>
            </c:strRef>
          </c:tx>
          <c:spPr>
            <a:ln w="28575" cap="rnd">
              <a:solidFill>
                <a:schemeClr val="accent3"/>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CDFD-434D-88D1-5419540AF7C8}"/>
            </c:ext>
          </c:extLst>
        </c:ser>
        <c:ser>
          <c:idx val="3"/>
          <c:order val="5"/>
          <c:tx>
            <c:strRef>
              <c:f>'Short-sea (Hydrogen)'!$A$16</c:f>
              <c:strCache>
                <c:ptCount val="1"/>
                <c:pt idx="0">
                  <c:v>Opex fix (admin, crew, insurance)</c:v>
                </c:pt>
              </c:strCache>
            </c:strRef>
          </c:tx>
          <c:spPr>
            <a:ln w="28575" cap="rnd">
              <a:solidFill>
                <a:schemeClr val="accent4"/>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CDFD-434D-88D1-5419540AF7C8}"/>
            </c:ext>
          </c:extLst>
        </c:ser>
        <c:ser>
          <c:idx val="4"/>
          <c:order val="6"/>
          <c:tx>
            <c:strRef>
              <c:f>'Short-sea (Hydrogen)'!$A$18</c:f>
              <c:strCache>
                <c:ptCount val="1"/>
                <c:pt idx="0">
                  <c:v>Opex var (mode-fees)</c:v>
                </c:pt>
              </c:strCache>
            </c:strRef>
          </c:tx>
          <c:spPr>
            <a:ln w="28575" cap="rnd">
              <a:solidFill>
                <a:schemeClr val="accent5"/>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CDFD-434D-88D1-5419540AF7C8}"/>
            </c:ext>
          </c:extLst>
        </c:ser>
        <c:ser>
          <c:idx val="5"/>
          <c:order val="7"/>
          <c:tx>
            <c:strRef>
              <c:f>'Short-sea (Hydrogen)'!$A$19</c:f>
              <c:strCache>
                <c:ptCount val="1"/>
                <c:pt idx="0">
                  <c:v>Fuel Economy</c:v>
                </c:pt>
              </c:strCache>
            </c:strRef>
          </c:tx>
          <c:spPr>
            <a:ln w="28575" cap="rnd">
              <a:solidFill>
                <a:schemeClr val="accent6"/>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CDFD-434D-88D1-5419540AF7C8}"/>
            </c:ext>
          </c:extLst>
        </c:ser>
        <c:ser>
          <c:idx val="6"/>
          <c:order val="8"/>
          <c:tx>
            <c:strRef>
              <c:f>'Short-sea (Hydrogen)'!$A$20</c:f>
              <c:strCache>
                <c:ptCount val="1"/>
                <c:pt idx="0">
                  <c:v>Fuel Cost</c:v>
                </c:pt>
              </c:strCache>
            </c:strRef>
          </c:tx>
          <c:spPr>
            <a:ln w="28575" cap="rnd">
              <a:solidFill>
                <a:schemeClr val="accent1">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CDFD-434D-88D1-5419540AF7C8}"/>
            </c:ext>
          </c:extLst>
        </c:ser>
        <c:ser>
          <c:idx val="7"/>
          <c:order val="9"/>
          <c:tx>
            <c:strRef>
              <c:f>'Short-sea (Hydrogen)'!$A$22</c:f>
              <c:strCache>
                <c:ptCount val="1"/>
                <c:pt idx="0">
                  <c:v>Lifetime vehicle</c:v>
                </c:pt>
              </c:strCache>
            </c:strRef>
          </c:tx>
          <c:spPr>
            <a:ln w="28575" cap="rnd">
              <a:solidFill>
                <a:schemeClr val="accent2">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CDFD-434D-88D1-5419540AF7C8}"/>
            </c:ext>
          </c:extLst>
        </c:ser>
        <c:ser>
          <c:idx val="8"/>
          <c:order val="10"/>
          <c:tx>
            <c:strRef>
              <c:f>'Short-sea (Hydrogen)'!$A$23</c:f>
              <c:strCache>
                <c:ptCount val="1"/>
                <c:pt idx="0">
                  <c:v>Lifetime costumization</c:v>
                </c:pt>
              </c:strCache>
            </c:strRef>
          </c:tx>
          <c:spPr>
            <a:ln w="28575" cap="rnd">
              <a:solidFill>
                <a:schemeClr val="accent3">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CDFD-434D-88D1-5419540AF7C8}"/>
            </c:ext>
          </c:extLst>
        </c:ser>
        <c:ser>
          <c:idx val="9"/>
          <c:order val="11"/>
          <c:tx>
            <c:strRef>
              <c:f>'Short-sea (Hydrogen)'!$A$24</c:f>
              <c:strCache>
                <c:ptCount val="1"/>
                <c:pt idx="0">
                  <c:v>Tonnage .</c:v>
                </c:pt>
              </c:strCache>
            </c:strRef>
          </c:tx>
          <c:spPr>
            <a:ln w="28575" cap="rnd">
              <a:solidFill>
                <a:schemeClr val="accent4">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CDFD-434D-88D1-5419540AF7C8}"/>
            </c:ext>
          </c:extLst>
        </c:ser>
        <c:ser>
          <c:idx val="10"/>
          <c:order val="12"/>
          <c:tx>
            <c:strRef>
              <c:f>'Short-sea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CDFD-434D-88D1-5419540AF7C8}"/>
            </c:ext>
          </c:extLst>
        </c:ser>
        <c:ser>
          <c:idx val="11"/>
          <c:order val="13"/>
          <c:tx>
            <c:strRef>
              <c:f>'Short-sea (Hydrogen)'!$A$27</c:f>
              <c:strCache>
                <c:ptCount val="1"/>
                <c:pt idx="0">
                  <c:v>Annual Mileage</c:v>
                </c:pt>
              </c:strCache>
            </c:strRef>
          </c:tx>
          <c:spPr>
            <a:ln w="28575" cap="rnd">
              <a:solidFill>
                <a:schemeClr val="accent6">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CDFD-434D-88D1-5419540AF7C8}"/>
            </c:ext>
          </c:extLst>
        </c:ser>
        <c:ser>
          <c:idx val="12"/>
          <c:order val="14"/>
          <c:tx>
            <c:strRef>
              <c:f>'Short-sea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(Hydrogen)'!$Q$17:$AR$17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CDFD-434D-88D1-5419540AF7C8}"/>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(Hydrogen)'!$A$74</c:f>
              <c:strCache>
                <c:ptCount val="1"/>
                <c:pt idx="0">
                  <c:v>Capex vehicle</c:v>
                </c:pt>
              </c:strCache>
            </c:strRef>
          </c:tx>
          <c:spPr>
            <a:solidFill>
              <a:schemeClr val="accent1"/>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(Hydrogen)'!$B$74,'Short-sea (Hydrogen)'!$N$74,'Short-sea (Hydrogen)'!$AC$74)</c:f>
              <c:numCache>
                <c:formatCode>0.00</c:formatCode>
                <c:ptCount val="3"/>
                <c:pt idx="0">
                  <c:v>2.0678991054715748E-3</c:v>
                </c:pt>
                <c:pt idx="1">
                  <c:v>1.9626853959757488E-3</c:v>
                </c:pt>
                <c:pt idx="2">
                  <c:v>1.3569040676564852E-3</c:v>
                </c:pt>
              </c:numCache>
            </c:numRef>
          </c:val>
          <c:extLst>
            <c:ext xmlns:c16="http://schemas.microsoft.com/office/drawing/2014/chart" uri="{C3380CC4-5D6E-409C-BE32-E72D297353CC}">
              <c16:uniqueId val="{00000000-5DE1-44F3-B839-670879166B65}"/>
            </c:ext>
          </c:extLst>
        </c:ser>
        <c:ser>
          <c:idx val="1"/>
          <c:order val="1"/>
          <c:tx>
            <c:strRef>
              <c:f>'Short-sea (Hydrogen)'!$A$75</c:f>
              <c:strCache>
                <c:ptCount val="1"/>
                <c:pt idx="0">
                  <c:v>Residual value (vehicle)</c:v>
                </c:pt>
              </c:strCache>
            </c:strRef>
          </c:tx>
          <c:spPr>
            <a:solidFill>
              <a:schemeClr val="accent2"/>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(Hydrogen)'!$B$75,'Short-sea (Hydrogen)'!$N$75,'Short-sea (Hydrogen)'!$AC$75)</c:f>
              <c:numCache>
                <c:formatCode>0.000</c:formatCode>
                <c:ptCount val="3"/>
                <c:pt idx="0">
                  <c:v>-1.0354267188938173E-4</c:v>
                </c:pt>
                <c:pt idx="1">
                  <c:v>-1.0805183086777429E-4</c:v>
                </c:pt>
                <c:pt idx="2">
                  <c:v>-1.3401388779574273E-4</c:v>
                </c:pt>
              </c:numCache>
            </c:numRef>
          </c:val>
          <c:extLst>
            <c:ext xmlns:c16="http://schemas.microsoft.com/office/drawing/2014/chart" uri="{C3380CC4-5D6E-409C-BE32-E72D297353CC}">
              <c16:uniqueId val="{00000001-5DE1-44F3-B839-670879166B65}"/>
            </c:ext>
          </c:extLst>
        </c:ser>
        <c:ser>
          <c:idx val="2"/>
          <c:order val="2"/>
          <c:tx>
            <c:strRef>
              <c:f>'Short-sea (Hydrogen)'!$A$76</c:f>
              <c:strCache>
                <c:ptCount val="1"/>
                <c:pt idx="0">
                  <c:v>Capex costumization</c:v>
                </c:pt>
              </c:strCache>
            </c:strRef>
          </c:tx>
          <c:spPr>
            <a:solidFill>
              <a:schemeClr val="accent3"/>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(Hydrogen)'!$B$76,'Short-sea (Hydrogen)'!$N$76,'Short-sea (Hydrogen)'!$AC$76)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5DE1-44F3-B839-670879166B65}"/>
            </c:ext>
          </c:extLst>
        </c:ser>
        <c:ser>
          <c:idx val="3"/>
          <c:order val="3"/>
          <c:tx>
            <c:strRef>
              <c:f>'Short-sea (Hydrogen)'!$A$77</c:f>
              <c:strCache>
                <c:ptCount val="1"/>
                <c:pt idx="0">
                  <c:v>Residual value (costumization)</c:v>
                </c:pt>
              </c:strCache>
            </c:strRef>
          </c:tx>
          <c:spPr>
            <a:solidFill>
              <a:schemeClr val="accent4"/>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(Hydrogen)'!$B$77,'Short-sea (Hydrogen)'!$N$77,'Short-sea (Hydrogen)'!$AC$77)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5DE1-44F3-B839-670879166B65}"/>
            </c:ext>
          </c:extLst>
        </c:ser>
        <c:ser>
          <c:idx val="4"/>
          <c:order val="4"/>
          <c:tx>
            <c:strRef>
              <c:f>'Short-sea (Hydrogen)'!$A$78</c:f>
              <c:strCache>
                <c:ptCount val="1"/>
                <c:pt idx="0">
                  <c:v>Opex fix (admin, crew, insurance)</c:v>
                </c:pt>
              </c:strCache>
            </c:strRef>
          </c:tx>
          <c:spPr>
            <a:solidFill>
              <a:schemeClr val="accent5"/>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(Hydrogen)'!$B$78,'Short-sea (Hydrogen)'!$N$78,'Short-sea (Hydrogen)'!$AC$78)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5DE1-44F3-B839-670879166B65}"/>
            </c:ext>
          </c:extLst>
        </c:ser>
        <c:ser>
          <c:idx val="5"/>
          <c:order val="5"/>
          <c:tx>
            <c:strRef>
              <c:f>'Short-sea (Hydrogen)'!$A$79</c:f>
              <c:strCache>
                <c:ptCount val="1"/>
                <c:pt idx="0">
                  <c:v>Opex maintenance &amp; repair</c:v>
                </c:pt>
              </c:strCache>
            </c:strRef>
          </c:tx>
          <c:spPr>
            <a:solidFill>
              <a:schemeClr val="accent6"/>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(Hydrogen)'!$B$79,'Short-sea (Hydrogen)'!$N$79,'Short-sea (Hydrogen)'!$AC$79)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5DE1-44F3-B839-670879166B65}"/>
            </c:ext>
          </c:extLst>
        </c:ser>
        <c:ser>
          <c:idx val="6"/>
          <c:order val="6"/>
          <c:tx>
            <c:strRef>
              <c:f>'Short-sea (Hydrogen)'!$A$80</c:f>
              <c:strCache>
                <c:ptCount val="1"/>
                <c:pt idx="0">
                  <c:v>Opex var (mode-fees)</c:v>
                </c:pt>
              </c:strCache>
            </c:strRef>
          </c:tx>
          <c:spPr>
            <a:solidFill>
              <a:schemeClr val="accent1">
                <a:lumMod val="60000"/>
              </a:schemeClr>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(Hydrogen)'!$B$80,'Short-sea (Hydrogen)'!$N$80,'Short-sea (Hydrogen)'!$AC$80)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5DE1-44F3-B839-670879166B65}"/>
            </c:ext>
          </c:extLst>
        </c:ser>
        <c:ser>
          <c:idx val="7"/>
          <c:order val="7"/>
          <c:tx>
            <c:strRef>
              <c:f>'Short-sea (Hydrogen)'!$A$81</c:f>
              <c:strCache>
                <c:ptCount val="1"/>
                <c:pt idx="0">
                  <c:v>Fuel Cost</c:v>
                </c:pt>
              </c:strCache>
            </c:strRef>
          </c:tx>
          <c:spPr>
            <a:solidFill>
              <a:schemeClr val="accent2">
                <a:lumMod val="60000"/>
              </a:schemeClr>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(Hydrogen)'!$B$81,'Short-sea (Hydrogen)'!$N$81,'Short-sea (Hydrogen)'!$AC$81)</c:f>
              <c:numCache>
                <c:formatCode>0.00</c:formatCode>
                <c:ptCount val="3"/>
                <c:pt idx="0">
                  <c:v>1.5736357366733275E-2</c:v>
                </c:pt>
                <c:pt idx="1">
                  <c:v>1.0824696686575366E-2</c:v>
                </c:pt>
                <c:pt idx="2">
                  <c:v>6.0441648669882124E-3</c:v>
                </c:pt>
              </c:numCache>
            </c:numRef>
          </c:val>
          <c:extLst>
            <c:ext xmlns:c16="http://schemas.microsoft.com/office/drawing/2014/chart" uri="{C3380CC4-5D6E-409C-BE32-E72D297353CC}">
              <c16:uniqueId val="{00000007-5DE1-44F3-B839-670879166B65}"/>
            </c:ext>
          </c:extLst>
        </c:ser>
        <c:ser>
          <c:idx val="8"/>
          <c:order val="8"/>
          <c:tx>
            <c:strRef>
              <c:f>'Short-sea (Hydrogen)'!$A$82</c:f>
              <c:strCache>
                <c:ptCount val="1"/>
                <c:pt idx="0">
                  <c:v>Market failure (av. utilization)</c:v>
                </c:pt>
              </c:strCache>
            </c:strRef>
          </c:tx>
          <c:spPr>
            <a:solidFill>
              <a:schemeClr val="accent3">
                <a:lumMod val="60000"/>
              </a:schemeClr>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(Hydrogen)'!$B$82,'Short-sea (Hydrogen)'!$N$82,'Short-sea (Hydrogen)'!$AC$82)</c:f>
              <c:numCache>
                <c:formatCode>0.00</c:formatCode>
                <c:ptCount val="3"/>
                <c:pt idx="0">
                  <c:v>9.1710584955428734E-3</c:v>
                </c:pt>
                <c:pt idx="1">
                  <c:v>6.790369176361024E-3</c:v>
                </c:pt>
                <c:pt idx="2">
                  <c:v>4.1415907936602197E-3</c:v>
                </c:pt>
              </c:numCache>
            </c:numRef>
          </c:val>
          <c:extLst>
            <c:ext xmlns:c16="http://schemas.microsoft.com/office/drawing/2014/chart" uri="{C3380CC4-5D6E-409C-BE32-E72D297353CC}">
              <c16:uniqueId val="{00000008-5DE1-44F3-B839-670879166B65}"/>
            </c:ext>
          </c:extLst>
        </c:ser>
        <c:ser>
          <c:idx val="9"/>
          <c:order val="9"/>
          <c:tx>
            <c:strRef>
              <c:f>'Short-sea (Hydrogen)'!$A$83</c:f>
              <c:strCache>
                <c:ptCount val="1"/>
                <c:pt idx="0">
                  <c:v>Payload loss (fuel)</c:v>
                </c:pt>
              </c:strCache>
            </c:strRef>
          </c:tx>
          <c:spPr>
            <a:solidFill>
              <a:schemeClr val="accent4">
                <a:lumMod val="60000"/>
              </a:schemeClr>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(Hydrogen)'!$B$83,'Short-sea (Hydrogen)'!$N$83,'Short-sea (Hydrogen)'!$AC$83)</c:f>
              <c:numCache>
                <c:formatCode>0.00</c:formatCode>
                <c:ptCount val="3"/>
                <c:pt idx="0">
                  <c:v>2.1643320307883629E-3</c:v>
                </c:pt>
                <c:pt idx="1">
                  <c:v>1.550917377302629E-3</c:v>
                </c:pt>
                <c:pt idx="2">
                  <c:v>7.6866456184605456E-4</c:v>
                </c:pt>
              </c:numCache>
            </c:numRef>
          </c:val>
          <c:extLst>
            <c:ext xmlns:c16="http://schemas.microsoft.com/office/drawing/2014/chart" uri="{C3380CC4-5D6E-409C-BE32-E72D297353CC}">
              <c16:uniqueId val="{00000009-5DE1-44F3-B839-670879166B65}"/>
            </c:ext>
          </c:extLst>
        </c:ser>
        <c:ser>
          <c:idx val="10"/>
          <c:order val="10"/>
          <c:tx>
            <c:strRef>
              <c:f>'Short-sea (Hydrogen)'!$A$84</c:f>
              <c:strCache>
                <c:ptCount val="1"/>
                <c:pt idx="0">
                  <c:v>Emission Cost</c:v>
                </c:pt>
              </c:strCache>
            </c:strRef>
          </c:tx>
          <c:spPr>
            <a:solidFill>
              <a:schemeClr val="accent5">
                <a:lumMod val="60000"/>
              </a:schemeClr>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(Hydrogen)'!$B$84,'Short-sea (Hydrogen)'!$N$84,'Short-sea (Hydrogen)'!$AC$84)</c:f>
              <c:numCache>
                <c:formatCode>0.000</c:formatCode>
                <c:ptCount val="3"/>
                <c:pt idx="0">
                  <c:v>2.5815196033431064E-4</c:v>
                </c:pt>
                <c:pt idx="1">
                  <c:v>2.2057070570500738E-4</c:v>
                </c:pt>
                <c:pt idx="2">
                  <c:v>4.1918473001819709E-6</c:v>
                </c:pt>
              </c:numCache>
            </c:numRef>
          </c:val>
          <c:extLst>
            <c:ext xmlns:c16="http://schemas.microsoft.com/office/drawing/2014/chart" uri="{C3380CC4-5D6E-409C-BE32-E72D297353CC}">
              <c16:uniqueId val="{00000000-8CB5-4CC9-8126-E3B665C421B4}"/>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(Hydrogen)'!$A$11</c:f>
              <c:strCache>
                <c:ptCount val="1"/>
                <c:pt idx="0">
                  <c:v>Capex vehicle</c:v>
                </c:pt>
              </c:strCache>
            </c:strRef>
          </c:tx>
          <c:spPr>
            <a:ln w="28575" cap="rnd">
              <a:solidFill>
                <a:schemeClr val="accent1"/>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59A4-454C-8BB8-F02D1AF947D0}"/>
            </c:ext>
          </c:extLst>
        </c:ser>
        <c:ser>
          <c:idx val="13"/>
          <c:order val="1"/>
          <c:tx>
            <c:strRef>
              <c:f>'Short-sea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(Hydrogen)'!$Q$12:$AR$12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59A4-454C-8BB8-F02D1AF947D0}"/>
            </c:ext>
          </c:extLst>
        </c:ser>
        <c:ser>
          <c:idx val="1"/>
          <c:order val="2"/>
          <c:tx>
            <c:strRef>
              <c:f>'Short-sea (Hydrogen)'!$A$13</c:f>
              <c:strCache>
                <c:ptCount val="1"/>
                <c:pt idx="0">
                  <c:v>Capex costumization</c:v>
                </c:pt>
              </c:strCache>
            </c:strRef>
          </c:tx>
          <c:spPr>
            <a:ln w="28575" cap="rnd">
              <a:solidFill>
                <a:schemeClr val="accent2"/>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59A4-454C-8BB8-F02D1AF947D0}"/>
            </c:ext>
          </c:extLst>
        </c:ser>
        <c:ser>
          <c:idx val="14"/>
          <c:order val="3"/>
          <c:tx>
            <c:strRef>
              <c:f>'Short-sea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(Hydrogen)'!$Q$14:$AR$14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59A4-454C-8BB8-F02D1AF947D0}"/>
            </c:ext>
          </c:extLst>
        </c:ser>
        <c:ser>
          <c:idx val="2"/>
          <c:order val="4"/>
          <c:tx>
            <c:strRef>
              <c:f>'Short-sea (Hydrogen)'!$A$15</c:f>
              <c:strCache>
                <c:ptCount val="1"/>
                <c:pt idx="0">
                  <c:v>WACC</c:v>
                </c:pt>
              </c:strCache>
            </c:strRef>
          </c:tx>
          <c:spPr>
            <a:ln w="28575" cap="rnd">
              <a:solidFill>
                <a:schemeClr val="accent3"/>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59A4-454C-8BB8-F02D1AF947D0}"/>
            </c:ext>
          </c:extLst>
        </c:ser>
        <c:ser>
          <c:idx val="3"/>
          <c:order val="5"/>
          <c:tx>
            <c:strRef>
              <c:f>'Short-sea (Hydrogen)'!$A$16</c:f>
              <c:strCache>
                <c:ptCount val="1"/>
                <c:pt idx="0">
                  <c:v>Opex fix (admin, crew, insurance)</c:v>
                </c:pt>
              </c:strCache>
            </c:strRef>
          </c:tx>
          <c:spPr>
            <a:ln w="28575" cap="rnd">
              <a:solidFill>
                <a:schemeClr val="accent4"/>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59A4-454C-8BB8-F02D1AF947D0}"/>
            </c:ext>
          </c:extLst>
        </c:ser>
        <c:ser>
          <c:idx val="4"/>
          <c:order val="6"/>
          <c:tx>
            <c:strRef>
              <c:f>'Short-sea (Hydrogen)'!$A$18</c:f>
              <c:strCache>
                <c:ptCount val="1"/>
                <c:pt idx="0">
                  <c:v>Opex var (mode-fees)</c:v>
                </c:pt>
              </c:strCache>
            </c:strRef>
          </c:tx>
          <c:spPr>
            <a:ln w="28575" cap="rnd">
              <a:solidFill>
                <a:schemeClr val="accent5"/>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59A4-454C-8BB8-F02D1AF947D0}"/>
            </c:ext>
          </c:extLst>
        </c:ser>
        <c:ser>
          <c:idx val="5"/>
          <c:order val="7"/>
          <c:tx>
            <c:strRef>
              <c:f>'Short-sea (Hydrogen)'!$A$19</c:f>
              <c:strCache>
                <c:ptCount val="1"/>
                <c:pt idx="0">
                  <c:v>Fuel Economy</c:v>
                </c:pt>
              </c:strCache>
            </c:strRef>
          </c:tx>
          <c:spPr>
            <a:ln w="28575" cap="rnd">
              <a:solidFill>
                <a:schemeClr val="accent6"/>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59A4-454C-8BB8-F02D1AF947D0}"/>
            </c:ext>
          </c:extLst>
        </c:ser>
        <c:ser>
          <c:idx val="6"/>
          <c:order val="8"/>
          <c:tx>
            <c:strRef>
              <c:f>'Short-sea (Hydrogen)'!$A$20</c:f>
              <c:strCache>
                <c:ptCount val="1"/>
                <c:pt idx="0">
                  <c:v>Fuel Cost</c:v>
                </c:pt>
              </c:strCache>
            </c:strRef>
          </c:tx>
          <c:spPr>
            <a:ln w="28575" cap="rnd">
              <a:solidFill>
                <a:schemeClr val="accent1">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59A4-454C-8BB8-F02D1AF947D0}"/>
            </c:ext>
          </c:extLst>
        </c:ser>
        <c:ser>
          <c:idx val="7"/>
          <c:order val="9"/>
          <c:tx>
            <c:strRef>
              <c:f>'Short-sea (Hydrogen)'!$A$22</c:f>
              <c:strCache>
                <c:ptCount val="1"/>
                <c:pt idx="0">
                  <c:v>Lifetime vehicle</c:v>
                </c:pt>
              </c:strCache>
            </c:strRef>
          </c:tx>
          <c:spPr>
            <a:ln w="28575" cap="rnd">
              <a:solidFill>
                <a:schemeClr val="accent2">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59A4-454C-8BB8-F02D1AF947D0}"/>
            </c:ext>
          </c:extLst>
        </c:ser>
        <c:ser>
          <c:idx val="8"/>
          <c:order val="10"/>
          <c:tx>
            <c:strRef>
              <c:f>'Short-sea (Hydrogen)'!$A$23</c:f>
              <c:strCache>
                <c:ptCount val="1"/>
                <c:pt idx="0">
                  <c:v>Lifetime costumization</c:v>
                </c:pt>
              </c:strCache>
            </c:strRef>
          </c:tx>
          <c:spPr>
            <a:ln w="28575" cap="rnd">
              <a:solidFill>
                <a:schemeClr val="accent3">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59A4-454C-8BB8-F02D1AF947D0}"/>
            </c:ext>
          </c:extLst>
        </c:ser>
        <c:ser>
          <c:idx val="9"/>
          <c:order val="11"/>
          <c:tx>
            <c:strRef>
              <c:f>'Short-sea (Hydrogen)'!$A$24</c:f>
              <c:strCache>
                <c:ptCount val="1"/>
                <c:pt idx="0">
                  <c:v>Tonnage .</c:v>
                </c:pt>
              </c:strCache>
            </c:strRef>
          </c:tx>
          <c:spPr>
            <a:ln w="28575" cap="rnd">
              <a:solidFill>
                <a:schemeClr val="accent4">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59A4-454C-8BB8-F02D1AF947D0}"/>
            </c:ext>
          </c:extLst>
        </c:ser>
        <c:ser>
          <c:idx val="10"/>
          <c:order val="12"/>
          <c:tx>
            <c:strRef>
              <c:f>'Short-sea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59A4-454C-8BB8-F02D1AF947D0}"/>
            </c:ext>
          </c:extLst>
        </c:ser>
        <c:ser>
          <c:idx val="11"/>
          <c:order val="13"/>
          <c:tx>
            <c:strRef>
              <c:f>'Short-sea (Hydrogen)'!$A$27</c:f>
              <c:strCache>
                <c:ptCount val="1"/>
                <c:pt idx="0">
                  <c:v>Annual Mileage</c:v>
                </c:pt>
              </c:strCache>
            </c:strRef>
          </c:tx>
          <c:spPr>
            <a:ln w="28575" cap="rnd">
              <a:solidFill>
                <a:schemeClr val="accent6">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59A4-454C-8BB8-F02D1AF947D0}"/>
            </c:ext>
          </c:extLst>
        </c:ser>
        <c:ser>
          <c:idx val="12"/>
          <c:order val="14"/>
          <c:tx>
            <c:strRef>
              <c:f>'Short-sea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(Hydrogen)'!$Q$17:$AR$17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59A4-454C-8BB8-F02D1AF947D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(Hydrogen)'!$A$74</c:f>
              <c:strCache>
                <c:ptCount val="1"/>
                <c:pt idx="0">
                  <c:v>Capex vehicle</c:v>
                </c:pt>
              </c:strCache>
            </c:strRef>
          </c:tx>
          <c:spPr>
            <a:solidFill>
              <a:schemeClr val="accent1"/>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(Hydrogen)'!$B$74,'Short-sea (Hydrogen)'!$N$74,'Short-sea (Hydrogen)'!$AC$74)</c:f>
              <c:numCache>
                <c:formatCode>0.00</c:formatCode>
                <c:ptCount val="3"/>
                <c:pt idx="0">
                  <c:v>2.0678991054715748E-3</c:v>
                </c:pt>
                <c:pt idx="1">
                  <c:v>1.9626853959757488E-3</c:v>
                </c:pt>
                <c:pt idx="2">
                  <c:v>1.3569040676564852E-3</c:v>
                </c:pt>
              </c:numCache>
            </c:numRef>
          </c:val>
          <c:extLst>
            <c:ext xmlns:c16="http://schemas.microsoft.com/office/drawing/2014/chart" uri="{C3380CC4-5D6E-409C-BE32-E72D297353CC}">
              <c16:uniqueId val="{00000000-39A4-487D-90FD-7CBCDC1C8E8A}"/>
            </c:ext>
          </c:extLst>
        </c:ser>
        <c:ser>
          <c:idx val="1"/>
          <c:order val="1"/>
          <c:tx>
            <c:strRef>
              <c:f>'Short-sea (Hydrogen)'!$A$75</c:f>
              <c:strCache>
                <c:ptCount val="1"/>
                <c:pt idx="0">
                  <c:v>Residual value (vehicle)</c:v>
                </c:pt>
              </c:strCache>
            </c:strRef>
          </c:tx>
          <c:spPr>
            <a:solidFill>
              <a:schemeClr val="accent2"/>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(Hydrogen)'!$B$75,'Short-sea (Hydrogen)'!$N$75,'Short-sea (Hydrogen)'!$AC$75)</c:f>
              <c:numCache>
                <c:formatCode>0.000</c:formatCode>
                <c:ptCount val="3"/>
                <c:pt idx="0">
                  <c:v>-1.0354267188938173E-4</c:v>
                </c:pt>
                <c:pt idx="1">
                  <c:v>-1.0805183086777429E-4</c:v>
                </c:pt>
                <c:pt idx="2">
                  <c:v>-1.3401388779574273E-4</c:v>
                </c:pt>
              </c:numCache>
            </c:numRef>
          </c:val>
          <c:extLst>
            <c:ext xmlns:c16="http://schemas.microsoft.com/office/drawing/2014/chart" uri="{C3380CC4-5D6E-409C-BE32-E72D297353CC}">
              <c16:uniqueId val="{00000001-39A4-487D-90FD-7CBCDC1C8E8A}"/>
            </c:ext>
          </c:extLst>
        </c:ser>
        <c:ser>
          <c:idx val="2"/>
          <c:order val="2"/>
          <c:tx>
            <c:strRef>
              <c:f>'Short-sea (Hydrogen)'!$A$76</c:f>
              <c:strCache>
                <c:ptCount val="1"/>
                <c:pt idx="0">
                  <c:v>Capex costumization</c:v>
                </c:pt>
              </c:strCache>
            </c:strRef>
          </c:tx>
          <c:spPr>
            <a:solidFill>
              <a:schemeClr val="accent3"/>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(Hydrogen)'!$B$76,'Short-sea (Hydrogen)'!$N$76,'Short-sea (Hydrogen)'!$AC$76)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39A4-487D-90FD-7CBCDC1C8E8A}"/>
            </c:ext>
          </c:extLst>
        </c:ser>
        <c:ser>
          <c:idx val="3"/>
          <c:order val="3"/>
          <c:tx>
            <c:strRef>
              <c:f>'Short-sea (Hydrogen)'!$A$77</c:f>
              <c:strCache>
                <c:ptCount val="1"/>
                <c:pt idx="0">
                  <c:v>Residual value (costumization)</c:v>
                </c:pt>
              </c:strCache>
            </c:strRef>
          </c:tx>
          <c:spPr>
            <a:solidFill>
              <a:schemeClr val="accent4"/>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(Hydrogen)'!$B$77,'Short-sea (Hydrogen)'!$N$77,'Short-sea (Hydrogen)'!$AC$77)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39A4-487D-90FD-7CBCDC1C8E8A}"/>
            </c:ext>
          </c:extLst>
        </c:ser>
        <c:ser>
          <c:idx val="4"/>
          <c:order val="4"/>
          <c:tx>
            <c:strRef>
              <c:f>'Short-sea (Hydrogen)'!$A$78</c:f>
              <c:strCache>
                <c:ptCount val="1"/>
                <c:pt idx="0">
                  <c:v>Opex fix (admin, crew, insurance)</c:v>
                </c:pt>
              </c:strCache>
            </c:strRef>
          </c:tx>
          <c:spPr>
            <a:solidFill>
              <a:schemeClr val="accent5"/>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(Hydrogen)'!$B$78,'Short-sea (Hydrogen)'!$N$78,'Short-sea (Hydrogen)'!$AC$78)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39A4-487D-90FD-7CBCDC1C8E8A}"/>
            </c:ext>
          </c:extLst>
        </c:ser>
        <c:ser>
          <c:idx val="5"/>
          <c:order val="5"/>
          <c:tx>
            <c:strRef>
              <c:f>'Short-sea (Hydrogen)'!$A$79</c:f>
              <c:strCache>
                <c:ptCount val="1"/>
                <c:pt idx="0">
                  <c:v>Opex maintenance &amp; repair</c:v>
                </c:pt>
              </c:strCache>
            </c:strRef>
          </c:tx>
          <c:spPr>
            <a:solidFill>
              <a:schemeClr val="accent6"/>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(Hydrogen)'!$B$79,'Short-sea (Hydrogen)'!$N$79,'Short-sea (Hydrogen)'!$AC$79)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39A4-487D-90FD-7CBCDC1C8E8A}"/>
            </c:ext>
          </c:extLst>
        </c:ser>
        <c:ser>
          <c:idx val="6"/>
          <c:order val="6"/>
          <c:tx>
            <c:strRef>
              <c:f>'Short-sea (Hydrogen)'!$A$80</c:f>
              <c:strCache>
                <c:ptCount val="1"/>
                <c:pt idx="0">
                  <c:v>Opex var (mode-fees)</c:v>
                </c:pt>
              </c:strCache>
            </c:strRef>
          </c:tx>
          <c:spPr>
            <a:solidFill>
              <a:schemeClr val="accent1">
                <a:lumMod val="60000"/>
              </a:schemeClr>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(Hydrogen)'!$B$80,'Short-sea (Hydrogen)'!$N$80,'Short-sea (Hydrogen)'!$AC$80)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39A4-487D-90FD-7CBCDC1C8E8A}"/>
            </c:ext>
          </c:extLst>
        </c:ser>
        <c:ser>
          <c:idx val="7"/>
          <c:order val="7"/>
          <c:tx>
            <c:strRef>
              <c:f>'Short-sea (Hydrogen)'!$A$81</c:f>
              <c:strCache>
                <c:ptCount val="1"/>
                <c:pt idx="0">
                  <c:v>Fuel Cost</c:v>
                </c:pt>
              </c:strCache>
            </c:strRef>
          </c:tx>
          <c:spPr>
            <a:solidFill>
              <a:schemeClr val="accent2">
                <a:lumMod val="60000"/>
              </a:schemeClr>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(Hydrogen)'!$B$81,'Short-sea (Hydrogen)'!$N$81,'Short-sea (Hydrogen)'!$AC$81)</c:f>
              <c:numCache>
                <c:formatCode>0.00</c:formatCode>
                <c:ptCount val="3"/>
                <c:pt idx="0">
                  <c:v>1.5736357366733275E-2</c:v>
                </c:pt>
                <c:pt idx="1">
                  <c:v>1.0824696686575366E-2</c:v>
                </c:pt>
                <c:pt idx="2">
                  <c:v>6.0441648669882124E-3</c:v>
                </c:pt>
              </c:numCache>
            </c:numRef>
          </c:val>
          <c:extLst>
            <c:ext xmlns:c16="http://schemas.microsoft.com/office/drawing/2014/chart" uri="{C3380CC4-5D6E-409C-BE32-E72D297353CC}">
              <c16:uniqueId val="{00000007-39A4-487D-90FD-7CBCDC1C8E8A}"/>
            </c:ext>
          </c:extLst>
        </c:ser>
        <c:ser>
          <c:idx val="8"/>
          <c:order val="8"/>
          <c:tx>
            <c:strRef>
              <c:f>'Short-sea (Hydrogen)'!$A$82</c:f>
              <c:strCache>
                <c:ptCount val="1"/>
                <c:pt idx="0">
                  <c:v>Market failure (av. utilization)</c:v>
                </c:pt>
              </c:strCache>
            </c:strRef>
          </c:tx>
          <c:spPr>
            <a:solidFill>
              <a:schemeClr val="accent3">
                <a:lumMod val="60000"/>
              </a:schemeClr>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(Hydrogen)'!$B$82,'Short-sea (Hydrogen)'!$N$82,'Short-sea (Hydrogen)'!$AC$82)</c:f>
              <c:numCache>
                <c:formatCode>0.00</c:formatCode>
                <c:ptCount val="3"/>
                <c:pt idx="0">
                  <c:v>9.1710584955428734E-3</c:v>
                </c:pt>
                <c:pt idx="1">
                  <c:v>6.790369176361024E-3</c:v>
                </c:pt>
                <c:pt idx="2">
                  <c:v>4.1415907936602197E-3</c:v>
                </c:pt>
              </c:numCache>
            </c:numRef>
          </c:val>
          <c:extLst>
            <c:ext xmlns:c16="http://schemas.microsoft.com/office/drawing/2014/chart" uri="{C3380CC4-5D6E-409C-BE32-E72D297353CC}">
              <c16:uniqueId val="{00000008-39A4-487D-90FD-7CBCDC1C8E8A}"/>
            </c:ext>
          </c:extLst>
        </c:ser>
        <c:ser>
          <c:idx val="9"/>
          <c:order val="9"/>
          <c:tx>
            <c:strRef>
              <c:f>'Short-sea (Hydrogen)'!$A$83</c:f>
              <c:strCache>
                <c:ptCount val="1"/>
                <c:pt idx="0">
                  <c:v>Payload loss (fuel)</c:v>
                </c:pt>
              </c:strCache>
            </c:strRef>
          </c:tx>
          <c:spPr>
            <a:solidFill>
              <a:schemeClr val="accent4">
                <a:lumMod val="60000"/>
              </a:schemeClr>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(Hydrogen)'!$B$83,'Short-sea (Hydrogen)'!$N$83,'Short-sea (Hydrogen)'!$AC$83)</c:f>
              <c:numCache>
                <c:formatCode>0.00</c:formatCode>
                <c:ptCount val="3"/>
                <c:pt idx="0">
                  <c:v>2.1643320307883629E-3</c:v>
                </c:pt>
                <c:pt idx="1">
                  <c:v>1.550917377302629E-3</c:v>
                </c:pt>
                <c:pt idx="2">
                  <c:v>7.6866456184605456E-4</c:v>
                </c:pt>
              </c:numCache>
            </c:numRef>
          </c:val>
          <c:extLst>
            <c:ext xmlns:c16="http://schemas.microsoft.com/office/drawing/2014/chart" uri="{C3380CC4-5D6E-409C-BE32-E72D297353CC}">
              <c16:uniqueId val="{00000009-39A4-487D-90FD-7CBCDC1C8E8A}"/>
            </c:ext>
          </c:extLst>
        </c:ser>
        <c:ser>
          <c:idx val="10"/>
          <c:order val="10"/>
          <c:tx>
            <c:strRef>
              <c:f>'Short-sea (Hydrogen)'!$A$190</c:f>
              <c:strCache>
                <c:ptCount val="1"/>
                <c:pt idx="0">
                  <c:v>Emission Cost</c:v>
                </c:pt>
              </c:strCache>
            </c:strRef>
          </c:tx>
          <c:spPr>
            <a:solidFill>
              <a:schemeClr val="accent5">
                <a:lumMod val="60000"/>
              </a:schemeClr>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(Hydrogen)'!$B$190,'Short-sea (Hydrogen)'!$N$190,'Short-sea (Hydrogen)'!$AC$190)</c:f>
              <c:numCache>
                <c:formatCode>0.000</c:formatCode>
                <c:ptCount val="3"/>
                <c:pt idx="0">
                  <c:v>2.5815196033431064E-4</c:v>
                </c:pt>
                <c:pt idx="1">
                  <c:v>2.2057070570500738E-4</c:v>
                </c:pt>
                <c:pt idx="2">
                  <c:v>4.1918473001819709E-6</c:v>
                </c:pt>
              </c:numCache>
            </c:numRef>
          </c:val>
          <c:extLst>
            <c:ext xmlns:c16="http://schemas.microsoft.com/office/drawing/2014/chart" uri="{C3380CC4-5D6E-409C-BE32-E72D297353CC}">
              <c16:uniqueId val="{00000000-77D1-41D1-9B9D-3202D4A66B7F}"/>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(Hydrogen)'!$A$11</c:f>
              <c:strCache>
                <c:ptCount val="1"/>
                <c:pt idx="0">
                  <c:v>Capex vehicle</c:v>
                </c:pt>
              </c:strCache>
            </c:strRef>
          </c:tx>
          <c:spPr>
            <a:ln w="28575" cap="rnd">
              <a:solidFill>
                <a:schemeClr val="accent1"/>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7164-4DFE-9CBC-3CEBD8A28A9D}"/>
            </c:ext>
          </c:extLst>
        </c:ser>
        <c:ser>
          <c:idx val="13"/>
          <c:order val="1"/>
          <c:tx>
            <c:strRef>
              <c:f>'Short-sea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(Hydrogen)'!$Q$12:$AR$12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7164-4DFE-9CBC-3CEBD8A28A9D}"/>
            </c:ext>
          </c:extLst>
        </c:ser>
        <c:ser>
          <c:idx val="1"/>
          <c:order val="2"/>
          <c:tx>
            <c:strRef>
              <c:f>'Short-sea (Hydrogen)'!$A$13</c:f>
              <c:strCache>
                <c:ptCount val="1"/>
                <c:pt idx="0">
                  <c:v>Capex costumization</c:v>
                </c:pt>
              </c:strCache>
            </c:strRef>
          </c:tx>
          <c:spPr>
            <a:ln w="28575" cap="rnd">
              <a:solidFill>
                <a:schemeClr val="accent2"/>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7164-4DFE-9CBC-3CEBD8A28A9D}"/>
            </c:ext>
          </c:extLst>
        </c:ser>
        <c:ser>
          <c:idx val="14"/>
          <c:order val="3"/>
          <c:tx>
            <c:strRef>
              <c:f>'Short-sea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(Hydrogen)'!$Q$14:$AR$14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7164-4DFE-9CBC-3CEBD8A28A9D}"/>
            </c:ext>
          </c:extLst>
        </c:ser>
        <c:ser>
          <c:idx val="2"/>
          <c:order val="4"/>
          <c:tx>
            <c:strRef>
              <c:f>'Short-sea (Hydrogen)'!$A$15</c:f>
              <c:strCache>
                <c:ptCount val="1"/>
                <c:pt idx="0">
                  <c:v>WACC</c:v>
                </c:pt>
              </c:strCache>
            </c:strRef>
          </c:tx>
          <c:spPr>
            <a:ln w="28575" cap="rnd">
              <a:solidFill>
                <a:schemeClr val="accent3"/>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7164-4DFE-9CBC-3CEBD8A28A9D}"/>
            </c:ext>
          </c:extLst>
        </c:ser>
        <c:ser>
          <c:idx val="3"/>
          <c:order val="5"/>
          <c:tx>
            <c:strRef>
              <c:f>'Short-sea (Hydrogen)'!$A$16</c:f>
              <c:strCache>
                <c:ptCount val="1"/>
                <c:pt idx="0">
                  <c:v>Opex fix (admin, crew, insurance)</c:v>
                </c:pt>
              </c:strCache>
            </c:strRef>
          </c:tx>
          <c:spPr>
            <a:ln w="28575" cap="rnd">
              <a:solidFill>
                <a:schemeClr val="accent4"/>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7164-4DFE-9CBC-3CEBD8A28A9D}"/>
            </c:ext>
          </c:extLst>
        </c:ser>
        <c:ser>
          <c:idx val="4"/>
          <c:order val="6"/>
          <c:tx>
            <c:strRef>
              <c:f>'Short-sea (Hydrogen)'!$A$18</c:f>
              <c:strCache>
                <c:ptCount val="1"/>
                <c:pt idx="0">
                  <c:v>Opex var (mode-fees)</c:v>
                </c:pt>
              </c:strCache>
            </c:strRef>
          </c:tx>
          <c:spPr>
            <a:ln w="28575" cap="rnd">
              <a:solidFill>
                <a:schemeClr val="accent5"/>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7164-4DFE-9CBC-3CEBD8A28A9D}"/>
            </c:ext>
          </c:extLst>
        </c:ser>
        <c:ser>
          <c:idx val="5"/>
          <c:order val="7"/>
          <c:tx>
            <c:strRef>
              <c:f>'Short-sea (Hydrogen)'!$A$19</c:f>
              <c:strCache>
                <c:ptCount val="1"/>
                <c:pt idx="0">
                  <c:v>Fuel Economy</c:v>
                </c:pt>
              </c:strCache>
            </c:strRef>
          </c:tx>
          <c:spPr>
            <a:ln w="28575" cap="rnd">
              <a:solidFill>
                <a:schemeClr val="accent6"/>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7164-4DFE-9CBC-3CEBD8A28A9D}"/>
            </c:ext>
          </c:extLst>
        </c:ser>
        <c:ser>
          <c:idx val="6"/>
          <c:order val="8"/>
          <c:tx>
            <c:strRef>
              <c:f>'Short-sea (Hydrogen)'!$A$20</c:f>
              <c:strCache>
                <c:ptCount val="1"/>
                <c:pt idx="0">
                  <c:v>Fuel Cost</c:v>
                </c:pt>
              </c:strCache>
            </c:strRef>
          </c:tx>
          <c:spPr>
            <a:ln w="28575" cap="rnd">
              <a:solidFill>
                <a:schemeClr val="accent1">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7164-4DFE-9CBC-3CEBD8A28A9D}"/>
            </c:ext>
          </c:extLst>
        </c:ser>
        <c:ser>
          <c:idx val="7"/>
          <c:order val="9"/>
          <c:tx>
            <c:strRef>
              <c:f>'Short-sea (Hydrogen)'!$A$22</c:f>
              <c:strCache>
                <c:ptCount val="1"/>
                <c:pt idx="0">
                  <c:v>Lifetime vehicle</c:v>
                </c:pt>
              </c:strCache>
            </c:strRef>
          </c:tx>
          <c:spPr>
            <a:ln w="28575" cap="rnd">
              <a:solidFill>
                <a:schemeClr val="accent2">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7164-4DFE-9CBC-3CEBD8A28A9D}"/>
            </c:ext>
          </c:extLst>
        </c:ser>
        <c:ser>
          <c:idx val="8"/>
          <c:order val="10"/>
          <c:tx>
            <c:strRef>
              <c:f>'Short-sea (Hydrogen)'!$A$23</c:f>
              <c:strCache>
                <c:ptCount val="1"/>
                <c:pt idx="0">
                  <c:v>Lifetime costumization</c:v>
                </c:pt>
              </c:strCache>
            </c:strRef>
          </c:tx>
          <c:spPr>
            <a:ln w="28575" cap="rnd">
              <a:solidFill>
                <a:schemeClr val="accent3">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7164-4DFE-9CBC-3CEBD8A28A9D}"/>
            </c:ext>
          </c:extLst>
        </c:ser>
        <c:ser>
          <c:idx val="9"/>
          <c:order val="11"/>
          <c:tx>
            <c:strRef>
              <c:f>'Short-sea (Hydrogen)'!$A$24</c:f>
              <c:strCache>
                <c:ptCount val="1"/>
                <c:pt idx="0">
                  <c:v>Tonnage .</c:v>
                </c:pt>
              </c:strCache>
            </c:strRef>
          </c:tx>
          <c:spPr>
            <a:ln w="28575" cap="rnd">
              <a:solidFill>
                <a:schemeClr val="accent4">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7164-4DFE-9CBC-3CEBD8A28A9D}"/>
            </c:ext>
          </c:extLst>
        </c:ser>
        <c:ser>
          <c:idx val="10"/>
          <c:order val="12"/>
          <c:tx>
            <c:strRef>
              <c:f>'Short-sea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7164-4DFE-9CBC-3CEBD8A28A9D}"/>
            </c:ext>
          </c:extLst>
        </c:ser>
        <c:ser>
          <c:idx val="11"/>
          <c:order val="13"/>
          <c:tx>
            <c:strRef>
              <c:f>'Short-sea (Hydrogen)'!$A$27</c:f>
              <c:strCache>
                <c:ptCount val="1"/>
                <c:pt idx="0">
                  <c:v>Annual Mileage</c:v>
                </c:pt>
              </c:strCache>
            </c:strRef>
          </c:tx>
          <c:spPr>
            <a:ln w="28575" cap="rnd">
              <a:solidFill>
                <a:schemeClr val="accent6">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7164-4DFE-9CBC-3CEBD8A28A9D}"/>
            </c:ext>
          </c:extLst>
        </c:ser>
        <c:ser>
          <c:idx val="12"/>
          <c:order val="14"/>
          <c:tx>
            <c:strRef>
              <c:f>'Short-sea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(Hydrogen)'!$Q$17:$AR$17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7164-4DFE-9CBC-3CEBD8A28A9D}"/>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(Hydrogen)'!$A$74</c:f>
              <c:strCache>
                <c:ptCount val="1"/>
                <c:pt idx="0">
                  <c:v>Capex vehicle</c:v>
                </c:pt>
              </c:strCache>
            </c:strRef>
          </c:tx>
          <c:spPr>
            <a:solidFill>
              <a:schemeClr val="accent1"/>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(Hydrogen)'!$B$74,'Short-sea (Hydrogen)'!$N$74,'Short-sea (Hydrogen)'!$AC$74)</c:f>
              <c:numCache>
                <c:formatCode>0.00</c:formatCode>
                <c:ptCount val="3"/>
                <c:pt idx="0">
                  <c:v>2.0678991054715748E-3</c:v>
                </c:pt>
                <c:pt idx="1">
                  <c:v>1.9626853959757488E-3</c:v>
                </c:pt>
                <c:pt idx="2">
                  <c:v>1.3569040676564852E-3</c:v>
                </c:pt>
              </c:numCache>
            </c:numRef>
          </c:val>
          <c:extLst>
            <c:ext xmlns:c16="http://schemas.microsoft.com/office/drawing/2014/chart" uri="{C3380CC4-5D6E-409C-BE32-E72D297353CC}">
              <c16:uniqueId val="{00000000-E420-4C5E-9A3F-DC60A6C66D69}"/>
            </c:ext>
          </c:extLst>
        </c:ser>
        <c:ser>
          <c:idx val="1"/>
          <c:order val="1"/>
          <c:tx>
            <c:strRef>
              <c:f>'Short-sea (Hydrogen)'!$A$75</c:f>
              <c:strCache>
                <c:ptCount val="1"/>
                <c:pt idx="0">
                  <c:v>Residual value (vehicle)</c:v>
                </c:pt>
              </c:strCache>
            </c:strRef>
          </c:tx>
          <c:spPr>
            <a:solidFill>
              <a:schemeClr val="accent2"/>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(Hydrogen)'!$B$75,'Short-sea (Hydrogen)'!$N$75,'Short-sea (Hydrogen)'!$AC$75)</c:f>
              <c:numCache>
                <c:formatCode>0.000</c:formatCode>
                <c:ptCount val="3"/>
                <c:pt idx="0">
                  <c:v>-1.0354267188938173E-4</c:v>
                </c:pt>
                <c:pt idx="1">
                  <c:v>-1.0805183086777429E-4</c:v>
                </c:pt>
                <c:pt idx="2">
                  <c:v>-1.3401388779574273E-4</c:v>
                </c:pt>
              </c:numCache>
            </c:numRef>
          </c:val>
          <c:extLst>
            <c:ext xmlns:c16="http://schemas.microsoft.com/office/drawing/2014/chart" uri="{C3380CC4-5D6E-409C-BE32-E72D297353CC}">
              <c16:uniqueId val="{00000001-E420-4C5E-9A3F-DC60A6C66D69}"/>
            </c:ext>
          </c:extLst>
        </c:ser>
        <c:ser>
          <c:idx val="2"/>
          <c:order val="2"/>
          <c:tx>
            <c:strRef>
              <c:f>'Short-sea (Hydrogen)'!$A$76</c:f>
              <c:strCache>
                <c:ptCount val="1"/>
                <c:pt idx="0">
                  <c:v>Capex costumization</c:v>
                </c:pt>
              </c:strCache>
            </c:strRef>
          </c:tx>
          <c:spPr>
            <a:solidFill>
              <a:schemeClr val="accent3"/>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(Hydrogen)'!$B$76,'Short-sea (Hydrogen)'!$N$76,'Short-sea (Hydrogen)'!$AC$76)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E420-4C5E-9A3F-DC60A6C66D69}"/>
            </c:ext>
          </c:extLst>
        </c:ser>
        <c:ser>
          <c:idx val="3"/>
          <c:order val="3"/>
          <c:tx>
            <c:strRef>
              <c:f>'Short-sea (Hydrogen)'!$A$77</c:f>
              <c:strCache>
                <c:ptCount val="1"/>
                <c:pt idx="0">
                  <c:v>Residual value (costumization)</c:v>
                </c:pt>
              </c:strCache>
            </c:strRef>
          </c:tx>
          <c:spPr>
            <a:solidFill>
              <a:schemeClr val="accent4"/>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(Hydrogen)'!$B$77,'Short-sea (Hydrogen)'!$N$77,'Short-sea (Hydrogen)'!$AC$77)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E420-4C5E-9A3F-DC60A6C66D69}"/>
            </c:ext>
          </c:extLst>
        </c:ser>
        <c:ser>
          <c:idx val="4"/>
          <c:order val="4"/>
          <c:tx>
            <c:strRef>
              <c:f>'Short-sea (Hydrogen)'!$A$78</c:f>
              <c:strCache>
                <c:ptCount val="1"/>
                <c:pt idx="0">
                  <c:v>Opex fix (admin, crew, insurance)</c:v>
                </c:pt>
              </c:strCache>
            </c:strRef>
          </c:tx>
          <c:spPr>
            <a:solidFill>
              <a:schemeClr val="accent5"/>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(Hydrogen)'!$B$78,'Short-sea (Hydrogen)'!$N$78,'Short-sea (Hydrogen)'!$AC$78)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E420-4C5E-9A3F-DC60A6C66D69}"/>
            </c:ext>
          </c:extLst>
        </c:ser>
        <c:ser>
          <c:idx val="5"/>
          <c:order val="5"/>
          <c:tx>
            <c:strRef>
              <c:f>'Short-sea (Hydrogen)'!$A$79</c:f>
              <c:strCache>
                <c:ptCount val="1"/>
                <c:pt idx="0">
                  <c:v>Opex maintenance &amp; repair</c:v>
                </c:pt>
              </c:strCache>
            </c:strRef>
          </c:tx>
          <c:spPr>
            <a:solidFill>
              <a:schemeClr val="accent6"/>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(Hydrogen)'!$B$79,'Short-sea (Hydrogen)'!$N$79,'Short-sea (Hydrogen)'!$AC$79)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E420-4C5E-9A3F-DC60A6C66D69}"/>
            </c:ext>
          </c:extLst>
        </c:ser>
        <c:ser>
          <c:idx val="6"/>
          <c:order val="6"/>
          <c:tx>
            <c:strRef>
              <c:f>'Short-sea (Hydrogen)'!$A$80</c:f>
              <c:strCache>
                <c:ptCount val="1"/>
                <c:pt idx="0">
                  <c:v>Opex var (mode-fees)</c:v>
                </c:pt>
              </c:strCache>
            </c:strRef>
          </c:tx>
          <c:spPr>
            <a:solidFill>
              <a:schemeClr val="accent1">
                <a:lumMod val="60000"/>
              </a:schemeClr>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(Hydrogen)'!$B$80,'Short-sea (Hydrogen)'!$N$80,'Short-sea (Hydrogen)'!$AC$80)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E420-4C5E-9A3F-DC60A6C66D69}"/>
            </c:ext>
          </c:extLst>
        </c:ser>
        <c:ser>
          <c:idx val="7"/>
          <c:order val="7"/>
          <c:tx>
            <c:strRef>
              <c:f>'Short-sea (Hydrogen)'!$A$81</c:f>
              <c:strCache>
                <c:ptCount val="1"/>
                <c:pt idx="0">
                  <c:v>Fuel Cost</c:v>
                </c:pt>
              </c:strCache>
            </c:strRef>
          </c:tx>
          <c:spPr>
            <a:solidFill>
              <a:schemeClr val="accent2">
                <a:lumMod val="60000"/>
              </a:schemeClr>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(Hydrogen)'!$B$81,'Short-sea (Hydrogen)'!$N$81,'Short-sea (Hydrogen)'!$AC$81)</c:f>
              <c:numCache>
                <c:formatCode>0.00</c:formatCode>
                <c:ptCount val="3"/>
                <c:pt idx="0">
                  <c:v>1.5736357366733275E-2</c:v>
                </c:pt>
                <c:pt idx="1">
                  <c:v>1.0824696686575366E-2</c:v>
                </c:pt>
                <c:pt idx="2">
                  <c:v>6.0441648669882124E-3</c:v>
                </c:pt>
              </c:numCache>
            </c:numRef>
          </c:val>
          <c:extLst>
            <c:ext xmlns:c16="http://schemas.microsoft.com/office/drawing/2014/chart" uri="{C3380CC4-5D6E-409C-BE32-E72D297353CC}">
              <c16:uniqueId val="{00000007-E420-4C5E-9A3F-DC60A6C66D69}"/>
            </c:ext>
          </c:extLst>
        </c:ser>
        <c:ser>
          <c:idx val="8"/>
          <c:order val="8"/>
          <c:tx>
            <c:strRef>
              <c:f>'Short-sea (Hydrogen)'!$A$82</c:f>
              <c:strCache>
                <c:ptCount val="1"/>
                <c:pt idx="0">
                  <c:v>Market failure (av. utilization)</c:v>
                </c:pt>
              </c:strCache>
            </c:strRef>
          </c:tx>
          <c:spPr>
            <a:solidFill>
              <a:schemeClr val="accent3">
                <a:lumMod val="60000"/>
              </a:schemeClr>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(Hydrogen)'!$B$82,'Short-sea (Hydrogen)'!$N$82,'Short-sea (Hydrogen)'!$AC$82)</c:f>
              <c:numCache>
                <c:formatCode>0.00</c:formatCode>
                <c:ptCount val="3"/>
                <c:pt idx="0">
                  <c:v>9.1710584955428734E-3</c:v>
                </c:pt>
                <c:pt idx="1">
                  <c:v>6.790369176361024E-3</c:v>
                </c:pt>
                <c:pt idx="2">
                  <c:v>4.1415907936602197E-3</c:v>
                </c:pt>
              </c:numCache>
            </c:numRef>
          </c:val>
          <c:extLst>
            <c:ext xmlns:c16="http://schemas.microsoft.com/office/drawing/2014/chart" uri="{C3380CC4-5D6E-409C-BE32-E72D297353CC}">
              <c16:uniqueId val="{00000008-E420-4C5E-9A3F-DC60A6C66D69}"/>
            </c:ext>
          </c:extLst>
        </c:ser>
        <c:ser>
          <c:idx val="9"/>
          <c:order val="9"/>
          <c:tx>
            <c:strRef>
              <c:f>'Short-sea (Hydrogen)'!$A$83</c:f>
              <c:strCache>
                <c:ptCount val="1"/>
                <c:pt idx="0">
                  <c:v>Payload loss (fuel)</c:v>
                </c:pt>
              </c:strCache>
            </c:strRef>
          </c:tx>
          <c:spPr>
            <a:solidFill>
              <a:schemeClr val="accent4">
                <a:lumMod val="60000"/>
              </a:schemeClr>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(Hydrogen)'!$B$83,'Short-sea (Hydrogen)'!$N$83,'Short-sea (Hydrogen)'!$AC$83)</c:f>
              <c:numCache>
                <c:formatCode>0.00</c:formatCode>
                <c:ptCount val="3"/>
                <c:pt idx="0">
                  <c:v>2.1643320307883629E-3</c:v>
                </c:pt>
                <c:pt idx="1">
                  <c:v>1.550917377302629E-3</c:v>
                </c:pt>
                <c:pt idx="2">
                  <c:v>7.6866456184605456E-4</c:v>
                </c:pt>
              </c:numCache>
            </c:numRef>
          </c:val>
          <c:extLst>
            <c:ext xmlns:c16="http://schemas.microsoft.com/office/drawing/2014/chart" uri="{C3380CC4-5D6E-409C-BE32-E72D297353CC}">
              <c16:uniqueId val="{00000009-E420-4C5E-9A3F-DC60A6C66D69}"/>
            </c:ext>
          </c:extLst>
        </c:ser>
        <c:ser>
          <c:idx val="10"/>
          <c:order val="10"/>
          <c:tx>
            <c:strRef>
              <c:f>'Short-sea (Hydrogen)'!$A$298</c:f>
              <c:strCache>
                <c:ptCount val="1"/>
                <c:pt idx="0">
                  <c:v>Emission Cost</c:v>
                </c:pt>
              </c:strCache>
            </c:strRef>
          </c:tx>
          <c:spPr>
            <a:solidFill>
              <a:schemeClr val="accent5">
                <a:lumMod val="60000"/>
              </a:schemeClr>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(Hydrogen)'!$B$298,'Short-sea (Hydrogen)'!$N$298,'Short-sea (Hydrogen)'!$AC$298)</c:f>
              <c:numCache>
                <c:formatCode>0.000</c:formatCode>
                <c:ptCount val="3"/>
                <c:pt idx="0">
                  <c:v>2.5815196033431064E-4</c:v>
                </c:pt>
                <c:pt idx="1">
                  <c:v>2.2057070570500738E-4</c:v>
                </c:pt>
                <c:pt idx="2">
                  <c:v>4.1918473001819709E-6</c:v>
                </c:pt>
              </c:numCache>
            </c:numRef>
          </c:val>
          <c:extLst>
            <c:ext xmlns:c16="http://schemas.microsoft.com/office/drawing/2014/chart" uri="{C3380CC4-5D6E-409C-BE32-E72D297353CC}">
              <c16:uniqueId val="{00000000-8BE3-4063-907E-B073EB45E840}"/>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(Hydrogen)'!$A$11</c:f>
              <c:strCache>
                <c:ptCount val="1"/>
                <c:pt idx="0">
                  <c:v>Capex vehicle</c:v>
                </c:pt>
              </c:strCache>
            </c:strRef>
          </c:tx>
          <c:spPr>
            <a:ln w="28575" cap="rnd">
              <a:solidFill>
                <a:schemeClr val="accent1"/>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8029-4A1F-852F-23374949943A}"/>
            </c:ext>
          </c:extLst>
        </c:ser>
        <c:ser>
          <c:idx val="13"/>
          <c:order val="1"/>
          <c:tx>
            <c:strRef>
              <c:f>'Short-sea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(Hydrogen)'!$Q$12:$AR$12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8029-4A1F-852F-23374949943A}"/>
            </c:ext>
          </c:extLst>
        </c:ser>
        <c:ser>
          <c:idx val="1"/>
          <c:order val="2"/>
          <c:tx>
            <c:strRef>
              <c:f>'Short-sea (Hydrogen)'!$A$13</c:f>
              <c:strCache>
                <c:ptCount val="1"/>
                <c:pt idx="0">
                  <c:v>Capex costumization</c:v>
                </c:pt>
              </c:strCache>
            </c:strRef>
          </c:tx>
          <c:spPr>
            <a:ln w="28575" cap="rnd">
              <a:solidFill>
                <a:schemeClr val="accent2"/>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8029-4A1F-852F-23374949943A}"/>
            </c:ext>
          </c:extLst>
        </c:ser>
        <c:ser>
          <c:idx val="14"/>
          <c:order val="3"/>
          <c:tx>
            <c:strRef>
              <c:f>'Short-sea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(Hydrogen)'!$Q$14:$AR$14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8029-4A1F-852F-23374949943A}"/>
            </c:ext>
          </c:extLst>
        </c:ser>
        <c:ser>
          <c:idx val="2"/>
          <c:order val="4"/>
          <c:tx>
            <c:strRef>
              <c:f>'Short-sea (Hydrogen)'!$A$15</c:f>
              <c:strCache>
                <c:ptCount val="1"/>
                <c:pt idx="0">
                  <c:v>WACC</c:v>
                </c:pt>
              </c:strCache>
            </c:strRef>
          </c:tx>
          <c:spPr>
            <a:ln w="28575" cap="rnd">
              <a:solidFill>
                <a:schemeClr val="accent3"/>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8029-4A1F-852F-23374949943A}"/>
            </c:ext>
          </c:extLst>
        </c:ser>
        <c:ser>
          <c:idx val="3"/>
          <c:order val="5"/>
          <c:tx>
            <c:strRef>
              <c:f>'Short-sea (Hydrogen)'!$A$16</c:f>
              <c:strCache>
                <c:ptCount val="1"/>
                <c:pt idx="0">
                  <c:v>Opex fix (admin, crew, insurance)</c:v>
                </c:pt>
              </c:strCache>
            </c:strRef>
          </c:tx>
          <c:spPr>
            <a:ln w="28575" cap="rnd">
              <a:solidFill>
                <a:schemeClr val="accent4"/>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8029-4A1F-852F-23374949943A}"/>
            </c:ext>
          </c:extLst>
        </c:ser>
        <c:ser>
          <c:idx val="4"/>
          <c:order val="6"/>
          <c:tx>
            <c:strRef>
              <c:f>'Short-sea (Hydrogen)'!$A$18</c:f>
              <c:strCache>
                <c:ptCount val="1"/>
                <c:pt idx="0">
                  <c:v>Opex var (mode-fees)</c:v>
                </c:pt>
              </c:strCache>
            </c:strRef>
          </c:tx>
          <c:spPr>
            <a:ln w="28575" cap="rnd">
              <a:solidFill>
                <a:schemeClr val="accent5"/>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8029-4A1F-852F-23374949943A}"/>
            </c:ext>
          </c:extLst>
        </c:ser>
        <c:ser>
          <c:idx val="5"/>
          <c:order val="7"/>
          <c:tx>
            <c:strRef>
              <c:f>'Short-sea (Hydrogen)'!$A$19</c:f>
              <c:strCache>
                <c:ptCount val="1"/>
                <c:pt idx="0">
                  <c:v>Fuel Economy</c:v>
                </c:pt>
              </c:strCache>
            </c:strRef>
          </c:tx>
          <c:spPr>
            <a:ln w="28575" cap="rnd">
              <a:solidFill>
                <a:schemeClr val="accent6"/>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8029-4A1F-852F-23374949943A}"/>
            </c:ext>
          </c:extLst>
        </c:ser>
        <c:ser>
          <c:idx val="6"/>
          <c:order val="8"/>
          <c:tx>
            <c:strRef>
              <c:f>'Short-sea (Hydrogen)'!$A$20</c:f>
              <c:strCache>
                <c:ptCount val="1"/>
                <c:pt idx="0">
                  <c:v>Fuel Cost</c:v>
                </c:pt>
              </c:strCache>
            </c:strRef>
          </c:tx>
          <c:spPr>
            <a:ln w="28575" cap="rnd">
              <a:solidFill>
                <a:schemeClr val="accent1">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8029-4A1F-852F-23374949943A}"/>
            </c:ext>
          </c:extLst>
        </c:ser>
        <c:ser>
          <c:idx val="7"/>
          <c:order val="9"/>
          <c:tx>
            <c:strRef>
              <c:f>'Short-sea (Hydrogen)'!$A$22</c:f>
              <c:strCache>
                <c:ptCount val="1"/>
                <c:pt idx="0">
                  <c:v>Lifetime vehicle</c:v>
                </c:pt>
              </c:strCache>
            </c:strRef>
          </c:tx>
          <c:spPr>
            <a:ln w="28575" cap="rnd">
              <a:solidFill>
                <a:schemeClr val="accent2">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8029-4A1F-852F-23374949943A}"/>
            </c:ext>
          </c:extLst>
        </c:ser>
        <c:ser>
          <c:idx val="8"/>
          <c:order val="10"/>
          <c:tx>
            <c:strRef>
              <c:f>'Short-sea (Hydrogen)'!$A$23</c:f>
              <c:strCache>
                <c:ptCount val="1"/>
                <c:pt idx="0">
                  <c:v>Lifetime costumization</c:v>
                </c:pt>
              </c:strCache>
            </c:strRef>
          </c:tx>
          <c:spPr>
            <a:ln w="28575" cap="rnd">
              <a:solidFill>
                <a:schemeClr val="accent3">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8029-4A1F-852F-23374949943A}"/>
            </c:ext>
          </c:extLst>
        </c:ser>
        <c:ser>
          <c:idx val="9"/>
          <c:order val="11"/>
          <c:tx>
            <c:strRef>
              <c:f>'Short-sea (Hydrogen)'!$A$24</c:f>
              <c:strCache>
                <c:ptCount val="1"/>
                <c:pt idx="0">
                  <c:v>Tonnage .</c:v>
                </c:pt>
              </c:strCache>
            </c:strRef>
          </c:tx>
          <c:spPr>
            <a:ln w="28575" cap="rnd">
              <a:solidFill>
                <a:schemeClr val="accent4">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8029-4A1F-852F-23374949943A}"/>
            </c:ext>
          </c:extLst>
        </c:ser>
        <c:ser>
          <c:idx val="10"/>
          <c:order val="12"/>
          <c:tx>
            <c:strRef>
              <c:f>'Short-sea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8029-4A1F-852F-23374949943A}"/>
            </c:ext>
          </c:extLst>
        </c:ser>
        <c:ser>
          <c:idx val="11"/>
          <c:order val="13"/>
          <c:tx>
            <c:strRef>
              <c:f>'Short-sea (Hydrogen)'!$A$27</c:f>
              <c:strCache>
                <c:ptCount val="1"/>
                <c:pt idx="0">
                  <c:v>Annual Mileage</c:v>
                </c:pt>
              </c:strCache>
            </c:strRef>
          </c:tx>
          <c:spPr>
            <a:ln w="28575" cap="rnd">
              <a:solidFill>
                <a:schemeClr val="accent6">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8029-4A1F-852F-23374949943A}"/>
            </c:ext>
          </c:extLst>
        </c:ser>
        <c:ser>
          <c:idx val="12"/>
          <c:order val="14"/>
          <c:tx>
            <c:strRef>
              <c:f>'Short-sea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(Hydrogen)'!$Q$17:$AR$17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8029-4A1F-852F-23374949943A}"/>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(Hydrogen)'!$A$74</c:f>
              <c:strCache>
                <c:ptCount val="1"/>
                <c:pt idx="0">
                  <c:v>Capex vehicle</c:v>
                </c:pt>
              </c:strCache>
            </c:strRef>
          </c:tx>
          <c:spPr>
            <a:solidFill>
              <a:schemeClr val="accent1"/>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(Hydrogen)'!$B$74,'Short-sea (Hydrogen)'!$N$74,'Short-sea (Hydrogen)'!$AC$74)</c:f>
              <c:numCache>
                <c:formatCode>0.00</c:formatCode>
                <c:ptCount val="3"/>
                <c:pt idx="0">
                  <c:v>2.0678991054715748E-3</c:v>
                </c:pt>
                <c:pt idx="1">
                  <c:v>1.9626853959757488E-3</c:v>
                </c:pt>
                <c:pt idx="2">
                  <c:v>1.3569040676564852E-3</c:v>
                </c:pt>
              </c:numCache>
            </c:numRef>
          </c:val>
          <c:extLst>
            <c:ext xmlns:c16="http://schemas.microsoft.com/office/drawing/2014/chart" uri="{C3380CC4-5D6E-409C-BE32-E72D297353CC}">
              <c16:uniqueId val="{00000000-2440-4A44-8799-09C541C493D3}"/>
            </c:ext>
          </c:extLst>
        </c:ser>
        <c:ser>
          <c:idx val="1"/>
          <c:order val="1"/>
          <c:tx>
            <c:strRef>
              <c:f>'Short-sea (Hydrogen)'!$A$75</c:f>
              <c:strCache>
                <c:ptCount val="1"/>
                <c:pt idx="0">
                  <c:v>Residual value (vehicle)</c:v>
                </c:pt>
              </c:strCache>
            </c:strRef>
          </c:tx>
          <c:spPr>
            <a:solidFill>
              <a:schemeClr val="accent2"/>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(Hydrogen)'!$B$75,'Short-sea (Hydrogen)'!$N$75,'Short-sea (Hydrogen)'!$AC$75)</c:f>
              <c:numCache>
                <c:formatCode>0.000</c:formatCode>
                <c:ptCount val="3"/>
                <c:pt idx="0">
                  <c:v>-1.0354267188938173E-4</c:v>
                </c:pt>
                <c:pt idx="1">
                  <c:v>-1.0805183086777429E-4</c:v>
                </c:pt>
                <c:pt idx="2">
                  <c:v>-1.3401388779574273E-4</c:v>
                </c:pt>
              </c:numCache>
            </c:numRef>
          </c:val>
          <c:extLst>
            <c:ext xmlns:c16="http://schemas.microsoft.com/office/drawing/2014/chart" uri="{C3380CC4-5D6E-409C-BE32-E72D297353CC}">
              <c16:uniqueId val="{00000001-2440-4A44-8799-09C541C493D3}"/>
            </c:ext>
          </c:extLst>
        </c:ser>
        <c:ser>
          <c:idx val="2"/>
          <c:order val="2"/>
          <c:tx>
            <c:strRef>
              <c:f>'Short-sea (Hydrogen)'!$A$76</c:f>
              <c:strCache>
                <c:ptCount val="1"/>
                <c:pt idx="0">
                  <c:v>Capex costumization</c:v>
                </c:pt>
              </c:strCache>
            </c:strRef>
          </c:tx>
          <c:spPr>
            <a:solidFill>
              <a:schemeClr val="accent3"/>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(Hydrogen)'!$B$76,'Short-sea (Hydrogen)'!$N$76,'Short-sea (Hydrogen)'!$AC$76)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2440-4A44-8799-09C541C493D3}"/>
            </c:ext>
          </c:extLst>
        </c:ser>
        <c:ser>
          <c:idx val="3"/>
          <c:order val="3"/>
          <c:tx>
            <c:strRef>
              <c:f>'Short-sea (Hydrogen)'!$A$77</c:f>
              <c:strCache>
                <c:ptCount val="1"/>
                <c:pt idx="0">
                  <c:v>Residual value (costumization)</c:v>
                </c:pt>
              </c:strCache>
            </c:strRef>
          </c:tx>
          <c:spPr>
            <a:solidFill>
              <a:schemeClr val="accent4"/>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(Hydrogen)'!$B$77,'Short-sea (Hydrogen)'!$N$77,'Short-sea (Hydrogen)'!$AC$77)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2440-4A44-8799-09C541C493D3}"/>
            </c:ext>
          </c:extLst>
        </c:ser>
        <c:ser>
          <c:idx val="4"/>
          <c:order val="4"/>
          <c:tx>
            <c:strRef>
              <c:f>'Short-sea (Hydrogen)'!$A$78</c:f>
              <c:strCache>
                <c:ptCount val="1"/>
                <c:pt idx="0">
                  <c:v>Opex fix (admin, crew, insurance)</c:v>
                </c:pt>
              </c:strCache>
            </c:strRef>
          </c:tx>
          <c:spPr>
            <a:solidFill>
              <a:schemeClr val="accent5"/>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(Hydrogen)'!$B$78,'Short-sea (Hydrogen)'!$N$78,'Short-sea (Hydrogen)'!$AC$78)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2440-4A44-8799-09C541C493D3}"/>
            </c:ext>
          </c:extLst>
        </c:ser>
        <c:ser>
          <c:idx val="5"/>
          <c:order val="5"/>
          <c:tx>
            <c:strRef>
              <c:f>'Short-sea (Hydrogen)'!$A$79</c:f>
              <c:strCache>
                <c:ptCount val="1"/>
                <c:pt idx="0">
                  <c:v>Opex maintenance &amp; repair</c:v>
                </c:pt>
              </c:strCache>
            </c:strRef>
          </c:tx>
          <c:spPr>
            <a:solidFill>
              <a:schemeClr val="accent6"/>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(Hydrogen)'!$B$79,'Short-sea (Hydrogen)'!$N$79,'Short-sea (Hydrogen)'!$AC$79)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2440-4A44-8799-09C541C493D3}"/>
            </c:ext>
          </c:extLst>
        </c:ser>
        <c:ser>
          <c:idx val="6"/>
          <c:order val="6"/>
          <c:tx>
            <c:strRef>
              <c:f>'Short-sea (Hydrogen)'!$A$80</c:f>
              <c:strCache>
                <c:ptCount val="1"/>
                <c:pt idx="0">
                  <c:v>Opex var (mode-fees)</c:v>
                </c:pt>
              </c:strCache>
            </c:strRef>
          </c:tx>
          <c:spPr>
            <a:solidFill>
              <a:schemeClr val="accent1">
                <a:lumMod val="60000"/>
              </a:schemeClr>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(Hydrogen)'!$B$80,'Short-sea (Hydrogen)'!$N$80,'Short-sea (Hydrogen)'!$AC$80)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2440-4A44-8799-09C541C493D3}"/>
            </c:ext>
          </c:extLst>
        </c:ser>
        <c:ser>
          <c:idx val="7"/>
          <c:order val="7"/>
          <c:tx>
            <c:strRef>
              <c:f>'Short-sea (Hydrogen)'!$A$81</c:f>
              <c:strCache>
                <c:ptCount val="1"/>
                <c:pt idx="0">
                  <c:v>Fuel Cost</c:v>
                </c:pt>
              </c:strCache>
            </c:strRef>
          </c:tx>
          <c:spPr>
            <a:solidFill>
              <a:schemeClr val="accent2">
                <a:lumMod val="60000"/>
              </a:schemeClr>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(Hydrogen)'!$B$81,'Short-sea (Hydrogen)'!$N$81,'Short-sea (Hydrogen)'!$AC$81)</c:f>
              <c:numCache>
                <c:formatCode>0.00</c:formatCode>
                <c:ptCount val="3"/>
                <c:pt idx="0">
                  <c:v>1.5736357366733275E-2</c:v>
                </c:pt>
                <c:pt idx="1">
                  <c:v>1.0824696686575366E-2</c:v>
                </c:pt>
                <c:pt idx="2">
                  <c:v>6.0441648669882124E-3</c:v>
                </c:pt>
              </c:numCache>
            </c:numRef>
          </c:val>
          <c:extLst>
            <c:ext xmlns:c16="http://schemas.microsoft.com/office/drawing/2014/chart" uri="{C3380CC4-5D6E-409C-BE32-E72D297353CC}">
              <c16:uniqueId val="{00000007-2440-4A44-8799-09C541C493D3}"/>
            </c:ext>
          </c:extLst>
        </c:ser>
        <c:ser>
          <c:idx val="8"/>
          <c:order val="8"/>
          <c:tx>
            <c:strRef>
              <c:f>'Short-sea (Hydrogen)'!$A$82</c:f>
              <c:strCache>
                <c:ptCount val="1"/>
                <c:pt idx="0">
                  <c:v>Market failure (av. utilization)</c:v>
                </c:pt>
              </c:strCache>
            </c:strRef>
          </c:tx>
          <c:spPr>
            <a:solidFill>
              <a:schemeClr val="accent3">
                <a:lumMod val="60000"/>
              </a:schemeClr>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(Hydrogen)'!$B$82,'Short-sea (Hydrogen)'!$N$82,'Short-sea (Hydrogen)'!$AC$82)</c:f>
              <c:numCache>
                <c:formatCode>0.00</c:formatCode>
                <c:ptCount val="3"/>
                <c:pt idx="0">
                  <c:v>9.1710584955428734E-3</c:v>
                </c:pt>
                <c:pt idx="1">
                  <c:v>6.790369176361024E-3</c:v>
                </c:pt>
                <c:pt idx="2">
                  <c:v>4.1415907936602197E-3</c:v>
                </c:pt>
              </c:numCache>
            </c:numRef>
          </c:val>
          <c:extLst>
            <c:ext xmlns:c16="http://schemas.microsoft.com/office/drawing/2014/chart" uri="{C3380CC4-5D6E-409C-BE32-E72D297353CC}">
              <c16:uniqueId val="{00000008-2440-4A44-8799-09C541C493D3}"/>
            </c:ext>
          </c:extLst>
        </c:ser>
        <c:ser>
          <c:idx val="9"/>
          <c:order val="9"/>
          <c:tx>
            <c:strRef>
              <c:f>'Short-sea (Hydrogen)'!$A$83</c:f>
              <c:strCache>
                <c:ptCount val="1"/>
                <c:pt idx="0">
                  <c:v>Payload loss (fuel)</c:v>
                </c:pt>
              </c:strCache>
            </c:strRef>
          </c:tx>
          <c:spPr>
            <a:solidFill>
              <a:schemeClr val="accent4">
                <a:lumMod val="60000"/>
              </a:schemeClr>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(Hydrogen)'!$B$83,'Short-sea (Hydrogen)'!$N$83,'Short-sea (Hydrogen)'!$AC$83)</c:f>
              <c:numCache>
                <c:formatCode>0.00</c:formatCode>
                <c:ptCount val="3"/>
                <c:pt idx="0">
                  <c:v>2.1643320307883629E-3</c:v>
                </c:pt>
                <c:pt idx="1">
                  <c:v>1.550917377302629E-3</c:v>
                </c:pt>
                <c:pt idx="2">
                  <c:v>7.6866456184605456E-4</c:v>
                </c:pt>
              </c:numCache>
            </c:numRef>
          </c:val>
          <c:extLst>
            <c:ext xmlns:c16="http://schemas.microsoft.com/office/drawing/2014/chart" uri="{C3380CC4-5D6E-409C-BE32-E72D297353CC}">
              <c16:uniqueId val="{00000009-2440-4A44-8799-09C541C493D3}"/>
            </c:ext>
          </c:extLst>
        </c:ser>
        <c:ser>
          <c:idx val="10"/>
          <c:order val="10"/>
          <c:tx>
            <c:strRef>
              <c:f>'Short-sea (Hydrogen)'!$A$407</c:f>
              <c:strCache>
                <c:ptCount val="1"/>
                <c:pt idx="0">
                  <c:v>Emission Cost</c:v>
                </c:pt>
              </c:strCache>
            </c:strRef>
          </c:tx>
          <c:spPr>
            <a:solidFill>
              <a:schemeClr val="accent5">
                <a:lumMod val="60000"/>
              </a:schemeClr>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(Hydrogen)'!$B$407,'Short-sea (Hydrogen)'!$N$407,'Short-sea (Hydrogen)'!$AC$407)</c:f>
              <c:numCache>
                <c:formatCode>0.000</c:formatCode>
                <c:ptCount val="3"/>
                <c:pt idx="0">
                  <c:v>2.5815196033431064E-4</c:v>
                </c:pt>
                <c:pt idx="1">
                  <c:v>2.2057070570500738E-4</c:v>
                </c:pt>
                <c:pt idx="2">
                  <c:v>4.1918473001819709E-6</c:v>
                </c:pt>
              </c:numCache>
            </c:numRef>
          </c:val>
          <c:extLst>
            <c:ext xmlns:c16="http://schemas.microsoft.com/office/drawing/2014/chart" uri="{C3380CC4-5D6E-409C-BE32-E72D297353CC}">
              <c16:uniqueId val="{00000000-922D-4C29-81DD-9A8523EA2DC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(Ammonia)'!$A$11</c:f>
              <c:strCache>
                <c:ptCount val="1"/>
                <c:pt idx="0">
                  <c:v>Capex vehicle</c:v>
                </c:pt>
              </c:strCache>
            </c:strRef>
          </c:tx>
          <c:spPr>
            <a:ln w="28575" cap="rnd">
              <a:solidFill>
                <a:schemeClr val="accent1"/>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9180-470A-BF26-BA5976C0C816}"/>
            </c:ext>
          </c:extLst>
        </c:ser>
        <c:ser>
          <c:idx val="13"/>
          <c:order val="1"/>
          <c:tx>
            <c:strRef>
              <c:f>'Short-sea (Ammonia)'!$A$12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(Ammonia)'!$Q$12:$AR$12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9180-470A-BF26-BA5976C0C816}"/>
            </c:ext>
          </c:extLst>
        </c:ser>
        <c:ser>
          <c:idx val="1"/>
          <c:order val="2"/>
          <c:tx>
            <c:strRef>
              <c:f>'Short-sea (Ammonia)'!$A$13</c:f>
              <c:strCache>
                <c:ptCount val="1"/>
                <c:pt idx="0">
                  <c:v>Capex costumization</c:v>
                </c:pt>
              </c:strCache>
            </c:strRef>
          </c:tx>
          <c:spPr>
            <a:ln w="28575" cap="rnd">
              <a:solidFill>
                <a:schemeClr val="accent2"/>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9180-470A-BF26-BA5976C0C816}"/>
            </c:ext>
          </c:extLst>
        </c:ser>
        <c:ser>
          <c:idx val="14"/>
          <c:order val="3"/>
          <c:tx>
            <c:strRef>
              <c:f>'Short-sea (Ammonia)'!$A$14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(Ammonia)'!$Q$14:$AR$14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9180-470A-BF26-BA5976C0C816}"/>
            </c:ext>
          </c:extLst>
        </c:ser>
        <c:ser>
          <c:idx val="2"/>
          <c:order val="4"/>
          <c:tx>
            <c:strRef>
              <c:f>'Short-sea (Ammonia)'!$A$15</c:f>
              <c:strCache>
                <c:ptCount val="1"/>
                <c:pt idx="0">
                  <c:v>WACC</c:v>
                </c:pt>
              </c:strCache>
            </c:strRef>
          </c:tx>
          <c:spPr>
            <a:ln w="28575" cap="rnd">
              <a:solidFill>
                <a:schemeClr val="accent3"/>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9180-470A-BF26-BA5976C0C816}"/>
            </c:ext>
          </c:extLst>
        </c:ser>
        <c:ser>
          <c:idx val="3"/>
          <c:order val="5"/>
          <c:tx>
            <c:strRef>
              <c:f>'Short-sea (Ammonia)'!$A$16</c:f>
              <c:strCache>
                <c:ptCount val="1"/>
                <c:pt idx="0">
                  <c:v>Opex fix (admin, crew, insurance)</c:v>
                </c:pt>
              </c:strCache>
            </c:strRef>
          </c:tx>
          <c:spPr>
            <a:ln w="28575" cap="rnd">
              <a:solidFill>
                <a:schemeClr val="accent4"/>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9180-470A-BF26-BA5976C0C816}"/>
            </c:ext>
          </c:extLst>
        </c:ser>
        <c:ser>
          <c:idx val="4"/>
          <c:order val="6"/>
          <c:tx>
            <c:strRef>
              <c:f>'Short-sea (Ammonia)'!$A$18</c:f>
              <c:strCache>
                <c:ptCount val="1"/>
                <c:pt idx="0">
                  <c:v>Opex var (mode-fees)</c:v>
                </c:pt>
              </c:strCache>
            </c:strRef>
          </c:tx>
          <c:spPr>
            <a:ln w="28575" cap="rnd">
              <a:solidFill>
                <a:schemeClr val="accent5"/>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9180-470A-BF26-BA5976C0C816}"/>
            </c:ext>
          </c:extLst>
        </c:ser>
        <c:ser>
          <c:idx val="5"/>
          <c:order val="7"/>
          <c:tx>
            <c:strRef>
              <c:f>'Short-sea (Ammonia)'!$A$19</c:f>
              <c:strCache>
                <c:ptCount val="1"/>
                <c:pt idx="0">
                  <c:v>Fuel Economy</c:v>
                </c:pt>
              </c:strCache>
            </c:strRef>
          </c:tx>
          <c:spPr>
            <a:ln w="28575" cap="rnd">
              <a:solidFill>
                <a:schemeClr val="accent6"/>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9180-470A-BF26-BA5976C0C816}"/>
            </c:ext>
          </c:extLst>
        </c:ser>
        <c:ser>
          <c:idx val="6"/>
          <c:order val="8"/>
          <c:tx>
            <c:strRef>
              <c:f>'Short-sea (Ammonia)'!$A$20</c:f>
              <c:strCache>
                <c:ptCount val="1"/>
                <c:pt idx="0">
                  <c:v>Fuel Cost</c:v>
                </c:pt>
              </c:strCache>
            </c:strRef>
          </c:tx>
          <c:spPr>
            <a:ln w="28575" cap="rnd">
              <a:solidFill>
                <a:schemeClr val="accent1">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(Ammonia)'!$Q$20:$AR$20</c:f>
              <c:numCache>
                <c:formatCode>General</c:formatCode>
                <c:ptCount val="28"/>
                <c:pt idx="0">
                  <c:v>0.99354772139898062</c:v>
                </c:pt>
                <c:pt idx="1">
                  <c:v>0.99076681540580536</c:v>
                </c:pt>
                <c:pt idx="2">
                  <c:v>0.9867978615748374</c:v>
                </c:pt>
                <c:pt idx="3">
                  <c:v>0.98114509762858249</c:v>
                </c:pt>
                <c:pt idx="4">
                  <c:v>0.97311898315872036</c:v>
                </c:pt>
                <c:pt idx="5">
                  <c:v>0.96177484161592774</c:v>
                </c:pt>
                <c:pt idx="6">
                  <c:v>0.94584787155511363</c:v>
                </c:pt>
                <c:pt idx="7">
                  <c:v>0.92370360150141495</c:v>
                </c:pt>
                <c:pt idx="8">
                  <c:v>0.89334463567658451</c:v>
                </c:pt>
                <c:pt idx="9">
                  <c:v>0.85254543874327005</c:v>
                </c:pt>
                <c:pt idx="10">
                  <c:v>0.79921300652623883</c:v>
                </c:pt>
                <c:pt idx="11">
                  <c:v>0.73204982249993378</c:v>
                </c:pt>
                <c:pt idx="12">
                  <c:v>0.65145592958786691</c:v>
                </c:pt>
                <c:pt idx="13">
                  <c:v>0.56032247880849573</c:v>
                </c:pt>
                <c:pt idx="14">
                  <c:v>0.46411326873185343</c:v>
                </c:pt>
                <c:pt idx="15">
                  <c:v>0.36979727595523937</c:v>
                </c:pt>
                <c:pt idx="16">
                  <c:v>0.28393948637231203</c:v>
                </c:pt>
                <c:pt idx="17">
                  <c:v>0.21097259161117732</c:v>
                </c:pt>
                <c:pt idx="18">
                  <c:v>0.15253917653798199</c:v>
                </c:pt>
                <c:pt idx="19">
                  <c:v>0.10795188737709993</c:v>
                </c:pt>
                <c:pt idx="20">
                  <c:v>7.5176653938091809E-2</c:v>
                </c:pt>
                <c:pt idx="21">
                  <c:v>5.1742836177502194E-2</c:v>
                </c:pt>
                <c:pt idx="22">
                  <c:v>3.5319190625345942E-2</c:v>
                </c:pt>
                <c:pt idx="23">
                  <c:v>2.3969442072658165E-2</c:v>
                </c:pt>
                <c:pt idx="24">
                  <c:v>1.6202243558389728E-2</c:v>
                </c:pt>
                <c:pt idx="25">
                  <c:v>1.0922240564108399E-2</c:v>
                </c:pt>
                <c:pt idx="26">
                  <c:v>7.3493212906090566E-3</c:v>
                </c:pt>
                <c:pt idx="27">
                  <c:v>4.9390262185057265E-3</c:v>
                </c:pt>
              </c:numCache>
            </c:numRef>
          </c:val>
          <c:smooth val="0"/>
          <c:extLst>
            <c:ext xmlns:c16="http://schemas.microsoft.com/office/drawing/2014/chart" uri="{C3380CC4-5D6E-409C-BE32-E72D297353CC}">
              <c16:uniqueId val="{00000008-9180-470A-BF26-BA5976C0C816}"/>
            </c:ext>
          </c:extLst>
        </c:ser>
        <c:ser>
          <c:idx val="7"/>
          <c:order val="9"/>
          <c:tx>
            <c:strRef>
              <c:f>'Short-sea (Ammonia)'!$A$22</c:f>
              <c:strCache>
                <c:ptCount val="1"/>
                <c:pt idx="0">
                  <c:v>Lifetime vehicle</c:v>
                </c:pt>
              </c:strCache>
            </c:strRef>
          </c:tx>
          <c:spPr>
            <a:ln w="28575" cap="rnd">
              <a:solidFill>
                <a:schemeClr val="accent2">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9180-470A-BF26-BA5976C0C816}"/>
            </c:ext>
          </c:extLst>
        </c:ser>
        <c:ser>
          <c:idx val="8"/>
          <c:order val="10"/>
          <c:tx>
            <c:strRef>
              <c:f>'Short-sea (Ammonia)'!$A$23</c:f>
              <c:strCache>
                <c:ptCount val="1"/>
                <c:pt idx="0">
                  <c:v>Lifetime costumization</c:v>
                </c:pt>
              </c:strCache>
            </c:strRef>
          </c:tx>
          <c:spPr>
            <a:ln w="28575" cap="rnd">
              <a:solidFill>
                <a:schemeClr val="accent3">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9180-470A-BF26-BA5976C0C816}"/>
            </c:ext>
          </c:extLst>
        </c:ser>
        <c:ser>
          <c:idx val="9"/>
          <c:order val="11"/>
          <c:tx>
            <c:strRef>
              <c:f>'Short-sea (Ammonia)'!$A$24</c:f>
              <c:strCache>
                <c:ptCount val="1"/>
                <c:pt idx="0">
                  <c:v>Tonnage .</c:v>
                </c:pt>
              </c:strCache>
            </c:strRef>
          </c:tx>
          <c:spPr>
            <a:ln w="28575" cap="rnd">
              <a:solidFill>
                <a:schemeClr val="accent4">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9180-470A-BF26-BA5976C0C816}"/>
            </c:ext>
          </c:extLst>
        </c:ser>
        <c:ser>
          <c:idx val="10"/>
          <c:order val="12"/>
          <c:tx>
            <c:strRef>
              <c:f>'Short-sea (Ammonia)'!$A$25</c:f>
              <c:strCache>
                <c:ptCount val="1"/>
                <c:pt idx="0">
                  <c:v>Market failure (av. utilization)</c:v>
                </c:pt>
              </c:strCache>
            </c:strRef>
          </c:tx>
          <c:spPr>
            <a:ln w="28575" cap="rnd">
              <a:solidFill>
                <a:schemeClr val="accent5">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9180-470A-BF26-BA5976C0C816}"/>
            </c:ext>
          </c:extLst>
        </c:ser>
        <c:ser>
          <c:idx val="11"/>
          <c:order val="13"/>
          <c:tx>
            <c:strRef>
              <c:f>'Short-sea (Ammonia)'!$A$27</c:f>
              <c:strCache>
                <c:ptCount val="1"/>
                <c:pt idx="0">
                  <c:v>Annual Mileage</c:v>
                </c:pt>
              </c:strCache>
            </c:strRef>
          </c:tx>
          <c:spPr>
            <a:ln w="28575" cap="rnd">
              <a:solidFill>
                <a:schemeClr val="accent6">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9180-470A-BF26-BA5976C0C816}"/>
            </c:ext>
          </c:extLst>
        </c:ser>
        <c:ser>
          <c:idx val="12"/>
          <c:order val="14"/>
          <c:tx>
            <c:strRef>
              <c:f>'Short-sea (Ammonia)'!$A$17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(Ammonia)'!$Q$17:$AR$17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9180-470A-BF26-BA5976C0C816}"/>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(Ammonia)'!$A$74</c:f>
              <c:strCache>
                <c:ptCount val="1"/>
                <c:pt idx="0">
                  <c:v>Capex vehicle</c:v>
                </c:pt>
              </c:strCache>
            </c:strRef>
          </c:tx>
          <c:spPr>
            <a:solidFill>
              <a:schemeClr val="accent1"/>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(Ammonia)'!$B$74,'Short-sea (Ammonia)'!$N$74,'Short-sea (Ammonia)'!$AC$74)</c:f>
              <c:numCache>
                <c:formatCode>0.00</c:formatCode>
                <c:ptCount val="3"/>
                <c:pt idx="0">
                  <c:v>2.0676718491395704E-3</c:v>
                </c:pt>
                <c:pt idx="1">
                  <c:v>1.9474276097157688E-3</c:v>
                </c:pt>
                <c:pt idx="2">
                  <c:v>1.2551060916366106E-3</c:v>
                </c:pt>
              </c:numCache>
            </c:numRef>
          </c:val>
          <c:extLst>
            <c:ext xmlns:c16="http://schemas.microsoft.com/office/drawing/2014/chart" uri="{C3380CC4-5D6E-409C-BE32-E72D297353CC}">
              <c16:uniqueId val="{00000000-9FCB-489F-B952-B5BE9AB42088}"/>
            </c:ext>
          </c:extLst>
        </c:ser>
        <c:ser>
          <c:idx val="1"/>
          <c:order val="1"/>
          <c:tx>
            <c:strRef>
              <c:f>'Short-sea (Ammonia)'!$A$75</c:f>
              <c:strCache>
                <c:ptCount val="1"/>
                <c:pt idx="0">
                  <c:v>Residual value (vehicle)</c:v>
                </c:pt>
              </c:strCache>
            </c:strRef>
          </c:tx>
          <c:spPr>
            <a:solidFill>
              <a:schemeClr val="accent2"/>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(Ammonia)'!$B$75,'Short-sea (Ammonia)'!$N$75,'Short-sea (Ammonia)'!$AC$75)</c:f>
              <c:numCache>
                <c:formatCode>0.000</c:formatCode>
                <c:ptCount val="3"/>
                <c:pt idx="0">
                  <c:v>-1.0351994625618128E-4</c:v>
                </c:pt>
                <c:pt idx="1">
                  <c:v>-1.0652605224177631E-4</c:v>
                </c:pt>
                <c:pt idx="2">
                  <c:v>-1.2383409019375524E-4</c:v>
                </c:pt>
              </c:numCache>
            </c:numRef>
          </c:val>
          <c:extLst>
            <c:ext xmlns:c16="http://schemas.microsoft.com/office/drawing/2014/chart" uri="{C3380CC4-5D6E-409C-BE32-E72D297353CC}">
              <c16:uniqueId val="{00000001-9FCB-489F-B952-B5BE9AB42088}"/>
            </c:ext>
          </c:extLst>
        </c:ser>
        <c:ser>
          <c:idx val="2"/>
          <c:order val="2"/>
          <c:tx>
            <c:strRef>
              <c:f>'Short-sea (Ammonia)'!$A$76</c:f>
              <c:strCache>
                <c:ptCount val="1"/>
                <c:pt idx="0">
                  <c:v>Capex costumization</c:v>
                </c:pt>
              </c:strCache>
            </c:strRef>
          </c:tx>
          <c:spPr>
            <a:solidFill>
              <a:schemeClr val="accent3"/>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(Ammonia)'!$B$76,'Short-sea (Ammonia)'!$N$76,'Short-sea (Ammonia)'!$AC$76)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9FCB-489F-B952-B5BE9AB42088}"/>
            </c:ext>
          </c:extLst>
        </c:ser>
        <c:ser>
          <c:idx val="3"/>
          <c:order val="3"/>
          <c:tx>
            <c:strRef>
              <c:f>'Short-sea (Ammonia)'!$A$77</c:f>
              <c:strCache>
                <c:ptCount val="1"/>
                <c:pt idx="0">
                  <c:v>Residual value (costumization)</c:v>
                </c:pt>
              </c:strCache>
            </c:strRef>
          </c:tx>
          <c:spPr>
            <a:solidFill>
              <a:schemeClr val="accent4"/>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(Ammonia)'!$B$77,'Short-sea (Ammonia)'!$N$77,'Short-sea (Ammonia)'!$AC$77)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9FCB-489F-B952-B5BE9AB42088}"/>
            </c:ext>
          </c:extLst>
        </c:ser>
        <c:ser>
          <c:idx val="4"/>
          <c:order val="4"/>
          <c:tx>
            <c:strRef>
              <c:f>'Short-sea (Ammonia)'!$A$78</c:f>
              <c:strCache>
                <c:ptCount val="1"/>
                <c:pt idx="0">
                  <c:v>Opex fix (admin, crew, insurance)</c:v>
                </c:pt>
              </c:strCache>
            </c:strRef>
          </c:tx>
          <c:spPr>
            <a:solidFill>
              <a:schemeClr val="accent5"/>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(Ammonia)'!$B$78,'Short-sea (Ammonia)'!$N$78,'Short-sea (Ammonia)'!$AC$78)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9FCB-489F-B952-B5BE9AB42088}"/>
            </c:ext>
          </c:extLst>
        </c:ser>
        <c:ser>
          <c:idx val="5"/>
          <c:order val="5"/>
          <c:tx>
            <c:strRef>
              <c:f>'Short-sea (Ammonia)'!$A$79</c:f>
              <c:strCache>
                <c:ptCount val="1"/>
                <c:pt idx="0">
                  <c:v>Opex maintenance &amp; repair</c:v>
                </c:pt>
              </c:strCache>
            </c:strRef>
          </c:tx>
          <c:spPr>
            <a:solidFill>
              <a:schemeClr val="accent6"/>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(Ammonia)'!$B$79,'Short-sea (Ammonia)'!$N$79,'Short-sea (Ammonia)'!$AC$79)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9FCB-489F-B952-B5BE9AB42088}"/>
            </c:ext>
          </c:extLst>
        </c:ser>
        <c:ser>
          <c:idx val="6"/>
          <c:order val="6"/>
          <c:tx>
            <c:strRef>
              <c:f>'Short-sea (Ammonia)'!$A$80</c:f>
              <c:strCache>
                <c:ptCount val="1"/>
                <c:pt idx="0">
                  <c:v>Opex var (mode-fees)</c:v>
                </c:pt>
              </c:strCache>
            </c:strRef>
          </c:tx>
          <c:spPr>
            <a:solidFill>
              <a:schemeClr val="accent1">
                <a:lumMod val="60000"/>
              </a:schemeClr>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(Ammonia)'!$B$80,'Short-sea (Ammonia)'!$N$80,'Short-sea (Ammonia)'!$AC$80)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9FCB-489F-B952-B5BE9AB42088}"/>
            </c:ext>
          </c:extLst>
        </c:ser>
        <c:ser>
          <c:idx val="7"/>
          <c:order val="7"/>
          <c:tx>
            <c:strRef>
              <c:f>'Short-sea (Ammonia)'!$A$81</c:f>
              <c:strCache>
                <c:ptCount val="1"/>
                <c:pt idx="0">
                  <c:v>Fuel Cost</c:v>
                </c:pt>
              </c:strCache>
            </c:strRef>
          </c:tx>
          <c:spPr>
            <a:solidFill>
              <a:schemeClr val="accent2">
                <a:lumMod val="60000"/>
              </a:schemeClr>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(Ammonia)'!$B$81,'Short-sea (Ammonia)'!$N$81,'Short-sea (Ammonia)'!$AC$81)</c:f>
              <c:numCache>
                <c:formatCode>0.00</c:formatCode>
                <c:ptCount val="3"/>
                <c:pt idx="0">
                  <c:v>1.488952128048405E-2</c:v>
                </c:pt>
                <c:pt idx="1">
                  <c:v>1.200381542764874E-2</c:v>
                </c:pt>
                <c:pt idx="2">
                  <c:v>6.3242223149148858E-3</c:v>
                </c:pt>
              </c:numCache>
            </c:numRef>
          </c:val>
          <c:extLst>
            <c:ext xmlns:c16="http://schemas.microsoft.com/office/drawing/2014/chart" uri="{C3380CC4-5D6E-409C-BE32-E72D297353CC}">
              <c16:uniqueId val="{00000007-9FCB-489F-B952-B5BE9AB42088}"/>
            </c:ext>
          </c:extLst>
        </c:ser>
        <c:ser>
          <c:idx val="8"/>
          <c:order val="8"/>
          <c:tx>
            <c:strRef>
              <c:f>'Short-sea (Ammonia)'!$A$82</c:f>
              <c:strCache>
                <c:ptCount val="1"/>
                <c:pt idx="0">
                  <c:v>Market failure (av. utilization)</c:v>
                </c:pt>
              </c:strCache>
            </c:strRef>
          </c:tx>
          <c:spPr>
            <a:solidFill>
              <a:schemeClr val="accent3">
                <a:lumMod val="60000"/>
              </a:schemeClr>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(Ammonia)'!$B$82,'Short-sea (Ammonia)'!$N$82,'Short-sea (Ammonia)'!$AC$82)</c:f>
              <c:numCache>
                <c:formatCode>0.00</c:formatCode>
                <c:ptCount val="3"/>
                <c:pt idx="0">
                  <c:v>8.774787363226462E-3</c:v>
                </c:pt>
                <c:pt idx="1">
                  <c:v>7.3407825776691978E-3</c:v>
                </c:pt>
                <c:pt idx="2">
                  <c:v>4.2303060322281573E-3</c:v>
                </c:pt>
              </c:numCache>
            </c:numRef>
          </c:val>
          <c:extLst>
            <c:ext xmlns:c16="http://schemas.microsoft.com/office/drawing/2014/chart" uri="{C3380CC4-5D6E-409C-BE32-E72D297353CC}">
              <c16:uniqueId val="{00000008-9FCB-489F-B952-B5BE9AB42088}"/>
            </c:ext>
          </c:extLst>
        </c:ser>
        <c:ser>
          <c:idx val="9"/>
          <c:order val="9"/>
          <c:tx>
            <c:strRef>
              <c:f>'Short-sea (Ammonia)'!$A$83</c:f>
              <c:strCache>
                <c:ptCount val="1"/>
                <c:pt idx="0">
                  <c:v>Payload loss (fuel)</c:v>
                </c:pt>
              </c:strCache>
            </c:strRef>
          </c:tx>
          <c:spPr>
            <a:solidFill>
              <a:schemeClr val="accent4">
                <a:lumMod val="60000"/>
              </a:schemeClr>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(Ammonia)'!$B$83,'Short-sea (Ammonia)'!$N$83,'Short-sea (Ammonia)'!$AC$83)</c:f>
              <c:numCache>
                <c:formatCode>0.00</c:formatCode>
                <c:ptCount val="3"/>
                <c:pt idx="0">
                  <c:v>1.6209442703982065E-3</c:v>
                </c:pt>
                <c:pt idx="1">
                  <c:v>1.3293165467323925E-3</c:v>
                </c:pt>
                <c:pt idx="2">
                  <c:v>6.7830581461089494E-4</c:v>
                </c:pt>
              </c:numCache>
            </c:numRef>
          </c:val>
          <c:extLst>
            <c:ext xmlns:c16="http://schemas.microsoft.com/office/drawing/2014/chart" uri="{C3380CC4-5D6E-409C-BE32-E72D297353CC}">
              <c16:uniqueId val="{00000009-9FCB-489F-B952-B5BE9AB42088}"/>
            </c:ext>
          </c:extLst>
        </c:ser>
        <c:ser>
          <c:idx val="10"/>
          <c:order val="10"/>
          <c:tx>
            <c:strRef>
              <c:f>'Short-sea (Ammonia)'!$A$84</c:f>
              <c:strCache>
                <c:ptCount val="1"/>
                <c:pt idx="0">
                  <c:v>Emission Cost</c:v>
                </c:pt>
              </c:strCache>
            </c:strRef>
          </c:tx>
          <c:spPr>
            <a:solidFill>
              <a:schemeClr val="accent5">
                <a:lumMod val="60000"/>
              </a:schemeClr>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(Ammonia)'!$B$84,'Short-sea (Ammonia)'!$N$84,'Short-sea (Ammonia)'!$AC$84)</c:f>
              <c:numCache>
                <c:formatCode>0.000</c:formatCode>
                <c:ptCount val="3"/>
                <c:pt idx="0">
                  <c:v>2.6311642110997044E-4</c:v>
                </c:pt>
                <c:pt idx="1">
                  <c:v>2.2481245004548822E-4</c:v>
                </c:pt>
                <c:pt idx="2">
                  <c:v>4.2724597482624145E-6</c:v>
                </c:pt>
              </c:numCache>
            </c:numRef>
          </c:val>
          <c:extLst>
            <c:ext xmlns:c16="http://schemas.microsoft.com/office/drawing/2014/chart" uri="{C3380CC4-5D6E-409C-BE32-E72D297353CC}">
              <c16:uniqueId val="{00000000-B95C-4881-B1D9-3BEDFE83E8C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(Ammonia)'!$A$11</c:f>
              <c:strCache>
                <c:ptCount val="1"/>
                <c:pt idx="0">
                  <c:v>Capex vehicle</c:v>
                </c:pt>
              </c:strCache>
            </c:strRef>
          </c:tx>
          <c:spPr>
            <a:ln w="28575" cap="rnd">
              <a:solidFill>
                <a:schemeClr val="accent1"/>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ECE3-4648-A706-0FEC0A582761}"/>
            </c:ext>
          </c:extLst>
        </c:ser>
        <c:ser>
          <c:idx val="13"/>
          <c:order val="1"/>
          <c:tx>
            <c:strRef>
              <c:f>'Short-sea (Ammonia)'!$A$12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(Ammonia)'!$Q$12:$AR$12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ECE3-4648-A706-0FEC0A582761}"/>
            </c:ext>
          </c:extLst>
        </c:ser>
        <c:ser>
          <c:idx val="1"/>
          <c:order val="2"/>
          <c:tx>
            <c:strRef>
              <c:f>'Short-sea (Ammonia)'!$A$13</c:f>
              <c:strCache>
                <c:ptCount val="1"/>
                <c:pt idx="0">
                  <c:v>Capex costumization</c:v>
                </c:pt>
              </c:strCache>
            </c:strRef>
          </c:tx>
          <c:spPr>
            <a:ln w="28575" cap="rnd">
              <a:solidFill>
                <a:schemeClr val="accent2"/>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ECE3-4648-A706-0FEC0A582761}"/>
            </c:ext>
          </c:extLst>
        </c:ser>
        <c:ser>
          <c:idx val="14"/>
          <c:order val="3"/>
          <c:tx>
            <c:strRef>
              <c:f>'Short-sea (Ammonia)'!$A$14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(Ammonia)'!$Q$14:$AR$14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ECE3-4648-A706-0FEC0A582761}"/>
            </c:ext>
          </c:extLst>
        </c:ser>
        <c:ser>
          <c:idx val="2"/>
          <c:order val="4"/>
          <c:tx>
            <c:strRef>
              <c:f>'Short-sea (Ammonia)'!$A$15</c:f>
              <c:strCache>
                <c:ptCount val="1"/>
                <c:pt idx="0">
                  <c:v>WACC</c:v>
                </c:pt>
              </c:strCache>
            </c:strRef>
          </c:tx>
          <c:spPr>
            <a:ln w="28575" cap="rnd">
              <a:solidFill>
                <a:schemeClr val="accent3"/>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ECE3-4648-A706-0FEC0A582761}"/>
            </c:ext>
          </c:extLst>
        </c:ser>
        <c:ser>
          <c:idx val="3"/>
          <c:order val="5"/>
          <c:tx>
            <c:strRef>
              <c:f>'Short-sea (Ammonia)'!$A$16</c:f>
              <c:strCache>
                <c:ptCount val="1"/>
                <c:pt idx="0">
                  <c:v>Opex fix (admin, crew, insurance)</c:v>
                </c:pt>
              </c:strCache>
            </c:strRef>
          </c:tx>
          <c:spPr>
            <a:ln w="28575" cap="rnd">
              <a:solidFill>
                <a:schemeClr val="accent4"/>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ECE3-4648-A706-0FEC0A582761}"/>
            </c:ext>
          </c:extLst>
        </c:ser>
        <c:ser>
          <c:idx val="4"/>
          <c:order val="6"/>
          <c:tx>
            <c:strRef>
              <c:f>'Short-sea (Ammonia)'!$A$18</c:f>
              <c:strCache>
                <c:ptCount val="1"/>
                <c:pt idx="0">
                  <c:v>Opex var (mode-fees)</c:v>
                </c:pt>
              </c:strCache>
            </c:strRef>
          </c:tx>
          <c:spPr>
            <a:ln w="28575" cap="rnd">
              <a:solidFill>
                <a:schemeClr val="accent5"/>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ECE3-4648-A706-0FEC0A582761}"/>
            </c:ext>
          </c:extLst>
        </c:ser>
        <c:ser>
          <c:idx val="5"/>
          <c:order val="7"/>
          <c:tx>
            <c:strRef>
              <c:f>'Short-sea (Ammonia)'!$A$19</c:f>
              <c:strCache>
                <c:ptCount val="1"/>
                <c:pt idx="0">
                  <c:v>Fuel Economy</c:v>
                </c:pt>
              </c:strCache>
            </c:strRef>
          </c:tx>
          <c:spPr>
            <a:ln w="28575" cap="rnd">
              <a:solidFill>
                <a:schemeClr val="accent6"/>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ECE3-4648-A706-0FEC0A582761}"/>
            </c:ext>
          </c:extLst>
        </c:ser>
        <c:ser>
          <c:idx val="6"/>
          <c:order val="8"/>
          <c:tx>
            <c:strRef>
              <c:f>'Short-sea (Ammonia)'!$A$20</c:f>
              <c:strCache>
                <c:ptCount val="1"/>
                <c:pt idx="0">
                  <c:v>Fuel Cost</c:v>
                </c:pt>
              </c:strCache>
            </c:strRef>
          </c:tx>
          <c:spPr>
            <a:ln w="28575" cap="rnd">
              <a:solidFill>
                <a:schemeClr val="accent1">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(Ammonia)'!$Q$20:$AR$20</c:f>
              <c:numCache>
                <c:formatCode>General</c:formatCode>
                <c:ptCount val="28"/>
                <c:pt idx="0">
                  <c:v>0.99354772139898062</c:v>
                </c:pt>
                <c:pt idx="1">
                  <c:v>0.99076681540580536</c:v>
                </c:pt>
                <c:pt idx="2">
                  <c:v>0.9867978615748374</c:v>
                </c:pt>
                <c:pt idx="3">
                  <c:v>0.98114509762858249</c:v>
                </c:pt>
                <c:pt idx="4">
                  <c:v>0.97311898315872036</c:v>
                </c:pt>
                <c:pt idx="5">
                  <c:v>0.96177484161592774</c:v>
                </c:pt>
                <c:pt idx="6">
                  <c:v>0.94584787155511363</c:v>
                </c:pt>
                <c:pt idx="7">
                  <c:v>0.92370360150141495</c:v>
                </c:pt>
                <c:pt idx="8">
                  <c:v>0.89334463567658451</c:v>
                </c:pt>
                <c:pt idx="9">
                  <c:v>0.85254543874327005</c:v>
                </c:pt>
                <c:pt idx="10">
                  <c:v>0.79921300652623883</c:v>
                </c:pt>
                <c:pt idx="11">
                  <c:v>0.73204982249993378</c:v>
                </c:pt>
                <c:pt idx="12">
                  <c:v>0.65145592958786691</c:v>
                </c:pt>
                <c:pt idx="13">
                  <c:v>0.56032247880849573</c:v>
                </c:pt>
                <c:pt idx="14">
                  <c:v>0.46411326873185343</c:v>
                </c:pt>
                <c:pt idx="15">
                  <c:v>0.36979727595523937</c:v>
                </c:pt>
                <c:pt idx="16">
                  <c:v>0.28393948637231203</c:v>
                </c:pt>
                <c:pt idx="17">
                  <c:v>0.21097259161117732</c:v>
                </c:pt>
                <c:pt idx="18">
                  <c:v>0.15253917653798199</c:v>
                </c:pt>
                <c:pt idx="19">
                  <c:v>0.10795188737709993</c:v>
                </c:pt>
                <c:pt idx="20">
                  <c:v>7.5176653938091809E-2</c:v>
                </c:pt>
                <c:pt idx="21">
                  <c:v>5.1742836177502194E-2</c:v>
                </c:pt>
                <c:pt idx="22">
                  <c:v>3.5319190625345942E-2</c:v>
                </c:pt>
                <c:pt idx="23">
                  <c:v>2.3969442072658165E-2</c:v>
                </c:pt>
                <c:pt idx="24">
                  <c:v>1.6202243558389728E-2</c:v>
                </c:pt>
                <c:pt idx="25">
                  <c:v>1.0922240564108399E-2</c:v>
                </c:pt>
                <c:pt idx="26">
                  <c:v>7.3493212906090566E-3</c:v>
                </c:pt>
                <c:pt idx="27">
                  <c:v>4.9390262185057265E-3</c:v>
                </c:pt>
              </c:numCache>
            </c:numRef>
          </c:val>
          <c:smooth val="0"/>
          <c:extLst>
            <c:ext xmlns:c16="http://schemas.microsoft.com/office/drawing/2014/chart" uri="{C3380CC4-5D6E-409C-BE32-E72D297353CC}">
              <c16:uniqueId val="{00000008-ECE3-4648-A706-0FEC0A582761}"/>
            </c:ext>
          </c:extLst>
        </c:ser>
        <c:ser>
          <c:idx val="7"/>
          <c:order val="9"/>
          <c:tx>
            <c:strRef>
              <c:f>'Short-sea (Ammonia)'!$A$22</c:f>
              <c:strCache>
                <c:ptCount val="1"/>
                <c:pt idx="0">
                  <c:v>Lifetime vehicle</c:v>
                </c:pt>
              </c:strCache>
            </c:strRef>
          </c:tx>
          <c:spPr>
            <a:ln w="28575" cap="rnd">
              <a:solidFill>
                <a:schemeClr val="accent2">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ECE3-4648-A706-0FEC0A582761}"/>
            </c:ext>
          </c:extLst>
        </c:ser>
        <c:ser>
          <c:idx val="8"/>
          <c:order val="10"/>
          <c:tx>
            <c:strRef>
              <c:f>'Short-sea (Ammonia)'!$A$23</c:f>
              <c:strCache>
                <c:ptCount val="1"/>
                <c:pt idx="0">
                  <c:v>Lifetime costumization</c:v>
                </c:pt>
              </c:strCache>
            </c:strRef>
          </c:tx>
          <c:spPr>
            <a:ln w="28575" cap="rnd">
              <a:solidFill>
                <a:schemeClr val="accent3">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ECE3-4648-A706-0FEC0A582761}"/>
            </c:ext>
          </c:extLst>
        </c:ser>
        <c:ser>
          <c:idx val="9"/>
          <c:order val="11"/>
          <c:tx>
            <c:strRef>
              <c:f>'Short-sea (Ammonia)'!$A$24</c:f>
              <c:strCache>
                <c:ptCount val="1"/>
                <c:pt idx="0">
                  <c:v>Tonnage .</c:v>
                </c:pt>
              </c:strCache>
            </c:strRef>
          </c:tx>
          <c:spPr>
            <a:ln w="28575" cap="rnd">
              <a:solidFill>
                <a:schemeClr val="accent4">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ECE3-4648-A706-0FEC0A582761}"/>
            </c:ext>
          </c:extLst>
        </c:ser>
        <c:ser>
          <c:idx val="10"/>
          <c:order val="12"/>
          <c:tx>
            <c:strRef>
              <c:f>'Short-sea (Ammonia)'!$A$25</c:f>
              <c:strCache>
                <c:ptCount val="1"/>
                <c:pt idx="0">
                  <c:v>Market failure (av. utilization)</c:v>
                </c:pt>
              </c:strCache>
            </c:strRef>
          </c:tx>
          <c:spPr>
            <a:ln w="28575" cap="rnd">
              <a:solidFill>
                <a:schemeClr val="accent5">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ECE3-4648-A706-0FEC0A582761}"/>
            </c:ext>
          </c:extLst>
        </c:ser>
        <c:ser>
          <c:idx val="11"/>
          <c:order val="13"/>
          <c:tx>
            <c:strRef>
              <c:f>'Short-sea (Ammonia)'!$A$27</c:f>
              <c:strCache>
                <c:ptCount val="1"/>
                <c:pt idx="0">
                  <c:v>Annual Mileage</c:v>
                </c:pt>
              </c:strCache>
            </c:strRef>
          </c:tx>
          <c:spPr>
            <a:ln w="28575" cap="rnd">
              <a:solidFill>
                <a:schemeClr val="accent6">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ECE3-4648-A706-0FEC0A582761}"/>
            </c:ext>
          </c:extLst>
        </c:ser>
        <c:ser>
          <c:idx val="12"/>
          <c:order val="14"/>
          <c:tx>
            <c:strRef>
              <c:f>'Short-sea (Ammonia)'!$A$17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(Ammonia)'!$Q$17:$AR$17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ECE3-4648-A706-0FEC0A582761}"/>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(Ammonia)'!$A$74</c:f>
              <c:strCache>
                <c:ptCount val="1"/>
                <c:pt idx="0">
                  <c:v>Capex vehicle</c:v>
                </c:pt>
              </c:strCache>
            </c:strRef>
          </c:tx>
          <c:spPr>
            <a:solidFill>
              <a:schemeClr val="accent1"/>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(Ammonia)'!$B$74,'Short-sea (Ammonia)'!$N$74,'Short-sea (Ammonia)'!$AC$74)</c:f>
              <c:numCache>
                <c:formatCode>0.00</c:formatCode>
                <c:ptCount val="3"/>
                <c:pt idx="0">
                  <c:v>2.0676718491395704E-3</c:v>
                </c:pt>
                <c:pt idx="1">
                  <c:v>1.9474276097157688E-3</c:v>
                </c:pt>
                <c:pt idx="2">
                  <c:v>1.2551060916366106E-3</c:v>
                </c:pt>
              </c:numCache>
            </c:numRef>
          </c:val>
          <c:extLst>
            <c:ext xmlns:c16="http://schemas.microsoft.com/office/drawing/2014/chart" uri="{C3380CC4-5D6E-409C-BE32-E72D297353CC}">
              <c16:uniqueId val="{00000000-3360-485B-8A38-0D777947D31A}"/>
            </c:ext>
          </c:extLst>
        </c:ser>
        <c:ser>
          <c:idx val="1"/>
          <c:order val="1"/>
          <c:tx>
            <c:strRef>
              <c:f>'Short-sea (Ammonia)'!$A$75</c:f>
              <c:strCache>
                <c:ptCount val="1"/>
                <c:pt idx="0">
                  <c:v>Residual value (vehicle)</c:v>
                </c:pt>
              </c:strCache>
            </c:strRef>
          </c:tx>
          <c:spPr>
            <a:solidFill>
              <a:schemeClr val="accent2"/>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(Ammonia)'!$B$75,'Short-sea (Ammonia)'!$N$75,'Short-sea (Ammonia)'!$AC$75)</c:f>
              <c:numCache>
                <c:formatCode>0.000</c:formatCode>
                <c:ptCount val="3"/>
                <c:pt idx="0">
                  <c:v>-1.0351994625618128E-4</c:v>
                </c:pt>
                <c:pt idx="1">
                  <c:v>-1.0652605224177631E-4</c:v>
                </c:pt>
                <c:pt idx="2">
                  <c:v>-1.2383409019375524E-4</c:v>
                </c:pt>
              </c:numCache>
            </c:numRef>
          </c:val>
          <c:extLst>
            <c:ext xmlns:c16="http://schemas.microsoft.com/office/drawing/2014/chart" uri="{C3380CC4-5D6E-409C-BE32-E72D297353CC}">
              <c16:uniqueId val="{00000001-3360-485B-8A38-0D777947D31A}"/>
            </c:ext>
          </c:extLst>
        </c:ser>
        <c:ser>
          <c:idx val="2"/>
          <c:order val="2"/>
          <c:tx>
            <c:strRef>
              <c:f>'Short-sea (Ammonia)'!$A$76</c:f>
              <c:strCache>
                <c:ptCount val="1"/>
                <c:pt idx="0">
                  <c:v>Capex costumization</c:v>
                </c:pt>
              </c:strCache>
            </c:strRef>
          </c:tx>
          <c:spPr>
            <a:solidFill>
              <a:schemeClr val="accent3"/>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(Ammonia)'!$B$76,'Short-sea (Ammonia)'!$N$76,'Short-sea (Ammonia)'!$AC$76)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3360-485B-8A38-0D777947D31A}"/>
            </c:ext>
          </c:extLst>
        </c:ser>
        <c:ser>
          <c:idx val="3"/>
          <c:order val="3"/>
          <c:tx>
            <c:strRef>
              <c:f>'Short-sea (Ammonia)'!$A$77</c:f>
              <c:strCache>
                <c:ptCount val="1"/>
                <c:pt idx="0">
                  <c:v>Residual value (costumization)</c:v>
                </c:pt>
              </c:strCache>
            </c:strRef>
          </c:tx>
          <c:spPr>
            <a:solidFill>
              <a:schemeClr val="accent4"/>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(Ammonia)'!$B$77,'Short-sea (Ammonia)'!$N$77,'Short-sea (Ammonia)'!$AC$77)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3360-485B-8A38-0D777947D31A}"/>
            </c:ext>
          </c:extLst>
        </c:ser>
        <c:ser>
          <c:idx val="4"/>
          <c:order val="4"/>
          <c:tx>
            <c:strRef>
              <c:f>'Short-sea (Ammonia)'!$A$78</c:f>
              <c:strCache>
                <c:ptCount val="1"/>
                <c:pt idx="0">
                  <c:v>Opex fix (admin, crew, insurance)</c:v>
                </c:pt>
              </c:strCache>
            </c:strRef>
          </c:tx>
          <c:spPr>
            <a:solidFill>
              <a:schemeClr val="accent5"/>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(Ammonia)'!$B$78,'Short-sea (Ammonia)'!$N$78,'Short-sea (Ammonia)'!$AC$78)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3360-485B-8A38-0D777947D31A}"/>
            </c:ext>
          </c:extLst>
        </c:ser>
        <c:ser>
          <c:idx val="5"/>
          <c:order val="5"/>
          <c:tx>
            <c:strRef>
              <c:f>'Short-sea (Ammonia)'!$A$79</c:f>
              <c:strCache>
                <c:ptCount val="1"/>
                <c:pt idx="0">
                  <c:v>Opex maintenance &amp; repair</c:v>
                </c:pt>
              </c:strCache>
            </c:strRef>
          </c:tx>
          <c:spPr>
            <a:solidFill>
              <a:schemeClr val="accent6"/>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(Ammonia)'!$B$79,'Short-sea (Ammonia)'!$N$79,'Short-sea (Ammonia)'!$AC$79)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3360-485B-8A38-0D777947D31A}"/>
            </c:ext>
          </c:extLst>
        </c:ser>
        <c:ser>
          <c:idx val="6"/>
          <c:order val="6"/>
          <c:tx>
            <c:strRef>
              <c:f>'Short-sea (Ammonia)'!$A$80</c:f>
              <c:strCache>
                <c:ptCount val="1"/>
                <c:pt idx="0">
                  <c:v>Opex var (mode-fees)</c:v>
                </c:pt>
              </c:strCache>
            </c:strRef>
          </c:tx>
          <c:spPr>
            <a:solidFill>
              <a:schemeClr val="accent1">
                <a:lumMod val="60000"/>
              </a:schemeClr>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(Ammonia)'!$B$80,'Short-sea (Ammonia)'!$N$80,'Short-sea (Ammonia)'!$AC$80)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3360-485B-8A38-0D777947D31A}"/>
            </c:ext>
          </c:extLst>
        </c:ser>
        <c:ser>
          <c:idx val="7"/>
          <c:order val="7"/>
          <c:tx>
            <c:strRef>
              <c:f>'Short-sea (Ammonia)'!$A$81</c:f>
              <c:strCache>
                <c:ptCount val="1"/>
                <c:pt idx="0">
                  <c:v>Fuel Cost</c:v>
                </c:pt>
              </c:strCache>
            </c:strRef>
          </c:tx>
          <c:spPr>
            <a:solidFill>
              <a:schemeClr val="accent2">
                <a:lumMod val="60000"/>
              </a:schemeClr>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(Ammonia)'!$B$81,'Short-sea (Ammonia)'!$N$81,'Short-sea (Ammonia)'!$AC$81)</c:f>
              <c:numCache>
                <c:formatCode>0.00</c:formatCode>
                <c:ptCount val="3"/>
                <c:pt idx="0">
                  <c:v>1.488952128048405E-2</c:v>
                </c:pt>
                <c:pt idx="1">
                  <c:v>1.200381542764874E-2</c:v>
                </c:pt>
                <c:pt idx="2">
                  <c:v>6.3242223149148858E-3</c:v>
                </c:pt>
              </c:numCache>
            </c:numRef>
          </c:val>
          <c:extLst>
            <c:ext xmlns:c16="http://schemas.microsoft.com/office/drawing/2014/chart" uri="{C3380CC4-5D6E-409C-BE32-E72D297353CC}">
              <c16:uniqueId val="{00000007-3360-485B-8A38-0D777947D31A}"/>
            </c:ext>
          </c:extLst>
        </c:ser>
        <c:ser>
          <c:idx val="8"/>
          <c:order val="8"/>
          <c:tx>
            <c:strRef>
              <c:f>'Short-sea (Ammonia)'!$A$82</c:f>
              <c:strCache>
                <c:ptCount val="1"/>
                <c:pt idx="0">
                  <c:v>Market failure (av. utilization)</c:v>
                </c:pt>
              </c:strCache>
            </c:strRef>
          </c:tx>
          <c:spPr>
            <a:solidFill>
              <a:schemeClr val="accent3">
                <a:lumMod val="60000"/>
              </a:schemeClr>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(Ammonia)'!$B$82,'Short-sea (Ammonia)'!$N$82,'Short-sea (Ammonia)'!$AC$82)</c:f>
              <c:numCache>
                <c:formatCode>0.00</c:formatCode>
                <c:ptCount val="3"/>
                <c:pt idx="0">
                  <c:v>8.774787363226462E-3</c:v>
                </c:pt>
                <c:pt idx="1">
                  <c:v>7.3407825776691978E-3</c:v>
                </c:pt>
                <c:pt idx="2">
                  <c:v>4.2303060322281573E-3</c:v>
                </c:pt>
              </c:numCache>
            </c:numRef>
          </c:val>
          <c:extLst>
            <c:ext xmlns:c16="http://schemas.microsoft.com/office/drawing/2014/chart" uri="{C3380CC4-5D6E-409C-BE32-E72D297353CC}">
              <c16:uniqueId val="{00000008-3360-485B-8A38-0D777947D31A}"/>
            </c:ext>
          </c:extLst>
        </c:ser>
        <c:ser>
          <c:idx val="9"/>
          <c:order val="9"/>
          <c:tx>
            <c:strRef>
              <c:f>'Short-sea (Ammonia)'!$A$83</c:f>
              <c:strCache>
                <c:ptCount val="1"/>
                <c:pt idx="0">
                  <c:v>Payload loss (fuel)</c:v>
                </c:pt>
              </c:strCache>
            </c:strRef>
          </c:tx>
          <c:spPr>
            <a:solidFill>
              <a:schemeClr val="accent4">
                <a:lumMod val="60000"/>
              </a:schemeClr>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(Ammonia)'!$B$83,'Short-sea (Ammonia)'!$N$83,'Short-sea (Ammonia)'!$AC$83)</c:f>
              <c:numCache>
                <c:formatCode>0.00</c:formatCode>
                <c:ptCount val="3"/>
                <c:pt idx="0">
                  <c:v>1.6209442703982065E-3</c:v>
                </c:pt>
                <c:pt idx="1">
                  <c:v>1.3293165467323925E-3</c:v>
                </c:pt>
                <c:pt idx="2">
                  <c:v>6.7830581461089494E-4</c:v>
                </c:pt>
              </c:numCache>
            </c:numRef>
          </c:val>
          <c:extLst>
            <c:ext xmlns:c16="http://schemas.microsoft.com/office/drawing/2014/chart" uri="{C3380CC4-5D6E-409C-BE32-E72D297353CC}">
              <c16:uniqueId val="{00000009-3360-485B-8A38-0D777947D31A}"/>
            </c:ext>
          </c:extLst>
        </c:ser>
        <c:ser>
          <c:idx val="10"/>
          <c:order val="10"/>
          <c:tx>
            <c:strRef>
              <c:f>'Short-sea (Ammonia)'!$A$190</c:f>
              <c:strCache>
                <c:ptCount val="1"/>
                <c:pt idx="0">
                  <c:v>Emission Cost</c:v>
                </c:pt>
              </c:strCache>
            </c:strRef>
          </c:tx>
          <c:spPr>
            <a:solidFill>
              <a:schemeClr val="accent5">
                <a:lumMod val="60000"/>
              </a:schemeClr>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(Ammonia)'!$B$190,'Short-sea (Ammonia)'!$N$190,'Short-sea (Ammonia)'!$AC$190)</c:f>
              <c:numCache>
                <c:formatCode>0.000</c:formatCode>
                <c:ptCount val="3"/>
                <c:pt idx="0">
                  <c:v>2.6311642110997044E-4</c:v>
                </c:pt>
                <c:pt idx="1">
                  <c:v>2.2481245004548822E-4</c:v>
                </c:pt>
                <c:pt idx="2">
                  <c:v>4.2724597482624145E-6</c:v>
                </c:pt>
              </c:numCache>
            </c:numRef>
          </c:val>
          <c:extLst>
            <c:ext xmlns:c16="http://schemas.microsoft.com/office/drawing/2014/chart" uri="{C3380CC4-5D6E-409C-BE32-E72D297353CC}">
              <c16:uniqueId val="{00000000-2821-43D8-B832-AD2024FBAD0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(Ammonia)'!$A$11</c:f>
              <c:strCache>
                <c:ptCount val="1"/>
                <c:pt idx="0">
                  <c:v>Capex vehicle</c:v>
                </c:pt>
              </c:strCache>
            </c:strRef>
          </c:tx>
          <c:spPr>
            <a:ln w="28575" cap="rnd">
              <a:solidFill>
                <a:schemeClr val="accent1"/>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F291-43E8-9832-C11234B95E2F}"/>
            </c:ext>
          </c:extLst>
        </c:ser>
        <c:ser>
          <c:idx val="13"/>
          <c:order val="1"/>
          <c:tx>
            <c:strRef>
              <c:f>'Short-sea (Ammonia)'!$A$12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(Ammonia)'!$Q$12:$AR$12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F291-43E8-9832-C11234B95E2F}"/>
            </c:ext>
          </c:extLst>
        </c:ser>
        <c:ser>
          <c:idx val="1"/>
          <c:order val="2"/>
          <c:tx>
            <c:strRef>
              <c:f>'Short-sea (Ammonia)'!$A$13</c:f>
              <c:strCache>
                <c:ptCount val="1"/>
                <c:pt idx="0">
                  <c:v>Capex costumization</c:v>
                </c:pt>
              </c:strCache>
            </c:strRef>
          </c:tx>
          <c:spPr>
            <a:ln w="28575" cap="rnd">
              <a:solidFill>
                <a:schemeClr val="accent2"/>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F291-43E8-9832-C11234B95E2F}"/>
            </c:ext>
          </c:extLst>
        </c:ser>
        <c:ser>
          <c:idx val="14"/>
          <c:order val="3"/>
          <c:tx>
            <c:strRef>
              <c:f>'Short-sea (Ammonia)'!$A$14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(Ammonia)'!$Q$14:$AR$14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F291-43E8-9832-C11234B95E2F}"/>
            </c:ext>
          </c:extLst>
        </c:ser>
        <c:ser>
          <c:idx val="2"/>
          <c:order val="4"/>
          <c:tx>
            <c:strRef>
              <c:f>'Short-sea (Ammonia)'!$A$15</c:f>
              <c:strCache>
                <c:ptCount val="1"/>
                <c:pt idx="0">
                  <c:v>WACC</c:v>
                </c:pt>
              </c:strCache>
            </c:strRef>
          </c:tx>
          <c:spPr>
            <a:ln w="28575" cap="rnd">
              <a:solidFill>
                <a:schemeClr val="accent3"/>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F291-43E8-9832-C11234B95E2F}"/>
            </c:ext>
          </c:extLst>
        </c:ser>
        <c:ser>
          <c:idx val="3"/>
          <c:order val="5"/>
          <c:tx>
            <c:strRef>
              <c:f>'Short-sea (Ammonia)'!$A$16</c:f>
              <c:strCache>
                <c:ptCount val="1"/>
                <c:pt idx="0">
                  <c:v>Opex fix (admin, crew, insurance)</c:v>
                </c:pt>
              </c:strCache>
            </c:strRef>
          </c:tx>
          <c:spPr>
            <a:ln w="28575" cap="rnd">
              <a:solidFill>
                <a:schemeClr val="accent4"/>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F291-43E8-9832-C11234B95E2F}"/>
            </c:ext>
          </c:extLst>
        </c:ser>
        <c:ser>
          <c:idx val="4"/>
          <c:order val="6"/>
          <c:tx>
            <c:strRef>
              <c:f>'Short-sea (Ammonia)'!$A$18</c:f>
              <c:strCache>
                <c:ptCount val="1"/>
                <c:pt idx="0">
                  <c:v>Opex var (mode-fees)</c:v>
                </c:pt>
              </c:strCache>
            </c:strRef>
          </c:tx>
          <c:spPr>
            <a:ln w="28575" cap="rnd">
              <a:solidFill>
                <a:schemeClr val="accent5"/>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F291-43E8-9832-C11234B95E2F}"/>
            </c:ext>
          </c:extLst>
        </c:ser>
        <c:ser>
          <c:idx val="5"/>
          <c:order val="7"/>
          <c:tx>
            <c:strRef>
              <c:f>'Short-sea (Ammonia)'!$A$19</c:f>
              <c:strCache>
                <c:ptCount val="1"/>
                <c:pt idx="0">
                  <c:v>Fuel Economy</c:v>
                </c:pt>
              </c:strCache>
            </c:strRef>
          </c:tx>
          <c:spPr>
            <a:ln w="28575" cap="rnd">
              <a:solidFill>
                <a:schemeClr val="accent6"/>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F291-43E8-9832-C11234B95E2F}"/>
            </c:ext>
          </c:extLst>
        </c:ser>
        <c:ser>
          <c:idx val="6"/>
          <c:order val="8"/>
          <c:tx>
            <c:strRef>
              <c:f>'Short-sea (Ammonia)'!$A$20</c:f>
              <c:strCache>
                <c:ptCount val="1"/>
                <c:pt idx="0">
                  <c:v>Fuel Cost</c:v>
                </c:pt>
              </c:strCache>
            </c:strRef>
          </c:tx>
          <c:spPr>
            <a:ln w="28575" cap="rnd">
              <a:solidFill>
                <a:schemeClr val="accent1">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(Ammonia)'!$Q$20:$AR$20</c:f>
              <c:numCache>
                <c:formatCode>General</c:formatCode>
                <c:ptCount val="28"/>
                <c:pt idx="0">
                  <c:v>0.99354772139898062</c:v>
                </c:pt>
                <c:pt idx="1">
                  <c:v>0.99076681540580536</c:v>
                </c:pt>
                <c:pt idx="2">
                  <c:v>0.9867978615748374</c:v>
                </c:pt>
                <c:pt idx="3">
                  <c:v>0.98114509762858249</c:v>
                </c:pt>
                <c:pt idx="4">
                  <c:v>0.97311898315872036</c:v>
                </c:pt>
                <c:pt idx="5">
                  <c:v>0.96177484161592774</c:v>
                </c:pt>
                <c:pt idx="6">
                  <c:v>0.94584787155511363</c:v>
                </c:pt>
                <c:pt idx="7">
                  <c:v>0.92370360150141495</c:v>
                </c:pt>
                <c:pt idx="8">
                  <c:v>0.89334463567658451</c:v>
                </c:pt>
                <c:pt idx="9">
                  <c:v>0.85254543874327005</c:v>
                </c:pt>
                <c:pt idx="10">
                  <c:v>0.79921300652623883</c:v>
                </c:pt>
                <c:pt idx="11">
                  <c:v>0.73204982249993378</c:v>
                </c:pt>
                <c:pt idx="12">
                  <c:v>0.65145592958786691</c:v>
                </c:pt>
                <c:pt idx="13">
                  <c:v>0.56032247880849573</c:v>
                </c:pt>
                <c:pt idx="14">
                  <c:v>0.46411326873185343</c:v>
                </c:pt>
                <c:pt idx="15">
                  <c:v>0.36979727595523937</c:v>
                </c:pt>
                <c:pt idx="16">
                  <c:v>0.28393948637231203</c:v>
                </c:pt>
                <c:pt idx="17">
                  <c:v>0.21097259161117732</c:v>
                </c:pt>
                <c:pt idx="18">
                  <c:v>0.15253917653798199</c:v>
                </c:pt>
                <c:pt idx="19">
                  <c:v>0.10795188737709993</c:v>
                </c:pt>
                <c:pt idx="20">
                  <c:v>7.5176653938091809E-2</c:v>
                </c:pt>
                <c:pt idx="21">
                  <c:v>5.1742836177502194E-2</c:v>
                </c:pt>
                <c:pt idx="22">
                  <c:v>3.5319190625345942E-2</c:v>
                </c:pt>
                <c:pt idx="23">
                  <c:v>2.3969442072658165E-2</c:v>
                </c:pt>
                <c:pt idx="24">
                  <c:v>1.6202243558389728E-2</c:v>
                </c:pt>
                <c:pt idx="25">
                  <c:v>1.0922240564108399E-2</c:v>
                </c:pt>
                <c:pt idx="26">
                  <c:v>7.3493212906090566E-3</c:v>
                </c:pt>
                <c:pt idx="27">
                  <c:v>4.9390262185057265E-3</c:v>
                </c:pt>
              </c:numCache>
            </c:numRef>
          </c:val>
          <c:smooth val="0"/>
          <c:extLst>
            <c:ext xmlns:c16="http://schemas.microsoft.com/office/drawing/2014/chart" uri="{C3380CC4-5D6E-409C-BE32-E72D297353CC}">
              <c16:uniqueId val="{00000008-F291-43E8-9832-C11234B95E2F}"/>
            </c:ext>
          </c:extLst>
        </c:ser>
        <c:ser>
          <c:idx val="7"/>
          <c:order val="9"/>
          <c:tx>
            <c:strRef>
              <c:f>'Short-sea (Ammonia)'!$A$22</c:f>
              <c:strCache>
                <c:ptCount val="1"/>
                <c:pt idx="0">
                  <c:v>Lifetime vehicle</c:v>
                </c:pt>
              </c:strCache>
            </c:strRef>
          </c:tx>
          <c:spPr>
            <a:ln w="28575" cap="rnd">
              <a:solidFill>
                <a:schemeClr val="accent2">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F291-43E8-9832-C11234B95E2F}"/>
            </c:ext>
          </c:extLst>
        </c:ser>
        <c:ser>
          <c:idx val="8"/>
          <c:order val="10"/>
          <c:tx>
            <c:strRef>
              <c:f>'Short-sea (Ammonia)'!$A$23</c:f>
              <c:strCache>
                <c:ptCount val="1"/>
                <c:pt idx="0">
                  <c:v>Lifetime costumization</c:v>
                </c:pt>
              </c:strCache>
            </c:strRef>
          </c:tx>
          <c:spPr>
            <a:ln w="28575" cap="rnd">
              <a:solidFill>
                <a:schemeClr val="accent3">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F291-43E8-9832-C11234B95E2F}"/>
            </c:ext>
          </c:extLst>
        </c:ser>
        <c:ser>
          <c:idx val="9"/>
          <c:order val="11"/>
          <c:tx>
            <c:strRef>
              <c:f>'Short-sea (Ammonia)'!$A$24</c:f>
              <c:strCache>
                <c:ptCount val="1"/>
                <c:pt idx="0">
                  <c:v>Tonnage .</c:v>
                </c:pt>
              </c:strCache>
            </c:strRef>
          </c:tx>
          <c:spPr>
            <a:ln w="28575" cap="rnd">
              <a:solidFill>
                <a:schemeClr val="accent4">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F291-43E8-9832-C11234B95E2F}"/>
            </c:ext>
          </c:extLst>
        </c:ser>
        <c:ser>
          <c:idx val="10"/>
          <c:order val="12"/>
          <c:tx>
            <c:strRef>
              <c:f>'Short-sea (Ammonia)'!$A$25</c:f>
              <c:strCache>
                <c:ptCount val="1"/>
                <c:pt idx="0">
                  <c:v>Market failure (av. utilization)</c:v>
                </c:pt>
              </c:strCache>
            </c:strRef>
          </c:tx>
          <c:spPr>
            <a:ln w="28575" cap="rnd">
              <a:solidFill>
                <a:schemeClr val="accent5">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F291-43E8-9832-C11234B95E2F}"/>
            </c:ext>
          </c:extLst>
        </c:ser>
        <c:ser>
          <c:idx val="11"/>
          <c:order val="13"/>
          <c:tx>
            <c:strRef>
              <c:f>'Short-sea (Ammonia)'!$A$27</c:f>
              <c:strCache>
                <c:ptCount val="1"/>
                <c:pt idx="0">
                  <c:v>Annual Mileage</c:v>
                </c:pt>
              </c:strCache>
            </c:strRef>
          </c:tx>
          <c:spPr>
            <a:ln w="28575" cap="rnd">
              <a:solidFill>
                <a:schemeClr val="accent6">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F291-43E8-9832-C11234B95E2F}"/>
            </c:ext>
          </c:extLst>
        </c:ser>
        <c:ser>
          <c:idx val="12"/>
          <c:order val="14"/>
          <c:tx>
            <c:strRef>
              <c:f>'Short-sea (Ammonia)'!$A$17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(Ammonia)'!$Q$17:$AR$17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F291-43E8-9832-C11234B95E2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(Ammonia)'!$A$74</c:f>
              <c:strCache>
                <c:ptCount val="1"/>
                <c:pt idx="0">
                  <c:v>Capex vehicle</c:v>
                </c:pt>
              </c:strCache>
            </c:strRef>
          </c:tx>
          <c:spPr>
            <a:solidFill>
              <a:schemeClr val="accent1"/>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(Ammonia)'!$B$74,'Short-sea (Ammonia)'!$N$74,'Short-sea (Ammonia)'!$AC$74)</c:f>
              <c:numCache>
                <c:formatCode>0.00</c:formatCode>
                <c:ptCount val="3"/>
                <c:pt idx="0">
                  <c:v>2.0676718491395704E-3</c:v>
                </c:pt>
                <c:pt idx="1">
                  <c:v>1.9474276097157688E-3</c:v>
                </c:pt>
                <c:pt idx="2">
                  <c:v>1.2551060916366106E-3</c:v>
                </c:pt>
              </c:numCache>
            </c:numRef>
          </c:val>
          <c:extLst>
            <c:ext xmlns:c16="http://schemas.microsoft.com/office/drawing/2014/chart" uri="{C3380CC4-5D6E-409C-BE32-E72D297353CC}">
              <c16:uniqueId val="{00000000-3323-46EE-9AF8-681E5E9138C8}"/>
            </c:ext>
          </c:extLst>
        </c:ser>
        <c:ser>
          <c:idx val="1"/>
          <c:order val="1"/>
          <c:tx>
            <c:strRef>
              <c:f>'Short-sea (Ammonia)'!$A$75</c:f>
              <c:strCache>
                <c:ptCount val="1"/>
                <c:pt idx="0">
                  <c:v>Residual value (vehicle)</c:v>
                </c:pt>
              </c:strCache>
            </c:strRef>
          </c:tx>
          <c:spPr>
            <a:solidFill>
              <a:schemeClr val="accent2"/>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(Ammonia)'!$B$75,'Short-sea (Ammonia)'!$N$75,'Short-sea (Ammonia)'!$AC$75)</c:f>
              <c:numCache>
                <c:formatCode>0.000</c:formatCode>
                <c:ptCount val="3"/>
                <c:pt idx="0">
                  <c:v>-1.0351994625618128E-4</c:v>
                </c:pt>
                <c:pt idx="1">
                  <c:v>-1.0652605224177631E-4</c:v>
                </c:pt>
                <c:pt idx="2">
                  <c:v>-1.2383409019375524E-4</c:v>
                </c:pt>
              </c:numCache>
            </c:numRef>
          </c:val>
          <c:extLst>
            <c:ext xmlns:c16="http://schemas.microsoft.com/office/drawing/2014/chart" uri="{C3380CC4-5D6E-409C-BE32-E72D297353CC}">
              <c16:uniqueId val="{00000001-3323-46EE-9AF8-681E5E9138C8}"/>
            </c:ext>
          </c:extLst>
        </c:ser>
        <c:ser>
          <c:idx val="2"/>
          <c:order val="2"/>
          <c:tx>
            <c:strRef>
              <c:f>'Short-sea (Ammonia)'!$A$76</c:f>
              <c:strCache>
                <c:ptCount val="1"/>
                <c:pt idx="0">
                  <c:v>Capex costumization</c:v>
                </c:pt>
              </c:strCache>
            </c:strRef>
          </c:tx>
          <c:spPr>
            <a:solidFill>
              <a:schemeClr val="accent3"/>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(Ammonia)'!$B$76,'Short-sea (Ammonia)'!$N$76,'Short-sea (Ammonia)'!$AC$76)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3323-46EE-9AF8-681E5E9138C8}"/>
            </c:ext>
          </c:extLst>
        </c:ser>
        <c:ser>
          <c:idx val="3"/>
          <c:order val="3"/>
          <c:tx>
            <c:strRef>
              <c:f>'Short-sea (Ammonia)'!$A$77</c:f>
              <c:strCache>
                <c:ptCount val="1"/>
                <c:pt idx="0">
                  <c:v>Residual value (costumization)</c:v>
                </c:pt>
              </c:strCache>
            </c:strRef>
          </c:tx>
          <c:spPr>
            <a:solidFill>
              <a:schemeClr val="accent4"/>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(Ammonia)'!$B$77,'Short-sea (Ammonia)'!$N$77,'Short-sea (Ammonia)'!$AC$77)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3323-46EE-9AF8-681E5E9138C8}"/>
            </c:ext>
          </c:extLst>
        </c:ser>
        <c:ser>
          <c:idx val="4"/>
          <c:order val="4"/>
          <c:tx>
            <c:strRef>
              <c:f>'Short-sea (Ammonia)'!$A$78</c:f>
              <c:strCache>
                <c:ptCount val="1"/>
                <c:pt idx="0">
                  <c:v>Opex fix (admin, crew, insurance)</c:v>
                </c:pt>
              </c:strCache>
            </c:strRef>
          </c:tx>
          <c:spPr>
            <a:solidFill>
              <a:schemeClr val="accent5"/>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(Ammonia)'!$B$78,'Short-sea (Ammonia)'!$N$78,'Short-sea (Ammonia)'!$AC$78)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3323-46EE-9AF8-681E5E9138C8}"/>
            </c:ext>
          </c:extLst>
        </c:ser>
        <c:ser>
          <c:idx val="5"/>
          <c:order val="5"/>
          <c:tx>
            <c:strRef>
              <c:f>'Short-sea (Ammonia)'!$A$79</c:f>
              <c:strCache>
                <c:ptCount val="1"/>
                <c:pt idx="0">
                  <c:v>Opex maintenance &amp; repair</c:v>
                </c:pt>
              </c:strCache>
            </c:strRef>
          </c:tx>
          <c:spPr>
            <a:solidFill>
              <a:schemeClr val="accent6"/>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(Ammonia)'!$B$79,'Short-sea (Ammonia)'!$N$79,'Short-sea (Ammonia)'!$AC$79)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3323-46EE-9AF8-681E5E9138C8}"/>
            </c:ext>
          </c:extLst>
        </c:ser>
        <c:ser>
          <c:idx val="6"/>
          <c:order val="6"/>
          <c:tx>
            <c:strRef>
              <c:f>'Short-sea (Ammonia)'!$A$80</c:f>
              <c:strCache>
                <c:ptCount val="1"/>
                <c:pt idx="0">
                  <c:v>Opex var (mode-fees)</c:v>
                </c:pt>
              </c:strCache>
            </c:strRef>
          </c:tx>
          <c:spPr>
            <a:solidFill>
              <a:schemeClr val="accent1">
                <a:lumMod val="60000"/>
              </a:schemeClr>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(Ammonia)'!$B$80,'Short-sea (Ammonia)'!$N$80,'Short-sea (Ammonia)'!$AC$80)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3323-46EE-9AF8-681E5E9138C8}"/>
            </c:ext>
          </c:extLst>
        </c:ser>
        <c:ser>
          <c:idx val="7"/>
          <c:order val="7"/>
          <c:tx>
            <c:strRef>
              <c:f>'Short-sea (Ammonia)'!$A$81</c:f>
              <c:strCache>
                <c:ptCount val="1"/>
                <c:pt idx="0">
                  <c:v>Fuel Cost</c:v>
                </c:pt>
              </c:strCache>
            </c:strRef>
          </c:tx>
          <c:spPr>
            <a:solidFill>
              <a:schemeClr val="accent2">
                <a:lumMod val="60000"/>
              </a:schemeClr>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(Ammonia)'!$B$81,'Short-sea (Ammonia)'!$N$81,'Short-sea (Ammonia)'!$AC$81)</c:f>
              <c:numCache>
                <c:formatCode>0.00</c:formatCode>
                <c:ptCount val="3"/>
                <c:pt idx="0">
                  <c:v>1.488952128048405E-2</c:v>
                </c:pt>
                <c:pt idx="1">
                  <c:v>1.200381542764874E-2</c:v>
                </c:pt>
                <c:pt idx="2">
                  <c:v>6.3242223149148858E-3</c:v>
                </c:pt>
              </c:numCache>
            </c:numRef>
          </c:val>
          <c:extLst>
            <c:ext xmlns:c16="http://schemas.microsoft.com/office/drawing/2014/chart" uri="{C3380CC4-5D6E-409C-BE32-E72D297353CC}">
              <c16:uniqueId val="{00000007-3323-46EE-9AF8-681E5E9138C8}"/>
            </c:ext>
          </c:extLst>
        </c:ser>
        <c:ser>
          <c:idx val="8"/>
          <c:order val="8"/>
          <c:tx>
            <c:strRef>
              <c:f>'Short-sea (Ammonia)'!$A$82</c:f>
              <c:strCache>
                <c:ptCount val="1"/>
                <c:pt idx="0">
                  <c:v>Market failure (av. utilization)</c:v>
                </c:pt>
              </c:strCache>
            </c:strRef>
          </c:tx>
          <c:spPr>
            <a:solidFill>
              <a:schemeClr val="accent3">
                <a:lumMod val="60000"/>
              </a:schemeClr>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(Ammonia)'!$B$82,'Short-sea (Ammonia)'!$N$82,'Short-sea (Ammonia)'!$AC$82)</c:f>
              <c:numCache>
                <c:formatCode>0.00</c:formatCode>
                <c:ptCount val="3"/>
                <c:pt idx="0">
                  <c:v>8.774787363226462E-3</c:v>
                </c:pt>
                <c:pt idx="1">
                  <c:v>7.3407825776691978E-3</c:v>
                </c:pt>
                <c:pt idx="2">
                  <c:v>4.2303060322281573E-3</c:v>
                </c:pt>
              </c:numCache>
            </c:numRef>
          </c:val>
          <c:extLst>
            <c:ext xmlns:c16="http://schemas.microsoft.com/office/drawing/2014/chart" uri="{C3380CC4-5D6E-409C-BE32-E72D297353CC}">
              <c16:uniqueId val="{00000008-3323-46EE-9AF8-681E5E9138C8}"/>
            </c:ext>
          </c:extLst>
        </c:ser>
        <c:ser>
          <c:idx val="9"/>
          <c:order val="9"/>
          <c:tx>
            <c:strRef>
              <c:f>'Short-sea (Ammonia)'!$A$83</c:f>
              <c:strCache>
                <c:ptCount val="1"/>
                <c:pt idx="0">
                  <c:v>Payload loss (fuel)</c:v>
                </c:pt>
              </c:strCache>
            </c:strRef>
          </c:tx>
          <c:spPr>
            <a:solidFill>
              <a:schemeClr val="accent4">
                <a:lumMod val="60000"/>
              </a:schemeClr>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(Ammonia)'!$B$83,'Short-sea (Ammonia)'!$N$83,'Short-sea (Ammonia)'!$AC$83)</c:f>
              <c:numCache>
                <c:formatCode>0.00</c:formatCode>
                <c:ptCount val="3"/>
                <c:pt idx="0">
                  <c:v>1.6209442703982065E-3</c:v>
                </c:pt>
                <c:pt idx="1">
                  <c:v>1.3293165467323925E-3</c:v>
                </c:pt>
                <c:pt idx="2">
                  <c:v>6.7830581461089494E-4</c:v>
                </c:pt>
              </c:numCache>
            </c:numRef>
          </c:val>
          <c:extLst>
            <c:ext xmlns:c16="http://schemas.microsoft.com/office/drawing/2014/chart" uri="{C3380CC4-5D6E-409C-BE32-E72D297353CC}">
              <c16:uniqueId val="{00000009-3323-46EE-9AF8-681E5E9138C8}"/>
            </c:ext>
          </c:extLst>
        </c:ser>
        <c:ser>
          <c:idx val="10"/>
          <c:order val="10"/>
          <c:tx>
            <c:strRef>
              <c:f>'Short-sea (Ammonia)'!$A$298</c:f>
              <c:strCache>
                <c:ptCount val="1"/>
                <c:pt idx="0">
                  <c:v>Emission Cost</c:v>
                </c:pt>
              </c:strCache>
            </c:strRef>
          </c:tx>
          <c:spPr>
            <a:solidFill>
              <a:schemeClr val="accent5">
                <a:lumMod val="60000"/>
              </a:schemeClr>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(Ammonia)'!$B$298,'Short-sea (Ammonia)'!$N$298,'Short-sea (Ammonia)'!$AC$298)</c:f>
              <c:numCache>
                <c:formatCode>0.000</c:formatCode>
                <c:ptCount val="3"/>
                <c:pt idx="0">
                  <c:v>2.6311642110997044E-4</c:v>
                </c:pt>
                <c:pt idx="1">
                  <c:v>2.2481245004548822E-4</c:v>
                </c:pt>
                <c:pt idx="2">
                  <c:v>4.2724597482624145E-6</c:v>
                </c:pt>
              </c:numCache>
            </c:numRef>
          </c:val>
          <c:extLst>
            <c:ext xmlns:c16="http://schemas.microsoft.com/office/drawing/2014/chart" uri="{C3380CC4-5D6E-409C-BE32-E72D297353CC}">
              <c16:uniqueId val="{00000000-5F77-49A2-B263-F85FD9D2349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(Ammonia)'!$A$11</c:f>
              <c:strCache>
                <c:ptCount val="1"/>
                <c:pt idx="0">
                  <c:v>Capex vehicle</c:v>
                </c:pt>
              </c:strCache>
            </c:strRef>
          </c:tx>
          <c:spPr>
            <a:ln w="28575" cap="rnd">
              <a:solidFill>
                <a:schemeClr val="accent1"/>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AA48-4184-B591-ACBCF5098F3A}"/>
            </c:ext>
          </c:extLst>
        </c:ser>
        <c:ser>
          <c:idx val="13"/>
          <c:order val="1"/>
          <c:tx>
            <c:strRef>
              <c:f>'Short-sea (Ammonia)'!$A$12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(Ammonia)'!$Q$12:$AR$12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AA48-4184-B591-ACBCF5098F3A}"/>
            </c:ext>
          </c:extLst>
        </c:ser>
        <c:ser>
          <c:idx val="1"/>
          <c:order val="2"/>
          <c:tx>
            <c:strRef>
              <c:f>'Short-sea (Ammonia)'!$A$13</c:f>
              <c:strCache>
                <c:ptCount val="1"/>
                <c:pt idx="0">
                  <c:v>Capex costumization</c:v>
                </c:pt>
              </c:strCache>
            </c:strRef>
          </c:tx>
          <c:spPr>
            <a:ln w="28575" cap="rnd">
              <a:solidFill>
                <a:schemeClr val="accent2"/>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AA48-4184-B591-ACBCF5098F3A}"/>
            </c:ext>
          </c:extLst>
        </c:ser>
        <c:ser>
          <c:idx val="14"/>
          <c:order val="3"/>
          <c:tx>
            <c:strRef>
              <c:f>'Short-sea (Ammonia)'!$A$14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(Ammonia)'!$Q$14:$AR$14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AA48-4184-B591-ACBCF5098F3A}"/>
            </c:ext>
          </c:extLst>
        </c:ser>
        <c:ser>
          <c:idx val="2"/>
          <c:order val="4"/>
          <c:tx>
            <c:strRef>
              <c:f>'Short-sea (Ammonia)'!$A$15</c:f>
              <c:strCache>
                <c:ptCount val="1"/>
                <c:pt idx="0">
                  <c:v>WACC</c:v>
                </c:pt>
              </c:strCache>
            </c:strRef>
          </c:tx>
          <c:spPr>
            <a:ln w="28575" cap="rnd">
              <a:solidFill>
                <a:schemeClr val="accent3"/>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AA48-4184-B591-ACBCF5098F3A}"/>
            </c:ext>
          </c:extLst>
        </c:ser>
        <c:ser>
          <c:idx val="3"/>
          <c:order val="5"/>
          <c:tx>
            <c:strRef>
              <c:f>'Short-sea (Ammonia)'!$A$16</c:f>
              <c:strCache>
                <c:ptCount val="1"/>
                <c:pt idx="0">
                  <c:v>Opex fix (admin, crew, insurance)</c:v>
                </c:pt>
              </c:strCache>
            </c:strRef>
          </c:tx>
          <c:spPr>
            <a:ln w="28575" cap="rnd">
              <a:solidFill>
                <a:schemeClr val="accent4"/>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AA48-4184-B591-ACBCF5098F3A}"/>
            </c:ext>
          </c:extLst>
        </c:ser>
        <c:ser>
          <c:idx val="4"/>
          <c:order val="6"/>
          <c:tx>
            <c:strRef>
              <c:f>'Short-sea (Ammonia)'!$A$18</c:f>
              <c:strCache>
                <c:ptCount val="1"/>
                <c:pt idx="0">
                  <c:v>Opex var (mode-fees)</c:v>
                </c:pt>
              </c:strCache>
            </c:strRef>
          </c:tx>
          <c:spPr>
            <a:ln w="28575" cap="rnd">
              <a:solidFill>
                <a:schemeClr val="accent5"/>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AA48-4184-B591-ACBCF5098F3A}"/>
            </c:ext>
          </c:extLst>
        </c:ser>
        <c:ser>
          <c:idx val="5"/>
          <c:order val="7"/>
          <c:tx>
            <c:strRef>
              <c:f>'Short-sea (Ammonia)'!$A$19</c:f>
              <c:strCache>
                <c:ptCount val="1"/>
                <c:pt idx="0">
                  <c:v>Fuel Economy</c:v>
                </c:pt>
              </c:strCache>
            </c:strRef>
          </c:tx>
          <c:spPr>
            <a:ln w="28575" cap="rnd">
              <a:solidFill>
                <a:schemeClr val="accent6"/>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AA48-4184-B591-ACBCF5098F3A}"/>
            </c:ext>
          </c:extLst>
        </c:ser>
        <c:ser>
          <c:idx val="6"/>
          <c:order val="8"/>
          <c:tx>
            <c:strRef>
              <c:f>'Short-sea (Ammonia)'!$A$20</c:f>
              <c:strCache>
                <c:ptCount val="1"/>
                <c:pt idx="0">
                  <c:v>Fuel Cost</c:v>
                </c:pt>
              </c:strCache>
            </c:strRef>
          </c:tx>
          <c:spPr>
            <a:ln w="28575" cap="rnd">
              <a:solidFill>
                <a:schemeClr val="accent1">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(Ammonia)'!$Q$20:$AR$20</c:f>
              <c:numCache>
                <c:formatCode>General</c:formatCode>
                <c:ptCount val="28"/>
                <c:pt idx="0">
                  <c:v>0.99354772139898062</c:v>
                </c:pt>
                <c:pt idx="1">
                  <c:v>0.99076681540580536</c:v>
                </c:pt>
                <c:pt idx="2">
                  <c:v>0.9867978615748374</c:v>
                </c:pt>
                <c:pt idx="3">
                  <c:v>0.98114509762858249</c:v>
                </c:pt>
                <c:pt idx="4">
                  <c:v>0.97311898315872036</c:v>
                </c:pt>
                <c:pt idx="5">
                  <c:v>0.96177484161592774</c:v>
                </c:pt>
                <c:pt idx="6">
                  <c:v>0.94584787155511363</c:v>
                </c:pt>
                <c:pt idx="7">
                  <c:v>0.92370360150141495</c:v>
                </c:pt>
                <c:pt idx="8">
                  <c:v>0.89334463567658451</c:v>
                </c:pt>
                <c:pt idx="9">
                  <c:v>0.85254543874327005</c:v>
                </c:pt>
                <c:pt idx="10">
                  <c:v>0.79921300652623883</c:v>
                </c:pt>
                <c:pt idx="11">
                  <c:v>0.73204982249993378</c:v>
                </c:pt>
                <c:pt idx="12">
                  <c:v>0.65145592958786691</c:v>
                </c:pt>
                <c:pt idx="13">
                  <c:v>0.56032247880849573</c:v>
                </c:pt>
                <c:pt idx="14">
                  <c:v>0.46411326873185343</c:v>
                </c:pt>
                <c:pt idx="15">
                  <c:v>0.36979727595523937</c:v>
                </c:pt>
                <c:pt idx="16">
                  <c:v>0.28393948637231203</c:v>
                </c:pt>
                <c:pt idx="17">
                  <c:v>0.21097259161117732</c:v>
                </c:pt>
                <c:pt idx="18">
                  <c:v>0.15253917653798199</c:v>
                </c:pt>
                <c:pt idx="19">
                  <c:v>0.10795188737709993</c:v>
                </c:pt>
                <c:pt idx="20">
                  <c:v>7.5176653938091809E-2</c:v>
                </c:pt>
                <c:pt idx="21">
                  <c:v>5.1742836177502194E-2</c:v>
                </c:pt>
                <c:pt idx="22">
                  <c:v>3.5319190625345942E-2</c:v>
                </c:pt>
                <c:pt idx="23">
                  <c:v>2.3969442072658165E-2</c:v>
                </c:pt>
                <c:pt idx="24">
                  <c:v>1.6202243558389728E-2</c:v>
                </c:pt>
                <c:pt idx="25">
                  <c:v>1.0922240564108399E-2</c:v>
                </c:pt>
                <c:pt idx="26">
                  <c:v>7.3493212906090566E-3</c:v>
                </c:pt>
                <c:pt idx="27">
                  <c:v>4.9390262185057265E-3</c:v>
                </c:pt>
              </c:numCache>
            </c:numRef>
          </c:val>
          <c:smooth val="0"/>
          <c:extLst>
            <c:ext xmlns:c16="http://schemas.microsoft.com/office/drawing/2014/chart" uri="{C3380CC4-5D6E-409C-BE32-E72D297353CC}">
              <c16:uniqueId val="{00000008-AA48-4184-B591-ACBCF5098F3A}"/>
            </c:ext>
          </c:extLst>
        </c:ser>
        <c:ser>
          <c:idx val="7"/>
          <c:order val="9"/>
          <c:tx>
            <c:strRef>
              <c:f>'Short-sea (Ammonia)'!$A$22</c:f>
              <c:strCache>
                <c:ptCount val="1"/>
                <c:pt idx="0">
                  <c:v>Lifetime vehicle</c:v>
                </c:pt>
              </c:strCache>
            </c:strRef>
          </c:tx>
          <c:spPr>
            <a:ln w="28575" cap="rnd">
              <a:solidFill>
                <a:schemeClr val="accent2">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AA48-4184-B591-ACBCF5098F3A}"/>
            </c:ext>
          </c:extLst>
        </c:ser>
        <c:ser>
          <c:idx val="8"/>
          <c:order val="10"/>
          <c:tx>
            <c:strRef>
              <c:f>'Short-sea (Ammonia)'!$A$23</c:f>
              <c:strCache>
                <c:ptCount val="1"/>
                <c:pt idx="0">
                  <c:v>Lifetime costumization</c:v>
                </c:pt>
              </c:strCache>
            </c:strRef>
          </c:tx>
          <c:spPr>
            <a:ln w="28575" cap="rnd">
              <a:solidFill>
                <a:schemeClr val="accent3">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AA48-4184-B591-ACBCF5098F3A}"/>
            </c:ext>
          </c:extLst>
        </c:ser>
        <c:ser>
          <c:idx val="9"/>
          <c:order val="11"/>
          <c:tx>
            <c:strRef>
              <c:f>'Short-sea (Ammonia)'!$A$24</c:f>
              <c:strCache>
                <c:ptCount val="1"/>
                <c:pt idx="0">
                  <c:v>Tonnage .</c:v>
                </c:pt>
              </c:strCache>
            </c:strRef>
          </c:tx>
          <c:spPr>
            <a:ln w="28575" cap="rnd">
              <a:solidFill>
                <a:schemeClr val="accent4">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AA48-4184-B591-ACBCF5098F3A}"/>
            </c:ext>
          </c:extLst>
        </c:ser>
        <c:ser>
          <c:idx val="10"/>
          <c:order val="12"/>
          <c:tx>
            <c:strRef>
              <c:f>'Short-sea (Ammonia)'!$A$25</c:f>
              <c:strCache>
                <c:ptCount val="1"/>
                <c:pt idx="0">
                  <c:v>Market failure (av. utilization)</c:v>
                </c:pt>
              </c:strCache>
            </c:strRef>
          </c:tx>
          <c:spPr>
            <a:ln w="28575" cap="rnd">
              <a:solidFill>
                <a:schemeClr val="accent5">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AA48-4184-B591-ACBCF5098F3A}"/>
            </c:ext>
          </c:extLst>
        </c:ser>
        <c:ser>
          <c:idx val="11"/>
          <c:order val="13"/>
          <c:tx>
            <c:strRef>
              <c:f>'Short-sea (Ammonia)'!$A$27</c:f>
              <c:strCache>
                <c:ptCount val="1"/>
                <c:pt idx="0">
                  <c:v>Annual Mileage</c:v>
                </c:pt>
              </c:strCache>
            </c:strRef>
          </c:tx>
          <c:spPr>
            <a:ln w="28575" cap="rnd">
              <a:solidFill>
                <a:schemeClr val="accent6">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AA48-4184-B591-ACBCF5098F3A}"/>
            </c:ext>
          </c:extLst>
        </c:ser>
        <c:ser>
          <c:idx val="12"/>
          <c:order val="14"/>
          <c:tx>
            <c:strRef>
              <c:f>'Short-sea (Ammonia)'!$A$17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(Ammonia)'!$Q$17:$AR$17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AA48-4184-B591-ACBCF5098F3A}"/>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(Ammonia)'!$A$74</c:f>
              <c:strCache>
                <c:ptCount val="1"/>
                <c:pt idx="0">
                  <c:v>Capex vehicle</c:v>
                </c:pt>
              </c:strCache>
            </c:strRef>
          </c:tx>
          <c:spPr>
            <a:solidFill>
              <a:schemeClr val="accent1"/>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(Ammonia)'!$B$74,'Short-sea (Ammonia)'!$N$74,'Short-sea (Ammonia)'!$AC$74)</c:f>
              <c:numCache>
                <c:formatCode>0.00</c:formatCode>
                <c:ptCount val="3"/>
                <c:pt idx="0">
                  <c:v>2.0676718491395704E-3</c:v>
                </c:pt>
                <c:pt idx="1">
                  <c:v>1.9474276097157688E-3</c:v>
                </c:pt>
                <c:pt idx="2">
                  <c:v>1.2551060916366106E-3</c:v>
                </c:pt>
              </c:numCache>
            </c:numRef>
          </c:val>
          <c:extLst>
            <c:ext xmlns:c16="http://schemas.microsoft.com/office/drawing/2014/chart" uri="{C3380CC4-5D6E-409C-BE32-E72D297353CC}">
              <c16:uniqueId val="{00000000-9BFC-4C36-86A1-DC6B4A6864DA}"/>
            </c:ext>
          </c:extLst>
        </c:ser>
        <c:ser>
          <c:idx val="1"/>
          <c:order val="1"/>
          <c:tx>
            <c:strRef>
              <c:f>'Short-sea (Ammonia)'!$A$75</c:f>
              <c:strCache>
                <c:ptCount val="1"/>
                <c:pt idx="0">
                  <c:v>Residual value (vehicle)</c:v>
                </c:pt>
              </c:strCache>
            </c:strRef>
          </c:tx>
          <c:spPr>
            <a:solidFill>
              <a:schemeClr val="accent2"/>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(Ammonia)'!$B$75,'Short-sea (Ammonia)'!$N$75,'Short-sea (Ammonia)'!$AC$75)</c:f>
              <c:numCache>
                <c:formatCode>0.000</c:formatCode>
                <c:ptCount val="3"/>
                <c:pt idx="0">
                  <c:v>-1.0351994625618128E-4</c:v>
                </c:pt>
                <c:pt idx="1">
                  <c:v>-1.0652605224177631E-4</c:v>
                </c:pt>
                <c:pt idx="2">
                  <c:v>-1.2383409019375524E-4</c:v>
                </c:pt>
              </c:numCache>
            </c:numRef>
          </c:val>
          <c:extLst>
            <c:ext xmlns:c16="http://schemas.microsoft.com/office/drawing/2014/chart" uri="{C3380CC4-5D6E-409C-BE32-E72D297353CC}">
              <c16:uniqueId val="{00000001-9BFC-4C36-86A1-DC6B4A6864DA}"/>
            </c:ext>
          </c:extLst>
        </c:ser>
        <c:ser>
          <c:idx val="2"/>
          <c:order val="2"/>
          <c:tx>
            <c:strRef>
              <c:f>'Short-sea (Ammonia)'!$A$76</c:f>
              <c:strCache>
                <c:ptCount val="1"/>
                <c:pt idx="0">
                  <c:v>Capex costumization</c:v>
                </c:pt>
              </c:strCache>
            </c:strRef>
          </c:tx>
          <c:spPr>
            <a:solidFill>
              <a:schemeClr val="accent3"/>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(Ammonia)'!$B$76,'Short-sea (Ammonia)'!$N$76,'Short-sea (Ammonia)'!$AC$76)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9BFC-4C36-86A1-DC6B4A6864DA}"/>
            </c:ext>
          </c:extLst>
        </c:ser>
        <c:ser>
          <c:idx val="3"/>
          <c:order val="3"/>
          <c:tx>
            <c:strRef>
              <c:f>'Short-sea (Ammonia)'!$A$77</c:f>
              <c:strCache>
                <c:ptCount val="1"/>
                <c:pt idx="0">
                  <c:v>Residual value (costumization)</c:v>
                </c:pt>
              </c:strCache>
            </c:strRef>
          </c:tx>
          <c:spPr>
            <a:solidFill>
              <a:schemeClr val="accent4"/>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(Ammonia)'!$B$77,'Short-sea (Ammonia)'!$N$77,'Short-sea (Ammonia)'!$AC$77)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9BFC-4C36-86A1-DC6B4A6864DA}"/>
            </c:ext>
          </c:extLst>
        </c:ser>
        <c:ser>
          <c:idx val="4"/>
          <c:order val="4"/>
          <c:tx>
            <c:strRef>
              <c:f>'Short-sea (Ammonia)'!$A$78</c:f>
              <c:strCache>
                <c:ptCount val="1"/>
                <c:pt idx="0">
                  <c:v>Opex fix (admin, crew, insurance)</c:v>
                </c:pt>
              </c:strCache>
            </c:strRef>
          </c:tx>
          <c:spPr>
            <a:solidFill>
              <a:schemeClr val="accent5"/>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(Ammonia)'!$B$78,'Short-sea (Ammonia)'!$N$78,'Short-sea (Ammonia)'!$AC$78)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9BFC-4C36-86A1-DC6B4A6864DA}"/>
            </c:ext>
          </c:extLst>
        </c:ser>
        <c:ser>
          <c:idx val="5"/>
          <c:order val="5"/>
          <c:tx>
            <c:strRef>
              <c:f>'Short-sea (Ammonia)'!$A$79</c:f>
              <c:strCache>
                <c:ptCount val="1"/>
                <c:pt idx="0">
                  <c:v>Opex maintenance &amp; repair</c:v>
                </c:pt>
              </c:strCache>
            </c:strRef>
          </c:tx>
          <c:spPr>
            <a:solidFill>
              <a:schemeClr val="accent6"/>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(Ammonia)'!$B$79,'Short-sea (Ammonia)'!$N$79,'Short-sea (Ammonia)'!$AC$79)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9BFC-4C36-86A1-DC6B4A6864DA}"/>
            </c:ext>
          </c:extLst>
        </c:ser>
        <c:ser>
          <c:idx val="6"/>
          <c:order val="6"/>
          <c:tx>
            <c:strRef>
              <c:f>'Short-sea (Ammonia)'!$A$80</c:f>
              <c:strCache>
                <c:ptCount val="1"/>
                <c:pt idx="0">
                  <c:v>Opex var (mode-fees)</c:v>
                </c:pt>
              </c:strCache>
            </c:strRef>
          </c:tx>
          <c:spPr>
            <a:solidFill>
              <a:schemeClr val="accent1">
                <a:lumMod val="60000"/>
              </a:schemeClr>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(Ammonia)'!$B$80,'Short-sea (Ammonia)'!$N$80,'Short-sea (Ammonia)'!$AC$80)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9BFC-4C36-86A1-DC6B4A6864DA}"/>
            </c:ext>
          </c:extLst>
        </c:ser>
        <c:ser>
          <c:idx val="7"/>
          <c:order val="7"/>
          <c:tx>
            <c:strRef>
              <c:f>'Short-sea (Ammonia)'!$A$81</c:f>
              <c:strCache>
                <c:ptCount val="1"/>
                <c:pt idx="0">
                  <c:v>Fuel Cost</c:v>
                </c:pt>
              </c:strCache>
            </c:strRef>
          </c:tx>
          <c:spPr>
            <a:solidFill>
              <a:schemeClr val="accent2">
                <a:lumMod val="60000"/>
              </a:schemeClr>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(Ammonia)'!$B$81,'Short-sea (Ammonia)'!$N$81,'Short-sea (Ammonia)'!$AC$81)</c:f>
              <c:numCache>
                <c:formatCode>0.00</c:formatCode>
                <c:ptCount val="3"/>
                <c:pt idx="0">
                  <c:v>1.488952128048405E-2</c:v>
                </c:pt>
                <c:pt idx="1">
                  <c:v>1.200381542764874E-2</c:v>
                </c:pt>
                <c:pt idx="2">
                  <c:v>6.3242223149148858E-3</c:v>
                </c:pt>
              </c:numCache>
            </c:numRef>
          </c:val>
          <c:extLst>
            <c:ext xmlns:c16="http://schemas.microsoft.com/office/drawing/2014/chart" uri="{C3380CC4-5D6E-409C-BE32-E72D297353CC}">
              <c16:uniqueId val="{00000007-9BFC-4C36-86A1-DC6B4A6864DA}"/>
            </c:ext>
          </c:extLst>
        </c:ser>
        <c:ser>
          <c:idx val="8"/>
          <c:order val="8"/>
          <c:tx>
            <c:strRef>
              <c:f>'Short-sea (Ammonia)'!$A$82</c:f>
              <c:strCache>
                <c:ptCount val="1"/>
                <c:pt idx="0">
                  <c:v>Market failure (av. utilization)</c:v>
                </c:pt>
              </c:strCache>
            </c:strRef>
          </c:tx>
          <c:spPr>
            <a:solidFill>
              <a:schemeClr val="accent3">
                <a:lumMod val="60000"/>
              </a:schemeClr>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(Ammonia)'!$B$82,'Short-sea (Ammonia)'!$N$82,'Short-sea (Ammonia)'!$AC$82)</c:f>
              <c:numCache>
                <c:formatCode>0.00</c:formatCode>
                <c:ptCount val="3"/>
                <c:pt idx="0">
                  <c:v>8.774787363226462E-3</c:v>
                </c:pt>
                <c:pt idx="1">
                  <c:v>7.3407825776691978E-3</c:v>
                </c:pt>
                <c:pt idx="2">
                  <c:v>4.2303060322281573E-3</c:v>
                </c:pt>
              </c:numCache>
            </c:numRef>
          </c:val>
          <c:extLst>
            <c:ext xmlns:c16="http://schemas.microsoft.com/office/drawing/2014/chart" uri="{C3380CC4-5D6E-409C-BE32-E72D297353CC}">
              <c16:uniqueId val="{00000008-9BFC-4C36-86A1-DC6B4A6864DA}"/>
            </c:ext>
          </c:extLst>
        </c:ser>
        <c:ser>
          <c:idx val="9"/>
          <c:order val="9"/>
          <c:tx>
            <c:strRef>
              <c:f>'Short-sea (Ammonia)'!$A$83</c:f>
              <c:strCache>
                <c:ptCount val="1"/>
                <c:pt idx="0">
                  <c:v>Payload loss (fuel)</c:v>
                </c:pt>
              </c:strCache>
            </c:strRef>
          </c:tx>
          <c:spPr>
            <a:solidFill>
              <a:schemeClr val="accent4">
                <a:lumMod val="60000"/>
              </a:schemeClr>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(Ammonia)'!$B$83,'Short-sea (Ammonia)'!$N$83,'Short-sea (Ammonia)'!$AC$83)</c:f>
              <c:numCache>
                <c:formatCode>0.00</c:formatCode>
                <c:ptCount val="3"/>
                <c:pt idx="0">
                  <c:v>1.6209442703982065E-3</c:v>
                </c:pt>
                <c:pt idx="1">
                  <c:v>1.3293165467323925E-3</c:v>
                </c:pt>
                <c:pt idx="2">
                  <c:v>6.7830581461089494E-4</c:v>
                </c:pt>
              </c:numCache>
            </c:numRef>
          </c:val>
          <c:extLst>
            <c:ext xmlns:c16="http://schemas.microsoft.com/office/drawing/2014/chart" uri="{C3380CC4-5D6E-409C-BE32-E72D297353CC}">
              <c16:uniqueId val="{00000009-9BFC-4C36-86A1-DC6B4A6864DA}"/>
            </c:ext>
          </c:extLst>
        </c:ser>
        <c:ser>
          <c:idx val="10"/>
          <c:order val="10"/>
          <c:tx>
            <c:strRef>
              <c:f>'Short-sea (Ammonia)'!$A$407</c:f>
              <c:strCache>
                <c:ptCount val="1"/>
                <c:pt idx="0">
                  <c:v>Emission Cost</c:v>
                </c:pt>
              </c:strCache>
            </c:strRef>
          </c:tx>
          <c:spPr>
            <a:solidFill>
              <a:schemeClr val="accent5">
                <a:lumMod val="60000"/>
              </a:schemeClr>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(Ammonia)'!$B$407,'Short-sea (Ammonia)'!$N$407,'Short-sea (Ammonia)'!$AC$407)</c:f>
              <c:numCache>
                <c:formatCode>0.000</c:formatCode>
                <c:ptCount val="3"/>
                <c:pt idx="0">
                  <c:v>2.6311642110997044E-4</c:v>
                </c:pt>
                <c:pt idx="1">
                  <c:v>2.2481245004548822E-4</c:v>
                </c:pt>
                <c:pt idx="2">
                  <c:v>4.2724597482624145E-6</c:v>
                </c:pt>
              </c:numCache>
            </c:numRef>
          </c:val>
          <c:extLst>
            <c:ext xmlns:c16="http://schemas.microsoft.com/office/drawing/2014/chart" uri="{C3380CC4-5D6E-409C-BE32-E72D297353CC}">
              <c16:uniqueId val="{00000000-8376-40E6-9C9C-F89DF2F806EB}"/>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(Methanol)'!$A$11</c:f>
              <c:strCache>
                <c:ptCount val="1"/>
                <c:pt idx="0">
                  <c:v>Capex vehicle</c:v>
                </c:pt>
              </c:strCache>
            </c:strRef>
          </c:tx>
          <c:spPr>
            <a:ln w="28575" cap="rnd">
              <a:solidFill>
                <a:schemeClr val="accent1"/>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6848-4522-817B-218508071BC7}"/>
            </c:ext>
          </c:extLst>
        </c:ser>
        <c:ser>
          <c:idx val="13"/>
          <c:order val="1"/>
          <c:tx>
            <c:strRef>
              <c:f>'Short-sea (Methanol)'!$A$12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(Methanol)'!$Q$12:$AR$12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6848-4522-817B-218508071BC7}"/>
            </c:ext>
          </c:extLst>
        </c:ser>
        <c:ser>
          <c:idx val="1"/>
          <c:order val="2"/>
          <c:tx>
            <c:strRef>
              <c:f>'Short-sea (Methanol)'!$A$13</c:f>
              <c:strCache>
                <c:ptCount val="1"/>
                <c:pt idx="0">
                  <c:v>Capex costumization</c:v>
                </c:pt>
              </c:strCache>
            </c:strRef>
          </c:tx>
          <c:spPr>
            <a:ln w="28575" cap="rnd">
              <a:solidFill>
                <a:schemeClr val="accent2"/>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6848-4522-817B-218508071BC7}"/>
            </c:ext>
          </c:extLst>
        </c:ser>
        <c:ser>
          <c:idx val="14"/>
          <c:order val="3"/>
          <c:tx>
            <c:strRef>
              <c:f>'Short-sea (Methanol)'!$A$14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(Methanol)'!$Q$14:$AR$14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6848-4522-817B-218508071BC7}"/>
            </c:ext>
          </c:extLst>
        </c:ser>
        <c:ser>
          <c:idx val="2"/>
          <c:order val="4"/>
          <c:tx>
            <c:strRef>
              <c:f>'Short-sea (Methanol)'!$A$15</c:f>
              <c:strCache>
                <c:ptCount val="1"/>
                <c:pt idx="0">
                  <c:v>WACC</c:v>
                </c:pt>
              </c:strCache>
            </c:strRef>
          </c:tx>
          <c:spPr>
            <a:ln w="28575" cap="rnd">
              <a:solidFill>
                <a:schemeClr val="accent3"/>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6848-4522-817B-218508071BC7}"/>
            </c:ext>
          </c:extLst>
        </c:ser>
        <c:ser>
          <c:idx val="3"/>
          <c:order val="5"/>
          <c:tx>
            <c:strRef>
              <c:f>'Short-sea (Methanol)'!$A$16</c:f>
              <c:strCache>
                <c:ptCount val="1"/>
                <c:pt idx="0">
                  <c:v>Opex fix (admin, crew, insurance)</c:v>
                </c:pt>
              </c:strCache>
            </c:strRef>
          </c:tx>
          <c:spPr>
            <a:ln w="28575" cap="rnd">
              <a:solidFill>
                <a:schemeClr val="accent4"/>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6848-4522-817B-218508071BC7}"/>
            </c:ext>
          </c:extLst>
        </c:ser>
        <c:ser>
          <c:idx val="4"/>
          <c:order val="6"/>
          <c:tx>
            <c:strRef>
              <c:f>'Short-sea (Methanol)'!$A$18</c:f>
              <c:strCache>
                <c:ptCount val="1"/>
                <c:pt idx="0">
                  <c:v>Opex var (mode-fees)</c:v>
                </c:pt>
              </c:strCache>
            </c:strRef>
          </c:tx>
          <c:spPr>
            <a:ln w="28575" cap="rnd">
              <a:solidFill>
                <a:schemeClr val="accent5"/>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6848-4522-817B-218508071BC7}"/>
            </c:ext>
          </c:extLst>
        </c:ser>
        <c:ser>
          <c:idx val="5"/>
          <c:order val="7"/>
          <c:tx>
            <c:strRef>
              <c:f>'Short-sea (Methanol)'!$A$19</c:f>
              <c:strCache>
                <c:ptCount val="1"/>
                <c:pt idx="0">
                  <c:v>Fuel Economy</c:v>
                </c:pt>
              </c:strCache>
            </c:strRef>
          </c:tx>
          <c:spPr>
            <a:ln w="28575" cap="rnd">
              <a:solidFill>
                <a:schemeClr val="accent6"/>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6848-4522-817B-218508071BC7}"/>
            </c:ext>
          </c:extLst>
        </c:ser>
        <c:ser>
          <c:idx val="6"/>
          <c:order val="8"/>
          <c:tx>
            <c:strRef>
              <c:f>'Short-sea (Methanol)'!$A$20</c:f>
              <c:strCache>
                <c:ptCount val="1"/>
                <c:pt idx="0">
                  <c:v>Fuel Cost</c:v>
                </c:pt>
              </c:strCache>
            </c:strRef>
          </c:tx>
          <c:spPr>
            <a:ln w="28575" cap="rnd">
              <a:solidFill>
                <a:schemeClr val="accent1">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6848-4522-817B-218508071BC7}"/>
            </c:ext>
          </c:extLst>
        </c:ser>
        <c:ser>
          <c:idx val="7"/>
          <c:order val="9"/>
          <c:tx>
            <c:strRef>
              <c:f>'Short-sea (Methanol)'!$A$22</c:f>
              <c:strCache>
                <c:ptCount val="1"/>
                <c:pt idx="0">
                  <c:v>Lifetime vehicle</c:v>
                </c:pt>
              </c:strCache>
            </c:strRef>
          </c:tx>
          <c:spPr>
            <a:ln w="28575" cap="rnd">
              <a:solidFill>
                <a:schemeClr val="accent2">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6848-4522-817B-218508071BC7}"/>
            </c:ext>
          </c:extLst>
        </c:ser>
        <c:ser>
          <c:idx val="8"/>
          <c:order val="10"/>
          <c:tx>
            <c:strRef>
              <c:f>'Short-sea (Methanol)'!$A$23</c:f>
              <c:strCache>
                <c:ptCount val="1"/>
                <c:pt idx="0">
                  <c:v>Lifetime costumization</c:v>
                </c:pt>
              </c:strCache>
            </c:strRef>
          </c:tx>
          <c:spPr>
            <a:ln w="28575" cap="rnd">
              <a:solidFill>
                <a:schemeClr val="accent3">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6848-4522-817B-218508071BC7}"/>
            </c:ext>
          </c:extLst>
        </c:ser>
        <c:ser>
          <c:idx val="9"/>
          <c:order val="11"/>
          <c:tx>
            <c:strRef>
              <c:f>'Short-sea (Methanol)'!$A$24</c:f>
              <c:strCache>
                <c:ptCount val="1"/>
                <c:pt idx="0">
                  <c:v>Tonnage .</c:v>
                </c:pt>
              </c:strCache>
            </c:strRef>
          </c:tx>
          <c:spPr>
            <a:ln w="28575" cap="rnd">
              <a:solidFill>
                <a:schemeClr val="accent4">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6848-4522-817B-218508071BC7}"/>
            </c:ext>
          </c:extLst>
        </c:ser>
        <c:ser>
          <c:idx val="10"/>
          <c:order val="12"/>
          <c:tx>
            <c:strRef>
              <c:f>'Short-sea (Methanol)'!$A$25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6848-4522-817B-218508071BC7}"/>
            </c:ext>
          </c:extLst>
        </c:ser>
        <c:ser>
          <c:idx val="11"/>
          <c:order val="13"/>
          <c:tx>
            <c:strRef>
              <c:f>'Short-sea (Methanol)'!$A$27</c:f>
              <c:strCache>
                <c:ptCount val="1"/>
                <c:pt idx="0">
                  <c:v>Annual Mileage</c:v>
                </c:pt>
              </c:strCache>
            </c:strRef>
          </c:tx>
          <c:spPr>
            <a:ln w="28575" cap="rnd">
              <a:solidFill>
                <a:schemeClr val="accent6">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6848-4522-817B-218508071BC7}"/>
            </c:ext>
          </c:extLst>
        </c:ser>
        <c:ser>
          <c:idx val="12"/>
          <c:order val="14"/>
          <c:tx>
            <c:strRef>
              <c:f>'Short-sea (Methanol)'!$A$17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(Methanol)'!$Q$17:$AR$17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6848-4522-817B-218508071BC7}"/>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(Methanol)'!$A$74</c:f>
              <c:strCache>
                <c:ptCount val="1"/>
                <c:pt idx="0">
                  <c:v>Capex vehicle</c:v>
                </c:pt>
              </c:strCache>
            </c:strRef>
          </c:tx>
          <c:spPr>
            <a:solidFill>
              <a:schemeClr val="accent1"/>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(Methanol)'!$B$74,'Short-sea (Methanol)'!$N$74,'Short-sea (Methanol)'!$AC$74)</c:f>
              <c:numCache>
                <c:formatCode>0.00</c:formatCode>
                <c:ptCount val="3"/>
                <c:pt idx="0">
                  <c:v>1.3444866658711308E-3</c:v>
                </c:pt>
                <c:pt idx="1">
                  <c:v>1.2993950760872054E-3</c:v>
                </c:pt>
                <c:pt idx="2">
                  <c:v>1.0397745068075209E-3</c:v>
                </c:pt>
              </c:numCache>
            </c:numRef>
          </c:val>
          <c:extLst>
            <c:ext xmlns:c16="http://schemas.microsoft.com/office/drawing/2014/chart" uri="{C3380CC4-5D6E-409C-BE32-E72D297353CC}">
              <c16:uniqueId val="{00000000-64F4-4BA0-A2EE-AE15797B0A73}"/>
            </c:ext>
          </c:extLst>
        </c:ser>
        <c:ser>
          <c:idx val="1"/>
          <c:order val="1"/>
          <c:tx>
            <c:strRef>
              <c:f>'Short-sea (Methanol)'!$A$75</c:f>
              <c:strCache>
                <c:ptCount val="1"/>
                <c:pt idx="0">
                  <c:v>Residual value (vehicle)</c:v>
                </c:pt>
              </c:strCache>
            </c:strRef>
          </c:tx>
          <c:spPr>
            <a:solidFill>
              <a:schemeClr val="accent2"/>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(Methanol)'!$B$75,'Short-sea (Methanol)'!$N$75,'Short-sea (Methanol)'!$AC$75)</c:f>
              <c:numCache>
                <c:formatCode>0.000</c:formatCode>
                <c:ptCount val="3"/>
                <c:pt idx="0">
                  <c:v>-6.7337961459558828E-5</c:v>
                </c:pt>
                <c:pt idx="1">
                  <c:v>-7.2598646934350151E-5</c:v>
                </c:pt>
                <c:pt idx="2">
                  <c:v>-1.0288771335031333E-4</c:v>
                </c:pt>
              </c:numCache>
            </c:numRef>
          </c:val>
          <c:extLst>
            <c:ext xmlns:c16="http://schemas.microsoft.com/office/drawing/2014/chart" uri="{C3380CC4-5D6E-409C-BE32-E72D297353CC}">
              <c16:uniqueId val="{00000001-64F4-4BA0-A2EE-AE15797B0A73}"/>
            </c:ext>
          </c:extLst>
        </c:ser>
        <c:ser>
          <c:idx val="2"/>
          <c:order val="2"/>
          <c:tx>
            <c:strRef>
              <c:f>'Short-sea (Methanol)'!$A$76</c:f>
              <c:strCache>
                <c:ptCount val="1"/>
                <c:pt idx="0">
                  <c:v>Capex costumization</c:v>
                </c:pt>
              </c:strCache>
            </c:strRef>
          </c:tx>
          <c:spPr>
            <a:solidFill>
              <a:schemeClr val="accent3"/>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(Methanol)'!$B$76,'Short-sea (Methanol)'!$N$76,'Short-sea (Methanol)'!$AC$76)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64F4-4BA0-A2EE-AE15797B0A73}"/>
            </c:ext>
          </c:extLst>
        </c:ser>
        <c:ser>
          <c:idx val="3"/>
          <c:order val="3"/>
          <c:tx>
            <c:strRef>
              <c:f>'Short-sea (Methanol)'!$A$77</c:f>
              <c:strCache>
                <c:ptCount val="1"/>
                <c:pt idx="0">
                  <c:v>Residual value (costumization)</c:v>
                </c:pt>
              </c:strCache>
            </c:strRef>
          </c:tx>
          <c:spPr>
            <a:solidFill>
              <a:schemeClr val="accent4"/>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(Methanol)'!$B$77,'Short-sea (Methanol)'!$N$77,'Short-sea (Methanol)'!$AC$77)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64F4-4BA0-A2EE-AE15797B0A73}"/>
            </c:ext>
          </c:extLst>
        </c:ser>
        <c:ser>
          <c:idx val="4"/>
          <c:order val="4"/>
          <c:tx>
            <c:strRef>
              <c:f>'Short-sea (Methanol)'!$A$78</c:f>
              <c:strCache>
                <c:ptCount val="1"/>
                <c:pt idx="0">
                  <c:v>Opex fix (admin, crew, insurance)</c:v>
                </c:pt>
              </c:strCache>
            </c:strRef>
          </c:tx>
          <c:spPr>
            <a:solidFill>
              <a:schemeClr val="accent5"/>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(Methanol)'!$B$78,'Short-sea (Methanol)'!$N$78,'Short-sea (Methanol)'!$AC$78)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64F4-4BA0-A2EE-AE15797B0A73}"/>
            </c:ext>
          </c:extLst>
        </c:ser>
        <c:ser>
          <c:idx val="5"/>
          <c:order val="5"/>
          <c:tx>
            <c:strRef>
              <c:f>'Short-sea (Methanol)'!$A$79</c:f>
              <c:strCache>
                <c:ptCount val="1"/>
                <c:pt idx="0">
                  <c:v>Opex maintenance &amp; repair</c:v>
                </c:pt>
              </c:strCache>
            </c:strRef>
          </c:tx>
          <c:spPr>
            <a:solidFill>
              <a:schemeClr val="accent6"/>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(Methanol)'!$B$79,'Short-sea (Methanol)'!$N$79,'Short-sea (Methanol)'!$AC$79)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64F4-4BA0-A2EE-AE15797B0A73}"/>
            </c:ext>
          </c:extLst>
        </c:ser>
        <c:ser>
          <c:idx val="6"/>
          <c:order val="6"/>
          <c:tx>
            <c:strRef>
              <c:f>'Short-sea (Methanol)'!$A$80</c:f>
              <c:strCache>
                <c:ptCount val="1"/>
                <c:pt idx="0">
                  <c:v>Opex var (mode-fees)</c:v>
                </c:pt>
              </c:strCache>
            </c:strRef>
          </c:tx>
          <c:spPr>
            <a:solidFill>
              <a:schemeClr val="accent1">
                <a:lumMod val="60000"/>
              </a:schemeClr>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(Methanol)'!$B$80,'Short-sea (Methanol)'!$N$80,'Short-sea (Methanol)'!$AC$80)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64F4-4BA0-A2EE-AE15797B0A73}"/>
            </c:ext>
          </c:extLst>
        </c:ser>
        <c:ser>
          <c:idx val="7"/>
          <c:order val="7"/>
          <c:tx>
            <c:strRef>
              <c:f>'Short-sea (Methanol)'!$A$81</c:f>
              <c:strCache>
                <c:ptCount val="1"/>
                <c:pt idx="0">
                  <c:v>Fuel Cost</c:v>
                </c:pt>
              </c:strCache>
            </c:strRef>
          </c:tx>
          <c:spPr>
            <a:solidFill>
              <a:schemeClr val="accent2">
                <a:lumMod val="60000"/>
              </a:schemeClr>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(Methanol)'!$B$81,'Short-sea (Methanol)'!$N$81,'Short-sea (Methanol)'!$AC$81)</c:f>
              <c:numCache>
                <c:formatCode>0.00</c:formatCode>
                <c:ptCount val="3"/>
                <c:pt idx="0">
                  <c:v>3.1493959607937827E-2</c:v>
                </c:pt>
                <c:pt idx="1">
                  <c:v>2.8027743803751594E-2</c:v>
                </c:pt>
                <c:pt idx="2">
                  <c:v>9.3711119408467249E-3</c:v>
                </c:pt>
              </c:numCache>
            </c:numRef>
          </c:val>
          <c:extLst>
            <c:ext xmlns:c16="http://schemas.microsoft.com/office/drawing/2014/chart" uri="{C3380CC4-5D6E-409C-BE32-E72D297353CC}">
              <c16:uniqueId val="{00000007-64F4-4BA0-A2EE-AE15797B0A73}"/>
            </c:ext>
          </c:extLst>
        </c:ser>
        <c:ser>
          <c:idx val="8"/>
          <c:order val="8"/>
          <c:tx>
            <c:strRef>
              <c:f>'Short-sea (Methanol)'!$A$82</c:f>
              <c:strCache>
                <c:ptCount val="1"/>
                <c:pt idx="0">
                  <c:v>Market failure (av. utilization)</c:v>
                </c:pt>
              </c:strCache>
            </c:strRef>
          </c:tx>
          <c:spPr>
            <a:solidFill>
              <a:schemeClr val="accent3">
                <a:lumMod val="60000"/>
              </a:schemeClr>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(Methanol)'!$B$82,'Short-sea (Methanol)'!$N$82,'Short-sea (Methanol)'!$AC$82)</c:f>
              <c:numCache>
                <c:formatCode>0.00</c:formatCode>
                <c:ptCount val="3"/>
                <c:pt idx="0">
                  <c:v>1.6360698297182223E-2</c:v>
                </c:pt>
                <c:pt idx="1">
                  <c:v>1.4682962274044618E-2</c:v>
                </c:pt>
                <c:pt idx="2">
                  <c:v>5.6352056047552918E-3</c:v>
                </c:pt>
              </c:numCache>
            </c:numRef>
          </c:val>
          <c:extLst>
            <c:ext xmlns:c16="http://schemas.microsoft.com/office/drawing/2014/chart" uri="{C3380CC4-5D6E-409C-BE32-E72D297353CC}">
              <c16:uniqueId val="{00000008-64F4-4BA0-A2EE-AE15797B0A73}"/>
            </c:ext>
          </c:extLst>
        </c:ser>
        <c:ser>
          <c:idx val="9"/>
          <c:order val="9"/>
          <c:tx>
            <c:strRef>
              <c:f>'Short-sea (Methanol)'!$A$83</c:f>
              <c:strCache>
                <c:ptCount val="1"/>
                <c:pt idx="0">
                  <c:v>Payload loss (fuel)</c:v>
                </c:pt>
              </c:strCache>
            </c:strRef>
          </c:tx>
          <c:spPr>
            <a:solidFill>
              <a:schemeClr val="accent4">
                <a:lumMod val="60000"/>
              </a:schemeClr>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(Methanol)'!$B$83,'Short-sea (Methanol)'!$N$83,'Short-sea (Methanol)'!$AC$83)</c:f>
              <c:numCache>
                <c:formatCode>0.00</c:formatCode>
                <c:ptCount val="3"/>
                <c:pt idx="0">
                  <c:v>1.4486034950630111E-3</c:v>
                </c:pt>
                <c:pt idx="1">
                  <c:v>1.3000539513477009E-3</c:v>
                </c:pt>
                <c:pt idx="2">
                  <c:v>4.9895049625437414E-4</c:v>
                </c:pt>
              </c:numCache>
            </c:numRef>
          </c:val>
          <c:extLst>
            <c:ext xmlns:c16="http://schemas.microsoft.com/office/drawing/2014/chart" uri="{C3380CC4-5D6E-409C-BE32-E72D297353CC}">
              <c16:uniqueId val="{00000009-64F4-4BA0-A2EE-AE15797B0A73}"/>
            </c:ext>
          </c:extLst>
        </c:ser>
        <c:ser>
          <c:idx val="10"/>
          <c:order val="10"/>
          <c:tx>
            <c:strRef>
              <c:f>'Short-sea (Methanol)'!$A$84</c:f>
              <c:strCache>
                <c:ptCount val="1"/>
                <c:pt idx="0">
                  <c:v>Emission Cost</c:v>
                </c:pt>
              </c:strCache>
            </c:strRef>
          </c:tx>
          <c:spPr>
            <a:solidFill>
              <a:schemeClr val="accent5">
                <a:lumMod val="60000"/>
              </a:schemeClr>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(Methanol)'!$B$84,'Short-sea (Methanol)'!$N$84,'Short-sea (Methanol)'!$AC$84)</c:f>
              <c:numCache>
                <c:formatCode>0.000</c:formatCode>
                <c:ptCount val="3"/>
                <c:pt idx="0">
                  <c:v>3.3398562051778328E-4</c:v>
                </c:pt>
                <c:pt idx="1">
                  <c:v>2.8536465079533697E-4</c:v>
                </c:pt>
                <c:pt idx="2">
                  <c:v>5.4232271560286516E-6</c:v>
                </c:pt>
              </c:numCache>
            </c:numRef>
          </c:val>
          <c:extLst>
            <c:ext xmlns:c16="http://schemas.microsoft.com/office/drawing/2014/chart" uri="{C3380CC4-5D6E-409C-BE32-E72D297353CC}">
              <c16:uniqueId val="{00000001-A88E-4F22-9EE9-E619C3F02990}"/>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(Methanol)'!$A$11</c:f>
              <c:strCache>
                <c:ptCount val="1"/>
                <c:pt idx="0">
                  <c:v>Capex vehicle</c:v>
                </c:pt>
              </c:strCache>
            </c:strRef>
          </c:tx>
          <c:spPr>
            <a:ln w="28575" cap="rnd">
              <a:solidFill>
                <a:schemeClr val="accent1"/>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B353-4BA6-B1C4-30BDA11CA618}"/>
            </c:ext>
          </c:extLst>
        </c:ser>
        <c:ser>
          <c:idx val="13"/>
          <c:order val="1"/>
          <c:tx>
            <c:strRef>
              <c:f>'Short-sea (Methanol)'!$A$12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(Methanol)'!$Q$12:$AR$12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B353-4BA6-B1C4-30BDA11CA618}"/>
            </c:ext>
          </c:extLst>
        </c:ser>
        <c:ser>
          <c:idx val="1"/>
          <c:order val="2"/>
          <c:tx>
            <c:strRef>
              <c:f>'Short-sea (Methanol)'!$A$13</c:f>
              <c:strCache>
                <c:ptCount val="1"/>
                <c:pt idx="0">
                  <c:v>Capex costumization</c:v>
                </c:pt>
              </c:strCache>
            </c:strRef>
          </c:tx>
          <c:spPr>
            <a:ln w="28575" cap="rnd">
              <a:solidFill>
                <a:schemeClr val="accent2"/>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B353-4BA6-B1C4-30BDA11CA618}"/>
            </c:ext>
          </c:extLst>
        </c:ser>
        <c:ser>
          <c:idx val="14"/>
          <c:order val="3"/>
          <c:tx>
            <c:strRef>
              <c:f>'Short-sea (Methanol)'!$A$14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(Methanol)'!$Q$14:$AR$14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B353-4BA6-B1C4-30BDA11CA618}"/>
            </c:ext>
          </c:extLst>
        </c:ser>
        <c:ser>
          <c:idx val="2"/>
          <c:order val="4"/>
          <c:tx>
            <c:strRef>
              <c:f>'Short-sea (Methanol)'!$A$15</c:f>
              <c:strCache>
                <c:ptCount val="1"/>
                <c:pt idx="0">
                  <c:v>WACC</c:v>
                </c:pt>
              </c:strCache>
            </c:strRef>
          </c:tx>
          <c:spPr>
            <a:ln w="28575" cap="rnd">
              <a:solidFill>
                <a:schemeClr val="accent3"/>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B353-4BA6-B1C4-30BDA11CA618}"/>
            </c:ext>
          </c:extLst>
        </c:ser>
        <c:ser>
          <c:idx val="3"/>
          <c:order val="5"/>
          <c:tx>
            <c:strRef>
              <c:f>'Short-sea (Methanol)'!$A$16</c:f>
              <c:strCache>
                <c:ptCount val="1"/>
                <c:pt idx="0">
                  <c:v>Opex fix (admin, crew, insurance)</c:v>
                </c:pt>
              </c:strCache>
            </c:strRef>
          </c:tx>
          <c:spPr>
            <a:ln w="28575" cap="rnd">
              <a:solidFill>
                <a:schemeClr val="accent4"/>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B353-4BA6-B1C4-30BDA11CA618}"/>
            </c:ext>
          </c:extLst>
        </c:ser>
        <c:ser>
          <c:idx val="4"/>
          <c:order val="6"/>
          <c:tx>
            <c:strRef>
              <c:f>'Short-sea (Methanol)'!$A$18</c:f>
              <c:strCache>
                <c:ptCount val="1"/>
                <c:pt idx="0">
                  <c:v>Opex var (mode-fees)</c:v>
                </c:pt>
              </c:strCache>
            </c:strRef>
          </c:tx>
          <c:spPr>
            <a:ln w="28575" cap="rnd">
              <a:solidFill>
                <a:schemeClr val="accent5"/>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B353-4BA6-B1C4-30BDA11CA618}"/>
            </c:ext>
          </c:extLst>
        </c:ser>
        <c:ser>
          <c:idx val="5"/>
          <c:order val="7"/>
          <c:tx>
            <c:strRef>
              <c:f>'Short-sea (Methanol)'!$A$19</c:f>
              <c:strCache>
                <c:ptCount val="1"/>
                <c:pt idx="0">
                  <c:v>Fuel Economy</c:v>
                </c:pt>
              </c:strCache>
            </c:strRef>
          </c:tx>
          <c:spPr>
            <a:ln w="28575" cap="rnd">
              <a:solidFill>
                <a:schemeClr val="accent6"/>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B353-4BA6-B1C4-30BDA11CA618}"/>
            </c:ext>
          </c:extLst>
        </c:ser>
        <c:ser>
          <c:idx val="6"/>
          <c:order val="8"/>
          <c:tx>
            <c:strRef>
              <c:f>'Short-sea (Methanol)'!$A$20</c:f>
              <c:strCache>
                <c:ptCount val="1"/>
                <c:pt idx="0">
                  <c:v>Fuel Cost</c:v>
                </c:pt>
              </c:strCache>
            </c:strRef>
          </c:tx>
          <c:spPr>
            <a:ln w="28575" cap="rnd">
              <a:solidFill>
                <a:schemeClr val="accent1">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B353-4BA6-B1C4-30BDA11CA618}"/>
            </c:ext>
          </c:extLst>
        </c:ser>
        <c:ser>
          <c:idx val="7"/>
          <c:order val="9"/>
          <c:tx>
            <c:strRef>
              <c:f>'Short-sea (Methanol)'!$A$22</c:f>
              <c:strCache>
                <c:ptCount val="1"/>
                <c:pt idx="0">
                  <c:v>Lifetime vehicle</c:v>
                </c:pt>
              </c:strCache>
            </c:strRef>
          </c:tx>
          <c:spPr>
            <a:ln w="28575" cap="rnd">
              <a:solidFill>
                <a:schemeClr val="accent2">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B353-4BA6-B1C4-30BDA11CA618}"/>
            </c:ext>
          </c:extLst>
        </c:ser>
        <c:ser>
          <c:idx val="8"/>
          <c:order val="10"/>
          <c:tx>
            <c:strRef>
              <c:f>'Short-sea (Methanol)'!$A$23</c:f>
              <c:strCache>
                <c:ptCount val="1"/>
                <c:pt idx="0">
                  <c:v>Lifetime costumization</c:v>
                </c:pt>
              </c:strCache>
            </c:strRef>
          </c:tx>
          <c:spPr>
            <a:ln w="28575" cap="rnd">
              <a:solidFill>
                <a:schemeClr val="accent3">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B353-4BA6-B1C4-30BDA11CA618}"/>
            </c:ext>
          </c:extLst>
        </c:ser>
        <c:ser>
          <c:idx val="9"/>
          <c:order val="11"/>
          <c:tx>
            <c:strRef>
              <c:f>'Short-sea (Methanol)'!$A$24</c:f>
              <c:strCache>
                <c:ptCount val="1"/>
                <c:pt idx="0">
                  <c:v>Tonnage .</c:v>
                </c:pt>
              </c:strCache>
            </c:strRef>
          </c:tx>
          <c:spPr>
            <a:ln w="28575" cap="rnd">
              <a:solidFill>
                <a:schemeClr val="accent4">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B353-4BA6-B1C4-30BDA11CA618}"/>
            </c:ext>
          </c:extLst>
        </c:ser>
        <c:ser>
          <c:idx val="10"/>
          <c:order val="12"/>
          <c:tx>
            <c:strRef>
              <c:f>'Short-sea (Methanol)'!$A$25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B353-4BA6-B1C4-30BDA11CA618}"/>
            </c:ext>
          </c:extLst>
        </c:ser>
        <c:ser>
          <c:idx val="11"/>
          <c:order val="13"/>
          <c:tx>
            <c:strRef>
              <c:f>'Short-sea (Methanol)'!$A$27</c:f>
              <c:strCache>
                <c:ptCount val="1"/>
                <c:pt idx="0">
                  <c:v>Annual Mileage</c:v>
                </c:pt>
              </c:strCache>
            </c:strRef>
          </c:tx>
          <c:spPr>
            <a:ln w="28575" cap="rnd">
              <a:solidFill>
                <a:schemeClr val="accent6">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B353-4BA6-B1C4-30BDA11CA618}"/>
            </c:ext>
          </c:extLst>
        </c:ser>
        <c:ser>
          <c:idx val="12"/>
          <c:order val="14"/>
          <c:tx>
            <c:strRef>
              <c:f>'Short-sea (Methanol)'!$A$17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(Methanol)'!$Q$17:$AR$17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B353-4BA6-B1C4-30BDA11CA618}"/>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(Methanol)'!$A$74</c:f>
              <c:strCache>
                <c:ptCount val="1"/>
                <c:pt idx="0">
                  <c:v>Capex vehicle</c:v>
                </c:pt>
              </c:strCache>
            </c:strRef>
          </c:tx>
          <c:spPr>
            <a:solidFill>
              <a:schemeClr val="accent1"/>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(Methanol)'!$B$74,'Short-sea (Methanol)'!$N$74,'Short-sea (Methanol)'!$AC$74)</c:f>
              <c:numCache>
                <c:formatCode>0.00</c:formatCode>
                <c:ptCount val="3"/>
                <c:pt idx="0">
                  <c:v>1.3444866658711308E-3</c:v>
                </c:pt>
                <c:pt idx="1">
                  <c:v>1.2993950760872054E-3</c:v>
                </c:pt>
                <c:pt idx="2">
                  <c:v>1.0397745068075209E-3</c:v>
                </c:pt>
              </c:numCache>
            </c:numRef>
          </c:val>
          <c:extLst>
            <c:ext xmlns:c16="http://schemas.microsoft.com/office/drawing/2014/chart" uri="{C3380CC4-5D6E-409C-BE32-E72D297353CC}">
              <c16:uniqueId val="{00000000-5347-4746-9C2D-C6930AC356E1}"/>
            </c:ext>
          </c:extLst>
        </c:ser>
        <c:ser>
          <c:idx val="1"/>
          <c:order val="1"/>
          <c:tx>
            <c:strRef>
              <c:f>'Short-sea (Methanol)'!$A$75</c:f>
              <c:strCache>
                <c:ptCount val="1"/>
                <c:pt idx="0">
                  <c:v>Residual value (vehicle)</c:v>
                </c:pt>
              </c:strCache>
            </c:strRef>
          </c:tx>
          <c:spPr>
            <a:solidFill>
              <a:schemeClr val="accent2"/>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(Methanol)'!$B$75,'Short-sea (Methanol)'!$N$75,'Short-sea (Methanol)'!$AC$75)</c:f>
              <c:numCache>
                <c:formatCode>0.000</c:formatCode>
                <c:ptCount val="3"/>
                <c:pt idx="0">
                  <c:v>-6.7337961459558828E-5</c:v>
                </c:pt>
                <c:pt idx="1">
                  <c:v>-7.2598646934350151E-5</c:v>
                </c:pt>
                <c:pt idx="2">
                  <c:v>-1.0288771335031333E-4</c:v>
                </c:pt>
              </c:numCache>
            </c:numRef>
          </c:val>
          <c:extLst>
            <c:ext xmlns:c16="http://schemas.microsoft.com/office/drawing/2014/chart" uri="{C3380CC4-5D6E-409C-BE32-E72D297353CC}">
              <c16:uniqueId val="{00000001-5347-4746-9C2D-C6930AC356E1}"/>
            </c:ext>
          </c:extLst>
        </c:ser>
        <c:ser>
          <c:idx val="2"/>
          <c:order val="2"/>
          <c:tx>
            <c:strRef>
              <c:f>'Short-sea (Methanol)'!$A$76</c:f>
              <c:strCache>
                <c:ptCount val="1"/>
                <c:pt idx="0">
                  <c:v>Capex costumization</c:v>
                </c:pt>
              </c:strCache>
            </c:strRef>
          </c:tx>
          <c:spPr>
            <a:solidFill>
              <a:schemeClr val="accent3"/>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(Methanol)'!$B$76,'Short-sea (Methanol)'!$N$76,'Short-sea (Methanol)'!$AC$76)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5347-4746-9C2D-C6930AC356E1}"/>
            </c:ext>
          </c:extLst>
        </c:ser>
        <c:ser>
          <c:idx val="3"/>
          <c:order val="3"/>
          <c:tx>
            <c:strRef>
              <c:f>'Short-sea (Methanol)'!$A$77</c:f>
              <c:strCache>
                <c:ptCount val="1"/>
                <c:pt idx="0">
                  <c:v>Residual value (costumization)</c:v>
                </c:pt>
              </c:strCache>
            </c:strRef>
          </c:tx>
          <c:spPr>
            <a:solidFill>
              <a:schemeClr val="accent4"/>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(Methanol)'!$B$77,'Short-sea (Methanol)'!$N$77,'Short-sea (Methanol)'!$AC$77)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5347-4746-9C2D-C6930AC356E1}"/>
            </c:ext>
          </c:extLst>
        </c:ser>
        <c:ser>
          <c:idx val="4"/>
          <c:order val="4"/>
          <c:tx>
            <c:strRef>
              <c:f>'Short-sea (Methanol)'!$A$78</c:f>
              <c:strCache>
                <c:ptCount val="1"/>
                <c:pt idx="0">
                  <c:v>Opex fix (admin, crew, insurance)</c:v>
                </c:pt>
              </c:strCache>
            </c:strRef>
          </c:tx>
          <c:spPr>
            <a:solidFill>
              <a:schemeClr val="accent5"/>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(Methanol)'!$B$78,'Short-sea (Methanol)'!$N$78,'Short-sea (Methanol)'!$AC$78)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5347-4746-9C2D-C6930AC356E1}"/>
            </c:ext>
          </c:extLst>
        </c:ser>
        <c:ser>
          <c:idx val="5"/>
          <c:order val="5"/>
          <c:tx>
            <c:strRef>
              <c:f>'Short-sea (Methanol)'!$A$79</c:f>
              <c:strCache>
                <c:ptCount val="1"/>
                <c:pt idx="0">
                  <c:v>Opex maintenance &amp; repair</c:v>
                </c:pt>
              </c:strCache>
            </c:strRef>
          </c:tx>
          <c:spPr>
            <a:solidFill>
              <a:schemeClr val="accent6"/>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(Methanol)'!$B$79,'Short-sea (Methanol)'!$N$79,'Short-sea (Methanol)'!$AC$79)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5347-4746-9C2D-C6930AC356E1}"/>
            </c:ext>
          </c:extLst>
        </c:ser>
        <c:ser>
          <c:idx val="6"/>
          <c:order val="6"/>
          <c:tx>
            <c:strRef>
              <c:f>'Short-sea (Methanol)'!$A$80</c:f>
              <c:strCache>
                <c:ptCount val="1"/>
                <c:pt idx="0">
                  <c:v>Opex var (mode-fees)</c:v>
                </c:pt>
              </c:strCache>
            </c:strRef>
          </c:tx>
          <c:spPr>
            <a:solidFill>
              <a:schemeClr val="accent1">
                <a:lumMod val="60000"/>
              </a:schemeClr>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(Methanol)'!$B$80,'Short-sea (Methanol)'!$N$80,'Short-sea (Methanol)'!$AC$80)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5347-4746-9C2D-C6930AC356E1}"/>
            </c:ext>
          </c:extLst>
        </c:ser>
        <c:ser>
          <c:idx val="7"/>
          <c:order val="7"/>
          <c:tx>
            <c:strRef>
              <c:f>'Short-sea (Methanol)'!$A$81</c:f>
              <c:strCache>
                <c:ptCount val="1"/>
                <c:pt idx="0">
                  <c:v>Fuel Cost</c:v>
                </c:pt>
              </c:strCache>
            </c:strRef>
          </c:tx>
          <c:spPr>
            <a:solidFill>
              <a:schemeClr val="accent2">
                <a:lumMod val="60000"/>
              </a:schemeClr>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(Methanol)'!$B$81,'Short-sea (Methanol)'!$N$81,'Short-sea (Methanol)'!$AC$81)</c:f>
              <c:numCache>
                <c:formatCode>0.00</c:formatCode>
                <c:ptCount val="3"/>
                <c:pt idx="0">
                  <c:v>3.1493959607937827E-2</c:v>
                </c:pt>
                <c:pt idx="1">
                  <c:v>2.8027743803751594E-2</c:v>
                </c:pt>
                <c:pt idx="2">
                  <c:v>9.3711119408467249E-3</c:v>
                </c:pt>
              </c:numCache>
            </c:numRef>
          </c:val>
          <c:extLst>
            <c:ext xmlns:c16="http://schemas.microsoft.com/office/drawing/2014/chart" uri="{C3380CC4-5D6E-409C-BE32-E72D297353CC}">
              <c16:uniqueId val="{00000007-5347-4746-9C2D-C6930AC356E1}"/>
            </c:ext>
          </c:extLst>
        </c:ser>
        <c:ser>
          <c:idx val="8"/>
          <c:order val="8"/>
          <c:tx>
            <c:strRef>
              <c:f>'Short-sea (Methanol)'!$A$82</c:f>
              <c:strCache>
                <c:ptCount val="1"/>
                <c:pt idx="0">
                  <c:v>Market failure (av. utilization)</c:v>
                </c:pt>
              </c:strCache>
            </c:strRef>
          </c:tx>
          <c:spPr>
            <a:solidFill>
              <a:schemeClr val="accent3">
                <a:lumMod val="60000"/>
              </a:schemeClr>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(Methanol)'!$B$82,'Short-sea (Methanol)'!$N$82,'Short-sea (Methanol)'!$AC$82)</c:f>
              <c:numCache>
                <c:formatCode>0.00</c:formatCode>
                <c:ptCount val="3"/>
                <c:pt idx="0">
                  <c:v>1.6360698297182223E-2</c:v>
                </c:pt>
                <c:pt idx="1">
                  <c:v>1.4682962274044618E-2</c:v>
                </c:pt>
                <c:pt idx="2">
                  <c:v>5.6352056047552918E-3</c:v>
                </c:pt>
              </c:numCache>
            </c:numRef>
          </c:val>
          <c:extLst>
            <c:ext xmlns:c16="http://schemas.microsoft.com/office/drawing/2014/chart" uri="{C3380CC4-5D6E-409C-BE32-E72D297353CC}">
              <c16:uniqueId val="{00000008-5347-4746-9C2D-C6930AC356E1}"/>
            </c:ext>
          </c:extLst>
        </c:ser>
        <c:ser>
          <c:idx val="9"/>
          <c:order val="9"/>
          <c:tx>
            <c:strRef>
              <c:f>'Short-sea (Methanol)'!$A$83</c:f>
              <c:strCache>
                <c:ptCount val="1"/>
                <c:pt idx="0">
                  <c:v>Payload loss (fuel)</c:v>
                </c:pt>
              </c:strCache>
            </c:strRef>
          </c:tx>
          <c:spPr>
            <a:solidFill>
              <a:schemeClr val="accent4">
                <a:lumMod val="60000"/>
              </a:schemeClr>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(Methanol)'!$B$83,'Short-sea (Methanol)'!$N$83,'Short-sea (Methanol)'!$AC$83)</c:f>
              <c:numCache>
                <c:formatCode>0.00</c:formatCode>
                <c:ptCount val="3"/>
                <c:pt idx="0">
                  <c:v>1.4486034950630111E-3</c:v>
                </c:pt>
                <c:pt idx="1">
                  <c:v>1.3000539513477009E-3</c:v>
                </c:pt>
                <c:pt idx="2">
                  <c:v>4.9895049625437414E-4</c:v>
                </c:pt>
              </c:numCache>
            </c:numRef>
          </c:val>
          <c:extLst>
            <c:ext xmlns:c16="http://schemas.microsoft.com/office/drawing/2014/chart" uri="{C3380CC4-5D6E-409C-BE32-E72D297353CC}">
              <c16:uniqueId val="{00000009-5347-4746-9C2D-C6930AC356E1}"/>
            </c:ext>
          </c:extLst>
        </c:ser>
        <c:ser>
          <c:idx val="10"/>
          <c:order val="10"/>
          <c:tx>
            <c:strRef>
              <c:f>'Short-sea (Methanol)'!$A$190</c:f>
              <c:strCache>
                <c:ptCount val="1"/>
                <c:pt idx="0">
                  <c:v>Emission Cost</c:v>
                </c:pt>
              </c:strCache>
            </c:strRef>
          </c:tx>
          <c:spPr>
            <a:solidFill>
              <a:schemeClr val="accent5">
                <a:lumMod val="60000"/>
              </a:schemeClr>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(Methanol)'!$B$190,'Short-sea (Methanol)'!$N$190,'Short-sea (Methanol)'!$AC$190)</c:f>
              <c:numCache>
                <c:formatCode>0.000</c:formatCode>
                <c:ptCount val="3"/>
                <c:pt idx="0">
                  <c:v>3.3398562051778328E-4</c:v>
                </c:pt>
                <c:pt idx="1">
                  <c:v>2.8536465079533697E-4</c:v>
                </c:pt>
                <c:pt idx="2">
                  <c:v>5.4232271560286516E-6</c:v>
                </c:pt>
              </c:numCache>
            </c:numRef>
          </c:val>
          <c:extLst>
            <c:ext xmlns:c16="http://schemas.microsoft.com/office/drawing/2014/chart" uri="{C3380CC4-5D6E-409C-BE32-E72D297353CC}">
              <c16:uniqueId val="{00000000-44CA-4389-82B0-B94A4E1F6FA3}"/>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(Methanol)'!$A$11</c:f>
              <c:strCache>
                <c:ptCount val="1"/>
                <c:pt idx="0">
                  <c:v>Capex vehicle</c:v>
                </c:pt>
              </c:strCache>
            </c:strRef>
          </c:tx>
          <c:spPr>
            <a:ln w="28575" cap="rnd">
              <a:solidFill>
                <a:schemeClr val="accent1"/>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85A5-4B6A-B511-452E27A6C8E9}"/>
            </c:ext>
          </c:extLst>
        </c:ser>
        <c:ser>
          <c:idx val="13"/>
          <c:order val="1"/>
          <c:tx>
            <c:strRef>
              <c:f>'Short-sea (Methanol)'!$A$12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(Methanol)'!$Q$12:$AR$12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85A5-4B6A-B511-452E27A6C8E9}"/>
            </c:ext>
          </c:extLst>
        </c:ser>
        <c:ser>
          <c:idx val="1"/>
          <c:order val="2"/>
          <c:tx>
            <c:strRef>
              <c:f>'Short-sea (Methanol)'!$A$13</c:f>
              <c:strCache>
                <c:ptCount val="1"/>
                <c:pt idx="0">
                  <c:v>Capex costumization</c:v>
                </c:pt>
              </c:strCache>
            </c:strRef>
          </c:tx>
          <c:spPr>
            <a:ln w="28575" cap="rnd">
              <a:solidFill>
                <a:schemeClr val="accent2"/>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85A5-4B6A-B511-452E27A6C8E9}"/>
            </c:ext>
          </c:extLst>
        </c:ser>
        <c:ser>
          <c:idx val="14"/>
          <c:order val="3"/>
          <c:tx>
            <c:strRef>
              <c:f>'Short-sea (Methanol)'!$A$14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(Methanol)'!$Q$14:$AR$14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85A5-4B6A-B511-452E27A6C8E9}"/>
            </c:ext>
          </c:extLst>
        </c:ser>
        <c:ser>
          <c:idx val="2"/>
          <c:order val="4"/>
          <c:tx>
            <c:strRef>
              <c:f>'Short-sea (Methanol)'!$A$15</c:f>
              <c:strCache>
                <c:ptCount val="1"/>
                <c:pt idx="0">
                  <c:v>WACC</c:v>
                </c:pt>
              </c:strCache>
            </c:strRef>
          </c:tx>
          <c:spPr>
            <a:ln w="28575" cap="rnd">
              <a:solidFill>
                <a:schemeClr val="accent3"/>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85A5-4B6A-B511-452E27A6C8E9}"/>
            </c:ext>
          </c:extLst>
        </c:ser>
        <c:ser>
          <c:idx val="3"/>
          <c:order val="5"/>
          <c:tx>
            <c:strRef>
              <c:f>'Short-sea (Methanol)'!$A$16</c:f>
              <c:strCache>
                <c:ptCount val="1"/>
                <c:pt idx="0">
                  <c:v>Opex fix (admin, crew, insurance)</c:v>
                </c:pt>
              </c:strCache>
            </c:strRef>
          </c:tx>
          <c:spPr>
            <a:ln w="28575" cap="rnd">
              <a:solidFill>
                <a:schemeClr val="accent4"/>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85A5-4B6A-B511-452E27A6C8E9}"/>
            </c:ext>
          </c:extLst>
        </c:ser>
        <c:ser>
          <c:idx val="4"/>
          <c:order val="6"/>
          <c:tx>
            <c:strRef>
              <c:f>'Short-sea (Methanol)'!$A$18</c:f>
              <c:strCache>
                <c:ptCount val="1"/>
                <c:pt idx="0">
                  <c:v>Opex var (mode-fees)</c:v>
                </c:pt>
              </c:strCache>
            </c:strRef>
          </c:tx>
          <c:spPr>
            <a:ln w="28575" cap="rnd">
              <a:solidFill>
                <a:schemeClr val="accent5"/>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85A5-4B6A-B511-452E27A6C8E9}"/>
            </c:ext>
          </c:extLst>
        </c:ser>
        <c:ser>
          <c:idx val="5"/>
          <c:order val="7"/>
          <c:tx>
            <c:strRef>
              <c:f>'Short-sea (Methanol)'!$A$19</c:f>
              <c:strCache>
                <c:ptCount val="1"/>
                <c:pt idx="0">
                  <c:v>Fuel Economy</c:v>
                </c:pt>
              </c:strCache>
            </c:strRef>
          </c:tx>
          <c:spPr>
            <a:ln w="28575" cap="rnd">
              <a:solidFill>
                <a:schemeClr val="accent6"/>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85A5-4B6A-B511-452E27A6C8E9}"/>
            </c:ext>
          </c:extLst>
        </c:ser>
        <c:ser>
          <c:idx val="6"/>
          <c:order val="8"/>
          <c:tx>
            <c:strRef>
              <c:f>'Short-sea (Methanol)'!$A$20</c:f>
              <c:strCache>
                <c:ptCount val="1"/>
                <c:pt idx="0">
                  <c:v>Fuel Cost</c:v>
                </c:pt>
              </c:strCache>
            </c:strRef>
          </c:tx>
          <c:spPr>
            <a:ln w="28575" cap="rnd">
              <a:solidFill>
                <a:schemeClr val="accent1">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85A5-4B6A-B511-452E27A6C8E9}"/>
            </c:ext>
          </c:extLst>
        </c:ser>
        <c:ser>
          <c:idx val="7"/>
          <c:order val="9"/>
          <c:tx>
            <c:strRef>
              <c:f>'Short-sea (Methanol)'!$A$22</c:f>
              <c:strCache>
                <c:ptCount val="1"/>
                <c:pt idx="0">
                  <c:v>Lifetime vehicle</c:v>
                </c:pt>
              </c:strCache>
            </c:strRef>
          </c:tx>
          <c:spPr>
            <a:ln w="28575" cap="rnd">
              <a:solidFill>
                <a:schemeClr val="accent2">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85A5-4B6A-B511-452E27A6C8E9}"/>
            </c:ext>
          </c:extLst>
        </c:ser>
        <c:ser>
          <c:idx val="8"/>
          <c:order val="10"/>
          <c:tx>
            <c:strRef>
              <c:f>'Short-sea (Methanol)'!$A$23</c:f>
              <c:strCache>
                <c:ptCount val="1"/>
                <c:pt idx="0">
                  <c:v>Lifetime costumization</c:v>
                </c:pt>
              </c:strCache>
            </c:strRef>
          </c:tx>
          <c:spPr>
            <a:ln w="28575" cap="rnd">
              <a:solidFill>
                <a:schemeClr val="accent3">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85A5-4B6A-B511-452E27A6C8E9}"/>
            </c:ext>
          </c:extLst>
        </c:ser>
        <c:ser>
          <c:idx val="9"/>
          <c:order val="11"/>
          <c:tx>
            <c:strRef>
              <c:f>'Short-sea (Methanol)'!$A$24</c:f>
              <c:strCache>
                <c:ptCount val="1"/>
                <c:pt idx="0">
                  <c:v>Tonnage .</c:v>
                </c:pt>
              </c:strCache>
            </c:strRef>
          </c:tx>
          <c:spPr>
            <a:ln w="28575" cap="rnd">
              <a:solidFill>
                <a:schemeClr val="accent4">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85A5-4B6A-B511-452E27A6C8E9}"/>
            </c:ext>
          </c:extLst>
        </c:ser>
        <c:ser>
          <c:idx val="10"/>
          <c:order val="12"/>
          <c:tx>
            <c:strRef>
              <c:f>'Short-sea (Methanol)'!$A$25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85A5-4B6A-B511-452E27A6C8E9}"/>
            </c:ext>
          </c:extLst>
        </c:ser>
        <c:ser>
          <c:idx val="11"/>
          <c:order val="13"/>
          <c:tx>
            <c:strRef>
              <c:f>'Short-sea (Methanol)'!$A$27</c:f>
              <c:strCache>
                <c:ptCount val="1"/>
                <c:pt idx="0">
                  <c:v>Annual Mileage</c:v>
                </c:pt>
              </c:strCache>
            </c:strRef>
          </c:tx>
          <c:spPr>
            <a:ln w="28575" cap="rnd">
              <a:solidFill>
                <a:schemeClr val="accent6">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85A5-4B6A-B511-452E27A6C8E9}"/>
            </c:ext>
          </c:extLst>
        </c:ser>
        <c:ser>
          <c:idx val="12"/>
          <c:order val="14"/>
          <c:tx>
            <c:strRef>
              <c:f>'Short-sea (Methanol)'!$A$17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(Methanol)'!$Q$17:$AR$17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85A5-4B6A-B511-452E27A6C8E9}"/>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(Methanol)'!$A$74</c:f>
              <c:strCache>
                <c:ptCount val="1"/>
                <c:pt idx="0">
                  <c:v>Capex vehicle</c:v>
                </c:pt>
              </c:strCache>
            </c:strRef>
          </c:tx>
          <c:spPr>
            <a:solidFill>
              <a:schemeClr val="accent1"/>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(Methanol)'!$B$74,'Short-sea (Methanol)'!$N$74,'Short-sea (Methanol)'!$AC$74)</c:f>
              <c:numCache>
                <c:formatCode>0.00</c:formatCode>
                <c:ptCount val="3"/>
                <c:pt idx="0">
                  <c:v>1.3444866658711308E-3</c:v>
                </c:pt>
                <c:pt idx="1">
                  <c:v>1.2993950760872054E-3</c:v>
                </c:pt>
                <c:pt idx="2">
                  <c:v>1.0397745068075209E-3</c:v>
                </c:pt>
              </c:numCache>
            </c:numRef>
          </c:val>
          <c:extLst>
            <c:ext xmlns:c16="http://schemas.microsoft.com/office/drawing/2014/chart" uri="{C3380CC4-5D6E-409C-BE32-E72D297353CC}">
              <c16:uniqueId val="{00000000-E51C-4C38-BD1D-B29FCC6157BB}"/>
            </c:ext>
          </c:extLst>
        </c:ser>
        <c:ser>
          <c:idx val="1"/>
          <c:order val="1"/>
          <c:tx>
            <c:strRef>
              <c:f>'Short-sea (Methanol)'!$A$75</c:f>
              <c:strCache>
                <c:ptCount val="1"/>
                <c:pt idx="0">
                  <c:v>Residual value (vehicle)</c:v>
                </c:pt>
              </c:strCache>
            </c:strRef>
          </c:tx>
          <c:spPr>
            <a:solidFill>
              <a:schemeClr val="accent2"/>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(Methanol)'!$B$75,'Short-sea (Methanol)'!$N$75,'Short-sea (Methanol)'!$AC$75)</c:f>
              <c:numCache>
                <c:formatCode>0.000</c:formatCode>
                <c:ptCount val="3"/>
                <c:pt idx="0">
                  <c:v>-6.7337961459558828E-5</c:v>
                </c:pt>
                <c:pt idx="1">
                  <c:v>-7.2598646934350151E-5</c:v>
                </c:pt>
                <c:pt idx="2">
                  <c:v>-1.0288771335031333E-4</c:v>
                </c:pt>
              </c:numCache>
            </c:numRef>
          </c:val>
          <c:extLst>
            <c:ext xmlns:c16="http://schemas.microsoft.com/office/drawing/2014/chart" uri="{C3380CC4-5D6E-409C-BE32-E72D297353CC}">
              <c16:uniqueId val="{00000001-E51C-4C38-BD1D-B29FCC6157BB}"/>
            </c:ext>
          </c:extLst>
        </c:ser>
        <c:ser>
          <c:idx val="2"/>
          <c:order val="2"/>
          <c:tx>
            <c:strRef>
              <c:f>'Short-sea (Methanol)'!$A$76</c:f>
              <c:strCache>
                <c:ptCount val="1"/>
                <c:pt idx="0">
                  <c:v>Capex costumization</c:v>
                </c:pt>
              </c:strCache>
            </c:strRef>
          </c:tx>
          <c:spPr>
            <a:solidFill>
              <a:schemeClr val="accent3"/>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(Methanol)'!$B$76,'Short-sea (Methanol)'!$N$76,'Short-sea (Methanol)'!$AC$76)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E51C-4C38-BD1D-B29FCC6157BB}"/>
            </c:ext>
          </c:extLst>
        </c:ser>
        <c:ser>
          <c:idx val="3"/>
          <c:order val="3"/>
          <c:tx>
            <c:strRef>
              <c:f>'Short-sea (Methanol)'!$A$77</c:f>
              <c:strCache>
                <c:ptCount val="1"/>
                <c:pt idx="0">
                  <c:v>Residual value (costumization)</c:v>
                </c:pt>
              </c:strCache>
            </c:strRef>
          </c:tx>
          <c:spPr>
            <a:solidFill>
              <a:schemeClr val="accent4"/>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(Methanol)'!$B$77,'Short-sea (Methanol)'!$N$77,'Short-sea (Methanol)'!$AC$77)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E51C-4C38-BD1D-B29FCC6157BB}"/>
            </c:ext>
          </c:extLst>
        </c:ser>
        <c:ser>
          <c:idx val="4"/>
          <c:order val="4"/>
          <c:tx>
            <c:strRef>
              <c:f>'Short-sea (Methanol)'!$A$78</c:f>
              <c:strCache>
                <c:ptCount val="1"/>
                <c:pt idx="0">
                  <c:v>Opex fix (admin, crew, insurance)</c:v>
                </c:pt>
              </c:strCache>
            </c:strRef>
          </c:tx>
          <c:spPr>
            <a:solidFill>
              <a:schemeClr val="accent5"/>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(Methanol)'!$B$78,'Short-sea (Methanol)'!$N$78,'Short-sea (Methanol)'!$AC$78)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E51C-4C38-BD1D-B29FCC6157BB}"/>
            </c:ext>
          </c:extLst>
        </c:ser>
        <c:ser>
          <c:idx val="5"/>
          <c:order val="5"/>
          <c:tx>
            <c:strRef>
              <c:f>'Short-sea (Methanol)'!$A$79</c:f>
              <c:strCache>
                <c:ptCount val="1"/>
                <c:pt idx="0">
                  <c:v>Opex maintenance &amp; repair</c:v>
                </c:pt>
              </c:strCache>
            </c:strRef>
          </c:tx>
          <c:spPr>
            <a:solidFill>
              <a:schemeClr val="accent6"/>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(Methanol)'!$B$79,'Short-sea (Methanol)'!$N$79,'Short-sea (Methanol)'!$AC$79)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E51C-4C38-BD1D-B29FCC6157BB}"/>
            </c:ext>
          </c:extLst>
        </c:ser>
        <c:ser>
          <c:idx val="6"/>
          <c:order val="6"/>
          <c:tx>
            <c:strRef>
              <c:f>'Short-sea (Methanol)'!$A$80</c:f>
              <c:strCache>
                <c:ptCount val="1"/>
                <c:pt idx="0">
                  <c:v>Opex var (mode-fees)</c:v>
                </c:pt>
              </c:strCache>
            </c:strRef>
          </c:tx>
          <c:spPr>
            <a:solidFill>
              <a:schemeClr val="accent1">
                <a:lumMod val="60000"/>
              </a:schemeClr>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(Methanol)'!$B$80,'Short-sea (Methanol)'!$N$80,'Short-sea (Methanol)'!$AC$80)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E51C-4C38-BD1D-B29FCC6157BB}"/>
            </c:ext>
          </c:extLst>
        </c:ser>
        <c:ser>
          <c:idx val="7"/>
          <c:order val="7"/>
          <c:tx>
            <c:strRef>
              <c:f>'Short-sea (Methanol)'!$A$81</c:f>
              <c:strCache>
                <c:ptCount val="1"/>
                <c:pt idx="0">
                  <c:v>Fuel Cost</c:v>
                </c:pt>
              </c:strCache>
            </c:strRef>
          </c:tx>
          <c:spPr>
            <a:solidFill>
              <a:schemeClr val="accent2">
                <a:lumMod val="60000"/>
              </a:schemeClr>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(Methanol)'!$B$81,'Short-sea (Methanol)'!$N$81,'Short-sea (Methanol)'!$AC$81)</c:f>
              <c:numCache>
                <c:formatCode>0.00</c:formatCode>
                <c:ptCount val="3"/>
                <c:pt idx="0">
                  <c:v>3.1493959607937827E-2</c:v>
                </c:pt>
                <c:pt idx="1">
                  <c:v>2.8027743803751594E-2</c:v>
                </c:pt>
                <c:pt idx="2">
                  <c:v>9.3711119408467249E-3</c:v>
                </c:pt>
              </c:numCache>
            </c:numRef>
          </c:val>
          <c:extLst>
            <c:ext xmlns:c16="http://schemas.microsoft.com/office/drawing/2014/chart" uri="{C3380CC4-5D6E-409C-BE32-E72D297353CC}">
              <c16:uniqueId val="{00000007-E51C-4C38-BD1D-B29FCC6157BB}"/>
            </c:ext>
          </c:extLst>
        </c:ser>
        <c:ser>
          <c:idx val="8"/>
          <c:order val="8"/>
          <c:tx>
            <c:strRef>
              <c:f>'Short-sea (Methanol)'!$A$82</c:f>
              <c:strCache>
                <c:ptCount val="1"/>
                <c:pt idx="0">
                  <c:v>Market failure (av. utilization)</c:v>
                </c:pt>
              </c:strCache>
            </c:strRef>
          </c:tx>
          <c:spPr>
            <a:solidFill>
              <a:schemeClr val="accent3">
                <a:lumMod val="60000"/>
              </a:schemeClr>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(Methanol)'!$B$82,'Short-sea (Methanol)'!$N$82,'Short-sea (Methanol)'!$AC$82)</c:f>
              <c:numCache>
                <c:formatCode>0.00</c:formatCode>
                <c:ptCount val="3"/>
                <c:pt idx="0">
                  <c:v>1.6360698297182223E-2</c:v>
                </c:pt>
                <c:pt idx="1">
                  <c:v>1.4682962274044618E-2</c:v>
                </c:pt>
                <c:pt idx="2">
                  <c:v>5.6352056047552918E-3</c:v>
                </c:pt>
              </c:numCache>
            </c:numRef>
          </c:val>
          <c:extLst>
            <c:ext xmlns:c16="http://schemas.microsoft.com/office/drawing/2014/chart" uri="{C3380CC4-5D6E-409C-BE32-E72D297353CC}">
              <c16:uniqueId val="{00000008-E51C-4C38-BD1D-B29FCC6157BB}"/>
            </c:ext>
          </c:extLst>
        </c:ser>
        <c:ser>
          <c:idx val="9"/>
          <c:order val="9"/>
          <c:tx>
            <c:strRef>
              <c:f>'Short-sea (Methanol)'!$A$83</c:f>
              <c:strCache>
                <c:ptCount val="1"/>
                <c:pt idx="0">
                  <c:v>Payload loss (fuel)</c:v>
                </c:pt>
              </c:strCache>
            </c:strRef>
          </c:tx>
          <c:spPr>
            <a:solidFill>
              <a:schemeClr val="accent4">
                <a:lumMod val="60000"/>
              </a:schemeClr>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(Methanol)'!$B$83,'Short-sea (Methanol)'!$N$83,'Short-sea (Methanol)'!$AC$83)</c:f>
              <c:numCache>
                <c:formatCode>0.00</c:formatCode>
                <c:ptCount val="3"/>
                <c:pt idx="0">
                  <c:v>1.4486034950630111E-3</c:v>
                </c:pt>
                <c:pt idx="1">
                  <c:v>1.3000539513477009E-3</c:v>
                </c:pt>
                <c:pt idx="2">
                  <c:v>4.9895049625437414E-4</c:v>
                </c:pt>
              </c:numCache>
            </c:numRef>
          </c:val>
          <c:extLst>
            <c:ext xmlns:c16="http://schemas.microsoft.com/office/drawing/2014/chart" uri="{C3380CC4-5D6E-409C-BE32-E72D297353CC}">
              <c16:uniqueId val="{00000009-E51C-4C38-BD1D-B29FCC6157BB}"/>
            </c:ext>
          </c:extLst>
        </c:ser>
        <c:ser>
          <c:idx val="10"/>
          <c:order val="10"/>
          <c:tx>
            <c:strRef>
              <c:f>'Short-sea (Methanol)'!$A$298</c:f>
              <c:strCache>
                <c:ptCount val="1"/>
                <c:pt idx="0">
                  <c:v>Emission Cost</c:v>
                </c:pt>
              </c:strCache>
            </c:strRef>
          </c:tx>
          <c:spPr>
            <a:solidFill>
              <a:schemeClr val="accent5">
                <a:lumMod val="60000"/>
              </a:schemeClr>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(Methanol)'!$B$298,'Short-sea (Methanol)'!$N$298,'Short-sea (Methanol)'!$AC$298)</c:f>
              <c:numCache>
                <c:formatCode>0.000</c:formatCode>
                <c:ptCount val="3"/>
                <c:pt idx="0">
                  <c:v>3.3398562051778328E-4</c:v>
                </c:pt>
                <c:pt idx="1">
                  <c:v>2.8536465079533697E-4</c:v>
                </c:pt>
                <c:pt idx="2">
                  <c:v>5.4232271560286516E-6</c:v>
                </c:pt>
              </c:numCache>
            </c:numRef>
          </c:val>
          <c:extLst>
            <c:ext xmlns:c16="http://schemas.microsoft.com/office/drawing/2014/chart" uri="{C3380CC4-5D6E-409C-BE32-E72D297353CC}">
              <c16:uniqueId val="{00000000-CE6B-4884-B621-184349B4D1A9}"/>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(Methanol)'!$A$11</c:f>
              <c:strCache>
                <c:ptCount val="1"/>
                <c:pt idx="0">
                  <c:v>Capex vehicle</c:v>
                </c:pt>
              </c:strCache>
            </c:strRef>
          </c:tx>
          <c:spPr>
            <a:ln w="28575" cap="rnd">
              <a:solidFill>
                <a:schemeClr val="accent1"/>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9F87-4C72-9D64-E4E6A2C7CB2B}"/>
            </c:ext>
          </c:extLst>
        </c:ser>
        <c:ser>
          <c:idx val="13"/>
          <c:order val="1"/>
          <c:tx>
            <c:strRef>
              <c:f>'Short-sea (Methanol)'!$A$12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(Methanol)'!$Q$12:$AR$12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9F87-4C72-9D64-E4E6A2C7CB2B}"/>
            </c:ext>
          </c:extLst>
        </c:ser>
        <c:ser>
          <c:idx val="1"/>
          <c:order val="2"/>
          <c:tx>
            <c:strRef>
              <c:f>'Short-sea (Methanol)'!$A$13</c:f>
              <c:strCache>
                <c:ptCount val="1"/>
                <c:pt idx="0">
                  <c:v>Capex costumization</c:v>
                </c:pt>
              </c:strCache>
            </c:strRef>
          </c:tx>
          <c:spPr>
            <a:ln w="28575" cap="rnd">
              <a:solidFill>
                <a:schemeClr val="accent2"/>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9F87-4C72-9D64-E4E6A2C7CB2B}"/>
            </c:ext>
          </c:extLst>
        </c:ser>
        <c:ser>
          <c:idx val="14"/>
          <c:order val="3"/>
          <c:tx>
            <c:strRef>
              <c:f>'Short-sea (Methanol)'!$A$14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(Methanol)'!$Q$14:$AR$14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9F87-4C72-9D64-E4E6A2C7CB2B}"/>
            </c:ext>
          </c:extLst>
        </c:ser>
        <c:ser>
          <c:idx val="2"/>
          <c:order val="4"/>
          <c:tx>
            <c:strRef>
              <c:f>'Short-sea (Methanol)'!$A$15</c:f>
              <c:strCache>
                <c:ptCount val="1"/>
                <c:pt idx="0">
                  <c:v>WACC</c:v>
                </c:pt>
              </c:strCache>
            </c:strRef>
          </c:tx>
          <c:spPr>
            <a:ln w="28575" cap="rnd">
              <a:solidFill>
                <a:schemeClr val="accent3"/>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9F87-4C72-9D64-E4E6A2C7CB2B}"/>
            </c:ext>
          </c:extLst>
        </c:ser>
        <c:ser>
          <c:idx val="3"/>
          <c:order val="5"/>
          <c:tx>
            <c:strRef>
              <c:f>'Short-sea (Methanol)'!$A$16</c:f>
              <c:strCache>
                <c:ptCount val="1"/>
                <c:pt idx="0">
                  <c:v>Opex fix (admin, crew, insurance)</c:v>
                </c:pt>
              </c:strCache>
            </c:strRef>
          </c:tx>
          <c:spPr>
            <a:ln w="28575" cap="rnd">
              <a:solidFill>
                <a:schemeClr val="accent4"/>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9F87-4C72-9D64-E4E6A2C7CB2B}"/>
            </c:ext>
          </c:extLst>
        </c:ser>
        <c:ser>
          <c:idx val="4"/>
          <c:order val="6"/>
          <c:tx>
            <c:strRef>
              <c:f>'Short-sea (Methanol)'!$A$18</c:f>
              <c:strCache>
                <c:ptCount val="1"/>
                <c:pt idx="0">
                  <c:v>Opex var (mode-fees)</c:v>
                </c:pt>
              </c:strCache>
            </c:strRef>
          </c:tx>
          <c:spPr>
            <a:ln w="28575" cap="rnd">
              <a:solidFill>
                <a:schemeClr val="accent5"/>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9F87-4C72-9D64-E4E6A2C7CB2B}"/>
            </c:ext>
          </c:extLst>
        </c:ser>
        <c:ser>
          <c:idx val="5"/>
          <c:order val="7"/>
          <c:tx>
            <c:strRef>
              <c:f>'Short-sea (Methanol)'!$A$19</c:f>
              <c:strCache>
                <c:ptCount val="1"/>
                <c:pt idx="0">
                  <c:v>Fuel Economy</c:v>
                </c:pt>
              </c:strCache>
            </c:strRef>
          </c:tx>
          <c:spPr>
            <a:ln w="28575" cap="rnd">
              <a:solidFill>
                <a:schemeClr val="accent6"/>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9F87-4C72-9D64-E4E6A2C7CB2B}"/>
            </c:ext>
          </c:extLst>
        </c:ser>
        <c:ser>
          <c:idx val="6"/>
          <c:order val="8"/>
          <c:tx>
            <c:strRef>
              <c:f>'Short-sea (Methanol)'!$A$20</c:f>
              <c:strCache>
                <c:ptCount val="1"/>
                <c:pt idx="0">
                  <c:v>Fuel Cost</c:v>
                </c:pt>
              </c:strCache>
            </c:strRef>
          </c:tx>
          <c:spPr>
            <a:ln w="28575" cap="rnd">
              <a:solidFill>
                <a:schemeClr val="accent1">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9F87-4C72-9D64-E4E6A2C7CB2B}"/>
            </c:ext>
          </c:extLst>
        </c:ser>
        <c:ser>
          <c:idx val="7"/>
          <c:order val="9"/>
          <c:tx>
            <c:strRef>
              <c:f>'Short-sea (Methanol)'!$A$22</c:f>
              <c:strCache>
                <c:ptCount val="1"/>
                <c:pt idx="0">
                  <c:v>Lifetime vehicle</c:v>
                </c:pt>
              </c:strCache>
            </c:strRef>
          </c:tx>
          <c:spPr>
            <a:ln w="28575" cap="rnd">
              <a:solidFill>
                <a:schemeClr val="accent2">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9F87-4C72-9D64-E4E6A2C7CB2B}"/>
            </c:ext>
          </c:extLst>
        </c:ser>
        <c:ser>
          <c:idx val="8"/>
          <c:order val="10"/>
          <c:tx>
            <c:strRef>
              <c:f>'Short-sea (Methanol)'!$A$23</c:f>
              <c:strCache>
                <c:ptCount val="1"/>
                <c:pt idx="0">
                  <c:v>Lifetime costumization</c:v>
                </c:pt>
              </c:strCache>
            </c:strRef>
          </c:tx>
          <c:spPr>
            <a:ln w="28575" cap="rnd">
              <a:solidFill>
                <a:schemeClr val="accent3">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9F87-4C72-9D64-E4E6A2C7CB2B}"/>
            </c:ext>
          </c:extLst>
        </c:ser>
        <c:ser>
          <c:idx val="9"/>
          <c:order val="11"/>
          <c:tx>
            <c:strRef>
              <c:f>'Short-sea (Methanol)'!$A$24</c:f>
              <c:strCache>
                <c:ptCount val="1"/>
                <c:pt idx="0">
                  <c:v>Tonnage .</c:v>
                </c:pt>
              </c:strCache>
            </c:strRef>
          </c:tx>
          <c:spPr>
            <a:ln w="28575" cap="rnd">
              <a:solidFill>
                <a:schemeClr val="accent4">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9F87-4C72-9D64-E4E6A2C7CB2B}"/>
            </c:ext>
          </c:extLst>
        </c:ser>
        <c:ser>
          <c:idx val="10"/>
          <c:order val="12"/>
          <c:tx>
            <c:strRef>
              <c:f>'Short-sea (Methanol)'!$A$25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9F87-4C72-9D64-E4E6A2C7CB2B}"/>
            </c:ext>
          </c:extLst>
        </c:ser>
        <c:ser>
          <c:idx val="11"/>
          <c:order val="13"/>
          <c:tx>
            <c:strRef>
              <c:f>'Short-sea (Methanol)'!$A$27</c:f>
              <c:strCache>
                <c:ptCount val="1"/>
                <c:pt idx="0">
                  <c:v>Annual Mileage</c:v>
                </c:pt>
              </c:strCache>
            </c:strRef>
          </c:tx>
          <c:spPr>
            <a:ln w="28575" cap="rnd">
              <a:solidFill>
                <a:schemeClr val="accent6">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9F87-4C72-9D64-E4E6A2C7CB2B}"/>
            </c:ext>
          </c:extLst>
        </c:ser>
        <c:ser>
          <c:idx val="12"/>
          <c:order val="14"/>
          <c:tx>
            <c:strRef>
              <c:f>'Short-sea (Methanol)'!$A$17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(Methanol)'!$Q$17:$AR$17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9F87-4C72-9D64-E4E6A2C7CB2B}"/>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(Methanol)'!$A$74</c:f>
              <c:strCache>
                <c:ptCount val="1"/>
                <c:pt idx="0">
                  <c:v>Capex vehicle</c:v>
                </c:pt>
              </c:strCache>
            </c:strRef>
          </c:tx>
          <c:spPr>
            <a:solidFill>
              <a:schemeClr val="accent1"/>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(Methanol)'!$B$74,'Short-sea (Methanol)'!$N$74,'Short-sea (Methanol)'!$AC$74)</c:f>
              <c:numCache>
                <c:formatCode>0.00</c:formatCode>
                <c:ptCount val="3"/>
                <c:pt idx="0">
                  <c:v>1.3444866658711308E-3</c:v>
                </c:pt>
                <c:pt idx="1">
                  <c:v>1.2993950760872054E-3</c:v>
                </c:pt>
                <c:pt idx="2">
                  <c:v>1.0397745068075209E-3</c:v>
                </c:pt>
              </c:numCache>
            </c:numRef>
          </c:val>
          <c:extLst>
            <c:ext xmlns:c16="http://schemas.microsoft.com/office/drawing/2014/chart" uri="{C3380CC4-5D6E-409C-BE32-E72D297353CC}">
              <c16:uniqueId val="{00000000-164F-4F6B-B724-0CE5BD2EDE13}"/>
            </c:ext>
          </c:extLst>
        </c:ser>
        <c:ser>
          <c:idx val="1"/>
          <c:order val="1"/>
          <c:tx>
            <c:strRef>
              <c:f>'Short-sea (Methanol)'!$A$75</c:f>
              <c:strCache>
                <c:ptCount val="1"/>
                <c:pt idx="0">
                  <c:v>Residual value (vehicle)</c:v>
                </c:pt>
              </c:strCache>
            </c:strRef>
          </c:tx>
          <c:spPr>
            <a:solidFill>
              <a:schemeClr val="accent2"/>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(Methanol)'!$B$75,'Short-sea (Methanol)'!$N$75,'Short-sea (Methanol)'!$AC$75)</c:f>
              <c:numCache>
                <c:formatCode>0.000</c:formatCode>
                <c:ptCount val="3"/>
                <c:pt idx="0">
                  <c:v>-6.7337961459558828E-5</c:v>
                </c:pt>
                <c:pt idx="1">
                  <c:v>-7.2598646934350151E-5</c:v>
                </c:pt>
                <c:pt idx="2">
                  <c:v>-1.0288771335031333E-4</c:v>
                </c:pt>
              </c:numCache>
            </c:numRef>
          </c:val>
          <c:extLst>
            <c:ext xmlns:c16="http://schemas.microsoft.com/office/drawing/2014/chart" uri="{C3380CC4-5D6E-409C-BE32-E72D297353CC}">
              <c16:uniqueId val="{00000001-164F-4F6B-B724-0CE5BD2EDE13}"/>
            </c:ext>
          </c:extLst>
        </c:ser>
        <c:ser>
          <c:idx val="2"/>
          <c:order val="2"/>
          <c:tx>
            <c:strRef>
              <c:f>'Short-sea (Methanol)'!$A$76</c:f>
              <c:strCache>
                <c:ptCount val="1"/>
                <c:pt idx="0">
                  <c:v>Capex costumization</c:v>
                </c:pt>
              </c:strCache>
            </c:strRef>
          </c:tx>
          <c:spPr>
            <a:solidFill>
              <a:schemeClr val="accent3"/>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(Methanol)'!$B$76,'Short-sea (Methanol)'!$N$76,'Short-sea (Methanol)'!$AC$76)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164F-4F6B-B724-0CE5BD2EDE13}"/>
            </c:ext>
          </c:extLst>
        </c:ser>
        <c:ser>
          <c:idx val="3"/>
          <c:order val="3"/>
          <c:tx>
            <c:strRef>
              <c:f>'Short-sea (Methanol)'!$A$77</c:f>
              <c:strCache>
                <c:ptCount val="1"/>
                <c:pt idx="0">
                  <c:v>Residual value (costumization)</c:v>
                </c:pt>
              </c:strCache>
            </c:strRef>
          </c:tx>
          <c:spPr>
            <a:solidFill>
              <a:schemeClr val="accent4"/>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(Methanol)'!$B$77,'Short-sea (Methanol)'!$N$77,'Short-sea (Methanol)'!$AC$77)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164F-4F6B-B724-0CE5BD2EDE13}"/>
            </c:ext>
          </c:extLst>
        </c:ser>
        <c:ser>
          <c:idx val="4"/>
          <c:order val="4"/>
          <c:tx>
            <c:strRef>
              <c:f>'Short-sea (Methanol)'!$A$78</c:f>
              <c:strCache>
                <c:ptCount val="1"/>
                <c:pt idx="0">
                  <c:v>Opex fix (admin, crew, insurance)</c:v>
                </c:pt>
              </c:strCache>
            </c:strRef>
          </c:tx>
          <c:spPr>
            <a:solidFill>
              <a:schemeClr val="accent5"/>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(Methanol)'!$B$78,'Short-sea (Methanol)'!$N$78,'Short-sea (Methanol)'!$AC$78)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164F-4F6B-B724-0CE5BD2EDE13}"/>
            </c:ext>
          </c:extLst>
        </c:ser>
        <c:ser>
          <c:idx val="5"/>
          <c:order val="5"/>
          <c:tx>
            <c:strRef>
              <c:f>'Short-sea (Methanol)'!$A$79</c:f>
              <c:strCache>
                <c:ptCount val="1"/>
                <c:pt idx="0">
                  <c:v>Opex maintenance &amp; repair</c:v>
                </c:pt>
              </c:strCache>
            </c:strRef>
          </c:tx>
          <c:spPr>
            <a:solidFill>
              <a:schemeClr val="accent6"/>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(Methanol)'!$B$79,'Short-sea (Methanol)'!$N$79,'Short-sea (Methanol)'!$AC$79)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164F-4F6B-B724-0CE5BD2EDE13}"/>
            </c:ext>
          </c:extLst>
        </c:ser>
        <c:ser>
          <c:idx val="6"/>
          <c:order val="6"/>
          <c:tx>
            <c:strRef>
              <c:f>'Short-sea (Methanol)'!$A$80</c:f>
              <c:strCache>
                <c:ptCount val="1"/>
                <c:pt idx="0">
                  <c:v>Opex var (mode-fees)</c:v>
                </c:pt>
              </c:strCache>
            </c:strRef>
          </c:tx>
          <c:spPr>
            <a:solidFill>
              <a:schemeClr val="accent1">
                <a:lumMod val="60000"/>
              </a:schemeClr>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(Methanol)'!$B$80,'Short-sea (Methanol)'!$N$80,'Short-sea (Methanol)'!$AC$80)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164F-4F6B-B724-0CE5BD2EDE13}"/>
            </c:ext>
          </c:extLst>
        </c:ser>
        <c:ser>
          <c:idx val="7"/>
          <c:order val="7"/>
          <c:tx>
            <c:strRef>
              <c:f>'Short-sea (Methanol)'!$A$81</c:f>
              <c:strCache>
                <c:ptCount val="1"/>
                <c:pt idx="0">
                  <c:v>Fuel Cost</c:v>
                </c:pt>
              </c:strCache>
            </c:strRef>
          </c:tx>
          <c:spPr>
            <a:solidFill>
              <a:schemeClr val="accent2">
                <a:lumMod val="60000"/>
              </a:schemeClr>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(Methanol)'!$B$81,'Short-sea (Methanol)'!$N$81,'Short-sea (Methanol)'!$AC$81)</c:f>
              <c:numCache>
                <c:formatCode>0.00</c:formatCode>
                <c:ptCount val="3"/>
                <c:pt idx="0">
                  <c:v>3.1493959607937827E-2</c:v>
                </c:pt>
                <c:pt idx="1">
                  <c:v>2.8027743803751594E-2</c:v>
                </c:pt>
                <c:pt idx="2">
                  <c:v>9.3711119408467249E-3</c:v>
                </c:pt>
              </c:numCache>
            </c:numRef>
          </c:val>
          <c:extLst>
            <c:ext xmlns:c16="http://schemas.microsoft.com/office/drawing/2014/chart" uri="{C3380CC4-5D6E-409C-BE32-E72D297353CC}">
              <c16:uniqueId val="{00000007-164F-4F6B-B724-0CE5BD2EDE13}"/>
            </c:ext>
          </c:extLst>
        </c:ser>
        <c:ser>
          <c:idx val="8"/>
          <c:order val="8"/>
          <c:tx>
            <c:strRef>
              <c:f>'Short-sea (Methanol)'!$A$82</c:f>
              <c:strCache>
                <c:ptCount val="1"/>
                <c:pt idx="0">
                  <c:v>Market failure (av. utilization)</c:v>
                </c:pt>
              </c:strCache>
            </c:strRef>
          </c:tx>
          <c:spPr>
            <a:solidFill>
              <a:schemeClr val="accent3">
                <a:lumMod val="60000"/>
              </a:schemeClr>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(Methanol)'!$B$82,'Short-sea (Methanol)'!$N$82,'Short-sea (Methanol)'!$AC$82)</c:f>
              <c:numCache>
                <c:formatCode>0.00</c:formatCode>
                <c:ptCount val="3"/>
                <c:pt idx="0">
                  <c:v>1.6360698297182223E-2</c:v>
                </c:pt>
                <c:pt idx="1">
                  <c:v>1.4682962274044618E-2</c:v>
                </c:pt>
                <c:pt idx="2">
                  <c:v>5.6352056047552918E-3</c:v>
                </c:pt>
              </c:numCache>
            </c:numRef>
          </c:val>
          <c:extLst>
            <c:ext xmlns:c16="http://schemas.microsoft.com/office/drawing/2014/chart" uri="{C3380CC4-5D6E-409C-BE32-E72D297353CC}">
              <c16:uniqueId val="{00000008-164F-4F6B-B724-0CE5BD2EDE13}"/>
            </c:ext>
          </c:extLst>
        </c:ser>
        <c:ser>
          <c:idx val="9"/>
          <c:order val="9"/>
          <c:tx>
            <c:strRef>
              <c:f>'Short-sea (Methanol)'!$A$83</c:f>
              <c:strCache>
                <c:ptCount val="1"/>
                <c:pt idx="0">
                  <c:v>Payload loss (fuel)</c:v>
                </c:pt>
              </c:strCache>
            </c:strRef>
          </c:tx>
          <c:spPr>
            <a:solidFill>
              <a:schemeClr val="accent4">
                <a:lumMod val="60000"/>
              </a:schemeClr>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(Methanol)'!$B$83,'Short-sea (Methanol)'!$N$83,'Short-sea (Methanol)'!$AC$83)</c:f>
              <c:numCache>
                <c:formatCode>0.00</c:formatCode>
                <c:ptCount val="3"/>
                <c:pt idx="0">
                  <c:v>1.4486034950630111E-3</c:v>
                </c:pt>
                <c:pt idx="1">
                  <c:v>1.3000539513477009E-3</c:v>
                </c:pt>
                <c:pt idx="2">
                  <c:v>4.9895049625437414E-4</c:v>
                </c:pt>
              </c:numCache>
            </c:numRef>
          </c:val>
          <c:extLst>
            <c:ext xmlns:c16="http://schemas.microsoft.com/office/drawing/2014/chart" uri="{C3380CC4-5D6E-409C-BE32-E72D297353CC}">
              <c16:uniqueId val="{00000009-164F-4F6B-B724-0CE5BD2EDE13}"/>
            </c:ext>
          </c:extLst>
        </c:ser>
        <c:ser>
          <c:idx val="10"/>
          <c:order val="10"/>
          <c:tx>
            <c:strRef>
              <c:f>'Short-sea (Methanol)'!$A$407</c:f>
              <c:strCache>
                <c:ptCount val="1"/>
                <c:pt idx="0">
                  <c:v>Emission Cost</c:v>
                </c:pt>
              </c:strCache>
            </c:strRef>
          </c:tx>
          <c:spPr>
            <a:solidFill>
              <a:schemeClr val="accent5">
                <a:lumMod val="60000"/>
              </a:schemeClr>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(Methanol)'!$B$407,'Short-sea (Methanol)'!$N$407,'Short-sea (Methanol)'!$AC$407)</c:f>
              <c:numCache>
                <c:formatCode>0.000</c:formatCode>
                <c:ptCount val="3"/>
                <c:pt idx="0">
                  <c:v>3.3398562051778328E-4</c:v>
                </c:pt>
                <c:pt idx="1">
                  <c:v>2.8536465079533697E-4</c:v>
                </c:pt>
                <c:pt idx="2">
                  <c:v>5.4232271560286516E-6</c:v>
                </c:pt>
              </c:numCache>
            </c:numRef>
          </c:val>
          <c:extLst>
            <c:ext xmlns:c16="http://schemas.microsoft.com/office/drawing/2014/chart" uri="{C3380CC4-5D6E-409C-BE32-E72D297353CC}">
              <c16:uniqueId val="{00000000-FC4C-4BAB-9D2E-FAAD7EE28E4B}"/>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Template_Cost_Calculator!$A$11</c:f>
              <c:strCache>
                <c:ptCount val="1"/>
                <c:pt idx="0">
                  <c:v>Capex vehicle</c:v>
                </c:pt>
              </c:strCache>
            </c:strRef>
          </c:tx>
          <c:spPr>
            <a:ln w="28575" cap="rnd">
              <a:solidFill>
                <a:schemeClr val="accent1"/>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Template_Cost_Calculator!$Q$11:$AR$11</c:f>
              <c:numCache>
                <c:formatCode>General</c:formatCode>
                <c:ptCount val="28"/>
                <c:pt idx="0">
                  <c:v>0.98870000318069773</c:v>
                </c:pt>
                <c:pt idx="1">
                  <c:v>0.97864686803622136</c:v>
                </c:pt>
                <c:pt idx="2">
                  <c:v>0.95982538467280665</c:v>
                </c:pt>
                <c:pt idx="3">
                  <c:v>0.92512705484006208</c:v>
                </c:pt>
                <c:pt idx="4">
                  <c:v>0.86323195930299401</c:v>
                </c:pt>
                <c:pt idx="5">
                  <c:v>0.76000101689477173</c:v>
                </c:pt>
                <c:pt idx="6">
                  <c:v>0.60815171131295576</c:v>
                </c:pt>
                <c:pt idx="7">
                  <c:v>0.42565082250148245</c:v>
                </c:pt>
                <c:pt idx="8">
                  <c:v>0.25686721291665371</c:v>
                </c:pt>
                <c:pt idx="9">
                  <c:v>0.13681012326750519</c:v>
                </c:pt>
                <c:pt idx="10">
                  <c:v>6.7110874479454963E-2</c:v>
                </c:pt>
                <c:pt idx="11">
                  <c:v>3.1457259534366733E-2</c:v>
                </c:pt>
                <c:pt idx="12">
                  <c:v>1.4415036328376152E-2</c:v>
                </c:pt>
                <c:pt idx="13">
                  <c:v>6.5354046097677587E-3</c:v>
                </c:pt>
                <c:pt idx="14">
                  <c:v>2.9484794129613912E-3</c:v>
                </c:pt>
                <c:pt idx="15">
                  <c:v>1.3272611400154677E-3</c:v>
                </c:pt>
                <c:pt idx="16">
                  <c:v>5.9686760508315118E-4</c:v>
                </c:pt>
                <c:pt idx="17">
                  <c:v>2.6828910235687786E-4</c:v>
                </c:pt>
                <c:pt idx="18">
                  <c:v>1.2057010364630028E-4</c:v>
                </c:pt>
                <c:pt idx="19">
                  <c:v>5.4179686630462243E-5</c:v>
                </c:pt>
                <c:pt idx="20">
                  <c:v>2.4345319607821381E-5</c:v>
                </c:pt>
                <c:pt idx="21">
                  <c:v>1.0939222225947454E-5</c:v>
                </c:pt>
                <c:pt idx="22">
                  <c:v>4.9153427019721363E-6</c:v>
                </c:pt>
                <c:pt idx="23">
                  <c:v>2.2086125700537806E-6</c:v>
                </c:pt>
                <c:pt idx="24">
                  <c:v>9.9239495610081718E-7</c:v>
                </c:pt>
                <c:pt idx="25">
                  <c:v>4.4591207160049606E-7</c:v>
                </c:pt>
                <c:pt idx="26">
                  <c:v>2.0036126446854041E-7</c:v>
                </c:pt>
                <c:pt idx="27">
                  <c:v>9.0028130617092472E-8</c:v>
                </c:pt>
              </c:numCache>
            </c:numRef>
          </c:val>
          <c:smooth val="0"/>
          <c:extLst>
            <c:ext xmlns:c16="http://schemas.microsoft.com/office/drawing/2014/chart" uri="{C3380CC4-5D6E-409C-BE32-E72D297353CC}">
              <c16:uniqueId val="{00000000-71F1-420A-891B-2CFE87D672A6}"/>
            </c:ext>
          </c:extLst>
        </c:ser>
        <c:ser>
          <c:idx val="13"/>
          <c:order val="1"/>
          <c:tx>
            <c:strRef>
              <c:f>Template_Cost_Calculator!$A$12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Template_Cost_Calculator!$Q$12:$AR$12</c:f>
              <c:numCache>
                <c:formatCode>General</c:formatCode>
                <c:ptCount val="28"/>
                <c:pt idx="0">
                  <c:v>0.99403190884795445</c:v>
                </c:pt>
                <c:pt idx="1">
                  <c:v>0.98870000318069773</c:v>
                </c:pt>
                <c:pt idx="2">
                  <c:v>0.97864686803622136</c:v>
                </c:pt>
                <c:pt idx="3">
                  <c:v>0.95982538467280665</c:v>
                </c:pt>
                <c:pt idx="4">
                  <c:v>0.92512705484006208</c:v>
                </c:pt>
                <c:pt idx="5">
                  <c:v>0.86323195930299401</c:v>
                </c:pt>
                <c:pt idx="6">
                  <c:v>0.76000101689477173</c:v>
                </c:pt>
                <c:pt idx="7">
                  <c:v>0.60815171131295576</c:v>
                </c:pt>
                <c:pt idx="8">
                  <c:v>0.42565082250148245</c:v>
                </c:pt>
                <c:pt idx="9">
                  <c:v>0.25686721291665371</c:v>
                </c:pt>
                <c:pt idx="10">
                  <c:v>0.13681012326750519</c:v>
                </c:pt>
                <c:pt idx="11">
                  <c:v>6.7110874479454963E-2</c:v>
                </c:pt>
                <c:pt idx="12">
                  <c:v>3.1457259534366733E-2</c:v>
                </c:pt>
                <c:pt idx="13">
                  <c:v>1.4415036328376152E-2</c:v>
                </c:pt>
                <c:pt idx="14">
                  <c:v>6.5354046097677587E-3</c:v>
                </c:pt>
                <c:pt idx="15">
                  <c:v>2.9484794129613912E-3</c:v>
                </c:pt>
                <c:pt idx="16">
                  <c:v>1.3272611400154677E-3</c:v>
                </c:pt>
                <c:pt idx="17">
                  <c:v>5.9686760508315118E-4</c:v>
                </c:pt>
                <c:pt idx="18">
                  <c:v>2.6828910235687786E-4</c:v>
                </c:pt>
                <c:pt idx="19">
                  <c:v>1.2057010364630028E-4</c:v>
                </c:pt>
                <c:pt idx="20">
                  <c:v>5.4179686630462243E-5</c:v>
                </c:pt>
                <c:pt idx="21">
                  <c:v>2.4345319607821381E-5</c:v>
                </c:pt>
                <c:pt idx="22">
                  <c:v>1.0939222225947454E-5</c:v>
                </c:pt>
                <c:pt idx="23">
                  <c:v>4.9153427019721363E-6</c:v>
                </c:pt>
                <c:pt idx="24">
                  <c:v>2.2086125700537806E-6</c:v>
                </c:pt>
                <c:pt idx="25">
                  <c:v>9.9239495610081718E-7</c:v>
                </c:pt>
                <c:pt idx="26">
                  <c:v>4.4591207160049606E-7</c:v>
                </c:pt>
                <c:pt idx="27">
                  <c:v>2.0036126446854041E-7</c:v>
                </c:pt>
              </c:numCache>
            </c:numRef>
          </c:val>
          <c:smooth val="0"/>
          <c:extLst>
            <c:ext xmlns:c16="http://schemas.microsoft.com/office/drawing/2014/chart" uri="{C3380CC4-5D6E-409C-BE32-E72D297353CC}">
              <c16:uniqueId val="{00000000-8886-40BD-9A28-C337470B4C77}"/>
            </c:ext>
          </c:extLst>
        </c:ser>
        <c:ser>
          <c:idx val="1"/>
          <c:order val="2"/>
          <c:tx>
            <c:strRef>
              <c:f>Template_Cost_Calculator!$A$13</c:f>
              <c:strCache>
                <c:ptCount val="1"/>
                <c:pt idx="0">
                  <c:v>Capex costumization</c:v>
                </c:pt>
              </c:strCache>
            </c:strRef>
          </c:tx>
          <c:spPr>
            <a:ln w="28575" cap="rnd">
              <a:solidFill>
                <a:schemeClr val="accent2"/>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Template_Cost_Calculator!$Q$13:$AR$13</c:f>
              <c:numCache>
                <c:formatCode>General</c:formatCode>
                <c:ptCount val="28"/>
                <c:pt idx="0">
                  <c:v>0.99685076919798865</c:v>
                </c:pt>
                <c:pt idx="1">
                  <c:v>0.99403190884795445</c:v>
                </c:pt>
                <c:pt idx="2">
                  <c:v>0.98870000318069773</c:v>
                </c:pt>
                <c:pt idx="3">
                  <c:v>0.97864686803622136</c:v>
                </c:pt>
                <c:pt idx="4">
                  <c:v>0.95982538467280665</c:v>
                </c:pt>
                <c:pt idx="5">
                  <c:v>0.92512705484006208</c:v>
                </c:pt>
                <c:pt idx="6">
                  <c:v>0.86323195930299401</c:v>
                </c:pt>
                <c:pt idx="7">
                  <c:v>0.76000101689477173</c:v>
                </c:pt>
                <c:pt idx="8">
                  <c:v>0.60815171131295576</c:v>
                </c:pt>
                <c:pt idx="9">
                  <c:v>0.42565082250148245</c:v>
                </c:pt>
                <c:pt idx="10">
                  <c:v>0.25686721291665371</c:v>
                </c:pt>
                <c:pt idx="11">
                  <c:v>0.13681012326750519</c:v>
                </c:pt>
                <c:pt idx="12">
                  <c:v>6.7110874479454963E-2</c:v>
                </c:pt>
                <c:pt idx="13">
                  <c:v>3.1457259534366733E-2</c:v>
                </c:pt>
                <c:pt idx="14">
                  <c:v>1.4415036328376152E-2</c:v>
                </c:pt>
                <c:pt idx="15">
                  <c:v>6.5354046097677587E-3</c:v>
                </c:pt>
                <c:pt idx="16">
                  <c:v>2.9484794129613912E-3</c:v>
                </c:pt>
                <c:pt idx="17">
                  <c:v>1.3272611400154677E-3</c:v>
                </c:pt>
                <c:pt idx="18">
                  <c:v>5.9686760508315118E-4</c:v>
                </c:pt>
                <c:pt idx="19">
                  <c:v>2.6828910235687786E-4</c:v>
                </c:pt>
                <c:pt idx="20">
                  <c:v>1.2057010364630028E-4</c:v>
                </c:pt>
                <c:pt idx="21">
                  <c:v>5.4179686630462243E-5</c:v>
                </c:pt>
                <c:pt idx="22">
                  <c:v>2.4345319607821381E-5</c:v>
                </c:pt>
                <c:pt idx="23">
                  <c:v>1.0939222225947454E-5</c:v>
                </c:pt>
                <c:pt idx="24">
                  <c:v>4.9153427019721363E-6</c:v>
                </c:pt>
                <c:pt idx="25">
                  <c:v>2.2086125700537806E-6</c:v>
                </c:pt>
                <c:pt idx="26">
                  <c:v>9.9239495610081718E-7</c:v>
                </c:pt>
                <c:pt idx="27">
                  <c:v>4.4591207160049606E-7</c:v>
                </c:pt>
              </c:numCache>
            </c:numRef>
          </c:val>
          <c:smooth val="0"/>
          <c:extLst>
            <c:ext xmlns:c16="http://schemas.microsoft.com/office/drawing/2014/chart" uri="{C3380CC4-5D6E-409C-BE32-E72D297353CC}">
              <c16:uniqueId val="{00000002-71F1-420A-891B-2CFE87D672A6}"/>
            </c:ext>
          </c:extLst>
        </c:ser>
        <c:ser>
          <c:idx val="14"/>
          <c:order val="3"/>
          <c:tx>
            <c:strRef>
              <c:f>Template_Cost_Calculator!$A$14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Template_Cost_Calculator!$Q$14:$AR$14</c:f>
              <c:numCache>
                <c:formatCode>General</c:formatCode>
                <c:ptCount val="28"/>
                <c:pt idx="0">
                  <c:v>0.99833888850453545</c:v>
                </c:pt>
                <c:pt idx="1">
                  <c:v>0.99685076919798865</c:v>
                </c:pt>
                <c:pt idx="2">
                  <c:v>0.99403190884795445</c:v>
                </c:pt>
                <c:pt idx="3">
                  <c:v>0.98870000318069773</c:v>
                </c:pt>
                <c:pt idx="4">
                  <c:v>0.97864686803622136</c:v>
                </c:pt>
                <c:pt idx="5">
                  <c:v>0.95982538467280665</c:v>
                </c:pt>
                <c:pt idx="6">
                  <c:v>0.92512705484006208</c:v>
                </c:pt>
                <c:pt idx="7">
                  <c:v>0.86323195930299401</c:v>
                </c:pt>
                <c:pt idx="8">
                  <c:v>0.76000101689477173</c:v>
                </c:pt>
                <c:pt idx="9">
                  <c:v>0.60815171131295576</c:v>
                </c:pt>
                <c:pt idx="10">
                  <c:v>0.42565082250148245</c:v>
                </c:pt>
                <c:pt idx="11">
                  <c:v>0.25686721291665371</c:v>
                </c:pt>
                <c:pt idx="12">
                  <c:v>0.13681012326750519</c:v>
                </c:pt>
                <c:pt idx="13">
                  <c:v>6.7110874479454963E-2</c:v>
                </c:pt>
                <c:pt idx="14">
                  <c:v>3.1457259534366733E-2</c:v>
                </c:pt>
                <c:pt idx="15">
                  <c:v>1.4415036328376152E-2</c:v>
                </c:pt>
                <c:pt idx="16">
                  <c:v>6.5354046097677587E-3</c:v>
                </c:pt>
                <c:pt idx="17">
                  <c:v>2.9484794129613912E-3</c:v>
                </c:pt>
                <c:pt idx="18">
                  <c:v>1.3272611400154677E-3</c:v>
                </c:pt>
                <c:pt idx="19">
                  <c:v>5.9686760508315118E-4</c:v>
                </c:pt>
                <c:pt idx="20">
                  <c:v>2.6828910235687786E-4</c:v>
                </c:pt>
                <c:pt idx="21">
                  <c:v>1.2057010364630028E-4</c:v>
                </c:pt>
                <c:pt idx="22">
                  <c:v>5.4179686630462243E-5</c:v>
                </c:pt>
                <c:pt idx="23">
                  <c:v>2.4345319607821381E-5</c:v>
                </c:pt>
                <c:pt idx="24">
                  <c:v>1.0939222225947454E-5</c:v>
                </c:pt>
                <c:pt idx="25">
                  <c:v>4.9153427019721363E-6</c:v>
                </c:pt>
                <c:pt idx="26">
                  <c:v>2.2086125700537806E-6</c:v>
                </c:pt>
                <c:pt idx="27">
                  <c:v>9.9239495610081718E-7</c:v>
                </c:pt>
              </c:numCache>
            </c:numRef>
          </c:val>
          <c:smooth val="0"/>
          <c:extLst>
            <c:ext xmlns:c16="http://schemas.microsoft.com/office/drawing/2014/chart" uri="{C3380CC4-5D6E-409C-BE32-E72D297353CC}">
              <c16:uniqueId val="{00000001-8886-40BD-9A28-C337470B4C77}"/>
            </c:ext>
          </c:extLst>
        </c:ser>
        <c:ser>
          <c:idx val="2"/>
          <c:order val="4"/>
          <c:tx>
            <c:strRef>
              <c:f>Template_Cost_Calculator!$A$15</c:f>
              <c:strCache>
                <c:ptCount val="1"/>
                <c:pt idx="0">
                  <c:v>WACC</c:v>
                </c:pt>
              </c:strCache>
            </c:strRef>
          </c:tx>
          <c:spPr>
            <a:ln w="28575" cap="rnd">
              <a:solidFill>
                <a:schemeClr val="accent3"/>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Template_Cost_Calculator!$Q$15:$AR$15</c:f>
              <c:numCache>
                <c:formatCode>General</c:formatCode>
                <c:ptCount val="28"/>
                <c:pt idx="0">
                  <c:v>0.99912397907241213</c:v>
                </c:pt>
                <c:pt idx="1">
                  <c:v>0.99833888850453545</c:v>
                </c:pt>
                <c:pt idx="2">
                  <c:v>0.99685076919798865</c:v>
                </c:pt>
                <c:pt idx="3">
                  <c:v>0.99403190884795445</c:v>
                </c:pt>
                <c:pt idx="4">
                  <c:v>0.98870000318069773</c:v>
                </c:pt>
                <c:pt idx="5">
                  <c:v>0.97864686803622136</c:v>
                </c:pt>
                <c:pt idx="6">
                  <c:v>0.95982538467280665</c:v>
                </c:pt>
                <c:pt idx="7">
                  <c:v>0.92512705484006208</c:v>
                </c:pt>
                <c:pt idx="8">
                  <c:v>0.86323195930299401</c:v>
                </c:pt>
                <c:pt idx="9">
                  <c:v>0.76000101689477173</c:v>
                </c:pt>
                <c:pt idx="10">
                  <c:v>0.60815171131295576</c:v>
                </c:pt>
                <c:pt idx="11">
                  <c:v>0.42565082250148245</c:v>
                </c:pt>
                <c:pt idx="12">
                  <c:v>0.25686721291665371</c:v>
                </c:pt>
                <c:pt idx="13">
                  <c:v>0.13681012326750519</c:v>
                </c:pt>
                <c:pt idx="14">
                  <c:v>6.7110874479454963E-2</c:v>
                </c:pt>
                <c:pt idx="15">
                  <c:v>3.1457259534366733E-2</c:v>
                </c:pt>
                <c:pt idx="16">
                  <c:v>1.4415036328376152E-2</c:v>
                </c:pt>
                <c:pt idx="17">
                  <c:v>6.5354046097677587E-3</c:v>
                </c:pt>
                <c:pt idx="18">
                  <c:v>2.9484794129613912E-3</c:v>
                </c:pt>
                <c:pt idx="19">
                  <c:v>1.3272611400154677E-3</c:v>
                </c:pt>
                <c:pt idx="20">
                  <c:v>5.9686760508315118E-4</c:v>
                </c:pt>
                <c:pt idx="21">
                  <c:v>2.6828910235687786E-4</c:v>
                </c:pt>
                <c:pt idx="22">
                  <c:v>1.2057010364630028E-4</c:v>
                </c:pt>
                <c:pt idx="23">
                  <c:v>5.4179686630462243E-5</c:v>
                </c:pt>
                <c:pt idx="24">
                  <c:v>2.4345319607821381E-5</c:v>
                </c:pt>
                <c:pt idx="25">
                  <c:v>1.0939222225947454E-5</c:v>
                </c:pt>
                <c:pt idx="26">
                  <c:v>4.9153427019721363E-6</c:v>
                </c:pt>
                <c:pt idx="27">
                  <c:v>2.2086125700537806E-6</c:v>
                </c:pt>
              </c:numCache>
            </c:numRef>
          </c:val>
          <c:smooth val="0"/>
          <c:extLst>
            <c:ext xmlns:c16="http://schemas.microsoft.com/office/drawing/2014/chart" uri="{C3380CC4-5D6E-409C-BE32-E72D297353CC}">
              <c16:uniqueId val="{00000003-71F1-420A-891B-2CFE87D672A6}"/>
            </c:ext>
          </c:extLst>
        </c:ser>
        <c:ser>
          <c:idx val="3"/>
          <c:order val="5"/>
          <c:tx>
            <c:strRef>
              <c:f>Template_Cost_Calculator!$A$16</c:f>
              <c:strCache>
                <c:ptCount val="1"/>
                <c:pt idx="0">
                  <c:v>Opex fix (admin, crew, insurance)</c:v>
                </c:pt>
              </c:strCache>
            </c:strRef>
          </c:tx>
          <c:spPr>
            <a:ln w="28575" cap="rnd">
              <a:solidFill>
                <a:schemeClr val="accent4"/>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Template_Cost_Calculator!$Q$16:$AR$16</c:f>
              <c:numCache>
                <c:formatCode>General</c:formatCode>
                <c:ptCount val="28"/>
                <c:pt idx="0">
                  <c:v>0.9995380501308736</c:v>
                </c:pt>
                <c:pt idx="1">
                  <c:v>0.99912397907241213</c:v>
                </c:pt>
                <c:pt idx="2">
                  <c:v>0.99833888850453545</c:v>
                </c:pt>
                <c:pt idx="3">
                  <c:v>0.99685076919798865</c:v>
                </c:pt>
                <c:pt idx="4">
                  <c:v>0.99403190884795445</c:v>
                </c:pt>
                <c:pt idx="5">
                  <c:v>0.98870000318069773</c:v>
                </c:pt>
                <c:pt idx="6">
                  <c:v>0.97864686803622136</c:v>
                </c:pt>
                <c:pt idx="7">
                  <c:v>0.95982538467280665</c:v>
                </c:pt>
                <c:pt idx="8">
                  <c:v>0.92512705484006208</c:v>
                </c:pt>
                <c:pt idx="9">
                  <c:v>0.86323195930299401</c:v>
                </c:pt>
                <c:pt idx="10">
                  <c:v>0.76000101689477173</c:v>
                </c:pt>
                <c:pt idx="11">
                  <c:v>0.60815171131295576</c:v>
                </c:pt>
                <c:pt idx="12">
                  <c:v>0.42565082250148245</c:v>
                </c:pt>
                <c:pt idx="13">
                  <c:v>0.25686721291665371</c:v>
                </c:pt>
                <c:pt idx="14">
                  <c:v>0.13681012326750519</c:v>
                </c:pt>
                <c:pt idx="15">
                  <c:v>6.7110874479454963E-2</c:v>
                </c:pt>
                <c:pt idx="16">
                  <c:v>3.1457259534366733E-2</c:v>
                </c:pt>
                <c:pt idx="17">
                  <c:v>1.4415036328376152E-2</c:v>
                </c:pt>
                <c:pt idx="18">
                  <c:v>6.5354046097677587E-3</c:v>
                </c:pt>
                <c:pt idx="19">
                  <c:v>2.9484794129613912E-3</c:v>
                </c:pt>
                <c:pt idx="20">
                  <c:v>1.3272611400154677E-3</c:v>
                </c:pt>
                <c:pt idx="21">
                  <c:v>5.9686760508315118E-4</c:v>
                </c:pt>
                <c:pt idx="22">
                  <c:v>2.6828910235687786E-4</c:v>
                </c:pt>
                <c:pt idx="23">
                  <c:v>1.2057010364630028E-4</c:v>
                </c:pt>
                <c:pt idx="24">
                  <c:v>5.4179686630462243E-5</c:v>
                </c:pt>
                <c:pt idx="25">
                  <c:v>2.4345319607821381E-5</c:v>
                </c:pt>
                <c:pt idx="26">
                  <c:v>1.0939222225947454E-5</c:v>
                </c:pt>
                <c:pt idx="27">
                  <c:v>4.9153427019721363E-6</c:v>
                </c:pt>
              </c:numCache>
            </c:numRef>
          </c:val>
          <c:smooth val="0"/>
          <c:extLst>
            <c:ext xmlns:c16="http://schemas.microsoft.com/office/drawing/2014/chart" uri="{C3380CC4-5D6E-409C-BE32-E72D297353CC}">
              <c16:uniqueId val="{00000004-71F1-420A-891B-2CFE87D672A6}"/>
            </c:ext>
          </c:extLst>
        </c:ser>
        <c:ser>
          <c:idx val="4"/>
          <c:order val="6"/>
          <c:tx>
            <c:strRef>
              <c:f>Template_Cost_Calculator!$A$18</c:f>
              <c:strCache>
                <c:ptCount val="1"/>
                <c:pt idx="0">
                  <c:v>Opex var (mode-fees, cargo handling)</c:v>
                </c:pt>
              </c:strCache>
            </c:strRef>
          </c:tx>
          <c:spPr>
            <a:ln w="28575" cap="rnd">
              <a:solidFill>
                <a:schemeClr val="accent5"/>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Template_Cost_Calculator!$Q$18:$AR$18</c:f>
              <c:numCache>
                <c:formatCode>General</c:formatCode>
                <c:ptCount val="28"/>
                <c:pt idx="0">
                  <c:v>0.99987155515136772</c:v>
                </c:pt>
                <c:pt idx="1">
                  <c:v>0.99975641006619353</c:v>
                </c:pt>
                <c:pt idx="2">
                  <c:v>0.9995380501308736</c:v>
                </c:pt>
                <c:pt idx="3">
                  <c:v>0.99912397907241213</c:v>
                </c:pt>
                <c:pt idx="4">
                  <c:v>0.99833888850453545</c:v>
                </c:pt>
                <c:pt idx="5">
                  <c:v>0.99685076919798865</c:v>
                </c:pt>
                <c:pt idx="6">
                  <c:v>0.99403190884795445</c:v>
                </c:pt>
                <c:pt idx="7">
                  <c:v>0.98870000318069773</c:v>
                </c:pt>
                <c:pt idx="8">
                  <c:v>0.97864686803622136</c:v>
                </c:pt>
                <c:pt idx="9">
                  <c:v>0.95982538467280665</c:v>
                </c:pt>
                <c:pt idx="10">
                  <c:v>0.92512705484006208</c:v>
                </c:pt>
                <c:pt idx="11">
                  <c:v>0.86323195930299401</c:v>
                </c:pt>
                <c:pt idx="12">
                  <c:v>0.76000101689477173</c:v>
                </c:pt>
                <c:pt idx="13">
                  <c:v>0.60815171131295576</c:v>
                </c:pt>
                <c:pt idx="14">
                  <c:v>0.42565082250148245</c:v>
                </c:pt>
                <c:pt idx="15">
                  <c:v>0.25686721291665371</c:v>
                </c:pt>
                <c:pt idx="16">
                  <c:v>0.13681012326750519</c:v>
                </c:pt>
                <c:pt idx="17">
                  <c:v>6.7110874479454963E-2</c:v>
                </c:pt>
                <c:pt idx="18">
                  <c:v>3.1457259534366733E-2</c:v>
                </c:pt>
                <c:pt idx="19">
                  <c:v>1.4415036328376152E-2</c:v>
                </c:pt>
                <c:pt idx="20">
                  <c:v>6.5354046097677587E-3</c:v>
                </c:pt>
                <c:pt idx="21">
                  <c:v>2.9484794129613912E-3</c:v>
                </c:pt>
                <c:pt idx="22">
                  <c:v>1.3272611400154677E-3</c:v>
                </c:pt>
                <c:pt idx="23">
                  <c:v>5.9686760508315118E-4</c:v>
                </c:pt>
                <c:pt idx="24">
                  <c:v>2.6828910235687786E-4</c:v>
                </c:pt>
                <c:pt idx="25">
                  <c:v>1.2057010364630028E-4</c:v>
                </c:pt>
                <c:pt idx="26">
                  <c:v>5.4179686630462243E-5</c:v>
                </c:pt>
                <c:pt idx="27">
                  <c:v>2.4345319607821381E-5</c:v>
                </c:pt>
              </c:numCache>
            </c:numRef>
          </c:val>
          <c:smooth val="0"/>
          <c:extLst>
            <c:ext xmlns:c16="http://schemas.microsoft.com/office/drawing/2014/chart" uri="{C3380CC4-5D6E-409C-BE32-E72D297353CC}">
              <c16:uniqueId val="{00000005-71F1-420A-891B-2CFE87D672A6}"/>
            </c:ext>
          </c:extLst>
        </c:ser>
        <c:ser>
          <c:idx val="5"/>
          <c:order val="7"/>
          <c:tx>
            <c:strRef>
              <c:f>Template_Cost_Calculator!$A$19</c:f>
              <c:strCache>
                <c:ptCount val="1"/>
                <c:pt idx="0">
                  <c:v>Fuel Economy</c:v>
                </c:pt>
              </c:strCache>
            </c:strRef>
          </c:tx>
          <c:spPr>
            <a:ln w="28575" cap="rnd">
              <a:solidFill>
                <a:schemeClr val="accent6"/>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Template_Cost_Calculator!$Q$19:$AR$19</c:f>
              <c:numCache>
                <c:formatCode>General</c:formatCode>
                <c:ptCount val="28"/>
                <c:pt idx="0">
                  <c:v>0.99993227159641906</c:v>
                </c:pt>
                <c:pt idx="1">
                  <c:v>0.99987155515136772</c:v>
                </c:pt>
                <c:pt idx="2">
                  <c:v>0.99975641006619353</c:v>
                </c:pt>
                <c:pt idx="3">
                  <c:v>0.9995380501308736</c:v>
                </c:pt>
                <c:pt idx="4">
                  <c:v>0.99912397907241213</c:v>
                </c:pt>
                <c:pt idx="5">
                  <c:v>0.99833888850453545</c:v>
                </c:pt>
                <c:pt idx="6">
                  <c:v>0.99685076919798865</c:v>
                </c:pt>
                <c:pt idx="7">
                  <c:v>0.99403190884795445</c:v>
                </c:pt>
                <c:pt idx="8">
                  <c:v>0.98870000318069773</c:v>
                </c:pt>
                <c:pt idx="9">
                  <c:v>0.97864686803622136</c:v>
                </c:pt>
                <c:pt idx="10">
                  <c:v>0.95982538467280665</c:v>
                </c:pt>
                <c:pt idx="11">
                  <c:v>0.92512705484006208</c:v>
                </c:pt>
                <c:pt idx="12">
                  <c:v>0.86323195930299401</c:v>
                </c:pt>
                <c:pt idx="13">
                  <c:v>0.76000101689477173</c:v>
                </c:pt>
                <c:pt idx="14">
                  <c:v>0.60815171131295576</c:v>
                </c:pt>
                <c:pt idx="15">
                  <c:v>0.42565082250148245</c:v>
                </c:pt>
                <c:pt idx="16">
                  <c:v>0.25686721291665371</c:v>
                </c:pt>
                <c:pt idx="17">
                  <c:v>0.13681012326750519</c:v>
                </c:pt>
                <c:pt idx="18">
                  <c:v>6.7110874479454963E-2</c:v>
                </c:pt>
                <c:pt idx="19">
                  <c:v>3.1457259534366733E-2</c:v>
                </c:pt>
                <c:pt idx="20">
                  <c:v>1.4415036328376152E-2</c:v>
                </c:pt>
                <c:pt idx="21">
                  <c:v>6.5354046097677587E-3</c:v>
                </c:pt>
                <c:pt idx="22">
                  <c:v>2.9484794129613912E-3</c:v>
                </c:pt>
                <c:pt idx="23">
                  <c:v>1.3272611400154677E-3</c:v>
                </c:pt>
                <c:pt idx="24">
                  <c:v>5.9686760508315118E-4</c:v>
                </c:pt>
                <c:pt idx="25">
                  <c:v>2.6828910235687786E-4</c:v>
                </c:pt>
                <c:pt idx="26">
                  <c:v>1.2057010364630028E-4</c:v>
                </c:pt>
                <c:pt idx="27">
                  <c:v>5.4179686630462243E-5</c:v>
                </c:pt>
              </c:numCache>
            </c:numRef>
          </c:val>
          <c:smooth val="0"/>
          <c:extLst>
            <c:ext xmlns:c16="http://schemas.microsoft.com/office/drawing/2014/chart" uri="{C3380CC4-5D6E-409C-BE32-E72D297353CC}">
              <c16:uniqueId val="{00000006-71F1-420A-891B-2CFE87D672A6}"/>
            </c:ext>
          </c:extLst>
        </c:ser>
        <c:ser>
          <c:idx val="6"/>
          <c:order val="8"/>
          <c:tx>
            <c:strRef>
              <c:f>Template_Cost_Calculator!$A$20</c:f>
              <c:strCache>
                <c:ptCount val="1"/>
                <c:pt idx="0">
                  <c:v>Fuel Cost</c:v>
                </c:pt>
              </c:strCache>
            </c:strRef>
          </c:tx>
          <c:spPr>
            <a:ln w="28575" cap="rnd">
              <a:solidFill>
                <a:schemeClr val="accent1">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Template_Cost_Calculator!$Q$20:$AR$20</c:f>
              <c:numCache>
                <c:formatCode>General</c:formatCode>
                <c:ptCount val="28"/>
                <c:pt idx="0">
                  <c:v>0.99996428722923425</c:v>
                </c:pt>
                <c:pt idx="1">
                  <c:v>0.99993227159641906</c:v>
                </c:pt>
                <c:pt idx="2">
                  <c:v>0.99987155515136772</c:v>
                </c:pt>
                <c:pt idx="3">
                  <c:v>0.99975641006619353</c:v>
                </c:pt>
                <c:pt idx="4">
                  <c:v>0.9995380501308736</c:v>
                </c:pt>
                <c:pt idx="5">
                  <c:v>0.99912397907241213</c:v>
                </c:pt>
                <c:pt idx="6">
                  <c:v>0.99833888850453545</c:v>
                </c:pt>
                <c:pt idx="7">
                  <c:v>0.99685076919798865</c:v>
                </c:pt>
                <c:pt idx="8">
                  <c:v>0.99403190884795445</c:v>
                </c:pt>
                <c:pt idx="9">
                  <c:v>0.98870000318069773</c:v>
                </c:pt>
                <c:pt idx="10">
                  <c:v>0.97864686803622136</c:v>
                </c:pt>
                <c:pt idx="11">
                  <c:v>0.95982538467280665</c:v>
                </c:pt>
                <c:pt idx="12">
                  <c:v>0.92512705484006208</c:v>
                </c:pt>
                <c:pt idx="13">
                  <c:v>0.86323195930299401</c:v>
                </c:pt>
                <c:pt idx="14">
                  <c:v>0.76000101689477173</c:v>
                </c:pt>
                <c:pt idx="15">
                  <c:v>0.60815171131295576</c:v>
                </c:pt>
                <c:pt idx="16">
                  <c:v>0.42565082250148245</c:v>
                </c:pt>
                <c:pt idx="17">
                  <c:v>0.25686721291665371</c:v>
                </c:pt>
                <c:pt idx="18">
                  <c:v>0.13681012326750519</c:v>
                </c:pt>
                <c:pt idx="19">
                  <c:v>6.7110874479454963E-2</c:v>
                </c:pt>
                <c:pt idx="20">
                  <c:v>3.1457259534366733E-2</c:v>
                </c:pt>
                <c:pt idx="21">
                  <c:v>1.4415036328376152E-2</c:v>
                </c:pt>
                <c:pt idx="22">
                  <c:v>6.5354046097677587E-3</c:v>
                </c:pt>
                <c:pt idx="23">
                  <c:v>2.9484794129613912E-3</c:v>
                </c:pt>
                <c:pt idx="24">
                  <c:v>1.3272611400154677E-3</c:v>
                </c:pt>
                <c:pt idx="25">
                  <c:v>5.9686760508315118E-4</c:v>
                </c:pt>
                <c:pt idx="26">
                  <c:v>2.6828910235687786E-4</c:v>
                </c:pt>
                <c:pt idx="27">
                  <c:v>1.2057010364630028E-4</c:v>
                </c:pt>
              </c:numCache>
            </c:numRef>
          </c:val>
          <c:smooth val="0"/>
          <c:extLst>
            <c:ext xmlns:c16="http://schemas.microsoft.com/office/drawing/2014/chart" uri="{C3380CC4-5D6E-409C-BE32-E72D297353CC}">
              <c16:uniqueId val="{00000007-71F1-420A-891B-2CFE87D672A6}"/>
            </c:ext>
          </c:extLst>
        </c:ser>
        <c:ser>
          <c:idx val="7"/>
          <c:order val="9"/>
          <c:tx>
            <c:strRef>
              <c:f>Template_Cost_Calculator!$A$21</c:f>
              <c:strCache>
                <c:ptCount val="1"/>
                <c:pt idx="0">
                  <c:v>Lifetime vehicle</c:v>
                </c:pt>
              </c:strCache>
            </c:strRef>
          </c:tx>
          <c:spPr>
            <a:ln w="28575" cap="rnd">
              <a:solidFill>
                <a:schemeClr val="accent2">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Template_Cost_Calculator!$Q$21:$AR$21</c:f>
              <c:numCache>
                <c:formatCode>General</c:formatCode>
                <c:ptCount val="28"/>
                <c:pt idx="0">
                  <c:v>0.99998116890363087</c:v>
                </c:pt>
                <c:pt idx="1">
                  <c:v>0.99996428722923425</c:v>
                </c:pt>
                <c:pt idx="2">
                  <c:v>0.99993227159641906</c:v>
                </c:pt>
                <c:pt idx="3">
                  <c:v>0.99987155515136772</c:v>
                </c:pt>
                <c:pt idx="4">
                  <c:v>0.99975641006619353</c:v>
                </c:pt>
                <c:pt idx="5">
                  <c:v>0.9995380501308736</c:v>
                </c:pt>
                <c:pt idx="6">
                  <c:v>0.99912397907241213</c:v>
                </c:pt>
                <c:pt idx="7">
                  <c:v>0.99833888850453545</c:v>
                </c:pt>
                <c:pt idx="8">
                  <c:v>0.99685076919798865</c:v>
                </c:pt>
                <c:pt idx="9">
                  <c:v>0.99403190884795445</c:v>
                </c:pt>
                <c:pt idx="10">
                  <c:v>0.98870000318069773</c:v>
                </c:pt>
                <c:pt idx="11">
                  <c:v>0.97864686803622136</c:v>
                </c:pt>
                <c:pt idx="12">
                  <c:v>0.95982538467280665</c:v>
                </c:pt>
                <c:pt idx="13">
                  <c:v>0.92512705484006208</c:v>
                </c:pt>
                <c:pt idx="14">
                  <c:v>0.86323195930299401</c:v>
                </c:pt>
                <c:pt idx="15">
                  <c:v>0.76000101689477173</c:v>
                </c:pt>
                <c:pt idx="16">
                  <c:v>0.60815171131295576</c:v>
                </c:pt>
                <c:pt idx="17">
                  <c:v>0.42565082250148245</c:v>
                </c:pt>
                <c:pt idx="18">
                  <c:v>0.25686721291665371</c:v>
                </c:pt>
                <c:pt idx="19">
                  <c:v>0.13681012326750519</c:v>
                </c:pt>
                <c:pt idx="20">
                  <c:v>6.7110874479454963E-2</c:v>
                </c:pt>
                <c:pt idx="21">
                  <c:v>3.1457259534366733E-2</c:v>
                </c:pt>
                <c:pt idx="22">
                  <c:v>1.4415036328376152E-2</c:v>
                </c:pt>
                <c:pt idx="23">
                  <c:v>6.5354046097677587E-3</c:v>
                </c:pt>
                <c:pt idx="24">
                  <c:v>2.9484794129613912E-3</c:v>
                </c:pt>
                <c:pt idx="25">
                  <c:v>1.3272611400154677E-3</c:v>
                </c:pt>
                <c:pt idx="26">
                  <c:v>5.9686760508315118E-4</c:v>
                </c:pt>
                <c:pt idx="27">
                  <c:v>2.6828910235687786E-4</c:v>
                </c:pt>
              </c:numCache>
            </c:numRef>
          </c:val>
          <c:smooth val="0"/>
          <c:extLst>
            <c:ext xmlns:c16="http://schemas.microsoft.com/office/drawing/2014/chart" uri="{C3380CC4-5D6E-409C-BE32-E72D297353CC}">
              <c16:uniqueId val="{00000008-71F1-420A-891B-2CFE87D672A6}"/>
            </c:ext>
          </c:extLst>
        </c:ser>
        <c:ser>
          <c:idx val="8"/>
          <c:order val="10"/>
          <c:tx>
            <c:strRef>
              <c:f>Template_Cost_Calculator!$A$22</c:f>
              <c:strCache>
                <c:ptCount val="1"/>
                <c:pt idx="0">
                  <c:v>Lifetime costumization</c:v>
                </c:pt>
              </c:strCache>
            </c:strRef>
          </c:tx>
          <c:spPr>
            <a:ln w="28575" cap="rnd">
              <a:solidFill>
                <a:schemeClr val="accent3">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Template_Cost_Calculator!$Q$22:$AR$22</c:f>
              <c:numCache>
                <c:formatCode>General</c:formatCode>
                <c:ptCount val="28"/>
                <c:pt idx="0">
                  <c:v>0.99999007050012179</c:v>
                </c:pt>
                <c:pt idx="1">
                  <c:v>0.99998116890363087</c:v>
                </c:pt>
                <c:pt idx="2">
                  <c:v>0.99996428722923425</c:v>
                </c:pt>
                <c:pt idx="3">
                  <c:v>0.99993227159641906</c:v>
                </c:pt>
                <c:pt idx="4">
                  <c:v>0.99987155515136772</c:v>
                </c:pt>
                <c:pt idx="5">
                  <c:v>0.99975641006619353</c:v>
                </c:pt>
                <c:pt idx="6">
                  <c:v>0.9995380501308736</c:v>
                </c:pt>
                <c:pt idx="7">
                  <c:v>0.99912397907241213</c:v>
                </c:pt>
                <c:pt idx="8">
                  <c:v>0.99833888850453545</c:v>
                </c:pt>
                <c:pt idx="9">
                  <c:v>0.99685076919798865</c:v>
                </c:pt>
                <c:pt idx="10">
                  <c:v>0.99403190884795445</c:v>
                </c:pt>
                <c:pt idx="11">
                  <c:v>0.98870000318069773</c:v>
                </c:pt>
                <c:pt idx="12">
                  <c:v>0.97864686803622136</c:v>
                </c:pt>
                <c:pt idx="13">
                  <c:v>0.95982538467280665</c:v>
                </c:pt>
                <c:pt idx="14">
                  <c:v>0.92512705484006208</c:v>
                </c:pt>
                <c:pt idx="15">
                  <c:v>0.86323195930299401</c:v>
                </c:pt>
                <c:pt idx="16">
                  <c:v>0.76000101689477173</c:v>
                </c:pt>
                <c:pt idx="17">
                  <c:v>0.60815171131295576</c:v>
                </c:pt>
                <c:pt idx="18">
                  <c:v>0.42565082250148245</c:v>
                </c:pt>
                <c:pt idx="19">
                  <c:v>0.25686721291665371</c:v>
                </c:pt>
                <c:pt idx="20">
                  <c:v>0.13681012326750519</c:v>
                </c:pt>
                <c:pt idx="21">
                  <c:v>6.7110874479454963E-2</c:v>
                </c:pt>
                <c:pt idx="22">
                  <c:v>3.1457259534366733E-2</c:v>
                </c:pt>
                <c:pt idx="23">
                  <c:v>1.4415036328376152E-2</c:v>
                </c:pt>
                <c:pt idx="24">
                  <c:v>6.5354046097677587E-3</c:v>
                </c:pt>
                <c:pt idx="25">
                  <c:v>2.9484794129613912E-3</c:v>
                </c:pt>
                <c:pt idx="26">
                  <c:v>1.3272611400154677E-3</c:v>
                </c:pt>
                <c:pt idx="27">
                  <c:v>5.9686760508315118E-4</c:v>
                </c:pt>
              </c:numCache>
            </c:numRef>
          </c:val>
          <c:smooth val="0"/>
          <c:extLst>
            <c:ext xmlns:c16="http://schemas.microsoft.com/office/drawing/2014/chart" uri="{C3380CC4-5D6E-409C-BE32-E72D297353CC}">
              <c16:uniqueId val="{00000009-71F1-420A-891B-2CFE87D672A6}"/>
            </c:ext>
          </c:extLst>
        </c:ser>
        <c:ser>
          <c:idx val="9"/>
          <c:order val="11"/>
          <c:tx>
            <c:strRef>
              <c:f>Template_Cost_Calculator!$A$23</c:f>
              <c:strCache>
                <c:ptCount val="1"/>
                <c:pt idx="0">
                  <c:v>Tonnage .</c:v>
                </c:pt>
              </c:strCache>
            </c:strRef>
          </c:tx>
          <c:spPr>
            <a:ln w="28575" cap="rnd">
              <a:solidFill>
                <a:schemeClr val="accent4">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Template_Cost_Calculator!$Q$23:$AR$23</c:f>
              <c:numCache>
                <c:formatCode>General</c:formatCode>
                <c:ptCount val="28"/>
                <c:pt idx="0">
                  <c:v>0.99999476424865408</c:v>
                </c:pt>
                <c:pt idx="1">
                  <c:v>0.99999007050012179</c:v>
                </c:pt>
                <c:pt idx="2">
                  <c:v>0.99998116890363087</c:v>
                </c:pt>
                <c:pt idx="3">
                  <c:v>0.99996428722923425</c:v>
                </c:pt>
                <c:pt idx="4">
                  <c:v>0.99993227159641906</c:v>
                </c:pt>
                <c:pt idx="5">
                  <c:v>0.99987155515136772</c:v>
                </c:pt>
                <c:pt idx="6">
                  <c:v>0.99975641006619353</c:v>
                </c:pt>
                <c:pt idx="7">
                  <c:v>0.9995380501308736</c:v>
                </c:pt>
                <c:pt idx="8">
                  <c:v>0.99912397907241213</c:v>
                </c:pt>
                <c:pt idx="9">
                  <c:v>0.99833888850453545</c:v>
                </c:pt>
                <c:pt idx="10">
                  <c:v>0.99685076919798865</c:v>
                </c:pt>
                <c:pt idx="11">
                  <c:v>0.99403190884795445</c:v>
                </c:pt>
                <c:pt idx="12">
                  <c:v>0.98870000318069773</c:v>
                </c:pt>
                <c:pt idx="13">
                  <c:v>0.97864686803622136</c:v>
                </c:pt>
                <c:pt idx="14">
                  <c:v>0.95982538467280665</c:v>
                </c:pt>
                <c:pt idx="15">
                  <c:v>0.92512705484006208</c:v>
                </c:pt>
                <c:pt idx="16">
                  <c:v>0.86323195930299401</c:v>
                </c:pt>
                <c:pt idx="17">
                  <c:v>0.76000101689477173</c:v>
                </c:pt>
                <c:pt idx="18">
                  <c:v>0.60815171131295576</c:v>
                </c:pt>
                <c:pt idx="19">
                  <c:v>0.42565082250148245</c:v>
                </c:pt>
                <c:pt idx="20">
                  <c:v>0.25686721291665371</c:v>
                </c:pt>
                <c:pt idx="21">
                  <c:v>0.13681012326750519</c:v>
                </c:pt>
                <c:pt idx="22">
                  <c:v>6.7110874479454963E-2</c:v>
                </c:pt>
                <c:pt idx="23">
                  <c:v>3.1457259534366733E-2</c:v>
                </c:pt>
                <c:pt idx="24">
                  <c:v>1.4415036328376152E-2</c:v>
                </c:pt>
                <c:pt idx="25">
                  <c:v>6.5354046097677587E-3</c:v>
                </c:pt>
                <c:pt idx="26">
                  <c:v>2.9484794129613912E-3</c:v>
                </c:pt>
                <c:pt idx="27">
                  <c:v>1.3272611400154677E-3</c:v>
                </c:pt>
              </c:numCache>
            </c:numRef>
          </c:val>
          <c:smooth val="0"/>
          <c:extLst>
            <c:ext xmlns:c16="http://schemas.microsoft.com/office/drawing/2014/chart" uri="{C3380CC4-5D6E-409C-BE32-E72D297353CC}">
              <c16:uniqueId val="{0000000A-71F1-420A-891B-2CFE87D672A6}"/>
            </c:ext>
          </c:extLst>
        </c:ser>
        <c:ser>
          <c:idx val="10"/>
          <c:order val="12"/>
          <c:tx>
            <c:strRef>
              <c:f>Template_Cost_Calculator!$A$24</c:f>
              <c:strCache>
                <c:ptCount val="1"/>
                <c:pt idx="0">
                  <c:v>Market failure (av. utilization)</c:v>
                </c:pt>
              </c:strCache>
            </c:strRef>
          </c:tx>
          <c:spPr>
            <a:ln w="28575" cap="rnd">
              <a:solidFill>
                <a:schemeClr val="accent5">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Template_Cost_Calculator!$Q$24:$AR$24</c:f>
              <c:numCache>
                <c:formatCode>General</c:formatCode>
                <c:ptCount val="28"/>
                <c:pt idx="0">
                  <c:v>0.99999723922767647</c:v>
                </c:pt>
                <c:pt idx="1">
                  <c:v>0.99999476424865408</c:v>
                </c:pt>
                <c:pt idx="2">
                  <c:v>0.99999007050012179</c:v>
                </c:pt>
                <c:pt idx="3">
                  <c:v>0.99998116890363087</c:v>
                </c:pt>
                <c:pt idx="4">
                  <c:v>0.99996428722923425</c:v>
                </c:pt>
                <c:pt idx="5">
                  <c:v>0.99993227159641906</c:v>
                </c:pt>
                <c:pt idx="6">
                  <c:v>0.99987155515136772</c:v>
                </c:pt>
                <c:pt idx="7">
                  <c:v>0.99975641006619353</c:v>
                </c:pt>
                <c:pt idx="8">
                  <c:v>0.9995380501308736</c:v>
                </c:pt>
                <c:pt idx="9">
                  <c:v>0.99912397907241213</c:v>
                </c:pt>
                <c:pt idx="10">
                  <c:v>0.99833888850453545</c:v>
                </c:pt>
                <c:pt idx="11">
                  <c:v>0.99685076919798865</c:v>
                </c:pt>
                <c:pt idx="12">
                  <c:v>0.99403190884795445</c:v>
                </c:pt>
                <c:pt idx="13">
                  <c:v>0.98870000318069773</c:v>
                </c:pt>
                <c:pt idx="14">
                  <c:v>0.97864686803622136</c:v>
                </c:pt>
                <c:pt idx="15">
                  <c:v>0.95982538467280665</c:v>
                </c:pt>
                <c:pt idx="16">
                  <c:v>0.92512705484006208</c:v>
                </c:pt>
                <c:pt idx="17">
                  <c:v>0.86323195930299401</c:v>
                </c:pt>
                <c:pt idx="18">
                  <c:v>0.76000101689477173</c:v>
                </c:pt>
                <c:pt idx="19">
                  <c:v>0.60815171131295576</c:v>
                </c:pt>
                <c:pt idx="20">
                  <c:v>0.42565082250148245</c:v>
                </c:pt>
                <c:pt idx="21">
                  <c:v>0.25686721291665371</c:v>
                </c:pt>
                <c:pt idx="22">
                  <c:v>0.13681012326750519</c:v>
                </c:pt>
                <c:pt idx="23">
                  <c:v>6.7110874479454963E-2</c:v>
                </c:pt>
                <c:pt idx="24">
                  <c:v>3.1457259534366733E-2</c:v>
                </c:pt>
                <c:pt idx="25">
                  <c:v>1.4415036328376152E-2</c:v>
                </c:pt>
                <c:pt idx="26">
                  <c:v>6.5354046097677587E-3</c:v>
                </c:pt>
                <c:pt idx="27">
                  <c:v>2.9484794129613912E-3</c:v>
                </c:pt>
              </c:numCache>
            </c:numRef>
          </c:val>
          <c:smooth val="0"/>
          <c:extLst>
            <c:ext xmlns:c16="http://schemas.microsoft.com/office/drawing/2014/chart" uri="{C3380CC4-5D6E-409C-BE32-E72D297353CC}">
              <c16:uniqueId val="{0000000B-71F1-420A-891B-2CFE87D672A6}"/>
            </c:ext>
          </c:extLst>
        </c:ser>
        <c:ser>
          <c:idx val="11"/>
          <c:order val="13"/>
          <c:tx>
            <c:strRef>
              <c:f>Template_Cost_Calculator!$A$26</c:f>
              <c:strCache>
                <c:ptCount val="1"/>
                <c:pt idx="0">
                  <c:v>Annual Mileage</c:v>
                </c:pt>
              </c:strCache>
            </c:strRef>
          </c:tx>
          <c:spPr>
            <a:ln w="28575" cap="rnd">
              <a:solidFill>
                <a:schemeClr val="accent6">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Template_Cost_Calculator!$Q$26:$AR$26</c:f>
              <c:numCache>
                <c:formatCode>General</c:formatCode>
                <c:ptCount val="28"/>
                <c:pt idx="0">
                  <c:v>0.99999923240226085</c:v>
                </c:pt>
                <c:pt idx="1">
                  <c:v>0.9999985442655972</c:v>
                </c:pt>
                <c:pt idx="2">
                  <c:v>0.99999723922767647</c:v>
                </c:pt>
                <c:pt idx="3">
                  <c:v>0.99999476424865408</c:v>
                </c:pt>
                <c:pt idx="4">
                  <c:v>0.99999007050012179</c:v>
                </c:pt>
                <c:pt idx="5">
                  <c:v>0.99998116890363087</c:v>
                </c:pt>
                <c:pt idx="6">
                  <c:v>0.99996428722923425</c:v>
                </c:pt>
                <c:pt idx="7">
                  <c:v>0.99993227159641906</c:v>
                </c:pt>
                <c:pt idx="8">
                  <c:v>0.99987155515136772</c:v>
                </c:pt>
                <c:pt idx="9">
                  <c:v>0.99975641006619353</c:v>
                </c:pt>
                <c:pt idx="10">
                  <c:v>0.9995380501308736</c:v>
                </c:pt>
                <c:pt idx="11">
                  <c:v>0.99912397907241213</c:v>
                </c:pt>
                <c:pt idx="12">
                  <c:v>0.99833888850453545</c:v>
                </c:pt>
                <c:pt idx="13">
                  <c:v>0.99685076919798865</c:v>
                </c:pt>
                <c:pt idx="14">
                  <c:v>0.99403190884795445</c:v>
                </c:pt>
                <c:pt idx="15">
                  <c:v>0.98870000318069773</c:v>
                </c:pt>
                <c:pt idx="16">
                  <c:v>0.97864686803622136</c:v>
                </c:pt>
                <c:pt idx="17">
                  <c:v>0.95982538467280665</c:v>
                </c:pt>
                <c:pt idx="18">
                  <c:v>0.92512705484006208</c:v>
                </c:pt>
                <c:pt idx="19">
                  <c:v>0.86323195930299401</c:v>
                </c:pt>
                <c:pt idx="20">
                  <c:v>0.76000101689477173</c:v>
                </c:pt>
                <c:pt idx="21">
                  <c:v>0.60815171131295576</c:v>
                </c:pt>
                <c:pt idx="22">
                  <c:v>0.42565082250148245</c:v>
                </c:pt>
                <c:pt idx="23">
                  <c:v>0.25686721291665371</c:v>
                </c:pt>
                <c:pt idx="24">
                  <c:v>0.13681012326750519</c:v>
                </c:pt>
                <c:pt idx="25">
                  <c:v>6.7110874479454963E-2</c:v>
                </c:pt>
                <c:pt idx="26">
                  <c:v>3.1457259534366733E-2</c:v>
                </c:pt>
                <c:pt idx="27">
                  <c:v>1.4415036328376152E-2</c:v>
                </c:pt>
              </c:numCache>
            </c:numRef>
          </c:val>
          <c:smooth val="0"/>
          <c:extLst>
            <c:ext xmlns:c16="http://schemas.microsoft.com/office/drawing/2014/chart" uri="{C3380CC4-5D6E-409C-BE32-E72D297353CC}">
              <c16:uniqueId val="{0000000C-71F1-420A-891B-2CFE87D672A6}"/>
            </c:ext>
          </c:extLst>
        </c:ser>
        <c:ser>
          <c:idx val="12"/>
          <c:order val="14"/>
          <c:tx>
            <c:strRef>
              <c:f>Template_Cost_Calculator!$A$17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Template_Cost_Calculator!$Q$17:$AR$17</c:f>
              <c:numCache>
                <c:formatCode>General</c:formatCode>
                <c:ptCount val="28"/>
                <c:pt idx="0">
                  <c:v>0.99975641006619353</c:v>
                </c:pt>
                <c:pt idx="1">
                  <c:v>0.9995380501308736</c:v>
                </c:pt>
                <c:pt idx="2">
                  <c:v>0.99912397907241213</c:v>
                </c:pt>
                <c:pt idx="3">
                  <c:v>0.99833888850453545</c:v>
                </c:pt>
                <c:pt idx="4">
                  <c:v>0.99685076919798865</c:v>
                </c:pt>
                <c:pt idx="5">
                  <c:v>0.99403190884795445</c:v>
                </c:pt>
                <c:pt idx="6">
                  <c:v>0.98870000318069773</c:v>
                </c:pt>
                <c:pt idx="7">
                  <c:v>0.97864686803622136</c:v>
                </c:pt>
                <c:pt idx="8">
                  <c:v>0.95982538467280665</c:v>
                </c:pt>
                <c:pt idx="9">
                  <c:v>0.92512705484006208</c:v>
                </c:pt>
                <c:pt idx="10">
                  <c:v>0.86323195930299401</c:v>
                </c:pt>
                <c:pt idx="11">
                  <c:v>0.76000101689477173</c:v>
                </c:pt>
                <c:pt idx="12">
                  <c:v>0.60815171131295576</c:v>
                </c:pt>
                <c:pt idx="13">
                  <c:v>0.42565082250148245</c:v>
                </c:pt>
                <c:pt idx="14">
                  <c:v>0.25686721291665371</c:v>
                </c:pt>
                <c:pt idx="15">
                  <c:v>0.13681012326750519</c:v>
                </c:pt>
                <c:pt idx="16">
                  <c:v>6.7110874479454963E-2</c:v>
                </c:pt>
                <c:pt idx="17">
                  <c:v>3.1457259534366733E-2</c:v>
                </c:pt>
                <c:pt idx="18">
                  <c:v>1.4415036328376152E-2</c:v>
                </c:pt>
                <c:pt idx="19">
                  <c:v>6.5354046097677587E-3</c:v>
                </c:pt>
                <c:pt idx="20">
                  <c:v>2.9484794129613912E-3</c:v>
                </c:pt>
                <c:pt idx="21">
                  <c:v>1.3272611400154677E-3</c:v>
                </c:pt>
                <c:pt idx="22">
                  <c:v>5.9686760508315118E-4</c:v>
                </c:pt>
                <c:pt idx="23">
                  <c:v>2.6828910235687786E-4</c:v>
                </c:pt>
                <c:pt idx="24">
                  <c:v>1.2057010364630028E-4</c:v>
                </c:pt>
                <c:pt idx="25">
                  <c:v>5.4179686630462243E-5</c:v>
                </c:pt>
                <c:pt idx="26">
                  <c:v>2.4345319607821381E-5</c:v>
                </c:pt>
                <c:pt idx="27">
                  <c:v>1.0939222225947454E-5</c:v>
                </c:pt>
              </c:numCache>
            </c:numRef>
          </c:val>
          <c:smooth val="0"/>
          <c:extLst>
            <c:ext xmlns:c16="http://schemas.microsoft.com/office/drawing/2014/chart" uri="{C3380CC4-5D6E-409C-BE32-E72D297353CC}">
              <c16:uniqueId val="{00000000-A5EE-4752-B232-216416889498}"/>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Template_Cost_Calculator!$A$70</c:f>
              <c:strCache>
                <c:ptCount val="1"/>
                <c:pt idx="0">
                  <c:v>Capex vehicle</c:v>
                </c:pt>
              </c:strCache>
            </c:strRef>
          </c:tx>
          <c:spPr>
            <a:solidFill>
              <a:schemeClr val="accent1"/>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(Template_Cost_Calculator!$B$70,Template_Cost_Calculator!$N$70,Template_Cost_Calculator!$AC$70)</c:f>
              <c:numCache>
                <c:formatCode>0.00</c:formatCode>
                <c:ptCount val="3"/>
                <c:pt idx="0">
                  <c:v>7.7962693080850364E-3</c:v>
                </c:pt>
                <c:pt idx="1">
                  <c:v>7.7962693080850364E-3</c:v>
                </c:pt>
                <c:pt idx="2">
                  <c:v>7.7962693080850364E-3</c:v>
                </c:pt>
              </c:numCache>
            </c:numRef>
          </c:val>
          <c:extLst>
            <c:ext xmlns:c16="http://schemas.microsoft.com/office/drawing/2014/chart" uri="{C3380CC4-5D6E-409C-BE32-E72D297353CC}">
              <c16:uniqueId val="{00000000-B443-40E9-BC88-58E4E384C134}"/>
            </c:ext>
          </c:extLst>
        </c:ser>
        <c:ser>
          <c:idx val="1"/>
          <c:order val="1"/>
          <c:tx>
            <c:strRef>
              <c:f>Template_Cost_Calculator!$A$71</c:f>
              <c:strCache>
                <c:ptCount val="1"/>
                <c:pt idx="0">
                  <c:v>Residual value (vehicle)</c:v>
                </c:pt>
              </c:strCache>
            </c:strRef>
          </c:tx>
          <c:spPr>
            <a:solidFill>
              <a:schemeClr val="accent2"/>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(Template_Cost_Calculator!$B$71,Template_Cost_Calculator!$N$71,Template_Cost_Calculator!$AC$71)</c:f>
              <c:numCache>
                <c:formatCode>0.00</c:formatCode>
                <c:ptCount val="3"/>
                <c:pt idx="0" formatCode="0.000">
                  <c:v>-2.3388807924255108E-3</c:v>
                </c:pt>
                <c:pt idx="1">
                  <c:v>-2.3388807924255108E-3</c:v>
                </c:pt>
                <c:pt idx="2">
                  <c:v>-2.3388807924255108E-3</c:v>
                </c:pt>
              </c:numCache>
            </c:numRef>
          </c:val>
          <c:extLst>
            <c:ext xmlns:c16="http://schemas.microsoft.com/office/drawing/2014/chart" uri="{C3380CC4-5D6E-409C-BE32-E72D297353CC}">
              <c16:uniqueId val="{00000001-B443-40E9-BC88-58E4E384C134}"/>
            </c:ext>
          </c:extLst>
        </c:ser>
        <c:ser>
          <c:idx val="2"/>
          <c:order val="2"/>
          <c:tx>
            <c:strRef>
              <c:f>Template_Cost_Calculator!$A$72</c:f>
              <c:strCache>
                <c:ptCount val="1"/>
                <c:pt idx="0">
                  <c:v>Capex costumization</c:v>
                </c:pt>
              </c:strCache>
            </c:strRef>
          </c:tx>
          <c:spPr>
            <a:solidFill>
              <a:schemeClr val="accent3"/>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(Template_Cost_Calculator!$B$72,Template_Cost_Calculator!$N$72,Template_Cost_Calculator!$AC$72)</c:f>
              <c:numCache>
                <c:formatCode>0.00</c:formatCode>
                <c:ptCount val="3"/>
                <c:pt idx="0">
                  <c:v>1.9585719110125381E-3</c:v>
                </c:pt>
                <c:pt idx="1">
                  <c:v>1.9585719110125381E-3</c:v>
                </c:pt>
                <c:pt idx="2">
                  <c:v>1.9585719110125381E-3</c:v>
                </c:pt>
              </c:numCache>
            </c:numRef>
          </c:val>
          <c:extLst>
            <c:ext xmlns:c16="http://schemas.microsoft.com/office/drawing/2014/chart" uri="{C3380CC4-5D6E-409C-BE32-E72D297353CC}">
              <c16:uniqueId val="{00000002-B443-40E9-BC88-58E4E384C134}"/>
            </c:ext>
          </c:extLst>
        </c:ser>
        <c:ser>
          <c:idx val="3"/>
          <c:order val="3"/>
          <c:tx>
            <c:strRef>
              <c:f>Template_Cost_Calculator!$A$73</c:f>
              <c:strCache>
                <c:ptCount val="1"/>
                <c:pt idx="0">
                  <c:v>Residual value (costumization)</c:v>
                </c:pt>
              </c:strCache>
            </c:strRef>
          </c:tx>
          <c:spPr>
            <a:solidFill>
              <a:schemeClr val="accent4"/>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(Template_Cost_Calculator!$B$73,Template_Cost_Calculator!$N$73,Template_Cost_Calculator!$AC$73)</c:f>
              <c:numCache>
                <c:formatCode>0.00</c:formatCode>
                <c:ptCount val="3"/>
                <c:pt idx="0" formatCode="0.0000">
                  <c:v>-1.9585719110125376E-4</c:v>
                </c:pt>
                <c:pt idx="1">
                  <c:v>-1.9585719110125376E-4</c:v>
                </c:pt>
                <c:pt idx="2">
                  <c:v>-1.9585719110125376E-4</c:v>
                </c:pt>
              </c:numCache>
            </c:numRef>
          </c:val>
          <c:extLst>
            <c:ext xmlns:c16="http://schemas.microsoft.com/office/drawing/2014/chart" uri="{C3380CC4-5D6E-409C-BE32-E72D297353CC}">
              <c16:uniqueId val="{00000003-B443-40E9-BC88-58E4E384C134}"/>
            </c:ext>
          </c:extLst>
        </c:ser>
        <c:ser>
          <c:idx val="4"/>
          <c:order val="4"/>
          <c:tx>
            <c:strRef>
              <c:f>Template_Cost_Calculator!$A$74</c:f>
              <c:strCache>
                <c:ptCount val="1"/>
                <c:pt idx="0">
                  <c:v>Opex fix (admin, crew, insurance)</c:v>
                </c:pt>
              </c:strCache>
            </c:strRef>
          </c:tx>
          <c:spPr>
            <a:solidFill>
              <a:schemeClr val="accent5"/>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(Template_Cost_Calculator!$B$74,Template_Cost_Calculator!$N$74,Template_Cost_Calculator!$AC$74)</c:f>
              <c:numCache>
                <c:formatCode>0.00</c:formatCode>
                <c:ptCount val="3"/>
                <c:pt idx="0">
                  <c:v>2.7914614121510674E-2</c:v>
                </c:pt>
                <c:pt idx="1">
                  <c:v>2.7914614121510674E-2</c:v>
                </c:pt>
                <c:pt idx="2">
                  <c:v>2.7914614121510674E-2</c:v>
                </c:pt>
              </c:numCache>
            </c:numRef>
          </c:val>
          <c:extLst>
            <c:ext xmlns:c16="http://schemas.microsoft.com/office/drawing/2014/chart" uri="{C3380CC4-5D6E-409C-BE32-E72D297353CC}">
              <c16:uniqueId val="{00000004-B443-40E9-BC88-58E4E384C134}"/>
            </c:ext>
          </c:extLst>
        </c:ser>
        <c:ser>
          <c:idx val="5"/>
          <c:order val="5"/>
          <c:tx>
            <c:strRef>
              <c:f>Template_Cost_Calculator!$A$75</c:f>
              <c:strCache>
                <c:ptCount val="1"/>
                <c:pt idx="0">
                  <c:v>Opex maintenance &amp; repair</c:v>
                </c:pt>
              </c:strCache>
            </c:strRef>
          </c:tx>
          <c:spPr>
            <a:solidFill>
              <a:schemeClr val="accent6"/>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(Template_Cost_Calculator!$B$75,Template_Cost_Calculator!$N$75,Template_Cost_Calculator!$AC$75)</c:f>
              <c:numCache>
                <c:formatCode>0.00</c:formatCode>
                <c:ptCount val="3"/>
                <c:pt idx="0">
                  <c:v>6.5681444991789817E-3</c:v>
                </c:pt>
                <c:pt idx="1">
                  <c:v>6.5681444991789817E-3</c:v>
                </c:pt>
                <c:pt idx="2">
                  <c:v>6.5681444991789817E-3</c:v>
                </c:pt>
              </c:numCache>
            </c:numRef>
          </c:val>
          <c:extLst>
            <c:ext xmlns:c16="http://schemas.microsoft.com/office/drawing/2014/chart" uri="{C3380CC4-5D6E-409C-BE32-E72D297353CC}">
              <c16:uniqueId val="{00000005-B443-40E9-BC88-58E4E384C134}"/>
            </c:ext>
          </c:extLst>
        </c:ser>
        <c:ser>
          <c:idx val="6"/>
          <c:order val="6"/>
          <c:tx>
            <c:strRef>
              <c:f>Template_Cost_Calculator!$A$76</c:f>
              <c:strCache>
                <c:ptCount val="1"/>
                <c:pt idx="0">
                  <c:v>Opex var (mode-fees, cargo handling)</c:v>
                </c:pt>
              </c:strCache>
            </c:strRef>
          </c:tx>
          <c:spPr>
            <a:solidFill>
              <a:schemeClr val="accent1">
                <a:lumMod val="60000"/>
              </a:schemeClr>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(Template_Cost_Calculator!$B$76,Template_Cost_Calculator!$N$76,Template_Cost_Calculator!$AC$76)</c:f>
              <c:numCache>
                <c:formatCode>0.00</c:formatCode>
                <c:ptCount val="3"/>
                <c:pt idx="0">
                  <c:v>3.2840722495894911E-4</c:v>
                </c:pt>
                <c:pt idx="1">
                  <c:v>3.2840722495894911E-4</c:v>
                </c:pt>
                <c:pt idx="2">
                  <c:v>3.2840722495894911E-4</c:v>
                </c:pt>
              </c:numCache>
            </c:numRef>
          </c:val>
          <c:extLst>
            <c:ext xmlns:c16="http://schemas.microsoft.com/office/drawing/2014/chart" uri="{C3380CC4-5D6E-409C-BE32-E72D297353CC}">
              <c16:uniqueId val="{00000006-B443-40E9-BC88-58E4E384C134}"/>
            </c:ext>
          </c:extLst>
        </c:ser>
        <c:ser>
          <c:idx val="7"/>
          <c:order val="7"/>
          <c:tx>
            <c:strRef>
              <c:f>Template_Cost_Calculator!$A$77</c:f>
              <c:strCache>
                <c:ptCount val="1"/>
                <c:pt idx="0">
                  <c:v>Fuel Cost</c:v>
                </c:pt>
              </c:strCache>
            </c:strRef>
          </c:tx>
          <c:spPr>
            <a:solidFill>
              <a:schemeClr val="accent2">
                <a:lumMod val="60000"/>
              </a:schemeClr>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(Template_Cost_Calculator!$B$77,Template_Cost_Calculator!$N$77,Template_Cost_Calculator!$AC$77)</c:f>
              <c:numCache>
                <c:formatCode>0.00</c:formatCode>
                <c:ptCount val="3"/>
                <c:pt idx="0">
                  <c:v>1.4482758620689654E-2</c:v>
                </c:pt>
                <c:pt idx="1">
                  <c:v>1.4482758620689654E-2</c:v>
                </c:pt>
                <c:pt idx="2">
                  <c:v>1.4482758620689654E-2</c:v>
                </c:pt>
              </c:numCache>
            </c:numRef>
          </c:val>
          <c:extLst>
            <c:ext xmlns:c16="http://schemas.microsoft.com/office/drawing/2014/chart" uri="{C3380CC4-5D6E-409C-BE32-E72D297353CC}">
              <c16:uniqueId val="{00000007-B443-40E9-BC88-58E4E384C134}"/>
            </c:ext>
          </c:extLst>
        </c:ser>
        <c:ser>
          <c:idx val="8"/>
          <c:order val="8"/>
          <c:tx>
            <c:strRef>
              <c:f>Template_Cost_Calculator!$A$78</c:f>
              <c:strCache>
                <c:ptCount val="1"/>
                <c:pt idx="0">
                  <c:v>Market failure (av. utilization)</c:v>
                </c:pt>
              </c:strCache>
            </c:strRef>
          </c:tx>
          <c:spPr>
            <a:solidFill>
              <a:schemeClr val="accent3">
                <a:lumMod val="60000"/>
              </a:schemeClr>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(Template_Cost_Calculator!$B$78,Template_Cost_Calculator!$N$78,Template_Cost_Calculator!$AC$78)</c:f>
              <c:numCache>
                <c:formatCode>0.00</c:formatCode>
                <c:ptCount val="3"/>
                <c:pt idx="0">
                  <c:v>6.6802392881348371E-2</c:v>
                </c:pt>
                <c:pt idx="1">
                  <c:v>6.6802392881348371E-2</c:v>
                </c:pt>
                <c:pt idx="2">
                  <c:v>6.6802392881348371E-2</c:v>
                </c:pt>
              </c:numCache>
            </c:numRef>
          </c:val>
          <c:extLst>
            <c:ext xmlns:c16="http://schemas.microsoft.com/office/drawing/2014/chart" uri="{C3380CC4-5D6E-409C-BE32-E72D297353CC}">
              <c16:uniqueId val="{00000008-B443-40E9-BC88-58E4E384C134}"/>
            </c:ext>
          </c:extLst>
        </c:ser>
        <c:ser>
          <c:idx val="9"/>
          <c:order val="9"/>
          <c:tx>
            <c:strRef>
              <c:f>Template_Cost_Calculator!$A$79</c:f>
              <c:strCache>
                <c:ptCount val="1"/>
                <c:pt idx="0">
                  <c:v>Payload loss (fuel)</c:v>
                </c:pt>
              </c:strCache>
            </c:strRef>
          </c:tx>
          <c:spPr>
            <a:solidFill>
              <a:schemeClr val="accent4">
                <a:lumMod val="60000"/>
              </a:schemeClr>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(Template_Cost_Calculator!$B$79,Template_Cost_Calculator!$N$79,Template_Cost_Calculator!$AC$79)</c:f>
              <c:numCache>
                <c:formatCode>0.00</c:formatCode>
                <c:ptCount val="3"/>
                <c:pt idx="0">
                  <c:v>1.5086357922617075E-2</c:v>
                </c:pt>
                <c:pt idx="1">
                  <c:v>1.5086357922617075E-2</c:v>
                </c:pt>
                <c:pt idx="2">
                  <c:v>1.5086357922617075E-2</c:v>
                </c:pt>
              </c:numCache>
            </c:numRef>
          </c:val>
          <c:extLst>
            <c:ext xmlns:c16="http://schemas.microsoft.com/office/drawing/2014/chart" uri="{C3380CC4-5D6E-409C-BE32-E72D297353CC}">
              <c16:uniqueId val="{00000009-B443-40E9-BC88-58E4E384C134}"/>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5" Type="http://schemas.openxmlformats.org/officeDocument/2006/relationships/chart" Target="../charts/chart17.xml"/><Relationship Id="rId4" Type="http://schemas.openxmlformats.org/officeDocument/2006/relationships/chart" Target="../charts/chart16.xml"/></Relationships>
</file>

<file path=xl/drawings/_rels/drawing4.xml.rels><?xml version="1.0" encoding="UTF-8" standalone="yes"?>
<Relationships xmlns="http://schemas.openxmlformats.org/package/2006/relationships"><Relationship Id="rId8" Type="http://schemas.openxmlformats.org/officeDocument/2006/relationships/chart" Target="../charts/chart25.xml"/><Relationship Id="rId3" Type="http://schemas.openxmlformats.org/officeDocument/2006/relationships/chart" Target="../charts/chart20.xml"/><Relationship Id="rId7" Type="http://schemas.openxmlformats.org/officeDocument/2006/relationships/chart" Target="../charts/chart24.xml"/><Relationship Id="rId2" Type="http://schemas.openxmlformats.org/officeDocument/2006/relationships/chart" Target="../charts/chart19.xml"/><Relationship Id="rId1" Type="http://schemas.openxmlformats.org/officeDocument/2006/relationships/chart" Target="../charts/chart18.xml"/><Relationship Id="rId6" Type="http://schemas.openxmlformats.org/officeDocument/2006/relationships/chart" Target="../charts/chart23.xml"/><Relationship Id="rId5" Type="http://schemas.openxmlformats.org/officeDocument/2006/relationships/chart" Target="../charts/chart22.xml"/><Relationship Id="rId10" Type="http://schemas.openxmlformats.org/officeDocument/2006/relationships/chart" Target="../charts/chart27.xml"/><Relationship Id="rId4" Type="http://schemas.openxmlformats.org/officeDocument/2006/relationships/chart" Target="../charts/chart21.xml"/><Relationship Id="rId9" Type="http://schemas.openxmlformats.org/officeDocument/2006/relationships/chart" Target="../charts/chart26.xml"/></Relationships>
</file>

<file path=xl/drawings/_rels/drawing5.xml.rels><?xml version="1.0" encoding="UTF-8" standalone="yes"?>
<Relationships xmlns="http://schemas.openxmlformats.org/package/2006/relationships"><Relationship Id="rId8" Type="http://schemas.openxmlformats.org/officeDocument/2006/relationships/chart" Target="../charts/chart35.xml"/><Relationship Id="rId3" Type="http://schemas.openxmlformats.org/officeDocument/2006/relationships/chart" Target="../charts/chart30.xml"/><Relationship Id="rId7" Type="http://schemas.openxmlformats.org/officeDocument/2006/relationships/chart" Target="../charts/chart34.xml"/><Relationship Id="rId2" Type="http://schemas.openxmlformats.org/officeDocument/2006/relationships/chart" Target="../charts/chart29.xml"/><Relationship Id="rId1" Type="http://schemas.openxmlformats.org/officeDocument/2006/relationships/chart" Target="../charts/chart28.xml"/><Relationship Id="rId6" Type="http://schemas.openxmlformats.org/officeDocument/2006/relationships/chart" Target="../charts/chart33.xml"/><Relationship Id="rId5" Type="http://schemas.openxmlformats.org/officeDocument/2006/relationships/chart" Target="../charts/chart32.xml"/><Relationship Id="rId10" Type="http://schemas.openxmlformats.org/officeDocument/2006/relationships/chart" Target="../charts/chart37.xml"/><Relationship Id="rId4" Type="http://schemas.openxmlformats.org/officeDocument/2006/relationships/chart" Target="../charts/chart31.xml"/><Relationship Id="rId9" Type="http://schemas.openxmlformats.org/officeDocument/2006/relationships/chart" Target="../charts/chart36.xml"/></Relationships>
</file>

<file path=xl/drawings/_rels/drawing6.xml.rels><?xml version="1.0" encoding="UTF-8" standalone="yes"?>
<Relationships xmlns="http://schemas.openxmlformats.org/package/2006/relationships"><Relationship Id="rId8" Type="http://schemas.openxmlformats.org/officeDocument/2006/relationships/chart" Target="../charts/chart45.xml"/><Relationship Id="rId3" Type="http://schemas.openxmlformats.org/officeDocument/2006/relationships/chart" Target="../charts/chart40.xml"/><Relationship Id="rId7" Type="http://schemas.openxmlformats.org/officeDocument/2006/relationships/chart" Target="../charts/chart44.xml"/><Relationship Id="rId2" Type="http://schemas.openxmlformats.org/officeDocument/2006/relationships/chart" Target="../charts/chart39.xml"/><Relationship Id="rId1" Type="http://schemas.openxmlformats.org/officeDocument/2006/relationships/chart" Target="../charts/chart38.xml"/><Relationship Id="rId6" Type="http://schemas.openxmlformats.org/officeDocument/2006/relationships/chart" Target="../charts/chart43.xml"/><Relationship Id="rId5" Type="http://schemas.openxmlformats.org/officeDocument/2006/relationships/chart" Target="../charts/chart42.xml"/><Relationship Id="rId10" Type="http://schemas.openxmlformats.org/officeDocument/2006/relationships/chart" Target="../charts/chart47.xml"/><Relationship Id="rId4" Type="http://schemas.openxmlformats.org/officeDocument/2006/relationships/chart" Target="../charts/chart41.xml"/><Relationship Id="rId9" Type="http://schemas.openxmlformats.org/officeDocument/2006/relationships/chart" Target="../charts/chart46.xml"/></Relationships>
</file>

<file path=xl/drawings/_rels/drawing7.xml.rels><?xml version="1.0" encoding="UTF-8" standalone="yes"?>
<Relationships xmlns="http://schemas.openxmlformats.org/package/2006/relationships"><Relationship Id="rId8" Type="http://schemas.openxmlformats.org/officeDocument/2006/relationships/chart" Target="../charts/chart55.xml"/><Relationship Id="rId3" Type="http://schemas.openxmlformats.org/officeDocument/2006/relationships/chart" Target="../charts/chart50.xml"/><Relationship Id="rId7" Type="http://schemas.openxmlformats.org/officeDocument/2006/relationships/chart" Target="../charts/chart54.xml"/><Relationship Id="rId2" Type="http://schemas.openxmlformats.org/officeDocument/2006/relationships/chart" Target="../charts/chart49.xml"/><Relationship Id="rId1" Type="http://schemas.openxmlformats.org/officeDocument/2006/relationships/chart" Target="../charts/chart48.xml"/><Relationship Id="rId6" Type="http://schemas.openxmlformats.org/officeDocument/2006/relationships/chart" Target="../charts/chart53.xml"/><Relationship Id="rId5" Type="http://schemas.openxmlformats.org/officeDocument/2006/relationships/chart" Target="../charts/chart52.xml"/><Relationship Id="rId10" Type="http://schemas.openxmlformats.org/officeDocument/2006/relationships/chart" Target="../charts/chart57.xml"/><Relationship Id="rId4" Type="http://schemas.openxmlformats.org/officeDocument/2006/relationships/chart" Target="../charts/chart51.xml"/><Relationship Id="rId9" Type="http://schemas.openxmlformats.org/officeDocument/2006/relationships/chart" Target="../charts/chart56.xml"/></Relationships>
</file>

<file path=xl/drawings/_rels/drawing8.xml.rels><?xml version="1.0" encoding="UTF-8" standalone="yes"?>
<Relationships xmlns="http://schemas.openxmlformats.org/package/2006/relationships"><Relationship Id="rId8" Type="http://schemas.openxmlformats.org/officeDocument/2006/relationships/chart" Target="../charts/chart65.xml"/><Relationship Id="rId3" Type="http://schemas.openxmlformats.org/officeDocument/2006/relationships/chart" Target="../charts/chart60.xml"/><Relationship Id="rId7" Type="http://schemas.openxmlformats.org/officeDocument/2006/relationships/chart" Target="../charts/chart64.xml"/><Relationship Id="rId2" Type="http://schemas.openxmlformats.org/officeDocument/2006/relationships/chart" Target="../charts/chart59.xml"/><Relationship Id="rId1" Type="http://schemas.openxmlformats.org/officeDocument/2006/relationships/chart" Target="../charts/chart58.xml"/><Relationship Id="rId6" Type="http://schemas.openxmlformats.org/officeDocument/2006/relationships/chart" Target="../charts/chart63.xml"/><Relationship Id="rId5" Type="http://schemas.openxmlformats.org/officeDocument/2006/relationships/chart" Target="../charts/chart62.xml"/><Relationship Id="rId10" Type="http://schemas.openxmlformats.org/officeDocument/2006/relationships/chart" Target="../charts/chart67.xml"/><Relationship Id="rId4" Type="http://schemas.openxmlformats.org/officeDocument/2006/relationships/chart" Target="../charts/chart61.xml"/><Relationship Id="rId9" Type="http://schemas.openxmlformats.org/officeDocument/2006/relationships/chart" Target="../charts/chart66.xml"/></Relationships>
</file>

<file path=xl/drawings/_rels/drawing9.xml.rels><?xml version="1.0" encoding="UTF-8" standalone="yes"?>
<Relationships xmlns="http://schemas.openxmlformats.org/package/2006/relationships"><Relationship Id="rId8" Type="http://schemas.openxmlformats.org/officeDocument/2006/relationships/chart" Target="../charts/chart75.xml"/><Relationship Id="rId3" Type="http://schemas.openxmlformats.org/officeDocument/2006/relationships/chart" Target="../charts/chart70.xml"/><Relationship Id="rId7" Type="http://schemas.openxmlformats.org/officeDocument/2006/relationships/chart" Target="../charts/chart74.xml"/><Relationship Id="rId2" Type="http://schemas.openxmlformats.org/officeDocument/2006/relationships/chart" Target="../charts/chart69.xml"/><Relationship Id="rId1" Type="http://schemas.openxmlformats.org/officeDocument/2006/relationships/chart" Target="../charts/chart68.xml"/><Relationship Id="rId6" Type="http://schemas.openxmlformats.org/officeDocument/2006/relationships/chart" Target="../charts/chart73.xml"/><Relationship Id="rId5" Type="http://schemas.openxmlformats.org/officeDocument/2006/relationships/chart" Target="../charts/chart72.xml"/><Relationship Id="rId10" Type="http://schemas.openxmlformats.org/officeDocument/2006/relationships/chart" Target="../charts/chart77.xml"/><Relationship Id="rId4" Type="http://schemas.openxmlformats.org/officeDocument/2006/relationships/chart" Target="../charts/chart71.xml"/><Relationship Id="rId9" Type="http://schemas.openxmlformats.org/officeDocument/2006/relationships/chart" Target="../charts/chart76.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85.xml"/><Relationship Id="rId3" Type="http://schemas.openxmlformats.org/officeDocument/2006/relationships/chart" Target="../charts/chart80.xml"/><Relationship Id="rId7" Type="http://schemas.openxmlformats.org/officeDocument/2006/relationships/chart" Target="../charts/chart84.xml"/><Relationship Id="rId2" Type="http://schemas.openxmlformats.org/officeDocument/2006/relationships/chart" Target="../charts/chart79.xml"/><Relationship Id="rId1" Type="http://schemas.openxmlformats.org/officeDocument/2006/relationships/chart" Target="../charts/chart78.xml"/><Relationship Id="rId6" Type="http://schemas.openxmlformats.org/officeDocument/2006/relationships/chart" Target="../charts/chart83.xml"/><Relationship Id="rId5" Type="http://schemas.openxmlformats.org/officeDocument/2006/relationships/chart" Target="../charts/chart82.xml"/><Relationship Id="rId10" Type="http://schemas.openxmlformats.org/officeDocument/2006/relationships/chart" Target="../charts/chart87.xml"/><Relationship Id="rId4" Type="http://schemas.openxmlformats.org/officeDocument/2006/relationships/chart" Target="../charts/chart81.xml"/><Relationship Id="rId9" Type="http://schemas.openxmlformats.org/officeDocument/2006/relationships/chart" Target="../charts/chart86.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95.xml"/><Relationship Id="rId3" Type="http://schemas.openxmlformats.org/officeDocument/2006/relationships/chart" Target="../charts/chart90.xml"/><Relationship Id="rId7" Type="http://schemas.openxmlformats.org/officeDocument/2006/relationships/chart" Target="../charts/chart94.xml"/><Relationship Id="rId2" Type="http://schemas.openxmlformats.org/officeDocument/2006/relationships/chart" Target="../charts/chart89.xml"/><Relationship Id="rId1" Type="http://schemas.openxmlformats.org/officeDocument/2006/relationships/chart" Target="../charts/chart88.xml"/><Relationship Id="rId6" Type="http://schemas.openxmlformats.org/officeDocument/2006/relationships/chart" Target="../charts/chart93.xml"/><Relationship Id="rId5" Type="http://schemas.openxmlformats.org/officeDocument/2006/relationships/chart" Target="../charts/chart92.xml"/><Relationship Id="rId4" Type="http://schemas.openxmlformats.org/officeDocument/2006/relationships/chart" Target="../charts/chart91.xml"/></Relationships>
</file>

<file path=xl/drawings/_rels/drawing12.xml.rels><?xml version="1.0" encoding="UTF-8" standalone="yes"?>
<Relationships xmlns="http://schemas.openxmlformats.org/package/2006/relationships"><Relationship Id="rId8" Type="http://schemas.openxmlformats.org/officeDocument/2006/relationships/chart" Target="../charts/chart103.xml"/><Relationship Id="rId3" Type="http://schemas.openxmlformats.org/officeDocument/2006/relationships/chart" Target="../charts/chart98.xml"/><Relationship Id="rId7" Type="http://schemas.openxmlformats.org/officeDocument/2006/relationships/chart" Target="../charts/chart102.xml"/><Relationship Id="rId2" Type="http://schemas.openxmlformats.org/officeDocument/2006/relationships/chart" Target="../charts/chart97.xml"/><Relationship Id="rId1" Type="http://schemas.openxmlformats.org/officeDocument/2006/relationships/chart" Target="../charts/chart96.xml"/><Relationship Id="rId6" Type="http://schemas.openxmlformats.org/officeDocument/2006/relationships/chart" Target="../charts/chart101.xml"/><Relationship Id="rId5" Type="http://schemas.openxmlformats.org/officeDocument/2006/relationships/chart" Target="../charts/chart100.xml"/><Relationship Id="rId4" Type="http://schemas.openxmlformats.org/officeDocument/2006/relationships/chart" Target="../charts/chart99.xml"/></Relationships>
</file>

<file path=xl/drawings/_rels/drawing13.xml.rels><?xml version="1.0" encoding="UTF-8" standalone="yes"?>
<Relationships xmlns="http://schemas.openxmlformats.org/package/2006/relationships"><Relationship Id="rId8" Type="http://schemas.openxmlformats.org/officeDocument/2006/relationships/chart" Target="../charts/chart111.xml"/><Relationship Id="rId3" Type="http://schemas.openxmlformats.org/officeDocument/2006/relationships/chart" Target="../charts/chart106.xml"/><Relationship Id="rId7" Type="http://schemas.openxmlformats.org/officeDocument/2006/relationships/chart" Target="../charts/chart110.xml"/><Relationship Id="rId2" Type="http://schemas.openxmlformats.org/officeDocument/2006/relationships/chart" Target="../charts/chart105.xml"/><Relationship Id="rId1" Type="http://schemas.openxmlformats.org/officeDocument/2006/relationships/chart" Target="../charts/chart104.xml"/><Relationship Id="rId6" Type="http://schemas.openxmlformats.org/officeDocument/2006/relationships/chart" Target="../charts/chart109.xml"/><Relationship Id="rId5" Type="http://schemas.openxmlformats.org/officeDocument/2006/relationships/chart" Target="../charts/chart108.xml"/><Relationship Id="rId4" Type="http://schemas.openxmlformats.org/officeDocument/2006/relationships/chart" Target="../charts/chart107.xml"/></Relationships>
</file>

<file path=xl/drawings/_rels/drawing14.xml.rels><?xml version="1.0" encoding="UTF-8" standalone="yes"?>
<Relationships xmlns="http://schemas.openxmlformats.org/package/2006/relationships"><Relationship Id="rId8" Type="http://schemas.openxmlformats.org/officeDocument/2006/relationships/chart" Target="../charts/chart119.xml"/><Relationship Id="rId3" Type="http://schemas.openxmlformats.org/officeDocument/2006/relationships/chart" Target="../charts/chart114.xml"/><Relationship Id="rId7" Type="http://schemas.openxmlformats.org/officeDocument/2006/relationships/chart" Target="../charts/chart118.xml"/><Relationship Id="rId2" Type="http://schemas.openxmlformats.org/officeDocument/2006/relationships/chart" Target="../charts/chart113.xml"/><Relationship Id="rId1" Type="http://schemas.openxmlformats.org/officeDocument/2006/relationships/chart" Target="../charts/chart112.xml"/><Relationship Id="rId6" Type="http://schemas.openxmlformats.org/officeDocument/2006/relationships/chart" Target="../charts/chart117.xml"/><Relationship Id="rId5" Type="http://schemas.openxmlformats.org/officeDocument/2006/relationships/chart" Target="../charts/chart116.xml"/><Relationship Id="rId4" Type="http://schemas.openxmlformats.org/officeDocument/2006/relationships/chart" Target="../charts/chart115.xml"/></Relationships>
</file>

<file path=xl/drawings/_rels/drawing15.xml.rels><?xml version="1.0" encoding="UTF-8" standalone="yes"?>
<Relationships xmlns="http://schemas.openxmlformats.org/package/2006/relationships"><Relationship Id="rId8" Type="http://schemas.openxmlformats.org/officeDocument/2006/relationships/chart" Target="../charts/chart127.xml"/><Relationship Id="rId3" Type="http://schemas.openxmlformats.org/officeDocument/2006/relationships/chart" Target="../charts/chart122.xml"/><Relationship Id="rId7" Type="http://schemas.openxmlformats.org/officeDocument/2006/relationships/chart" Target="../charts/chart126.xml"/><Relationship Id="rId2" Type="http://schemas.openxmlformats.org/officeDocument/2006/relationships/chart" Target="../charts/chart121.xml"/><Relationship Id="rId1" Type="http://schemas.openxmlformats.org/officeDocument/2006/relationships/chart" Target="../charts/chart120.xml"/><Relationship Id="rId6" Type="http://schemas.openxmlformats.org/officeDocument/2006/relationships/chart" Target="../charts/chart125.xml"/><Relationship Id="rId5" Type="http://schemas.openxmlformats.org/officeDocument/2006/relationships/chart" Target="../charts/chart124.xml"/><Relationship Id="rId4" Type="http://schemas.openxmlformats.org/officeDocument/2006/relationships/chart" Target="../charts/chart123.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129.xml"/><Relationship Id="rId1" Type="http://schemas.openxmlformats.org/officeDocument/2006/relationships/chart" Target="../charts/chart128.xml"/></Relationships>
</file>

<file path=xl/drawings/drawing1.xml><?xml version="1.0" encoding="utf-8"?>
<xdr:wsDr xmlns:xdr="http://schemas.openxmlformats.org/drawingml/2006/spreadsheetDrawing" xmlns:a="http://schemas.openxmlformats.org/drawingml/2006/main">
  <xdr:twoCellAnchor>
    <xdr:from>
      <xdr:col>22</xdr:col>
      <xdr:colOff>590102</xdr:colOff>
      <xdr:row>46</xdr:row>
      <xdr:rowOff>38865</xdr:rowOff>
    </xdr:from>
    <xdr:to>
      <xdr:col>27</xdr:col>
      <xdr:colOff>586918</xdr:colOff>
      <xdr:row>65</xdr:row>
      <xdr:rowOff>72553</xdr:rowOff>
    </xdr:to>
    <xdr:graphicFrame macro="">
      <xdr:nvGraphicFramePr>
        <xdr:cNvPr id="2" name="Chart 1">
          <a:extLst>
            <a:ext uri="{FF2B5EF4-FFF2-40B4-BE49-F238E27FC236}">
              <a16:creationId xmlns:a16="http://schemas.microsoft.com/office/drawing/2014/main" id="{113B0611-2BC6-4278-B160-30E326712D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27</xdr:col>
      <xdr:colOff>696472</xdr:colOff>
      <xdr:row>25</xdr:row>
      <xdr:rowOff>159291</xdr:rowOff>
    </xdr:from>
    <xdr:to>
      <xdr:col>33</xdr:col>
      <xdr:colOff>41151</xdr:colOff>
      <xdr:row>45</xdr:row>
      <xdr:rowOff>6891</xdr:rowOff>
    </xdr:to>
    <xdr:graphicFrame macro="">
      <xdr:nvGraphicFramePr>
        <xdr:cNvPr id="3" name="Chart 2">
          <a:extLst>
            <a:ext uri="{FF2B5EF4-FFF2-40B4-BE49-F238E27FC236}">
              <a16:creationId xmlns:a16="http://schemas.microsoft.com/office/drawing/2014/main" id="{79E94B02-CEFC-4B79-B35E-1601440453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720369</xdr:colOff>
      <xdr:row>46</xdr:row>
      <xdr:rowOff>29919</xdr:rowOff>
    </xdr:from>
    <xdr:to>
      <xdr:col>33</xdr:col>
      <xdr:colOff>74573</xdr:colOff>
      <xdr:row>65</xdr:row>
      <xdr:rowOff>68019</xdr:rowOff>
    </xdr:to>
    <xdr:graphicFrame macro="">
      <xdr:nvGraphicFramePr>
        <xdr:cNvPr id="4" name="Chart 3">
          <a:extLst>
            <a:ext uri="{FF2B5EF4-FFF2-40B4-BE49-F238E27FC236}">
              <a16:creationId xmlns:a16="http://schemas.microsoft.com/office/drawing/2014/main" id="{9B0C9BE3-F648-4183-8574-4B3F022C28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293639</xdr:colOff>
      <xdr:row>109</xdr:row>
      <xdr:rowOff>128182</xdr:rowOff>
    </xdr:from>
    <xdr:to>
      <xdr:col>27</xdr:col>
      <xdr:colOff>303252</xdr:colOff>
      <xdr:row>128</xdr:row>
      <xdr:rowOff>143623</xdr:rowOff>
    </xdr:to>
    <xdr:graphicFrame macro="">
      <xdr:nvGraphicFramePr>
        <xdr:cNvPr id="5" name="Chart 4">
          <a:extLst>
            <a:ext uri="{FF2B5EF4-FFF2-40B4-BE49-F238E27FC236}">
              <a16:creationId xmlns:a16="http://schemas.microsoft.com/office/drawing/2014/main" id="{45DB95D3-E026-4989-AC34-158BF3656A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295739</xdr:colOff>
      <xdr:row>128</xdr:row>
      <xdr:rowOff>153037</xdr:rowOff>
    </xdr:from>
    <xdr:to>
      <xdr:col>27</xdr:col>
      <xdr:colOff>297732</xdr:colOff>
      <xdr:row>148</xdr:row>
      <xdr:rowOff>15676</xdr:rowOff>
    </xdr:to>
    <xdr:graphicFrame macro="">
      <xdr:nvGraphicFramePr>
        <xdr:cNvPr id="6" name="Chart 5">
          <a:extLst>
            <a:ext uri="{FF2B5EF4-FFF2-40B4-BE49-F238E27FC236}">
              <a16:creationId xmlns:a16="http://schemas.microsoft.com/office/drawing/2014/main" id="{A50D0A43-9107-4F93-8A87-3F168B6B72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304093</xdr:colOff>
      <xdr:row>129</xdr:row>
      <xdr:rowOff>4218</xdr:rowOff>
    </xdr:from>
    <xdr:to>
      <xdr:col>32</xdr:col>
      <xdr:colOff>1355795</xdr:colOff>
      <xdr:row>148</xdr:row>
      <xdr:rowOff>42318</xdr:rowOff>
    </xdr:to>
    <xdr:graphicFrame macro="">
      <xdr:nvGraphicFramePr>
        <xdr:cNvPr id="7" name="Chart 6">
          <a:extLst>
            <a:ext uri="{FF2B5EF4-FFF2-40B4-BE49-F238E27FC236}">
              <a16:creationId xmlns:a16="http://schemas.microsoft.com/office/drawing/2014/main" id="{BF4CBBE0-8F42-4EA2-B22F-ACE3726011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27</xdr:col>
      <xdr:colOff>298292</xdr:colOff>
      <xdr:row>109</xdr:row>
      <xdr:rowOff>128464</xdr:rowOff>
    </xdr:from>
    <xdr:to>
      <xdr:col>32</xdr:col>
      <xdr:colOff>1332849</xdr:colOff>
      <xdr:row>128</xdr:row>
      <xdr:rowOff>142000</xdr:rowOff>
    </xdr:to>
    <xdr:graphicFrame macro="">
      <xdr:nvGraphicFramePr>
        <xdr:cNvPr id="8" name="Chart 7">
          <a:extLst>
            <a:ext uri="{FF2B5EF4-FFF2-40B4-BE49-F238E27FC236}">
              <a16:creationId xmlns:a16="http://schemas.microsoft.com/office/drawing/2014/main" id="{AA7F5D75-7C88-4046-AAA5-7092B829B8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833805</xdr:colOff>
      <xdr:row>177</xdr:row>
      <xdr:rowOff>159772</xdr:rowOff>
    </xdr:from>
    <xdr:to>
      <xdr:col>27</xdr:col>
      <xdr:colOff>844360</xdr:colOff>
      <xdr:row>190</xdr:row>
      <xdr:rowOff>119456</xdr:rowOff>
    </xdr:to>
    <xdr:graphicFrame macro="">
      <xdr:nvGraphicFramePr>
        <xdr:cNvPr id="9" name="Chart 8">
          <a:extLst>
            <a:ext uri="{FF2B5EF4-FFF2-40B4-BE49-F238E27FC236}">
              <a16:creationId xmlns:a16="http://schemas.microsoft.com/office/drawing/2014/main" id="{F407A876-58FC-4CC2-A312-6162EC69B0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842346</xdr:colOff>
      <xdr:row>191</xdr:row>
      <xdr:rowOff>22103</xdr:rowOff>
    </xdr:from>
    <xdr:to>
      <xdr:col>27</xdr:col>
      <xdr:colOff>857698</xdr:colOff>
      <xdr:row>204</xdr:row>
      <xdr:rowOff>50537</xdr:rowOff>
    </xdr:to>
    <xdr:graphicFrame macro="">
      <xdr:nvGraphicFramePr>
        <xdr:cNvPr id="10" name="Chart 9">
          <a:extLst>
            <a:ext uri="{FF2B5EF4-FFF2-40B4-BE49-F238E27FC236}">
              <a16:creationId xmlns:a16="http://schemas.microsoft.com/office/drawing/2014/main" id="{F9CE3956-C2BD-4FFE-9BE1-651715B9BA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27</xdr:col>
      <xdr:colOff>873833</xdr:colOff>
      <xdr:row>191</xdr:row>
      <xdr:rowOff>71044</xdr:rowOff>
    </xdr:from>
    <xdr:to>
      <xdr:col>33</xdr:col>
      <xdr:colOff>222548</xdr:colOff>
      <xdr:row>203</xdr:row>
      <xdr:rowOff>71043</xdr:rowOff>
    </xdr:to>
    <xdr:graphicFrame macro="">
      <xdr:nvGraphicFramePr>
        <xdr:cNvPr id="11" name="Chart 10">
          <a:extLst>
            <a:ext uri="{FF2B5EF4-FFF2-40B4-BE49-F238E27FC236}">
              <a16:creationId xmlns:a16="http://schemas.microsoft.com/office/drawing/2014/main" id="{6EDD5CBA-7144-4BF1-AE66-F34D4C923B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22</xdr:col>
      <xdr:colOff>853550</xdr:colOff>
      <xdr:row>204</xdr:row>
      <xdr:rowOff>168087</xdr:rowOff>
    </xdr:from>
    <xdr:to>
      <xdr:col>27</xdr:col>
      <xdr:colOff>850301</xdr:colOff>
      <xdr:row>218</xdr:row>
      <xdr:rowOff>16920</xdr:rowOff>
    </xdr:to>
    <xdr:graphicFrame macro="">
      <xdr:nvGraphicFramePr>
        <xdr:cNvPr id="12" name="Chart 11">
          <a:extLst>
            <a:ext uri="{FF2B5EF4-FFF2-40B4-BE49-F238E27FC236}">
              <a16:creationId xmlns:a16="http://schemas.microsoft.com/office/drawing/2014/main" id="{DB107B0D-577F-43A6-B996-D90B8B8B1E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27</xdr:col>
      <xdr:colOff>912939</xdr:colOff>
      <xdr:row>177</xdr:row>
      <xdr:rowOff>158346</xdr:rowOff>
    </xdr:from>
    <xdr:to>
      <xdr:col>33</xdr:col>
      <xdr:colOff>257741</xdr:colOff>
      <xdr:row>190</xdr:row>
      <xdr:rowOff>156882</xdr:rowOff>
    </xdr:to>
    <xdr:graphicFrame macro="">
      <xdr:nvGraphicFramePr>
        <xdr:cNvPr id="13" name="Chart 12">
          <a:extLst>
            <a:ext uri="{FF2B5EF4-FFF2-40B4-BE49-F238E27FC236}">
              <a16:creationId xmlns:a16="http://schemas.microsoft.com/office/drawing/2014/main" id="{1AF93A9D-C912-45AD-A96D-6762789C7A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5</xdr:col>
      <xdr:colOff>1495425</xdr:colOff>
      <xdr:row>17</xdr:row>
      <xdr:rowOff>180975</xdr:rowOff>
    </xdr:from>
    <xdr:ext cx="2471382" cy="264560"/>
    <xdr:sp macro="" textlink="">
      <xdr:nvSpPr>
        <xdr:cNvPr id="2" name="TextBox 1">
          <a:extLst>
            <a:ext uri="{FF2B5EF4-FFF2-40B4-BE49-F238E27FC236}">
              <a16:creationId xmlns:a16="http://schemas.microsoft.com/office/drawing/2014/main" id="{6443C3A9-7E77-4DD3-9397-C769AE72BEA5}"/>
            </a:ext>
          </a:extLst>
        </xdr:cNvPr>
        <xdr:cNvSpPr txBox="1"/>
      </xdr:nvSpPr>
      <xdr:spPr>
        <a:xfrm>
          <a:off x="4495800" y="3419475"/>
          <a:ext cx="2471382" cy="264560"/>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wrap="none" rtlCol="0" anchor="t">
          <a:spAutoFit/>
        </a:bodyPr>
        <a:lstStyle/>
        <a:p>
          <a:r>
            <a:rPr lang="en-US" sz="1100" b="1"/>
            <a:t>THESE NUMBERS NEED TO BE VERIFIED</a:t>
          </a:r>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0</xdr:col>
      <xdr:colOff>0</xdr:colOff>
      <xdr:row>23</xdr:row>
      <xdr:rowOff>112054</xdr:rowOff>
    </xdr:from>
    <xdr:to>
      <xdr:col>12</xdr:col>
      <xdr:colOff>1019736</xdr:colOff>
      <xdr:row>190</xdr:row>
      <xdr:rowOff>171898</xdr:rowOff>
    </xdr:to>
    <xdr:graphicFrame macro="">
      <xdr:nvGraphicFramePr>
        <xdr:cNvPr id="2" name="Chart 1">
          <a:extLst>
            <a:ext uri="{FF2B5EF4-FFF2-40B4-BE49-F238E27FC236}">
              <a16:creationId xmlns:a16="http://schemas.microsoft.com/office/drawing/2014/main" id="{F77DC771-229A-4696-88B7-CAB2881194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160468</xdr:colOff>
      <xdr:row>396</xdr:row>
      <xdr:rowOff>72727</xdr:rowOff>
    </xdr:from>
    <xdr:to>
      <xdr:col>25</xdr:col>
      <xdr:colOff>942973</xdr:colOff>
      <xdr:row>552</xdr:row>
      <xdr:rowOff>173579</xdr:rowOff>
    </xdr:to>
    <xdr:graphicFrame macro="">
      <xdr:nvGraphicFramePr>
        <xdr:cNvPr id="4" name="Chart 3">
          <a:extLst>
            <a:ext uri="{FF2B5EF4-FFF2-40B4-BE49-F238E27FC236}">
              <a16:creationId xmlns:a16="http://schemas.microsoft.com/office/drawing/2014/main" id="{000BE9C9-F87B-4888-9AC4-402495A6BF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530678</xdr:colOff>
      <xdr:row>226</xdr:row>
      <xdr:rowOff>134166</xdr:rowOff>
    </xdr:from>
    <xdr:to>
      <xdr:col>35</xdr:col>
      <xdr:colOff>732880</xdr:colOff>
      <xdr:row>278</xdr:row>
      <xdr:rowOff>167095</xdr:rowOff>
    </xdr:to>
    <xdr:graphicFrame macro="">
      <xdr:nvGraphicFramePr>
        <xdr:cNvPr id="3" name="Chart 2">
          <a:extLst>
            <a:ext uri="{FF2B5EF4-FFF2-40B4-BE49-F238E27FC236}">
              <a16:creationId xmlns:a16="http://schemas.microsoft.com/office/drawing/2014/main" id="{DC0D0202-2186-401A-A92A-8963FB71AF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708387</xdr:colOff>
      <xdr:row>319</xdr:row>
      <xdr:rowOff>117293</xdr:rowOff>
    </xdr:from>
    <xdr:to>
      <xdr:col>35</xdr:col>
      <xdr:colOff>868952</xdr:colOff>
      <xdr:row>335</xdr:row>
      <xdr:rowOff>27214</xdr:rowOff>
    </xdr:to>
    <xdr:graphicFrame macro="">
      <xdr:nvGraphicFramePr>
        <xdr:cNvPr id="8" name="Chart 7">
          <a:extLst>
            <a:ext uri="{FF2B5EF4-FFF2-40B4-BE49-F238E27FC236}">
              <a16:creationId xmlns:a16="http://schemas.microsoft.com/office/drawing/2014/main" id="{EC997241-354C-47DD-A45E-0E5E09E132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586195</xdr:colOff>
      <xdr:row>280</xdr:row>
      <xdr:rowOff>64770</xdr:rowOff>
    </xdr:from>
    <xdr:to>
      <xdr:col>33</xdr:col>
      <xdr:colOff>921476</xdr:colOff>
      <xdr:row>310</xdr:row>
      <xdr:rowOff>85452</xdr:rowOff>
    </xdr:to>
    <xdr:graphicFrame macro="">
      <xdr:nvGraphicFramePr>
        <xdr:cNvPr id="9" name="Chart 8">
          <a:extLst>
            <a:ext uri="{FF2B5EF4-FFF2-40B4-BE49-F238E27FC236}">
              <a16:creationId xmlns:a16="http://schemas.microsoft.com/office/drawing/2014/main" id="{3A0C6FDC-E852-4C56-ABDD-13ACDA02B6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F6FE1D0E-7B92-4816-AC53-0F29359582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991EE0C3-6F71-4ED9-BFB3-9EADE1B8A7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9DFE8A91-47F9-4213-977F-05EB4BC744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1836B953-1583-4A3A-9658-41A31E9EFA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B5976D51-A4F3-4A42-A0FA-D0769A2DCA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F7DA4AA5-2DC6-4857-B32C-B6CD783A8D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03F680DE-01FA-48BF-AF47-7BA9781160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7B27D337-8F54-48F9-8E05-BC5BE7EB3A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9EDDE905-28BC-4D22-B22C-D193BDE2B8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BBED51C7-E314-4D23-9D73-44F13DA7F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E7413AA3-463A-4973-B3B9-CD279E3B92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04D3CFA6-D1DF-4632-AE69-9BE244EA40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24702422-4D76-4263-B158-14AB6E5B03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8C90BB89-6D7D-43A0-83C0-DAC716EE15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59EB4549-ED82-4793-8D01-2A226A6A85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F994869F-16CF-436B-B39A-AF7731B55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7C8E44F3-6E37-4E56-B70A-9B4447207E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B347FB78-9231-45B0-A841-1C81B44CDF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D838FE5D-ED24-4D3E-B86A-A36FA125D0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506A0A2E-C574-4B07-8EA6-3A3FCA2EE8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F9E6CBC3-2CFC-4017-8306-56D6059A4D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8B31300B-C5A7-4EB7-B1D7-712141476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031A4B1D-C0ED-4330-92A6-045835F190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5EAE68A5-6E35-456C-8A71-07ED5EBBDC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27AE9FE9-DB8A-45CB-BB51-B87E16973E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17F6E0E5-184A-4736-902C-27C583E81A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617B2C35-D5E7-4961-98E5-F19FC2FFF6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12C9D6AE-364D-43DF-AA65-D61FD02FB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7CF0C97F-1A4F-48DC-B061-B04C860987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D677C3BB-96FD-43DD-BA89-5D22AB4DF7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EC284C1B-5BBF-409A-9CA6-69D341F672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C2CE4A72-53B0-43CE-A97E-AFE281CDDB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5B7C2426-C508-47C1-A501-9A49E276F9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E6D4AC2E-EDA5-4016-A843-25815D64C2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D21FAF64-1757-439A-8ED0-89FA5E35B6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81B1D5EA-347D-4A1F-8A32-07444CD185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7CC9AE02-4E67-40CC-A380-872937EA9B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F8ECC122-0CEB-4AE1-9F36-9FF819C8A2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8154591E-46F8-4276-A7D9-67B32B647F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EA9CA1C3-CE46-4F41-9CE3-0D3E21AA6E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C98534CA-5DCB-4EAA-9B7A-53828E6BD7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F40DCB2D-F05A-419B-8B7B-147B81AF6F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48F52EA8-8CD1-44F6-9DB1-CA6CE6607F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C0EDC0F5-9485-4AD4-ABEA-320ADE0F9F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60A4671C-BE19-49FF-93A1-CE84245D33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01666AC7-020C-457B-A761-F5541FF03C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4F7749E2-22D6-400E-A215-308BE173D7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DC78CDE9-DD11-48FF-BB65-314F313128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96D32FFF-DAB3-4A17-B5D0-63DD86AB86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3BD3F17A-DEAA-45CC-BE4B-B0A96257C7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4B469EF6-8900-4743-ADD5-D943B5F01B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4AFEC7B6-EBE0-4396-96BD-D47F50C09C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44A13766-0D0A-4584-A177-43D801B15D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792CEE17-E375-4EDB-86A6-6F6F17D682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5484FA4F-ACF1-4CD2-AE04-99A531883B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7CC3514A-1C76-4DAA-97BB-4501987356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504BDCC3-0036-490B-889B-B7CAC3F315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4B54BF7A-5E42-4D22-A24F-7FD484B71C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20AFDDA3-8C0A-4FFB-AFF4-4FD2BC72CA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C16956AC-73E3-464D-88FE-CE01AB7BEE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242E02CF-8EDF-489F-8A92-070E26B8EE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FA069FDA-5FD6-4E5E-BA23-ACE9379C0D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A0B8A8A8-A80C-41F2-AE5F-C33F1DC659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6FCB247C-5D0E-4580-A2DE-801B81201E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37EBA693-13DC-4B8E-A773-0B7F74325D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865F4FEB-C236-4C44-9880-907F74614A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87BE181C-1358-4127-8C6A-09563EB907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3E33B7E8-35AB-4043-81EA-56DE692E27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B226EFB5-C44B-4BAE-8EBE-4149BA6F74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ECC7381E-6DAF-400B-834E-A99FD2FFC7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8E5541D4-77C9-441F-854A-44C6090485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F2AE01EE-6AC3-4D65-92E2-EC9FDBEA17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6E754EFC-A539-42AB-AABC-1DF89C8870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DE30405E-7B4F-4BC9-90F6-BC1FB433F0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FF414A21-58F1-405C-A119-0B253CDD36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220C009A-3B5C-42A5-AB83-32012B41C8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501E0E98-BE97-42A6-8F41-89B70D8E9B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610C8FB4-A86D-478D-B3E8-7C9EE8C898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9EF65D5C-6C74-41FD-9A6C-191D78F415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59FF5FEB-76DF-4E18-9E66-4EC1438ADF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B161F6C6-6067-4C2A-80B8-98E9C90F02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28CE6FA1-970F-42AD-BA5D-E103FE6692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1E38353A-B9A9-4F33-ADF8-A221D6CE9D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B60B777B-163F-4792-8F10-3533299B10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A0B32BD6-0A99-49E8-BFC7-9F27083031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AC10BA26-3C76-4B6B-B50F-56F1C5B9AB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3CCDEBF6-D4EF-4313-856E-46A1A990E2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5960A19D-66BF-436F-A5DD-F6FD4DD8EE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41CC235B-BAC3-4A32-9AF3-18E279EE62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EBE9C034-DB08-4D5F-96E4-5EB9EB3C42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16ED2C9D-D53A-4D85-A2D6-0C645879F5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A217585B-C463-460F-9A7E-1D9BB78173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8A92BEB1-CD57-4B78-8B68-37D73CD55A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B2C15492-7FB1-423A-A7C4-9FC66EC16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A884C79A-DE61-4142-B928-487F137A50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A0F9C374-B94F-4F58-B0EB-5BFF7F1BBA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89707940-4F72-400E-AFAA-7E6B14648A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8C5E990C-458B-4804-A730-D3847C6D2E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0F5176F1-29E1-4A59-9B1D-8CC03949F3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108836A6-5FA5-4B94-A8A3-D9B5BD6D90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746D318F-44D0-4F64-94F1-15A81DE62A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D6379C86-6412-42D7-9037-FB8DB1277F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68169DA7-0216-4427-96F3-A99C134EDF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3C3EF6CB-1FDD-4EF1-8D19-A4093CA0AE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F1B72250-7D5F-4C28-89B2-9C62E84F28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FA5E64FC-045A-4B55-AF6C-60F2757D91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4B8597DC-65A3-4C17-BF02-5047D45188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C5A7C92F-8FBE-4DBF-82DA-0CDB25A4D0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0D1B2979-4393-4679-B99C-062BBBEDEE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FB61B4E8-2DC6-44A3-AAF5-9A95E6493A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26</xdr:row>
      <xdr:rowOff>40820</xdr:rowOff>
    </xdr:to>
    <xdr:graphicFrame macro="">
      <xdr:nvGraphicFramePr>
        <xdr:cNvPr id="3" name="Chart 2">
          <a:extLst>
            <a:ext uri="{FF2B5EF4-FFF2-40B4-BE49-F238E27FC236}">
              <a16:creationId xmlns:a16="http://schemas.microsoft.com/office/drawing/2014/main" id="{D2979BD6-CA5C-4466-8943-7544CC7664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81</xdr:row>
      <xdr:rowOff>15479</xdr:rowOff>
    </xdr:from>
    <xdr:to>
      <xdr:col>10</xdr:col>
      <xdr:colOff>623173</xdr:colOff>
      <xdr:row>96</xdr:row>
      <xdr:rowOff>85487</xdr:rowOff>
    </xdr:to>
    <xdr:graphicFrame macro="">
      <xdr:nvGraphicFramePr>
        <xdr:cNvPr id="4" name="Chart 3">
          <a:extLst>
            <a:ext uri="{FF2B5EF4-FFF2-40B4-BE49-F238E27FC236}">
              <a16:creationId xmlns:a16="http://schemas.microsoft.com/office/drawing/2014/main" id="{ECC87B1F-8E5B-4D7C-9E75-E022686A5C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36332E6-A716-417A-B018-043088ED2078}" name="Table3" displayName="Table3" ref="A221:N276" totalsRowShown="0" headerRowDxfId="47" dataDxfId="46">
  <autoFilter ref="A221:N276" xr:uid="{D82A038E-B852-4168-847C-05DDC63C3406}"/>
  <sortState xmlns:xlrd2="http://schemas.microsoft.com/office/spreadsheetml/2017/richdata2" ref="A222:N276">
    <sortCondition ref="N221:N276"/>
  </sortState>
  <tableColumns count="14">
    <tableColumn id="1" xr3:uid="{642C7B6F-EEBE-4570-8B73-F556B9A29331}" name="Column1" dataDxfId="45"/>
    <tableColumn id="2" xr3:uid="{CA1B52D2-6669-4FAF-84C8-A0925B873E6D}" name="Column2" dataDxfId="44"/>
    <tableColumn id="3" xr3:uid="{BA135BFB-35F3-40F2-B0B2-BD853061C3DE}" name="Column3" dataDxfId="43"/>
    <tableColumn id="4" xr3:uid="{1B80552B-CE20-4C62-887B-68856C1EF463}" name="Column4" dataDxfId="42"/>
    <tableColumn id="5" xr3:uid="{556F6ED6-5EEF-45AB-8E4F-C44355E530FF}" name="Column5" dataDxfId="41"/>
    <tableColumn id="6" xr3:uid="{1FC26DD3-6A5A-46B6-9B8B-7F6D055231C4}" name="Column6" dataDxfId="40"/>
    <tableColumn id="7" xr3:uid="{F67B1722-8F87-4FDF-B03B-2FA82F7FBCBE}" name="Column7" dataDxfId="39"/>
    <tableColumn id="8" xr3:uid="{B566951C-1B99-405A-AA91-919CD59332EC}" name="Column8" dataDxfId="38"/>
    <tableColumn id="9" xr3:uid="{E0790A14-C709-4535-91A8-47ABA651D911}" name="Column9" dataDxfId="37"/>
    <tableColumn id="10" xr3:uid="{3407219C-B6FD-4723-85AC-73A18FE9A8C3}" name="Column10" dataDxfId="36"/>
    <tableColumn id="11" xr3:uid="{8E306026-18E2-40B7-8EA7-4E4250C2B3FC}" name="Column11" dataDxfId="35"/>
    <tableColumn id="12" xr3:uid="{3035D54E-21EE-4C9D-AF3D-0E781BA6A478}" name="Column12" dataDxfId="34"/>
    <tableColumn id="13" xr3:uid="{3FD35620-B07F-4DB3-A2BC-03778F8C816D}" name="Column13" dataDxfId="33"/>
    <tableColumn id="14" xr3:uid="{78A48ADC-40A1-40EB-900F-3C488EECCDC4}" name="Column14" dataDxfId="32"/>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8FB3F38-D4F7-4306-9901-0AF103A4C5B1}" name="Table4" displayName="Table4" ref="A277:N332" totalsRowShown="0" headerRowDxfId="31" dataDxfId="30">
  <autoFilter ref="A277:N332" xr:uid="{22C565DB-AFF6-407F-8A93-F7A070A0DBA5}"/>
  <sortState xmlns:xlrd2="http://schemas.microsoft.com/office/spreadsheetml/2017/richdata2" ref="A278:N332">
    <sortCondition ref="N277:N332"/>
  </sortState>
  <tableColumns count="14">
    <tableColumn id="1" xr3:uid="{B5269A6E-7462-4701-9845-6A9F39220178}" name="Column1" dataDxfId="29"/>
    <tableColumn id="2" xr3:uid="{AE5A671C-4501-466B-8CF3-DC0506974F9D}" name="Column2" dataDxfId="28"/>
    <tableColumn id="3" xr3:uid="{DADA28C4-40E9-4811-8B33-0F13F21F0915}" name="Column3" dataDxfId="27"/>
    <tableColumn id="4" xr3:uid="{8B062A7C-3531-4888-864B-2BE1F9647A9D}" name="Column4" dataDxfId="26"/>
    <tableColumn id="5" xr3:uid="{157DA6A1-9A88-4D76-A2B2-2F9F8A045FE1}" name="Column5" dataDxfId="25"/>
    <tableColumn id="6" xr3:uid="{86A1D36F-175A-45D2-B804-69CF4D8C8B5B}" name="Column6" dataDxfId="24"/>
    <tableColumn id="7" xr3:uid="{6D7082C6-6B37-40FF-989E-3B2C57698C39}" name="Column7" dataDxfId="23"/>
    <tableColumn id="8" xr3:uid="{46341812-39BA-417B-A63E-E75C12B42E71}" name="Column8" dataDxfId="22"/>
    <tableColumn id="9" xr3:uid="{AD0DBEED-B354-4269-914E-F611727B49FB}" name="Column9" dataDxfId="21"/>
    <tableColumn id="10" xr3:uid="{2B3B3CEE-27AB-4B54-9934-E0CF77437AAB}" name="Column10" dataDxfId="20"/>
    <tableColumn id="11" xr3:uid="{2730232B-F64E-49BD-9D45-A754B79D6511}" name="Column11" dataDxfId="19"/>
    <tableColumn id="12" xr3:uid="{8B0DE0DC-B0DF-4FDD-AB64-97D8C9B4BD6D}" name="Column12" dataDxfId="18"/>
    <tableColumn id="13" xr3:uid="{95E6F6F2-B62A-4F1C-8E15-08B948A40E50}" name="Column13" dataDxfId="17"/>
    <tableColumn id="14" xr3:uid="{5B91D54F-7D73-46F3-BEDB-3CF59EBB0F18}" name="Column14" dataDxfId="16"/>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8D3A972-90A0-4490-9B8D-7C1B36D1B463}" name="Table5" displayName="Table5" ref="A333:N388" totalsRowShown="0" headerRowDxfId="15" dataDxfId="14">
  <autoFilter ref="A333:N388" xr:uid="{835252BA-7A53-41CE-80AF-37CD8D68987D}"/>
  <sortState xmlns:xlrd2="http://schemas.microsoft.com/office/spreadsheetml/2017/richdata2" ref="A334:N388">
    <sortCondition ref="N333:N388"/>
  </sortState>
  <tableColumns count="14">
    <tableColumn id="1" xr3:uid="{1E72F3D5-5262-498A-AF66-C5360142AA09}" name="Column1" dataDxfId="13"/>
    <tableColumn id="2" xr3:uid="{79E2B8DD-2C98-44AC-A07B-2557D0EEC29E}" name="Column2" dataDxfId="12"/>
    <tableColumn id="3" xr3:uid="{851A39DC-1034-45AA-9CAC-0BF8A749EE7E}" name="Column3" dataDxfId="11"/>
    <tableColumn id="4" xr3:uid="{9D83BD3A-7F34-4212-8031-D56CAD4B5F33}" name="Column4" dataDxfId="10"/>
    <tableColumn id="5" xr3:uid="{CA5A0202-14B7-4D3E-A2E6-2EFD265EA843}" name="Column5" dataDxfId="9"/>
    <tableColumn id="6" xr3:uid="{609D39E3-72EA-4C46-B9BF-0E0C7A29C639}" name="Column6" dataDxfId="8"/>
    <tableColumn id="7" xr3:uid="{3A5760FA-A1C9-4513-A0D4-425F24D0250C}" name="Column7" dataDxfId="7"/>
    <tableColumn id="8" xr3:uid="{B865EC56-81EC-46C5-B7A0-3E3A640C279B}" name="Column8" dataDxfId="6"/>
    <tableColumn id="9" xr3:uid="{2F5E9D5B-FE7E-493A-8E3C-43536212BC02}" name="Column9" dataDxfId="5"/>
    <tableColumn id="10" xr3:uid="{F0272C02-9A89-4C6C-A292-6C2D3A0AD087}" name="Column10" dataDxfId="4"/>
    <tableColumn id="11" xr3:uid="{51DDD7F4-CDF1-4EAB-81D1-CD03E8A9AFAE}" name="Column11" dataDxfId="3"/>
    <tableColumn id="12" xr3:uid="{9FA2BA46-AEAC-4127-8487-349EC730B76B}" name="Column12" dataDxfId="2"/>
    <tableColumn id="13" xr3:uid="{6E2E6422-D887-4436-B7F4-05509AFEA3F4}" name="Column13" dataDxfId="1"/>
    <tableColumn id="14" xr3:uid="{E925006F-CFCF-48AE-A5C6-482A6570DA60}" name="Column14"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researchgate.net/publication/351748799_Assessing_the_Link_between_Vessel_Size_and_Maritime_Supply_Chain_Sustainable_Performance/figures?lo=1" TargetMode="External"/><Relationship Id="rId1" Type="http://schemas.openxmlformats.org/officeDocument/2006/relationships/hyperlink" Target="https://www.nowtricity.com/country/norway/" TargetMode="Externa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6.bin"/><Relationship Id="rId5" Type="http://schemas.openxmlformats.org/officeDocument/2006/relationships/table" Target="../tables/table3.xml"/><Relationship Id="rId4"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3E807C-2C66-4D3C-B0A2-660CDF521613}">
  <dimension ref="A1"/>
  <sheetViews>
    <sheetView workbookViewId="0">
      <selection activeCell="A2" sqref="A2"/>
    </sheetView>
  </sheetViews>
  <sheetFormatPr defaultRowHeight="15" x14ac:dyDescent="0.25"/>
  <sheetData>
    <row r="1" spans="1:1" x14ac:dyDescent="0.25">
      <c r="A1" t="s">
        <v>257</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36BBC-5577-4D2C-ADFC-0FD570D8520E}">
  <sheetPr codeName="Sheet1">
    <tabColor theme="1" tint="0.249977111117893"/>
  </sheetPr>
  <dimension ref="A1:AU240"/>
  <sheetViews>
    <sheetView zoomScale="85" zoomScaleNormal="85" workbookViewId="0">
      <selection activeCell="J12" sqref="J12:K12"/>
    </sheetView>
  </sheetViews>
  <sheetFormatPr defaultColWidth="8.85546875" defaultRowHeight="15" x14ac:dyDescent="0.25"/>
  <cols>
    <col min="1" max="1" width="48.85546875" style="4" bestFit="1" customWidth="1"/>
    <col min="2" max="2" width="14" style="4" customWidth="1"/>
    <col min="3" max="3" width="12.42578125" style="4" bestFit="1" customWidth="1"/>
    <col min="4" max="4" width="7.140625" style="4" bestFit="1" customWidth="1"/>
    <col min="5" max="5" width="21.42578125" style="4" bestFit="1" customWidth="1"/>
    <col min="6" max="7" width="4.42578125" style="4" bestFit="1" customWidth="1"/>
    <col min="8" max="8" width="7" style="4" bestFit="1" customWidth="1"/>
    <col min="9" max="9" width="32.140625" style="4" bestFit="1" customWidth="1"/>
    <col min="10" max="10" width="28.42578125" style="4" customWidth="1"/>
    <col min="11" max="11" width="28.5703125" style="4" bestFit="1" customWidth="1"/>
    <col min="12" max="14" width="14.42578125" style="4" bestFit="1" customWidth="1"/>
    <col min="15" max="15" width="21.42578125" style="4" bestFit="1" customWidth="1"/>
    <col min="16" max="16" width="5.85546875" style="4" bestFit="1" customWidth="1"/>
    <col min="17" max="17" width="5.42578125" style="4" bestFit="1" customWidth="1"/>
    <col min="18" max="18" width="7" style="4" bestFit="1" customWidth="1"/>
    <col min="19" max="19" width="41.5703125" style="4" bestFit="1" customWidth="1"/>
    <col min="20" max="21" width="8.85546875" style="4"/>
    <col min="22" max="22" width="11.5703125" style="4" bestFit="1" customWidth="1"/>
    <col min="23" max="23" width="32.140625" style="4" bestFit="1" customWidth="1"/>
    <col min="24" max="24" width="12.85546875" style="4" bestFit="1" customWidth="1"/>
    <col min="25" max="25" width="27" style="4" bestFit="1" customWidth="1"/>
    <col min="26" max="26" width="14.85546875" style="4" bestFit="1" customWidth="1"/>
    <col min="27" max="27" width="8.85546875" style="4"/>
    <col min="28" max="28" width="24.42578125" style="4" bestFit="1" customWidth="1"/>
    <col min="29" max="29" width="25.5703125" style="4" bestFit="1" customWidth="1"/>
    <col min="30" max="30" width="8.85546875" style="4" customWidth="1"/>
    <col min="31" max="31" width="12.85546875" style="4" bestFit="1" customWidth="1"/>
    <col min="32" max="32" width="8.85546875" style="4"/>
    <col min="33" max="33" width="24.42578125" style="4" bestFit="1" customWidth="1"/>
    <col min="34" max="34" width="13.5703125" style="4" bestFit="1" customWidth="1"/>
    <col min="35" max="35" width="8.85546875" style="4" customWidth="1"/>
    <col min="36" max="36" width="11.42578125" style="4" bestFit="1" customWidth="1"/>
    <col min="37" max="37" width="8.85546875" style="4"/>
    <col min="38" max="38" width="24.42578125" style="4" bestFit="1" customWidth="1"/>
    <col min="39" max="39" width="13.5703125" style="4" bestFit="1" customWidth="1"/>
    <col min="40" max="40" width="8.85546875" style="4" customWidth="1"/>
    <col min="41" max="41" width="11.42578125" style="4" bestFit="1" customWidth="1"/>
    <col min="42" max="42" width="39.5703125" style="4" bestFit="1" customWidth="1"/>
    <col min="43" max="43" width="5.5703125" style="4" bestFit="1" customWidth="1"/>
    <col min="44" max="44" width="8.5703125" style="4" bestFit="1" customWidth="1"/>
    <col min="45" max="45" width="29.85546875" style="4" bestFit="1" customWidth="1"/>
    <col min="46" max="46" width="14.5703125" style="4" bestFit="1" customWidth="1"/>
    <col min="47" max="16384" width="8.85546875" style="4"/>
  </cols>
  <sheetData>
    <row r="1" spans="1:31" s="93" customFormat="1" ht="31.5" x14ac:dyDescent="0.5">
      <c r="A1" s="93" t="s">
        <v>238</v>
      </c>
    </row>
    <row r="2" spans="1:31" ht="15.75" thickBot="1" x14ac:dyDescent="0.3">
      <c r="I2" s="162" t="s">
        <v>435</v>
      </c>
    </row>
    <row r="3" spans="1:31" ht="15.75" thickBot="1" x14ac:dyDescent="0.3">
      <c r="A3" s="197" t="s">
        <v>238</v>
      </c>
      <c r="B3" s="198">
        <v>2023</v>
      </c>
      <c r="C3" s="198">
        <v>2050</v>
      </c>
      <c r="D3" s="199" t="s">
        <v>5</v>
      </c>
      <c r="E3" s="197" t="s">
        <v>8</v>
      </c>
      <c r="F3" s="198" t="s">
        <v>9</v>
      </c>
      <c r="G3" s="199" t="s">
        <v>10</v>
      </c>
      <c r="I3" s="4" t="s">
        <v>420</v>
      </c>
      <c r="Q3" s="4" t="s">
        <v>335</v>
      </c>
      <c r="Y3" s="4" t="s">
        <v>336</v>
      </c>
    </row>
    <row r="4" spans="1:31" x14ac:dyDescent="0.25">
      <c r="A4" s="102" t="s">
        <v>239</v>
      </c>
      <c r="B4" s="194">
        <v>100</v>
      </c>
      <c r="C4" s="194">
        <v>350</v>
      </c>
      <c r="D4" s="195" t="s">
        <v>13</v>
      </c>
      <c r="E4" s="196">
        <v>17</v>
      </c>
      <c r="F4" s="194">
        <v>0.9</v>
      </c>
      <c r="G4" s="195">
        <v>0.4</v>
      </c>
      <c r="I4" s="174" t="s">
        <v>416</v>
      </c>
      <c r="J4" s="175">
        <v>0.1</v>
      </c>
      <c r="K4" s="175">
        <v>0.1</v>
      </c>
      <c r="L4" s="176" t="s">
        <v>68</v>
      </c>
      <c r="M4" s="175">
        <v>12</v>
      </c>
      <c r="N4" s="175">
        <v>0.9</v>
      </c>
      <c r="O4" s="177">
        <v>0.4</v>
      </c>
      <c r="Q4" s="174" t="s">
        <v>416</v>
      </c>
      <c r="R4" s="175">
        <v>0.1</v>
      </c>
      <c r="S4" s="175">
        <v>0.1</v>
      </c>
      <c r="T4" s="175" t="s">
        <v>68</v>
      </c>
      <c r="U4" s="175">
        <v>12</v>
      </c>
      <c r="V4" s="175">
        <v>0.9</v>
      </c>
      <c r="W4" s="177">
        <v>0.4</v>
      </c>
      <c r="Y4" s="174" t="s">
        <v>416</v>
      </c>
      <c r="Z4" s="175">
        <v>0.1</v>
      </c>
      <c r="AA4" s="175">
        <v>0.1</v>
      </c>
      <c r="AB4" s="175" t="s">
        <v>68</v>
      </c>
      <c r="AC4" s="175">
        <v>12</v>
      </c>
      <c r="AD4" s="175">
        <v>0.9</v>
      </c>
      <c r="AE4" s="177">
        <v>0.4</v>
      </c>
    </row>
    <row r="5" spans="1:31" x14ac:dyDescent="0.25">
      <c r="A5" s="174" t="s">
        <v>416</v>
      </c>
      <c r="B5" s="189">
        <v>0.1</v>
      </c>
      <c r="C5" s="189">
        <v>0.1</v>
      </c>
      <c r="D5" s="189" t="s">
        <v>68</v>
      </c>
      <c r="E5" s="189">
        <v>12</v>
      </c>
      <c r="F5" s="189">
        <v>0.9</v>
      </c>
      <c r="G5" s="190">
        <v>0.4</v>
      </c>
      <c r="I5" s="178" t="s">
        <v>417</v>
      </c>
      <c r="J5" s="4">
        <v>0.06</v>
      </c>
      <c r="K5" s="4">
        <v>0.06</v>
      </c>
      <c r="L5" s="123" t="s">
        <v>68</v>
      </c>
      <c r="M5" s="4">
        <v>17</v>
      </c>
      <c r="N5" s="4">
        <v>0.9</v>
      </c>
      <c r="O5" s="179">
        <v>0.4</v>
      </c>
      <c r="Q5" s="178" t="s">
        <v>417</v>
      </c>
      <c r="R5" s="4">
        <v>0.06</v>
      </c>
      <c r="S5" s="4">
        <v>0.06</v>
      </c>
      <c r="T5" s="4" t="s">
        <v>68</v>
      </c>
      <c r="U5" s="4">
        <v>17</v>
      </c>
      <c r="V5" s="4">
        <v>0.9</v>
      </c>
      <c r="W5" s="179">
        <v>0.4</v>
      </c>
      <c r="Y5" s="178" t="s">
        <v>417</v>
      </c>
      <c r="Z5" s="4">
        <v>0.06</v>
      </c>
      <c r="AA5" s="4">
        <v>0.06</v>
      </c>
      <c r="AB5" s="4" t="s">
        <v>68</v>
      </c>
      <c r="AC5" s="4">
        <v>17</v>
      </c>
      <c r="AD5" s="4">
        <v>0.9</v>
      </c>
      <c r="AE5" s="179">
        <v>0.4</v>
      </c>
    </row>
    <row r="6" spans="1:31" x14ac:dyDescent="0.25">
      <c r="A6" s="178" t="s">
        <v>417</v>
      </c>
      <c r="B6" s="107">
        <v>0.06</v>
      </c>
      <c r="C6" s="107">
        <v>0.06</v>
      </c>
      <c r="D6" s="107" t="s">
        <v>68</v>
      </c>
      <c r="E6" s="107">
        <v>17</v>
      </c>
      <c r="F6" s="107">
        <v>0.9</v>
      </c>
      <c r="G6" s="191">
        <v>0.4</v>
      </c>
      <c r="I6" s="178" t="s">
        <v>418</v>
      </c>
      <c r="J6" s="4">
        <v>3.1399999999999997E-2</v>
      </c>
      <c r="K6" s="4">
        <v>3.1399999999999997E-2</v>
      </c>
      <c r="L6" s="4" t="s">
        <v>68</v>
      </c>
      <c r="M6" s="4">
        <v>17</v>
      </c>
      <c r="N6" s="112">
        <v>0.9</v>
      </c>
      <c r="O6" s="186">
        <v>0.4</v>
      </c>
      <c r="Q6" s="178" t="s">
        <v>418</v>
      </c>
      <c r="R6" s="4">
        <v>3.1399999999999997E-2</v>
      </c>
      <c r="S6" s="4">
        <v>3.1399999999999997E-2</v>
      </c>
      <c r="T6" s="4" t="s">
        <v>68</v>
      </c>
      <c r="U6" s="4">
        <v>17</v>
      </c>
      <c r="V6" s="4">
        <v>0.9</v>
      </c>
      <c r="W6" s="179">
        <v>0.4</v>
      </c>
      <c r="Y6" s="178" t="s">
        <v>418</v>
      </c>
      <c r="Z6" s="4">
        <v>3.1399999999999997E-2</v>
      </c>
      <c r="AA6" s="4">
        <v>3.1399999999999997E-2</v>
      </c>
      <c r="AB6" s="4" t="s">
        <v>68</v>
      </c>
      <c r="AC6" s="4">
        <v>17</v>
      </c>
      <c r="AD6" s="4">
        <v>0.9</v>
      </c>
      <c r="AE6" s="179">
        <v>0.4</v>
      </c>
    </row>
    <row r="7" spans="1:31" x14ac:dyDescent="0.25">
      <c r="A7" s="178" t="s">
        <v>418</v>
      </c>
      <c r="B7" s="107">
        <v>3.1399999999999997E-2</v>
      </c>
      <c r="C7" s="107">
        <v>3.1399999999999997E-2</v>
      </c>
      <c r="D7" s="107" t="s">
        <v>68</v>
      </c>
      <c r="E7" s="107">
        <v>17</v>
      </c>
      <c r="F7" s="107">
        <v>0.9</v>
      </c>
      <c r="G7" s="191">
        <v>0.4</v>
      </c>
      <c r="I7" s="178" t="s">
        <v>419</v>
      </c>
      <c r="J7" s="4">
        <v>9.2586511082899114E-2</v>
      </c>
      <c r="K7" s="4">
        <v>7.3304790352502758E-2</v>
      </c>
      <c r="L7" s="4" t="s">
        <v>68</v>
      </c>
      <c r="M7" s="4">
        <v>12</v>
      </c>
      <c r="N7" s="112">
        <v>0.9</v>
      </c>
      <c r="O7" s="186">
        <v>0.4</v>
      </c>
      <c r="Q7" s="178" t="s">
        <v>419</v>
      </c>
      <c r="R7" s="4">
        <v>6.9692010425512235E-2</v>
      </c>
      <c r="S7" s="4">
        <v>6.9692010425512235E-2</v>
      </c>
      <c r="T7" s="4" t="s">
        <v>68</v>
      </c>
      <c r="U7" s="4">
        <v>12</v>
      </c>
      <c r="V7" s="4">
        <v>0.9</v>
      </c>
      <c r="W7" s="179">
        <v>0.4</v>
      </c>
      <c r="Y7" s="178" t="s">
        <v>419</v>
      </c>
      <c r="Z7" s="4">
        <v>0.13371034051801745</v>
      </c>
      <c r="AA7" s="4">
        <v>8.7585019329602734E-2</v>
      </c>
      <c r="AB7" s="4" t="s">
        <v>68</v>
      </c>
      <c r="AC7" s="4">
        <v>12</v>
      </c>
      <c r="AD7" s="4">
        <v>0.9</v>
      </c>
      <c r="AE7" s="179">
        <v>0.4</v>
      </c>
    </row>
    <row r="8" spans="1:31" x14ac:dyDescent="0.25">
      <c r="A8" s="178" t="s">
        <v>419</v>
      </c>
      <c r="B8" s="107">
        <v>0.13371034051801745</v>
      </c>
      <c r="C8" s="107">
        <v>8.7585019329602734E-2</v>
      </c>
      <c r="D8" s="107" t="s">
        <v>68</v>
      </c>
      <c r="E8" s="107">
        <v>12</v>
      </c>
      <c r="F8" s="107">
        <v>0.9</v>
      </c>
      <c r="G8" s="191">
        <v>0.4</v>
      </c>
      <c r="I8" s="178" t="s">
        <v>103</v>
      </c>
      <c r="J8" s="112">
        <v>0.209841767378764</v>
      </c>
      <c r="K8" s="112">
        <v>9.7564585532606038E-2</v>
      </c>
      <c r="L8" s="4" t="s">
        <v>68</v>
      </c>
      <c r="M8" s="4">
        <v>12</v>
      </c>
      <c r="N8" s="4">
        <v>0.9</v>
      </c>
      <c r="O8" s="179">
        <v>0.4</v>
      </c>
      <c r="Q8" s="182" t="s">
        <v>103</v>
      </c>
      <c r="R8" s="4">
        <v>0.13740674212935983</v>
      </c>
      <c r="S8" s="4">
        <v>7.8853041543063843E-2</v>
      </c>
      <c r="T8" s="4" t="s">
        <v>68</v>
      </c>
      <c r="U8" s="4">
        <v>12</v>
      </c>
      <c r="V8" s="4">
        <v>0.9</v>
      </c>
      <c r="W8" s="179">
        <v>0.4</v>
      </c>
      <c r="Y8" s="178" t="s">
        <v>103</v>
      </c>
      <c r="Z8" s="4">
        <v>0.2544561408768215</v>
      </c>
      <c r="AA8" s="4">
        <v>0.10949010032952979</v>
      </c>
      <c r="AB8" s="4" t="s">
        <v>68</v>
      </c>
      <c r="AC8" s="4">
        <v>12</v>
      </c>
      <c r="AD8" s="4">
        <v>0.9</v>
      </c>
      <c r="AE8" s="179">
        <v>0.4</v>
      </c>
    </row>
    <row r="9" spans="1:31" x14ac:dyDescent="0.25">
      <c r="A9" s="178" t="s">
        <v>103</v>
      </c>
      <c r="B9" s="107">
        <v>0.2544561408768215</v>
      </c>
      <c r="C9" s="107">
        <v>0.10949010032952979</v>
      </c>
      <c r="D9" s="107" t="s">
        <v>68</v>
      </c>
      <c r="E9" s="107">
        <v>12</v>
      </c>
      <c r="F9" s="107">
        <v>0.9</v>
      </c>
      <c r="G9" s="191">
        <v>0.4</v>
      </c>
      <c r="I9" s="178" t="s">
        <v>186</v>
      </c>
      <c r="J9" s="4">
        <v>0.18940989325157939</v>
      </c>
      <c r="K9" s="4">
        <v>0.10082206578420416</v>
      </c>
      <c r="L9" s="4" t="s">
        <v>68</v>
      </c>
      <c r="M9" s="4">
        <v>14</v>
      </c>
      <c r="N9" s="112">
        <v>0.9</v>
      </c>
      <c r="O9" s="179">
        <v>0.4</v>
      </c>
      <c r="Q9" s="178" t="s">
        <v>186</v>
      </c>
      <c r="R9" s="4">
        <v>0.10765983350514011</v>
      </c>
      <c r="S9" s="4">
        <v>7.9704245588431075E-2</v>
      </c>
      <c r="T9" s="4" t="s">
        <v>68</v>
      </c>
      <c r="U9" s="4">
        <v>14</v>
      </c>
      <c r="V9" s="4">
        <v>0.9</v>
      </c>
      <c r="W9" s="179">
        <v>0.4</v>
      </c>
      <c r="Y9" s="178" t="s">
        <v>186</v>
      </c>
      <c r="Z9" s="4">
        <v>0.23976160758395154</v>
      </c>
      <c r="AA9" s="4">
        <v>0.11428118371505049</v>
      </c>
      <c r="AB9" s="4" t="s">
        <v>68</v>
      </c>
      <c r="AC9" s="4">
        <v>14</v>
      </c>
      <c r="AD9" s="4">
        <v>0.9</v>
      </c>
      <c r="AE9" s="179">
        <v>0.4</v>
      </c>
    </row>
    <row r="10" spans="1:31" x14ac:dyDescent="0.25">
      <c r="A10" s="178" t="s">
        <v>186</v>
      </c>
      <c r="B10" s="107">
        <v>0.23976160758395154</v>
      </c>
      <c r="C10" s="107">
        <v>0.11428118371505049</v>
      </c>
      <c r="D10" s="107" t="s">
        <v>68</v>
      </c>
      <c r="E10" s="107">
        <v>14</v>
      </c>
      <c r="F10" s="107">
        <v>0.9</v>
      </c>
      <c r="G10" s="191">
        <v>0.4</v>
      </c>
      <c r="I10" s="180" t="s">
        <v>187</v>
      </c>
      <c r="J10" s="173">
        <v>0.40500177307969742</v>
      </c>
      <c r="K10" s="173">
        <v>0.12734025235876711</v>
      </c>
      <c r="L10" s="173" t="s">
        <v>68</v>
      </c>
      <c r="M10" s="173">
        <v>17</v>
      </c>
      <c r="N10" s="173">
        <v>0.9</v>
      </c>
      <c r="O10" s="181">
        <v>0.4</v>
      </c>
      <c r="Q10" s="180" t="s">
        <v>187</v>
      </c>
      <c r="R10" s="173">
        <v>0.31445799151794224</v>
      </c>
      <c r="S10" s="173">
        <v>0.10395082237183936</v>
      </c>
      <c r="T10" s="173" t="s">
        <v>68</v>
      </c>
      <c r="U10" s="173">
        <v>17</v>
      </c>
      <c r="V10" s="173">
        <v>0.9</v>
      </c>
      <c r="W10" s="181">
        <v>0.4</v>
      </c>
      <c r="Y10" s="180" t="s">
        <v>187</v>
      </c>
      <c r="Z10" s="173">
        <v>0.46076973995226939</v>
      </c>
      <c r="AA10" s="173">
        <v>0.14224714585492179</v>
      </c>
      <c r="AB10" s="173" t="s">
        <v>68</v>
      </c>
      <c r="AC10" s="173">
        <v>17</v>
      </c>
      <c r="AD10" s="173">
        <v>0.9</v>
      </c>
      <c r="AE10" s="181">
        <v>0.4</v>
      </c>
    </row>
    <row r="11" spans="1:31" x14ac:dyDescent="0.25">
      <c r="A11" s="180" t="s">
        <v>187</v>
      </c>
      <c r="B11" s="192">
        <v>0.46076973995226939</v>
      </c>
      <c r="C11" s="192">
        <v>0.14224714585492179</v>
      </c>
      <c r="D11" s="192" t="s">
        <v>68</v>
      </c>
      <c r="E11" s="192">
        <v>17</v>
      </c>
      <c r="F11" s="192">
        <v>0.9</v>
      </c>
      <c r="G11" s="193">
        <v>0.4</v>
      </c>
      <c r="J11" s="160"/>
    </row>
    <row r="12" spans="1:31" x14ac:dyDescent="0.25">
      <c r="I12" s="183" t="s">
        <v>239</v>
      </c>
      <c r="J12" s="184">
        <v>100</v>
      </c>
      <c r="K12" s="184">
        <v>350</v>
      </c>
      <c r="L12" s="184" t="s">
        <v>13</v>
      </c>
      <c r="M12" s="184">
        <v>17</v>
      </c>
      <c r="N12" s="184">
        <v>0.9</v>
      </c>
      <c r="O12" s="185">
        <v>0.4</v>
      </c>
      <c r="Q12" s="183" t="s">
        <v>239</v>
      </c>
      <c r="R12" s="184">
        <v>100</v>
      </c>
      <c r="S12" s="184">
        <v>200</v>
      </c>
      <c r="T12" s="184" t="s">
        <v>13</v>
      </c>
      <c r="U12" s="184">
        <v>17</v>
      </c>
      <c r="V12" s="184">
        <v>0.9</v>
      </c>
      <c r="W12" s="185">
        <v>0.4</v>
      </c>
      <c r="Y12" s="183" t="s">
        <v>239</v>
      </c>
      <c r="Z12" s="184">
        <v>100</v>
      </c>
      <c r="AA12" s="184">
        <v>500</v>
      </c>
      <c r="AB12" s="184" t="s">
        <v>13</v>
      </c>
      <c r="AC12" s="184">
        <v>17</v>
      </c>
      <c r="AD12" s="184">
        <v>0.9</v>
      </c>
      <c r="AE12" s="185">
        <v>0.4</v>
      </c>
    </row>
    <row r="14" spans="1:31" s="93" customFormat="1" ht="31.5" x14ac:dyDescent="0.5">
      <c r="A14" s="93" t="s">
        <v>273</v>
      </c>
      <c r="K14" s="93" t="s">
        <v>0</v>
      </c>
    </row>
    <row r="15" spans="1:31" x14ac:dyDescent="0.25">
      <c r="B15" s="4" t="s">
        <v>412</v>
      </c>
      <c r="C15" s="94">
        <v>0.75</v>
      </c>
      <c r="D15" s="172" t="s">
        <v>415</v>
      </c>
    </row>
    <row r="16" spans="1:31" x14ac:dyDescent="0.25">
      <c r="B16" s="4" t="s">
        <v>413</v>
      </c>
      <c r="C16" s="94">
        <f>1-C15</f>
        <v>0.25</v>
      </c>
      <c r="D16" s="172" t="s">
        <v>414</v>
      </c>
    </row>
    <row r="17" spans="1:37" x14ac:dyDescent="0.25">
      <c r="A17" s="95" t="s">
        <v>1</v>
      </c>
      <c r="B17" s="110"/>
    </row>
    <row r="18" spans="1:37" ht="15.75" thickBot="1" x14ac:dyDescent="0.3"/>
    <row r="19" spans="1:37" x14ac:dyDescent="0.25">
      <c r="E19" s="4" t="s">
        <v>2</v>
      </c>
      <c r="H19" s="4" t="s">
        <v>3</v>
      </c>
      <c r="O19" s="4" t="s">
        <v>2</v>
      </c>
      <c r="R19" s="4" t="s">
        <v>3</v>
      </c>
      <c r="W19" s="99" t="s">
        <v>4</v>
      </c>
      <c r="X19" s="100">
        <v>2023</v>
      </c>
      <c r="Y19" s="100">
        <v>2050</v>
      </c>
      <c r="Z19" s="101" t="s">
        <v>5</v>
      </c>
      <c r="AB19" s="99" t="s">
        <v>6</v>
      </c>
      <c r="AC19" s="100">
        <v>2023</v>
      </c>
      <c r="AD19" s="100">
        <v>2050</v>
      </c>
      <c r="AE19" s="101" t="s">
        <v>5</v>
      </c>
      <c r="AG19" s="99" t="s">
        <v>7</v>
      </c>
      <c r="AH19" s="100">
        <v>2023</v>
      </c>
      <c r="AI19" s="100">
        <v>2050</v>
      </c>
      <c r="AJ19" s="101" t="s">
        <v>5</v>
      </c>
    </row>
    <row r="20" spans="1:37" x14ac:dyDescent="0.25">
      <c r="A20" s="25" t="s">
        <v>277</v>
      </c>
      <c r="B20" s="4">
        <v>2023</v>
      </c>
      <c r="C20" s="4">
        <v>2050</v>
      </c>
      <c r="D20" s="4" t="s">
        <v>5</v>
      </c>
      <c r="E20" s="4" t="s">
        <v>8</v>
      </c>
      <c r="F20" s="4" t="s">
        <v>9</v>
      </c>
      <c r="G20" s="4" t="s">
        <v>10</v>
      </c>
      <c r="I20" s="117"/>
      <c r="K20" s="25" t="s">
        <v>274</v>
      </c>
      <c r="L20" s="4">
        <v>2023</v>
      </c>
      <c r="M20" s="4">
        <v>2050</v>
      </c>
      <c r="N20" s="4" t="s">
        <v>5</v>
      </c>
      <c r="O20" s="4" t="s">
        <v>8</v>
      </c>
      <c r="P20" s="4" t="s">
        <v>9</v>
      </c>
      <c r="Q20" s="4" t="s">
        <v>10</v>
      </c>
      <c r="S20" s="117"/>
      <c r="W20" s="102" t="s">
        <v>12</v>
      </c>
      <c r="X20" s="107">
        <f>$B$4</f>
        <v>100</v>
      </c>
      <c r="Y20" s="107">
        <f>$C$4</f>
        <v>350</v>
      </c>
      <c r="Z20" s="103" t="s">
        <v>13</v>
      </c>
      <c r="AB20" s="102" t="s">
        <v>12</v>
      </c>
      <c r="AC20" s="107">
        <f>$B$4</f>
        <v>100</v>
      </c>
      <c r="AD20" s="107">
        <f>$C$4</f>
        <v>350</v>
      </c>
      <c r="AE20" s="103" t="s">
        <v>13</v>
      </c>
      <c r="AG20" s="102" t="s">
        <v>12</v>
      </c>
      <c r="AH20" s="107">
        <f>$B$4</f>
        <v>100</v>
      </c>
      <c r="AI20" s="107">
        <f>$C$4</f>
        <v>350</v>
      </c>
      <c r="AJ20" s="103" t="s">
        <v>13</v>
      </c>
    </row>
    <row r="21" spans="1:37" x14ac:dyDescent="0.25">
      <c r="A21" s="4" t="s">
        <v>14</v>
      </c>
      <c r="B21" s="4">
        <v>40000</v>
      </c>
      <c r="C21" s="4">
        <v>40000</v>
      </c>
      <c r="D21" s="4" t="s">
        <v>15</v>
      </c>
      <c r="E21" s="4">
        <v>12</v>
      </c>
      <c r="F21" s="4">
        <v>0.9</v>
      </c>
      <c r="G21" s="4">
        <v>0.4</v>
      </c>
      <c r="H21" s="152" t="s">
        <v>271</v>
      </c>
      <c r="I21" s="118" t="s">
        <v>17</v>
      </c>
      <c r="K21" s="4" t="s">
        <v>18</v>
      </c>
      <c r="L21" s="4">
        <v>105000</v>
      </c>
      <c r="M21" s="4">
        <v>115000</v>
      </c>
      <c r="N21" s="4" t="s">
        <v>15</v>
      </c>
      <c r="O21" s="4">
        <v>12</v>
      </c>
      <c r="P21" s="4">
        <v>0.9</v>
      </c>
      <c r="Q21" s="4">
        <v>0.4</v>
      </c>
      <c r="R21" s="152" t="s">
        <v>9</v>
      </c>
      <c r="S21" s="120" t="s">
        <v>19</v>
      </c>
      <c r="W21" s="102" t="s">
        <v>20</v>
      </c>
      <c r="X21" s="201">
        <v>3.17</v>
      </c>
      <c r="Y21" s="201"/>
      <c r="Z21" s="103" t="s">
        <v>21</v>
      </c>
      <c r="AB21" s="102" t="s">
        <v>22</v>
      </c>
      <c r="AC21" s="4">
        <v>2.1999999999999999E-2</v>
      </c>
      <c r="AD21" s="4">
        <v>0</v>
      </c>
      <c r="AE21" s="4" t="s">
        <v>23</v>
      </c>
      <c r="AG21" s="102" t="s">
        <v>22</v>
      </c>
      <c r="AH21" s="4">
        <v>2.1999999999999999E-2</v>
      </c>
      <c r="AI21" s="4">
        <v>0</v>
      </c>
      <c r="AJ21" s="4" t="s">
        <v>23</v>
      </c>
      <c r="AK21" s="4" t="s">
        <v>24</v>
      </c>
    </row>
    <row r="22" spans="1:37" x14ac:dyDescent="0.25">
      <c r="A22" s="4" t="s">
        <v>25</v>
      </c>
      <c r="B22" s="4">
        <f>-B21*0.25</f>
        <v>-10000</v>
      </c>
      <c r="C22" s="4">
        <f>-C21*0.25</f>
        <v>-10000</v>
      </c>
      <c r="D22" s="4" t="s">
        <v>15</v>
      </c>
      <c r="E22" s="4">
        <v>12</v>
      </c>
      <c r="F22" s="4">
        <v>0.9</v>
      </c>
      <c r="G22" s="4">
        <v>0.4</v>
      </c>
      <c r="H22" s="152" t="s">
        <v>26</v>
      </c>
      <c r="I22" s="119" t="s">
        <v>27</v>
      </c>
      <c r="K22" s="4" t="s">
        <v>28</v>
      </c>
      <c r="L22" s="4">
        <f>-L21*0.25</f>
        <v>-26250</v>
      </c>
      <c r="M22" s="4">
        <f>-M21*0.15</f>
        <v>-17250</v>
      </c>
      <c r="N22" s="4" t="s">
        <v>15</v>
      </c>
      <c r="O22" s="4">
        <v>12</v>
      </c>
      <c r="P22" s="4">
        <v>0.9</v>
      </c>
      <c r="Q22" s="4">
        <v>0.4</v>
      </c>
      <c r="R22" s="152" t="s">
        <v>29</v>
      </c>
      <c r="S22" s="121" t="s">
        <v>30</v>
      </c>
      <c r="W22" s="102" t="s">
        <v>31</v>
      </c>
      <c r="X22" s="201">
        <v>11.89</v>
      </c>
      <c r="Y22" s="201"/>
      <c r="Z22" s="103" t="s">
        <v>32</v>
      </c>
      <c r="AB22" s="102" t="s">
        <v>33</v>
      </c>
      <c r="AC22" s="94">
        <v>0.61</v>
      </c>
      <c r="AD22" s="94">
        <v>0.7</v>
      </c>
      <c r="AE22" s="103" t="s">
        <v>34</v>
      </c>
      <c r="AG22" s="102" t="s">
        <v>35</v>
      </c>
      <c r="AH22" s="94">
        <v>0.95</v>
      </c>
      <c r="AI22" s="94">
        <v>0.95</v>
      </c>
      <c r="AJ22" s="103" t="s">
        <v>34</v>
      </c>
      <c r="AK22" s="4" t="s">
        <v>36</v>
      </c>
    </row>
    <row r="23" spans="1:37" x14ac:dyDescent="0.25">
      <c r="A23" s="4" t="s">
        <v>37</v>
      </c>
      <c r="B23" s="4">
        <v>70000</v>
      </c>
      <c r="C23" s="4">
        <v>70000</v>
      </c>
      <c r="D23" s="4" t="s">
        <v>38</v>
      </c>
      <c r="E23" s="4">
        <v>12</v>
      </c>
      <c r="F23" s="4">
        <v>0.9</v>
      </c>
      <c r="G23" s="4">
        <v>0.4</v>
      </c>
      <c r="H23" s="152" t="s">
        <v>39</v>
      </c>
      <c r="I23" s="118" t="s">
        <v>40</v>
      </c>
      <c r="K23" s="4" t="s">
        <v>41</v>
      </c>
      <c r="L23" s="4">
        <v>8</v>
      </c>
      <c r="M23" s="4">
        <v>8</v>
      </c>
      <c r="N23" s="4" t="s">
        <v>42</v>
      </c>
      <c r="O23" s="4">
        <v>12</v>
      </c>
      <c r="P23" s="4">
        <v>0.9</v>
      </c>
      <c r="Q23" s="4">
        <v>0.4</v>
      </c>
      <c r="R23" s="152" t="s">
        <v>43</v>
      </c>
      <c r="S23" s="117" t="s">
        <v>44</v>
      </c>
      <c r="W23" s="102" t="s">
        <v>45</v>
      </c>
      <c r="X23" s="200">
        <f>X21/X22</f>
        <v>0.26661059714045415</v>
      </c>
      <c r="Y23" s="200"/>
      <c r="Z23" s="103" t="s">
        <v>46</v>
      </c>
      <c r="AB23" s="102" t="s">
        <v>47</v>
      </c>
      <c r="AC23" s="109">
        <f>AC21/AC22</f>
        <v>3.6065573770491799E-2</v>
      </c>
      <c r="AD23" s="109">
        <f>AD21/AD22</f>
        <v>0</v>
      </c>
      <c r="AE23" s="103" t="s">
        <v>46</v>
      </c>
      <c r="AG23" s="102" t="s">
        <v>22</v>
      </c>
      <c r="AH23" s="109">
        <f>AH21/AH22</f>
        <v>2.3157894736842106E-2</v>
      </c>
      <c r="AI23" s="109">
        <f>AI21/AI22</f>
        <v>0</v>
      </c>
      <c r="AJ23" s="103" t="s">
        <v>46</v>
      </c>
    </row>
    <row r="24" spans="1:37" x14ac:dyDescent="0.25">
      <c r="A24" s="4" t="s">
        <v>48</v>
      </c>
      <c r="B24" s="4">
        <v>25</v>
      </c>
      <c r="C24" s="4">
        <v>25</v>
      </c>
      <c r="D24" s="4" t="s">
        <v>49</v>
      </c>
      <c r="E24" s="4">
        <v>12</v>
      </c>
      <c r="F24" s="4">
        <v>0.9</v>
      </c>
      <c r="G24" s="4">
        <v>0.4</v>
      </c>
      <c r="H24" s="152" t="s">
        <v>50</v>
      </c>
      <c r="I24" s="118" t="s">
        <v>51</v>
      </c>
      <c r="K24" s="4" t="s">
        <v>52</v>
      </c>
      <c r="L24" s="4">
        <v>20000</v>
      </c>
      <c r="M24" s="4">
        <v>20000</v>
      </c>
      <c r="N24" s="4" t="s">
        <v>38</v>
      </c>
      <c r="O24" s="4">
        <v>12</v>
      </c>
      <c r="P24" s="4">
        <v>0.9</v>
      </c>
      <c r="Q24" s="4">
        <v>0.4</v>
      </c>
      <c r="R24" s="152" t="s">
        <v>9</v>
      </c>
      <c r="S24" s="118" t="s">
        <v>53</v>
      </c>
      <c r="W24" s="102" t="s">
        <v>54</v>
      </c>
      <c r="X24" s="4">
        <f>L25*X23</f>
        <v>0.77317073170731698</v>
      </c>
      <c r="Y24" s="4">
        <f>M25*X23</f>
        <v>0.63986543313708999</v>
      </c>
      <c r="Z24" s="103" t="s">
        <v>55</v>
      </c>
      <c r="AB24" s="102" t="s">
        <v>54</v>
      </c>
      <c r="AC24" s="4">
        <f>AC23*L49</f>
        <v>9.1245901639344248E-2</v>
      </c>
      <c r="AD24" s="4">
        <f>AD23*M49</f>
        <v>0</v>
      </c>
      <c r="AE24" s="103" t="s">
        <v>55</v>
      </c>
      <c r="AG24" s="102" t="s">
        <v>54</v>
      </c>
      <c r="AH24" s="4">
        <f>AH23*L37</f>
        <v>3.5200000000000002E-2</v>
      </c>
      <c r="AI24" s="4">
        <f>AI23*M37</f>
        <v>0</v>
      </c>
      <c r="AJ24" s="103" t="s">
        <v>55</v>
      </c>
    </row>
    <row r="25" spans="1:37" ht="15.75" thickBot="1" x14ac:dyDescent="0.3">
      <c r="A25" s="4" t="s">
        <v>56</v>
      </c>
      <c r="B25" s="160">
        <f>42%/C15</f>
        <v>0.55999999999999994</v>
      </c>
      <c r="C25" s="160">
        <f>42%/C15</f>
        <v>0.55999999999999994</v>
      </c>
      <c r="D25" s="4" t="s">
        <v>57</v>
      </c>
      <c r="E25" s="4">
        <v>12</v>
      </c>
      <c r="F25" s="4">
        <v>0.9</v>
      </c>
      <c r="G25" s="4">
        <v>0.4</v>
      </c>
      <c r="H25" s="152" t="s">
        <v>16</v>
      </c>
      <c r="I25" s="118" t="s">
        <v>58</v>
      </c>
      <c r="K25" s="4" t="s">
        <v>59</v>
      </c>
      <c r="L25" s="4">
        <v>2.9</v>
      </c>
      <c r="M25" s="4">
        <v>2.4</v>
      </c>
      <c r="N25" s="4" t="s">
        <v>60</v>
      </c>
      <c r="O25" s="4">
        <v>12</v>
      </c>
      <c r="P25" s="4">
        <v>0.9</v>
      </c>
      <c r="Q25" s="4">
        <v>0.4</v>
      </c>
      <c r="R25" s="152" t="s">
        <v>9</v>
      </c>
      <c r="S25" s="118" t="s">
        <v>61</v>
      </c>
      <c r="W25" s="104" t="s">
        <v>62</v>
      </c>
      <c r="X25" s="105">
        <f>X20/1000*X24</f>
        <v>7.7317073170731707E-2</v>
      </c>
      <c r="Y25" s="105">
        <f>Y24/1000*Y20</f>
        <v>0.22395290159798151</v>
      </c>
      <c r="Z25" s="106" t="s">
        <v>63</v>
      </c>
      <c r="AB25" s="104" t="s">
        <v>62</v>
      </c>
      <c r="AC25" s="105">
        <f>AC20/1000*AC24</f>
        <v>9.1245901639344252E-3</v>
      </c>
      <c r="AD25" s="105">
        <f>AD24/1000*AD20</f>
        <v>0</v>
      </c>
      <c r="AE25" s="106" t="s">
        <v>63</v>
      </c>
      <c r="AG25" s="104" t="s">
        <v>62</v>
      </c>
      <c r="AH25" s="105">
        <f>AH20/1000*AH24</f>
        <v>3.5200000000000006E-3</v>
      </c>
      <c r="AI25" s="105">
        <f>AI24/1000*AI20</f>
        <v>0</v>
      </c>
      <c r="AJ25" s="106" t="s">
        <v>63</v>
      </c>
    </row>
    <row r="26" spans="1:37" x14ac:dyDescent="0.25">
      <c r="A26" s="4" t="s">
        <v>64</v>
      </c>
      <c r="B26" s="4">
        <v>55000</v>
      </c>
      <c r="C26" s="4">
        <v>55000</v>
      </c>
      <c r="D26" s="4" t="s">
        <v>65</v>
      </c>
      <c r="E26" s="4">
        <v>12</v>
      </c>
      <c r="F26" s="4">
        <v>0.9</v>
      </c>
      <c r="G26" s="4">
        <v>0.4</v>
      </c>
      <c r="H26" s="152" t="s">
        <v>16</v>
      </c>
      <c r="I26" s="118" t="s">
        <v>66</v>
      </c>
      <c r="K26" s="4" t="s">
        <v>67</v>
      </c>
      <c r="L26" s="4">
        <f>B5</f>
        <v>0.1</v>
      </c>
      <c r="M26" s="4">
        <f>C5</f>
        <v>0.1</v>
      </c>
      <c r="N26" s="4" t="s">
        <v>68</v>
      </c>
      <c r="O26" s="4">
        <f>E5</f>
        <v>12</v>
      </c>
      <c r="P26" s="4">
        <f>F5</f>
        <v>0.9</v>
      </c>
      <c r="Q26" s="4">
        <f>G5</f>
        <v>0.4</v>
      </c>
      <c r="R26" s="152" t="s">
        <v>261</v>
      </c>
      <c r="S26" s="124" t="s">
        <v>263</v>
      </c>
    </row>
    <row r="27" spans="1:37" x14ac:dyDescent="0.25">
      <c r="A27" s="4" t="s">
        <v>70</v>
      </c>
      <c r="B27" s="4">
        <v>10</v>
      </c>
      <c r="C27" s="4">
        <v>10</v>
      </c>
      <c r="D27" s="4" t="s">
        <v>42</v>
      </c>
      <c r="E27" s="4">
        <v>12</v>
      </c>
      <c r="F27" s="4">
        <v>0.9</v>
      </c>
      <c r="G27" s="4">
        <v>0.4</v>
      </c>
      <c r="H27" s="152" t="s">
        <v>71</v>
      </c>
      <c r="I27" s="118" t="s">
        <v>72</v>
      </c>
      <c r="K27" s="4" t="s">
        <v>73</v>
      </c>
      <c r="L27" s="160">
        <v>0</v>
      </c>
      <c r="M27" s="160">
        <v>0</v>
      </c>
      <c r="N27" s="4" t="s">
        <v>57</v>
      </c>
      <c r="O27" s="4">
        <v>12</v>
      </c>
      <c r="P27" s="4">
        <v>0.9</v>
      </c>
      <c r="Q27" s="4">
        <v>0.4</v>
      </c>
      <c r="R27" s="152" t="s">
        <v>50</v>
      </c>
      <c r="S27" s="118" t="s">
        <v>74</v>
      </c>
    </row>
    <row r="28" spans="1:37" x14ac:dyDescent="0.25">
      <c r="A28" s="4" t="s">
        <v>272</v>
      </c>
      <c r="B28" s="4">
        <v>0.11</v>
      </c>
      <c r="C28" s="4">
        <v>0.11</v>
      </c>
      <c r="D28" s="4" t="s">
        <v>76</v>
      </c>
      <c r="E28" s="4">
        <v>12</v>
      </c>
      <c r="F28" s="4">
        <v>0.9</v>
      </c>
      <c r="G28" s="4">
        <v>0.4</v>
      </c>
      <c r="H28" s="152" t="s">
        <v>77</v>
      </c>
      <c r="I28" s="118" t="s">
        <v>78</v>
      </c>
      <c r="K28" s="4" t="s">
        <v>79</v>
      </c>
      <c r="L28" s="160">
        <v>0.06</v>
      </c>
      <c r="M28" s="160">
        <v>0.06</v>
      </c>
      <c r="N28" s="4" t="s">
        <v>57</v>
      </c>
      <c r="O28" s="4">
        <v>12</v>
      </c>
      <c r="P28" s="4">
        <v>0.9</v>
      </c>
      <c r="Q28" s="4">
        <v>0.4</v>
      </c>
      <c r="R28" s="152" t="s">
        <v>77</v>
      </c>
      <c r="S28" s="122" t="s">
        <v>74</v>
      </c>
      <c r="W28" s="4" t="s">
        <v>26</v>
      </c>
      <c r="X28" s="4" t="s">
        <v>80</v>
      </c>
    </row>
    <row r="29" spans="1:37" x14ac:dyDescent="0.25">
      <c r="I29" s="118"/>
      <c r="K29" s="4" t="s">
        <v>81</v>
      </c>
      <c r="L29" s="4">
        <f>X25</f>
        <v>7.7317073170731707E-2</v>
      </c>
      <c r="M29" s="4">
        <f>Y25</f>
        <v>0.22395290159798151</v>
      </c>
      <c r="N29" s="4" t="s">
        <v>76</v>
      </c>
      <c r="O29" s="4">
        <v>17</v>
      </c>
      <c r="P29" s="4">
        <f>$F$4</f>
        <v>0.9</v>
      </c>
      <c r="Q29" s="4">
        <f>$G$4</f>
        <v>0.4</v>
      </c>
      <c r="R29" s="152" t="s">
        <v>264</v>
      </c>
      <c r="S29" s="118" t="s">
        <v>83</v>
      </c>
      <c r="W29" s="4" t="s">
        <v>9</v>
      </c>
      <c r="X29" s="4" t="s">
        <v>84</v>
      </c>
    </row>
    <row r="30" spans="1:37" x14ac:dyDescent="0.25">
      <c r="I30" s="118"/>
      <c r="S30" s="118"/>
      <c r="W30" s="4" t="s">
        <v>16</v>
      </c>
      <c r="X30" s="4" t="s">
        <v>85</v>
      </c>
    </row>
    <row r="31" spans="1:37" x14ac:dyDescent="0.25">
      <c r="E31" s="4" t="s">
        <v>2</v>
      </c>
      <c r="H31" s="4" t="s">
        <v>3</v>
      </c>
      <c r="I31" s="118"/>
      <c r="O31" s="4" t="s">
        <v>2</v>
      </c>
      <c r="R31" s="4" t="s">
        <v>3</v>
      </c>
      <c r="S31" s="118"/>
      <c r="W31" s="4" t="s">
        <v>43</v>
      </c>
      <c r="X31" s="4" t="s">
        <v>86</v>
      </c>
    </row>
    <row r="32" spans="1:37" x14ac:dyDescent="0.25">
      <c r="A32" s="25" t="s">
        <v>278</v>
      </c>
      <c r="B32" s="4">
        <v>2023</v>
      </c>
      <c r="C32" s="4">
        <v>2050</v>
      </c>
      <c r="D32" s="4" t="s">
        <v>5</v>
      </c>
      <c r="E32" s="4" t="s">
        <v>8</v>
      </c>
      <c r="F32" s="4" t="s">
        <v>9</v>
      </c>
      <c r="G32" s="4" t="s">
        <v>10</v>
      </c>
      <c r="I32" s="118"/>
      <c r="K32" s="25" t="s">
        <v>275</v>
      </c>
      <c r="L32" s="4">
        <v>2023</v>
      </c>
      <c r="M32" s="4">
        <v>2050</v>
      </c>
      <c r="N32" s="4" t="s">
        <v>5</v>
      </c>
      <c r="O32" s="4" t="s">
        <v>8</v>
      </c>
      <c r="P32" s="4" t="s">
        <v>9</v>
      </c>
      <c r="Q32" s="4" t="s">
        <v>10</v>
      </c>
      <c r="S32" s="118"/>
      <c r="W32" s="4" t="s">
        <v>77</v>
      </c>
      <c r="X32" s="4" t="s">
        <v>88</v>
      </c>
    </row>
    <row r="33" spans="1:35" x14ac:dyDescent="0.25">
      <c r="A33" s="4" t="s">
        <v>14</v>
      </c>
      <c r="B33" s="4">
        <v>60000</v>
      </c>
      <c r="C33" s="4">
        <v>60000</v>
      </c>
      <c r="D33" s="4" t="s">
        <v>15</v>
      </c>
      <c r="E33" s="4">
        <v>12</v>
      </c>
      <c r="F33" s="4">
        <v>0.9</v>
      </c>
      <c r="G33" s="4">
        <v>0.4</v>
      </c>
      <c r="H33" s="152" t="s">
        <v>271</v>
      </c>
      <c r="I33" s="118" t="s">
        <v>17</v>
      </c>
      <c r="K33" s="4" t="s">
        <v>18</v>
      </c>
      <c r="L33" s="4">
        <v>400000</v>
      </c>
      <c r="M33" s="4">
        <v>145000</v>
      </c>
      <c r="N33" s="4" t="s">
        <v>15</v>
      </c>
      <c r="O33" s="4">
        <v>8</v>
      </c>
      <c r="P33" s="4">
        <v>0.9</v>
      </c>
      <c r="Q33" s="4">
        <v>0.4</v>
      </c>
      <c r="R33" s="152" t="s">
        <v>9</v>
      </c>
      <c r="S33" s="118" t="s">
        <v>89</v>
      </c>
      <c r="W33" s="4" t="s">
        <v>71</v>
      </c>
      <c r="X33" s="4" t="s">
        <v>90</v>
      </c>
    </row>
    <row r="34" spans="1:35" x14ac:dyDescent="0.25">
      <c r="A34" s="4" t="s">
        <v>25</v>
      </c>
      <c r="B34" s="4">
        <f>-B33*0.25</f>
        <v>-15000</v>
      </c>
      <c r="C34" s="4">
        <f>-C33*0.25</f>
        <v>-15000</v>
      </c>
      <c r="D34" s="4" t="s">
        <v>15</v>
      </c>
      <c r="E34" s="4">
        <v>12</v>
      </c>
      <c r="F34" s="4">
        <v>0.9</v>
      </c>
      <c r="G34" s="4">
        <v>0.4</v>
      </c>
      <c r="H34" s="152" t="s">
        <v>26</v>
      </c>
      <c r="I34" s="119" t="s">
        <v>27</v>
      </c>
      <c r="K34" s="4" t="s">
        <v>28</v>
      </c>
      <c r="L34" s="4">
        <f>-L33*0.15</f>
        <v>-60000</v>
      </c>
      <c r="M34" s="4">
        <f>-M33*0.25</f>
        <v>-36250</v>
      </c>
      <c r="N34" s="4" t="s">
        <v>15</v>
      </c>
      <c r="O34" s="4">
        <v>8</v>
      </c>
      <c r="P34" s="4">
        <v>0.9</v>
      </c>
      <c r="Q34" s="4">
        <v>0.4</v>
      </c>
      <c r="R34" s="152" t="s">
        <v>29</v>
      </c>
      <c r="S34" s="121" t="s">
        <v>91</v>
      </c>
      <c r="W34" s="4" t="s">
        <v>50</v>
      </c>
      <c r="X34" s="4" t="s">
        <v>92</v>
      </c>
    </row>
    <row r="35" spans="1:35" x14ac:dyDescent="0.25">
      <c r="A35" s="4" t="s">
        <v>37</v>
      </c>
      <c r="B35" s="4">
        <v>70000</v>
      </c>
      <c r="C35" s="4">
        <v>70000</v>
      </c>
      <c r="D35" s="4" t="s">
        <v>38</v>
      </c>
      <c r="E35" s="4">
        <v>12</v>
      </c>
      <c r="F35" s="4">
        <v>0.9</v>
      </c>
      <c r="G35" s="4">
        <v>0.4</v>
      </c>
      <c r="H35" s="152" t="s">
        <v>39</v>
      </c>
      <c r="I35" s="118" t="s">
        <v>40</v>
      </c>
      <c r="K35" s="4" t="s">
        <v>41</v>
      </c>
      <c r="L35" s="4">
        <v>8</v>
      </c>
      <c r="M35" s="4">
        <v>8</v>
      </c>
      <c r="N35" s="4" t="s">
        <v>42</v>
      </c>
      <c r="O35" s="4">
        <v>8</v>
      </c>
      <c r="P35" s="4">
        <v>0.9</v>
      </c>
      <c r="Q35" s="4">
        <v>0.4</v>
      </c>
      <c r="R35" s="152" t="s">
        <v>43</v>
      </c>
      <c r="S35" s="117" t="s">
        <v>44</v>
      </c>
      <c r="W35" s="4" t="s">
        <v>82</v>
      </c>
      <c r="X35" s="4" t="s">
        <v>93</v>
      </c>
    </row>
    <row r="36" spans="1:35" x14ac:dyDescent="0.25">
      <c r="A36" s="4" t="s">
        <v>48</v>
      </c>
      <c r="B36" s="4">
        <v>25</v>
      </c>
      <c r="C36" s="4">
        <v>25</v>
      </c>
      <c r="D36" s="4" t="s">
        <v>49</v>
      </c>
      <c r="E36" s="4">
        <v>12</v>
      </c>
      <c r="F36" s="4">
        <v>0.9</v>
      </c>
      <c r="G36" s="4">
        <v>0.4</v>
      </c>
      <c r="H36" s="152" t="s">
        <v>50</v>
      </c>
      <c r="I36" s="118" t="s">
        <v>51</v>
      </c>
      <c r="K36" s="4" t="s">
        <v>52</v>
      </c>
      <c r="L36" s="4">
        <v>15000</v>
      </c>
      <c r="M36" s="4">
        <v>15000</v>
      </c>
      <c r="N36" s="4" t="s">
        <v>38</v>
      </c>
      <c r="O36" s="4">
        <v>8</v>
      </c>
      <c r="P36" s="4">
        <v>0.9</v>
      </c>
      <c r="Q36" s="4">
        <v>0.4</v>
      </c>
      <c r="R36" s="152" t="s">
        <v>9</v>
      </c>
      <c r="S36" s="118" t="s">
        <v>94</v>
      </c>
      <c r="W36" s="4" t="s">
        <v>95</v>
      </c>
      <c r="X36" s="110" t="s">
        <v>24</v>
      </c>
      <c r="AI36" s="25"/>
    </row>
    <row r="37" spans="1:35" x14ac:dyDescent="0.25">
      <c r="A37" s="4" t="s">
        <v>56</v>
      </c>
      <c r="B37" s="160">
        <f>48%/C15</f>
        <v>0.64</v>
      </c>
      <c r="C37" s="160">
        <f>48%/C15</f>
        <v>0.64</v>
      </c>
      <c r="D37" s="4" t="s">
        <v>57</v>
      </c>
      <c r="E37" s="4">
        <v>12</v>
      </c>
      <c r="F37" s="4">
        <v>0.9</v>
      </c>
      <c r="G37" s="4">
        <v>0.4</v>
      </c>
      <c r="H37" s="152" t="s">
        <v>16</v>
      </c>
      <c r="I37" s="118" t="s">
        <v>96</v>
      </c>
      <c r="K37" s="4" t="s">
        <v>59</v>
      </c>
      <c r="L37" s="4">
        <v>1.52</v>
      </c>
      <c r="M37" s="4">
        <v>1.1499999999999999</v>
      </c>
      <c r="N37" s="4" t="s">
        <v>60</v>
      </c>
      <c r="O37" s="4">
        <v>8</v>
      </c>
      <c r="P37" s="4">
        <v>0.9</v>
      </c>
      <c r="Q37" s="4">
        <v>0.4</v>
      </c>
      <c r="R37" s="152" t="s">
        <v>9</v>
      </c>
      <c r="S37" s="118" t="s">
        <v>74</v>
      </c>
      <c r="W37" s="4" t="s">
        <v>97</v>
      </c>
      <c r="X37" s="4" t="s">
        <v>36</v>
      </c>
    </row>
    <row r="38" spans="1:35" x14ac:dyDescent="0.25">
      <c r="A38" s="4" t="s">
        <v>64</v>
      </c>
      <c r="B38" s="4">
        <v>110000</v>
      </c>
      <c r="C38" s="4">
        <v>110000</v>
      </c>
      <c r="D38" s="4" t="s">
        <v>65</v>
      </c>
      <c r="E38" s="4">
        <v>12</v>
      </c>
      <c r="F38" s="4">
        <v>0.9</v>
      </c>
      <c r="G38" s="4">
        <v>0.4</v>
      </c>
      <c r="H38" s="152" t="s">
        <v>16</v>
      </c>
      <c r="I38" s="118" t="s">
        <v>98</v>
      </c>
      <c r="K38" s="4" t="s">
        <v>67</v>
      </c>
      <c r="L38" s="65">
        <f t="shared" ref="L38:Q38" si="0">B8</f>
        <v>0.13371034051801745</v>
      </c>
      <c r="M38" s="65">
        <f t="shared" si="0"/>
        <v>8.7585019329602734E-2</v>
      </c>
      <c r="N38" s="65" t="str">
        <f t="shared" si="0"/>
        <v>[€/kWh]</v>
      </c>
      <c r="O38" s="65">
        <f t="shared" si="0"/>
        <v>12</v>
      </c>
      <c r="P38" s="65">
        <f t="shared" si="0"/>
        <v>0.9</v>
      </c>
      <c r="Q38" s="65">
        <f t="shared" si="0"/>
        <v>0.4</v>
      </c>
      <c r="R38" s="152" t="s">
        <v>77</v>
      </c>
      <c r="S38" s="118" t="s">
        <v>301</v>
      </c>
      <c r="W38" s="4" t="s">
        <v>69</v>
      </c>
      <c r="X38" s="4" t="s">
        <v>99</v>
      </c>
    </row>
    <row r="39" spans="1:35" x14ac:dyDescent="0.25">
      <c r="A39" s="4" t="s">
        <v>70</v>
      </c>
      <c r="B39" s="4">
        <v>10</v>
      </c>
      <c r="C39" s="4">
        <v>10</v>
      </c>
      <c r="D39" s="4" t="s">
        <v>42</v>
      </c>
      <c r="E39" s="4">
        <v>12</v>
      </c>
      <c r="F39" s="4">
        <v>0.9</v>
      </c>
      <c r="G39" s="4">
        <v>0.4</v>
      </c>
      <c r="H39" s="152" t="s">
        <v>71</v>
      </c>
      <c r="I39" s="118" t="s">
        <v>72</v>
      </c>
      <c r="K39" s="4" t="s">
        <v>73</v>
      </c>
      <c r="L39" s="160">
        <v>0.1</v>
      </c>
      <c r="M39" s="160">
        <v>0.05</v>
      </c>
      <c r="N39" s="4" t="s">
        <v>57</v>
      </c>
      <c r="O39" s="4">
        <v>12</v>
      </c>
      <c r="P39" s="4">
        <v>0.9</v>
      </c>
      <c r="Q39" s="4">
        <v>0.4</v>
      </c>
      <c r="R39" s="152" t="s">
        <v>267</v>
      </c>
      <c r="S39" s="118" t="s">
        <v>100</v>
      </c>
      <c r="W39" s="4" t="s">
        <v>10</v>
      </c>
      <c r="X39" s="4" t="s">
        <v>101</v>
      </c>
    </row>
    <row r="40" spans="1:35" x14ac:dyDescent="0.25">
      <c r="A40" s="4" t="s">
        <v>272</v>
      </c>
      <c r="B40" s="4">
        <v>0.11</v>
      </c>
      <c r="C40" s="4">
        <v>0.11</v>
      </c>
      <c r="D40" s="4" t="s">
        <v>76</v>
      </c>
      <c r="E40" s="4">
        <v>12</v>
      </c>
      <c r="F40" s="4">
        <v>0.9</v>
      </c>
      <c r="G40" s="4">
        <v>0.4</v>
      </c>
      <c r="H40" s="152" t="s">
        <v>77</v>
      </c>
      <c r="I40" s="118" t="s">
        <v>78</v>
      </c>
      <c r="K40" s="4" t="s">
        <v>79</v>
      </c>
      <c r="L40" s="160">
        <v>0.06</v>
      </c>
      <c r="M40" s="160">
        <v>0.06</v>
      </c>
      <c r="N40" s="4" t="s">
        <v>57</v>
      </c>
      <c r="O40" s="4">
        <v>12</v>
      </c>
      <c r="P40" s="4">
        <v>0.9</v>
      </c>
      <c r="Q40" s="4">
        <v>0.4</v>
      </c>
      <c r="R40" s="152" t="s">
        <v>77</v>
      </c>
      <c r="S40" s="122" t="s">
        <v>74</v>
      </c>
      <c r="W40" s="4" t="s">
        <v>261</v>
      </c>
      <c r="X40" s="4" t="s">
        <v>262</v>
      </c>
    </row>
    <row r="41" spans="1:35" x14ac:dyDescent="0.25">
      <c r="I41" s="118"/>
      <c r="K41" s="4" t="s">
        <v>81</v>
      </c>
      <c r="L41" s="4">
        <f>AH25</f>
        <v>3.5200000000000006E-3</v>
      </c>
      <c r="M41" s="4">
        <f>AI25</f>
        <v>0</v>
      </c>
      <c r="N41" s="4" t="s">
        <v>76</v>
      </c>
      <c r="O41" s="4">
        <f>$E$4</f>
        <v>17</v>
      </c>
      <c r="P41" s="4">
        <f>$F$4</f>
        <v>0.9</v>
      </c>
      <c r="Q41" s="4">
        <f>$G$4</f>
        <v>0.4</v>
      </c>
      <c r="R41" s="152" t="s">
        <v>329</v>
      </c>
      <c r="S41" s="118" t="s">
        <v>102</v>
      </c>
      <c r="W41" s="4" t="s">
        <v>265</v>
      </c>
      <c r="X41" s="4" t="s">
        <v>266</v>
      </c>
    </row>
    <row r="42" spans="1:35" x14ac:dyDescent="0.25">
      <c r="I42" s="118"/>
      <c r="S42" s="118"/>
      <c r="W42" s="4" t="s">
        <v>270</v>
      </c>
      <c r="X42" s="4" t="s">
        <v>269</v>
      </c>
    </row>
    <row r="43" spans="1:35" x14ac:dyDescent="0.25">
      <c r="I43" s="118"/>
      <c r="O43" s="4" t="s">
        <v>2</v>
      </c>
      <c r="R43" s="4" t="s">
        <v>3</v>
      </c>
      <c r="S43" s="118"/>
    </row>
    <row r="44" spans="1:35" x14ac:dyDescent="0.25">
      <c r="E44" s="4" t="s">
        <v>2</v>
      </c>
      <c r="H44" s="4" t="s">
        <v>3</v>
      </c>
      <c r="I44" s="118"/>
      <c r="K44" s="25" t="s">
        <v>276</v>
      </c>
      <c r="L44" s="4">
        <v>2023</v>
      </c>
      <c r="M44" s="4">
        <v>2050</v>
      </c>
      <c r="N44" s="4" t="s">
        <v>5</v>
      </c>
      <c r="O44" s="4" t="s">
        <v>8</v>
      </c>
      <c r="P44" s="4" t="s">
        <v>9</v>
      </c>
      <c r="Q44" s="4" t="s">
        <v>10</v>
      </c>
      <c r="S44" s="118"/>
    </row>
    <row r="45" spans="1:35" x14ac:dyDescent="0.25">
      <c r="A45" s="25" t="s">
        <v>279</v>
      </c>
      <c r="B45" s="4">
        <v>2023</v>
      </c>
      <c r="C45" s="4">
        <v>2050</v>
      </c>
      <c r="D45" s="4" t="s">
        <v>5</v>
      </c>
      <c r="E45" s="4" t="s">
        <v>8</v>
      </c>
      <c r="F45" s="4" t="s">
        <v>9</v>
      </c>
      <c r="G45" s="4" t="s">
        <v>10</v>
      </c>
      <c r="I45" s="118"/>
      <c r="K45" s="4" t="s">
        <v>18</v>
      </c>
      <c r="L45" s="4">
        <v>390000</v>
      </c>
      <c r="M45" s="4">
        <v>155000</v>
      </c>
      <c r="N45" s="4" t="s">
        <v>15</v>
      </c>
      <c r="O45" s="4">
        <v>9</v>
      </c>
      <c r="P45" s="4">
        <v>0.9</v>
      </c>
      <c r="Q45" s="4">
        <v>0.4</v>
      </c>
      <c r="R45" s="152" t="s">
        <v>9</v>
      </c>
      <c r="S45" s="118" t="s">
        <v>104</v>
      </c>
    </row>
    <row r="46" spans="1:35" x14ac:dyDescent="0.25">
      <c r="A46" s="4" t="s">
        <v>14</v>
      </c>
      <c r="B46" s="4">
        <v>30000</v>
      </c>
      <c r="C46" s="4">
        <v>30000</v>
      </c>
      <c r="D46" s="4" t="s">
        <v>15</v>
      </c>
      <c r="E46" s="4">
        <v>12</v>
      </c>
      <c r="F46" s="4">
        <v>0.9</v>
      </c>
      <c r="G46" s="4">
        <v>0.4</v>
      </c>
      <c r="H46" s="152" t="s">
        <v>271</v>
      </c>
      <c r="I46" s="118" t="s">
        <v>17</v>
      </c>
      <c r="K46" s="4" t="s">
        <v>28</v>
      </c>
      <c r="L46" s="4">
        <f>-L45*0.15</f>
        <v>-58500</v>
      </c>
      <c r="M46" s="4">
        <f>-M45*0.25</f>
        <v>-38750</v>
      </c>
      <c r="N46" s="4" t="s">
        <v>15</v>
      </c>
      <c r="O46" s="4">
        <v>9</v>
      </c>
      <c r="P46" s="4">
        <v>0.9</v>
      </c>
      <c r="Q46" s="4">
        <v>0.4</v>
      </c>
      <c r="R46" s="152" t="s">
        <v>29</v>
      </c>
      <c r="S46" s="121" t="s">
        <v>91</v>
      </c>
    </row>
    <row r="47" spans="1:35" x14ac:dyDescent="0.25">
      <c r="A47" s="4" t="s">
        <v>25</v>
      </c>
      <c r="B47" s="4">
        <f>-B46*0.25</f>
        <v>-7500</v>
      </c>
      <c r="C47" s="4">
        <f>-C46*0.25</f>
        <v>-7500</v>
      </c>
      <c r="D47" s="4" t="s">
        <v>15</v>
      </c>
      <c r="E47" s="4">
        <v>12</v>
      </c>
      <c r="F47" s="4">
        <v>0.9</v>
      </c>
      <c r="G47" s="4">
        <v>0.4</v>
      </c>
      <c r="H47" s="152" t="s">
        <v>26</v>
      </c>
      <c r="I47" s="119" t="s">
        <v>27</v>
      </c>
      <c r="K47" s="4" t="s">
        <v>41</v>
      </c>
      <c r="L47" s="4">
        <v>8</v>
      </c>
      <c r="M47" s="4">
        <v>8</v>
      </c>
      <c r="N47" s="4" t="s">
        <v>42</v>
      </c>
      <c r="O47" s="4">
        <v>9</v>
      </c>
      <c r="P47" s="4">
        <v>0.9</v>
      </c>
      <c r="Q47" s="4">
        <v>0.4</v>
      </c>
      <c r="R47" s="152" t="s">
        <v>43</v>
      </c>
      <c r="S47" s="117" t="s">
        <v>44</v>
      </c>
    </row>
    <row r="48" spans="1:35" x14ac:dyDescent="0.25">
      <c r="A48" s="4" t="s">
        <v>37</v>
      </c>
      <c r="B48" s="4">
        <v>70000</v>
      </c>
      <c r="C48" s="4">
        <v>70000</v>
      </c>
      <c r="D48" s="4" t="s">
        <v>38</v>
      </c>
      <c r="E48" s="4">
        <v>12</v>
      </c>
      <c r="F48" s="4">
        <v>0.9</v>
      </c>
      <c r="G48" s="4">
        <v>0.4</v>
      </c>
      <c r="H48" s="152" t="s">
        <v>39</v>
      </c>
      <c r="I48" s="118" t="s">
        <v>40</v>
      </c>
      <c r="K48" s="4" t="s">
        <v>52</v>
      </c>
      <c r="L48" s="4">
        <v>26000</v>
      </c>
      <c r="M48" s="4">
        <v>18000</v>
      </c>
      <c r="N48" s="4" t="s">
        <v>38</v>
      </c>
      <c r="O48" s="4">
        <v>9</v>
      </c>
      <c r="P48" s="4">
        <v>0.9</v>
      </c>
      <c r="Q48" s="4">
        <v>0.4</v>
      </c>
      <c r="R48" s="152" t="s">
        <v>9</v>
      </c>
      <c r="S48" s="118" t="s">
        <v>105</v>
      </c>
    </row>
    <row r="49" spans="1:19" x14ac:dyDescent="0.25">
      <c r="A49" s="4" t="s">
        <v>48</v>
      </c>
      <c r="B49" s="4">
        <v>25</v>
      </c>
      <c r="C49" s="4">
        <v>25</v>
      </c>
      <c r="D49" s="4" t="s">
        <v>49</v>
      </c>
      <c r="E49" s="4">
        <v>12</v>
      </c>
      <c r="F49" s="4">
        <v>0.9</v>
      </c>
      <c r="G49" s="4">
        <v>0.4</v>
      </c>
      <c r="H49" s="152" t="s">
        <v>50</v>
      </c>
      <c r="I49" s="118" t="s">
        <v>51</v>
      </c>
      <c r="K49" s="4" t="s">
        <v>59</v>
      </c>
      <c r="L49" s="4">
        <v>2.5299999999999998</v>
      </c>
      <c r="M49" s="4">
        <v>1.79</v>
      </c>
      <c r="N49" s="4" t="s">
        <v>60</v>
      </c>
      <c r="O49" s="4">
        <v>9</v>
      </c>
      <c r="P49" s="4">
        <v>0.9</v>
      </c>
      <c r="Q49" s="4">
        <v>0.4</v>
      </c>
      <c r="R49" s="152" t="s">
        <v>9</v>
      </c>
      <c r="S49" s="118" t="s">
        <v>106</v>
      </c>
    </row>
    <row r="50" spans="1:19" x14ac:dyDescent="0.25">
      <c r="A50" s="4" t="s">
        <v>56</v>
      </c>
      <c r="B50" s="160">
        <f>46%/C15</f>
        <v>0.6133333333333334</v>
      </c>
      <c r="C50" s="160">
        <f>46%/C15</f>
        <v>0.6133333333333334</v>
      </c>
      <c r="D50" s="4" t="s">
        <v>57</v>
      </c>
      <c r="E50" s="4">
        <v>12</v>
      </c>
      <c r="F50" s="4">
        <v>0.9</v>
      </c>
      <c r="G50" s="4">
        <v>0.4</v>
      </c>
      <c r="H50" s="152" t="s">
        <v>16</v>
      </c>
      <c r="I50" s="118" t="s">
        <v>107</v>
      </c>
      <c r="K50" s="4" t="s">
        <v>67</v>
      </c>
      <c r="L50" s="65">
        <f t="shared" ref="L50:Q50" si="1">B9</f>
        <v>0.2544561408768215</v>
      </c>
      <c r="M50" s="65">
        <f t="shared" si="1"/>
        <v>0.10949010032952979</v>
      </c>
      <c r="N50" s="65" t="str">
        <f t="shared" si="1"/>
        <v>[€/kWh]</v>
      </c>
      <c r="O50" s="65">
        <f t="shared" si="1"/>
        <v>12</v>
      </c>
      <c r="P50" s="65">
        <f t="shared" si="1"/>
        <v>0.9</v>
      </c>
      <c r="Q50" s="65">
        <f t="shared" si="1"/>
        <v>0.4</v>
      </c>
      <c r="R50" s="152" t="s">
        <v>77</v>
      </c>
      <c r="S50" s="118" t="s">
        <v>300</v>
      </c>
    </row>
    <row r="51" spans="1:19" x14ac:dyDescent="0.25">
      <c r="A51" s="4" t="s">
        <v>64</v>
      </c>
      <c r="B51" s="4">
        <v>105000</v>
      </c>
      <c r="C51" s="4">
        <v>105000</v>
      </c>
      <c r="D51" s="4" t="s">
        <v>65</v>
      </c>
      <c r="E51" s="4">
        <v>12</v>
      </c>
      <c r="F51" s="4">
        <v>0.9</v>
      </c>
      <c r="G51" s="4">
        <v>0.4</v>
      </c>
      <c r="H51" s="152" t="s">
        <v>16</v>
      </c>
      <c r="I51" s="118" t="s">
        <v>108</v>
      </c>
      <c r="K51" s="4" t="s">
        <v>73</v>
      </c>
      <c r="L51" s="160">
        <v>0.05</v>
      </c>
      <c r="M51" s="160">
        <v>0.02</v>
      </c>
      <c r="N51" s="4" t="s">
        <v>57</v>
      </c>
      <c r="O51" s="4">
        <v>12</v>
      </c>
      <c r="P51" s="4">
        <v>0.9</v>
      </c>
      <c r="Q51" s="4">
        <v>0.4</v>
      </c>
      <c r="R51" s="152" t="s">
        <v>50</v>
      </c>
      <c r="S51" s="118" t="s">
        <v>268</v>
      </c>
    </row>
    <row r="52" spans="1:19" x14ac:dyDescent="0.25">
      <c r="A52" s="4" t="s">
        <v>70</v>
      </c>
      <c r="B52" s="4">
        <v>10</v>
      </c>
      <c r="C52" s="4">
        <v>10</v>
      </c>
      <c r="D52" s="4" t="s">
        <v>42</v>
      </c>
      <c r="E52" s="4">
        <v>12</v>
      </c>
      <c r="F52" s="4">
        <v>0.9</v>
      </c>
      <c r="G52" s="4">
        <v>0.4</v>
      </c>
      <c r="H52" s="152" t="s">
        <v>71</v>
      </c>
      <c r="I52" s="118" t="s">
        <v>72</v>
      </c>
      <c r="K52" s="4" t="s">
        <v>79</v>
      </c>
      <c r="L52" s="160">
        <v>0.06</v>
      </c>
      <c r="M52" s="160">
        <v>0.06</v>
      </c>
      <c r="N52" s="4" t="s">
        <v>57</v>
      </c>
      <c r="O52" s="4">
        <v>12</v>
      </c>
      <c r="P52" s="4">
        <v>0.9</v>
      </c>
      <c r="Q52" s="4">
        <v>0.4</v>
      </c>
      <c r="R52" s="152" t="s">
        <v>77</v>
      </c>
      <c r="S52" s="122" t="s">
        <v>74</v>
      </c>
    </row>
    <row r="53" spans="1:19" x14ac:dyDescent="0.25">
      <c r="A53" s="4" t="s">
        <v>272</v>
      </c>
      <c r="B53" s="4">
        <v>0.11</v>
      </c>
      <c r="C53" s="4">
        <v>0.11</v>
      </c>
      <c r="D53" s="4" t="s">
        <v>76</v>
      </c>
      <c r="E53" s="4">
        <v>12</v>
      </c>
      <c r="F53" s="4">
        <v>0.9</v>
      </c>
      <c r="G53" s="4">
        <v>0.4</v>
      </c>
      <c r="H53" s="152" t="s">
        <v>77</v>
      </c>
      <c r="I53" s="118" t="s">
        <v>78</v>
      </c>
      <c r="K53" s="4" t="s">
        <v>81</v>
      </c>
      <c r="L53" s="4">
        <f>AC25</f>
        <v>9.1245901639344252E-3</v>
      </c>
      <c r="M53" s="4">
        <f>AD25</f>
        <v>0</v>
      </c>
      <c r="N53" s="4" t="s">
        <v>76</v>
      </c>
      <c r="O53" s="4">
        <f>$E$4</f>
        <v>17</v>
      </c>
      <c r="P53" s="4">
        <f>$F$4</f>
        <v>0.9</v>
      </c>
      <c r="Q53" s="4">
        <f>$G$4</f>
        <v>0.4</v>
      </c>
      <c r="R53" s="152" t="s">
        <v>328</v>
      </c>
      <c r="S53" s="118" t="s">
        <v>298</v>
      </c>
    </row>
    <row r="54" spans="1:19" x14ac:dyDescent="0.25">
      <c r="I54" s="118"/>
      <c r="S54" s="117"/>
    </row>
    <row r="55" spans="1:19" x14ac:dyDescent="0.25">
      <c r="I55" s="118"/>
    </row>
    <row r="56" spans="1:19" x14ac:dyDescent="0.25">
      <c r="I56" s="118"/>
    </row>
    <row r="57" spans="1:19" x14ac:dyDescent="0.25">
      <c r="E57" s="4" t="s">
        <v>2</v>
      </c>
      <c r="H57" s="4" t="s">
        <v>3</v>
      </c>
      <c r="I57" s="118"/>
    </row>
    <row r="58" spans="1:19" x14ac:dyDescent="0.25">
      <c r="A58" s="25" t="s">
        <v>280</v>
      </c>
      <c r="B58" s="4">
        <v>2023</v>
      </c>
      <c r="C58" s="4">
        <v>2050</v>
      </c>
      <c r="D58" s="4" t="s">
        <v>5</v>
      </c>
      <c r="E58" s="4" t="s">
        <v>8</v>
      </c>
      <c r="F58" s="4" t="s">
        <v>9</v>
      </c>
      <c r="G58" s="4" t="s">
        <v>10</v>
      </c>
      <c r="I58" s="118"/>
    </row>
    <row r="59" spans="1:19" x14ac:dyDescent="0.25">
      <c r="A59" s="4" t="s">
        <v>14</v>
      </c>
      <c r="B59" s="4">
        <v>40000</v>
      </c>
      <c r="C59" s="4">
        <v>40000</v>
      </c>
      <c r="D59" s="4" t="s">
        <v>15</v>
      </c>
      <c r="E59" s="4">
        <v>12</v>
      </c>
      <c r="F59" s="4">
        <v>0.9</v>
      </c>
      <c r="G59" s="4">
        <v>0.4</v>
      </c>
      <c r="H59" s="152" t="s">
        <v>271</v>
      </c>
      <c r="I59" s="118" t="s">
        <v>17</v>
      </c>
    </row>
    <row r="60" spans="1:19" x14ac:dyDescent="0.25">
      <c r="A60" s="4" t="s">
        <v>25</v>
      </c>
      <c r="B60" s="4">
        <f>-B59*0.25</f>
        <v>-10000</v>
      </c>
      <c r="C60" s="4">
        <f>-C59*0.25</f>
        <v>-10000</v>
      </c>
      <c r="D60" s="4" t="s">
        <v>15</v>
      </c>
      <c r="E60" s="4">
        <v>12</v>
      </c>
      <c r="F60" s="4">
        <v>0.9</v>
      </c>
      <c r="G60" s="4">
        <v>0.4</v>
      </c>
      <c r="H60" s="152" t="s">
        <v>26</v>
      </c>
      <c r="I60" s="119" t="s">
        <v>27</v>
      </c>
    </row>
    <row r="61" spans="1:19" x14ac:dyDescent="0.25">
      <c r="A61" s="4" t="s">
        <v>37</v>
      </c>
      <c r="B61" s="4">
        <v>70000</v>
      </c>
      <c r="C61" s="4">
        <v>70000</v>
      </c>
      <c r="D61" s="4" t="s">
        <v>38</v>
      </c>
      <c r="E61" s="4">
        <v>12</v>
      </c>
      <c r="F61" s="4">
        <v>0.9</v>
      </c>
      <c r="G61" s="4">
        <v>0.4</v>
      </c>
      <c r="H61" s="152" t="s">
        <v>39</v>
      </c>
      <c r="I61" s="118" t="s">
        <v>40</v>
      </c>
    </row>
    <row r="62" spans="1:19" x14ac:dyDescent="0.25">
      <c r="A62" s="4" t="s">
        <v>48</v>
      </c>
      <c r="B62" s="4">
        <v>25</v>
      </c>
      <c r="C62" s="4">
        <v>25</v>
      </c>
      <c r="D62" s="4" t="s">
        <v>49</v>
      </c>
      <c r="E62" s="4">
        <v>12</v>
      </c>
      <c r="F62" s="4">
        <v>0.9</v>
      </c>
      <c r="G62" s="4">
        <v>0.4</v>
      </c>
      <c r="H62" s="152" t="s">
        <v>50</v>
      </c>
      <c r="I62" s="118" t="s">
        <v>51</v>
      </c>
    </row>
    <row r="63" spans="1:19" x14ac:dyDescent="0.25">
      <c r="A63" s="4" t="s">
        <v>56</v>
      </c>
      <c r="B63" s="160">
        <f>46%/C15</f>
        <v>0.6133333333333334</v>
      </c>
      <c r="C63" s="160">
        <f>46%/C15</f>
        <v>0.6133333333333334</v>
      </c>
      <c r="D63" s="4" t="s">
        <v>57</v>
      </c>
      <c r="E63" s="4">
        <v>12</v>
      </c>
      <c r="F63" s="4">
        <v>0.9</v>
      </c>
      <c r="G63" s="4">
        <v>0.4</v>
      </c>
      <c r="H63" s="152" t="s">
        <v>16</v>
      </c>
      <c r="I63" s="118" t="s">
        <v>109</v>
      </c>
    </row>
    <row r="64" spans="1:19" x14ac:dyDescent="0.25">
      <c r="A64" s="4" t="s">
        <v>64</v>
      </c>
      <c r="B64" s="4">
        <v>78000</v>
      </c>
      <c r="C64" s="4">
        <v>78000</v>
      </c>
      <c r="D64" s="4" t="s">
        <v>65</v>
      </c>
      <c r="E64" s="4">
        <v>12</v>
      </c>
      <c r="F64" s="4">
        <v>0.9</v>
      </c>
      <c r="G64" s="4">
        <v>0.4</v>
      </c>
      <c r="H64" s="152" t="s">
        <v>16</v>
      </c>
      <c r="I64" s="118" t="s">
        <v>110</v>
      </c>
    </row>
    <row r="65" spans="1:9" x14ac:dyDescent="0.25">
      <c r="A65" s="4" t="s">
        <v>70</v>
      </c>
      <c r="B65" s="4">
        <v>10</v>
      </c>
      <c r="C65" s="4">
        <v>10</v>
      </c>
      <c r="D65" s="4" t="s">
        <v>42</v>
      </c>
      <c r="E65" s="4">
        <v>12</v>
      </c>
      <c r="F65" s="4">
        <v>0.9</v>
      </c>
      <c r="G65" s="4">
        <v>0.4</v>
      </c>
      <c r="H65" s="152" t="s">
        <v>71</v>
      </c>
      <c r="I65" s="118" t="s">
        <v>72</v>
      </c>
    </row>
    <row r="66" spans="1:9" x14ac:dyDescent="0.25">
      <c r="A66" s="4" t="s">
        <v>272</v>
      </c>
      <c r="B66" s="4">
        <v>0.11</v>
      </c>
      <c r="C66" s="4">
        <v>0.11</v>
      </c>
      <c r="D66" s="4" t="s">
        <v>76</v>
      </c>
      <c r="E66" s="4">
        <v>12</v>
      </c>
      <c r="F66" s="4">
        <v>0.9</v>
      </c>
      <c r="G66" s="4">
        <v>0.4</v>
      </c>
      <c r="H66" s="152" t="s">
        <v>77</v>
      </c>
      <c r="I66" s="118" t="s">
        <v>78</v>
      </c>
    </row>
    <row r="67" spans="1:9" x14ac:dyDescent="0.25">
      <c r="I67" s="118"/>
    </row>
    <row r="68" spans="1:9" x14ac:dyDescent="0.25">
      <c r="I68" s="118"/>
    </row>
    <row r="69" spans="1:9" x14ac:dyDescent="0.25">
      <c r="I69" s="118"/>
    </row>
    <row r="70" spans="1:9" x14ac:dyDescent="0.25">
      <c r="I70" s="118"/>
    </row>
    <row r="71" spans="1:9" x14ac:dyDescent="0.25">
      <c r="E71" s="4" t="s">
        <v>2</v>
      </c>
      <c r="H71" s="4" t="s">
        <v>3</v>
      </c>
      <c r="I71" s="118"/>
    </row>
    <row r="72" spans="1:9" x14ac:dyDescent="0.25">
      <c r="A72" s="25" t="s">
        <v>281</v>
      </c>
      <c r="B72" s="4">
        <v>2023</v>
      </c>
      <c r="C72" s="4">
        <v>2050</v>
      </c>
      <c r="D72" s="4" t="s">
        <v>5</v>
      </c>
      <c r="E72" s="4" t="s">
        <v>8</v>
      </c>
      <c r="F72" s="4" t="s">
        <v>9</v>
      </c>
      <c r="G72" s="4" t="s">
        <v>10</v>
      </c>
      <c r="I72" s="118"/>
    </row>
    <row r="73" spans="1:9" x14ac:dyDescent="0.25">
      <c r="A73" s="4" t="s">
        <v>14</v>
      </c>
      <c r="B73" s="4">
        <v>35000</v>
      </c>
      <c r="C73" s="4">
        <v>35000</v>
      </c>
      <c r="D73" s="4" t="s">
        <v>15</v>
      </c>
      <c r="E73" s="4">
        <v>12</v>
      </c>
      <c r="F73" s="4">
        <v>0.9</v>
      </c>
      <c r="G73" s="4">
        <v>0.4</v>
      </c>
      <c r="H73" s="152" t="s">
        <v>271</v>
      </c>
      <c r="I73" s="118" t="s">
        <v>17</v>
      </c>
    </row>
    <row r="74" spans="1:9" x14ac:dyDescent="0.25">
      <c r="A74" s="4" t="s">
        <v>25</v>
      </c>
      <c r="B74" s="4">
        <f>-B73*0.25</f>
        <v>-8750</v>
      </c>
      <c r="C74" s="4">
        <f>-C73*0.25</f>
        <v>-8750</v>
      </c>
      <c r="D74" s="4" t="s">
        <v>15</v>
      </c>
      <c r="E74" s="4">
        <v>12</v>
      </c>
      <c r="F74" s="4">
        <v>0.9</v>
      </c>
      <c r="G74" s="4">
        <v>0.4</v>
      </c>
      <c r="H74" s="152" t="s">
        <v>26</v>
      </c>
      <c r="I74" s="119" t="s">
        <v>27</v>
      </c>
    </row>
    <row r="75" spans="1:9" x14ac:dyDescent="0.25">
      <c r="A75" s="4" t="s">
        <v>37</v>
      </c>
      <c r="B75" s="4">
        <v>70000</v>
      </c>
      <c r="C75" s="4">
        <v>70000</v>
      </c>
      <c r="D75" s="4" t="s">
        <v>38</v>
      </c>
      <c r="E75" s="4">
        <v>12</v>
      </c>
      <c r="F75" s="4">
        <v>0.9</v>
      </c>
      <c r="G75" s="4">
        <v>0.4</v>
      </c>
      <c r="H75" s="152" t="s">
        <v>39</v>
      </c>
      <c r="I75" s="118" t="s">
        <v>40</v>
      </c>
    </row>
    <row r="76" spans="1:9" x14ac:dyDescent="0.25">
      <c r="A76" s="4" t="s">
        <v>48</v>
      </c>
      <c r="B76" s="4">
        <v>25</v>
      </c>
      <c r="C76" s="4">
        <v>25</v>
      </c>
      <c r="D76" s="4" t="s">
        <v>49</v>
      </c>
      <c r="E76" s="4">
        <v>12</v>
      </c>
      <c r="F76" s="4">
        <v>0.9</v>
      </c>
      <c r="G76" s="4">
        <v>0.4</v>
      </c>
      <c r="H76" s="152" t="s">
        <v>50</v>
      </c>
      <c r="I76" s="118" t="s">
        <v>51</v>
      </c>
    </row>
    <row r="77" spans="1:9" x14ac:dyDescent="0.25">
      <c r="A77" s="4" t="s">
        <v>56</v>
      </c>
      <c r="B77" s="160">
        <f>48%/C15</f>
        <v>0.64</v>
      </c>
      <c r="C77" s="160">
        <f>48%/C15</f>
        <v>0.64</v>
      </c>
      <c r="D77" s="4" t="s">
        <v>57</v>
      </c>
      <c r="E77" s="4">
        <v>12</v>
      </c>
      <c r="F77" s="4">
        <v>0.9</v>
      </c>
      <c r="G77" s="4">
        <v>0.4</v>
      </c>
      <c r="H77" s="152" t="s">
        <v>16</v>
      </c>
      <c r="I77" s="118" t="s">
        <v>111</v>
      </c>
    </row>
    <row r="78" spans="1:9" x14ac:dyDescent="0.25">
      <c r="A78" s="4" t="s">
        <v>64</v>
      </c>
      <c r="B78" s="4">
        <v>90000</v>
      </c>
      <c r="C78" s="4">
        <v>90000</v>
      </c>
      <c r="D78" s="4" t="s">
        <v>65</v>
      </c>
      <c r="E78" s="4">
        <v>12</v>
      </c>
      <c r="F78" s="4">
        <v>0.9</v>
      </c>
      <c r="G78" s="4">
        <v>0.4</v>
      </c>
      <c r="H78" s="152" t="s">
        <v>16</v>
      </c>
      <c r="I78" s="118" t="s">
        <v>112</v>
      </c>
    </row>
    <row r="79" spans="1:9" x14ac:dyDescent="0.25">
      <c r="A79" s="4" t="s">
        <v>70</v>
      </c>
      <c r="B79" s="4">
        <v>10</v>
      </c>
      <c r="C79" s="4">
        <v>10</v>
      </c>
      <c r="D79" s="4" t="s">
        <v>42</v>
      </c>
      <c r="E79" s="4">
        <v>12</v>
      </c>
      <c r="F79" s="4">
        <v>0.9</v>
      </c>
      <c r="G79" s="4">
        <v>0.4</v>
      </c>
      <c r="H79" s="152" t="s">
        <v>71</v>
      </c>
      <c r="I79" s="118" t="s">
        <v>72</v>
      </c>
    </row>
    <row r="80" spans="1:9" x14ac:dyDescent="0.25">
      <c r="A80" s="4" t="s">
        <v>272</v>
      </c>
      <c r="B80" s="4">
        <v>0.11</v>
      </c>
      <c r="C80" s="4">
        <v>0.11</v>
      </c>
      <c r="D80" s="4" t="s">
        <v>76</v>
      </c>
      <c r="E80" s="4">
        <v>12</v>
      </c>
      <c r="F80" s="4">
        <v>0.9</v>
      </c>
      <c r="G80" s="4">
        <v>0.4</v>
      </c>
      <c r="H80" s="152" t="s">
        <v>77</v>
      </c>
      <c r="I80" s="118" t="s">
        <v>78</v>
      </c>
    </row>
    <row r="81" spans="1:42" x14ac:dyDescent="0.25">
      <c r="I81" s="117"/>
    </row>
    <row r="83" spans="1:42" s="93" customFormat="1" ht="31.5" x14ac:dyDescent="0.5">
      <c r="A83" s="93" t="s">
        <v>273</v>
      </c>
      <c r="K83" s="93" t="s">
        <v>0</v>
      </c>
    </row>
    <row r="84" spans="1:42" s="96" customFormat="1" ht="15.6" customHeight="1" x14ac:dyDescent="0.5">
      <c r="B84" s="4" t="s">
        <v>412</v>
      </c>
      <c r="C84" s="94">
        <v>0.75</v>
      </c>
      <c r="D84" s="172" t="s">
        <v>415</v>
      </c>
    </row>
    <row r="85" spans="1:42" s="96" customFormat="1" ht="15.6" customHeight="1" x14ac:dyDescent="0.5">
      <c r="B85" s="4" t="s">
        <v>413</v>
      </c>
      <c r="C85" s="94">
        <f>1-C84</f>
        <v>0.25</v>
      </c>
      <c r="D85" s="172" t="s">
        <v>414</v>
      </c>
    </row>
    <row r="86" spans="1:42" x14ac:dyDescent="0.25">
      <c r="B86" s="162" t="s">
        <v>148</v>
      </c>
      <c r="C86" s="162"/>
      <c r="D86" s="162"/>
      <c r="E86" s="162">
        <v>28</v>
      </c>
      <c r="F86" s="154" t="s">
        <v>9</v>
      </c>
    </row>
    <row r="87" spans="1:42" x14ac:dyDescent="0.25">
      <c r="A87" s="95" t="s">
        <v>113</v>
      </c>
      <c r="B87" s="162" t="s">
        <v>151</v>
      </c>
      <c r="C87" s="162"/>
      <c r="D87" s="162" t="s">
        <v>152</v>
      </c>
      <c r="E87" s="162">
        <f>2800/35</f>
        <v>80</v>
      </c>
      <c r="F87" s="154" t="s">
        <v>9</v>
      </c>
    </row>
    <row r="88" spans="1:42" ht="15.75" thickBot="1" x14ac:dyDescent="0.3"/>
    <row r="89" spans="1:42" x14ac:dyDescent="0.25">
      <c r="E89" s="4" t="s">
        <v>2</v>
      </c>
      <c r="H89" s="4" t="s">
        <v>3</v>
      </c>
      <c r="I89" s="117"/>
      <c r="O89" s="4" t="s">
        <v>2</v>
      </c>
      <c r="R89" s="4" t="s">
        <v>3</v>
      </c>
      <c r="S89" s="117"/>
      <c r="W89" s="99" t="s">
        <v>114</v>
      </c>
      <c r="X89" s="100">
        <v>2023</v>
      </c>
      <c r="Y89" s="100">
        <v>2050</v>
      </c>
      <c r="Z89" s="101" t="s">
        <v>5</v>
      </c>
      <c r="AB89" s="99" t="s">
        <v>115</v>
      </c>
      <c r="AC89" s="100">
        <v>2023</v>
      </c>
      <c r="AD89" s="100">
        <v>2050</v>
      </c>
      <c r="AE89" s="101" t="s">
        <v>5</v>
      </c>
      <c r="AG89" s="99" t="s">
        <v>116</v>
      </c>
      <c r="AH89" s="100">
        <v>2023</v>
      </c>
      <c r="AI89" s="100">
        <v>2050</v>
      </c>
      <c r="AJ89" s="101" t="s">
        <v>5</v>
      </c>
      <c r="AL89" s="99" t="s">
        <v>117</v>
      </c>
      <c r="AM89" s="100">
        <v>2023</v>
      </c>
      <c r="AN89" s="100">
        <v>2050</v>
      </c>
      <c r="AO89" s="101" t="s">
        <v>5</v>
      </c>
    </row>
    <row r="90" spans="1:42" x14ac:dyDescent="0.25">
      <c r="A90" s="25" t="s">
        <v>282</v>
      </c>
      <c r="B90" s="4">
        <v>2023</v>
      </c>
      <c r="C90" s="4">
        <v>2050</v>
      </c>
      <c r="D90" s="4" t="s">
        <v>5</v>
      </c>
      <c r="E90" s="4" t="s">
        <v>8</v>
      </c>
      <c r="F90" s="4" t="s">
        <v>9</v>
      </c>
      <c r="G90" s="4" t="s">
        <v>10</v>
      </c>
      <c r="I90" s="117"/>
      <c r="K90" s="25" t="s">
        <v>11</v>
      </c>
      <c r="L90" s="4">
        <v>2023</v>
      </c>
      <c r="M90" s="4">
        <v>2050</v>
      </c>
      <c r="N90" s="4" t="s">
        <v>5</v>
      </c>
      <c r="O90" s="4" t="s">
        <v>8</v>
      </c>
      <c r="P90" s="4" t="s">
        <v>9</v>
      </c>
      <c r="Q90" s="4" t="s">
        <v>10</v>
      </c>
      <c r="S90" s="34"/>
      <c r="W90" s="102" t="s">
        <v>12</v>
      </c>
      <c r="X90" s="107">
        <f>$B$4</f>
        <v>100</v>
      </c>
      <c r="Y90" s="107">
        <f>$C$4</f>
        <v>350</v>
      </c>
      <c r="Z90" s="103" t="s">
        <v>13</v>
      </c>
      <c r="AB90" s="102" t="s">
        <v>12</v>
      </c>
      <c r="AC90" s="107">
        <f>$B$4</f>
        <v>100</v>
      </c>
      <c r="AD90" s="107">
        <f>$C$4</f>
        <v>350</v>
      </c>
      <c r="AE90" s="103" t="s">
        <v>13</v>
      </c>
      <c r="AG90" s="102" t="s">
        <v>12</v>
      </c>
      <c r="AH90" s="107">
        <f>$B$4</f>
        <v>100</v>
      </c>
      <c r="AI90" s="107">
        <f>$C$4</f>
        <v>350</v>
      </c>
      <c r="AJ90" s="103" t="s">
        <v>13</v>
      </c>
      <c r="AL90" s="102" t="s">
        <v>12</v>
      </c>
      <c r="AM90" s="107">
        <f>$B$4</f>
        <v>100</v>
      </c>
      <c r="AN90" s="107">
        <f>$C$4</f>
        <v>350</v>
      </c>
      <c r="AO90" s="103" t="s">
        <v>13</v>
      </c>
    </row>
    <row r="91" spans="1:42" x14ac:dyDescent="0.25">
      <c r="A91" s="4" t="s">
        <v>14</v>
      </c>
      <c r="B91" s="113">
        <f>150000*$E$86</f>
        <v>4200000</v>
      </c>
      <c r="C91" s="4">
        <f>150000*$E$86</f>
        <v>4200000</v>
      </c>
      <c r="D91" s="4" t="s">
        <v>15</v>
      </c>
      <c r="E91" s="4">
        <v>12</v>
      </c>
      <c r="F91" s="4">
        <v>0.9</v>
      </c>
      <c r="G91" s="4">
        <v>0.4</v>
      </c>
      <c r="H91" s="154" t="s">
        <v>118</v>
      </c>
      <c r="I91" s="118" t="s">
        <v>119</v>
      </c>
      <c r="K91" s="4" t="s">
        <v>18</v>
      </c>
      <c r="L91" s="4">
        <v>3500000</v>
      </c>
      <c r="M91" s="4">
        <v>3500000</v>
      </c>
      <c r="N91" s="4" t="s">
        <v>15</v>
      </c>
      <c r="O91" s="4">
        <v>12</v>
      </c>
      <c r="P91" s="4">
        <v>0.9</v>
      </c>
      <c r="Q91" s="4">
        <v>0.4</v>
      </c>
      <c r="R91" s="154" t="s">
        <v>9</v>
      </c>
      <c r="S91" s="118" t="s">
        <v>120</v>
      </c>
      <c r="W91" s="102" t="s">
        <v>20</v>
      </c>
      <c r="X91" s="201">
        <v>3.17</v>
      </c>
      <c r="Y91" s="201"/>
      <c r="Z91" s="103" t="s">
        <v>21</v>
      </c>
      <c r="AB91" s="102" t="s">
        <v>22</v>
      </c>
      <c r="AC91" s="4">
        <v>2.1999999999999999E-2</v>
      </c>
      <c r="AD91" s="4">
        <v>0</v>
      </c>
      <c r="AE91" s="4" t="s">
        <v>23</v>
      </c>
      <c r="AG91" s="102" t="s">
        <v>22</v>
      </c>
      <c r="AH91" s="4">
        <v>2.1999999999999999E-2</v>
      </c>
      <c r="AI91" s="4">
        <v>0</v>
      </c>
      <c r="AJ91" s="4" t="s">
        <v>23</v>
      </c>
      <c r="AL91" s="102" t="s">
        <v>22</v>
      </c>
      <c r="AM91" s="4">
        <v>2.1999999999999999E-2</v>
      </c>
      <c r="AN91" s="4">
        <v>0</v>
      </c>
      <c r="AO91" s="4" t="s">
        <v>23</v>
      </c>
      <c r="AP91" s="4" t="s">
        <v>24</v>
      </c>
    </row>
    <row r="92" spans="1:42" x14ac:dyDescent="0.25">
      <c r="A92" s="4" t="s">
        <v>25</v>
      </c>
      <c r="B92" s="4">
        <f>-B91*0.05</f>
        <v>-210000</v>
      </c>
      <c r="C92" s="4">
        <f>-C91*0.05</f>
        <v>-210000</v>
      </c>
      <c r="D92" s="4" t="s">
        <v>15</v>
      </c>
      <c r="E92" s="4">
        <v>12</v>
      </c>
      <c r="F92" s="4">
        <v>0.9</v>
      </c>
      <c r="G92" s="4">
        <v>0.4</v>
      </c>
      <c r="H92" s="154" t="s">
        <v>26</v>
      </c>
      <c r="I92" s="117" t="s">
        <v>121</v>
      </c>
      <c r="K92" s="4" t="s">
        <v>28</v>
      </c>
      <c r="L92" s="4">
        <f>-L91*0.15</f>
        <v>-525000</v>
      </c>
      <c r="M92" s="4">
        <f>-M91*0.05</f>
        <v>-175000</v>
      </c>
      <c r="N92" s="4" t="s">
        <v>15</v>
      </c>
      <c r="O92" s="4">
        <v>12</v>
      </c>
      <c r="P92" s="4">
        <v>0.9</v>
      </c>
      <c r="Q92" s="4">
        <v>0.4</v>
      </c>
      <c r="R92" s="154" t="s">
        <v>26</v>
      </c>
      <c r="S92" s="117" t="s">
        <v>122</v>
      </c>
      <c r="W92" s="102" t="s">
        <v>31</v>
      </c>
      <c r="X92" s="201">
        <v>11.89</v>
      </c>
      <c r="Y92" s="201"/>
      <c r="Z92" s="103" t="s">
        <v>32</v>
      </c>
      <c r="AB92" s="102" t="s">
        <v>33</v>
      </c>
      <c r="AC92" s="94">
        <v>0.61</v>
      </c>
      <c r="AD92" s="94">
        <v>0.7</v>
      </c>
      <c r="AE92" s="103" t="s">
        <v>34</v>
      </c>
      <c r="AG92" s="102" t="s">
        <v>35</v>
      </c>
      <c r="AH92" s="94">
        <v>0.95</v>
      </c>
      <c r="AI92" s="94">
        <v>0.95</v>
      </c>
      <c r="AJ92" s="103" t="s">
        <v>34</v>
      </c>
      <c r="AL92" s="102" t="s">
        <v>35</v>
      </c>
      <c r="AM92" s="94">
        <v>0.95</v>
      </c>
      <c r="AN92" s="94">
        <v>0.95</v>
      </c>
      <c r="AO92" s="103" t="s">
        <v>34</v>
      </c>
      <c r="AP92" s="4" t="s">
        <v>36</v>
      </c>
    </row>
    <row r="93" spans="1:42" x14ac:dyDescent="0.25">
      <c r="A93" s="4" t="s">
        <v>37</v>
      </c>
      <c r="B93" s="113">
        <v>650000</v>
      </c>
      <c r="C93" s="4">
        <v>650000</v>
      </c>
      <c r="D93" s="4" t="s">
        <v>38</v>
      </c>
      <c r="E93" s="4">
        <v>12</v>
      </c>
      <c r="F93" s="4">
        <v>0.9</v>
      </c>
      <c r="G93" s="4">
        <v>0.4</v>
      </c>
      <c r="H93" s="154" t="s">
        <v>16</v>
      </c>
      <c r="I93" s="117" t="s">
        <v>123</v>
      </c>
      <c r="K93" s="4" t="s">
        <v>41</v>
      </c>
      <c r="L93" s="4">
        <v>20</v>
      </c>
      <c r="M93" s="4">
        <v>20</v>
      </c>
      <c r="N93" s="4" t="s">
        <v>42</v>
      </c>
      <c r="O93" s="4">
        <v>12</v>
      </c>
      <c r="P93" s="4">
        <v>0.9</v>
      </c>
      <c r="Q93" s="4">
        <v>0.4</v>
      </c>
      <c r="R93" s="154" t="s">
        <v>9</v>
      </c>
      <c r="S93" s="117" t="s">
        <v>124</v>
      </c>
      <c r="W93" s="102" t="s">
        <v>45</v>
      </c>
      <c r="X93" s="200">
        <f>X91/X92</f>
        <v>0.26661059714045415</v>
      </c>
      <c r="Y93" s="200"/>
      <c r="Z93" s="103" t="s">
        <v>46</v>
      </c>
      <c r="AB93" s="102" t="s">
        <v>47</v>
      </c>
      <c r="AC93" s="109">
        <f>AC91/AC92</f>
        <v>3.6065573770491799E-2</v>
      </c>
      <c r="AD93" s="109">
        <f>AD91/AD92</f>
        <v>0</v>
      </c>
      <c r="AE93" s="103" t="s">
        <v>46</v>
      </c>
      <c r="AG93" s="102" t="s">
        <v>22</v>
      </c>
      <c r="AH93" s="109">
        <f>AH91/AH92</f>
        <v>2.3157894736842106E-2</v>
      </c>
      <c r="AI93" s="109">
        <f>AI91/AI92</f>
        <v>0</v>
      </c>
      <c r="AJ93" s="103" t="s">
        <v>46</v>
      </c>
      <c r="AL93" s="102" t="s">
        <v>22</v>
      </c>
      <c r="AM93" s="109">
        <f>AM91/AM92</f>
        <v>2.3157894736842106E-2</v>
      </c>
      <c r="AN93" s="109">
        <f>AN91/AN92</f>
        <v>0</v>
      </c>
      <c r="AO93" s="103" t="s">
        <v>46</v>
      </c>
    </row>
    <row r="94" spans="1:42" x14ac:dyDescent="0.25">
      <c r="A94" s="4" t="s">
        <v>48</v>
      </c>
      <c r="B94" s="4">
        <f>$E$86*$E$87</f>
        <v>2240</v>
      </c>
      <c r="C94" s="4">
        <f>$E$86*$E$87</f>
        <v>2240</v>
      </c>
      <c r="D94" s="4" t="s">
        <v>49</v>
      </c>
      <c r="E94" s="4">
        <v>12</v>
      </c>
      <c r="F94" s="4">
        <v>0.9</v>
      </c>
      <c r="G94" s="4">
        <v>0.4</v>
      </c>
      <c r="H94" s="154" t="s">
        <v>125</v>
      </c>
      <c r="I94" s="118" t="s">
        <v>126</v>
      </c>
      <c r="K94" s="4" t="s">
        <v>52</v>
      </c>
      <c r="L94" s="112">
        <f>L91*0.3</f>
        <v>1050000</v>
      </c>
      <c r="M94" s="112">
        <f>M91*0.3</f>
        <v>1050000</v>
      </c>
      <c r="N94" s="4" t="s">
        <v>38</v>
      </c>
      <c r="O94" s="4">
        <v>12</v>
      </c>
      <c r="P94" s="4">
        <v>0.9</v>
      </c>
      <c r="Q94" s="4">
        <v>0.4</v>
      </c>
      <c r="R94" s="154" t="s">
        <v>9</v>
      </c>
      <c r="S94" s="118" t="s">
        <v>127</v>
      </c>
      <c r="W94" s="102" t="s">
        <v>54</v>
      </c>
      <c r="X94" s="4">
        <f>L95*X93</f>
        <v>20.469721783010932</v>
      </c>
      <c r="Y94" s="4">
        <f>M95*X93</f>
        <v>20.469721783010932</v>
      </c>
      <c r="Z94" s="103" t="s">
        <v>55</v>
      </c>
      <c r="AB94" s="102" t="s">
        <v>54</v>
      </c>
      <c r="AC94" s="4">
        <f>AC93*L131</f>
        <v>1.7621088524590158</v>
      </c>
      <c r="AD94" s="4">
        <f>AD93*M131</f>
        <v>0</v>
      </c>
      <c r="AE94" s="103" t="s">
        <v>55</v>
      </c>
      <c r="AG94" s="102" t="s">
        <v>54</v>
      </c>
      <c r="AH94" s="4">
        <f>AH93*L107</f>
        <v>0.73212076780185753</v>
      </c>
      <c r="AI94" s="4">
        <f>AI93*M107</f>
        <v>0</v>
      </c>
      <c r="AJ94" s="103" t="s">
        <v>55</v>
      </c>
      <c r="AL94" s="102" t="s">
        <v>54</v>
      </c>
      <c r="AM94" s="4">
        <f>AM93*L119</f>
        <v>0.77787831578947364</v>
      </c>
      <c r="AN94" s="4">
        <f>AN93*M119</f>
        <v>0</v>
      </c>
      <c r="AO94" s="103" t="s">
        <v>55</v>
      </c>
    </row>
    <row r="95" spans="1:42" ht="15.75" thickBot="1" x14ac:dyDescent="0.3">
      <c r="A95" s="4" t="s">
        <v>56</v>
      </c>
      <c r="B95" s="160">
        <f>48%/C84</f>
        <v>0.64</v>
      </c>
      <c r="C95" s="160">
        <f>48%/C84</f>
        <v>0.64</v>
      </c>
      <c r="D95" s="4" t="s">
        <v>57</v>
      </c>
      <c r="E95" s="4">
        <v>12</v>
      </c>
      <c r="F95" s="4">
        <v>0.9</v>
      </c>
      <c r="G95" s="4">
        <v>0.4</v>
      </c>
      <c r="H95" s="154" t="s">
        <v>16</v>
      </c>
      <c r="I95" s="117" t="s">
        <v>128</v>
      </c>
      <c r="K95" s="4" t="s">
        <v>59</v>
      </c>
      <c r="L95" s="4">
        <f>(1.8*$B96+0.0041*$B96*$B94*$B95)*10/$B96</f>
        <v>76.777599999999993</v>
      </c>
      <c r="M95" s="4">
        <f>(1.8*$B96+0.0041*$B96*$B94*$B95)*10/$B96</f>
        <v>76.777599999999993</v>
      </c>
      <c r="N95" s="4" t="s">
        <v>60</v>
      </c>
      <c r="O95" s="4">
        <v>12</v>
      </c>
      <c r="P95" s="4">
        <v>0.9</v>
      </c>
      <c r="Q95" s="4">
        <v>0.4</v>
      </c>
      <c r="R95" s="154" t="s">
        <v>43</v>
      </c>
      <c r="S95" s="117" t="s">
        <v>129</v>
      </c>
      <c r="W95" s="104" t="s">
        <v>62</v>
      </c>
      <c r="X95" s="105">
        <f>X90/1000*X94</f>
        <v>2.0469721783010932</v>
      </c>
      <c r="Y95" s="105">
        <f>Y94/1000*Y90</f>
        <v>7.1644026240538263</v>
      </c>
      <c r="Z95" s="106" t="s">
        <v>63</v>
      </c>
      <c r="AB95" s="104" t="s">
        <v>62</v>
      </c>
      <c r="AC95" s="105">
        <f>AC90/1000*AC94</f>
        <v>0.17621088524590159</v>
      </c>
      <c r="AD95" s="105">
        <f>AD94/1000*AD90</f>
        <v>0</v>
      </c>
      <c r="AE95" s="106" t="s">
        <v>63</v>
      </c>
      <c r="AG95" s="104" t="s">
        <v>62</v>
      </c>
      <c r="AH95" s="105">
        <f>AH90/1000*AH94</f>
        <v>7.321207678018575E-2</v>
      </c>
      <c r="AI95" s="105">
        <f>AI94/1000*AI90</f>
        <v>0</v>
      </c>
      <c r="AJ95" s="106" t="s">
        <v>63</v>
      </c>
      <c r="AL95" s="104" t="s">
        <v>62</v>
      </c>
      <c r="AM95" s="105">
        <f>AM90/1000*AM94</f>
        <v>7.7787831578947364E-2</v>
      </c>
      <c r="AN95" s="105">
        <f>AN94/1000*AN90</f>
        <v>0</v>
      </c>
      <c r="AO95" s="106" t="s">
        <v>63</v>
      </c>
    </row>
    <row r="96" spans="1:42" x14ac:dyDescent="0.25">
      <c r="A96" s="4" t="s">
        <v>64</v>
      </c>
      <c r="B96" s="4">
        <v>178500</v>
      </c>
      <c r="C96" s="4">
        <v>178500</v>
      </c>
      <c r="D96" s="4" t="s">
        <v>65</v>
      </c>
      <c r="E96" s="4">
        <v>12</v>
      </c>
      <c r="F96" s="4">
        <v>0.9</v>
      </c>
      <c r="G96" s="4">
        <v>0.4</v>
      </c>
      <c r="H96" s="154" t="s">
        <v>16</v>
      </c>
      <c r="I96" s="118" t="s">
        <v>130</v>
      </c>
      <c r="K96" s="4" t="s">
        <v>67</v>
      </c>
      <c r="L96" s="4">
        <v>0.1</v>
      </c>
      <c r="M96" s="4">
        <v>0.1</v>
      </c>
      <c r="N96" s="4" t="s">
        <v>68</v>
      </c>
      <c r="O96" s="4">
        <v>12</v>
      </c>
      <c r="P96" s="4">
        <v>0.9</v>
      </c>
      <c r="Q96" s="4">
        <v>0.4</v>
      </c>
      <c r="R96" s="154" t="s">
        <v>69</v>
      </c>
      <c r="S96" s="117" t="s">
        <v>263</v>
      </c>
    </row>
    <row r="97" spans="1:33" x14ac:dyDescent="0.25">
      <c r="A97" s="4" t="s">
        <v>70</v>
      </c>
      <c r="B97" s="4">
        <v>30</v>
      </c>
      <c r="C97" s="4">
        <v>30</v>
      </c>
      <c r="D97" s="4" t="s">
        <v>42</v>
      </c>
      <c r="E97" s="4">
        <v>12</v>
      </c>
      <c r="F97" s="4">
        <v>0.9</v>
      </c>
      <c r="G97" s="4">
        <v>0.4</v>
      </c>
      <c r="H97" s="154" t="s">
        <v>131</v>
      </c>
      <c r="I97" s="117" t="s">
        <v>132</v>
      </c>
      <c r="K97" s="4" t="s">
        <v>73</v>
      </c>
      <c r="L97" s="160">
        <v>0</v>
      </c>
      <c r="M97" s="160">
        <v>0</v>
      </c>
      <c r="N97" s="4" t="s">
        <v>57</v>
      </c>
      <c r="O97" s="4">
        <v>12</v>
      </c>
      <c r="P97" s="4">
        <v>0.9</v>
      </c>
      <c r="Q97" s="4">
        <v>0.4</v>
      </c>
      <c r="R97" s="154" t="s">
        <v>9</v>
      </c>
      <c r="S97" s="117" t="s">
        <v>74</v>
      </c>
      <c r="W97" s="4" t="s">
        <v>26</v>
      </c>
      <c r="X97" s="4" t="s">
        <v>80</v>
      </c>
    </row>
    <row r="98" spans="1:33" x14ac:dyDescent="0.25">
      <c r="A98" s="4" t="s">
        <v>287</v>
      </c>
      <c r="B98" s="114">
        <v>3.9215686274509802</v>
      </c>
      <c r="C98" s="114">
        <v>3.9215686274509802</v>
      </c>
      <c r="D98" s="4" t="s">
        <v>76</v>
      </c>
      <c r="E98" s="4">
        <v>12</v>
      </c>
      <c r="F98" s="4">
        <v>0.9</v>
      </c>
      <c r="G98" s="4">
        <v>0.4</v>
      </c>
      <c r="H98" s="154" t="s">
        <v>16</v>
      </c>
      <c r="I98" s="118" t="s">
        <v>133</v>
      </c>
      <c r="K98" s="4" t="s">
        <v>79</v>
      </c>
      <c r="L98" s="160">
        <v>0.06</v>
      </c>
      <c r="M98" s="160">
        <v>0.06</v>
      </c>
      <c r="N98" s="4" t="s">
        <v>57</v>
      </c>
      <c r="O98" s="4">
        <v>12</v>
      </c>
      <c r="P98" s="4">
        <v>0.9</v>
      </c>
      <c r="Q98" s="4">
        <v>0.4</v>
      </c>
      <c r="R98" s="154" t="s">
        <v>97</v>
      </c>
      <c r="S98" s="122" t="s">
        <v>74</v>
      </c>
      <c r="W98" s="4" t="s">
        <v>9</v>
      </c>
      <c r="X98" s="4" t="s">
        <v>99</v>
      </c>
    </row>
    <row r="99" spans="1:33" x14ac:dyDescent="0.25">
      <c r="I99" s="117"/>
      <c r="K99" s="4" t="s">
        <v>81</v>
      </c>
      <c r="L99" s="4">
        <f>X95</f>
        <v>2.0469721783010932</v>
      </c>
      <c r="M99" s="4">
        <f>Y95</f>
        <v>7.1644026240538263</v>
      </c>
      <c r="N99" s="4" t="s">
        <v>76</v>
      </c>
      <c r="O99" s="4">
        <v>17</v>
      </c>
      <c r="P99" s="4">
        <v>0.9</v>
      </c>
      <c r="Q99" s="4">
        <v>0.4</v>
      </c>
      <c r="R99" s="154" t="s">
        <v>327</v>
      </c>
      <c r="S99" s="118" t="s">
        <v>83</v>
      </c>
      <c r="W99" s="4" t="s">
        <v>16</v>
      </c>
      <c r="X99" s="4" t="s">
        <v>85</v>
      </c>
    </row>
    <row r="100" spans="1:33" x14ac:dyDescent="0.25">
      <c r="I100" s="117"/>
      <c r="S100" s="117"/>
      <c r="W100" s="4" t="s">
        <v>43</v>
      </c>
      <c r="X100" s="4" t="s">
        <v>134</v>
      </c>
      <c r="AF100" s="111"/>
      <c r="AG100" s="113"/>
    </row>
    <row r="101" spans="1:33" x14ac:dyDescent="0.25">
      <c r="E101" s="4" t="s">
        <v>2</v>
      </c>
      <c r="H101" s="4" t="s">
        <v>3</v>
      </c>
      <c r="I101" s="117"/>
      <c r="O101" s="4" t="s">
        <v>2</v>
      </c>
      <c r="R101" s="4" t="s">
        <v>3</v>
      </c>
      <c r="S101" s="117"/>
      <c r="W101" s="4" t="s">
        <v>77</v>
      </c>
      <c r="X101" s="4" t="s">
        <v>135</v>
      </c>
    </row>
    <row r="102" spans="1:33" x14ac:dyDescent="0.25">
      <c r="A102" s="25" t="s">
        <v>283</v>
      </c>
      <c r="B102" s="4">
        <v>2023</v>
      </c>
      <c r="C102" s="4">
        <v>2050</v>
      </c>
      <c r="D102" s="4" t="s">
        <v>5</v>
      </c>
      <c r="E102" s="4" t="s">
        <v>8</v>
      </c>
      <c r="F102" s="4" t="s">
        <v>9</v>
      </c>
      <c r="G102" s="4" t="s">
        <v>10</v>
      </c>
      <c r="I102" s="117"/>
      <c r="K102" s="25" t="s">
        <v>136</v>
      </c>
      <c r="L102" s="4">
        <v>2023</v>
      </c>
      <c r="M102" s="4">
        <v>2050</v>
      </c>
      <c r="N102" s="4" t="s">
        <v>5</v>
      </c>
      <c r="O102" s="4" t="s">
        <v>8</v>
      </c>
      <c r="P102" s="4" t="s">
        <v>9</v>
      </c>
      <c r="Q102" s="4" t="s">
        <v>10</v>
      </c>
      <c r="S102" s="117"/>
      <c r="W102" s="4" t="s">
        <v>71</v>
      </c>
      <c r="X102" s="4" t="s">
        <v>137</v>
      </c>
    </row>
    <row r="103" spans="1:33" x14ac:dyDescent="0.25">
      <c r="A103" s="4" t="s">
        <v>14</v>
      </c>
      <c r="B103" s="4">
        <f>200000*$E$86</f>
        <v>5600000</v>
      </c>
      <c r="C103" s="4">
        <f>200000*$E$86</f>
        <v>5600000</v>
      </c>
      <c r="D103" s="4" t="s">
        <v>15</v>
      </c>
      <c r="E103" s="4">
        <v>12</v>
      </c>
      <c r="F103" s="4">
        <v>0.9</v>
      </c>
      <c r="G103" s="4">
        <v>0.4</v>
      </c>
      <c r="H103" s="154" t="s">
        <v>118</v>
      </c>
      <c r="I103" s="118" t="s">
        <v>138</v>
      </c>
      <c r="K103" s="4" t="s">
        <v>18</v>
      </c>
      <c r="L103" s="4">
        <v>5000000</v>
      </c>
      <c r="M103" s="4">
        <v>5000000</v>
      </c>
      <c r="N103" s="4" t="s">
        <v>15</v>
      </c>
      <c r="O103" s="4">
        <v>12</v>
      </c>
      <c r="P103" s="4">
        <v>0.9</v>
      </c>
      <c r="Q103" s="4">
        <v>0.4</v>
      </c>
      <c r="R103" s="154" t="s">
        <v>9</v>
      </c>
      <c r="S103" s="118" t="s">
        <v>139</v>
      </c>
      <c r="W103" s="4" t="s">
        <v>50</v>
      </c>
      <c r="X103" s="4" t="s">
        <v>24</v>
      </c>
    </row>
    <row r="104" spans="1:33" x14ac:dyDescent="0.25">
      <c r="A104" s="4" t="s">
        <v>25</v>
      </c>
      <c r="B104" s="4">
        <f>-B103*0.05</f>
        <v>-280000</v>
      </c>
      <c r="C104" s="4">
        <f>-C103*0.05</f>
        <v>-280000</v>
      </c>
      <c r="D104" s="4" t="s">
        <v>15</v>
      </c>
      <c r="E104" s="4">
        <v>12</v>
      </c>
      <c r="F104" s="4">
        <v>0.9</v>
      </c>
      <c r="G104" s="4">
        <v>0.4</v>
      </c>
      <c r="H104" s="154" t="s">
        <v>26</v>
      </c>
      <c r="I104" s="117" t="s">
        <v>121</v>
      </c>
      <c r="K104" s="4" t="s">
        <v>28</v>
      </c>
      <c r="L104" s="4">
        <f>-L103*0.15</f>
        <v>-750000</v>
      </c>
      <c r="M104" s="4">
        <f>-M103*0.15</f>
        <v>-750000</v>
      </c>
      <c r="N104" s="4" t="s">
        <v>15</v>
      </c>
      <c r="O104" s="4">
        <v>12</v>
      </c>
      <c r="P104" s="4">
        <v>0.9</v>
      </c>
      <c r="Q104" s="4">
        <v>0.4</v>
      </c>
      <c r="R104" s="154" t="s">
        <v>26</v>
      </c>
      <c r="S104" s="117" t="s">
        <v>140</v>
      </c>
      <c r="W104" s="4" t="s">
        <v>82</v>
      </c>
      <c r="X104" s="4" t="s">
        <v>36</v>
      </c>
    </row>
    <row r="105" spans="1:33" x14ac:dyDescent="0.25">
      <c r="A105" s="4" t="s">
        <v>37</v>
      </c>
      <c r="B105" s="4">
        <f>250000+370000</f>
        <v>620000</v>
      </c>
      <c r="C105" s="4">
        <f>250000+370000</f>
        <v>620000</v>
      </c>
      <c r="D105" s="4" t="s">
        <v>38</v>
      </c>
      <c r="E105" s="4">
        <v>12</v>
      </c>
      <c r="F105" s="4">
        <v>0.9</v>
      </c>
      <c r="G105" s="4">
        <v>0.4</v>
      </c>
      <c r="H105" s="154" t="s">
        <v>16</v>
      </c>
      <c r="I105" s="117" t="s">
        <v>141</v>
      </c>
      <c r="K105" s="4" t="s">
        <v>41</v>
      </c>
      <c r="L105" s="4">
        <v>20</v>
      </c>
      <c r="M105" s="4">
        <v>20</v>
      </c>
      <c r="N105" s="4" t="s">
        <v>42</v>
      </c>
      <c r="O105" s="4">
        <v>12</v>
      </c>
      <c r="P105" s="4">
        <v>0.9</v>
      </c>
      <c r="Q105" s="4">
        <v>0.4</v>
      </c>
      <c r="R105" s="154" t="s">
        <v>9</v>
      </c>
      <c r="S105" s="117" t="s">
        <v>124</v>
      </c>
      <c r="W105" s="4" t="s">
        <v>95</v>
      </c>
      <c r="X105" s="4" t="s">
        <v>101</v>
      </c>
    </row>
    <row r="106" spans="1:33" x14ac:dyDescent="0.25">
      <c r="A106" s="4" t="s">
        <v>48</v>
      </c>
      <c r="B106" s="4">
        <f>$E$86*$E$87</f>
        <v>2240</v>
      </c>
      <c r="C106" s="4">
        <f>$E$86*$E$87</f>
        <v>2240</v>
      </c>
      <c r="D106" s="4" t="s">
        <v>49</v>
      </c>
      <c r="E106" s="4">
        <v>12</v>
      </c>
      <c r="F106" s="4">
        <v>0.9</v>
      </c>
      <c r="G106" s="4">
        <v>0.4</v>
      </c>
      <c r="H106" s="154" t="s">
        <v>125</v>
      </c>
      <c r="I106" s="118" t="s">
        <v>126</v>
      </c>
      <c r="K106" s="4" t="s">
        <v>52</v>
      </c>
      <c r="L106" s="4">
        <f>L103*0.13</f>
        <v>650000</v>
      </c>
      <c r="M106" s="4">
        <f>M103*0.13</f>
        <v>650000</v>
      </c>
      <c r="N106" s="4" t="s">
        <v>38</v>
      </c>
      <c r="O106" s="4">
        <v>12</v>
      </c>
      <c r="P106" s="4">
        <v>0.9</v>
      </c>
      <c r="Q106" s="4">
        <v>0.4</v>
      </c>
      <c r="R106" s="154" t="s">
        <v>9</v>
      </c>
      <c r="S106" s="118" t="s">
        <v>142</v>
      </c>
      <c r="W106" s="4" t="s">
        <v>97</v>
      </c>
      <c r="X106" s="4" t="s">
        <v>88</v>
      </c>
    </row>
    <row r="107" spans="1:33" x14ac:dyDescent="0.25">
      <c r="A107" s="4" t="s">
        <v>56</v>
      </c>
      <c r="B107" s="160">
        <f>32%/C84</f>
        <v>0.42666666666666669</v>
      </c>
      <c r="C107" s="160">
        <f>32%/C84</f>
        <v>0.42666666666666669</v>
      </c>
      <c r="D107" s="4" t="s">
        <v>57</v>
      </c>
      <c r="E107" s="4">
        <v>12</v>
      </c>
      <c r="F107" s="4">
        <v>0.9</v>
      </c>
      <c r="G107" s="4">
        <v>0.4</v>
      </c>
      <c r="H107" s="154" t="s">
        <v>16</v>
      </c>
      <c r="I107" s="117" t="s">
        <v>143</v>
      </c>
      <c r="K107" s="4" t="s">
        <v>59</v>
      </c>
      <c r="L107" s="114">
        <f>L95*0.35/0.85</f>
        <v>31.614305882352937</v>
      </c>
      <c r="M107" s="114">
        <f>M95*0.35/0.85</f>
        <v>31.614305882352937</v>
      </c>
      <c r="N107" s="4" t="s">
        <v>60</v>
      </c>
      <c r="O107" s="4">
        <v>12</v>
      </c>
      <c r="P107" s="4">
        <v>0.9</v>
      </c>
      <c r="Q107" s="4">
        <v>0.4</v>
      </c>
      <c r="R107" s="154" t="s">
        <v>9</v>
      </c>
      <c r="S107" s="118" t="s">
        <v>144</v>
      </c>
      <c r="W107" s="4" t="s">
        <v>69</v>
      </c>
      <c r="X107" s="4" t="s">
        <v>262</v>
      </c>
    </row>
    <row r="108" spans="1:33" x14ac:dyDescent="0.25">
      <c r="A108" s="4" t="s">
        <v>64</v>
      </c>
      <c r="B108" s="4">
        <v>178500</v>
      </c>
      <c r="C108" s="4">
        <v>178500</v>
      </c>
      <c r="D108" s="4" t="s">
        <v>65</v>
      </c>
      <c r="E108" s="4">
        <v>12</v>
      </c>
      <c r="F108" s="4">
        <v>0.9</v>
      </c>
      <c r="G108" s="4">
        <v>0.4</v>
      </c>
      <c r="H108" s="154" t="s">
        <v>16</v>
      </c>
      <c r="I108" s="117" t="s">
        <v>143</v>
      </c>
      <c r="K108" s="4" t="s">
        <v>67</v>
      </c>
      <c r="L108" s="65">
        <f t="shared" ref="L108:Q108" si="2">B8</f>
        <v>0.13371034051801745</v>
      </c>
      <c r="M108" s="65">
        <f t="shared" si="2"/>
        <v>8.7585019329602734E-2</v>
      </c>
      <c r="N108" s="65" t="str">
        <f t="shared" si="2"/>
        <v>[€/kWh]</v>
      </c>
      <c r="O108" s="65">
        <f t="shared" si="2"/>
        <v>12</v>
      </c>
      <c r="P108" s="65">
        <f t="shared" si="2"/>
        <v>0.9</v>
      </c>
      <c r="Q108" s="65">
        <f t="shared" si="2"/>
        <v>0.4</v>
      </c>
      <c r="R108" s="154" t="s">
        <v>97</v>
      </c>
      <c r="S108" s="118" t="s">
        <v>301</v>
      </c>
      <c r="W108" s="4" t="s">
        <v>10</v>
      </c>
      <c r="X108" s="4" t="s">
        <v>36</v>
      </c>
    </row>
    <row r="109" spans="1:33" x14ac:dyDescent="0.25">
      <c r="A109" s="4" t="s">
        <v>70</v>
      </c>
      <c r="B109" s="4">
        <v>30</v>
      </c>
      <c r="C109" s="4">
        <v>30</v>
      </c>
      <c r="D109" s="4" t="s">
        <v>42</v>
      </c>
      <c r="E109" s="4">
        <v>12</v>
      </c>
      <c r="F109" s="4">
        <v>0.9</v>
      </c>
      <c r="G109" s="4">
        <v>0.4</v>
      </c>
      <c r="H109" s="154" t="s">
        <v>131</v>
      </c>
      <c r="I109" s="117" t="s">
        <v>132</v>
      </c>
      <c r="K109" s="4" t="s">
        <v>73</v>
      </c>
      <c r="L109" s="160">
        <v>0</v>
      </c>
      <c r="M109" s="160">
        <v>0</v>
      </c>
      <c r="N109" s="4" t="s">
        <v>57</v>
      </c>
      <c r="O109" s="4">
        <v>12</v>
      </c>
      <c r="P109" s="4">
        <v>0.9</v>
      </c>
      <c r="Q109" s="4">
        <v>0.4</v>
      </c>
      <c r="R109" s="154" t="s">
        <v>9</v>
      </c>
      <c r="S109" s="117" t="s">
        <v>74</v>
      </c>
      <c r="W109" s="4" t="s">
        <v>261</v>
      </c>
      <c r="X109" s="4" t="s">
        <v>324</v>
      </c>
    </row>
    <row r="110" spans="1:33" x14ac:dyDescent="0.25">
      <c r="A110" s="4" t="s">
        <v>287</v>
      </c>
      <c r="B110" s="114">
        <v>3.6414565826330532</v>
      </c>
      <c r="C110" s="114">
        <v>3.6414565826330532</v>
      </c>
      <c r="D110" s="4" t="s">
        <v>76</v>
      </c>
      <c r="E110" s="4">
        <v>12</v>
      </c>
      <c r="F110" s="4">
        <v>0.9</v>
      </c>
      <c r="G110" s="4">
        <v>0.4</v>
      </c>
      <c r="H110" s="154" t="s">
        <v>16</v>
      </c>
      <c r="I110" s="118" t="s">
        <v>146</v>
      </c>
      <c r="K110" s="4" t="s">
        <v>79</v>
      </c>
      <c r="L110" s="160">
        <v>0.06</v>
      </c>
      <c r="M110" s="160">
        <v>0.06</v>
      </c>
      <c r="N110" s="4" t="s">
        <v>57</v>
      </c>
      <c r="O110" s="4">
        <v>12</v>
      </c>
      <c r="P110" s="4">
        <v>0.9</v>
      </c>
      <c r="Q110" s="4">
        <v>0.4</v>
      </c>
      <c r="R110" s="154" t="s">
        <v>97</v>
      </c>
      <c r="S110" s="122" t="s">
        <v>147</v>
      </c>
    </row>
    <row r="111" spans="1:33" x14ac:dyDescent="0.25">
      <c r="I111" s="117"/>
      <c r="K111" s="4" t="s">
        <v>81</v>
      </c>
      <c r="L111" s="4">
        <f>AH95</f>
        <v>7.321207678018575E-2</v>
      </c>
      <c r="M111" s="4">
        <f>AI95</f>
        <v>0</v>
      </c>
      <c r="N111" s="4" t="s">
        <v>76</v>
      </c>
      <c r="O111" s="4">
        <f>$E$4</f>
        <v>17</v>
      </c>
      <c r="P111" s="4">
        <f>$F$4</f>
        <v>0.9</v>
      </c>
      <c r="Q111" s="4">
        <f>$G$4</f>
        <v>0.4</v>
      </c>
      <c r="R111" s="154" t="s">
        <v>326</v>
      </c>
      <c r="S111" s="118" t="s">
        <v>102</v>
      </c>
    </row>
    <row r="112" spans="1:33" x14ac:dyDescent="0.25">
      <c r="I112" s="117"/>
      <c r="S112" s="117"/>
    </row>
    <row r="113" spans="1:32" x14ac:dyDescent="0.25">
      <c r="E113" s="4" t="s">
        <v>2</v>
      </c>
      <c r="H113" s="4" t="s">
        <v>3</v>
      </c>
      <c r="I113" s="117"/>
      <c r="O113" s="4" t="s">
        <v>2</v>
      </c>
      <c r="R113" s="4" t="s">
        <v>3</v>
      </c>
      <c r="S113" s="117"/>
    </row>
    <row r="114" spans="1:32" x14ac:dyDescent="0.25">
      <c r="A114" s="25" t="s">
        <v>284</v>
      </c>
      <c r="B114" s="4">
        <v>2023</v>
      </c>
      <c r="C114" s="4">
        <v>2050</v>
      </c>
      <c r="D114" s="4" t="s">
        <v>5</v>
      </c>
      <c r="E114" s="4" t="s">
        <v>8</v>
      </c>
      <c r="F114" s="4" t="s">
        <v>9</v>
      </c>
      <c r="G114" s="4" t="s">
        <v>10</v>
      </c>
      <c r="I114" s="117"/>
      <c r="K114" s="25" t="s">
        <v>87</v>
      </c>
      <c r="L114" s="4">
        <v>2023</v>
      </c>
      <c r="M114" s="4">
        <v>2050</v>
      </c>
      <c r="N114" s="4" t="s">
        <v>5</v>
      </c>
      <c r="O114" s="4" t="s">
        <v>8</v>
      </c>
      <c r="P114" s="4" t="s">
        <v>9</v>
      </c>
      <c r="Q114" s="4" t="s">
        <v>10</v>
      </c>
      <c r="S114" s="117"/>
    </row>
    <row r="115" spans="1:32" x14ac:dyDescent="0.25">
      <c r="A115" s="4" t="s">
        <v>14</v>
      </c>
      <c r="B115" s="4">
        <f>100000*$E$86</f>
        <v>2800000</v>
      </c>
      <c r="C115" s="4">
        <f>100000*$E$86</f>
        <v>2800000</v>
      </c>
      <c r="D115" s="4" t="s">
        <v>15</v>
      </c>
      <c r="E115" s="4">
        <v>12</v>
      </c>
      <c r="F115" s="4">
        <v>0.9</v>
      </c>
      <c r="G115" s="4">
        <v>0.4</v>
      </c>
      <c r="H115" s="154" t="s">
        <v>118</v>
      </c>
      <c r="I115" s="118" t="s">
        <v>149</v>
      </c>
      <c r="K115" s="4" t="s">
        <v>18</v>
      </c>
      <c r="L115" s="4">
        <f>L103*2</f>
        <v>10000000</v>
      </c>
      <c r="M115" s="4">
        <f>M103*1.25</f>
        <v>6250000</v>
      </c>
      <c r="N115" s="4" t="s">
        <v>15</v>
      </c>
      <c r="O115" s="4">
        <v>12</v>
      </c>
      <c r="P115" s="4">
        <v>0.9</v>
      </c>
      <c r="Q115" s="4">
        <v>0.4</v>
      </c>
      <c r="R115" s="154" t="s">
        <v>302</v>
      </c>
      <c r="S115" s="117"/>
    </row>
    <row r="116" spans="1:32" x14ac:dyDescent="0.25">
      <c r="A116" s="4" t="s">
        <v>25</v>
      </c>
      <c r="B116" s="4">
        <f>-B115*0.05</f>
        <v>-140000</v>
      </c>
      <c r="C116" s="4">
        <f>-C115*0.05</f>
        <v>-140000</v>
      </c>
      <c r="D116" s="4" t="s">
        <v>15</v>
      </c>
      <c r="E116" s="4">
        <v>12</v>
      </c>
      <c r="F116" s="4">
        <v>0.9</v>
      </c>
      <c r="G116" s="4">
        <v>0.4</v>
      </c>
      <c r="H116" s="154" t="s">
        <v>26</v>
      </c>
      <c r="I116" s="117" t="s">
        <v>121</v>
      </c>
      <c r="K116" s="4" t="s">
        <v>28</v>
      </c>
      <c r="L116" s="4">
        <f>-L115*0.05</f>
        <v>-500000</v>
      </c>
      <c r="M116" s="4">
        <f>-M115*0.15</f>
        <v>-937500</v>
      </c>
      <c r="N116" s="4" t="s">
        <v>15</v>
      </c>
      <c r="O116" s="4">
        <v>12</v>
      </c>
      <c r="P116" s="4">
        <v>0.9</v>
      </c>
      <c r="Q116" s="4">
        <v>0.4</v>
      </c>
      <c r="R116" s="154" t="s">
        <v>26</v>
      </c>
      <c r="S116" s="117" t="s">
        <v>150</v>
      </c>
    </row>
    <row r="117" spans="1:32" x14ac:dyDescent="0.25">
      <c r="A117" s="4" t="s">
        <v>37</v>
      </c>
      <c r="B117" s="4">
        <f>250000+360000</f>
        <v>610000</v>
      </c>
      <c r="C117" s="4">
        <f>250000+360000</f>
        <v>610000</v>
      </c>
      <c r="D117" s="4" t="s">
        <v>38</v>
      </c>
      <c r="E117" s="4">
        <v>12</v>
      </c>
      <c r="F117" s="4">
        <v>0.9</v>
      </c>
      <c r="G117" s="4">
        <v>0.4</v>
      </c>
      <c r="H117" s="154" t="s">
        <v>16</v>
      </c>
      <c r="I117" s="117" t="s">
        <v>153</v>
      </c>
      <c r="K117" s="4" t="s">
        <v>41</v>
      </c>
      <c r="L117" s="4">
        <v>20</v>
      </c>
      <c r="M117" s="4">
        <v>20</v>
      </c>
      <c r="N117" s="4" t="s">
        <v>42</v>
      </c>
      <c r="O117" s="4">
        <v>12</v>
      </c>
      <c r="P117" s="4">
        <v>0.9</v>
      </c>
      <c r="Q117" s="4">
        <v>0.4</v>
      </c>
      <c r="R117" s="154" t="s">
        <v>9</v>
      </c>
      <c r="S117" s="117" t="s">
        <v>124</v>
      </c>
    </row>
    <row r="118" spans="1:32" x14ac:dyDescent="0.25">
      <c r="A118" s="4" t="s">
        <v>48</v>
      </c>
      <c r="B118" s="4">
        <f>$E$86*$E$87</f>
        <v>2240</v>
      </c>
      <c r="C118" s="4">
        <f>$E$86*$E$87</f>
        <v>2240</v>
      </c>
      <c r="D118" s="4" t="s">
        <v>49</v>
      </c>
      <c r="E118" s="4">
        <v>12</v>
      </c>
      <c r="F118" s="4">
        <v>0.9</v>
      </c>
      <c r="G118" s="4">
        <v>0.4</v>
      </c>
      <c r="H118" s="154" t="s">
        <v>125</v>
      </c>
      <c r="I118" s="118" t="s">
        <v>126</v>
      </c>
      <c r="K118" s="4" t="s">
        <v>52</v>
      </c>
      <c r="L118" s="113">
        <f>L115*0.13</f>
        <v>1300000</v>
      </c>
      <c r="M118" s="4">
        <f>M115*0.13</f>
        <v>812500</v>
      </c>
      <c r="N118" s="4" t="s">
        <v>38</v>
      </c>
      <c r="O118" s="4">
        <v>12</v>
      </c>
      <c r="P118" s="4">
        <v>0.9</v>
      </c>
      <c r="Q118" s="4">
        <v>0.4</v>
      </c>
      <c r="R118" s="154" t="s">
        <v>154</v>
      </c>
      <c r="S118" s="118" t="s">
        <v>155</v>
      </c>
    </row>
    <row r="119" spans="1:32" x14ac:dyDescent="0.25">
      <c r="A119" s="4" t="s">
        <v>56</v>
      </c>
      <c r="B119" s="160">
        <f>32%/C84</f>
        <v>0.42666666666666669</v>
      </c>
      <c r="C119" s="160">
        <f>32%/C84</f>
        <v>0.42666666666666669</v>
      </c>
      <c r="D119" s="4" t="s">
        <v>57</v>
      </c>
      <c r="E119" s="4">
        <v>12</v>
      </c>
      <c r="F119" s="4">
        <v>0.9</v>
      </c>
      <c r="G119" s="4">
        <v>0.4</v>
      </c>
      <c r="H119" s="154" t="s">
        <v>16</v>
      </c>
      <c r="I119" s="117" t="s">
        <v>156</v>
      </c>
      <c r="K119" s="4" t="s">
        <v>59</v>
      </c>
      <c r="L119" s="4">
        <f>L95*0.35/0.8</f>
        <v>33.590199999999996</v>
      </c>
      <c r="M119" s="4">
        <f>M95*0.35/0.8</f>
        <v>33.590199999999996</v>
      </c>
      <c r="N119" s="4" t="s">
        <v>60</v>
      </c>
      <c r="O119" s="4">
        <v>12</v>
      </c>
      <c r="P119" s="4">
        <v>0.9</v>
      </c>
      <c r="Q119" s="4">
        <v>0.4</v>
      </c>
      <c r="R119" s="154" t="s">
        <v>9</v>
      </c>
      <c r="S119" s="118" t="s">
        <v>157</v>
      </c>
    </row>
    <row r="120" spans="1:32" x14ac:dyDescent="0.25">
      <c r="A120" s="4" t="s">
        <v>64</v>
      </c>
      <c r="B120" s="4">
        <v>178500</v>
      </c>
      <c r="C120" s="4">
        <v>178500</v>
      </c>
      <c r="D120" s="4" t="s">
        <v>65</v>
      </c>
      <c r="E120" s="4">
        <v>12</v>
      </c>
      <c r="F120" s="4">
        <v>0.9</v>
      </c>
      <c r="G120" s="4">
        <v>0.4</v>
      </c>
      <c r="H120" s="154" t="s">
        <v>16</v>
      </c>
      <c r="I120" s="117" t="s">
        <v>156</v>
      </c>
      <c r="K120" s="4" t="s">
        <v>67</v>
      </c>
      <c r="L120" s="65">
        <f t="shared" ref="L120:Q120" si="3">B8</f>
        <v>0.13371034051801745</v>
      </c>
      <c r="M120" s="65">
        <f t="shared" si="3"/>
        <v>8.7585019329602734E-2</v>
      </c>
      <c r="N120" s="65" t="str">
        <f t="shared" si="3"/>
        <v>[€/kWh]</v>
      </c>
      <c r="O120" s="65">
        <f t="shared" si="3"/>
        <v>12</v>
      </c>
      <c r="P120" s="65">
        <f t="shared" si="3"/>
        <v>0.9</v>
      </c>
      <c r="Q120" s="65">
        <f t="shared" si="3"/>
        <v>0.4</v>
      </c>
      <c r="R120" s="154" t="s">
        <v>97</v>
      </c>
      <c r="S120" s="118" t="s">
        <v>301</v>
      </c>
    </row>
    <row r="121" spans="1:32" x14ac:dyDescent="0.25">
      <c r="A121" s="4" t="s">
        <v>70</v>
      </c>
      <c r="B121" s="4">
        <v>30</v>
      </c>
      <c r="C121" s="4">
        <v>30</v>
      </c>
      <c r="D121" s="4" t="s">
        <v>42</v>
      </c>
      <c r="E121" s="4">
        <v>12</v>
      </c>
      <c r="F121" s="4">
        <v>0.9</v>
      </c>
      <c r="G121" s="4">
        <v>0.4</v>
      </c>
      <c r="H121" s="154" t="s">
        <v>131</v>
      </c>
      <c r="I121" s="117" t="s">
        <v>132</v>
      </c>
      <c r="K121" s="4" t="s">
        <v>73</v>
      </c>
      <c r="L121" s="123">
        <f>1/E86</f>
        <v>3.5714285714285712E-2</v>
      </c>
      <c r="M121" s="123">
        <f>0.5/E86</f>
        <v>1.7857142857142856E-2</v>
      </c>
      <c r="N121" s="4" t="s">
        <v>57</v>
      </c>
      <c r="O121" s="4">
        <v>12</v>
      </c>
      <c r="P121" s="4">
        <v>0.9</v>
      </c>
      <c r="Q121" s="4">
        <v>0.4</v>
      </c>
      <c r="R121" s="154" t="s">
        <v>154</v>
      </c>
      <c r="S121" s="117" t="s">
        <v>158</v>
      </c>
    </row>
    <row r="122" spans="1:32" x14ac:dyDescent="0.25">
      <c r="A122" s="4" t="s">
        <v>287</v>
      </c>
      <c r="B122" s="114">
        <v>3.6414565826330532</v>
      </c>
      <c r="C122" s="114">
        <v>3.6414565826330532</v>
      </c>
      <c r="D122" s="4" t="s">
        <v>76</v>
      </c>
      <c r="E122" s="4">
        <v>12</v>
      </c>
      <c r="F122" s="4">
        <v>0.9</v>
      </c>
      <c r="G122" s="4">
        <v>0.4</v>
      </c>
      <c r="H122" s="154" t="s">
        <v>16</v>
      </c>
      <c r="I122" s="118" t="s">
        <v>146</v>
      </c>
      <c r="K122" s="4" t="s">
        <v>79</v>
      </c>
      <c r="L122" s="160">
        <v>0.06</v>
      </c>
      <c r="M122" s="160">
        <v>0.06</v>
      </c>
      <c r="N122" s="4" t="s">
        <v>57</v>
      </c>
      <c r="O122" s="4">
        <v>12</v>
      </c>
      <c r="P122" s="4">
        <v>0.9</v>
      </c>
      <c r="Q122" s="4">
        <v>0.4</v>
      </c>
      <c r="R122" s="154" t="s">
        <v>97</v>
      </c>
      <c r="S122" s="122" t="s">
        <v>74</v>
      </c>
    </row>
    <row r="123" spans="1:32" x14ac:dyDescent="0.25">
      <c r="I123" s="117"/>
      <c r="K123" s="4" t="s">
        <v>81</v>
      </c>
      <c r="L123" s="4">
        <f>AM95</f>
        <v>7.7787831578947364E-2</v>
      </c>
      <c r="M123" s="4">
        <f>AN95</f>
        <v>0</v>
      </c>
      <c r="N123" s="4" t="s">
        <v>76</v>
      </c>
      <c r="O123" s="4">
        <f>$E$4</f>
        <v>17</v>
      </c>
      <c r="P123" s="4">
        <f>$F$4</f>
        <v>0.9</v>
      </c>
      <c r="Q123" s="4">
        <f>$G$4</f>
        <v>0.4</v>
      </c>
      <c r="R123" s="154" t="s">
        <v>325</v>
      </c>
      <c r="S123" s="118" t="s">
        <v>102</v>
      </c>
    </row>
    <row r="124" spans="1:32" x14ac:dyDescent="0.25">
      <c r="I124" s="117"/>
      <c r="S124" s="117"/>
    </row>
    <row r="125" spans="1:32" x14ac:dyDescent="0.25">
      <c r="E125" s="4" t="s">
        <v>2</v>
      </c>
      <c r="H125" s="4" t="s">
        <v>3</v>
      </c>
      <c r="I125" s="117"/>
      <c r="O125" s="4" t="s">
        <v>2</v>
      </c>
      <c r="R125" s="4" t="s">
        <v>3</v>
      </c>
      <c r="S125" s="117"/>
      <c r="AE125" s="4">
        <f>L95*0.35</f>
        <v>26.872159999999997</v>
      </c>
      <c r="AF125" s="4">
        <f>AE125/0.85</f>
        <v>31.614305882352937</v>
      </c>
    </row>
    <row r="126" spans="1:32" x14ac:dyDescent="0.25">
      <c r="A126" s="25" t="s">
        <v>285</v>
      </c>
      <c r="B126" s="4">
        <v>2023</v>
      </c>
      <c r="C126" s="4">
        <v>2050</v>
      </c>
      <c r="D126" s="4" t="s">
        <v>5</v>
      </c>
      <c r="E126" s="4" t="s">
        <v>8</v>
      </c>
      <c r="F126" s="4" t="s">
        <v>9</v>
      </c>
      <c r="G126" s="4" t="s">
        <v>10</v>
      </c>
      <c r="I126" s="117"/>
      <c r="K126" s="25" t="s">
        <v>103</v>
      </c>
      <c r="L126" s="4">
        <v>2023</v>
      </c>
      <c r="M126" s="4">
        <v>2050</v>
      </c>
      <c r="N126" s="4" t="s">
        <v>5</v>
      </c>
      <c r="O126" s="4" t="s">
        <v>8</v>
      </c>
      <c r="P126" s="4" t="s">
        <v>9</v>
      </c>
      <c r="Q126" s="4" t="s">
        <v>10</v>
      </c>
      <c r="S126" s="117"/>
    </row>
    <row r="127" spans="1:32" x14ac:dyDescent="0.25">
      <c r="A127" s="4" t="s">
        <v>14</v>
      </c>
      <c r="B127" s="4">
        <f>150000*$E$86</f>
        <v>4200000</v>
      </c>
      <c r="C127" s="4">
        <f>150000*$E$86</f>
        <v>4200000</v>
      </c>
      <c r="D127" s="4" t="s">
        <v>15</v>
      </c>
      <c r="E127" s="4">
        <v>12</v>
      </c>
      <c r="F127" s="4">
        <v>0.9</v>
      </c>
      <c r="G127" s="4">
        <v>0.4</v>
      </c>
      <c r="H127" s="154" t="s">
        <v>118</v>
      </c>
      <c r="I127" s="118" t="s">
        <v>119</v>
      </c>
      <c r="K127" s="4" t="s">
        <v>18</v>
      </c>
      <c r="L127" s="4">
        <f>L103*2</f>
        <v>10000000</v>
      </c>
      <c r="M127" s="4">
        <f>M103*0.8</f>
        <v>4000000</v>
      </c>
      <c r="N127" s="4" t="s">
        <v>15</v>
      </c>
      <c r="O127" s="4">
        <v>12</v>
      </c>
      <c r="P127" s="4">
        <v>0.9</v>
      </c>
      <c r="Q127" s="4">
        <v>0.4</v>
      </c>
      <c r="R127" s="154" t="s">
        <v>302</v>
      </c>
      <c r="S127" s="117"/>
    </row>
    <row r="128" spans="1:32" x14ac:dyDescent="0.25">
      <c r="A128" s="4" t="s">
        <v>25</v>
      </c>
      <c r="B128" s="4">
        <f>-B127*0.05</f>
        <v>-210000</v>
      </c>
      <c r="C128" s="4">
        <f>-C127*0.05</f>
        <v>-210000</v>
      </c>
      <c r="D128" s="4" t="s">
        <v>15</v>
      </c>
      <c r="E128" s="4">
        <v>12</v>
      </c>
      <c r="F128" s="4">
        <v>0.9</v>
      </c>
      <c r="G128" s="4">
        <v>0.4</v>
      </c>
      <c r="H128" s="154" t="s">
        <v>26</v>
      </c>
      <c r="I128" s="117" t="s">
        <v>121</v>
      </c>
      <c r="K128" s="4" t="s">
        <v>28</v>
      </c>
      <c r="L128" s="4">
        <f>-L127*0.05</f>
        <v>-500000</v>
      </c>
      <c r="M128" s="4">
        <f>-M127*0.15</f>
        <v>-600000</v>
      </c>
      <c r="N128" s="4" t="s">
        <v>15</v>
      </c>
      <c r="O128" s="4">
        <v>12</v>
      </c>
      <c r="P128" s="4">
        <v>0.9</v>
      </c>
      <c r="Q128" s="4">
        <v>0.4</v>
      </c>
      <c r="R128" s="154" t="s">
        <v>26</v>
      </c>
      <c r="S128" s="117" t="s">
        <v>150</v>
      </c>
    </row>
    <row r="129" spans="1:19" x14ac:dyDescent="0.25">
      <c r="A129" s="4" t="s">
        <v>37</v>
      </c>
      <c r="B129" s="4">
        <f>600000+850000</f>
        <v>1450000</v>
      </c>
      <c r="C129" s="4">
        <f>600000+850000</f>
        <v>1450000</v>
      </c>
      <c r="D129" s="4" t="s">
        <v>38</v>
      </c>
      <c r="E129" s="4">
        <v>12</v>
      </c>
      <c r="F129" s="4">
        <v>0.9</v>
      </c>
      <c r="G129" s="4">
        <v>0.4</v>
      </c>
      <c r="H129" s="154" t="s">
        <v>16</v>
      </c>
      <c r="I129" s="117" t="s">
        <v>159</v>
      </c>
      <c r="K129" s="4" t="s">
        <v>41</v>
      </c>
      <c r="L129" s="4">
        <v>20</v>
      </c>
      <c r="M129" s="4">
        <v>20</v>
      </c>
      <c r="N129" s="4" t="s">
        <v>42</v>
      </c>
      <c r="O129" s="4">
        <v>12</v>
      </c>
      <c r="P129" s="4">
        <v>0.9</v>
      </c>
      <c r="Q129" s="4">
        <v>0.4</v>
      </c>
      <c r="R129" s="154" t="s">
        <v>9</v>
      </c>
      <c r="S129" s="117" t="s">
        <v>124</v>
      </c>
    </row>
    <row r="130" spans="1:19" x14ac:dyDescent="0.25">
      <c r="A130" s="4" t="s">
        <v>48</v>
      </c>
      <c r="B130" s="4">
        <f>$E$86*$E$87</f>
        <v>2240</v>
      </c>
      <c r="C130" s="4">
        <f>$E$86*$E$87</f>
        <v>2240</v>
      </c>
      <c r="D130" s="4" t="s">
        <v>49</v>
      </c>
      <c r="E130" s="4">
        <v>12</v>
      </c>
      <c r="F130" s="4">
        <v>0.9</v>
      </c>
      <c r="G130" s="4">
        <v>0.4</v>
      </c>
      <c r="H130" s="154" t="s">
        <v>125</v>
      </c>
      <c r="I130" s="118" t="s">
        <v>126</v>
      </c>
      <c r="K130" s="4" t="s">
        <v>52</v>
      </c>
      <c r="L130" s="4">
        <f>L127*0.14</f>
        <v>1400000.0000000002</v>
      </c>
      <c r="M130" s="4">
        <f>M127*0.14</f>
        <v>560000</v>
      </c>
      <c r="N130" s="4" t="s">
        <v>38</v>
      </c>
      <c r="O130" s="4">
        <v>12</v>
      </c>
      <c r="P130" s="4">
        <v>0.9</v>
      </c>
      <c r="Q130" s="4">
        <v>0.4</v>
      </c>
      <c r="R130" s="154" t="s">
        <v>154</v>
      </c>
      <c r="S130" s="118" t="s">
        <v>155</v>
      </c>
    </row>
    <row r="131" spans="1:19" x14ac:dyDescent="0.25">
      <c r="A131" s="4" t="s">
        <v>56</v>
      </c>
      <c r="B131" s="160">
        <f>54%/C84</f>
        <v>0.72000000000000008</v>
      </c>
      <c r="C131" s="160">
        <f>54%/C84</f>
        <v>0.72000000000000008</v>
      </c>
      <c r="D131" s="4" t="s">
        <v>57</v>
      </c>
      <c r="E131" s="4">
        <v>12</v>
      </c>
      <c r="F131" s="4">
        <v>0.9</v>
      </c>
      <c r="G131" s="4">
        <v>0.4</v>
      </c>
      <c r="H131" s="154" t="s">
        <v>16</v>
      </c>
      <c r="I131" s="117" t="s">
        <v>160</v>
      </c>
      <c r="K131" s="4" t="s">
        <v>59</v>
      </c>
      <c r="L131" s="4">
        <f>L95*0.35/0.55</f>
        <v>48.858472727272719</v>
      </c>
      <c r="M131" s="4">
        <f>M95*0.35/0.65</f>
        <v>41.341784615384611</v>
      </c>
      <c r="N131" s="4" t="s">
        <v>60</v>
      </c>
      <c r="O131" s="4">
        <v>12</v>
      </c>
      <c r="P131" s="4">
        <v>0.9</v>
      </c>
      <c r="Q131" s="4">
        <v>0.4</v>
      </c>
      <c r="R131" s="154" t="s">
        <v>9</v>
      </c>
      <c r="S131" s="118" t="s">
        <v>161</v>
      </c>
    </row>
    <row r="132" spans="1:19" x14ac:dyDescent="0.25">
      <c r="A132" s="4" t="s">
        <v>64</v>
      </c>
      <c r="B132" s="4">
        <v>178500</v>
      </c>
      <c r="C132" s="4">
        <v>178500</v>
      </c>
      <c r="D132" s="4" t="s">
        <v>65</v>
      </c>
      <c r="E132" s="4">
        <v>12</v>
      </c>
      <c r="F132" s="4">
        <v>0.9</v>
      </c>
      <c r="G132" s="4">
        <v>0.4</v>
      </c>
      <c r="H132" s="154" t="s">
        <v>16</v>
      </c>
      <c r="I132" s="117" t="s">
        <v>160</v>
      </c>
      <c r="K132" s="4" t="s">
        <v>67</v>
      </c>
      <c r="L132" s="65">
        <f t="shared" ref="L132:Q132" si="4">B9</f>
        <v>0.2544561408768215</v>
      </c>
      <c r="M132" s="65">
        <f t="shared" si="4"/>
        <v>0.10949010032952979</v>
      </c>
      <c r="N132" s="65" t="str">
        <f t="shared" si="4"/>
        <v>[€/kWh]</v>
      </c>
      <c r="O132" s="65">
        <f t="shared" si="4"/>
        <v>12</v>
      </c>
      <c r="P132" s="65">
        <f t="shared" si="4"/>
        <v>0.9</v>
      </c>
      <c r="Q132" s="65">
        <f t="shared" si="4"/>
        <v>0.4</v>
      </c>
      <c r="R132" s="154" t="s">
        <v>97</v>
      </c>
      <c r="S132" s="118" t="s">
        <v>300</v>
      </c>
    </row>
    <row r="133" spans="1:19" x14ac:dyDescent="0.25">
      <c r="A133" s="4" t="s">
        <v>70</v>
      </c>
      <c r="B133" s="4">
        <v>30</v>
      </c>
      <c r="C133" s="4">
        <v>30</v>
      </c>
      <c r="D133" s="4" t="s">
        <v>42</v>
      </c>
      <c r="E133" s="4">
        <v>12</v>
      </c>
      <c r="F133" s="4">
        <v>0.9</v>
      </c>
      <c r="G133" s="4">
        <v>0.4</v>
      </c>
      <c r="H133" s="154" t="s">
        <v>131</v>
      </c>
      <c r="I133" s="117" t="s">
        <v>132</v>
      </c>
      <c r="K133" s="4" t="s">
        <v>73</v>
      </c>
      <c r="L133" s="123">
        <f>0.5/E86</f>
        <v>1.7857142857142856E-2</v>
      </c>
      <c r="M133" s="123">
        <f>0.5/E86</f>
        <v>1.7857142857142856E-2</v>
      </c>
      <c r="N133" s="4" t="s">
        <v>57</v>
      </c>
      <c r="O133" s="4">
        <v>12</v>
      </c>
      <c r="P133" s="4">
        <v>0.9</v>
      </c>
      <c r="Q133" s="4">
        <v>0.4</v>
      </c>
      <c r="R133" s="154" t="s">
        <v>154</v>
      </c>
      <c r="S133" s="117" t="s">
        <v>162</v>
      </c>
    </row>
    <row r="134" spans="1:19" x14ac:dyDescent="0.25">
      <c r="A134" s="4" t="s">
        <v>287</v>
      </c>
      <c r="B134" s="4">
        <v>8.9635854341736696</v>
      </c>
      <c r="C134" s="4">
        <v>8.9635854341736696</v>
      </c>
      <c r="D134" s="4" t="s">
        <v>76</v>
      </c>
      <c r="E134" s="4">
        <v>12</v>
      </c>
      <c r="F134" s="4">
        <v>0.9</v>
      </c>
      <c r="G134" s="4">
        <v>0.4</v>
      </c>
      <c r="H134" s="154" t="s">
        <v>16</v>
      </c>
      <c r="I134" s="118" t="s">
        <v>163</v>
      </c>
      <c r="K134" s="4" t="s">
        <v>79</v>
      </c>
      <c r="L134" s="160">
        <v>0.06</v>
      </c>
      <c r="M134" s="160">
        <v>0.06</v>
      </c>
      <c r="N134" s="4" t="s">
        <v>57</v>
      </c>
      <c r="O134" s="4">
        <v>12</v>
      </c>
      <c r="P134" s="4">
        <v>0.9</v>
      </c>
      <c r="Q134" s="4">
        <v>0.4</v>
      </c>
      <c r="R134" s="154" t="s">
        <v>97</v>
      </c>
      <c r="S134" s="122" t="s">
        <v>74</v>
      </c>
    </row>
    <row r="135" spans="1:19" x14ac:dyDescent="0.25">
      <c r="I135" s="117"/>
      <c r="K135" s="4" t="s">
        <v>81</v>
      </c>
      <c r="L135" s="4">
        <f>AC95</f>
        <v>0.17621088524590159</v>
      </c>
      <c r="M135" s="4">
        <f>AD95</f>
        <v>0</v>
      </c>
      <c r="N135" s="4" t="s">
        <v>76</v>
      </c>
      <c r="O135" s="4">
        <f>$E$4</f>
        <v>17</v>
      </c>
      <c r="P135" s="4">
        <f>$F$4</f>
        <v>0.9</v>
      </c>
      <c r="Q135" s="4">
        <f>$G$4</f>
        <v>0.4</v>
      </c>
      <c r="R135" s="154" t="s">
        <v>325</v>
      </c>
      <c r="S135" s="118" t="s">
        <v>299</v>
      </c>
    </row>
    <row r="136" spans="1:19" x14ac:dyDescent="0.25">
      <c r="E136" s="4" t="s">
        <v>2</v>
      </c>
      <c r="I136" s="117"/>
      <c r="S136" s="117"/>
    </row>
    <row r="137" spans="1:19" x14ac:dyDescent="0.25">
      <c r="A137" s="25" t="s">
        <v>286</v>
      </c>
      <c r="B137" s="4">
        <v>2023</v>
      </c>
      <c r="C137" s="4">
        <v>2050</v>
      </c>
      <c r="D137" s="4" t="s">
        <v>5</v>
      </c>
      <c r="E137" s="4" t="s">
        <v>8</v>
      </c>
      <c r="F137" s="4" t="s">
        <v>9</v>
      </c>
      <c r="G137" s="4" t="s">
        <v>10</v>
      </c>
      <c r="H137" s="4" t="s">
        <v>3</v>
      </c>
      <c r="I137" s="117"/>
      <c r="S137" s="34"/>
    </row>
    <row r="138" spans="1:19" x14ac:dyDescent="0.25">
      <c r="A138" s="4" t="s">
        <v>14</v>
      </c>
      <c r="B138" s="4">
        <f>125000*$E$86</f>
        <v>3500000</v>
      </c>
      <c r="C138" s="4">
        <f>125000*$E$86</f>
        <v>3500000</v>
      </c>
      <c r="D138" s="4" t="s">
        <v>15</v>
      </c>
      <c r="E138" s="4">
        <v>12</v>
      </c>
      <c r="F138" s="4">
        <v>0.9</v>
      </c>
      <c r="G138" s="4">
        <v>0.4</v>
      </c>
      <c r="H138" s="154" t="s">
        <v>118</v>
      </c>
      <c r="I138" s="118" t="s">
        <v>164</v>
      </c>
    </row>
    <row r="139" spans="1:19" x14ac:dyDescent="0.25">
      <c r="A139" s="4" t="s">
        <v>25</v>
      </c>
      <c r="B139" s="4">
        <f>-B138*0.05</f>
        <v>-175000</v>
      </c>
      <c r="C139" s="4">
        <f>-C138*0.05</f>
        <v>-175000</v>
      </c>
      <c r="D139" s="4" t="s">
        <v>15</v>
      </c>
      <c r="E139" s="4">
        <v>12</v>
      </c>
      <c r="F139" s="4">
        <v>0.9</v>
      </c>
      <c r="G139" s="4">
        <v>0.4</v>
      </c>
      <c r="H139" s="154" t="s">
        <v>26</v>
      </c>
      <c r="I139" s="117" t="s">
        <v>121</v>
      </c>
    </row>
    <row r="140" spans="1:19" x14ac:dyDescent="0.25">
      <c r="A140" s="4" t="s">
        <v>37</v>
      </c>
      <c r="B140" s="4">
        <v>650000</v>
      </c>
      <c r="C140" s="4">
        <v>650000</v>
      </c>
      <c r="D140" s="4" t="s">
        <v>38</v>
      </c>
      <c r="E140" s="4">
        <v>12</v>
      </c>
      <c r="F140" s="4">
        <v>0.9</v>
      </c>
      <c r="G140" s="4">
        <v>0.4</v>
      </c>
      <c r="H140" s="154" t="s">
        <v>16</v>
      </c>
      <c r="I140" s="117" t="s">
        <v>165</v>
      </c>
    </row>
    <row r="141" spans="1:19" x14ac:dyDescent="0.25">
      <c r="A141" s="4" t="s">
        <v>48</v>
      </c>
      <c r="B141" s="4">
        <v>2800</v>
      </c>
      <c r="C141" s="4">
        <v>2800</v>
      </c>
      <c r="D141" s="4" t="s">
        <v>49</v>
      </c>
      <c r="E141" s="4">
        <v>12</v>
      </c>
      <c r="F141" s="4">
        <v>0.9</v>
      </c>
      <c r="G141" s="4">
        <v>0.4</v>
      </c>
      <c r="H141" s="154" t="s">
        <v>125</v>
      </c>
      <c r="I141" s="118" t="s">
        <v>126</v>
      </c>
    </row>
    <row r="142" spans="1:19" x14ac:dyDescent="0.25">
      <c r="A142" s="4" t="s">
        <v>56</v>
      </c>
      <c r="B142" s="160">
        <f>32%/C84</f>
        <v>0.42666666666666669</v>
      </c>
      <c r="C142" s="160">
        <f>32%/C84</f>
        <v>0.42666666666666669</v>
      </c>
      <c r="D142" s="4" t="s">
        <v>57</v>
      </c>
      <c r="E142" s="4">
        <v>12</v>
      </c>
      <c r="F142" s="4">
        <v>0.9</v>
      </c>
      <c r="G142" s="4">
        <v>0.4</v>
      </c>
      <c r="H142" s="154" t="s">
        <v>16</v>
      </c>
      <c r="I142" s="117" t="s">
        <v>166</v>
      </c>
      <c r="N142" s="113"/>
    </row>
    <row r="143" spans="1:19" x14ac:dyDescent="0.25">
      <c r="A143" s="4" t="s">
        <v>64</v>
      </c>
      <c r="B143" s="4">
        <v>178500</v>
      </c>
      <c r="C143" s="4">
        <v>178500</v>
      </c>
      <c r="D143" s="4" t="s">
        <v>65</v>
      </c>
      <c r="E143" s="4">
        <v>12</v>
      </c>
      <c r="F143" s="4">
        <v>0.9</v>
      </c>
      <c r="G143" s="4">
        <v>0.4</v>
      </c>
      <c r="H143" s="154" t="s">
        <v>16</v>
      </c>
      <c r="I143" s="117" t="s">
        <v>166</v>
      </c>
      <c r="N143" s="113"/>
    </row>
    <row r="144" spans="1:19" x14ac:dyDescent="0.25">
      <c r="A144" s="4" t="s">
        <v>70</v>
      </c>
      <c r="B144" s="4">
        <v>30</v>
      </c>
      <c r="C144" s="4">
        <v>30</v>
      </c>
      <c r="D144" s="4" t="s">
        <v>42</v>
      </c>
      <c r="E144" s="4">
        <v>12</v>
      </c>
      <c r="F144" s="4">
        <v>0.9</v>
      </c>
      <c r="G144" s="4">
        <v>0.4</v>
      </c>
      <c r="H144" s="154" t="s">
        <v>131</v>
      </c>
      <c r="I144" s="117" t="s">
        <v>132</v>
      </c>
    </row>
    <row r="145" spans="1:47" x14ac:dyDescent="0.25">
      <c r="A145" s="4" t="s">
        <v>287</v>
      </c>
      <c r="B145" s="114">
        <v>3.9215686274509802</v>
      </c>
      <c r="C145" s="114">
        <v>3.9215686274509802</v>
      </c>
      <c r="D145" s="4" t="s">
        <v>76</v>
      </c>
      <c r="E145" s="4">
        <v>12</v>
      </c>
      <c r="F145" s="4">
        <v>0.9</v>
      </c>
      <c r="G145" s="4">
        <v>0.4</v>
      </c>
      <c r="H145" s="154" t="s">
        <v>16</v>
      </c>
      <c r="I145" s="118" t="s">
        <v>167</v>
      </c>
    </row>
    <row r="146" spans="1:47" x14ac:dyDescent="0.25">
      <c r="I146" s="117"/>
    </row>
    <row r="147" spans="1:47" x14ac:dyDescent="0.25">
      <c r="I147" s="117"/>
    </row>
    <row r="149" spans="1:47" s="93" customFormat="1" ht="31.5" x14ac:dyDescent="0.5">
      <c r="A149" s="93" t="s">
        <v>273</v>
      </c>
      <c r="K149" s="93" t="s">
        <v>0</v>
      </c>
    </row>
    <row r="150" spans="1:47" x14ac:dyDescent="0.25">
      <c r="B150" s="4" t="s">
        <v>412</v>
      </c>
      <c r="C150" s="94">
        <v>0.75</v>
      </c>
      <c r="D150" s="172" t="s">
        <v>415</v>
      </c>
    </row>
    <row r="151" spans="1:47" x14ac:dyDescent="0.25">
      <c r="B151" s="4" t="s">
        <v>413</v>
      </c>
      <c r="C151" s="94">
        <f>1-C150</f>
        <v>0.25</v>
      </c>
      <c r="D151" s="172" t="s">
        <v>414</v>
      </c>
      <c r="I151" s="113"/>
      <c r="K151" s="40"/>
    </row>
    <row r="152" spans="1:47" x14ac:dyDescent="0.25">
      <c r="A152" s="95" t="s">
        <v>168</v>
      </c>
      <c r="B152" s="161" t="s">
        <v>291</v>
      </c>
    </row>
    <row r="153" spans="1:47" ht="15.75" thickBot="1" x14ac:dyDescent="0.3">
      <c r="L153" s="160"/>
    </row>
    <row r="154" spans="1:47" x14ac:dyDescent="0.25">
      <c r="E154" s="4" t="s">
        <v>2</v>
      </c>
      <c r="H154" s="4" t="s">
        <v>3</v>
      </c>
      <c r="O154" s="4" t="s">
        <v>2</v>
      </c>
      <c r="R154" s="4" t="s">
        <v>3</v>
      </c>
      <c r="W154" s="99" t="s">
        <v>169</v>
      </c>
      <c r="X154" s="100">
        <v>2023</v>
      </c>
      <c r="Y154" s="100">
        <v>2050</v>
      </c>
      <c r="Z154" s="101" t="s">
        <v>5</v>
      </c>
      <c r="AB154" s="99" t="s">
        <v>288</v>
      </c>
      <c r="AC154" s="100">
        <v>2023</v>
      </c>
      <c r="AD154" s="100">
        <v>2050</v>
      </c>
      <c r="AE154" s="101" t="s">
        <v>5</v>
      </c>
      <c r="AG154" s="99" t="s">
        <v>170</v>
      </c>
      <c r="AH154" s="100">
        <v>2023</v>
      </c>
      <c r="AI154" s="100">
        <v>2050</v>
      </c>
      <c r="AJ154" s="101" t="s">
        <v>5</v>
      </c>
      <c r="AL154" s="99" t="s">
        <v>171</v>
      </c>
      <c r="AM154" s="100">
        <v>2023</v>
      </c>
      <c r="AN154" s="100">
        <v>2050</v>
      </c>
      <c r="AO154" s="101" t="s">
        <v>5</v>
      </c>
      <c r="AQ154" s="99" t="s">
        <v>172</v>
      </c>
      <c r="AR154" s="100">
        <v>2023</v>
      </c>
      <c r="AS154" s="100">
        <v>2050</v>
      </c>
      <c r="AT154" s="101" t="s">
        <v>5</v>
      </c>
    </row>
    <row r="155" spans="1:47" x14ac:dyDescent="0.25">
      <c r="A155" s="25" t="s">
        <v>173</v>
      </c>
      <c r="B155" s="4">
        <v>2023</v>
      </c>
      <c r="C155" s="4">
        <v>2050</v>
      </c>
      <c r="D155" s="4" t="s">
        <v>5</v>
      </c>
      <c r="E155" s="4" t="s">
        <v>8</v>
      </c>
      <c r="F155" s="4" t="s">
        <v>9</v>
      </c>
      <c r="G155" s="4" t="s">
        <v>10</v>
      </c>
      <c r="I155" s="117"/>
      <c r="K155" s="25" t="s">
        <v>289</v>
      </c>
      <c r="L155" s="4">
        <v>2023</v>
      </c>
      <c r="M155" s="4">
        <v>2050</v>
      </c>
      <c r="N155" s="4" t="s">
        <v>5</v>
      </c>
      <c r="O155" s="4" t="s">
        <v>8</v>
      </c>
      <c r="P155" s="4" t="s">
        <v>9</v>
      </c>
      <c r="Q155" s="4" t="s">
        <v>10</v>
      </c>
      <c r="W155" s="102" t="s">
        <v>12</v>
      </c>
      <c r="X155" s="107">
        <f>$B$4</f>
        <v>100</v>
      </c>
      <c r="Y155" s="107">
        <f>$C$4</f>
        <v>350</v>
      </c>
      <c r="Z155" s="103" t="s">
        <v>13</v>
      </c>
      <c r="AB155" s="102" t="s">
        <v>12</v>
      </c>
      <c r="AC155" s="107">
        <f>$B$4</f>
        <v>100</v>
      </c>
      <c r="AD155" s="107">
        <f>$C$4</f>
        <v>350</v>
      </c>
      <c r="AE155" s="103" t="s">
        <v>13</v>
      </c>
      <c r="AG155" s="102" t="s">
        <v>12</v>
      </c>
      <c r="AH155" s="107">
        <f>$B$4</f>
        <v>100</v>
      </c>
      <c r="AI155" s="107">
        <f>$C$4</f>
        <v>350</v>
      </c>
      <c r="AJ155" s="103" t="s">
        <v>13</v>
      </c>
      <c r="AL155" s="102" t="s">
        <v>12</v>
      </c>
      <c r="AM155" s="107">
        <f>$B$4</f>
        <v>100</v>
      </c>
      <c r="AN155" s="107">
        <f>$C$4</f>
        <v>350</v>
      </c>
      <c r="AO155" s="103" t="s">
        <v>13</v>
      </c>
      <c r="AQ155" s="102" t="s">
        <v>12</v>
      </c>
      <c r="AR155" s="107">
        <f>$B$4</f>
        <v>100</v>
      </c>
      <c r="AS155" s="107">
        <f>$C$4</f>
        <v>350</v>
      </c>
      <c r="AT155" s="103" t="s">
        <v>13</v>
      </c>
    </row>
    <row r="156" spans="1:47" x14ac:dyDescent="0.25">
      <c r="A156" s="4" t="s">
        <v>14</v>
      </c>
      <c r="B156" s="113">
        <v>1000000</v>
      </c>
      <c r="C156" s="4">
        <v>1000000</v>
      </c>
      <c r="D156" s="4" t="s">
        <v>15</v>
      </c>
      <c r="E156" s="4">
        <v>17</v>
      </c>
      <c r="F156" s="4">
        <v>0.9</v>
      </c>
      <c r="G156" s="4">
        <v>0.4</v>
      </c>
      <c r="H156" s="154" t="s">
        <v>309</v>
      </c>
      <c r="I156" s="118" t="s">
        <v>174</v>
      </c>
      <c r="K156" s="4" t="s">
        <v>18</v>
      </c>
      <c r="L156" s="4">
        <v>15000000</v>
      </c>
      <c r="M156" s="4">
        <v>15000000</v>
      </c>
      <c r="N156" s="4" t="s">
        <v>15</v>
      </c>
      <c r="O156" s="4">
        <v>17</v>
      </c>
      <c r="P156" s="4">
        <v>0.9</v>
      </c>
      <c r="Q156" s="4">
        <v>0.4</v>
      </c>
      <c r="R156" s="154" t="s">
        <v>293</v>
      </c>
      <c r="S156" s="117" t="s">
        <v>294</v>
      </c>
      <c r="W156" s="102" t="s">
        <v>20</v>
      </c>
      <c r="X156" s="201">
        <v>3.17</v>
      </c>
      <c r="Y156" s="201"/>
      <c r="Z156" s="103" t="s">
        <v>21</v>
      </c>
      <c r="AB156" s="102" t="s">
        <v>20</v>
      </c>
      <c r="AC156" s="201">
        <v>3.2</v>
      </c>
      <c r="AD156" s="201"/>
      <c r="AE156" s="103" t="s">
        <v>21</v>
      </c>
      <c r="AG156" s="102" t="s">
        <v>22</v>
      </c>
      <c r="AH156" s="4">
        <v>2.1999999999999999E-2</v>
      </c>
      <c r="AI156" s="4">
        <v>0</v>
      </c>
      <c r="AJ156" s="4" t="s">
        <v>23</v>
      </c>
      <c r="AL156" s="102" t="s">
        <v>22</v>
      </c>
      <c r="AM156" s="4">
        <v>2.1999999999999999E-2</v>
      </c>
      <c r="AN156" s="4">
        <v>0</v>
      </c>
      <c r="AO156" s="4" t="s">
        <v>23</v>
      </c>
      <c r="AQ156" s="102" t="s">
        <v>22</v>
      </c>
      <c r="AR156" s="4">
        <v>2.1999999999999999E-2</v>
      </c>
      <c r="AS156" s="4">
        <v>0</v>
      </c>
      <c r="AT156" s="4" t="s">
        <v>23</v>
      </c>
      <c r="AU156" s="4" t="s">
        <v>24</v>
      </c>
    </row>
    <row r="157" spans="1:47" x14ac:dyDescent="0.25">
      <c r="A157" s="4" t="s">
        <v>25</v>
      </c>
      <c r="B157" s="4">
        <f>-B156*0.1</f>
        <v>-100000</v>
      </c>
      <c r="C157" s="4">
        <f>-C156*0.1</f>
        <v>-100000</v>
      </c>
      <c r="D157" s="4" t="s">
        <v>15</v>
      </c>
      <c r="E157" s="4">
        <v>17</v>
      </c>
      <c r="F157" s="4">
        <v>0.9</v>
      </c>
      <c r="G157" s="4">
        <v>0.4</v>
      </c>
      <c r="H157" s="154" t="s">
        <v>309</v>
      </c>
      <c r="I157" s="117" t="s">
        <v>175</v>
      </c>
      <c r="K157" s="4" t="s">
        <v>28</v>
      </c>
      <c r="L157" s="4">
        <f>-L156*0.1</f>
        <v>-1500000</v>
      </c>
      <c r="M157" s="4">
        <f>-M156*0.05</f>
        <v>-750000</v>
      </c>
      <c r="N157" s="4" t="s">
        <v>15</v>
      </c>
      <c r="O157" s="4">
        <v>17</v>
      </c>
      <c r="P157" s="4">
        <v>0.9</v>
      </c>
      <c r="Q157" s="4">
        <v>0.4</v>
      </c>
      <c r="R157" s="154" t="s">
        <v>26</v>
      </c>
      <c r="S157" s="117" t="s">
        <v>176</v>
      </c>
      <c r="W157" s="102" t="s">
        <v>31</v>
      </c>
      <c r="X157" s="201">
        <v>11.89</v>
      </c>
      <c r="Y157" s="201"/>
      <c r="Z157" s="103" t="s">
        <v>32</v>
      </c>
      <c r="AB157" s="102" t="s">
        <v>31</v>
      </c>
      <c r="AC157" s="201">
        <v>11.39</v>
      </c>
      <c r="AD157" s="201"/>
      <c r="AE157" s="103" t="s">
        <v>32</v>
      </c>
      <c r="AG157" s="102" t="s">
        <v>33</v>
      </c>
      <c r="AH157" s="94">
        <v>0.53</v>
      </c>
      <c r="AI157" s="94">
        <v>0.61</v>
      </c>
      <c r="AJ157" s="103" t="s">
        <v>34</v>
      </c>
      <c r="AL157" s="102" t="s">
        <v>35</v>
      </c>
      <c r="AM157" s="94">
        <v>0.52</v>
      </c>
      <c r="AN157" s="94">
        <v>0.6</v>
      </c>
      <c r="AO157" s="103" t="s">
        <v>34</v>
      </c>
      <c r="AQ157" s="102" t="s">
        <v>35</v>
      </c>
      <c r="AR157" s="94">
        <v>0.45</v>
      </c>
      <c r="AS157" s="94">
        <v>0.56000000000000005</v>
      </c>
      <c r="AT157" s="103" t="s">
        <v>34</v>
      </c>
      <c r="AU157" s="4" t="s">
        <v>36</v>
      </c>
    </row>
    <row r="158" spans="1:47" x14ac:dyDescent="0.25">
      <c r="A158" s="4" t="s">
        <v>37</v>
      </c>
      <c r="B158" s="4">
        <f>(793000+106000+128000)/0.85</f>
        <v>1208235.294117647</v>
      </c>
      <c r="C158" s="4">
        <f>(793000+106000+128000)/0.85</f>
        <v>1208235.294117647</v>
      </c>
      <c r="D158" s="4" t="s">
        <v>38</v>
      </c>
      <c r="E158" s="4">
        <v>17</v>
      </c>
      <c r="F158" s="4">
        <v>0.9</v>
      </c>
      <c r="G158" s="4">
        <v>0.4</v>
      </c>
      <c r="H158" s="154" t="s">
        <v>334</v>
      </c>
      <c r="I158" s="117" t="s">
        <v>319</v>
      </c>
      <c r="K158" s="4" t="s">
        <v>41</v>
      </c>
      <c r="L158" s="4">
        <v>25</v>
      </c>
      <c r="M158" s="4">
        <v>25</v>
      </c>
      <c r="N158" s="4" t="s">
        <v>42</v>
      </c>
      <c r="O158" s="4">
        <v>17</v>
      </c>
      <c r="P158" s="4">
        <v>0.9</v>
      </c>
      <c r="Q158" s="4">
        <v>0.4</v>
      </c>
      <c r="R158" s="154" t="s">
        <v>43</v>
      </c>
      <c r="S158" s="117" t="s">
        <v>74</v>
      </c>
      <c r="W158" s="102" t="s">
        <v>45</v>
      </c>
      <c r="X158" s="200">
        <f>X156/X157</f>
        <v>0.26661059714045415</v>
      </c>
      <c r="Y158" s="200"/>
      <c r="Z158" s="103" t="s">
        <v>46</v>
      </c>
      <c r="AB158" s="102" t="s">
        <v>45</v>
      </c>
      <c r="AC158" s="200">
        <f>AC156/AC157</f>
        <v>0.28094820017559263</v>
      </c>
      <c r="AD158" s="200"/>
      <c r="AE158" s="103" t="s">
        <v>46</v>
      </c>
      <c r="AG158" s="102" t="s">
        <v>47</v>
      </c>
      <c r="AH158" s="109">
        <f>AH156/AH157</f>
        <v>4.1509433962264149E-2</v>
      </c>
      <c r="AI158" s="109">
        <f>AI156/AI157</f>
        <v>0</v>
      </c>
      <c r="AJ158" s="103" t="s">
        <v>46</v>
      </c>
      <c r="AL158" s="102" t="s">
        <v>22</v>
      </c>
      <c r="AM158" s="109">
        <f>AM156/AM157</f>
        <v>4.2307692307692303E-2</v>
      </c>
      <c r="AN158" s="109">
        <f>AN156/AN157</f>
        <v>0</v>
      </c>
      <c r="AO158" s="103" t="s">
        <v>46</v>
      </c>
      <c r="AQ158" s="102" t="s">
        <v>22</v>
      </c>
      <c r="AR158" s="109">
        <f>AR156/AR157</f>
        <v>4.8888888888888885E-2</v>
      </c>
      <c r="AS158" s="109">
        <f>AS156/AS157</f>
        <v>0</v>
      </c>
      <c r="AT158" s="103" t="s">
        <v>46</v>
      </c>
    </row>
    <row r="159" spans="1:47" x14ac:dyDescent="0.25">
      <c r="A159" s="4" t="s">
        <v>48</v>
      </c>
      <c r="B159" s="4">
        <v>9450</v>
      </c>
      <c r="C159" s="4">
        <v>9450</v>
      </c>
      <c r="D159" s="4" t="s">
        <v>49</v>
      </c>
      <c r="E159" s="4">
        <v>17</v>
      </c>
      <c r="F159" s="4">
        <v>0.9</v>
      </c>
      <c r="G159" s="4">
        <v>0.4</v>
      </c>
      <c r="H159" s="154" t="s">
        <v>333</v>
      </c>
      <c r="I159" s="117" t="s">
        <v>310</v>
      </c>
      <c r="K159" s="4" t="s">
        <v>52</v>
      </c>
      <c r="L159" s="4">
        <f>(84000+127000+122000+82000)/0.85</f>
        <v>488235.29411764705</v>
      </c>
      <c r="M159" s="4">
        <f>(84000+127000+122000+82000)/0.85</f>
        <v>488235.29411764705</v>
      </c>
      <c r="N159" s="4" t="s">
        <v>38</v>
      </c>
      <c r="O159" s="4">
        <v>17</v>
      </c>
      <c r="P159" s="4">
        <v>0.9</v>
      </c>
      <c r="Q159" s="4">
        <v>0.4</v>
      </c>
      <c r="R159" s="154" t="s">
        <v>9</v>
      </c>
      <c r="S159" s="117" t="s">
        <v>320</v>
      </c>
      <c r="W159" s="102" t="s">
        <v>54</v>
      </c>
      <c r="X159" s="4">
        <f>L160*X158</f>
        <v>172.49705634987384</v>
      </c>
      <c r="Y159" s="4">
        <f>M160*X158</f>
        <v>159.9663582842725</v>
      </c>
      <c r="Z159" s="103" t="s">
        <v>55</v>
      </c>
      <c r="AB159" s="102" t="s">
        <v>54</v>
      </c>
      <c r="AC159" s="4">
        <f>L172*AC158</f>
        <v>181.77348551360842</v>
      </c>
      <c r="AD159" s="4">
        <f>M172*AC158</f>
        <v>168.56892010535557</v>
      </c>
      <c r="AE159" s="103" t="s">
        <v>55</v>
      </c>
      <c r="AG159" s="102" t="s">
        <v>54</v>
      </c>
      <c r="AH159" s="4">
        <f>AH158*L185</f>
        <v>24.449056603773585</v>
      </c>
      <c r="AI159" s="4">
        <f>AI158*M185</f>
        <v>0</v>
      </c>
      <c r="AJ159" s="103" t="s">
        <v>55</v>
      </c>
      <c r="AL159" s="102" t="s">
        <v>54</v>
      </c>
      <c r="AM159" s="4">
        <f>AM158*L197</f>
        <v>24.919230769230765</v>
      </c>
      <c r="AN159" s="4">
        <f>AN158*M197</f>
        <v>0</v>
      </c>
      <c r="AO159" s="103" t="s">
        <v>55</v>
      </c>
      <c r="AQ159" s="102" t="s">
        <v>54</v>
      </c>
      <c r="AR159" s="4">
        <f>AR158*L209</f>
        <v>31.631111111111107</v>
      </c>
      <c r="AS159" s="4">
        <f>AS158*M209</f>
        <v>0</v>
      </c>
      <c r="AT159" s="103" t="s">
        <v>55</v>
      </c>
    </row>
    <row r="160" spans="1:47" ht="15.75" thickBot="1" x14ac:dyDescent="0.3">
      <c r="A160" s="4" t="s">
        <v>56</v>
      </c>
      <c r="B160" s="160">
        <f>51%/C150</f>
        <v>0.68</v>
      </c>
      <c r="C160" s="160">
        <f>51%/C150</f>
        <v>0.68</v>
      </c>
      <c r="D160" s="4" t="s">
        <v>57</v>
      </c>
      <c r="E160" s="4">
        <v>17</v>
      </c>
      <c r="F160" s="4">
        <v>0.9</v>
      </c>
      <c r="G160" s="4">
        <v>0.4</v>
      </c>
      <c r="H160" s="154" t="s">
        <v>16</v>
      </c>
      <c r="I160" s="117" t="s">
        <v>311</v>
      </c>
      <c r="K160" s="4" t="s">
        <v>59</v>
      </c>
      <c r="L160" s="4">
        <v>647</v>
      </c>
      <c r="M160" s="4">
        <v>600</v>
      </c>
      <c r="N160" s="4" t="s">
        <v>60</v>
      </c>
      <c r="O160" s="4">
        <v>17</v>
      </c>
      <c r="P160" s="4">
        <v>0.9</v>
      </c>
      <c r="Q160" s="4">
        <v>0.4</v>
      </c>
      <c r="R160" s="154" t="s">
        <v>43</v>
      </c>
      <c r="S160" s="117" t="s">
        <v>177</v>
      </c>
      <c r="W160" s="104" t="s">
        <v>62</v>
      </c>
      <c r="X160" s="105">
        <f>X155/1000*X159</f>
        <v>17.249705634987386</v>
      </c>
      <c r="Y160" s="105">
        <f>Y159/1000*Y155</f>
        <v>55.988225399495377</v>
      </c>
      <c r="Z160" s="106" t="s">
        <v>63</v>
      </c>
      <c r="AB160" s="104" t="s">
        <v>62</v>
      </c>
      <c r="AC160" s="105">
        <f>AC155/1000*AC159</f>
        <v>18.177348551360843</v>
      </c>
      <c r="AD160" s="105">
        <f>AD159/1000*AD155</f>
        <v>58.999122036874446</v>
      </c>
      <c r="AE160" s="106" t="s">
        <v>63</v>
      </c>
      <c r="AG160" s="104" t="s">
        <v>62</v>
      </c>
      <c r="AH160" s="105">
        <f>AH155/1000*AH159</f>
        <v>2.4449056603773585</v>
      </c>
      <c r="AI160" s="105">
        <f>AI159/1000*AI155</f>
        <v>0</v>
      </c>
      <c r="AJ160" s="106" t="s">
        <v>63</v>
      </c>
      <c r="AL160" s="104" t="s">
        <v>62</v>
      </c>
      <c r="AM160" s="105">
        <f>AM155/1000*AM159</f>
        <v>2.4919230769230767</v>
      </c>
      <c r="AN160" s="105">
        <f>AN159/1000*AN155</f>
        <v>0</v>
      </c>
      <c r="AO160" s="106" t="s">
        <v>63</v>
      </c>
      <c r="AQ160" s="104" t="s">
        <v>62</v>
      </c>
      <c r="AR160" s="105">
        <f>AR155/1000*AR159</f>
        <v>3.1631111111111108</v>
      </c>
      <c r="AS160" s="105">
        <f>AS159/1000*AS155</f>
        <v>0</v>
      </c>
      <c r="AT160" s="106" t="s">
        <v>63</v>
      </c>
    </row>
    <row r="161" spans="1:24" x14ac:dyDescent="0.25">
      <c r="A161" s="4" t="s">
        <v>64</v>
      </c>
      <c r="B161" s="4">
        <v>120000</v>
      </c>
      <c r="C161" s="4">
        <v>120000</v>
      </c>
      <c r="D161" s="4" t="s">
        <v>65</v>
      </c>
      <c r="E161" s="4">
        <v>17</v>
      </c>
      <c r="F161" s="4">
        <v>0.9</v>
      </c>
      <c r="G161" s="4">
        <v>0.4</v>
      </c>
      <c r="H161" s="154" t="s">
        <v>315</v>
      </c>
      <c r="I161" s="117" t="s">
        <v>316</v>
      </c>
      <c r="K161" s="4" t="s">
        <v>67</v>
      </c>
      <c r="L161" s="4">
        <f t="shared" ref="L161:Q161" si="5">B6</f>
        <v>0.06</v>
      </c>
      <c r="M161" s="4">
        <f t="shared" si="5"/>
        <v>0.06</v>
      </c>
      <c r="N161" s="4" t="str">
        <f t="shared" si="5"/>
        <v>[€/kWh]</v>
      </c>
      <c r="O161" s="4">
        <f t="shared" si="5"/>
        <v>17</v>
      </c>
      <c r="P161" s="4">
        <f t="shared" si="5"/>
        <v>0.9</v>
      </c>
      <c r="Q161" s="4">
        <f t="shared" si="5"/>
        <v>0.4</v>
      </c>
      <c r="R161" s="154" t="s">
        <v>270</v>
      </c>
      <c r="S161" s="118" t="s">
        <v>303</v>
      </c>
    </row>
    <row r="162" spans="1:24" x14ac:dyDescent="0.25">
      <c r="A162" s="4" t="s">
        <v>70</v>
      </c>
      <c r="B162" s="4">
        <v>25</v>
      </c>
      <c r="C162" s="4">
        <v>25</v>
      </c>
      <c r="D162" s="4" t="s">
        <v>42</v>
      </c>
      <c r="E162" s="4">
        <v>17</v>
      </c>
      <c r="F162" s="4">
        <v>0.9</v>
      </c>
      <c r="G162" s="4">
        <v>0.4</v>
      </c>
      <c r="H162" s="154" t="s">
        <v>43</v>
      </c>
      <c r="I162" s="117" t="s">
        <v>74</v>
      </c>
      <c r="K162" s="4" t="s">
        <v>73</v>
      </c>
      <c r="L162" s="160">
        <v>0</v>
      </c>
      <c r="M162" s="160">
        <v>0</v>
      </c>
      <c r="N162" s="4" t="s">
        <v>57</v>
      </c>
      <c r="O162" s="4">
        <v>17</v>
      </c>
      <c r="P162" s="4">
        <v>0.9</v>
      </c>
      <c r="Q162" s="4">
        <v>0.4</v>
      </c>
      <c r="R162" s="154" t="s">
        <v>43</v>
      </c>
      <c r="S162" s="117" t="s">
        <v>74</v>
      </c>
    </row>
    <row r="163" spans="1:24" x14ac:dyDescent="0.25">
      <c r="A163" s="4" t="s">
        <v>272</v>
      </c>
      <c r="B163" s="4">
        <f>(100000*(1+(15380-15380)/15380)/118231)</f>
        <v>0.8458018624557011</v>
      </c>
      <c r="C163" s="4">
        <f>(100000*(1+(15380-15380)/15380)/118231)</f>
        <v>0.8458018624557011</v>
      </c>
      <c r="D163" s="4" t="s">
        <v>76</v>
      </c>
      <c r="E163" s="4">
        <v>17</v>
      </c>
      <c r="F163" s="4">
        <v>0.9</v>
      </c>
      <c r="G163" s="4">
        <v>0.4</v>
      </c>
      <c r="H163" s="154" t="s">
        <v>16</v>
      </c>
      <c r="I163" s="117" t="s">
        <v>318</v>
      </c>
      <c r="K163" s="4" t="s">
        <v>79</v>
      </c>
      <c r="L163" s="160">
        <v>0.06</v>
      </c>
      <c r="M163" s="160">
        <v>0.06</v>
      </c>
      <c r="N163" s="4" t="s">
        <v>57</v>
      </c>
      <c r="O163" s="4">
        <v>17</v>
      </c>
      <c r="P163" s="4">
        <v>0.9</v>
      </c>
      <c r="Q163" s="4">
        <v>0.4</v>
      </c>
      <c r="R163" s="154" t="s">
        <v>43</v>
      </c>
      <c r="S163" s="117" t="s">
        <v>74</v>
      </c>
      <c r="W163" s="4" t="s">
        <v>26</v>
      </c>
      <c r="X163" s="4" t="s">
        <v>80</v>
      </c>
    </row>
    <row r="164" spans="1:24" x14ac:dyDescent="0.25">
      <c r="E164" s="4">
        <f>100000/118231</f>
        <v>0.8458018624557011</v>
      </c>
      <c r="I164" s="117"/>
      <c r="K164" s="4" t="s">
        <v>81</v>
      </c>
      <c r="L164" s="4">
        <f>X160</f>
        <v>17.249705634987386</v>
      </c>
      <c r="M164" s="4">
        <f>Y160</f>
        <v>55.988225399495377</v>
      </c>
      <c r="N164" s="4" t="s">
        <v>76</v>
      </c>
      <c r="O164" s="4">
        <f>$E$4</f>
        <v>17</v>
      </c>
      <c r="P164" s="4">
        <f>$F$4</f>
        <v>0.9</v>
      </c>
      <c r="Q164" s="4">
        <f>$G$4</f>
        <v>0.4</v>
      </c>
      <c r="R164" s="154" t="s">
        <v>322</v>
      </c>
      <c r="S164" s="118" t="s">
        <v>178</v>
      </c>
      <c r="W164" s="4" t="s">
        <v>9</v>
      </c>
      <c r="X164" s="4" t="s">
        <v>179</v>
      </c>
    </row>
    <row r="165" spans="1:24" x14ac:dyDescent="0.25">
      <c r="I165" s="117"/>
      <c r="S165" s="117"/>
      <c r="W165" s="4" t="s">
        <v>16</v>
      </c>
      <c r="X165" s="4" t="s">
        <v>85</v>
      </c>
    </row>
    <row r="166" spans="1:24" x14ac:dyDescent="0.25">
      <c r="E166" s="4" t="s">
        <v>2</v>
      </c>
      <c r="H166" s="4" t="s">
        <v>3</v>
      </c>
      <c r="I166" s="117"/>
      <c r="O166" s="4" t="s">
        <v>2</v>
      </c>
      <c r="R166" s="4" t="s">
        <v>3</v>
      </c>
      <c r="W166" s="4" t="s">
        <v>43</v>
      </c>
      <c r="X166" s="4" t="s">
        <v>88</v>
      </c>
    </row>
    <row r="167" spans="1:24" x14ac:dyDescent="0.25">
      <c r="A167" s="25" t="s">
        <v>180</v>
      </c>
      <c r="B167" s="4">
        <v>2023</v>
      </c>
      <c r="C167" s="4">
        <v>2050</v>
      </c>
      <c r="D167" s="4" t="s">
        <v>5</v>
      </c>
      <c r="E167" s="4" t="s">
        <v>8</v>
      </c>
      <c r="F167" s="4" t="s">
        <v>9</v>
      </c>
      <c r="G167" s="4" t="s">
        <v>10</v>
      </c>
      <c r="I167" s="117"/>
      <c r="K167" s="25" t="s">
        <v>290</v>
      </c>
      <c r="L167" s="4">
        <v>2023</v>
      </c>
      <c r="M167" s="4">
        <v>2050</v>
      </c>
      <c r="N167" s="4" t="s">
        <v>5</v>
      </c>
      <c r="O167" s="4" t="s">
        <v>8</v>
      </c>
      <c r="P167" s="4" t="s">
        <v>9</v>
      </c>
      <c r="Q167" s="4" t="s">
        <v>10</v>
      </c>
      <c r="W167" s="4" t="s">
        <v>77</v>
      </c>
      <c r="X167" s="4" t="s">
        <v>92</v>
      </c>
    </row>
    <row r="168" spans="1:24" x14ac:dyDescent="0.25">
      <c r="A168" s="4" t="s">
        <v>14</v>
      </c>
      <c r="B168" s="113">
        <v>5000000</v>
      </c>
      <c r="C168" s="4">
        <v>5000000</v>
      </c>
      <c r="D168" s="4" t="s">
        <v>15</v>
      </c>
      <c r="E168" s="4">
        <v>17</v>
      </c>
      <c r="F168" s="4">
        <v>0.9</v>
      </c>
      <c r="G168" s="4">
        <v>0.4</v>
      </c>
      <c r="H168" s="154" t="s">
        <v>309</v>
      </c>
      <c r="I168" s="118" t="s">
        <v>174</v>
      </c>
      <c r="K168" s="4" t="s">
        <v>18</v>
      </c>
      <c r="L168" s="4">
        <v>15000000</v>
      </c>
      <c r="M168" s="4">
        <v>15000000</v>
      </c>
      <c r="N168" s="4" t="s">
        <v>15</v>
      </c>
      <c r="O168" s="4">
        <v>17</v>
      </c>
      <c r="P168" s="4">
        <v>0.9</v>
      </c>
      <c r="Q168" s="4">
        <v>0.4</v>
      </c>
      <c r="R168" s="154" t="s">
        <v>330</v>
      </c>
      <c r="S168" s="117" t="s">
        <v>294</v>
      </c>
      <c r="W168" s="4" t="s">
        <v>71</v>
      </c>
      <c r="X168" s="4" t="s">
        <v>181</v>
      </c>
    </row>
    <row r="169" spans="1:24" x14ac:dyDescent="0.25">
      <c r="A169" s="4" t="s">
        <v>25</v>
      </c>
      <c r="B169" s="4">
        <f>-B168*0.1</f>
        <v>-500000</v>
      </c>
      <c r="C169" s="4">
        <f>-C168*0.1</f>
        <v>-500000</v>
      </c>
      <c r="D169" s="4" t="s">
        <v>15</v>
      </c>
      <c r="E169" s="4">
        <v>17</v>
      </c>
      <c r="F169" s="4">
        <v>0.9</v>
      </c>
      <c r="G169" s="4">
        <v>0.4</v>
      </c>
      <c r="H169" s="154" t="s">
        <v>309</v>
      </c>
      <c r="I169" s="117" t="s">
        <v>175</v>
      </c>
      <c r="K169" s="4" t="s">
        <v>28</v>
      </c>
      <c r="L169" s="4">
        <f>-L168*0.1</f>
        <v>-1500000</v>
      </c>
      <c r="M169" s="4">
        <f>-M168*0.05</f>
        <v>-750000</v>
      </c>
      <c r="N169" s="4" t="s">
        <v>15</v>
      </c>
      <c r="O169" s="4">
        <v>17</v>
      </c>
      <c r="P169" s="4">
        <v>0.9</v>
      </c>
      <c r="Q169" s="4">
        <v>0.4</v>
      </c>
      <c r="R169" s="154" t="s">
        <v>26</v>
      </c>
      <c r="S169" s="117" t="s">
        <v>176</v>
      </c>
      <c r="W169" s="4" t="s">
        <v>82</v>
      </c>
      <c r="X169" s="4" t="s">
        <v>137</v>
      </c>
    </row>
    <row r="170" spans="1:24" x14ac:dyDescent="0.25">
      <c r="A170" s="4" t="s">
        <v>37</v>
      </c>
      <c r="B170" s="4">
        <f>(793000+106000+128000)/0.85</f>
        <v>1208235.294117647</v>
      </c>
      <c r="C170" s="4">
        <f>(793000+106000+128000)/0.85</f>
        <v>1208235.294117647</v>
      </c>
      <c r="D170" s="4" t="s">
        <v>38</v>
      </c>
      <c r="E170" s="4">
        <v>17</v>
      </c>
      <c r="F170" s="4">
        <v>0.9</v>
      </c>
      <c r="G170" s="4">
        <v>0.4</v>
      </c>
      <c r="H170" s="154" t="s">
        <v>334</v>
      </c>
      <c r="I170" s="117" t="s">
        <v>319</v>
      </c>
      <c r="K170" s="4" t="s">
        <v>41</v>
      </c>
      <c r="L170" s="4">
        <v>25</v>
      </c>
      <c r="M170" s="4">
        <v>25</v>
      </c>
      <c r="N170" s="4" t="s">
        <v>42</v>
      </c>
      <c r="O170" s="4">
        <v>17</v>
      </c>
      <c r="P170" s="4">
        <v>0.9</v>
      </c>
      <c r="Q170" s="4">
        <v>0.4</v>
      </c>
      <c r="R170" s="154" t="s">
        <v>43</v>
      </c>
      <c r="S170" s="117" t="s">
        <v>74</v>
      </c>
      <c r="W170" s="4" t="s">
        <v>95</v>
      </c>
      <c r="X170" s="4" t="s">
        <v>99</v>
      </c>
    </row>
    <row r="171" spans="1:24" x14ac:dyDescent="0.25">
      <c r="A171" s="4" t="s">
        <v>48</v>
      </c>
      <c r="B171" s="4">
        <v>9450</v>
      </c>
      <c r="C171" s="4">
        <v>9450</v>
      </c>
      <c r="D171" s="4" t="s">
        <v>49</v>
      </c>
      <c r="E171" s="4">
        <v>17</v>
      </c>
      <c r="F171" s="4">
        <v>0.9</v>
      </c>
      <c r="G171" s="4">
        <v>0.4</v>
      </c>
      <c r="H171" s="154" t="s">
        <v>333</v>
      </c>
      <c r="I171" s="117" t="s">
        <v>310</v>
      </c>
      <c r="K171" s="4" t="s">
        <v>52</v>
      </c>
      <c r="L171" s="4">
        <f>(84000+127000+122000+82000)/0.85</f>
        <v>488235.29411764705</v>
      </c>
      <c r="M171" s="4">
        <f>(84000+127000+122000+82000)/0.85</f>
        <v>488235.29411764705</v>
      </c>
      <c r="N171" s="4" t="s">
        <v>38</v>
      </c>
      <c r="O171" s="4">
        <v>17</v>
      </c>
      <c r="P171" s="4">
        <v>0.9</v>
      </c>
      <c r="Q171" s="4">
        <v>0.4</v>
      </c>
      <c r="R171" s="154" t="s">
        <v>9</v>
      </c>
      <c r="S171" s="117" t="s">
        <v>320</v>
      </c>
      <c r="W171" s="4" t="s">
        <v>97</v>
      </c>
      <c r="X171" s="4" t="s">
        <v>24</v>
      </c>
    </row>
    <row r="172" spans="1:24" x14ac:dyDescent="0.25">
      <c r="A172" s="4" t="s">
        <v>56</v>
      </c>
      <c r="B172" s="160">
        <f>43%/C150</f>
        <v>0.57333333333333336</v>
      </c>
      <c r="C172" s="160">
        <f>43%/C150</f>
        <v>0.57333333333333336</v>
      </c>
      <c r="D172" s="4" t="s">
        <v>57</v>
      </c>
      <c r="E172" s="4">
        <v>17</v>
      </c>
      <c r="F172" s="4">
        <v>0.9</v>
      </c>
      <c r="G172" s="4">
        <v>0.4</v>
      </c>
      <c r="H172" s="154" t="s">
        <v>16</v>
      </c>
      <c r="I172" s="117" t="s">
        <v>312</v>
      </c>
      <c r="K172" s="4" t="s">
        <v>59</v>
      </c>
      <c r="L172" s="4">
        <v>647</v>
      </c>
      <c r="M172" s="4">
        <v>600</v>
      </c>
      <c r="N172" s="4" t="s">
        <v>60</v>
      </c>
      <c r="O172" s="4">
        <v>17</v>
      </c>
      <c r="P172" s="4">
        <v>0.9</v>
      </c>
      <c r="Q172" s="4">
        <v>0.4</v>
      </c>
      <c r="R172" s="154" t="s">
        <v>43</v>
      </c>
      <c r="S172" s="117" t="s">
        <v>177</v>
      </c>
      <c r="W172" s="4" t="s">
        <v>69</v>
      </c>
      <c r="X172" s="4" t="s">
        <v>36</v>
      </c>
    </row>
    <row r="173" spans="1:24" x14ac:dyDescent="0.25">
      <c r="A173" s="4" t="s">
        <v>64</v>
      </c>
      <c r="B173" s="4">
        <v>120000</v>
      </c>
      <c r="C173" s="4">
        <v>120000</v>
      </c>
      <c r="D173" s="4" t="s">
        <v>65</v>
      </c>
      <c r="E173" s="4">
        <v>17</v>
      </c>
      <c r="F173" s="4">
        <v>0.9</v>
      </c>
      <c r="G173" s="4">
        <v>0.4</v>
      </c>
      <c r="H173" s="154" t="s">
        <v>315</v>
      </c>
      <c r="I173" s="117" t="s">
        <v>316</v>
      </c>
      <c r="K173" s="4" t="s">
        <v>67</v>
      </c>
      <c r="L173" s="4">
        <f t="shared" ref="L173:Q173" si="6">B7</f>
        <v>3.1399999999999997E-2</v>
      </c>
      <c r="M173" s="4">
        <f t="shared" si="6"/>
        <v>3.1399999999999997E-2</v>
      </c>
      <c r="N173" s="4" t="str">
        <f t="shared" si="6"/>
        <v>[€/kWh]</v>
      </c>
      <c r="O173" s="4">
        <f t="shared" si="6"/>
        <v>17</v>
      </c>
      <c r="P173" s="4">
        <f t="shared" si="6"/>
        <v>0.9</v>
      </c>
      <c r="Q173" s="4">
        <f t="shared" si="6"/>
        <v>0.4</v>
      </c>
      <c r="R173" s="154" t="s">
        <v>43</v>
      </c>
      <c r="S173" s="118" t="s">
        <v>304</v>
      </c>
      <c r="W173" s="4" t="s">
        <v>10</v>
      </c>
      <c r="X173" s="4" t="s">
        <v>135</v>
      </c>
    </row>
    <row r="174" spans="1:24" x14ac:dyDescent="0.25">
      <c r="A174" s="4" t="s">
        <v>70</v>
      </c>
      <c r="B174" s="4">
        <v>25</v>
      </c>
      <c r="C174" s="4">
        <v>25</v>
      </c>
      <c r="D174" s="4" t="s">
        <v>42</v>
      </c>
      <c r="E174" s="4">
        <v>17</v>
      </c>
      <c r="F174" s="4">
        <v>0.9</v>
      </c>
      <c r="G174" s="4">
        <v>0.4</v>
      </c>
      <c r="H174" s="154" t="s">
        <v>43</v>
      </c>
      <c r="I174" s="117" t="s">
        <v>74</v>
      </c>
      <c r="K174" s="4" t="s">
        <v>73</v>
      </c>
      <c r="L174" s="160">
        <v>0</v>
      </c>
      <c r="M174" s="160">
        <v>0</v>
      </c>
      <c r="N174" s="4" t="s">
        <v>57</v>
      </c>
      <c r="O174" s="4">
        <v>17</v>
      </c>
      <c r="P174" s="4">
        <v>0.9</v>
      </c>
      <c r="Q174" s="4">
        <v>0.4</v>
      </c>
      <c r="R174" s="154" t="s">
        <v>43</v>
      </c>
      <c r="S174" s="117" t="s">
        <v>74</v>
      </c>
      <c r="W174" s="4" t="s">
        <v>261</v>
      </c>
      <c r="X174" s="4" t="s">
        <v>292</v>
      </c>
    </row>
    <row r="175" spans="1:24" x14ac:dyDescent="0.25">
      <c r="A175" s="4" t="s">
        <v>272</v>
      </c>
      <c r="B175" s="4">
        <f>(100000*(1+(30707-15380)/15380)/118231)</f>
        <v>1.6886890630966982</v>
      </c>
      <c r="C175" s="4">
        <f>(100000*(1+(30707-15380)/15380)/118231)</f>
        <v>1.6886890630966982</v>
      </c>
      <c r="D175" s="4" t="s">
        <v>76</v>
      </c>
      <c r="E175" s="4">
        <v>17</v>
      </c>
      <c r="F175" s="4">
        <v>0.9</v>
      </c>
      <c r="G175" s="4">
        <v>0.4</v>
      </c>
      <c r="H175" s="154" t="s">
        <v>16</v>
      </c>
      <c r="I175" s="117" t="s">
        <v>318</v>
      </c>
      <c r="K175" s="4" t="s">
        <v>79</v>
      </c>
      <c r="L175" s="160">
        <v>0.06</v>
      </c>
      <c r="M175" s="160">
        <v>0.06</v>
      </c>
      <c r="N175" s="4" t="s">
        <v>57</v>
      </c>
      <c r="O175" s="4">
        <v>17</v>
      </c>
      <c r="P175" s="4">
        <v>0.9</v>
      </c>
      <c r="Q175" s="4">
        <v>0.4</v>
      </c>
      <c r="R175" s="154" t="s">
        <v>43</v>
      </c>
      <c r="S175" s="117" t="s">
        <v>74</v>
      </c>
      <c r="W175" s="4" t="s">
        <v>265</v>
      </c>
      <c r="X175" s="4" t="s">
        <v>297</v>
      </c>
    </row>
    <row r="176" spans="1:24" x14ac:dyDescent="0.25">
      <c r="I176" s="117"/>
      <c r="K176" s="4" t="s">
        <v>81</v>
      </c>
      <c r="L176" s="4">
        <f>AC160</f>
        <v>18.177348551360843</v>
      </c>
      <c r="M176" s="4">
        <f>AD160</f>
        <v>58.999122036874446</v>
      </c>
      <c r="N176" s="4" t="s">
        <v>76</v>
      </c>
      <c r="O176" s="4">
        <f>$E$4</f>
        <v>17</v>
      </c>
      <c r="P176" s="4">
        <f>$F$4</f>
        <v>0.9</v>
      </c>
      <c r="Q176" s="4">
        <f>$G$4</f>
        <v>0.4</v>
      </c>
      <c r="R176" s="154" t="s">
        <v>322</v>
      </c>
      <c r="S176" s="118" t="s">
        <v>296</v>
      </c>
      <c r="W176" s="4" t="s">
        <v>270</v>
      </c>
      <c r="X176" s="4" t="s">
        <v>305</v>
      </c>
    </row>
    <row r="177" spans="1:19" x14ac:dyDescent="0.25">
      <c r="I177" s="117"/>
    </row>
    <row r="178" spans="1:19" x14ac:dyDescent="0.25">
      <c r="E178" s="4" t="s">
        <v>2</v>
      </c>
      <c r="H178" s="4" t="s">
        <v>3</v>
      </c>
      <c r="I178" s="117"/>
    </row>
    <row r="179" spans="1:19" x14ac:dyDescent="0.25">
      <c r="A179" s="25" t="s">
        <v>185</v>
      </c>
      <c r="B179" s="4">
        <v>2023</v>
      </c>
      <c r="C179" s="4">
        <v>2050</v>
      </c>
      <c r="D179" s="4" t="s">
        <v>5</v>
      </c>
      <c r="E179" s="4" t="s">
        <v>8</v>
      </c>
      <c r="F179" s="4" t="s">
        <v>9</v>
      </c>
      <c r="G179" s="4" t="s">
        <v>10</v>
      </c>
      <c r="I179" s="117"/>
      <c r="O179" s="4" t="s">
        <v>2</v>
      </c>
      <c r="R179" s="4" t="s">
        <v>3</v>
      </c>
      <c r="S179" s="117"/>
    </row>
    <row r="180" spans="1:19" x14ac:dyDescent="0.25">
      <c r="A180" s="4" t="s">
        <v>14</v>
      </c>
      <c r="B180" s="113">
        <v>1000000</v>
      </c>
      <c r="C180" s="4">
        <v>1000000</v>
      </c>
      <c r="D180" s="4" t="s">
        <v>15</v>
      </c>
      <c r="E180" s="4">
        <v>17</v>
      </c>
      <c r="F180" s="4">
        <v>0.9</v>
      </c>
      <c r="G180" s="4">
        <v>0.4</v>
      </c>
      <c r="H180" s="154" t="s">
        <v>309</v>
      </c>
      <c r="I180" s="118" t="s">
        <v>174</v>
      </c>
      <c r="K180" s="25" t="s">
        <v>103</v>
      </c>
      <c r="L180" s="4">
        <v>2023</v>
      </c>
      <c r="M180" s="4">
        <v>2050</v>
      </c>
      <c r="N180" s="4" t="s">
        <v>5</v>
      </c>
      <c r="O180" s="4" t="s">
        <v>8</v>
      </c>
      <c r="P180" s="4" t="s">
        <v>9</v>
      </c>
      <c r="Q180" s="4" t="s">
        <v>10</v>
      </c>
      <c r="S180" s="117"/>
    </row>
    <row r="181" spans="1:19" x14ac:dyDescent="0.25">
      <c r="A181" s="4" t="s">
        <v>25</v>
      </c>
      <c r="B181" s="4">
        <f>-B180*0.1</f>
        <v>-100000</v>
      </c>
      <c r="C181" s="4">
        <f>-C180*0.1</f>
        <v>-100000</v>
      </c>
      <c r="D181" s="4" t="s">
        <v>15</v>
      </c>
      <c r="E181" s="4">
        <v>17</v>
      </c>
      <c r="F181" s="4">
        <v>0.9</v>
      </c>
      <c r="G181" s="4">
        <v>0.4</v>
      </c>
      <c r="H181" s="154" t="s">
        <v>309</v>
      </c>
      <c r="I181" s="117" t="s">
        <v>175</v>
      </c>
      <c r="K181" s="4" t="s">
        <v>18</v>
      </c>
      <c r="L181" s="4">
        <f>L156*2</f>
        <v>30000000</v>
      </c>
      <c r="M181" s="4">
        <f>M156*1.3</f>
        <v>19500000</v>
      </c>
      <c r="N181" s="4" t="s">
        <v>15</v>
      </c>
      <c r="O181" s="4">
        <v>17</v>
      </c>
      <c r="P181" s="4">
        <v>0.9</v>
      </c>
      <c r="Q181" s="4">
        <v>0.4</v>
      </c>
      <c r="R181" s="154" t="s">
        <v>331</v>
      </c>
      <c r="S181" s="117" t="s">
        <v>295</v>
      </c>
    </row>
    <row r="182" spans="1:19" x14ac:dyDescent="0.25">
      <c r="A182" s="4" t="s">
        <v>37</v>
      </c>
      <c r="B182" s="4">
        <f>(793000+106000+128000)/0.85</f>
        <v>1208235.294117647</v>
      </c>
      <c r="C182" s="4">
        <f>(793000+106000+128000)/0.85</f>
        <v>1208235.294117647</v>
      </c>
      <c r="D182" s="4" t="s">
        <v>38</v>
      </c>
      <c r="E182" s="4">
        <v>17</v>
      </c>
      <c r="F182" s="4">
        <v>0.9</v>
      </c>
      <c r="G182" s="4">
        <v>0.4</v>
      </c>
      <c r="H182" s="154" t="s">
        <v>334</v>
      </c>
      <c r="I182" s="117" t="s">
        <v>319</v>
      </c>
      <c r="K182" s="4" t="s">
        <v>28</v>
      </c>
      <c r="L182" s="4">
        <f>-L181*0.05</f>
        <v>-1500000</v>
      </c>
      <c r="M182" s="4">
        <f>-M181*0.1</f>
        <v>-1950000</v>
      </c>
      <c r="N182" s="4" t="s">
        <v>15</v>
      </c>
      <c r="O182" s="4">
        <v>17</v>
      </c>
      <c r="P182" s="4">
        <v>0.9</v>
      </c>
      <c r="Q182" s="4">
        <v>0.4</v>
      </c>
      <c r="R182" s="154" t="s">
        <v>26</v>
      </c>
      <c r="S182" s="117" t="s">
        <v>182</v>
      </c>
    </row>
    <row r="183" spans="1:19" x14ac:dyDescent="0.25">
      <c r="A183" s="4" t="s">
        <v>48</v>
      </c>
      <c r="B183" s="4">
        <v>9450</v>
      </c>
      <c r="C183" s="4">
        <v>9450</v>
      </c>
      <c r="D183" s="4" t="s">
        <v>49</v>
      </c>
      <c r="E183" s="4">
        <v>17</v>
      </c>
      <c r="F183" s="4">
        <v>0.9</v>
      </c>
      <c r="G183" s="4">
        <v>0.4</v>
      </c>
      <c r="H183" s="154" t="s">
        <v>333</v>
      </c>
      <c r="I183" s="117" t="s">
        <v>310</v>
      </c>
      <c r="K183" s="4" t="s">
        <v>41</v>
      </c>
      <c r="L183" s="4">
        <v>25</v>
      </c>
      <c r="M183" s="4">
        <v>25</v>
      </c>
      <c r="N183" s="4" t="s">
        <v>42</v>
      </c>
      <c r="O183" s="4">
        <v>17</v>
      </c>
      <c r="P183" s="4">
        <v>0.9</v>
      </c>
      <c r="Q183" s="4">
        <v>0.4</v>
      </c>
      <c r="R183" s="154" t="s">
        <v>43</v>
      </c>
      <c r="S183" s="117" t="s">
        <v>74</v>
      </c>
    </row>
    <row r="184" spans="1:19" x14ac:dyDescent="0.25">
      <c r="A184" s="4" t="s">
        <v>56</v>
      </c>
      <c r="B184" s="160">
        <f>39%/C150</f>
        <v>0.52</v>
      </c>
      <c r="C184" s="160">
        <f>39%/C150</f>
        <v>0.52</v>
      </c>
      <c r="D184" s="4" t="s">
        <v>57</v>
      </c>
      <c r="E184" s="4">
        <v>17</v>
      </c>
      <c r="F184" s="4">
        <v>0.9</v>
      </c>
      <c r="G184" s="4">
        <v>0.4</v>
      </c>
      <c r="H184" s="154" t="s">
        <v>16</v>
      </c>
      <c r="I184" s="117" t="s">
        <v>313</v>
      </c>
      <c r="K184" s="4" t="s">
        <v>52</v>
      </c>
      <c r="L184" s="4">
        <f>(84000+122000+82000)/0.85</f>
        <v>338823.5294117647</v>
      </c>
      <c r="M184" s="4">
        <f>(84000+122000+82000)/0.85</f>
        <v>338823.5294117647</v>
      </c>
      <c r="N184" s="4" t="s">
        <v>38</v>
      </c>
      <c r="O184" s="4">
        <v>17</v>
      </c>
      <c r="P184" s="4">
        <v>0.9</v>
      </c>
      <c r="Q184" s="4">
        <v>0.4</v>
      </c>
      <c r="R184" s="154" t="s">
        <v>9</v>
      </c>
      <c r="S184" s="117" t="s">
        <v>321</v>
      </c>
    </row>
    <row r="185" spans="1:19" x14ac:dyDescent="0.25">
      <c r="A185" s="4" t="s">
        <v>64</v>
      </c>
      <c r="B185" s="4">
        <v>120000</v>
      </c>
      <c r="C185" s="4">
        <v>120000</v>
      </c>
      <c r="D185" s="4" t="s">
        <v>65</v>
      </c>
      <c r="E185" s="4">
        <v>17</v>
      </c>
      <c r="F185" s="4">
        <v>0.9</v>
      </c>
      <c r="G185" s="4">
        <v>0.4</v>
      </c>
      <c r="H185" s="154" t="s">
        <v>315</v>
      </c>
      <c r="I185" s="117" t="s">
        <v>316</v>
      </c>
      <c r="K185" s="4" t="s">
        <v>59</v>
      </c>
      <c r="L185" s="4">
        <v>589</v>
      </c>
      <c r="M185" s="4">
        <v>519</v>
      </c>
      <c r="N185" s="4" t="s">
        <v>60</v>
      </c>
      <c r="O185" s="4">
        <v>17</v>
      </c>
      <c r="P185" s="4">
        <v>0.9</v>
      </c>
      <c r="Q185" s="4">
        <v>0.4</v>
      </c>
      <c r="R185" s="154" t="s">
        <v>43</v>
      </c>
      <c r="S185" s="117" t="s">
        <v>183</v>
      </c>
    </row>
    <row r="186" spans="1:19" x14ac:dyDescent="0.25">
      <c r="A186" s="4" t="s">
        <v>70</v>
      </c>
      <c r="B186" s="4">
        <v>25</v>
      </c>
      <c r="C186" s="4">
        <v>25</v>
      </c>
      <c r="D186" s="4" t="s">
        <v>42</v>
      </c>
      <c r="E186" s="4">
        <v>17</v>
      </c>
      <c r="F186" s="4">
        <v>0.9</v>
      </c>
      <c r="G186" s="4">
        <v>0.4</v>
      </c>
      <c r="H186" s="154" t="s">
        <v>43</v>
      </c>
      <c r="I186" s="117" t="s">
        <v>74</v>
      </c>
      <c r="K186" s="4" t="s">
        <v>67</v>
      </c>
      <c r="L186" s="65">
        <f t="shared" ref="L186:Q186" si="7">B9</f>
        <v>0.2544561408768215</v>
      </c>
      <c r="M186" s="65">
        <f t="shared" si="7"/>
        <v>0.10949010032952979</v>
      </c>
      <c r="N186" s="65" t="str">
        <f t="shared" si="7"/>
        <v>[€/kWh]</v>
      </c>
      <c r="O186" s="65">
        <f t="shared" si="7"/>
        <v>12</v>
      </c>
      <c r="P186" s="65">
        <f t="shared" si="7"/>
        <v>0.9</v>
      </c>
      <c r="Q186" s="65">
        <f t="shared" si="7"/>
        <v>0.4</v>
      </c>
      <c r="R186" s="154" t="s">
        <v>43</v>
      </c>
      <c r="S186" s="118" t="s">
        <v>300</v>
      </c>
    </row>
    <row r="187" spans="1:19" x14ac:dyDescent="0.25">
      <c r="A187" s="4" t="s">
        <v>272</v>
      </c>
      <c r="B187" s="4">
        <f>(100000*(1+(14780-15380)/15380)/118231)</f>
        <v>0.81280569096848254</v>
      </c>
      <c r="C187" s="4">
        <f>(100000*(1+(14780-15380)/15380)/118231)</f>
        <v>0.81280569096848254</v>
      </c>
      <c r="D187" s="4" t="s">
        <v>76</v>
      </c>
      <c r="E187" s="4">
        <v>17</v>
      </c>
      <c r="F187" s="4">
        <v>0.9</v>
      </c>
      <c r="G187" s="4">
        <v>0.4</v>
      </c>
      <c r="H187" s="154" t="s">
        <v>16</v>
      </c>
      <c r="I187" s="117" t="s">
        <v>318</v>
      </c>
      <c r="K187" s="4" t="s">
        <v>73</v>
      </c>
      <c r="L187" s="160">
        <v>0.1</v>
      </c>
      <c r="M187" s="160">
        <v>0.08</v>
      </c>
      <c r="N187" s="4" t="s">
        <v>57</v>
      </c>
      <c r="O187" s="4">
        <v>17</v>
      </c>
      <c r="P187" s="4">
        <v>0.9</v>
      </c>
      <c r="Q187" s="4">
        <v>0.4</v>
      </c>
      <c r="R187" s="154" t="s">
        <v>265</v>
      </c>
      <c r="S187" s="117" t="s">
        <v>184</v>
      </c>
    </row>
    <row r="188" spans="1:19" x14ac:dyDescent="0.25">
      <c r="I188" s="117"/>
      <c r="K188" s="4" t="s">
        <v>79</v>
      </c>
      <c r="L188" s="160">
        <v>0.06</v>
      </c>
      <c r="M188" s="160">
        <v>0.06</v>
      </c>
      <c r="N188" s="4" t="s">
        <v>57</v>
      </c>
      <c r="O188" s="4">
        <v>17</v>
      </c>
      <c r="P188" s="4">
        <v>0.9</v>
      </c>
      <c r="Q188" s="4">
        <v>0.4</v>
      </c>
      <c r="R188" s="154" t="s">
        <v>43</v>
      </c>
      <c r="S188" s="117" t="s">
        <v>74</v>
      </c>
    </row>
    <row r="189" spans="1:19" x14ac:dyDescent="0.25">
      <c r="I189" s="117"/>
      <c r="K189" s="4" t="s">
        <v>81</v>
      </c>
      <c r="L189" s="4">
        <f>AH160</f>
        <v>2.4449056603773585</v>
      </c>
      <c r="M189" s="4">
        <f>AI160</f>
        <v>0</v>
      </c>
      <c r="N189" s="4" t="s">
        <v>76</v>
      </c>
      <c r="O189" s="4">
        <f>$E$4</f>
        <v>17</v>
      </c>
      <c r="P189" s="4">
        <f>$F$4</f>
        <v>0.9</v>
      </c>
      <c r="Q189" s="4">
        <f>$G$4</f>
        <v>0.4</v>
      </c>
      <c r="R189" s="154" t="s">
        <v>323</v>
      </c>
      <c r="S189" s="118" t="s">
        <v>299</v>
      </c>
    </row>
    <row r="190" spans="1:19" x14ac:dyDescent="0.25">
      <c r="I190" s="117"/>
      <c r="S190" s="117"/>
    </row>
    <row r="191" spans="1:19" x14ac:dyDescent="0.25">
      <c r="E191" s="4" t="s">
        <v>2</v>
      </c>
      <c r="H191" s="4" t="s">
        <v>3</v>
      </c>
      <c r="I191" s="117"/>
      <c r="O191" s="4" t="s">
        <v>2</v>
      </c>
      <c r="R191" s="4" t="s">
        <v>3</v>
      </c>
      <c r="S191" s="117"/>
    </row>
    <row r="192" spans="1:19" x14ac:dyDescent="0.25">
      <c r="A192" s="25" t="s">
        <v>188</v>
      </c>
      <c r="B192" s="4">
        <v>2023</v>
      </c>
      <c r="C192" s="4">
        <v>2050</v>
      </c>
      <c r="D192" s="4" t="s">
        <v>5</v>
      </c>
      <c r="E192" s="4" t="s">
        <v>8</v>
      </c>
      <c r="F192" s="4" t="s">
        <v>9</v>
      </c>
      <c r="G192" s="4" t="s">
        <v>10</v>
      </c>
      <c r="I192" s="117"/>
      <c r="K192" s="25" t="s">
        <v>186</v>
      </c>
      <c r="L192" s="4">
        <v>2023</v>
      </c>
      <c r="M192" s="4">
        <v>2050</v>
      </c>
      <c r="N192" s="4" t="s">
        <v>5</v>
      </c>
      <c r="O192" s="4" t="s">
        <v>8</v>
      </c>
      <c r="P192" s="4" t="s">
        <v>9</v>
      </c>
      <c r="Q192" s="4" t="s">
        <v>10</v>
      </c>
      <c r="S192" s="117"/>
    </row>
    <row r="193" spans="1:19" x14ac:dyDescent="0.25">
      <c r="A193" s="4" t="s">
        <v>14</v>
      </c>
      <c r="B193" s="113">
        <v>1000000</v>
      </c>
      <c r="C193" s="4">
        <v>1000000</v>
      </c>
      <c r="D193" s="4" t="s">
        <v>15</v>
      </c>
      <c r="E193" s="4">
        <v>17</v>
      </c>
      <c r="F193" s="4">
        <v>0.9</v>
      </c>
      <c r="G193" s="4">
        <v>0.4</v>
      </c>
      <c r="H193" s="154" t="s">
        <v>309</v>
      </c>
      <c r="I193" s="118" t="s">
        <v>174</v>
      </c>
      <c r="K193" s="4" t="s">
        <v>18</v>
      </c>
      <c r="L193" s="4">
        <f>L156*2</f>
        <v>30000000</v>
      </c>
      <c r="M193" s="4">
        <f>M156*1.2</f>
        <v>18000000</v>
      </c>
      <c r="N193" s="4" t="s">
        <v>15</v>
      </c>
      <c r="O193" s="4">
        <v>17</v>
      </c>
      <c r="P193" s="4">
        <v>0.9</v>
      </c>
      <c r="Q193" s="4">
        <v>0.4</v>
      </c>
      <c r="R193" s="154" t="s">
        <v>330</v>
      </c>
      <c r="S193" s="117" t="s">
        <v>295</v>
      </c>
    </row>
    <row r="194" spans="1:19" x14ac:dyDescent="0.25">
      <c r="A194" s="4" t="s">
        <v>25</v>
      </c>
      <c r="B194" s="4">
        <f>-B193*0.1</f>
        <v>-100000</v>
      </c>
      <c r="C194" s="4">
        <f>-C193*0.1</f>
        <v>-100000</v>
      </c>
      <c r="D194" s="4" t="s">
        <v>15</v>
      </c>
      <c r="E194" s="4">
        <v>17</v>
      </c>
      <c r="F194" s="4">
        <v>0.9</v>
      </c>
      <c r="G194" s="4">
        <v>0.4</v>
      </c>
      <c r="H194" s="154" t="s">
        <v>309</v>
      </c>
      <c r="I194" s="117" t="s">
        <v>175</v>
      </c>
      <c r="K194" s="4" t="s">
        <v>28</v>
      </c>
      <c r="L194" s="4">
        <f>-L193*0.05</f>
        <v>-1500000</v>
      </c>
      <c r="M194" s="4">
        <f>-M193*0.1</f>
        <v>-1800000</v>
      </c>
      <c r="N194" s="4" t="s">
        <v>15</v>
      </c>
      <c r="O194" s="4">
        <v>17</v>
      </c>
      <c r="P194" s="4">
        <v>0.9</v>
      </c>
      <c r="Q194" s="4">
        <v>0.4</v>
      </c>
      <c r="R194" s="154" t="s">
        <v>26</v>
      </c>
      <c r="S194" s="117" t="s">
        <v>182</v>
      </c>
    </row>
    <row r="195" spans="1:19" x14ac:dyDescent="0.25">
      <c r="A195" s="4" t="s">
        <v>37</v>
      </c>
      <c r="B195" s="4">
        <f>(793000+106000+128000)/0.85</f>
        <v>1208235.294117647</v>
      </c>
      <c r="C195" s="4">
        <f>(793000+106000+128000)/0.85</f>
        <v>1208235.294117647</v>
      </c>
      <c r="D195" s="4" t="s">
        <v>38</v>
      </c>
      <c r="E195" s="4">
        <v>17</v>
      </c>
      <c r="F195" s="4">
        <v>0.9</v>
      </c>
      <c r="G195" s="4">
        <v>0.4</v>
      </c>
      <c r="H195" s="154" t="s">
        <v>334</v>
      </c>
      <c r="I195" s="117" t="s">
        <v>319</v>
      </c>
      <c r="K195" s="4" t="s">
        <v>41</v>
      </c>
      <c r="L195" s="4">
        <v>25</v>
      </c>
      <c r="M195" s="4">
        <v>25</v>
      </c>
      <c r="N195" s="4" t="s">
        <v>42</v>
      </c>
      <c r="O195" s="4">
        <v>17</v>
      </c>
      <c r="P195" s="4">
        <v>0.9</v>
      </c>
      <c r="Q195" s="4">
        <v>0.4</v>
      </c>
      <c r="R195" s="154" t="s">
        <v>43</v>
      </c>
      <c r="S195" s="117" t="s">
        <v>74</v>
      </c>
    </row>
    <row r="196" spans="1:19" x14ac:dyDescent="0.25">
      <c r="A196" s="4" t="s">
        <v>48</v>
      </c>
      <c r="B196" s="4">
        <v>9450</v>
      </c>
      <c r="C196" s="4">
        <v>9450</v>
      </c>
      <c r="D196" s="4" t="s">
        <v>49</v>
      </c>
      <c r="E196" s="4">
        <v>17</v>
      </c>
      <c r="F196" s="4">
        <v>0.9</v>
      </c>
      <c r="G196" s="4">
        <v>0.4</v>
      </c>
      <c r="H196" s="154" t="s">
        <v>333</v>
      </c>
      <c r="I196" s="117" t="s">
        <v>310</v>
      </c>
      <c r="K196" s="4" t="s">
        <v>52</v>
      </c>
      <c r="L196" s="4">
        <f>(84000+122000+82000)/0.85</f>
        <v>338823.5294117647</v>
      </c>
      <c r="M196" s="4">
        <f>(84000+122000+82000)/0.85</f>
        <v>338823.5294117647</v>
      </c>
      <c r="N196" s="4" t="s">
        <v>38</v>
      </c>
      <c r="O196" s="4">
        <v>17</v>
      </c>
      <c r="P196" s="4">
        <v>0.9</v>
      </c>
      <c r="Q196" s="4">
        <v>0.4</v>
      </c>
      <c r="R196" s="154" t="s">
        <v>9</v>
      </c>
      <c r="S196" s="117" t="s">
        <v>321</v>
      </c>
    </row>
    <row r="197" spans="1:19" x14ac:dyDescent="0.25">
      <c r="A197" s="4" t="s">
        <v>56</v>
      </c>
      <c r="B197" s="160">
        <f>51%/C150</f>
        <v>0.68</v>
      </c>
      <c r="C197" s="160">
        <f>51%/C150</f>
        <v>0.68</v>
      </c>
      <c r="D197" s="4" t="s">
        <v>57</v>
      </c>
      <c r="E197" s="4">
        <v>17</v>
      </c>
      <c r="F197" s="4">
        <v>0.9</v>
      </c>
      <c r="G197" s="4">
        <v>0.4</v>
      </c>
      <c r="H197" s="154" t="s">
        <v>16</v>
      </c>
      <c r="I197" s="117" t="s">
        <v>314</v>
      </c>
      <c r="K197" s="4" t="s">
        <v>59</v>
      </c>
      <c r="L197" s="4">
        <v>589</v>
      </c>
      <c r="M197" s="4">
        <v>519</v>
      </c>
      <c r="N197" s="4" t="s">
        <v>60</v>
      </c>
      <c r="O197" s="4">
        <v>17</v>
      </c>
      <c r="P197" s="4">
        <v>0.9</v>
      </c>
      <c r="Q197" s="4">
        <v>0.4</v>
      </c>
      <c r="R197" s="154" t="s">
        <v>43</v>
      </c>
      <c r="S197" s="117" t="s">
        <v>183</v>
      </c>
    </row>
    <row r="198" spans="1:19" x14ac:dyDescent="0.25">
      <c r="A198" s="4" t="s">
        <v>64</v>
      </c>
      <c r="B198" s="4">
        <v>120000</v>
      </c>
      <c r="C198" s="4">
        <v>120000</v>
      </c>
      <c r="D198" s="4" t="s">
        <v>65</v>
      </c>
      <c r="E198" s="4">
        <v>17</v>
      </c>
      <c r="F198" s="4">
        <v>0.9</v>
      </c>
      <c r="G198" s="4">
        <v>0.4</v>
      </c>
      <c r="H198" s="154" t="s">
        <v>315</v>
      </c>
      <c r="I198" s="117" t="s">
        <v>316</v>
      </c>
      <c r="K198" s="4" t="s">
        <v>67</v>
      </c>
      <c r="L198" s="4">
        <f t="shared" ref="L198:Q198" si="8">B10</f>
        <v>0.23976160758395154</v>
      </c>
      <c r="M198" s="4">
        <f t="shared" si="8"/>
        <v>0.11428118371505049</v>
      </c>
      <c r="N198" s="4" t="str">
        <f t="shared" si="8"/>
        <v>[€/kWh]</v>
      </c>
      <c r="O198" s="4">
        <f t="shared" si="8"/>
        <v>14</v>
      </c>
      <c r="P198" s="4">
        <f t="shared" si="8"/>
        <v>0.9</v>
      </c>
      <c r="Q198" s="4">
        <f t="shared" si="8"/>
        <v>0.4</v>
      </c>
      <c r="R198" s="154" t="s">
        <v>43</v>
      </c>
      <c r="S198" s="117" t="s">
        <v>300</v>
      </c>
    </row>
    <row r="199" spans="1:19" x14ac:dyDescent="0.25">
      <c r="A199" s="4" t="s">
        <v>70</v>
      </c>
      <c r="B199" s="4">
        <v>25</v>
      </c>
      <c r="C199" s="4">
        <v>25</v>
      </c>
      <c r="D199" s="4" t="s">
        <v>42</v>
      </c>
      <c r="E199" s="4">
        <v>17</v>
      </c>
      <c r="F199" s="4">
        <v>0.9</v>
      </c>
      <c r="G199" s="4">
        <v>0.4</v>
      </c>
      <c r="H199" s="154" t="s">
        <v>43</v>
      </c>
      <c r="I199" s="117" t="s">
        <v>74</v>
      </c>
      <c r="K199" s="4" t="s">
        <v>73</v>
      </c>
      <c r="L199" s="160">
        <v>0.08</v>
      </c>
      <c r="M199" s="160">
        <v>7.0000000000000007E-2</v>
      </c>
      <c r="N199" s="4" t="s">
        <v>57</v>
      </c>
      <c r="O199" s="4">
        <v>17</v>
      </c>
      <c r="P199" s="4">
        <v>0.9</v>
      </c>
      <c r="Q199" s="4">
        <v>0.4</v>
      </c>
      <c r="R199" s="154" t="s">
        <v>43</v>
      </c>
      <c r="S199" s="117" t="s">
        <v>184</v>
      </c>
    </row>
    <row r="200" spans="1:19" x14ac:dyDescent="0.25">
      <c r="A200" s="4" t="s">
        <v>272</v>
      </c>
      <c r="B200" s="4">
        <f>(100000*(1+(14780-15380)/15380)/118231)</f>
        <v>0.81280569096848254</v>
      </c>
      <c r="C200" s="4">
        <f>(100000*(1+(14780-15380)/15380)/118231)</f>
        <v>0.81280569096848254</v>
      </c>
      <c r="D200" s="4" t="s">
        <v>76</v>
      </c>
      <c r="E200" s="4">
        <v>17</v>
      </c>
      <c r="F200" s="4">
        <v>0.9</v>
      </c>
      <c r="G200" s="4">
        <v>0.4</v>
      </c>
      <c r="H200" s="154" t="s">
        <v>16</v>
      </c>
      <c r="I200" s="117" t="s">
        <v>318</v>
      </c>
      <c r="K200" s="4" t="s">
        <v>79</v>
      </c>
      <c r="L200" s="160">
        <v>0.06</v>
      </c>
      <c r="M200" s="160">
        <v>0.06</v>
      </c>
      <c r="N200" s="4" t="s">
        <v>57</v>
      </c>
      <c r="O200" s="4">
        <v>17</v>
      </c>
      <c r="P200" s="4">
        <v>0.9</v>
      </c>
      <c r="Q200" s="4">
        <v>0.4</v>
      </c>
      <c r="R200" s="154" t="s">
        <v>43</v>
      </c>
      <c r="S200" s="117" t="s">
        <v>74</v>
      </c>
    </row>
    <row r="201" spans="1:19" x14ac:dyDescent="0.25">
      <c r="I201" s="117"/>
      <c r="K201" s="4" t="s">
        <v>81</v>
      </c>
      <c r="L201" s="4">
        <f>AM160</f>
        <v>2.4919230769230767</v>
      </c>
      <c r="M201" s="4">
        <f>AN160</f>
        <v>0</v>
      </c>
      <c r="N201" s="4" t="s">
        <v>76</v>
      </c>
      <c r="O201" s="4">
        <f>$E$4</f>
        <v>17</v>
      </c>
      <c r="P201" s="4">
        <f>$F$4</f>
        <v>0.9</v>
      </c>
      <c r="Q201" s="4">
        <f>$G$4</f>
        <v>0.4</v>
      </c>
      <c r="R201" s="154" t="s">
        <v>323</v>
      </c>
      <c r="S201" s="118" t="s">
        <v>307</v>
      </c>
    </row>
    <row r="202" spans="1:19" x14ac:dyDescent="0.25">
      <c r="S202" s="117"/>
    </row>
    <row r="203" spans="1:19" x14ac:dyDescent="0.25">
      <c r="O203" s="4" t="s">
        <v>2</v>
      </c>
      <c r="R203" s="4" t="s">
        <v>3</v>
      </c>
      <c r="S203" s="117"/>
    </row>
    <row r="204" spans="1:19" x14ac:dyDescent="0.25">
      <c r="K204" s="25" t="s">
        <v>187</v>
      </c>
      <c r="L204" s="4">
        <v>2023</v>
      </c>
      <c r="M204" s="4">
        <v>2050</v>
      </c>
      <c r="N204" s="4" t="s">
        <v>5</v>
      </c>
      <c r="O204" s="4" t="s">
        <v>8</v>
      </c>
      <c r="P204" s="4" t="s">
        <v>9</v>
      </c>
      <c r="Q204" s="4" t="s">
        <v>10</v>
      </c>
      <c r="S204" s="117"/>
    </row>
    <row r="205" spans="1:19" x14ac:dyDescent="0.25">
      <c r="K205" s="4" t="s">
        <v>18</v>
      </c>
      <c r="L205" s="4">
        <f>L156*1.3</f>
        <v>19500000</v>
      </c>
      <c r="M205" s="4">
        <f>M156</f>
        <v>15000000</v>
      </c>
      <c r="N205" s="4" t="s">
        <v>15</v>
      </c>
      <c r="O205" s="4">
        <v>17</v>
      </c>
      <c r="P205" s="4">
        <v>0.9</v>
      </c>
      <c r="Q205" s="4">
        <v>0.4</v>
      </c>
      <c r="R205" s="154" t="s">
        <v>332</v>
      </c>
      <c r="S205" s="117" t="s">
        <v>189</v>
      </c>
    </row>
    <row r="206" spans="1:19" x14ac:dyDescent="0.25">
      <c r="K206" s="4" t="s">
        <v>28</v>
      </c>
      <c r="L206" s="4">
        <f>-L205*0.05</f>
        <v>-975000</v>
      </c>
      <c r="M206" s="4">
        <f>-M205*0.1</f>
        <v>-1500000</v>
      </c>
      <c r="N206" s="4" t="s">
        <v>15</v>
      </c>
      <c r="O206" s="4">
        <v>17</v>
      </c>
      <c r="P206" s="4">
        <v>0.9</v>
      </c>
      <c r="Q206" s="4">
        <v>0.4</v>
      </c>
      <c r="R206" s="154" t="s">
        <v>26</v>
      </c>
      <c r="S206" s="117" t="s">
        <v>182</v>
      </c>
    </row>
    <row r="207" spans="1:19" x14ac:dyDescent="0.25">
      <c r="B207" s="160"/>
      <c r="K207" s="4" t="s">
        <v>41</v>
      </c>
      <c r="L207" s="4">
        <v>25</v>
      </c>
      <c r="M207" s="4">
        <v>25</v>
      </c>
      <c r="N207" s="4" t="s">
        <v>42</v>
      </c>
      <c r="O207" s="4">
        <v>17</v>
      </c>
      <c r="P207" s="4">
        <v>0.9</v>
      </c>
      <c r="Q207" s="4">
        <v>0.4</v>
      </c>
      <c r="R207" s="154" t="s">
        <v>43</v>
      </c>
      <c r="S207" s="117" t="s">
        <v>74</v>
      </c>
    </row>
    <row r="208" spans="1:19" x14ac:dyDescent="0.25">
      <c r="K208" s="4" t="s">
        <v>52</v>
      </c>
      <c r="L208" s="4">
        <f>(84000+127000+122000+82000)/0.85</f>
        <v>488235.29411764705</v>
      </c>
      <c r="M208" s="4">
        <f>(84000+127000+122000+82000)/0.85</f>
        <v>488235.29411764705</v>
      </c>
      <c r="N208" s="4" t="s">
        <v>38</v>
      </c>
      <c r="O208" s="4">
        <v>17</v>
      </c>
      <c r="P208" s="4">
        <v>0.9</v>
      </c>
      <c r="Q208" s="4">
        <v>0.4</v>
      </c>
      <c r="R208" s="154" t="s">
        <v>9</v>
      </c>
      <c r="S208" s="117" t="s">
        <v>320</v>
      </c>
    </row>
    <row r="209" spans="11:19" x14ac:dyDescent="0.25">
      <c r="K209" s="4" t="s">
        <v>59</v>
      </c>
      <c r="L209" s="4">
        <v>647</v>
      </c>
      <c r="M209" s="4">
        <v>600</v>
      </c>
      <c r="N209" s="4" t="s">
        <v>60</v>
      </c>
      <c r="O209" s="4">
        <v>17</v>
      </c>
      <c r="P209" s="4">
        <v>0.9</v>
      </c>
      <c r="Q209" s="4">
        <v>0.4</v>
      </c>
      <c r="R209" s="154" t="s">
        <v>43</v>
      </c>
      <c r="S209" s="117" t="s">
        <v>190</v>
      </c>
    </row>
    <row r="210" spans="11:19" x14ac:dyDescent="0.25">
      <c r="K210" s="4" t="s">
        <v>67</v>
      </c>
      <c r="L210" s="4">
        <f t="shared" ref="L210:Q210" si="9">B11</f>
        <v>0.46076973995226939</v>
      </c>
      <c r="M210" s="4">
        <f t="shared" si="9"/>
        <v>0.14224714585492179</v>
      </c>
      <c r="N210" s="4" t="str">
        <f t="shared" si="9"/>
        <v>[€/kWh]</v>
      </c>
      <c r="O210" s="4">
        <f t="shared" si="9"/>
        <v>17</v>
      </c>
      <c r="P210" s="4">
        <f t="shared" si="9"/>
        <v>0.9</v>
      </c>
      <c r="Q210" s="4">
        <f t="shared" si="9"/>
        <v>0.4</v>
      </c>
      <c r="R210" s="154" t="s">
        <v>270</v>
      </c>
      <c r="S210" s="117" t="s">
        <v>317</v>
      </c>
    </row>
    <row r="211" spans="11:19" x14ac:dyDescent="0.25">
      <c r="K211" s="4" t="s">
        <v>73</v>
      </c>
      <c r="L211" s="160">
        <v>0.04</v>
      </c>
      <c r="M211" s="160">
        <v>0.04</v>
      </c>
      <c r="N211" s="4" t="s">
        <v>57</v>
      </c>
      <c r="O211" s="4">
        <v>17</v>
      </c>
      <c r="P211" s="4">
        <v>0.9</v>
      </c>
      <c r="Q211" s="4">
        <v>0.4</v>
      </c>
      <c r="R211" s="154" t="s">
        <v>77</v>
      </c>
      <c r="S211" s="117" t="s">
        <v>191</v>
      </c>
    </row>
    <row r="212" spans="11:19" x14ac:dyDescent="0.25">
      <c r="K212" s="4" t="s">
        <v>79</v>
      </c>
      <c r="L212" s="160">
        <v>0.06</v>
      </c>
      <c r="M212" s="160">
        <v>0.06</v>
      </c>
      <c r="N212" s="4" t="s">
        <v>57</v>
      </c>
      <c r="O212" s="4">
        <v>17</v>
      </c>
      <c r="P212" s="4">
        <v>0.9</v>
      </c>
      <c r="Q212" s="4">
        <v>0.4</v>
      </c>
      <c r="R212" s="154" t="s">
        <v>43</v>
      </c>
      <c r="S212" s="117" t="s">
        <v>74</v>
      </c>
    </row>
    <row r="213" spans="11:19" x14ac:dyDescent="0.25">
      <c r="K213" s="4" t="s">
        <v>81</v>
      </c>
      <c r="L213" s="4">
        <f>AR160</f>
        <v>3.1631111111111108</v>
      </c>
      <c r="M213" s="4">
        <f>AS160</f>
        <v>0</v>
      </c>
      <c r="N213" s="4" t="s">
        <v>76</v>
      </c>
      <c r="O213" s="4">
        <f>$E$4</f>
        <v>17</v>
      </c>
      <c r="P213" s="4">
        <f>$F$4</f>
        <v>0.9</v>
      </c>
      <c r="Q213" s="4">
        <f>$G$4</f>
        <v>0.4</v>
      </c>
      <c r="R213" s="154" t="s">
        <v>323</v>
      </c>
      <c r="S213" s="118" t="s">
        <v>306</v>
      </c>
    </row>
    <row r="216" spans="11:19" x14ac:dyDescent="0.25">
      <c r="S216" s="117"/>
    </row>
    <row r="217" spans="11:19" x14ac:dyDescent="0.25">
      <c r="K217" s="162" t="s">
        <v>308</v>
      </c>
      <c r="L217" s="162"/>
      <c r="M217" s="162"/>
    </row>
    <row r="218" spans="11:19" x14ac:dyDescent="0.25">
      <c r="K218" s="162" t="s">
        <v>192</v>
      </c>
      <c r="L218" s="162"/>
      <c r="M218" s="162"/>
    </row>
    <row r="219" spans="11:19" x14ac:dyDescent="0.25">
      <c r="K219" s="162" t="s">
        <v>193</v>
      </c>
      <c r="L219" s="162">
        <v>5.4722</v>
      </c>
      <c r="M219" s="162" t="s">
        <v>32</v>
      </c>
    </row>
    <row r="220" spans="11:19" x14ac:dyDescent="0.25">
      <c r="K220" s="162" t="s">
        <v>194</v>
      </c>
      <c r="L220" s="162">
        <v>4.3333000000000004</v>
      </c>
      <c r="M220" s="162" t="s">
        <v>145</v>
      </c>
    </row>
    <row r="240" spans="1:19" x14ac:dyDescent="0.25">
      <c r="A240" s="108"/>
      <c r="B240" s="108"/>
      <c r="C240" s="108"/>
      <c r="D240" s="108"/>
      <c r="E240" s="108"/>
      <c r="F240" s="108"/>
      <c r="G240" s="108"/>
      <c r="H240" s="108"/>
      <c r="I240" s="108"/>
      <c r="J240" s="108"/>
      <c r="K240" s="108"/>
      <c r="L240" s="108"/>
      <c r="M240" s="108"/>
      <c r="N240" s="108"/>
      <c r="O240" s="108"/>
      <c r="P240" s="108"/>
      <c r="Q240" s="108"/>
      <c r="R240" s="108"/>
      <c r="S240" s="108"/>
    </row>
  </sheetData>
  <mergeCells count="12">
    <mergeCell ref="X21:Y21"/>
    <mergeCell ref="X22:Y22"/>
    <mergeCell ref="X23:Y23"/>
    <mergeCell ref="X91:Y91"/>
    <mergeCell ref="X92:Y92"/>
    <mergeCell ref="AC158:AD158"/>
    <mergeCell ref="X158:Y158"/>
    <mergeCell ref="X93:Y93"/>
    <mergeCell ref="X156:Y156"/>
    <mergeCell ref="X157:Y157"/>
    <mergeCell ref="AC156:AD156"/>
    <mergeCell ref="AC157:AD157"/>
  </mergeCells>
  <hyperlinks>
    <hyperlink ref="X36" r:id="rId1" xr:uid="{83BCC5A8-01A8-4534-970E-A76BB0698DB1}"/>
    <hyperlink ref="B152" r:id="rId2" xr:uid="{2C3F2E55-FEF5-43D5-B8DD-07A66CBCD4F7}"/>
  </hyperlinks>
  <pageMargins left="0.7" right="0.7" top="0.75" bottom="0.75" header="0.3" footer="0.3"/>
  <pageSetup paperSize="9" orientation="portrait"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C35B6-39CB-4644-A730-665E7DAC12F7}">
  <dimension ref="A1:S23"/>
  <sheetViews>
    <sheetView tabSelected="1" workbookViewId="0">
      <selection activeCell="H4" sqref="H4"/>
    </sheetView>
  </sheetViews>
  <sheetFormatPr defaultRowHeight="15" x14ac:dyDescent="0.25"/>
  <cols>
    <col min="1" max="1" width="6" bestFit="1" customWidth="1"/>
    <col min="2" max="2" width="15.42578125" bestFit="1" customWidth="1"/>
    <col min="3" max="3" width="12.5703125" bestFit="1" customWidth="1"/>
    <col min="4" max="4" width="5.5703125" bestFit="1" customWidth="1"/>
    <col min="5" max="5" width="5.42578125" bestFit="1" customWidth="1"/>
    <col min="6" max="6" width="23.5703125" bestFit="1" customWidth="1"/>
    <col min="7" max="7" width="27.5703125" bestFit="1" customWidth="1"/>
    <col min="8" max="8" width="20" bestFit="1" customWidth="1"/>
  </cols>
  <sheetData>
    <row r="1" spans="1:19" x14ac:dyDescent="0.25">
      <c r="A1" s="125" t="s">
        <v>232</v>
      </c>
      <c r="B1" s="133" t="s">
        <v>236</v>
      </c>
      <c r="C1" s="133" t="s">
        <v>243</v>
      </c>
      <c r="D1" s="133" t="s">
        <v>254</v>
      </c>
      <c r="E1" s="133" t="s">
        <v>255</v>
      </c>
      <c r="F1" s="133" t="s">
        <v>258</v>
      </c>
      <c r="G1" s="133" t="s">
        <v>436</v>
      </c>
      <c r="H1" s="133" t="s">
        <v>437</v>
      </c>
    </row>
    <row r="2" spans="1:19" x14ac:dyDescent="0.25">
      <c r="A2">
        <v>1</v>
      </c>
      <c r="B2" s="134" t="s">
        <v>222</v>
      </c>
      <c r="C2" s="135" t="s">
        <v>245</v>
      </c>
      <c r="D2" s="135" t="s">
        <v>168</v>
      </c>
      <c r="E2" s="135" t="s">
        <v>227</v>
      </c>
      <c r="F2" s="136">
        <f>G2*1</f>
        <v>106</v>
      </c>
      <c r="G2" s="136">
        <v>106</v>
      </c>
      <c r="H2" s="136">
        <v>12</v>
      </c>
      <c r="M2" s="142" t="s">
        <v>256</v>
      </c>
      <c r="O2" s="143" t="s">
        <v>242</v>
      </c>
      <c r="P2" s="143" t="s">
        <v>243</v>
      </c>
      <c r="Q2" s="143" t="s">
        <v>254</v>
      </c>
      <c r="R2" s="143" t="s">
        <v>255</v>
      </c>
      <c r="S2" s="143" t="s">
        <v>244</v>
      </c>
    </row>
    <row r="3" spans="1:19" x14ac:dyDescent="0.25">
      <c r="A3">
        <v>2</v>
      </c>
      <c r="B3" s="137" t="s">
        <v>222</v>
      </c>
      <c r="C3" t="s">
        <v>246</v>
      </c>
      <c r="D3" t="s">
        <v>168</v>
      </c>
      <c r="E3" t="s">
        <v>221</v>
      </c>
      <c r="F3" s="136">
        <f t="shared" ref="F3:F16" si="0">G3*1</f>
        <v>108</v>
      </c>
      <c r="G3" s="138">
        <v>108</v>
      </c>
      <c r="H3" s="138">
        <v>36</v>
      </c>
      <c r="O3" s="144" t="s">
        <v>222</v>
      </c>
      <c r="P3" s="145" t="s">
        <v>245</v>
      </c>
      <c r="Q3" s="145" t="s">
        <v>168</v>
      </c>
      <c r="R3" s="145" t="s">
        <v>227</v>
      </c>
      <c r="S3" s="146">
        <v>106</v>
      </c>
    </row>
    <row r="4" spans="1:19" x14ac:dyDescent="0.25">
      <c r="A4">
        <v>3</v>
      </c>
      <c r="B4" s="137" t="s">
        <v>222</v>
      </c>
      <c r="C4" t="s">
        <v>247</v>
      </c>
      <c r="D4" t="s">
        <v>227</v>
      </c>
      <c r="E4" t="s">
        <v>221</v>
      </c>
      <c r="F4" s="136">
        <f t="shared" si="0"/>
        <v>4</v>
      </c>
      <c r="G4" s="138">
        <v>4</v>
      </c>
      <c r="H4" s="138">
        <v>6</v>
      </c>
      <c r="O4" s="147" t="s">
        <v>222</v>
      </c>
      <c r="P4" s="142" t="s">
        <v>246</v>
      </c>
      <c r="Q4" s="142" t="s">
        <v>168</v>
      </c>
      <c r="R4" s="142" t="s">
        <v>221</v>
      </c>
      <c r="S4" s="148">
        <v>108</v>
      </c>
    </row>
    <row r="5" spans="1:19" x14ac:dyDescent="0.25">
      <c r="A5">
        <v>4</v>
      </c>
      <c r="B5" s="134" t="s">
        <v>223</v>
      </c>
      <c r="C5" s="135" t="s">
        <v>245</v>
      </c>
      <c r="D5" s="135" t="s">
        <v>168</v>
      </c>
      <c r="E5" s="135" t="s">
        <v>227</v>
      </c>
      <c r="F5" s="136">
        <f t="shared" si="0"/>
        <v>106</v>
      </c>
      <c r="G5" s="136">
        <v>106</v>
      </c>
      <c r="H5" s="136">
        <v>12</v>
      </c>
      <c r="N5" s="142"/>
      <c r="O5" s="149" t="s">
        <v>222</v>
      </c>
      <c r="P5" s="150" t="s">
        <v>247</v>
      </c>
      <c r="Q5" s="150" t="s">
        <v>227</v>
      </c>
      <c r="R5" s="150" t="s">
        <v>221</v>
      </c>
      <c r="S5" s="151">
        <v>4</v>
      </c>
    </row>
    <row r="6" spans="1:19" x14ac:dyDescent="0.25">
      <c r="A6">
        <v>5</v>
      </c>
      <c r="B6" s="137" t="s">
        <v>223</v>
      </c>
      <c r="C6" t="s">
        <v>246</v>
      </c>
      <c r="D6" t="s">
        <v>168</v>
      </c>
      <c r="E6" t="s">
        <v>221</v>
      </c>
      <c r="F6" s="136">
        <f t="shared" si="0"/>
        <v>108</v>
      </c>
      <c r="G6" s="138">
        <v>108</v>
      </c>
      <c r="H6" s="138">
        <v>36</v>
      </c>
      <c r="O6" s="144" t="s">
        <v>248</v>
      </c>
      <c r="P6" s="145" t="s">
        <v>245</v>
      </c>
      <c r="Q6" s="145" t="s">
        <v>168</v>
      </c>
      <c r="R6" s="145" t="s">
        <v>227</v>
      </c>
      <c r="S6" s="146">
        <v>66</v>
      </c>
    </row>
    <row r="7" spans="1:19" x14ac:dyDescent="0.25">
      <c r="A7">
        <v>6</v>
      </c>
      <c r="B7" s="139" t="s">
        <v>223</v>
      </c>
      <c r="C7" s="140" t="s">
        <v>247</v>
      </c>
      <c r="D7" s="140" t="s">
        <v>227</v>
      </c>
      <c r="E7" s="140" t="s">
        <v>221</v>
      </c>
      <c r="F7" s="136">
        <f t="shared" si="0"/>
        <v>4</v>
      </c>
      <c r="G7" s="138">
        <v>4</v>
      </c>
      <c r="H7" s="138">
        <v>6</v>
      </c>
      <c r="O7" s="147" t="s">
        <v>248</v>
      </c>
      <c r="P7" s="142" t="s">
        <v>246</v>
      </c>
      <c r="Q7" s="142" t="s">
        <v>168</v>
      </c>
      <c r="R7" s="142" t="s">
        <v>221</v>
      </c>
      <c r="S7" s="148">
        <v>356</v>
      </c>
    </row>
    <row r="8" spans="1:19" x14ac:dyDescent="0.25">
      <c r="A8">
        <v>7</v>
      </c>
      <c r="B8" s="137" t="s">
        <v>224</v>
      </c>
      <c r="C8" t="s">
        <v>245</v>
      </c>
      <c r="D8" t="s">
        <v>168</v>
      </c>
      <c r="E8" t="s">
        <v>227</v>
      </c>
      <c r="F8" s="136">
        <f t="shared" si="0"/>
        <v>106</v>
      </c>
      <c r="G8" s="136">
        <v>106</v>
      </c>
      <c r="H8" s="136">
        <v>12</v>
      </c>
      <c r="O8" s="149" t="s">
        <v>248</v>
      </c>
      <c r="P8" s="150" t="s">
        <v>247</v>
      </c>
      <c r="Q8" s="150" t="s">
        <v>227</v>
      </c>
      <c r="R8" s="150" t="s">
        <v>221</v>
      </c>
      <c r="S8" s="151">
        <v>381</v>
      </c>
    </row>
    <row r="9" spans="1:19" x14ac:dyDescent="0.25">
      <c r="A9">
        <v>8</v>
      </c>
      <c r="B9" s="137" t="s">
        <v>224</v>
      </c>
      <c r="C9" t="s">
        <v>246</v>
      </c>
      <c r="D9" t="s">
        <v>168</v>
      </c>
      <c r="E9" t="s">
        <v>221</v>
      </c>
      <c r="F9" s="136">
        <f t="shared" si="0"/>
        <v>108</v>
      </c>
      <c r="G9" s="138">
        <v>108</v>
      </c>
      <c r="H9" s="138">
        <v>36</v>
      </c>
      <c r="O9" s="144" t="s">
        <v>249</v>
      </c>
      <c r="P9" s="145" t="s">
        <v>245</v>
      </c>
      <c r="Q9" s="145" t="s">
        <v>168</v>
      </c>
      <c r="R9" s="145" t="s">
        <v>227</v>
      </c>
      <c r="S9" s="146">
        <v>66</v>
      </c>
    </row>
    <row r="10" spans="1:19" x14ac:dyDescent="0.25">
      <c r="A10">
        <v>9</v>
      </c>
      <c r="B10" s="137" t="s">
        <v>224</v>
      </c>
      <c r="C10" t="s">
        <v>247</v>
      </c>
      <c r="D10" t="s">
        <v>227</v>
      </c>
      <c r="E10" t="s">
        <v>221</v>
      </c>
      <c r="F10" s="136">
        <f t="shared" si="0"/>
        <v>4</v>
      </c>
      <c r="G10" s="138">
        <v>4</v>
      </c>
      <c r="H10" s="138">
        <v>6</v>
      </c>
      <c r="O10" s="147" t="s">
        <v>249</v>
      </c>
      <c r="P10" s="142" t="s">
        <v>246</v>
      </c>
      <c r="Q10" s="142" t="s">
        <v>168</v>
      </c>
      <c r="R10" s="142" t="s">
        <v>221</v>
      </c>
      <c r="S10" s="148">
        <v>26</v>
      </c>
    </row>
    <row r="11" spans="1:19" x14ac:dyDescent="0.25">
      <c r="A11">
        <v>10</v>
      </c>
      <c r="B11" s="134" t="s">
        <v>225</v>
      </c>
      <c r="C11" s="135" t="s">
        <v>245</v>
      </c>
      <c r="D11" s="135" t="s">
        <v>168</v>
      </c>
      <c r="E11" s="135" t="s">
        <v>227</v>
      </c>
      <c r="F11" s="136">
        <f t="shared" si="0"/>
        <v>106</v>
      </c>
      <c r="G11" s="136">
        <v>106</v>
      </c>
      <c r="H11" s="136">
        <v>12</v>
      </c>
      <c r="O11" s="149" t="s">
        <v>249</v>
      </c>
      <c r="P11" s="150" t="s">
        <v>247</v>
      </c>
      <c r="Q11" s="150" t="s">
        <v>227</v>
      </c>
      <c r="R11" s="150" t="s">
        <v>221</v>
      </c>
      <c r="S11" s="151">
        <v>57</v>
      </c>
    </row>
    <row r="12" spans="1:19" x14ac:dyDescent="0.25">
      <c r="A12">
        <v>11</v>
      </c>
      <c r="B12" s="137" t="s">
        <v>225</v>
      </c>
      <c r="C12" t="s">
        <v>246</v>
      </c>
      <c r="D12" t="s">
        <v>168</v>
      </c>
      <c r="E12" t="s">
        <v>221</v>
      </c>
      <c r="F12" s="136">
        <f t="shared" si="0"/>
        <v>108</v>
      </c>
      <c r="G12" s="138">
        <v>108</v>
      </c>
      <c r="H12" s="138">
        <v>36</v>
      </c>
      <c r="O12" s="144" t="s">
        <v>250</v>
      </c>
      <c r="P12" s="145" t="s">
        <v>245</v>
      </c>
      <c r="Q12" s="145" t="s">
        <v>168</v>
      </c>
      <c r="R12" s="145" t="s">
        <v>227</v>
      </c>
      <c r="S12" s="146">
        <v>293</v>
      </c>
    </row>
    <row r="13" spans="1:19" x14ac:dyDescent="0.25">
      <c r="A13">
        <v>12</v>
      </c>
      <c r="B13" s="139" t="s">
        <v>225</v>
      </c>
      <c r="C13" s="140" t="s">
        <v>247</v>
      </c>
      <c r="D13" s="140" t="s">
        <v>227</v>
      </c>
      <c r="E13" s="140" t="s">
        <v>221</v>
      </c>
      <c r="F13" s="136">
        <f t="shared" si="0"/>
        <v>4</v>
      </c>
      <c r="G13" s="138">
        <v>4</v>
      </c>
      <c r="H13" s="138">
        <v>6</v>
      </c>
      <c r="O13" s="147" t="s">
        <v>250</v>
      </c>
      <c r="P13" s="142" t="s">
        <v>246</v>
      </c>
      <c r="Q13" s="142" t="s">
        <v>168</v>
      </c>
      <c r="R13" s="142" t="s">
        <v>221</v>
      </c>
      <c r="S13" s="148">
        <v>254</v>
      </c>
    </row>
    <row r="14" spans="1:19" x14ac:dyDescent="0.25">
      <c r="A14">
        <v>13</v>
      </c>
      <c r="B14" s="134" t="s">
        <v>226</v>
      </c>
      <c r="C14" s="135" t="s">
        <v>245</v>
      </c>
      <c r="D14" s="135" t="s">
        <v>168</v>
      </c>
      <c r="E14" s="135" t="s">
        <v>227</v>
      </c>
      <c r="F14" s="136">
        <f t="shared" si="0"/>
        <v>106</v>
      </c>
      <c r="G14" s="136">
        <v>106</v>
      </c>
      <c r="H14" s="136">
        <v>12</v>
      </c>
      <c r="O14" s="149" t="s">
        <v>250</v>
      </c>
      <c r="P14" s="150" t="s">
        <v>247</v>
      </c>
      <c r="Q14" s="150" t="s">
        <v>227</v>
      </c>
      <c r="R14" s="150" t="s">
        <v>221</v>
      </c>
      <c r="S14" s="151">
        <v>57</v>
      </c>
    </row>
    <row r="15" spans="1:19" x14ac:dyDescent="0.25">
      <c r="A15">
        <v>14</v>
      </c>
      <c r="B15" s="137" t="s">
        <v>226</v>
      </c>
      <c r="C15" t="s">
        <v>246</v>
      </c>
      <c r="D15" t="s">
        <v>168</v>
      </c>
      <c r="E15" t="s">
        <v>221</v>
      </c>
      <c r="F15" s="136">
        <f t="shared" si="0"/>
        <v>108</v>
      </c>
      <c r="G15" s="138">
        <v>108</v>
      </c>
      <c r="H15" s="138">
        <v>36</v>
      </c>
      <c r="O15" s="144" t="s">
        <v>251</v>
      </c>
      <c r="P15" s="145" t="s">
        <v>245</v>
      </c>
      <c r="Q15" s="145" t="s">
        <v>168</v>
      </c>
      <c r="R15" s="145" t="s">
        <v>227</v>
      </c>
      <c r="S15" s="146">
        <v>66</v>
      </c>
    </row>
    <row r="16" spans="1:19" x14ac:dyDescent="0.25">
      <c r="A16">
        <v>15</v>
      </c>
      <c r="B16" s="139" t="s">
        <v>226</v>
      </c>
      <c r="C16" s="140" t="s">
        <v>247</v>
      </c>
      <c r="D16" s="140" t="s">
        <v>227</v>
      </c>
      <c r="E16" s="140" t="s">
        <v>221</v>
      </c>
      <c r="F16" s="136">
        <f t="shared" si="0"/>
        <v>4</v>
      </c>
      <c r="G16" s="141">
        <v>4</v>
      </c>
      <c r="H16" s="138">
        <v>6</v>
      </c>
      <c r="O16" s="147" t="s">
        <v>251</v>
      </c>
      <c r="P16" s="142" t="s">
        <v>246</v>
      </c>
      <c r="Q16" s="142" t="s">
        <v>168</v>
      </c>
      <c r="R16" s="142" t="s">
        <v>221</v>
      </c>
      <c r="S16" s="148">
        <v>356</v>
      </c>
    </row>
    <row r="17" spans="15:19" x14ac:dyDescent="0.25">
      <c r="O17" s="149" t="s">
        <v>251</v>
      </c>
      <c r="P17" s="150" t="s">
        <v>247</v>
      </c>
      <c r="Q17" s="150" t="s">
        <v>227</v>
      </c>
      <c r="R17" s="150" t="s">
        <v>221</v>
      </c>
      <c r="S17" s="151">
        <v>381</v>
      </c>
    </row>
    <row r="18" spans="15:19" x14ac:dyDescent="0.25">
      <c r="O18" s="144" t="s">
        <v>252</v>
      </c>
      <c r="P18" s="145" t="s">
        <v>245</v>
      </c>
      <c r="Q18" s="145" t="s">
        <v>168</v>
      </c>
      <c r="R18" s="145" t="s">
        <v>227</v>
      </c>
      <c r="S18" s="146">
        <v>133.5</v>
      </c>
    </row>
    <row r="19" spans="15:19" x14ac:dyDescent="0.25">
      <c r="O19" s="147" t="s">
        <v>252</v>
      </c>
      <c r="P19" s="142" t="s">
        <v>246</v>
      </c>
      <c r="Q19" s="142" t="s">
        <v>168</v>
      </c>
      <c r="R19" s="142" t="s">
        <v>221</v>
      </c>
      <c r="S19" s="148">
        <v>112</v>
      </c>
    </row>
    <row r="20" spans="15:19" x14ac:dyDescent="0.25">
      <c r="O20" s="149" t="s">
        <v>252</v>
      </c>
      <c r="P20" s="150" t="s">
        <v>247</v>
      </c>
      <c r="Q20" s="150" t="s">
        <v>227</v>
      </c>
      <c r="R20" s="150" t="s">
        <v>221</v>
      </c>
      <c r="S20" s="151">
        <v>35.5</v>
      </c>
    </row>
    <row r="21" spans="15:19" x14ac:dyDescent="0.25">
      <c r="O21" s="144" t="s">
        <v>253</v>
      </c>
      <c r="P21" s="145" t="s">
        <v>245</v>
      </c>
      <c r="Q21" s="145" t="s">
        <v>168</v>
      </c>
      <c r="R21" s="145" t="s">
        <v>227</v>
      </c>
      <c r="S21" s="146">
        <v>111</v>
      </c>
    </row>
    <row r="22" spans="15:19" x14ac:dyDescent="0.25">
      <c r="O22" s="147" t="s">
        <v>253</v>
      </c>
      <c r="P22" s="142" t="s">
        <v>246</v>
      </c>
      <c r="Q22" s="142" t="s">
        <v>168</v>
      </c>
      <c r="R22" s="142" t="s">
        <v>221</v>
      </c>
      <c r="S22" s="148">
        <v>116</v>
      </c>
    </row>
    <row r="23" spans="15:19" x14ac:dyDescent="0.25">
      <c r="O23" s="149" t="s">
        <v>253</v>
      </c>
      <c r="P23" s="150" t="s">
        <v>247</v>
      </c>
      <c r="Q23" s="150" t="s">
        <v>227</v>
      </c>
      <c r="R23" s="150" t="s">
        <v>221</v>
      </c>
      <c r="S23" s="151">
        <v>17</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7BC15-4EA9-4CE0-8790-9314B23FDF92}">
  <dimension ref="A1:M61"/>
  <sheetViews>
    <sheetView workbookViewId="0">
      <selection activeCell="F52" sqref="F52"/>
    </sheetView>
  </sheetViews>
  <sheetFormatPr defaultRowHeight="15" x14ac:dyDescent="0.25"/>
  <cols>
    <col min="1" max="1" width="8.42578125" bestFit="1" customWidth="1"/>
    <col min="4" max="4" width="13.5703125" bestFit="1" customWidth="1"/>
    <col min="5" max="6" width="23.42578125" bestFit="1" customWidth="1"/>
    <col min="7" max="8" width="23.85546875" bestFit="1" customWidth="1"/>
    <col min="9" max="10" width="24.140625" bestFit="1" customWidth="1"/>
    <col min="11" max="11" width="8" bestFit="1" customWidth="1"/>
    <col min="12" max="13" width="4" bestFit="1" customWidth="1"/>
  </cols>
  <sheetData>
    <row r="1" spans="1:13" x14ac:dyDescent="0.25">
      <c r="A1" s="125" t="s">
        <v>232</v>
      </c>
      <c r="B1" s="125" t="s">
        <v>219</v>
      </c>
      <c r="C1" s="125" t="s">
        <v>220</v>
      </c>
      <c r="D1" s="125" t="s">
        <v>236</v>
      </c>
      <c r="E1" s="125" t="s">
        <v>259</v>
      </c>
      <c r="F1" s="125" t="s">
        <v>260</v>
      </c>
      <c r="G1" s="125" t="s">
        <v>230</v>
      </c>
      <c r="H1" s="125" t="s">
        <v>231</v>
      </c>
      <c r="I1" s="130" t="s">
        <v>233</v>
      </c>
      <c r="J1" s="130" t="s">
        <v>234</v>
      </c>
      <c r="K1" s="125" t="s">
        <v>8</v>
      </c>
      <c r="L1" s="125" t="s">
        <v>9</v>
      </c>
      <c r="M1" s="125" t="s">
        <v>10</v>
      </c>
    </row>
    <row r="2" spans="1:13" x14ac:dyDescent="0.25">
      <c r="A2">
        <v>1</v>
      </c>
      <c r="B2" t="s">
        <v>221</v>
      </c>
      <c r="C2" t="s">
        <v>11</v>
      </c>
      <c r="D2" t="s">
        <v>222</v>
      </c>
      <c r="E2" s="126">
        <f>'Parameter Input'!X$24</f>
        <v>0.77317073170731698</v>
      </c>
      <c r="F2" s="126">
        <f>'Parameter Input'!Y$24</f>
        <v>0.63986543313708999</v>
      </c>
      <c r="G2">
        <f>'Parameter Input'!B$24*'Parameter Input'!B$25</f>
        <v>13.999999999999998</v>
      </c>
      <c r="H2">
        <f>'Parameter Input'!C$24*'Parameter Input'!C$25</f>
        <v>13.999999999999998</v>
      </c>
      <c r="I2" s="131">
        <f>E2/(G2)*1000</f>
        <v>55.226480836236938</v>
      </c>
      <c r="J2" s="131">
        <f>F2/H2*1000</f>
        <v>45.70467379550643</v>
      </c>
      <c r="K2">
        <v>12</v>
      </c>
      <c r="L2">
        <v>0.9</v>
      </c>
      <c r="M2">
        <v>0.4</v>
      </c>
    </row>
    <row r="3" spans="1:13" x14ac:dyDescent="0.25">
      <c r="A3">
        <v>2</v>
      </c>
      <c r="B3" t="s">
        <v>221</v>
      </c>
      <c r="C3" t="s">
        <v>11</v>
      </c>
      <c r="D3" t="s">
        <v>223</v>
      </c>
      <c r="E3" s="126">
        <f>'Parameter Input'!X$24</f>
        <v>0.77317073170731698</v>
      </c>
      <c r="F3" s="126">
        <f>'Parameter Input'!Y$24</f>
        <v>0.63986543313708999</v>
      </c>
      <c r="G3">
        <f>'Parameter Input'!B$36*'Parameter Input'!B$37</f>
        <v>16</v>
      </c>
      <c r="H3">
        <f>'Parameter Input'!C$36*'Parameter Input'!C$37</f>
        <v>16</v>
      </c>
      <c r="I3" s="131">
        <f t="shared" ref="I3:I61" si="0">E3/(G3)*1000</f>
        <v>48.323170731707314</v>
      </c>
      <c r="J3" s="131">
        <f t="shared" ref="J3:J61" si="1">F3/H3*1000</f>
        <v>39.991589571068126</v>
      </c>
      <c r="K3">
        <v>12</v>
      </c>
      <c r="L3">
        <v>0.9</v>
      </c>
      <c r="M3">
        <v>0.4</v>
      </c>
    </row>
    <row r="4" spans="1:13" x14ac:dyDescent="0.25">
      <c r="A4">
        <v>3</v>
      </c>
      <c r="B4" t="s">
        <v>221</v>
      </c>
      <c r="C4" t="s">
        <v>11</v>
      </c>
      <c r="D4" t="s">
        <v>224</v>
      </c>
      <c r="E4" s="126">
        <f>'Parameter Input'!X$24</f>
        <v>0.77317073170731698</v>
      </c>
      <c r="F4" s="126">
        <f>'Parameter Input'!Y$24</f>
        <v>0.63986543313708999</v>
      </c>
      <c r="G4">
        <f>'Parameter Input'!B$49*'Parameter Input'!B$50</f>
        <v>15.333333333333336</v>
      </c>
      <c r="H4">
        <f>'Parameter Input'!C$49*'Parameter Input'!C$50</f>
        <v>15.333333333333336</v>
      </c>
      <c r="I4" s="131">
        <f t="shared" si="0"/>
        <v>50.424178154825015</v>
      </c>
      <c r="J4" s="131">
        <f t="shared" si="1"/>
        <v>41.730354335027599</v>
      </c>
      <c r="K4">
        <v>12</v>
      </c>
      <c r="L4">
        <v>0.9</v>
      </c>
      <c r="M4">
        <v>0.4</v>
      </c>
    </row>
    <row r="5" spans="1:13" x14ac:dyDescent="0.25">
      <c r="A5">
        <v>4</v>
      </c>
      <c r="B5" t="s">
        <v>221</v>
      </c>
      <c r="C5" t="s">
        <v>11</v>
      </c>
      <c r="D5" t="s">
        <v>225</v>
      </c>
      <c r="E5" s="126">
        <f>'Parameter Input'!X$24</f>
        <v>0.77317073170731698</v>
      </c>
      <c r="F5" s="126">
        <f>'Parameter Input'!Y$24</f>
        <v>0.63986543313708999</v>
      </c>
      <c r="G5">
        <f>'Parameter Input'!B$62*'Parameter Input'!B$63</f>
        <v>15.333333333333336</v>
      </c>
      <c r="H5">
        <f>'Parameter Input'!C$62*'Parameter Input'!C$63</f>
        <v>15.333333333333336</v>
      </c>
      <c r="I5" s="131">
        <f t="shared" si="0"/>
        <v>50.424178154825015</v>
      </c>
      <c r="J5" s="131">
        <f t="shared" si="1"/>
        <v>41.730354335027599</v>
      </c>
      <c r="K5">
        <v>12</v>
      </c>
      <c r="L5">
        <v>0.9</v>
      </c>
      <c r="M5">
        <v>0.4</v>
      </c>
    </row>
    <row r="6" spans="1:13" x14ac:dyDescent="0.25">
      <c r="A6">
        <v>5</v>
      </c>
      <c r="B6" t="s">
        <v>221</v>
      </c>
      <c r="C6" t="s">
        <v>11</v>
      </c>
      <c r="D6" t="s">
        <v>226</v>
      </c>
      <c r="E6" s="126">
        <f>'Parameter Input'!X$24</f>
        <v>0.77317073170731698</v>
      </c>
      <c r="F6" s="126">
        <f>'Parameter Input'!Y$24</f>
        <v>0.63986543313708999</v>
      </c>
      <c r="G6">
        <f>'Parameter Input'!B$76*'Parameter Input'!B$77</f>
        <v>16</v>
      </c>
      <c r="H6">
        <f>'Parameter Input'!C$76*'Parameter Input'!C$77</f>
        <v>16</v>
      </c>
      <c r="I6" s="131">
        <f t="shared" si="0"/>
        <v>48.323170731707314</v>
      </c>
      <c r="J6" s="131">
        <f t="shared" si="1"/>
        <v>39.991589571068126</v>
      </c>
      <c r="K6">
        <v>12</v>
      </c>
      <c r="L6">
        <v>0.9</v>
      </c>
      <c r="M6">
        <v>0.4</v>
      </c>
    </row>
    <row r="7" spans="1:13" x14ac:dyDescent="0.25">
      <c r="A7">
        <v>6</v>
      </c>
      <c r="B7" t="s">
        <v>221</v>
      </c>
      <c r="C7" s="127" t="s">
        <v>87</v>
      </c>
      <c r="D7" t="s">
        <v>222</v>
      </c>
      <c r="E7" s="126">
        <f>'Parameter Input'!AH$24</f>
        <v>3.5200000000000002E-2</v>
      </c>
      <c r="F7" s="126">
        <f>'Parameter Input'!AI$24</f>
        <v>0</v>
      </c>
      <c r="G7">
        <f>'Parameter Input'!B$24*'Parameter Input'!B$25</f>
        <v>13.999999999999998</v>
      </c>
      <c r="H7">
        <f>'Parameter Input'!C$24*'Parameter Input'!C$25</f>
        <v>13.999999999999998</v>
      </c>
      <c r="I7" s="131">
        <f t="shared" si="0"/>
        <v>2.5142857142857147</v>
      </c>
      <c r="J7" s="131">
        <f t="shared" si="1"/>
        <v>0</v>
      </c>
      <c r="K7">
        <v>12</v>
      </c>
      <c r="L7">
        <v>0.9</v>
      </c>
      <c r="M7">
        <v>0.4</v>
      </c>
    </row>
    <row r="8" spans="1:13" x14ac:dyDescent="0.25">
      <c r="A8">
        <v>7</v>
      </c>
      <c r="B8" t="s">
        <v>221</v>
      </c>
      <c r="C8" s="127" t="s">
        <v>87</v>
      </c>
      <c r="D8" t="s">
        <v>223</v>
      </c>
      <c r="E8" s="126">
        <f>'Parameter Input'!AH$24</f>
        <v>3.5200000000000002E-2</v>
      </c>
      <c r="F8" s="126">
        <f>'Parameter Input'!AI$24</f>
        <v>0</v>
      </c>
      <c r="G8">
        <f>'Parameter Input'!B$36*'Parameter Input'!B$37</f>
        <v>16</v>
      </c>
      <c r="H8">
        <f>'Parameter Input'!C$36*'Parameter Input'!C$37</f>
        <v>16</v>
      </c>
      <c r="I8" s="131">
        <f t="shared" si="0"/>
        <v>2.2000000000000002</v>
      </c>
      <c r="J8" s="131">
        <f t="shared" si="1"/>
        <v>0</v>
      </c>
      <c r="K8">
        <v>12</v>
      </c>
      <c r="L8">
        <v>0.9</v>
      </c>
      <c r="M8">
        <v>0.4</v>
      </c>
    </row>
    <row r="9" spans="1:13" x14ac:dyDescent="0.25">
      <c r="A9">
        <v>8</v>
      </c>
      <c r="B9" t="s">
        <v>221</v>
      </c>
      <c r="C9" s="127" t="s">
        <v>87</v>
      </c>
      <c r="D9" t="s">
        <v>224</v>
      </c>
      <c r="E9" s="126">
        <f>'Parameter Input'!AH$24</f>
        <v>3.5200000000000002E-2</v>
      </c>
      <c r="F9" s="126">
        <f>'Parameter Input'!AI$24</f>
        <v>0</v>
      </c>
      <c r="G9">
        <f>'Parameter Input'!B$49*'Parameter Input'!B$50</f>
        <v>15.333333333333336</v>
      </c>
      <c r="H9">
        <f>'Parameter Input'!C$49*'Parameter Input'!C$50</f>
        <v>15.333333333333336</v>
      </c>
      <c r="I9" s="131">
        <f t="shared" si="0"/>
        <v>2.2956521739130431</v>
      </c>
      <c r="J9" s="131">
        <f t="shared" si="1"/>
        <v>0</v>
      </c>
      <c r="K9">
        <v>12</v>
      </c>
      <c r="L9">
        <v>0.9</v>
      </c>
      <c r="M9">
        <v>0.4</v>
      </c>
    </row>
    <row r="10" spans="1:13" x14ac:dyDescent="0.25">
      <c r="A10">
        <v>9</v>
      </c>
      <c r="B10" t="s">
        <v>221</v>
      </c>
      <c r="C10" s="127" t="s">
        <v>87</v>
      </c>
      <c r="D10" t="s">
        <v>225</v>
      </c>
      <c r="E10" s="126">
        <f>'Parameter Input'!AH$24</f>
        <v>3.5200000000000002E-2</v>
      </c>
      <c r="F10" s="126">
        <f>'Parameter Input'!AI$24</f>
        <v>0</v>
      </c>
      <c r="G10">
        <f>'Parameter Input'!B$62*'Parameter Input'!B$63</f>
        <v>15.333333333333336</v>
      </c>
      <c r="H10">
        <f>'Parameter Input'!C$62*'Parameter Input'!C$63</f>
        <v>15.333333333333336</v>
      </c>
      <c r="I10" s="131">
        <f t="shared" si="0"/>
        <v>2.2956521739130431</v>
      </c>
      <c r="J10" s="131">
        <f t="shared" si="1"/>
        <v>0</v>
      </c>
      <c r="K10">
        <v>12</v>
      </c>
      <c r="L10">
        <v>0.9</v>
      </c>
      <c r="M10">
        <v>0.4</v>
      </c>
    </row>
    <row r="11" spans="1:13" x14ac:dyDescent="0.25">
      <c r="A11">
        <v>10</v>
      </c>
      <c r="B11" t="s">
        <v>221</v>
      </c>
      <c r="C11" s="127" t="s">
        <v>87</v>
      </c>
      <c r="D11" t="s">
        <v>226</v>
      </c>
      <c r="E11" s="126">
        <f>'Parameter Input'!AH$24</f>
        <v>3.5200000000000002E-2</v>
      </c>
      <c r="F11" s="126">
        <f>'Parameter Input'!AI$24</f>
        <v>0</v>
      </c>
      <c r="G11">
        <f>'Parameter Input'!B$76*'Parameter Input'!B$77</f>
        <v>16</v>
      </c>
      <c r="H11">
        <f>'Parameter Input'!C$76*'Parameter Input'!C$77</f>
        <v>16</v>
      </c>
      <c r="I11" s="131">
        <f t="shared" si="0"/>
        <v>2.2000000000000002</v>
      </c>
      <c r="J11" s="131">
        <f t="shared" si="1"/>
        <v>0</v>
      </c>
      <c r="K11">
        <v>12</v>
      </c>
      <c r="L11">
        <v>0.9</v>
      </c>
      <c r="M11">
        <v>0.4</v>
      </c>
    </row>
    <row r="12" spans="1:13" x14ac:dyDescent="0.25">
      <c r="A12">
        <v>11</v>
      </c>
      <c r="B12" t="s">
        <v>221</v>
      </c>
      <c r="C12" t="s">
        <v>103</v>
      </c>
      <c r="D12" t="s">
        <v>222</v>
      </c>
      <c r="E12" s="126">
        <f>'Parameter Input'!AC$24</f>
        <v>9.1245901639344248E-2</v>
      </c>
      <c r="F12" s="126">
        <f>'Parameter Input'!AD$24</f>
        <v>0</v>
      </c>
      <c r="G12">
        <f>'Parameter Input'!B$24*'Parameter Input'!B$25</f>
        <v>13.999999999999998</v>
      </c>
      <c r="H12">
        <f>'Parameter Input'!C$24*'Parameter Input'!C$25</f>
        <v>13.999999999999998</v>
      </c>
      <c r="I12" s="131">
        <f t="shared" si="0"/>
        <v>6.5175644028103044</v>
      </c>
      <c r="J12" s="131">
        <f t="shared" si="1"/>
        <v>0</v>
      </c>
      <c r="K12">
        <v>12</v>
      </c>
      <c r="L12">
        <v>0.9</v>
      </c>
      <c r="M12">
        <v>0.4</v>
      </c>
    </row>
    <row r="13" spans="1:13" x14ac:dyDescent="0.25">
      <c r="A13">
        <v>12</v>
      </c>
      <c r="B13" t="s">
        <v>221</v>
      </c>
      <c r="C13" t="s">
        <v>103</v>
      </c>
      <c r="D13" t="s">
        <v>223</v>
      </c>
      <c r="E13" s="126">
        <f>'Parameter Input'!AC$24</f>
        <v>9.1245901639344248E-2</v>
      </c>
      <c r="F13" s="126">
        <f>'Parameter Input'!AD$24</f>
        <v>0</v>
      </c>
      <c r="G13">
        <f>'Parameter Input'!B$36*'Parameter Input'!B$37</f>
        <v>16</v>
      </c>
      <c r="H13">
        <f>'Parameter Input'!C$36*'Parameter Input'!C$37</f>
        <v>16</v>
      </c>
      <c r="I13" s="131">
        <f t="shared" si="0"/>
        <v>5.7028688524590159</v>
      </c>
      <c r="J13" s="131">
        <f t="shared" si="1"/>
        <v>0</v>
      </c>
      <c r="K13">
        <v>12</v>
      </c>
      <c r="L13">
        <v>0.9</v>
      </c>
      <c r="M13">
        <v>0.4</v>
      </c>
    </row>
    <row r="14" spans="1:13" x14ac:dyDescent="0.25">
      <c r="A14">
        <v>13</v>
      </c>
      <c r="B14" t="s">
        <v>221</v>
      </c>
      <c r="C14" t="s">
        <v>103</v>
      </c>
      <c r="D14" t="s">
        <v>224</v>
      </c>
      <c r="E14" s="126">
        <f>'Parameter Input'!AC$24</f>
        <v>9.1245901639344248E-2</v>
      </c>
      <c r="F14" s="126">
        <f>'Parameter Input'!AD$24</f>
        <v>0</v>
      </c>
      <c r="G14">
        <f>'Parameter Input'!B$49*'Parameter Input'!B$50</f>
        <v>15.333333333333336</v>
      </c>
      <c r="H14">
        <f>'Parameter Input'!C$49*'Parameter Input'!C$50</f>
        <v>15.333333333333336</v>
      </c>
      <c r="I14" s="131">
        <f t="shared" si="0"/>
        <v>5.9508196721311455</v>
      </c>
      <c r="J14" s="131">
        <f t="shared" si="1"/>
        <v>0</v>
      </c>
      <c r="K14">
        <v>12</v>
      </c>
      <c r="L14">
        <v>0.9</v>
      </c>
      <c r="M14">
        <v>0.4</v>
      </c>
    </row>
    <row r="15" spans="1:13" x14ac:dyDescent="0.25">
      <c r="A15">
        <v>14</v>
      </c>
      <c r="B15" t="s">
        <v>221</v>
      </c>
      <c r="C15" t="s">
        <v>103</v>
      </c>
      <c r="D15" t="s">
        <v>225</v>
      </c>
      <c r="E15" s="126">
        <f>'Parameter Input'!AC$24</f>
        <v>9.1245901639344248E-2</v>
      </c>
      <c r="F15" s="126">
        <f>'Parameter Input'!AD$24</f>
        <v>0</v>
      </c>
      <c r="G15">
        <f>'Parameter Input'!B$62*'Parameter Input'!B$63</f>
        <v>15.333333333333336</v>
      </c>
      <c r="H15">
        <f>'Parameter Input'!C$62*'Parameter Input'!C$63</f>
        <v>15.333333333333336</v>
      </c>
      <c r="I15" s="131">
        <f t="shared" si="0"/>
        <v>5.9508196721311455</v>
      </c>
      <c r="J15" s="131">
        <f t="shared" si="1"/>
        <v>0</v>
      </c>
      <c r="K15">
        <v>12</v>
      </c>
      <c r="L15">
        <v>0.9</v>
      </c>
      <c r="M15">
        <v>0.4</v>
      </c>
    </row>
    <row r="16" spans="1:13" x14ac:dyDescent="0.25">
      <c r="A16">
        <v>15</v>
      </c>
      <c r="B16" t="s">
        <v>221</v>
      </c>
      <c r="C16" t="s">
        <v>103</v>
      </c>
      <c r="D16" t="s">
        <v>226</v>
      </c>
      <c r="E16" s="126">
        <f>'Parameter Input'!AC$24</f>
        <v>9.1245901639344248E-2</v>
      </c>
      <c r="F16" s="126">
        <f>'Parameter Input'!AD$24</f>
        <v>0</v>
      </c>
      <c r="G16">
        <f>'Parameter Input'!B$76*'Parameter Input'!B$77</f>
        <v>16</v>
      </c>
      <c r="H16">
        <f>'Parameter Input'!C$76*'Parameter Input'!C$77</f>
        <v>16</v>
      </c>
      <c r="I16" s="131">
        <f t="shared" si="0"/>
        <v>5.7028688524590159</v>
      </c>
      <c r="J16" s="131">
        <f t="shared" si="1"/>
        <v>0</v>
      </c>
      <c r="K16">
        <v>12</v>
      </c>
      <c r="L16">
        <v>0.9</v>
      </c>
      <c r="M16">
        <v>0.4</v>
      </c>
    </row>
    <row r="17" spans="1:13" x14ac:dyDescent="0.25">
      <c r="A17">
        <v>16</v>
      </c>
      <c r="B17" t="s">
        <v>227</v>
      </c>
      <c r="C17" t="s">
        <v>11</v>
      </c>
      <c r="D17" t="s">
        <v>222</v>
      </c>
      <c r="E17" s="126">
        <f>'Parameter Input'!X$94</f>
        <v>20.469721783010932</v>
      </c>
      <c r="F17" s="126">
        <f>'Parameter Input'!Y$94</f>
        <v>20.469721783010932</v>
      </c>
      <c r="G17">
        <f>'Parameter Input'!B$94*'Parameter Input'!B$95</f>
        <v>1433.6000000000001</v>
      </c>
      <c r="H17">
        <f>'Parameter Input'!C$94*'Parameter Input'!C$95</f>
        <v>1433.6000000000001</v>
      </c>
      <c r="I17" s="131">
        <f t="shared" si="0"/>
        <v>14.278544770515436</v>
      </c>
      <c r="J17" s="131">
        <f t="shared" si="1"/>
        <v>14.278544770515436</v>
      </c>
      <c r="K17">
        <v>12</v>
      </c>
      <c r="L17">
        <v>0.9</v>
      </c>
      <c r="M17">
        <v>0.4</v>
      </c>
    </row>
    <row r="18" spans="1:13" x14ac:dyDescent="0.25">
      <c r="A18">
        <v>17</v>
      </c>
      <c r="B18" t="s">
        <v>227</v>
      </c>
      <c r="C18" t="s">
        <v>11</v>
      </c>
      <c r="D18" t="s">
        <v>223</v>
      </c>
      <c r="E18" s="126">
        <f>'Parameter Input'!X$94</f>
        <v>20.469721783010932</v>
      </c>
      <c r="F18" s="126">
        <f>'Parameter Input'!Y$94</f>
        <v>20.469721783010932</v>
      </c>
      <c r="G18">
        <f>'Parameter Input'!B$106*'Parameter Input'!B$107</f>
        <v>955.73333333333335</v>
      </c>
      <c r="H18">
        <f>'Parameter Input'!C$106*'Parameter Input'!C$107</f>
        <v>955.73333333333335</v>
      </c>
      <c r="I18" s="131">
        <f t="shared" si="0"/>
        <v>21.417817155773157</v>
      </c>
      <c r="J18" s="131">
        <f t="shared" si="1"/>
        <v>21.417817155773157</v>
      </c>
      <c r="K18">
        <v>12</v>
      </c>
      <c r="L18">
        <v>0.9</v>
      </c>
      <c r="M18">
        <v>0.4</v>
      </c>
    </row>
    <row r="19" spans="1:13" x14ac:dyDescent="0.25">
      <c r="A19">
        <v>18</v>
      </c>
      <c r="B19" t="s">
        <v>227</v>
      </c>
      <c r="C19" t="s">
        <v>11</v>
      </c>
      <c r="D19" t="s">
        <v>224</v>
      </c>
      <c r="E19" s="126">
        <f>'Parameter Input'!X$94</f>
        <v>20.469721783010932</v>
      </c>
      <c r="F19" s="126">
        <f>'Parameter Input'!Y$94</f>
        <v>20.469721783010932</v>
      </c>
      <c r="G19">
        <f>'Parameter Input'!B$118*'Parameter Input'!B$119</f>
        <v>955.73333333333335</v>
      </c>
      <c r="H19">
        <f>'Parameter Input'!C$118*'Parameter Input'!C$119</f>
        <v>955.73333333333335</v>
      </c>
      <c r="I19" s="131">
        <f t="shared" si="0"/>
        <v>21.417817155773157</v>
      </c>
      <c r="J19" s="131">
        <f t="shared" si="1"/>
        <v>21.417817155773157</v>
      </c>
      <c r="K19">
        <v>12</v>
      </c>
      <c r="L19">
        <v>0.9</v>
      </c>
      <c r="M19">
        <v>0.4</v>
      </c>
    </row>
    <row r="20" spans="1:13" x14ac:dyDescent="0.25">
      <c r="A20">
        <v>19</v>
      </c>
      <c r="B20" t="s">
        <v>227</v>
      </c>
      <c r="C20" t="s">
        <v>11</v>
      </c>
      <c r="D20" t="s">
        <v>225</v>
      </c>
      <c r="E20" s="126">
        <f>'Parameter Input'!X$94</f>
        <v>20.469721783010932</v>
      </c>
      <c r="F20" s="126">
        <f>'Parameter Input'!Y$94</f>
        <v>20.469721783010932</v>
      </c>
      <c r="G20">
        <f>'Parameter Input'!B$130*'Parameter Input'!B$131</f>
        <v>1612.8000000000002</v>
      </c>
      <c r="H20">
        <f>'Parameter Input'!C$130*'Parameter Input'!C$131</f>
        <v>1612.8000000000002</v>
      </c>
      <c r="I20" s="131">
        <f t="shared" si="0"/>
        <v>12.69203979601372</v>
      </c>
      <c r="J20" s="131">
        <f t="shared" si="1"/>
        <v>12.69203979601372</v>
      </c>
      <c r="K20">
        <v>12</v>
      </c>
      <c r="L20">
        <v>0.9</v>
      </c>
      <c r="M20">
        <v>0.4</v>
      </c>
    </row>
    <row r="21" spans="1:13" x14ac:dyDescent="0.25">
      <c r="A21">
        <v>20</v>
      </c>
      <c r="B21" t="s">
        <v>227</v>
      </c>
      <c r="C21" t="s">
        <v>11</v>
      </c>
      <c r="D21" t="s">
        <v>226</v>
      </c>
      <c r="E21" s="126">
        <f>'Parameter Input'!X$94</f>
        <v>20.469721783010932</v>
      </c>
      <c r="F21" s="126">
        <f>'Parameter Input'!Y$94</f>
        <v>20.469721783010932</v>
      </c>
      <c r="G21">
        <f>'Parameter Input'!B$141*'Parameter Input'!B$142</f>
        <v>1194.6666666666667</v>
      </c>
      <c r="H21">
        <f>'Parameter Input'!C$141*'Parameter Input'!C$142</f>
        <v>1194.6666666666667</v>
      </c>
      <c r="I21" s="131">
        <f t="shared" si="0"/>
        <v>17.134253724618524</v>
      </c>
      <c r="J21" s="131">
        <f t="shared" si="1"/>
        <v>17.134253724618524</v>
      </c>
      <c r="K21">
        <v>12</v>
      </c>
      <c r="L21">
        <v>0.9</v>
      </c>
      <c r="M21">
        <v>0.4</v>
      </c>
    </row>
    <row r="22" spans="1:13" x14ac:dyDescent="0.25">
      <c r="A22">
        <v>21</v>
      </c>
      <c r="B22" t="s">
        <v>227</v>
      </c>
      <c r="C22" t="s">
        <v>136</v>
      </c>
      <c r="D22" t="s">
        <v>222</v>
      </c>
      <c r="E22" s="126">
        <f>'Parameter Input'!AH$94</f>
        <v>0.73212076780185753</v>
      </c>
      <c r="F22" s="126">
        <f>'Parameter Input'!AI$94</f>
        <v>0</v>
      </c>
      <c r="G22">
        <f>'Parameter Input'!B$94*'Parameter Input'!B$95</f>
        <v>1433.6000000000001</v>
      </c>
      <c r="H22">
        <f>'Parameter Input'!C$94*'Parameter Input'!C$95</f>
        <v>1433.6000000000001</v>
      </c>
      <c r="I22" s="131">
        <f t="shared" si="0"/>
        <v>0.51068691950464384</v>
      </c>
      <c r="J22" s="131">
        <f t="shared" si="1"/>
        <v>0</v>
      </c>
      <c r="K22">
        <v>12</v>
      </c>
      <c r="L22">
        <v>0.9</v>
      </c>
      <c r="M22">
        <v>0.4</v>
      </c>
    </row>
    <row r="23" spans="1:13" x14ac:dyDescent="0.25">
      <c r="A23">
        <v>22</v>
      </c>
      <c r="B23" t="s">
        <v>227</v>
      </c>
      <c r="C23" t="s">
        <v>136</v>
      </c>
      <c r="D23" t="s">
        <v>223</v>
      </c>
      <c r="E23" s="126">
        <f>'Parameter Input'!AH$94</f>
        <v>0.73212076780185753</v>
      </c>
      <c r="F23" s="126">
        <f>'Parameter Input'!AI$94</f>
        <v>0</v>
      </c>
      <c r="G23">
        <f>'Parameter Input'!B$106*'Parameter Input'!B$107</f>
        <v>955.73333333333335</v>
      </c>
      <c r="H23">
        <f>'Parameter Input'!C$106*'Parameter Input'!C$107</f>
        <v>955.73333333333335</v>
      </c>
      <c r="I23" s="131">
        <f t="shared" si="0"/>
        <v>0.76603037925696593</v>
      </c>
      <c r="J23" s="131">
        <f t="shared" si="1"/>
        <v>0</v>
      </c>
      <c r="K23">
        <v>12</v>
      </c>
      <c r="L23">
        <v>0.9</v>
      </c>
      <c r="M23">
        <v>0.4</v>
      </c>
    </row>
    <row r="24" spans="1:13" x14ac:dyDescent="0.25">
      <c r="A24">
        <v>23</v>
      </c>
      <c r="B24" t="s">
        <v>227</v>
      </c>
      <c r="C24" t="s">
        <v>136</v>
      </c>
      <c r="D24" t="s">
        <v>224</v>
      </c>
      <c r="E24" s="126">
        <f>'Parameter Input'!AH$94</f>
        <v>0.73212076780185753</v>
      </c>
      <c r="F24" s="126">
        <f>'Parameter Input'!AI$94</f>
        <v>0</v>
      </c>
      <c r="G24">
        <f>'Parameter Input'!B$118*'Parameter Input'!B$119</f>
        <v>955.73333333333335</v>
      </c>
      <c r="H24">
        <f>'Parameter Input'!C$118*'Parameter Input'!C$119</f>
        <v>955.73333333333335</v>
      </c>
      <c r="I24" s="131">
        <f t="shared" si="0"/>
        <v>0.76603037925696593</v>
      </c>
      <c r="J24" s="131">
        <f t="shared" si="1"/>
        <v>0</v>
      </c>
      <c r="K24">
        <v>12</v>
      </c>
      <c r="L24">
        <v>0.9</v>
      </c>
      <c r="M24">
        <v>0.4</v>
      </c>
    </row>
    <row r="25" spans="1:13" x14ac:dyDescent="0.25">
      <c r="A25">
        <v>24</v>
      </c>
      <c r="B25" t="s">
        <v>227</v>
      </c>
      <c r="C25" t="s">
        <v>136</v>
      </c>
      <c r="D25" t="s">
        <v>225</v>
      </c>
      <c r="E25" s="126">
        <f>'Parameter Input'!AH$94</f>
        <v>0.73212076780185753</v>
      </c>
      <c r="F25" s="126">
        <f>'Parameter Input'!AI$94</f>
        <v>0</v>
      </c>
      <c r="G25">
        <f>'Parameter Input'!B$130*'Parameter Input'!B$131</f>
        <v>1612.8000000000002</v>
      </c>
      <c r="H25">
        <f>'Parameter Input'!C$130*'Parameter Input'!C$131</f>
        <v>1612.8000000000002</v>
      </c>
      <c r="I25" s="131">
        <f t="shared" si="0"/>
        <v>0.45394392844857229</v>
      </c>
      <c r="J25" s="131">
        <f t="shared" si="1"/>
        <v>0</v>
      </c>
      <c r="K25">
        <v>12</v>
      </c>
      <c r="L25">
        <v>0.9</v>
      </c>
      <c r="M25">
        <v>0.4</v>
      </c>
    </row>
    <row r="26" spans="1:13" x14ac:dyDescent="0.25">
      <c r="A26">
        <v>25</v>
      </c>
      <c r="B26" t="s">
        <v>227</v>
      </c>
      <c r="C26" t="s">
        <v>136</v>
      </c>
      <c r="D26" t="s">
        <v>226</v>
      </c>
      <c r="E26" s="126">
        <f>'Parameter Input'!AH$94</f>
        <v>0.73212076780185753</v>
      </c>
      <c r="F26" s="126">
        <f>'Parameter Input'!AI$94</f>
        <v>0</v>
      </c>
      <c r="G26">
        <f>'Parameter Input'!B$141*'Parameter Input'!B$142</f>
        <v>1194.6666666666667</v>
      </c>
      <c r="H26">
        <f>'Parameter Input'!C$141*'Parameter Input'!C$142</f>
        <v>1194.6666666666667</v>
      </c>
      <c r="I26" s="131">
        <f t="shared" si="0"/>
        <v>0.6128243034055727</v>
      </c>
      <c r="J26" s="131">
        <f t="shared" si="1"/>
        <v>0</v>
      </c>
      <c r="K26">
        <v>12</v>
      </c>
      <c r="L26">
        <v>0.9</v>
      </c>
      <c r="M26">
        <v>0.4</v>
      </c>
    </row>
    <row r="27" spans="1:13" x14ac:dyDescent="0.25">
      <c r="A27">
        <v>26</v>
      </c>
      <c r="B27" t="s">
        <v>227</v>
      </c>
      <c r="C27" t="s">
        <v>87</v>
      </c>
      <c r="D27" t="s">
        <v>222</v>
      </c>
      <c r="E27" s="126">
        <f>'Parameter Input'!AM$94</f>
        <v>0.77787831578947364</v>
      </c>
      <c r="F27" s="126">
        <f>'Parameter Input'!AN$94</f>
        <v>0</v>
      </c>
      <c r="G27">
        <f>'Parameter Input'!B$94*'Parameter Input'!B$95</f>
        <v>1433.6000000000001</v>
      </c>
      <c r="H27">
        <f>'Parameter Input'!C$94*'Parameter Input'!C$95</f>
        <v>1433.6000000000001</v>
      </c>
      <c r="I27" s="131">
        <f t="shared" si="0"/>
        <v>0.54260485197368413</v>
      </c>
      <c r="J27" s="131">
        <f t="shared" si="1"/>
        <v>0</v>
      </c>
      <c r="K27">
        <v>12</v>
      </c>
      <c r="L27">
        <v>0.9</v>
      </c>
      <c r="M27">
        <v>0.4</v>
      </c>
    </row>
    <row r="28" spans="1:13" x14ac:dyDescent="0.25">
      <c r="A28">
        <v>27</v>
      </c>
      <c r="B28" t="s">
        <v>227</v>
      </c>
      <c r="C28" t="s">
        <v>87</v>
      </c>
      <c r="D28" t="s">
        <v>223</v>
      </c>
      <c r="E28" s="126">
        <f>'Parameter Input'!AM$94</f>
        <v>0.77787831578947364</v>
      </c>
      <c r="F28" s="126">
        <f>'Parameter Input'!AN$94</f>
        <v>0</v>
      </c>
      <c r="G28">
        <f>'Parameter Input'!B$106*'Parameter Input'!B$107</f>
        <v>955.73333333333335</v>
      </c>
      <c r="H28">
        <f>'Parameter Input'!C$106*'Parameter Input'!C$107</f>
        <v>955.73333333333335</v>
      </c>
      <c r="I28" s="131">
        <f t="shared" si="0"/>
        <v>0.8139072779605262</v>
      </c>
      <c r="J28" s="131">
        <f t="shared" si="1"/>
        <v>0</v>
      </c>
      <c r="K28">
        <v>12</v>
      </c>
      <c r="L28">
        <v>0.9</v>
      </c>
      <c r="M28">
        <v>0.4</v>
      </c>
    </row>
    <row r="29" spans="1:13" x14ac:dyDescent="0.25">
      <c r="A29">
        <v>28</v>
      </c>
      <c r="B29" t="s">
        <v>227</v>
      </c>
      <c r="C29" t="s">
        <v>87</v>
      </c>
      <c r="D29" t="s">
        <v>224</v>
      </c>
      <c r="E29" s="126">
        <f>'Parameter Input'!AM$94</f>
        <v>0.77787831578947364</v>
      </c>
      <c r="F29" s="126">
        <f>'Parameter Input'!AN$94</f>
        <v>0</v>
      </c>
      <c r="G29">
        <f>'Parameter Input'!B$118*'Parameter Input'!B$119</f>
        <v>955.73333333333335</v>
      </c>
      <c r="H29">
        <f>'Parameter Input'!C$118*'Parameter Input'!C$119</f>
        <v>955.73333333333335</v>
      </c>
      <c r="I29" s="131">
        <f t="shared" si="0"/>
        <v>0.8139072779605262</v>
      </c>
      <c r="J29" s="131">
        <f t="shared" si="1"/>
        <v>0</v>
      </c>
      <c r="K29">
        <v>12</v>
      </c>
      <c r="L29">
        <v>0.9</v>
      </c>
      <c r="M29">
        <v>0.4</v>
      </c>
    </row>
    <row r="30" spans="1:13" x14ac:dyDescent="0.25">
      <c r="A30">
        <v>29</v>
      </c>
      <c r="B30" t="s">
        <v>227</v>
      </c>
      <c r="C30" t="s">
        <v>87</v>
      </c>
      <c r="D30" t="s">
        <v>225</v>
      </c>
      <c r="E30" s="126">
        <f>'Parameter Input'!AM$94</f>
        <v>0.77787831578947364</v>
      </c>
      <c r="F30" s="126">
        <f>'Parameter Input'!AN$94</f>
        <v>0</v>
      </c>
      <c r="G30">
        <f>'Parameter Input'!B$130*'Parameter Input'!B$131</f>
        <v>1612.8000000000002</v>
      </c>
      <c r="H30">
        <f>'Parameter Input'!C$130*'Parameter Input'!C$131</f>
        <v>1612.8000000000002</v>
      </c>
      <c r="I30" s="131">
        <f t="shared" si="0"/>
        <v>0.48231542397660809</v>
      </c>
      <c r="J30" s="131">
        <f t="shared" si="1"/>
        <v>0</v>
      </c>
      <c r="K30">
        <v>12</v>
      </c>
      <c r="L30">
        <v>0.9</v>
      </c>
      <c r="M30">
        <v>0.4</v>
      </c>
    </row>
    <row r="31" spans="1:13" x14ac:dyDescent="0.25">
      <c r="A31">
        <v>30</v>
      </c>
      <c r="B31" t="s">
        <v>227</v>
      </c>
      <c r="C31" t="s">
        <v>87</v>
      </c>
      <c r="D31" t="s">
        <v>226</v>
      </c>
      <c r="E31" s="126">
        <f>'Parameter Input'!AM$94</f>
        <v>0.77787831578947364</v>
      </c>
      <c r="F31" s="126">
        <f>'Parameter Input'!AN$94</f>
        <v>0</v>
      </c>
      <c r="G31">
        <f>'Parameter Input'!B$141*'Parameter Input'!B$142</f>
        <v>1194.6666666666667</v>
      </c>
      <c r="H31">
        <f>'Parameter Input'!C$141*'Parameter Input'!C$142</f>
        <v>1194.6666666666667</v>
      </c>
      <c r="I31" s="131">
        <f t="shared" si="0"/>
        <v>0.65112582236842098</v>
      </c>
      <c r="J31" s="131">
        <f t="shared" si="1"/>
        <v>0</v>
      </c>
      <c r="K31">
        <v>12</v>
      </c>
      <c r="L31">
        <v>0.9</v>
      </c>
      <c r="M31">
        <v>0.4</v>
      </c>
    </row>
    <row r="32" spans="1:13" x14ac:dyDescent="0.25">
      <c r="A32">
        <v>31</v>
      </c>
      <c r="B32" t="s">
        <v>227</v>
      </c>
      <c r="C32" t="s">
        <v>103</v>
      </c>
      <c r="D32" t="s">
        <v>222</v>
      </c>
      <c r="E32" s="126">
        <f>'Parameter Input'!AC$94</f>
        <v>1.7621088524590158</v>
      </c>
      <c r="F32" s="126">
        <f>'Parameter Input'!AD$94</f>
        <v>0</v>
      </c>
      <c r="G32">
        <f>'Parameter Input'!B$94*'Parameter Input'!B$95</f>
        <v>1433.6000000000001</v>
      </c>
      <c r="H32">
        <f>'Parameter Input'!C$94*'Parameter Input'!C$95</f>
        <v>1433.6000000000001</v>
      </c>
      <c r="I32" s="131">
        <f t="shared" si="0"/>
        <v>1.229149590163934</v>
      </c>
      <c r="J32" s="131">
        <f t="shared" si="1"/>
        <v>0</v>
      </c>
      <c r="K32">
        <v>12</v>
      </c>
      <c r="L32">
        <v>0.9</v>
      </c>
      <c r="M32">
        <v>0.4</v>
      </c>
    </row>
    <row r="33" spans="1:13" x14ac:dyDescent="0.25">
      <c r="A33">
        <v>32</v>
      </c>
      <c r="B33" t="s">
        <v>227</v>
      </c>
      <c r="C33" t="s">
        <v>103</v>
      </c>
      <c r="D33" t="s">
        <v>223</v>
      </c>
      <c r="E33" s="126">
        <f>'Parameter Input'!AC$94</f>
        <v>1.7621088524590158</v>
      </c>
      <c r="F33" s="126">
        <f>'Parameter Input'!AD$94</f>
        <v>0</v>
      </c>
      <c r="G33">
        <f>'Parameter Input'!B$106*'Parameter Input'!B$107</f>
        <v>955.73333333333335</v>
      </c>
      <c r="H33">
        <f>'Parameter Input'!C$106*'Parameter Input'!C$107</f>
        <v>955.73333333333335</v>
      </c>
      <c r="I33" s="131">
        <f t="shared" si="0"/>
        <v>1.8437243852459011</v>
      </c>
      <c r="J33" s="131">
        <f t="shared" si="1"/>
        <v>0</v>
      </c>
      <c r="K33">
        <v>12</v>
      </c>
      <c r="L33">
        <v>0.9</v>
      </c>
      <c r="M33">
        <v>0.4</v>
      </c>
    </row>
    <row r="34" spans="1:13" x14ac:dyDescent="0.25">
      <c r="A34">
        <v>33</v>
      </c>
      <c r="B34" t="s">
        <v>227</v>
      </c>
      <c r="C34" t="s">
        <v>103</v>
      </c>
      <c r="D34" t="s">
        <v>224</v>
      </c>
      <c r="E34" s="126">
        <f>'Parameter Input'!AC$94</f>
        <v>1.7621088524590158</v>
      </c>
      <c r="F34" s="126">
        <f>'Parameter Input'!AD$94</f>
        <v>0</v>
      </c>
      <c r="G34">
        <f>'Parameter Input'!B$118*'Parameter Input'!B$119</f>
        <v>955.73333333333335</v>
      </c>
      <c r="H34">
        <f>'Parameter Input'!C$118*'Parameter Input'!C$119</f>
        <v>955.73333333333335</v>
      </c>
      <c r="I34" s="131">
        <f t="shared" si="0"/>
        <v>1.8437243852459011</v>
      </c>
      <c r="J34" s="131">
        <f t="shared" si="1"/>
        <v>0</v>
      </c>
      <c r="K34">
        <v>12</v>
      </c>
      <c r="L34">
        <v>0.9</v>
      </c>
      <c r="M34">
        <v>0.4</v>
      </c>
    </row>
    <row r="35" spans="1:13" x14ac:dyDescent="0.25">
      <c r="A35">
        <v>34</v>
      </c>
      <c r="B35" t="s">
        <v>227</v>
      </c>
      <c r="C35" t="s">
        <v>103</v>
      </c>
      <c r="D35" t="s">
        <v>225</v>
      </c>
      <c r="E35" s="126">
        <f>'Parameter Input'!AC$94</f>
        <v>1.7621088524590158</v>
      </c>
      <c r="F35" s="126">
        <f>'Parameter Input'!AD$94</f>
        <v>0</v>
      </c>
      <c r="G35">
        <f>'Parameter Input'!B$130*'Parameter Input'!B$131</f>
        <v>1612.8000000000002</v>
      </c>
      <c r="H35">
        <f>'Parameter Input'!C$130*'Parameter Input'!C$131</f>
        <v>1612.8000000000002</v>
      </c>
      <c r="I35" s="131">
        <f t="shared" si="0"/>
        <v>1.0925774134790525</v>
      </c>
      <c r="J35" s="131">
        <f t="shared" si="1"/>
        <v>0</v>
      </c>
      <c r="K35">
        <v>12</v>
      </c>
      <c r="L35">
        <v>0.9</v>
      </c>
      <c r="M35">
        <v>0.4</v>
      </c>
    </row>
    <row r="36" spans="1:13" x14ac:dyDescent="0.25">
      <c r="A36">
        <v>35</v>
      </c>
      <c r="B36" t="s">
        <v>227</v>
      </c>
      <c r="C36" t="s">
        <v>103</v>
      </c>
      <c r="D36" t="s">
        <v>226</v>
      </c>
      <c r="E36" s="126">
        <f>'Parameter Input'!AC$94</f>
        <v>1.7621088524590158</v>
      </c>
      <c r="F36" s="126">
        <f>'Parameter Input'!AD$94</f>
        <v>0</v>
      </c>
      <c r="G36">
        <f>'Parameter Input'!B$141*'Parameter Input'!B$142</f>
        <v>1194.6666666666667</v>
      </c>
      <c r="H36">
        <f>'Parameter Input'!C$141*'Parameter Input'!C$142</f>
        <v>1194.6666666666667</v>
      </c>
      <c r="I36" s="131">
        <f>E36/(G36)*1000</f>
        <v>1.4749795081967207</v>
      </c>
      <c r="J36" s="131">
        <f t="shared" si="1"/>
        <v>0</v>
      </c>
      <c r="K36">
        <v>12</v>
      </c>
      <c r="L36">
        <v>0.9</v>
      </c>
      <c r="M36">
        <v>0.4</v>
      </c>
    </row>
    <row r="37" spans="1:13" x14ac:dyDescent="0.25">
      <c r="A37">
        <v>36</v>
      </c>
      <c r="B37" t="s">
        <v>168</v>
      </c>
      <c r="C37" t="s">
        <v>289</v>
      </c>
      <c r="D37" t="s">
        <v>222</v>
      </c>
      <c r="E37" s="126">
        <f>'Parameter Input'!X$159</f>
        <v>172.49705634987384</v>
      </c>
      <c r="F37" s="126">
        <f>'Parameter Input'!Y$159</f>
        <v>159.9663582842725</v>
      </c>
      <c r="G37">
        <f>'Parameter Input'!B$159*'Parameter Input'!B$160</f>
        <v>6426.0000000000009</v>
      </c>
      <c r="H37">
        <f>'Parameter Input'!C$159*'Parameter Input'!C$160</f>
        <v>6426.0000000000009</v>
      </c>
      <c r="I37" s="131">
        <f t="shared" si="0"/>
        <v>26.843612877353536</v>
      </c>
      <c r="J37" s="131">
        <f t="shared" si="1"/>
        <v>24.893613178380406</v>
      </c>
      <c r="K37">
        <v>12</v>
      </c>
      <c r="L37">
        <v>0.9</v>
      </c>
      <c r="M37">
        <v>0.4</v>
      </c>
    </row>
    <row r="38" spans="1:13" x14ac:dyDescent="0.25">
      <c r="A38">
        <v>37</v>
      </c>
      <c r="B38" t="s">
        <v>168</v>
      </c>
      <c r="C38" t="s">
        <v>289</v>
      </c>
      <c r="D38" t="s">
        <v>223</v>
      </c>
      <c r="E38" s="126">
        <f>'Parameter Input'!X$159</f>
        <v>172.49705634987384</v>
      </c>
      <c r="F38" s="126">
        <f>'Parameter Input'!Y$159</f>
        <v>159.9663582842725</v>
      </c>
      <c r="G38" s="129"/>
      <c r="H38" s="129"/>
      <c r="I38" s="131"/>
      <c r="J38" s="131"/>
      <c r="K38">
        <v>12</v>
      </c>
      <c r="L38">
        <v>0.9</v>
      </c>
      <c r="M38">
        <v>0.4</v>
      </c>
    </row>
    <row r="39" spans="1:13" x14ac:dyDescent="0.25">
      <c r="A39">
        <v>38</v>
      </c>
      <c r="B39" t="s">
        <v>168</v>
      </c>
      <c r="C39" t="s">
        <v>289</v>
      </c>
      <c r="D39" t="s">
        <v>224</v>
      </c>
      <c r="E39" s="126">
        <f>'Parameter Input'!X$159</f>
        <v>172.49705634987384</v>
      </c>
      <c r="F39" s="126">
        <f>'Parameter Input'!Y$159</f>
        <v>159.9663582842725</v>
      </c>
      <c r="G39">
        <f>'Parameter Input'!B$171*'Parameter Input'!B$172</f>
        <v>5418</v>
      </c>
      <c r="H39">
        <f>'Parameter Input'!C$171*'Parameter Input'!C$172</f>
        <v>5418</v>
      </c>
      <c r="I39" s="131">
        <f t="shared" si="0"/>
        <v>31.83777341267513</v>
      </c>
      <c r="J39" s="131">
        <f t="shared" si="1"/>
        <v>29.524983072032576</v>
      </c>
      <c r="K39">
        <v>12</v>
      </c>
      <c r="L39">
        <v>0.9</v>
      </c>
      <c r="M39">
        <v>0.4</v>
      </c>
    </row>
    <row r="40" spans="1:13" x14ac:dyDescent="0.25">
      <c r="A40">
        <v>39</v>
      </c>
      <c r="B40" t="s">
        <v>168</v>
      </c>
      <c r="C40" t="s">
        <v>289</v>
      </c>
      <c r="D40" t="s">
        <v>225</v>
      </c>
      <c r="E40" s="126">
        <f>'Parameter Input'!X$159</f>
        <v>172.49705634987384</v>
      </c>
      <c r="F40" s="126">
        <f>'Parameter Input'!Y$159</f>
        <v>159.9663582842725</v>
      </c>
      <c r="G40">
        <f>'Parameter Input'!B$183*'Parameter Input'!B$184</f>
        <v>4914</v>
      </c>
      <c r="H40">
        <f>'Parameter Input'!C$183*'Parameter Input'!C$184</f>
        <v>4914</v>
      </c>
      <c r="I40" s="131">
        <f t="shared" si="0"/>
        <v>35.103186070385398</v>
      </c>
      <c r="J40" s="131">
        <f t="shared" si="1"/>
        <v>32.553186464035917</v>
      </c>
      <c r="K40">
        <v>12</v>
      </c>
      <c r="L40">
        <v>0.9</v>
      </c>
      <c r="M40">
        <v>0.4</v>
      </c>
    </row>
    <row r="41" spans="1:13" x14ac:dyDescent="0.25">
      <c r="A41">
        <v>40</v>
      </c>
      <c r="B41" t="s">
        <v>168</v>
      </c>
      <c r="C41" t="s">
        <v>289</v>
      </c>
      <c r="D41" t="s">
        <v>226</v>
      </c>
      <c r="E41" s="126">
        <f>'Parameter Input'!X$159</f>
        <v>172.49705634987384</v>
      </c>
      <c r="F41" s="126">
        <f>'Parameter Input'!Y$159</f>
        <v>159.9663582842725</v>
      </c>
      <c r="G41">
        <f>'Parameter Input'!B$196*'Parameter Input'!B$197</f>
        <v>6426.0000000000009</v>
      </c>
      <c r="H41">
        <f>'Parameter Input'!C$196*'Parameter Input'!C$197</f>
        <v>6426.0000000000009</v>
      </c>
      <c r="I41" s="131">
        <f t="shared" si="0"/>
        <v>26.843612877353536</v>
      </c>
      <c r="J41" s="131">
        <f t="shared" si="1"/>
        <v>24.893613178380406</v>
      </c>
      <c r="K41">
        <v>12</v>
      </c>
      <c r="L41">
        <v>0.9</v>
      </c>
      <c r="M41">
        <v>0.4</v>
      </c>
    </row>
    <row r="42" spans="1:13" x14ac:dyDescent="0.25">
      <c r="A42">
        <v>41</v>
      </c>
      <c r="B42" t="s">
        <v>168</v>
      </c>
      <c r="C42" t="s">
        <v>290</v>
      </c>
      <c r="D42" t="s">
        <v>222</v>
      </c>
      <c r="E42" s="126">
        <f>'Parameter Input'!AC$159</f>
        <v>181.77348551360842</v>
      </c>
      <c r="F42" s="126">
        <f>'Parameter Input'!AD$159</f>
        <v>168.56892010535557</v>
      </c>
      <c r="G42">
        <f>'Parameter Input'!B$159*'Parameter Input'!B$160</f>
        <v>6426.0000000000009</v>
      </c>
      <c r="H42">
        <f>'Parameter Input'!C$159*'Parameter Input'!C$160</f>
        <v>6426.0000000000009</v>
      </c>
      <c r="I42" s="131">
        <f t="shared" si="0"/>
        <v>28.287190400499284</v>
      </c>
      <c r="J42" s="131">
        <f t="shared" si="1"/>
        <v>26.232324946367186</v>
      </c>
      <c r="K42">
        <v>12</v>
      </c>
      <c r="L42">
        <v>0.9</v>
      </c>
      <c r="M42">
        <v>0.4</v>
      </c>
    </row>
    <row r="43" spans="1:13" x14ac:dyDescent="0.25">
      <c r="A43">
        <v>42</v>
      </c>
      <c r="B43" t="s">
        <v>168</v>
      </c>
      <c r="C43" t="s">
        <v>290</v>
      </c>
      <c r="D43" t="s">
        <v>223</v>
      </c>
      <c r="E43" s="126">
        <f>'Parameter Input'!AC$159</f>
        <v>181.77348551360842</v>
      </c>
      <c r="F43" s="126">
        <f>'Parameter Input'!AD$159</f>
        <v>168.56892010535557</v>
      </c>
      <c r="G43" s="163"/>
      <c r="H43" s="163"/>
      <c r="I43" s="131"/>
      <c r="J43" s="131"/>
      <c r="K43">
        <v>12</v>
      </c>
      <c r="L43">
        <v>0.9</v>
      </c>
      <c r="M43">
        <v>0.4</v>
      </c>
    </row>
    <row r="44" spans="1:13" x14ac:dyDescent="0.25">
      <c r="A44">
        <v>43</v>
      </c>
      <c r="B44" t="s">
        <v>168</v>
      </c>
      <c r="C44" t="s">
        <v>290</v>
      </c>
      <c r="D44" t="s">
        <v>224</v>
      </c>
      <c r="E44" s="126">
        <f>'Parameter Input'!AC$159</f>
        <v>181.77348551360842</v>
      </c>
      <c r="F44" s="126">
        <f>'Parameter Input'!AD$159</f>
        <v>168.56892010535557</v>
      </c>
      <c r="G44">
        <f>'Parameter Input'!B$171*'Parameter Input'!B$172</f>
        <v>5418</v>
      </c>
      <c r="H44">
        <f>'Parameter Input'!C$171*'Parameter Input'!C$172</f>
        <v>5418</v>
      </c>
      <c r="I44" s="131">
        <f t="shared" si="0"/>
        <v>33.549923498266594</v>
      </c>
      <c r="J44" s="131">
        <f t="shared" si="1"/>
        <v>31.11275749452853</v>
      </c>
      <c r="K44">
        <v>12</v>
      </c>
      <c r="L44">
        <v>0.9</v>
      </c>
      <c r="M44">
        <v>0.4</v>
      </c>
    </row>
    <row r="45" spans="1:13" x14ac:dyDescent="0.25">
      <c r="A45">
        <v>44</v>
      </c>
      <c r="B45" t="s">
        <v>168</v>
      </c>
      <c r="C45" t="s">
        <v>290</v>
      </c>
      <c r="D45" t="s">
        <v>225</v>
      </c>
      <c r="E45" s="126">
        <f>'Parameter Input'!AC$159</f>
        <v>181.77348551360842</v>
      </c>
      <c r="F45" s="126">
        <f>'Parameter Input'!AD$159</f>
        <v>168.56892010535557</v>
      </c>
      <c r="G45">
        <f>'Parameter Input'!B$183*'Parameter Input'!B$184</f>
        <v>4914</v>
      </c>
      <c r="H45">
        <f>'Parameter Input'!C$183*'Parameter Input'!C$184</f>
        <v>4914</v>
      </c>
      <c r="I45" s="131">
        <f t="shared" si="0"/>
        <v>36.990941292960606</v>
      </c>
      <c r="J45" s="131">
        <f t="shared" si="1"/>
        <v>34.303809545249408</v>
      </c>
      <c r="K45">
        <v>12</v>
      </c>
      <c r="L45">
        <v>0.9</v>
      </c>
      <c r="M45">
        <v>0.4</v>
      </c>
    </row>
    <row r="46" spans="1:13" x14ac:dyDescent="0.25">
      <c r="A46">
        <v>45</v>
      </c>
      <c r="B46" t="s">
        <v>168</v>
      </c>
      <c r="C46" t="s">
        <v>290</v>
      </c>
      <c r="D46" t="s">
        <v>226</v>
      </c>
      <c r="E46" s="126">
        <f>'Parameter Input'!AC$159</f>
        <v>181.77348551360842</v>
      </c>
      <c r="F46" s="126">
        <f>'Parameter Input'!AD$159</f>
        <v>168.56892010535557</v>
      </c>
      <c r="G46">
        <f>'Parameter Input'!B$196*'Parameter Input'!B$197</f>
        <v>6426.0000000000009</v>
      </c>
      <c r="H46">
        <f>'Parameter Input'!C$196*'Parameter Input'!C$197</f>
        <v>6426.0000000000009</v>
      </c>
      <c r="I46" s="131">
        <f t="shared" si="0"/>
        <v>28.287190400499284</v>
      </c>
      <c r="J46" s="131">
        <f t="shared" si="1"/>
        <v>26.232324946367186</v>
      </c>
      <c r="K46">
        <v>12</v>
      </c>
      <c r="L46">
        <v>0.9</v>
      </c>
      <c r="M46">
        <v>0.4</v>
      </c>
    </row>
    <row r="47" spans="1:13" x14ac:dyDescent="0.25">
      <c r="A47">
        <v>46</v>
      </c>
      <c r="B47" t="s">
        <v>168</v>
      </c>
      <c r="C47" t="s">
        <v>103</v>
      </c>
      <c r="D47" t="s">
        <v>222</v>
      </c>
      <c r="E47" s="126">
        <f>'Parameter Input'!AH$159</f>
        <v>24.449056603773585</v>
      </c>
      <c r="F47" s="126">
        <f>'Parameter Input'!AI$159</f>
        <v>0</v>
      </c>
      <c r="G47">
        <f>'Parameter Input'!B$159*'Parameter Input'!B$160</f>
        <v>6426.0000000000009</v>
      </c>
      <c r="H47">
        <f>'Parameter Input'!C$159*'Parameter Input'!C$160</f>
        <v>6426.0000000000009</v>
      </c>
      <c r="I47" s="131">
        <f t="shared" si="0"/>
        <v>3.8047084661957018</v>
      </c>
      <c r="J47" s="131">
        <f t="shared" si="1"/>
        <v>0</v>
      </c>
      <c r="K47">
        <v>12</v>
      </c>
      <c r="L47">
        <v>0.9</v>
      </c>
      <c r="M47">
        <v>0.4</v>
      </c>
    </row>
    <row r="48" spans="1:13" x14ac:dyDescent="0.25">
      <c r="A48">
        <v>47</v>
      </c>
      <c r="B48" t="s">
        <v>168</v>
      </c>
      <c r="C48" t="s">
        <v>103</v>
      </c>
      <c r="D48" t="s">
        <v>223</v>
      </c>
      <c r="E48" s="126">
        <f>'Parameter Input'!AH$159</f>
        <v>24.449056603773585</v>
      </c>
      <c r="F48" s="126">
        <f>'Parameter Input'!AI$159</f>
        <v>0</v>
      </c>
      <c r="G48" s="129"/>
      <c r="H48" s="129"/>
      <c r="I48" s="131"/>
      <c r="J48" s="131"/>
      <c r="K48">
        <v>12</v>
      </c>
      <c r="L48">
        <v>0.9</v>
      </c>
      <c r="M48">
        <v>0.4</v>
      </c>
    </row>
    <row r="49" spans="1:13" x14ac:dyDescent="0.25">
      <c r="A49">
        <v>48</v>
      </c>
      <c r="B49" t="s">
        <v>168</v>
      </c>
      <c r="C49" t="s">
        <v>103</v>
      </c>
      <c r="D49" t="s">
        <v>224</v>
      </c>
      <c r="E49" s="126">
        <f>'Parameter Input'!AH$159</f>
        <v>24.449056603773585</v>
      </c>
      <c r="F49" s="126">
        <f>'Parameter Input'!AI$159</f>
        <v>0</v>
      </c>
      <c r="G49">
        <f>'Parameter Input'!B$171*'Parameter Input'!B$172</f>
        <v>5418</v>
      </c>
      <c r="H49">
        <f>'Parameter Input'!C$171*'Parameter Input'!C$172</f>
        <v>5418</v>
      </c>
      <c r="I49" s="131">
        <f t="shared" si="0"/>
        <v>4.5125612040925773</v>
      </c>
      <c r="J49" s="131">
        <f t="shared" si="1"/>
        <v>0</v>
      </c>
      <c r="K49">
        <v>12</v>
      </c>
      <c r="L49">
        <v>0.9</v>
      </c>
      <c r="M49">
        <v>0.4</v>
      </c>
    </row>
    <row r="50" spans="1:13" x14ac:dyDescent="0.25">
      <c r="A50">
        <v>49</v>
      </c>
      <c r="B50" t="s">
        <v>168</v>
      </c>
      <c r="C50" t="s">
        <v>103</v>
      </c>
      <c r="D50" t="s">
        <v>225</v>
      </c>
      <c r="E50" s="126">
        <f>'Parameter Input'!AH$159</f>
        <v>24.449056603773585</v>
      </c>
      <c r="F50" s="126">
        <f>'Parameter Input'!AI$159</f>
        <v>0</v>
      </c>
      <c r="G50">
        <f>'Parameter Input'!B$183*'Parameter Input'!B$184</f>
        <v>4914</v>
      </c>
      <c r="H50">
        <f>'Parameter Input'!C$183*'Parameter Input'!C$184</f>
        <v>4914</v>
      </c>
      <c r="I50" s="131">
        <f t="shared" si="0"/>
        <v>4.975387994255918</v>
      </c>
      <c r="J50" s="131">
        <f t="shared" si="1"/>
        <v>0</v>
      </c>
      <c r="K50">
        <v>12</v>
      </c>
      <c r="L50">
        <v>0.9</v>
      </c>
      <c r="M50">
        <v>0.4</v>
      </c>
    </row>
    <row r="51" spans="1:13" x14ac:dyDescent="0.25">
      <c r="A51">
        <v>50</v>
      </c>
      <c r="B51" t="s">
        <v>168</v>
      </c>
      <c r="C51" t="s">
        <v>103</v>
      </c>
      <c r="D51" t="s">
        <v>226</v>
      </c>
      <c r="E51" s="126">
        <f>'Parameter Input'!AH$159</f>
        <v>24.449056603773585</v>
      </c>
      <c r="F51" s="126">
        <f>'Parameter Input'!AI$159</f>
        <v>0</v>
      </c>
      <c r="G51">
        <f>'Parameter Input'!B$196*'Parameter Input'!B$197</f>
        <v>6426.0000000000009</v>
      </c>
      <c r="H51">
        <f>'Parameter Input'!C$196*'Parameter Input'!C$197</f>
        <v>6426.0000000000009</v>
      </c>
      <c r="I51" s="131">
        <f t="shared" si="0"/>
        <v>3.8047084661957018</v>
      </c>
      <c r="J51" s="131">
        <f t="shared" si="1"/>
        <v>0</v>
      </c>
      <c r="K51">
        <v>12</v>
      </c>
      <c r="L51">
        <v>0.9</v>
      </c>
      <c r="M51">
        <v>0.4</v>
      </c>
    </row>
    <row r="52" spans="1:13" x14ac:dyDescent="0.25">
      <c r="A52">
        <v>51</v>
      </c>
      <c r="B52" t="s">
        <v>168</v>
      </c>
      <c r="C52" t="s">
        <v>186</v>
      </c>
      <c r="D52" t="s">
        <v>222</v>
      </c>
      <c r="E52" s="126">
        <f>'Parameter Input'!AM$159</f>
        <v>24.919230769230765</v>
      </c>
      <c r="F52" s="126">
        <f>'Parameter Input'!AN$159</f>
        <v>0</v>
      </c>
      <c r="G52">
        <f>'Parameter Input'!B$159*'Parameter Input'!B$160</f>
        <v>6426.0000000000009</v>
      </c>
      <c r="H52">
        <f>'Parameter Input'!C$159*'Parameter Input'!C$160</f>
        <v>6426.0000000000009</v>
      </c>
      <c r="I52" s="131">
        <f t="shared" si="0"/>
        <v>3.8778759366994646</v>
      </c>
      <c r="J52" s="131">
        <f t="shared" si="1"/>
        <v>0</v>
      </c>
      <c r="K52">
        <v>12</v>
      </c>
      <c r="L52">
        <v>0.9</v>
      </c>
      <c r="M52">
        <v>0.4</v>
      </c>
    </row>
    <row r="53" spans="1:13" x14ac:dyDescent="0.25">
      <c r="A53">
        <v>52</v>
      </c>
      <c r="B53" t="s">
        <v>168</v>
      </c>
      <c r="C53" t="s">
        <v>186</v>
      </c>
      <c r="D53" t="s">
        <v>223</v>
      </c>
      <c r="E53" s="126">
        <f>'Parameter Input'!AM$159</f>
        <v>24.919230769230765</v>
      </c>
      <c r="F53" s="126">
        <f>'Parameter Input'!AN$159</f>
        <v>0</v>
      </c>
      <c r="G53" s="129"/>
      <c r="H53" s="129"/>
      <c r="I53" s="131"/>
      <c r="J53" s="131"/>
      <c r="K53">
        <v>12</v>
      </c>
      <c r="L53">
        <v>0.9</v>
      </c>
      <c r="M53">
        <v>0.4</v>
      </c>
    </row>
    <row r="54" spans="1:13" x14ac:dyDescent="0.25">
      <c r="A54">
        <v>53</v>
      </c>
      <c r="B54" t="s">
        <v>168</v>
      </c>
      <c r="C54" t="s">
        <v>186</v>
      </c>
      <c r="D54" t="s">
        <v>224</v>
      </c>
      <c r="E54" s="126">
        <f>'Parameter Input'!AM$159</f>
        <v>24.919230769230765</v>
      </c>
      <c r="F54" s="126">
        <f>'Parameter Input'!AN$159</f>
        <v>0</v>
      </c>
      <c r="G54">
        <f>'Parameter Input'!B$171*'Parameter Input'!B$172</f>
        <v>5418</v>
      </c>
      <c r="H54">
        <f>'Parameter Input'!C$171*'Parameter Input'!C$172</f>
        <v>5418</v>
      </c>
      <c r="I54" s="131">
        <f t="shared" si="0"/>
        <v>4.5993412272482033</v>
      </c>
      <c r="J54" s="131">
        <f t="shared" si="1"/>
        <v>0</v>
      </c>
      <c r="K54">
        <v>12</v>
      </c>
      <c r="L54">
        <v>0.9</v>
      </c>
      <c r="M54">
        <v>0.4</v>
      </c>
    </row>
    <row r="55" spans="1:13" x14ac:dyDescent="0.25">
      <c r="A55">
        <v>54</v>
      </c>
      <c r="B55" t="s">
        <v>168</v>
      </c>
      <c r="C55" t="s">
        <v>186</v>
      </c>
      <c r="D55" t="s">
        <v>225</v>
      </c>
      <c r="E55" s="126">
        <f>'Parameter Input'!AM$159</f>
        <v>24.919230769230765</v>
      </c>
      <c r="F55" s="126">
        <f>'Parameter Input'!AN$159</f>
        <v>0</v>
      </c>
      <c r="G55">
        <f>'Parameter Input'!B$183*'Parameter Input'!B$184</f>
        <v>4914</v>
      </c>
      <c r="H55">
        <f>'Parameter Input'!C$183*'Parameter Input'!C$184</f>
        <v>4914</v>
      </c>
      <c r="I55" s="131">
        <f t="shared" si="0"/>
        <v>5.0710685326069926</v>
      </c>
      <c r="J55" s="131">
        <f t="shared" si="1"/>
        <v>0</v>
      </c>
      <c r="K55">
        <v>12</v>
      </c>
      <c r="L55">
        <v>0.9</v>
      </c>
      <c r="M55">
        <v>0.4</v>
      </c>
    </row>
    <row r="56" spans="1:13" x14ac:dyDescent="0.25">
      <c r="A56">
        <v>55</v>
      </c>
      <c r="B56" t="s">
        <v>168</v>
      </c>
      <c r="C56" t="s">
        <v>186</v>
      </c>
      <c r="D56" t="s">
        <v>226</v>
      </c>
      <c r="E56" s="126">
        <f>'Parameter Input'!AM$159</f>
        <v>24.919230769230765</v>
      </c>
      <c r="F56" s="126">
        <f>'Parameter Input'!AN$159</f>
        <v>0</v>
      </c>
      <c r="G56">
        <f>'Parameter Input'!B$196*'Parameter Input'!B$197</f>
        <v>6426.0000000000009</v>
      </c>
      <c r="H56">
        <f>'Parameter Input'!C$196*'Parameter Input'!C$197</f>
        <v>6426.0000000000009</v>
      </c>
      <c r="I56" s="131">
        <f t="shared" si="0"/>
        <v>3.8778759366994646</v>
      </c>
      <c r="J56" s="131">
        <f t="shared" si="1"/>
        <v>0</v>
      </c>
      <c r="K56">
        <v>12</v>
      </c>
      <c r="L56">
        <v>0.9</v>
      </c>
      <c r="M56">
        <v>0.4</v>
      </c>
    </row>
    <row r="57" spans="1:13" x14ac:dyDescent="0.25">
      <c r="A57">
        <v>56</v>
      </c>
      <c r="B57" t="s">
        <v>168</v>
      </c>
      <c r="C57" t="s">
        <v>187</v>
      </c>
      <c r="D57" t="s">
        <v>222</v>
      </c>
      <c r="E57" s="126">
        <f>'Parameter Input'!AR$159</f>
        <v>31.631111111111107</v>
      </c>
      <c r="F57" s="126">
        <f>'Parameter Input'!AS$159</f>
        <v>0</v>
      </c>
      <c r="G57">
        <f>'Parameter Input'!B$159*'Parameter Input'!B$160</f>
        <v>6426.0000000000009</v>
      </c>
      <c r="H57">
        <f>'Parameter Input'!C$159*'Parameter Input'!C$160</f>
        <v>6426.0000000000009</v>
      </c>
      <c r="I57" s="131">
        <f t="shared" si="0"/>
        <v>4.9223640073313257</v>
      </c>
      <c r="J57" s="131">
        <f t="shared" si="1"/>
        <v>0</v>
      </c>
      <c r="K57">
        <v>12</v>
      </c>
      <c r="L57">
        <v>0.9</v>
      </c>
      <c r="M57">
        <v>0.4</v>
      </c>
    </row>
    <row r="58" spans="1:13" x14ac:dyDescent="0.25">
      <c r="A58">
        <v>57</v>
      </c>
      <c r="B58" t="s">
        <v>168</v>
      </c>
      <c r="C58" t="s">
        <v>187</v>
      </c>
      <c r="D58" t="s">
        <v>223</v>
      </c>
      <c r="E58" s="126">
        <f>'Parameter Input'!AR$159</f>
        <v>31.631111111111107</v>
      </c>
      <c r="F58" s="126">
        <f>'Parameter Input'!AS$159</f>
        <v>0</v>
      </c>
      <c r="G58" s="129"/>
      <c r="H58" s="129"/>
      <c r="I58" s="131"/>
      <c r="J58" s="131"/>
      <c r="K58">
        <v>12</v>
      </c>
      <c r="L58">
        <v>0.9</v>
      </c>
      <c r="M58">
        <v>0.4</v>
      </c>
    </row>
    <row r="59" spans="1:13" x14ac:dyDescent="0.25">
      <c r="A59">
        <v>58</v>
      </c>
      <c r="B59" t="s">
        <v>168</v>
      </c>
      <c r="C59" t="s">
        <v>187</v>
      </c>
      <c r="D59" t="s">
        <v>224</v>
      </c>
      <c r="E59" s="126">
        <f>'Parameter Input'!AR$159</f>
        <v>31.631111111111107</v>
      </c>
      <c r="F59" s="126">
        <f>'Parameter Input'!AS$159</f>
        <v>0</v>
      </c>
      <c r="G59">
        <f>'Parameter Input'!B$171*'Parameter Input'!B$172</f>
        <v>5418</v>
      </c>
      <c r="H59">
        <f>'Parameter Input'!C$171*'Parameter Input'!C$172</f>
        <v>5418</v>
      </c>
      <c r="I59" s="131">
        <f t="shared" si="0"/>
        <v>5.8381526598580855</v>
      </c>
      <c r="J59" s="131">
        <f t="shared" si="1"/>
        <v>0</v>
      </c>
      <c r="K59">
        <v>12</v>
      </c>
      <c r="L59">
        <v>0.9</v>
      </c>
      <c r="M59">
        <v>0.4</v>
      </c>
    </row>
    <row r="60" spans="1:13" x14ac:dyDescent="0.25">
      <c r="A60">
        <v>59</v>
      </c>
      <c r="B60" t="s">
        <v>168</v>
      </c>
      <c r="C60" t="s">
        <v>187</v>
      </c>
      <c r="D60" t="s">
        <v>225</v>
      </c>
      <c r="E60" s="126">
        <f>'Parameter Input'!AR$159</f>
        <v>31.631111111111107</v>
      </c>
      <c r="F60" s="126">
        <f>'Parameter Input'!AS$159</f>
        <v>0</v>
      </c>
      <c r="G60">
        <f>'Parameter Input'!B$183*'Parameter Input'!B$184</f>
        <v>4914</v>
      </c>
      <c r="H60">
        <f>'Parameter Input'!C$183*'Parameter Input'!C$184</f>
        <v>4914</v>
      </c>
      <c r="I60" s="131">
        <f t="shared" si="0"/>
        <v>6.4369375480486575</v>
      </c>
      <c r="J60" s="131">
        <f t="shared" si="1"/>
        <v>0</v>
      </c>
      <c r="K60">
        <v>12</v>
      </c>
      <c r="L60">
        <v>0.9</v>
      </c>
      <c r="M60">
        <v>0.4</v>
      </c>
    </row>
    <row r="61" spans="1:13" x14ac:dyDescent="0.25">
      <c r="A61">
        <v>60</v>
      </c>
      <c r="B61" t="s">
        <v>168</v>
      </c>
      <c r="C61" t="s">
        <v>187</v>
      </c>
      <c r="D61" t="s">
        <v>226</v>
      </c>
      <c r="E61" s="126">
        <f>'Parameter Input'!AR$159</f>
        <v>31.631111111111107</v>
      </c>
      <c r="F61" s="126">
        <f>'Parameter Input'!AS$159</f>
        <v>0</v>
      </c>
      <c r="G61">
        <f>'Parameter Input'!B$196*'Parameter Input'!B$197</f>
        <v>6426.0000000000009</v>
      </c>
      <c r="H61">
        <f>'Parameter Input'!C$196*'Parameter Input'!C$197</f>
        <v>6426.0000000000009</v>
      </c>
      <c r="I61" s="131">
        <f t="shared" si="0"/>
        <v>4.9223640073313257</v>
      </c>
      <c r="J61" s="131">
        <f t="shared" si="1"/>
        <v>0</v>
      </c>
      <c r="K61">
        <v>12</v>
      </c>
      <c r="L61">
        <v>0.9</v>
      </c>
      <c r="M61">
        <v>0.4</v>
      </c>
    </row>
  </sheetData>
  <autoFilter ref="A1:J62" xr:uid="{B107BC15-4EA9-4CE0-8790-9314B23FDF92}">
    <sortState xmlns:xlrd2="http://schemas.microsoft.com/office/spreadsheetml/2017/richdata2" ref="A2:J62">
      <sortCondition ref="A1:A62"/>
    </sortState>
  </autoFilter>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868A6-BD3F-4CEE-954D-E5C253228256}">
  <dimension ref="A1:AM509"/>
  <sheetViews>
    <sheetView topLeftCell="Y248" workbookViewId="0">
      <selection activeCell="AM248" sqref="AM248"/>
    </sheetView>
  </sheetViews>
  <sheetFormatPr defaultColWidth="8.85546875" defaultRowHeight="15" x14ac:dyDescent="0.25"/>
  <cols>
    <col min="1" max="3" width="8.85546875" style="164"/>
    <col min="4" max="4" width="12.5703125" style="164" bestFit="1" customWidth="1"/>
    <col min="5" max="12" width="8.85546875" style="164"/>
    <col min="13" max="13" width="12.5703125" style="164" bestFit="1" customWidth="1"/>
    <col min="14" max="32" width="8.85546875" style="164"/>
    <col min="33" max="33" width="10.42578125" style="164" bestFit="1" customWidth="1"/>
    <col min="34" max="34" width="8.42578125" style="164" bestFit="1" customWidth="1"/>
    <col min="35" max="35" width="11.42578125" style="164" bestFit="1" customWidth="1"/>
    <col min="36" max="16384" width="8.85546875" style="164"/>
  </cols>
  <sheetData>
    <row r="1" spans="1:39" x14ac:dyDescent="0.25">
      <c r="H1" s="171" t="s">
        <v>434</v>
      </c>
      <c r="AG1" t="s">
        <v>425</v>
      </c>
      <c r="AH1" t="s">
        <v>426</v>
      </c>
      <c r="AI1" t="s">
        <v>427</v>
      </c>
      <c r="AJ1" t="s">
        <v>219</v>
      </c>
      <c r="AK1" t="s">
        <v>428</v>
      </c>
      <c r="AL1" t="s">
        <v>220</v>
      </c>
      <c r="AM1" t="s">
        <v>429</v>
      </c>
    </row>
    <row r="2" spans="1:39" x14ac:dyDescent="0.25">
      <c r="AG2" s="164" t="s">
        <v>433</v>
      </c>
      <c r="AH2" s="164" t="s">
        <v>430</v>
      </c>
      <c r="AI2" s="164">
        <v>2023</v>
      </c>
      <c r="AJ2" s="164" t="str">
        <f>A7</f>
        <v>Road</v>
      </c>
      <c r="AK2" s="164" t="str">
        <f>B7</f>
        <v>Dry bulk</v>
      </c>
      <c r="AL2" s="164" t="str">
        <f>C7</f>
        <v>Diesel</v>
      </c>
      <c r="AM2" s="188">
        <f>I7</f>
        <v>1</v>
      </c>
    </row>
    <row r="3" spans="1:39" x14ac:dyDescent="0.25">
      <c r="D3" s="202">
        <v>2023</v>
      </c>
      <c r="E3" s="202"/>
      <c r="F3" s="202"/>
      <c r="G3" s="202"/>
      <c r="H3" s="202"/>
      <c r="I3" s="202"/>
      <c r="J3" s="202"/>
      <c r="K3" s="202"/>
      <c r="M3" s="202">
        <v>2034</v>
      </c>
      <c r="N3" s="202"/>
      <c r="O3" s="202"/>
      <c r="P3" s="202"/>
      <c r="Q3" s="202"/>
      <c r="R3" s="202"/>
      <c r="S3" s="202"/>
      <c r="T3" s="202"/>
      <c r="W3" s="202">
        <v>2050</v>
      </c>
      <c r="X3" s="202"/>
      <c r="Y3" s="202"/>
      <c r="Z3" s="202"/>
      <c r="AA3" s="202"/>
      <c r="AB3" s="202"/>
      <c r="AC3" s="202"/>
      <c r="AD3" s="202"/>
      <c r="AE3" s="202"/>
      <c r="AG3" s="164" t="s">
        <v>87</v>
      </c>
      <c r="AH3" s="164" t="s">
        <v>430</v>
      </c>
      <c r="AI3" s="164">
        <v>2023</v>
      </c>
      <c r="AJ3" s="164" t="str">
        <f t="shared" ref="AJ3:AL3" si="0">A8</f>
        <v>Road</v>
      </c>
      <c r="AK3" s="164" t="str">
        <f t="shared" si="0"/>
        <v>Dry bulk</v>
      </c>
      <c r="AL3" s="164" t="str">
        <f t="shared" si="0"/>
        <v>Battery</v>
      </c>
      <c r="AM3" s="188">
        <f t="shared" ref="AM3:AM16" si="1">I8</f>
        <v>1</v>
      </c>
    </row>
    <row r="4" spans="1:39" x14ac:dyDescent="0.25">
      <c r="AG4" s="164" t="s">
        <v>103</v>
      </c>
      <c r="AH4" s="164" t="s">
        <v>430</v>
      </c>
      <c r="AI4" s="164">
        <v>2023</v>
      </c>
      <c r="AJ4" s="164" t="str">
        <f t="shared" ref="AJ4:AL4" si="2">A9</f>
        <v>Road</v>
      </c>
      <c r="AK4" s="164" t="str">
        <f t="shared" si="2"/>
        <v>Dry bulk</v>
      </c>
      <c r="AL4" s="164" t="str">
        <f t="shared" si="2"/>
        <v>Hydrogen</v>
      </c>
      <c r="AM4" s="188">
        <f t="shared" si="1"/>
        <v>1</v>
      </c>
    </row>
    <row r="5" spans="1:39" x14ac:dyDescent="0.25">
      <c r="A5" s="164" t="s">
        <v>421</v>
      </c>
      <c r="I5" s="202" t="s">
        <v>424</v>
      </c>
      <c r="J5" s="202"/>
      <c r="K5" s="202"/>
      <c r="R5" s="202" t="s">
        <v>424</v>
      </c>
      <c r="S5" s="202"/>
      <c r="T5" s="202"/>
      <c r="AB5" s="202" t="s">
        <v>424</v>
      </c>
      <c r="AC5" s="202"/>
      <c r="AD5" s="202"/>
      <c r="AG5" s="164" t="s">
        <v>433</v>
      </c>
      <c r="AH5" s="164" t="s">
        <v>430</v>
      </c>
      <c r="AI5" s="164">
        <v>2023</v>
      </c>
      <c r="AJ5" s="164" t="str">
        <f t="shared" ref="AJ5:AL5" si="3">A10</f>
        <v>Road</v>
      </c>
      <c r="AK5" s="164" t="str">
        <f t="shared" si="3"/>
        <v>Liquid bulk</v>
      </c>
      <c r="AL5" s="164" t="str">
        <f t="shared" si="3"/>
        <v>Diesel</v>
      </c>
      <c r="AM5" s="188">
        <f t="shared" si="1"/>
        <v>1</v>
      </c>
    </row>
    <row r="6" spans="1:39" x14ac:dyDescent="0.25">
      <c r="D6" s="171" t="s">
        <v>423</v>
      </c>
      <c r="E6" s="164" t="s">
        <v>430</v>
      </c>
      <c r="F6" s="164" t="s">
        <v>431</v>
      </c>
      <c r="G6" s="164" t="s">
        <v>432</v>
      </c>
      <c r="I6" s="164" t="s">
        <v>430</v>
      </c>
      <c r="J6" s="164" t="s">
        <v>431</v>
      </c>
      <c r="K6" s="164" t="s">
        <v>432</v>
      </c>
      <c r="M6" s="171" t="s">
        <v>423</v>
      </c>
      <c r="N6" s="164" t="s">
        <v>430</v>
      </c>
      <c r="O6" s="164" t="s">
        <v>431</v>
      </c>
      <c r="P6" s="164" t="s">
        <v>432</v>
      </c>
      <c r="R6" s="164" t="s">
        <v>430</v>
      </c>
      <c r="S6" s="164" t="s">
        <v>431</v>
      </c>
      <c r="T6" s="164" t="s">
        <v>432</v>
      </c>
      <c r="W6" s="171" t="s">
        <v>423</v>
      </c>
      <c r="X6" s="164" t="s">
        <v>430</v>
      </c>
      <c r="Y6" s="164" t="s">
        <v>431</v>
      </c>
      <c r="Z6" s="164" t="s">
        <v>432</v>
      </c>
      <c r="AB6" s="164" t="s">
        <v>430</v>
      </c>
      <c r="AC6" s="164" t="s">
        <v>431</v>
      </c>
      <c r="AD6" s="164" t="s">
        <v>432</v>
      </c>
      <c r="AG6" s="164" t="s">
        <v>87</v>
      </c>
      <c r="AH6" s="164" t="s">
        <v>430</v>
      </c>
      <c r="AI6" s="164">
        <v>2023</v>
      </c>
      <c r="AJ6" s="164" t="str">
        <f t="shared" ref="AJ6:AL6" si="4">A11</f>
        <v>Road</v>
      </c>
      <c r="AK6" s="164" t="str">
        <f t="shared" si="4"/>
        <v>Liquid bulk</v>
      </c>
      <c r="AL6" s="164" t="str">
        <f t="shared" si="4"/>
        <v>Battery</v>
      </c>
      <c r="AM6" s="188">
        <f t="shared" si="1"/>
        <v>1</v>
      </c>
    </row>
    <row r="7" spans="1:39" x14ac:dyDescent="0.25">
      <c r="A7" s="164" t="s">
        <v>221</v>
      </c>
      <c r="B7" s="164" t="s">
        <v>222</v>
      </c>
      <c r="C7" s="164" t="s">
        <v>11</v>
      </c>
      <c r="D7" s="164">
        <f>FIGURES!AP17</f>
        <v>0.17432142531422026</v>
      </c>
      <c r="E7" s="164">
        <v>0.17432142531422026</v>
      </c>
      <c r="F7" s="164">
        <v>0.17432142531422026</v>
      </c>
      <c r="G7" s="164">
        <v>0.17432142531422026</v>
      </c>
      <c r="I7" s="187">
        <f>E7/E7</f>
        <v>1</v>
      </c>
      <c r="J7" s="187">
        <f>F7/E7</f>
        <v>1</v>
      </c>
      <c r="K7" s="187">
        <f>G7/E7</f>
        <v>1</v>
      </c>
      <c r="M7" s="164">
        <f>FIGURES!CS17</f>
        <v>0.17558705100643024</v>
      </c>
      <c r="N7" s="164">
        <v>0.17558705100643024</v>
      </c>
      <c r="O7" s="164">
        <v>0.17558705100643024</v>
      </c>
      <c r="P7" s="164">
        <v>0.17558705100643024</v>
      </c>
      <c r="R7" s="187">
        <f>N7/N7</f>
        <v>1</v>
      </c>
      <c r="S7" s="187">
        <f>O7/N7</f>
        <v>1</v>
      </c>
      <c r="T7" s="187">
        <f>P7/N7</f>
        <v>1</v>
      </c>
      <c r="W7" s="164">
        <f>FIGURES!EV17</f>
        <v>0.18499868818419896</v>
      </c>
      <c r="X7" s="164">
        <v>0.18499868818419896</v>
      </c>
      <c r="Y7" s="164">
        <v>0.18499868818419896</v>
      </c>
      <c r="Z7" s="164">
        <v>0.18499868818419896</v>
      </c>
      <c r="AB7" s="187">
        <f>X7/X7</f>
        <v>1</v>
      </c>
      <c r="AC7" s="187">
        <f>Y7/X7</f>
        <v>1</v>
      </c>
      <c r="AD7" s="187">
        <f>Z7/X7</f>
        <v>1</v>
      </c>
      <c r="AG7" s="164" t="s">
        <v>103</v>
      </c>
      <c r="AH7" s="164" t="s">
        <v>430</v>
      </c>
      <c r="AI7" s="164">
        <v>2023</v>
      </c>
      <c r="AJ7" s="164" t="str">
        <f t="shared" ref="AJ7:AL7" si="5">A12</f>
        <v>Road</v>
      </c>
      <c r="AK7" s="164" t="str">
        <f t="shared" si="5"/>
        <v>Liquid bulk</v>
      </c>
      <c r="AL7" s="164" t="str">
        <f t="shared" si="5"/>
        <v>Hydrogen</v>
      </c>
      <c r="AM7" s="188">
        <f t="shared" si="1"/>
        <v>1</v>
      </c>
    </row>
    <row r="8" spans="1:39" x14ac:dyDescent="0.25">
      <c r="A8" s="164" t="s">
        <v>221</v>
      </c>
      <c r="B8" s="164" t="s">
        <v>222</v>
      </c>
      <c r="C8" s="164" t="s">
        <v>87</v>
      </c>
      <c r="D8" s="164">
        <f>FIGURES!AQ17</f>
        <v>0.22106743170492713</v>
      </c>
      <c r="E8" s="164">
        <v>0.21642958578449217</v>
      </c>
      <c r="F8" s="164">
        <v>0.21385411342909427</v>
      </c>
      <c r="G8" s="164">
        <v>0.22106743170492713</v>
      </c>
      <c r="I8" s="187">
        <f t="shared" ref="I8:I21" si="6">E8/E8</f>
        <v>1</v>
      </c>
      <c r="J8" s="187">
        <f t="shared" ref="J8:J21" si="7">F8/E8</f>
        <v>0.98810018350281181</v>
      </c>
      <c r="K8" s="187">
        <f t="shared" ref="K8:K21" si="8">G8/E8</f>
        <v>1.0214288906187394</v>
      </c>
      <c r="M8" s="164">
        <f>FIGURES!CT17</f>
        <v>0.17627926299689411</v>
      </c>
      <c r="N8" s="164">
        <v>0.17358536301385386</v>
      </c>
      <c r="O8" s="164">
        <v>0.17226082040398441</v>
      </c>
      <c r="P8" s="164">
        <v>0.17627926299689411</v>
      </c>
      <c r="R8" s="187">
        <f t="shared" ref="R8:R21" si="9">N8/N8</f>
        <v>1</v>
      </c>
      <c r="S8" s="187">
        <f t="shared" ref="S8:S21" si="10">O8/N8</f>
        <v>0.99236950289545012</v>
      </c>
      <c r="T8" s="187">
        <f t="shared" ref="T8:T21" si="11">P8/N8</f>
        <v>1.0155191655348572</v>
      </c>
      <c r="W8" s="164">
        <f>FIGURES!EW17</f>
        <v>0.15970608243330964</v>
      </c>
      <c r="X8" s="164">
        <v>0.15849318124258149</v>
      </c>
      <c r="Y8" s="164">
        <v>0.15818397594541578</v>
      </c>
      <c r="Z8" s="164">
        <v>0.15970608243330964</v>
      </c>
      <c r="AB8" s="187">
        <f t="shared" ref="AB8:AB21" si="12">X8/X8</f>
        <v>1</v>
      </c>
      <c r="AC8" s="187">
        <f t="shared" ref="AC8:AC21" si="13">Y8/X8</f>
        <v>0.99804909400681119</v>
      </c>
      <c r="AD8" s="187">
        <f t="shared" ref="AD8:AD21" si="14">Z8/X8</f>
        <v>1.0076527026665691</v>
      </c>
      <c r="AG8" s="164" t="s">
        <v>433</v>
      </c>
      <c r="AH8" s="164" t="s">
        <v>430</v>
      </c>
      <c r="AI8" s="164">
        <v>2023</v>
      </c>
      <c r="AJ8" s="164" t="str">
        <f t="shared" ref="AJ8:AL8" si="15">A13</f>
        <v>Road</v>
      </c>
      <c r="AK8" s="164" t="str">
        <f t="shared" si="15"/>
        <v>Container</v>
      </c>
      <c r="AL8" s="164" t="str">
        <f t="shared" si="15"/>
        <v>Diesel</v>
      </c>
      <c r="AM8" s="188">
        <f t="shared" si="1"/>
        <v>1</v>
      </c>
    </row>
    <row r="9" spans="1:39" x14ac:dyDescent="0.25">
      <c r="A9" s="164" t="s">
        <v>221</v>
      </c>
      <c r="B9" s="164" t="s">
        <v>222</v>
      </c>
      <c r="C9" s="164" t="s">
        <v>103</v>
      </c>
      <c r="D9" s="164">
        <f>FIGURES!AR17</f>
        <v>0.25980204112182903</v>
      </c>
      <c r="E9" s="164">
        <v>0.25167608522467838</v>
      </c>
      <c r="F9" s="164">
        <v>0.23848452142207424</v>
      </c>
      <c r="G9" s="164">
        <v>0.25980204112182903</v>
      </c>
      <c r="I9" s="187">
        <f t="shared" si="6"/>
        <v>1</v>
      </c>
      <c r="J9" s="187">
        <f t="shared" si="7"/>
        <v>0.94758515180007008</v>
      </c>
      <c r="K9" s="187">
        <f t="shared" si="8"/>
        <v>1.0322873581329604</v>
      </c>
      <c r="M9" s="164">
        <f>FIGURES!CU17</f>
        <v>0.20111812973022083</v>
      </c>
      <c r="N9" s="164">
        <v>0.19670515723364573</v>
      </c>
      <c r="O9" s="164">
        <v>0.1895820760140314</v>
      </c>
      <c r="P9" s="164">
        <v>0.20111812973022083</v>
      </c>
      <c r="R9" s="187">
        <f t="shared" si="9"/>
        <v>1</v>
      </c>
      <c r="S9" s="187">
        <f t="shared" si="10"/>
        <v>0.96378803016764036</v>
      </c>
      <c r="T9" s="187">
        <f t="shared" si="11"/>
        <v>1.0224344524497311</v>
      </c>
      <c r="W9" s="164">
        <f>FIGURES!EX17</f>
        <v>0.16933568679708047</v>
      </c>
      <c r="X9" s="164">
        <v>0.16778359988650673</v>
      </c>
      <c r="Y9" s="164">
        <v>0.16534762136654291</v>
      </c>
      <c r="Z9" s="164">
        <v>0.16933568679708047</v>
      </c>
      <c r="AB9" s="187">
        <f t="shared" si="12"/>
        <v>1</v>
      </c>
      <c r="AC9" s="187">
        <f t="shared" si="13"/>
        <v>0.98548142654221516</v>
      </c>
      <c r="AD9" s="187">
        <f t="shared" si="14"/>
        <v>1.0092505281304227</v>
      </c>
      <c r="AG9" s="164" t="s">
        <v>87</v>
      </c>
      <c r="AH9" s="164" t="s">
        <v>430</v>
      </c>
      <c r="AI9" s="164">
        <v>2023</v>
      </c>
      <c r="AJ9" s="164" t="str">
        <f t="shared" ref="AJ9:AL9" si="16">A14</f>
        <v>Road</v>
      </c>
      <c r="AK9" s="164" t="str">
        <f t="shared" si="16"/>
        <v>Container</v>
      </c>
      <c r="AL9" s="164" t="str">
        <f t="shared" si="16"/>
        <v>Battery</v>
      </c>
      <c r="AM9" s="188">
        <f t="shared" si="1"/>
        <v>1</v>
      </c>
    </row>
    <row r="10" spans="1:39" x14ac:dyDescent="0.25">
      <c r="A10" s="164" t="s">
        <v>221</v>
      </c>
      <c r="B10" s="164" t="s">
        <v>223</v>
      </c>
      <c r="C10" s="164" t="s">
        <v>11</v>
      </c>
      <c r="D10" s="164">
        <f>FIGURES!AS17</f>
        <v>9.2483578780588382E-2</v>
      </c>
      <c r="E10" s="164">
        <v>9.2483578780588382E-2</v>
      </c>
      <c r="F10" s="164">
        <v>9.2483578780588382E-2</v>
      </c>
      <c r="G10" s="164">
        <v>9.2483578780588382E-2</v>
      </c>
      <c r="I10" s="187">
        <f t="shared" si="6"/>
        <v>1</v>
      </c>
      <c r="J10" s="187">
        <f t="shared" si="7"/>
        <v>1</v>
      </c>
      <c r="K10" s="187">
        <f t="shared" si="8"/>
        <v>1</v>
      </c>
      <c r="M10" s="164">
        <f>FIGURES!CV17</f>
        <v>9.2849592488363095E-2</v>
      </c>
      <c r="N10" s="164">
        <v>9.2849592488363095E-2</v>
      </c>
      <c r="O10" s="164">
        <v>9.2849592488363095E-2</v>
      </c>
      <c r="P10" s="164">
        <v>9.2849592488363095E-2</v>
      </c>
      <c r="R10" s="187">
        <f t="shared" si="9"/>
        <v>1</v>
      </c>
      <c r="S10" s="187">
        <f t="shared" si="10"/>
        <v>1</v>
      </c>
      <c r="T10" s="187">
        <f t="shared" si="11"/>
        <v>1</v>
      </c>
      <c r="W10" s="164">
        <f>FIGURES!EY17</f>
        <v>0.10011454810323749</v>
      </c>
      <c r="X10" s="164">
        <v>0.10011454810323749</v>
      </c>
      <c r="Y10" s="164">
        <v>0.10011454810323749</v>
      </c>
      <c r="Z10" s="164">
        <v>0.10011454810323749</v>
      </c>
      <c r="AB10" s="187">
        <f t="shared" si="12"/>
        <v>1</v>
      </c>
      <c r="AC10" s="187">
        <f t="shared" si="13"/>
        <v>1</v>
      </c>
      <c r="AD10" s="187">
        <f t="shared" si="14"/>
        <v>1</v>
      </c>
      <c r="AG10" s="164" t="s">
        <v>103</v>
      </c>
      <c r="AH10" s="164" t="s">
        <v>430</v>
      </c>
      <c r="AI10" s="164">
        <v>2023</v>
      </c>
      <c r="AJ10" s="164" t="str">
        <f t="shared" ref="AJ10:AL10" si="17">A15</f>
        <v>Road</v>
      </c>
      <c r="AK10" s="164" t="str">
        <f t="shared" si="17"/>
        <v>Container</v>
      </c>
      <c r="AL10" s="164" t="str">
        <f t="shared" si="17"/>
        <v>Hydrogen</v>
      </c>
      <c r="AM10" s="188">
        <f t="shared" si="1"/>
        <v>1</v>
      </c>
    </row>
    <row r="11" spans="1:39" x14ac:dyDescent="0.25">
      <c r="A11" s="164" t="s">
        <v>221</v>
      </c>
      <c r="B11" s="164" t="s">
        <v>223</v>
      </c>
      <c r="C11" s="164" t="s">
        <v>87</v>
      </c>
      <c r="D11" s="164">
        <f>FIGURES!AT17</f>
        <v>0.10945358734318615</v>
      </c>
      <c r="E11" s="164">
        <v>0.10536174745254701</v>
      </c>
      <c r="F11" s="164">
        <v>0.10308948125357265</v>
      </c>
      <c r="G11" s="164">
        <v>0.10945358734318615</v>
      </c>
      <c r="I11" s="187">
        <f t="shared" si="6"/>
        <v>1</v>
      </c>
      <c r="J11" s="187">
        <f t="shared" si="7"/>
        <v>0.97843367015151539</v>
      </c>
      <c r="K11" s="187">
        <f t="shared" si="8"/>
        <v>1.0388361050340593</v>
      </c>
      <c r="M11" s="164">
        <f>FIGURES!CW17</f>
        <v>8.7359178326391104E-2</v>
      </c>
      <c r="N11" s="164">
        <v>8.4986781143887816E-2</v>
      </c>
      <c r="O11" s="164">
        <v>8.3820315731087475E-2</v>
      </c>
      <c r="P11" s="164">
        <v>8.7359178326391104E-2</v>
      </c>
      <c r="R11" s="187">
        <f t="shared" si="9"/>
        <v>1</v>
      </c>
      <c r="S11" s="187">
        <f t="shared" si="10"/>
        <v>0.98627474300002671</v>
      </c>
      <c r="T11" s="187">
        <f t="shared" si="11"/>
        <v>1.0279148963000102</v>
      </c>
      <c r="W11" s="164">
        <f>FIGURES!EZ17</f>
        <v>7.8352448159788146E-2</v>
      </c>
      <c r="X11" s="164">
        <v>7.7286809090952618E-2</v>
      </c>
      <c r="Y11" s="164">
        <v>7.701514537467502E-2</v>
      </c>
      <c r="Z11" s="164">
        <v>7.8352448159788146E-2</v>
      </c>
      <c r="AB11" s="187">
        <f t="shared" si="12"/>
        <v>1</v>
      </c>
      <c r="AC11" s="187">
        <f t="shared" si="13"/>
        <v>0.99648499246542965</v>
      </c>
      <c r="AD11" s="187">
        <f t="shared" si="14"/>
        <v>1.0137881105633624</v>
      </c>
      <c r="AG11" s="164" t="s">
        <v>433</v>
      </c>
      <c r="AH11" s="164" t="s">
        <v>430</v>
      </c>
      <c r="AI11" s="164">
        <v>2023</v>
      </c>
      <c r="AJ11" s="164" t="str">
        <f t="shared" ref="AJ11:AL11" si="18">A16</f>
        <v>Road</v>
      </c>
      <c r="AK11" s="164" t="str">
        <f t="shared" si="18"/>
        <v>Break bulk</v>
      </c>
      <c r="AL11" s="164" t="str">
        <f t="shared" si="18"/>
        <v>Diesel</v>
      </c>
      <c r="AM11" s="188">
        <f t="shared" si="1"/>
        <v>1</v>
      </c>
    </row>
    <row r="12" spans="1:39" x14ac:dyDescent="0.25">
      <c r="A12" s="164" t="s">
        <v>221</v>
      </c>
      <c r="B12" s="164" t="s">
        <v>223</v>
      </c>
      <c r="C12" s="164" t="s">
        <v>103</v>
      </c>
      <c r="D12" s="164">
        <f>FIGURES!AU17</f>
        <v>0.13975407510140722</v>
      </c>
      <c r="E12" s="164">
        <v>0.13261501856781874</v>
      </c>
      <c r="F12" s="164">
        <v>0.12102557346804253</v>
      </c>
      <c r="G12" s="164">
        <v>0.13975407510140722</v>
      </c>
      <c r="I12" s="187">
        <f t="shared" si="6"/>
        <v>1</v>
      </c>
      <c r="J12" s="187">
        <f t="shared" si="7"/>
        <v>0.91260835141496877</v>
      </c>
      <c r="K12" s="187">
        <f t="shared" si="8"/>
        <v>1.053832941477421</v>
      </c>
      <c r="M12" s="164">
        <f>FIGURES!CX17</f>
        <v>0.10560935594682873</v>
      </c>
      <c r="N12" s="164">
        <v>0.10173644701031745</v>
      </c>
      <c r="O12" s="164">
        <v>9.548509490414632E-2</v>
      </c>
      <c r="P12" s="164">
        <v>0.10560935594682873</v>
      </c>
      <c r="R12" s="187">
        <f t="shared" si="9"/>
        <v>1</v>
      </c>
      <c r="S12" s="187">
        <f t="shared" si="10"/>
        <v>0.93855346545041862</v>
      </c>
      <c r="T12" s="187">
        <f t="shared" si="11"/>
        <v>1.0380680577150341</v>
      </c>
      <c r="W12" s="164">
        <f>FIGURES!FA17</f>
        <v>8.5255520725185358E-2</v>
      </c>
      <c r="X12" s="164">
        <v>8.3895245081484993E-2</v>
      </c>
      <c r="Y12" s="164">
        <v>8.176031164012304E-2</v>
      </c>
      <c r="Z12" s="164">
        <v>8.5255520725185358E-2</v>
      </c>
      <c r="AB12" s="187">
        <f t="shared" si="12"/>
        <v>1</v>
      </c>
      <c r="AC12" s="187">
        <f t="shared" si="13"/>
        <v>0.97455239043299347</v>
      </c>
      <c r="AD12" s="187">
        <f t="shared" si="14"/>
        <v>1.0162139778288886</v>
      </c>
      <c r="AG12" s="164" t="s">
        <v>87</v>
      </c>
      <c r="AH12" s="164" t="s">
        <v>430</v>
      </c>
      <c r="AI12" s="164">
        <v>2023</v>
      </c>
      <c r="AJ12" s="164" t="str">
        <f>A17</f>
        <v>Road</v>
      </c>
      <c r="AK12" s="164" t="str">
        <f>B17</f>
        <v>Break bulk</v>
      </c>
      <c r="AL12" s="164" t="str">
        <f>C17</f>
        <v>Battery</v>
      </c>
      <c r="AM12" s="188">
        <f t="shared" si="1"/>
        <v>1</v>
      </c>
    </row>
    <row r="13" spans="1:39" x14ac:dyDescent="0.25">
      <c r="A13" s="164" t="s">
        <v>221</v>
      </c>
      <c r="B13" s="164" t="s">
        <v>224</v>
      </c>
      <c r="C13" s="164" t="s">
        <v>11</v>
      </c>
      <c r="D13" s="164">
        <f>FIGURES!AV17</f>
        <v>9.729803398974507E-2</v>
      </c>
      <c r="E13" s="164">
        <v>9.729803398974507E-2</v>
      </c>
      <c r="F13" s="164">
        <v>9.729803398974507E-2</v>
      </c>
      <c r="G13" s="164">
        <v>9.729803398974507E-2</v>
      </c>
      <c r="I13" s="187">
        <f t="shared" si="6"/>
        <v>1</v>
      </c>
      <c r="J13" s="187">
        <f t="shared" si="7"/>
        <v>1</v>
      </c>
      <c r="K13" s="187">
        <f t="shared" si="8"/>
        <v>1</v>
      </c>
      <c r="M13" s="164">
        <f>FIGURES!CY17</f>
        <v>9.771680152446198E-2</v>
      </c>
      <c r="N13" s="164">
        <v>9.771680152446198E-2</v>
      </c>
      <c r="O13" s="164">
        <v>9.771680152446198E-2</v>
      </c>
      <c r="P13" s="164">
        <v>9.771680152446198E-2</v>
      </c>
      <c r="R13" s="187">
        <f t="shared" si="9"/>
        <v>1</v>
      </c>
      <c r="S13" s="187">
        <f t="shared" si="10"/>
        <v>1</v>
      </c>
      <c r="T13" s="187">
        <f t="shared" si="11"/>
        <v>1</v>
      </c>
      <c r="W13" s="164">
        <f>FIGURES!FB17</f>
        <v>0.10534583480784264</v>
      </c>
      <c r="X13" s="164">
        <v>0.10534583480784264</v>
      </c>
      <c r="Y13" s="164">
        <v>0.10534583480784264</v>
      </c>
      <c r="Z13" s="164">
        <v>0.10534583480784264</v>
      </c>
      <c r="AB13" s="187">
        <f t="shared" si="12"/>
        <v>1</v>
      </c>
      <c r="AC13" s="187">
        <f t="shared" si="13"/>
        <v>1</v>
      </c>
      <c r="AD13" s="187">
        <f t="shared" si="14"/>
        <v>1</v>
      </c>
      <c r="AG13" s="164" t="s">
        <v>103</v>
      </c>
      <c r="AH13" s="164" t="s">
        <v>430</v>
      </c>
      <c r="AI13" s="164">
        <v>2023</v>
      </c>
      <c r="AJ13" s="164" t="str">
        <f t="shared" ref="AJ13:AJ16" si="19">A18</f>
        <v>Road</v>
      </c>
      <c r="AK13" s="164" t="str">
        <f t="shared" ref="AK13:AK16" si="20">B18</f>
        <v>Break bulk</v>
      </c>
      <c r="AL13" s="164" t="str">
        <f t="shared" ref="AL13:AL16" si="21">C18</f>
        <v>Hydrogen</v>
      </c>
      <c r="AM13" s="188">
        <f t="shared" si="1"/>
        <v>1</v>
      </c>
    </row>
    <row r="14" spans="1:39" x14ac:dyDescent="0.25">
      <c r="A14" s="164" t="s">
        <v>221</v>
      </c>
      <c r="B14" s="164" t="s">
        <v>224</v>
      </c>
      <c r="C14" s="164" t="s">
        <v>87</v>
      </c>
      <c r="D14" s="164">
        <f>FIGURES!AW17</f>
        <v>0.11574481056879866</v>
      </c>
      <c r="E14" s="164">
        <v>0.1114867949299608</v>
      </c>
      <c r="F14" s="164">
        <v>0.10912224859642275</v>
      </c>
      <c r="G14" s="164">
        <v>0.11574481056879866</v>
      </c>
      <c r="I14" s="187">
        <f t="shared" si="6"/>
        <v>1</v>
      </c>
      <c r="J14" s="187">
        <f t="shared" si="7"/>
        <v>0.97879079459568707</v>
      </c>
      <c r="K14" s="187">
        <f t="shared" si="8"/>
        <v>1.0381930043061411</v>
      </c>
      <c r="M14" s="164">
        <f>FIGURES!CZ17</f>
        <v>9.198070487243501E-2</v>
      </c>
      <c r="N14" s="164">
        <v>8.9510459011507434E-2</v>
      </c>
      <c r="O14" s="164">
        <v>8.8295883147425189E-2</v>
      </c>
      <c r="P14" s="164">
        <v>9.198070487243501E-2</v>
      </c>
      <c r="R14" s="187">
        <f t="shared" si="9"/>
        <v>1</v>
      </c>
      <c r="S14" s="187">
        <f t="shared" si="10"/>
        <v>0.98643090564504754</v>
      </c>
      <c r="T14" s="187">
        <f t="shared" si="11"/>
        <v>1.0275972873807966</v>
      </c>
      <c r="W14" s="164">
        <f>FIGURES!FC17</f>
        <v>8.2434277616860396E-2</v>
      </c>
      <c r="X14" s="164">
        <v>8.13238196413619E-2</v>
      </c>
      <c r="Y14" s="164">
        <v>8.1040730226553129E-2</v>
      </c>
      <c r="Z14" s="164">
        <v>8.2434277616860396E-2</v>
      </c>
      <c r="AB14" s="187">
        <f t="shared" si="12"/>
        <v>1</v>
      </c>
      <c r="AC14" s="187">
        <f t="shared" si="13"/>
        <v>0.99651898526093341</v>
      </c>
      <c r="AD14" s="187">
        <f t="shared" si="14"/>
        <v>1.0136547690503916</v>
      </c>
      <c r="AG14" s="164" t="s">
        <v>433</v>
      </c>
      <c r="AH14" s="164" t="s">
        <v>430</v>
      </c>
      <c r="AI14" s="164">
        <v>2023</v>
      </c>
      <c r="AJ14" s="164" t="str">
        <f t="shared" si="19"/>
        <v>Road</v>
      </c>
      <c r="AK14" s="164" t="str">
        <f t="shared" si="20"/>
        <v>Neo bulk</v>
      </c>
      <c r="AL14" s="164" t="str">
        <f t="shared" si="21"/>
        <v>Diesel</v>
      </c>
      <c r="AM14" s="188">
        <f t="shared" si="1"/>
        <v>1</v>
      </c>
    </row>
    <row r="15" spans="1:39" x14ac:dyDescent="0.25">
      <c r="A15" s="164" t="s">
        <v>221</v>
      </c>
      <c r="B15" s="164" t="s">
        <v>224</v>
      </c>
      <c r="C15" s="164" t="s">
        <v>103</v>
      </c>
      <c r="D15" s="164">
        <f>FIGURES!AX17</f>
        <v>0.14773805189213415</v>
      </c>
      <c r="E15" s="164">
        <v>0.14029863468267892</v>
      </c>
      <c r="F15" s="164">
        <v>0.12822158823856381</v>
      </c>
      <c r="G15" s="164">
        <v>0.14773805189213415</v>
      </c>
      <c r="I15" s="187">
        <f t="shared" si="6"/>
        <v>1</v>
      </c>
      <c r="J15" s="187">
        <f t="shared" si="7"/>
        <v>0.9139190023379028</v>
      </c>
      <c r="K15" s="187">
        <f t="shared" si="8"/>
        <v>1.0530255852188539</v>
      </c>
      <c r="M15" s="164">
        <f>FIGURES!DA17</f>
        <v>0.11134942784596601</v>
      </c>
      <c r="N15" s="164">
        <v>0.10731215173900056</v>
      </c>
      <c r="O15" s="164">
        <v>0.10079549077221628</v>
      </c>
      <c r="P15" s="164">
        <v>0.11134942784596601</v>
      </c>
      <c r="R15" s="187">
        <f t="shared" si="9"/>
        <v>1</v>
      </c>
      <c r="S15" s="187">
        <f t="shared" si="10"/>
        <v>0.9392737834328978</v>
      </c>
      <c r="T15" s="187">
        <f t="shared" si="11"/>
        <v>1.0376217981052576</v>
      </c>
      <c r="W15" s="164">
        <f>FIGURES!FD17</f>
        <v>8.9822342279627529E-2</v>
      </c>
      <c r="X15" s="164">
        <v>8.8403689293835255E-2</v>
      </c>
      <c r="Y15" s="164">
        <v>8.6177133437246672E-2</v>
      </c>
      <c r="Z15" s="164">
        <v>8.9822342279627529E-2</v>
      </c>
      <c r="AB15" s="187">
        <f t="shared" si="12"/>
        <v>1</v>
      </c>
      <c r="AC15" s="187">
        <f t="shared" si="13"/>
        <v>0.97481376767899386</v>
      </c>
      <c r="AD15" s="187">
        <f t="shared" si="14"/>
        <v>1.0160474409736111</v>
      </c>
      <c r="AG15" s="164" t="s">
        <v>87</v>
      </c>
      <c r="AH15" s="164" t="s">
        <v>430</v>
      </c>
      <c r="AI15" s="164">
        <v>2023</v>
      </c>
      <c r="AJ15" s="164" t="str">
        <f t="shared" si="19"/>
        <v>Road</v>
      </c>
      <c r="AK15" s="164" t="str">
        <f t="shared" si="20"/>
        <v>Neo bulk</v>
      </c>
      <c r="AL15" s="164" t="str">
        <f t="shared" si="21"/>
        <v>Battery</v>
      </c>
      <c r="AM15" s="188">
        <f t="shared" si="1"/>
        <v>1</v>
      </c>
    </row>
    <row r="16" spans="1:39" x14ac:dyDescent="0.25">
      <c r="A16" s="164" t="s">
        <v>221</v>
      </c>
      <c r="B16" s="164" t="s">
        <v>225</v>
      </c>
      <c r="C16" s="164" t="s">
        <v>11</v>
      </c>
      <c r="D16" s="164">
        <f>FIGURES!AY17</f>
        <v>0.12128184701886342</v>
      </c>
      <c r="E16" s="164">
        <v>0.12128184701886342</v>
      </c>
      <c r="F16" s="164">
        <v>0.12128184701886342</v>
      </c>
      <c r="G16" s="164">
        <v>0.12128184701886342</v>
      </c>
      <c r="I16" s="187">
        <f t="shared" si="6"/>
        <v>1</v>
      </c>
      <c r="J16" s="187">
        <f t="shared" si="7"/>
        <v>1</v>
      </c>
      <c r="K16" s="187">
        <f t="shared" si="8"/>
        <v>1</v>
      </c>
      <c r="M16" s="164">
        <f>FIGURES!DB17</f>
        <v>0.12198116675049578</v>
      </c>
      <c r="N16" s="164">
        <v>0.12198116675049578</v>
      </c>
      <c r="O16" s="164">
        <v>0.12198116675049578</v>
      </c>
      <c r="P16" s="164">
        <v>0.12198116675049578</v>
      </c>
      <c r="R16" s="187">
        <f t="shared" si="9"/>
        <v>1</v>
      </c>
      <c r="S16" s="187">
        <f t="shared" si="10"/>
        <v>1</v>
      </c>
      <c r="T16" s="187">
        <f t="shared" si="11"/>
        <v>1</v>
      </c>
      <c r="W16" s="164">
        <f>FIGURES!FE17</f>
        <v>0.12997733797807764</v>
      </c>
      <c r="X16" s="164">
        <v>0.12997733797807764</v>
      </c>
      <c r="Y16" s="164">
        <v>0.12997733797807764</v>
      </c>
      <c r="Z16" s="164">
        <v>0.12997733797807764</v>
      </c>
      <c r="AB16" s="187">
        <f t="shared" si="12"/>
        <v>1</v>
      </c>
      <c r="AC16" s="187">
        <f t="shared" si="13"/>
        <v>1</v>
      </c>
      <c r="AD16" s="187">
        <f t="shared" si="14"/>
        <v>1</v>
      </c>
      <c r="AG16" s="164" t="s">
        <v>103</v>
      </c>
      <c r="AH16" s="164" t="s">
        <v>430</v>
      </c>
      <c r="AI16" s="164">
        <v>2023</v>
      </c>
      <c r="AJ16" s="164" t="str">
        <f t="shared" si="19"/>
        <v>Road</v>
      </c>
      <c r="AK16" s="164" t="str">
        <f t="shared" si="20"/>
        <v>Neo bulk</v>
      </c>
      <c r="AL16" s="164" t="str">
        <f t="shared" si="21"/>
        <v>Hydrogen</v>
      </c>
      <c r="AM16" s="188">
        <f t="shared" si="1"/>
        <v>1</v>
      </c>
    </row>
    <row r="17" spans="1:39" x14ac:dyDescent="0.25">
      <c r="A17" s="164" t="s">
        <v>221</v>
      </c>
      <c r="B17" s="164" t="s">
        <v>225</v>
      </c>
      <c r="C17" s="164" t="s">
        <v>87</v>
      </c>
      <c r="D17" s="164">
        <f>FIGURES!AZ17</f>
        <v>0.1494301224340594</v>
      </c>
      <c r="E17" s="164">
        <v>0.14517210679522158</v>
      </c>
      <c r="F17" s="164">
        <v>0.14280756046168352</v>
      </c>
      <c r="G17" s="164">
        <v>0.1494301224340594</v>
      </c>
      <c r="I17" s="187">
        <f t="shared" si="6"/>
        <v>1</v>
      </c>
      <c r="J17" s="187">
        <f t="shared" si="7"/>
        <v>0.98371211670246361</v>
      </c>
      <c r="K17" s="187">
        <f t="shared" si="8"/>
        <v>1.0293308110823529</v>
      </c>
      <c r="M17" s="164">
        <f>FIGURES!DC17</f>
        <v>0.11897077716953737</v>
      </c>
      <c r="N17" s="164">
        <v>0.11650053130860979</v>
      </c>
      <c r="O17" s="164">
        <v>0.11528595544452755</v>
      </c>
      <c r="P17" s="164">
        <v>0.11897077716953737</v>
      </c>
      <c r="R17" s="187">
        <f t="shared" si="9"/>
        <v>1</v>
      </c>
      <c r="S17" s="187">
        <f t="shared" si="10"/>
        <v>0.98957450364870148</v>
      </c>
      <c r="T17" s="187">
        <f t="shared" si="11"/>
        <v>1.0212037304309274</v>
      </c>
      <c r="W17" s="164">
        <f>FIGURES!FF17</f>
        <v>0.10717134855549974</v>
      </c>
      <c r="X17" s="164">
        <v>0.10606089058000125</v>
      </c>
      <c r="Y17" s="164">
        <v>0.10577780116519249</v>
      </c>
      <c r="Z17" s="164">
        <v>0.10717134855549974</v>
      </c>
      <c r="AB17" s="187">
        <f t="shared" si="12"/>
        <v>1</v>
      </c>
      <c r="AC17" s="187">
        <f t="shared" si="13"/>
        <v>0.99733087839201928</v>
      </c>
      <c r="AD17" s="187">
        <f t="shared" si="14"/>
        <v>1.0104700042534611</v>
      </c>
      <c r="AG17" s="164" t="s">
        <v>433</v>
      </c>
      <c r="AH17" s="164" t="s">
        <v>431</v>
      </c>
      <c r="AI17" s="164">
        <v>2023</v>
      </c>
      <c r="AJ17" s="164" t="str">
        <f>A7</f>
        <v>Road</v>
      </c>
      <c r="AK17" s="164" t="str">
        <f>B7</f>
        <v>Dry bulk</v>
      </c>
      <c r="AL17" s="164" t="str">
        <f>C7</f>
        <v>Diesel</v>
      </c>
      <c r="AM17" s="188">
        <f>J7</f>
        <v>1</v>
      </c>
    </row>
    <row r="18" spans="1:39" x14ac:dyDescent="0.25">
      <c r="A18" s="164" t="s">
        <v>221</v>
      </c>
      <c r="B18" s="164" t="s">
        <v>225</v>
      </c>
      <c r="C18" s="164" t="s">
        <v>103</v>
      </c>
      <c r="D18" s="164">
        <f>FIGURES!BA17</f>
        <v>0.18250100408731876</v>
      </c>
      <c r="E18" s="164">
        <v>0.17506158687786352</v>
      </c>
      <c r="F18" s="164">
        <v>0.16298454043374838</v>
      </c>
      <c r="G18" s="164">
        <v>0.18250100408731876</v>
      </c>
      <c r="I18" s="187">
        <f t="shared" si="6"/>
        <v>1</v>
      </c>
      <c r="J18" s="187">
        <f t="shared" si="7"/>
        <v>0.93101258443098078</v>
      </c>
      <c r="K18" s="187">
        <f t="shared" si="8"/>
        <v>1.0424960000770789</v>
      </c>
      <c r="M18" s="164">
        <f>FIGURES!DD17</f>
        <v>0.13945522266947516</v>
      </c>
      <c r="N18" s="164">
        <v>0.13541794656250969</v>
      </c>
      <c r="O18" s="164">
        <v>0.12890128559572542</v>
      </c>
      <c r="P18" s="164">
        <v>0.13945522266947516</v>
      </c>
      <c r="R18" s="187">
        <f t="shared" si="9"/>
        <v>1</v>
      </c>
      <c r="S18" s="187">
        <f t="shared" si="10"/>
        <v>0.95187742000078146</v>
      </c>
      <c r="T18" s="187">
        <f t="shared" si="11"/>
        <v>1.029813449468471</v>
      </c>
      <c r="W18" s="164">
        <f>FIGURES!FG17</f>
        <v>0.11499184516318911</v>
      </c>
      <c r="X18" s="164">
        <v>0.11357319217739684</v>
      </c>
      <c r="Y18" s="164">
        <v>0.11134663632080823</v>
      </c>
      <c r="Z18" s="164">
        <v>0.11499184516318911</v>
      </c>
      <c r="AB18" s="187">
        <f t="shared" si="12"/>
        <v>1</v>
      </c>
      <c r="AC18" s="187">
        <f t="shared" si="13"/>
        <v>0.9803954100972101</v>
      </c>
      <c r="AD18" s="187">
        <f t="shared" si="14"/>
        <v>1.012491090182412</v>
      </c>
      <c r="AG18" s="164" t="s">
        <v>87</v>
      </c>
      <c r="AH18" s="164" t="s">
        <v>431</v>
      </c>
      <c r="AI18" s="164">
        <v>2023</v>
      </c>
      <c r="AJ18" s="164" t="str">
        <f t="shared" ref="AJ18:AL18" si="22">A8</f>
        <v>Road</v>
      </c>
      <c r="AK18" s="164" t="str">
        <f t="shared" si="22"/>
        <v>Dry bulk</v>
      </c>
      <c r="AL18" s="164" t="str">
        <f t="shared" si="22"/>
        <v>Battery</v>
      </c>
      <c r="AM18" s="188">
        <f t="shared" ref="AM18:AM31" si="23">J8</f>
        <v>0.98810018350281181</v>
      </c>
    </row>
    <row r="19" spans="1:39" x14ac:dyDescent="0.25">
      <c r="A19" s="164" t="s">
        <v>221</v>
      </c>
      <c r="B19" s="164" t="s">
        <v>226</v>
      </c>
      <c r="C19" s="164" t="s">
        <v>11</v>
      </c>
      <c r="D19" s="164">
        <f>FIGURES!BB17</f>
        <v>0.10247019495142487</v>
      </c>
      <c r="E19" s="164">
        <v>0.10247019495142487</v>
      </c>
      <c r="F19" s="164">
        <v>0.10247019495142487</v>
      </c>
      <c r="G19" s="164">
        <v>0.10247019495142487</v>
      </c>
      <c r="I19" s="187">
        <f t="shared" si="6"/>
        <v>1</v>
      </c>
      <c r="J19" s="187">
        <f t="shared" si="7"/>
        <v>1</v>
      </c>
      <c r="K19" s="187">
        <f t="shared" si="8"/>
        <v>1</v>
      </c>
      <c r="M19" s="164">
        <f>FIGURES!DE17</f>
        <v>0.10265632358212673</v>
      </c>
      <c r="N19" s="164">
        <v>0.10265632358212673</v>
      </c>
      <c r="O19" s="164">
        <v>0.10265632358212673</v>
      </c>
      <c r="P19" s="164">
        <v>0.10265632358212673</v>
      </c>
      <c r="R19" s="187">
        <f t="shared" si="9"/>
        <v>1</v>
      </c>
      <c r="S19" s="187">
        <f t="shared" si="10"/>
        <v>1</v>
      </c>
      <c r="T19" s="187">
        <f t="shared" si="11"/>
        <v>1</v>
      </c>
      <c r="W19" s="164">
        <f>FIGURES!FH17</f>
        <v>0.10724292389863135</v>
      </c>
      <c r="X19" s="164">
        <v>0.10724292389863135</v>
      </c>
      <c r="Y19" s="164">
        <v>0.10724292389863135</v>
      </c>
      <c r="Z19" s="164">
        <v>0.10724292389863135</v>
      </c>
      <c r="AB19" s="187">
        <f t="shared" si="12"/>
        <v>1</v>
      </c>
      <c r="AC19" s="187">
        <f t="shared" si="13"/>
        <v>1</v>
      </c>
      <c r="AD19" s="187">
        <f t="shared" si="14"/>
        <v>1</v>
      </c>
      <c r="AG19" s="164" t="s">
        <v>103</v>
      </c>
      <c r="AH19" s="164" t="s">
        <v>431</v>
      </c>
      <c r="AI19" s="164">
        <v>2023</v>
      </c>
      <c r="AJ19" s="164" t="str">
        <f t="shared" ref="AJ19:AL19" si="24">A9</f>
        <v>Road</v>
      </c>
      <c r="AK19" s="164" t="str">
        <f t="shared" si="24"/>
        <v>Dry bulk</v>
      </c>
      <c r="AL19" s="164" t="str">
        <f t="shared" si="24"/>
        <v>Hydrogen</v>
      </c>
      <c r="AM19" s="188">
        <f t="shared" si="23"/>
        <v>0.94758515180007008</v>
      </c>
    </row>
    <row r="20" spans="1:39" x14ac:dyDescent="0.25">
      <c r="A20" s="164" t="s">
        <v>221</v>
      </c>
      <c r="B20" s="164" t="s">
        <v>226</v>
      </c>
      <c r="C20" s="164" t="s">
        <v>87</v>
      </c>
      <c r="D20" s="164">
        <f>FIGURES!BC17</f>
        <v>0.12671830500569514</v>
      </c>
      <c r="E20" s="164">
        <v>0.12262646511505598</v>
      </c>
      <c r="F20" s="164">
        <v>0.1203541989160816</v>
      </c>
      <c r="G20" s="164">
        <v>0.12671830500569514</v>
      </c>
      <c r="I20" s="187">
        <f t="shared" si="6"/>
        <v>1</v>
      </c>
      <c r="J20" s="187">
        <f t="shared" si="7"/>
        <v>0.98147001793746236</v>
      </c>
      <c r="K20" s="187">
        <f t="shared" si="8"/>
        <v>1.0333683262157147</v>
      </c>
      <c r="M20" s="164">
        <f>FIGURES!DF17</f>
        <v>0.10072291268986294</v>
      </c>
      <c r="N20" s="164">
        <v>9.835051550735964E-2</v>
      </c>
      <c r="O20" s="164">
        <v>9.7184050094559327E-2</v>
      </c>
      <c r="P20" s="164">
        <v>0.10072291268986294</v>
      </c>
      <c r="R20" s="187">
        <f t="shared" si="9"/>
        <v>1</v>
      </c>
      <c r="S20" s="187">
        <f t="shared" si="10"/>
        <v>0.98813971226502595</v>
      </c>
      <c r="T20" s="187">
        <f t="shared" si="11"/>
        <v>1.024121858134295</v>
      </c>
      <c r="W20" s="164">
        <f>FIGURES!FI17</f>
        <v>9.0442606989026342E-2</v>
      </c>
      <c r="X20" s="164">
        <v>8.9376967920190786E-2</v>
      </c>
      <c r="Y20" s="164">
        <v>8.9105304203913216E-2</v>
      </c>
      <c r="Z20" s="164">
        <v>9.0442606989026342E-2</v>
      </c>
      <c r="AB20" s="187">
        <f t="shared" si="12"/>
        <v>1</v>
      </c>
      <c r="AC20" s="187">
        <f t="shared" si="13"/>
        <v>0.99696047289811673</v>
      </c>
      <c r="AD20" s="187">
        <f t="shared" si="14"/>
        <v>1.0119229718084319</v>
      </c>
      <c r="AG20" s="164" t="s">
        <v>433</v>
      </c>
      <c r="AH20" s="164" t="s">
        <v>431</v>
      </c>
      <c r="AI20" s="164">
        <v>2023</v>
      </c>
      <c r="AJ20" s="164" t="str">
        <f t="shared" ref="AJ20:AL20" si="25">A10</f>
        <v>Road</v>
      </c>
      <c r="AK20" s="164" t="str">
        <f t="shared" si="25"/>
        <v>Liquid bulk</v>
      </c>
      <c r="AL20" s="164" t="str">
        <f t="shared" si="25"/>
        <v>Diesel</v>
      </c>
      <c r="AM20" s="188">
        <f t="shared" si="23"/>
        <v>1</v>
      </c>
    </row>
    <row r="21" spans="1:39" x14ac:dyDescent="0.25">
      <c r="A21" s="164" t="s">
        <v>221</v>
      </c>
      <c r="B21" s="164" t="s">
        <v>226</v>
      </c>
      <c r="C21" s="164" t="s">
        <v>103</v>
      </c>
      <c r="D21" s="164">
        <f>FIGURES!BD17</f>
        <v>0.15774090818787748</v>
      </c>
      <c r="E21" s="164">
        <v>0.15060185165428899</v>
      </c>
      <c r="F21" s="164">
        <v>0.1390124065545128</v>
      </c>
      <c r="G21" s="164">
        <v>0.15774090818787748</v>
      </c>
      <c r="I21" s="187">
        <f t="shared" si="6"/>
        <v>1</v>
      </c>
      <c r="J21" s="187">
        <f t="shared" si="7"/>
        <v>0.92304579942097853</v>
      </c>
      <c r="K21" s="187">
        <f t="shared" si="8"/>
        <v>1.0474035110137716</v>
      </c>
      <c r="M21" s="164">
        <f>FIGURES!DG17</f>
        <v>0.11970355148787055</v>
      </c>
      <c r="N21" s="164">
        <v>0.11583064255135926</v>
      </c>
      <c r="O21" s="164">
        <v>0.10957929044518815</v>
      </c>
      <c r="P21" s="164">
        <v>0.11970355148787055</v>
      </c>
      <c r="R21" s="187">
        <f t="shared" si="9"/>
        <v>1</v>
      </c>
      <c r="S21" s="187">
        <f t="shared" si="10"/>
        <v>0.94603023890332583</v>
      </c>
      <c r="T21" s="187">
        <f t="shared" si="11"/>
        <v>1.0334359617731901</v>
      </c>
      <c r="W21" s="164">
        <f>FIGURES!FJ17</f>
        <v>9.7652353398197764E-2</v>
      </c>
      <c r="X21" s="164">
        <v>9.6292077754497399E-2</v>
      </c>
      <c r="Y21" s="164">
        <v>9.4157144313135446E-2</v>
      </c>
      <c r="Z21" s="164">
        <v>9.7652353398197764E-2</v>
      </c>
      <c r="AB21" s="187">
        <f t="shared" si="12"/>
        <v>1</v>
      </c>
      <c r="AC21" s="187">
        <f t="shared" si="13"/>
        <v>0.97782856605498636</v>
      </c>
      <c r="AD21" s="187">
        <f t="shared" si="14"/>
        <v>1.0141265582322201</v>
      </c>
      <c r="AG21" s="164" t="s">
        <v>87</v>
      </c>
      <c r="AH21" s="164" t="s">
        <v>431</v>
      </c>
      <c r="AI21" s="164">
        <v>2023</v>
      </c>
      <c r="AJ21" s="164" t="str">
        <f t="shared" ref="AJ21:AL21" si="26">A11</f>
        <v>Road</v>
      </c>
      <c r="AK21" s="164" t="str">
        <f t="shared" si="26"/>
        <v>Liquid bulk</v>
      </c>
      <c r="AL21" s="164" t="str">
        <f t="shared" si="26"/>
        <v>Battery</v>
      </c>
      <c r="AM21" s="188">
        <f t="shared" si="23"/>
        <v>0.97843367015151539</v>
      </c>
    </row>
    <row r="22" spans="1:39" x14ac:dyDescent="0.25">
      <c r="R22" s="187"/>
      <c r="S22" s="187"/>
      <c r="T22" s="187"/>
      <c r="AG22" s="164" t="s">
        <v>103</v>
      </c>
      <c r="AH22" s="164" t="s">
        <v>431</v>
      </c>
      <c r="AI22" s="164">
        <v>2023</v>
      </c>
      <c r="AJ22" s="164" t="str">
        <f t="shared" ref="AJ22:AL22" si="27">A12</f>
        <v>Road</v>
      </c>
      <c r="AK22" s="164" t="str">
        <f t="shared" si="27"/>
        <v>Liquid bulk</v>
      </c>
      <c r="AL22" s="164" t="str">
        <f t="shared" si="27"/>
        <v>Hydrogen</v>
      </c>
      <c r="AM22" s="188">
        <f t="shared" si="23"/>
        <v>0.91260835141496877</v>
      </c>
    </row>
    <row r="23" spans="1:39" x14ac:dyDescent="0.25">
      <c r="A23" s="164" t="s">
        <v>227</v>
      </c>
      <c r="I23" s="202" t="s">
        <v>424</v>
      </c>
      <c r="J23" s="202"/>
      <c r="K23" s="202"/>
      <c r="R23" s="202" t="s">
        <v>424</v>
      </c>
      <c r="S23" s="202"/>
      <c r="T23" s="202"/>
      <c r="AB23" s="202" t="s">
        <v>424</v>
      </c>
      <c r="AC23" s="202"/>
      <c r="AD23" s="202"/>
      <c r="AG23" s="164" t="s">
        <v>433</v>
      </c>
      <c r="AH23" s="164" t="s">
        <v>431</v>
      </c>
      <c r="AI23" s="164">
        <v>2023</v>
      </c>
      <c r="AJ23" s="164" t="str">
        <f t="shared" ref="AJ23:AL23" si="28">A13</f>
        <v>Road</v>
      </c>
      <c r="AK23" s="164" t="str">
        <f t="shared" si="28"/>
        <v>Container</v>
      </c>
      <c r="AL23" s="164" t="str">
        <f t="shared" si="28"/>
        <v>Diesel</v>
      </c>
      <c r="AM23" s="188">
        <f t="shared" si="23"/>
        <v>1</v>
      </c>
    </row>
    <row r="24" spans="1:39" x14ac:dyDescent="0.25">
      <c r="D24" s="171" t="s">
        <v>423</v>
      </c>
      <c r="E24" s="164" t="s">
        <v>430</v>
      </c>
      <c r="F24" s="164" t="s">
        <v>431</v>
      </c>
      <c r="G24" s="164" t="s">
        <v>432</v>
      </c>
      <c r="I24" s="164" t="s">
        <v>420</v>
      </c>
      <c r="J24" s="164" t="s">
        <v>335</v>
      </c>
      <c r="K24" s="164" t="s">
        <v>336</v>
      </c>
      <c r="M24" s="171" t="s">
        <v>423</v>
      </c>
      <c r="N24" s="164" t="s">
        <v>430</v>
      </c>
      <c r="O24" s="164" t="s">
        <v>431</v>
      </c>
      <c r="P24" s="164" t="s">
        <v>432</v>
      </c>
      <c r="R24" s="164" t="s">
        <v>430</v>
      </c>
      <c r="S24" s="164" t="s">
        <v>431</v>
      </c>
      <c r="T24" s="164" t="s">
        <v>432</v>
      </c>
      <c r="W24" s="171" t="s">
        <v>423</v>
      </c>
      <c r="X24" s="164" t="s">
        <v>430</v>
      </c>
      <c r="Y24" s="164" t="s">
        <v>431</v>
      </c>
      <c r="Z24" s="164" t="s">
        <v>432</v>
      </c>
      <c r="AB24" s="164" t="s">
        <v>430</v>
      </c>
      <c r="AC24" s="164" t="s">
        <v>431</v>
      </c>
      <c r="AD24" s="164" t="s">
        <v>432</v>
      </c>
      <c r="AG24" s="164" t="s">
        <v>87</v>
      </c>
      <c r="AH24" s="164" t="s">
        <v>431</v>
      </c>
      <c r="AI24" s="164">
        <v>2023</v>
      </c>
      <c r="AJ24" s="164" t="str">
        <f t="shared" ref="AJ24:AL24" si="29">A14</f>
        <v>Road</v>
      </c>
      <c r="AK24" s="164" t="str">
        <f t="shared" si="29"/>
        <v>Container</v>
      </c>
      <c r="AL24" s="164" t="str">
        <f t="shared" si="29"/>
        <v>Battery</v>
      </c>
      <c r="AM24" s="188">
        <f t="shared" si="23"/>
        <v>0.97879079459568707</v>
      </c>
    </row>
    <row r="25" spans="1:39" x14ac:dyDescent="0.25">
      <c r="A25" s="164" t="s">
        <v>227</v>
      </c>
      <c r="B25" s="164" t="s">
        <v>222</v>
      </c>
      <c r="C25" s="164" t="s">
        <v>11</v>
      </c>
      <c r="D25" s="164">
        <f>FIGURES!V17</f>
        <v>1.8360865731558488E-2</v>
      </c>
      <c r="E25" s="164">
        <v>1.8360865731558488E-2</v>
      </c>
      <c r="F25" s="164">
        <v>1.8360865731558488E-2</v>
      </c>
      <c r="G25" s="164">
        <v>1.8360865731558488E-2</v>
      </c>
      <c r="I25" s="187">
        <f>E25/E25</f>
        <v>1</v>
      </c>
      <c r="J25" s="187">
        <f>F25/E25</f>
        <v>1</v>
      </c>
      <c r="K25" s="187">
        <f>G25/E25</f>
        <v>1</v>
      </c>
      <c r="M25" s="164">
        <f>FIGURES!BY17</f>
        <v>1.878460195012872E-2</v>
      </c>
      <c r="N25" s="164">
        <v>1.878460195012872E-2</v>
      </c>
      <c r="O25" s="164">
        <v>1.878460195012872E-2</v>
      </c>
      <c r="P25" s="164">
        <v>1.878460195012872E-2</v>
      </c>
      <c r="R25" s="187">
        <f>N25/N25</f>
        <v>1</v>
      </c>
      <c r="S25" s="187">
        <f>O25/N25</f>
        <v>1</v>
      </c>
      <c r="T25" s="187">
        <f>P25/N25</f>
        <v>1</v>
      </c>
      <c r="W25" s="164">
        <f>FIGURES!EB17</f>
        <v>2.1982231623871498E-2</v>
      </c>
      <c r="X25" s="164">
        <v>2.1982231623871498E-2</v>
      </c>
      <c r="Y25" s="164">
        <v>2.1982231623871498E-2</v>
      </c>
      <c r="Z25" s="164">
        <v>2.1982231623871498E-2</v>
      </c>
      <c r="AB25" s="187">
        <f>X25/X25</f>
        <v>1</v>
      </c>
      <c r="AC25" s="187">
        <f>Y25/X25</f>
        <v>1</v>
      </c>
      <c r="AD25" s="187">
        <f>Z25/X25</f>
        <v>1</v>
      </c>
      <c r="AG25" s="164" t="s">
        <v>103</v>
      </c>
      <c r="AH25" s="164" t="s">
        <v>431</v>
      </c>
      <c r="AI25" s="164">
        <v>2023</v>
      </c>
      <c r="AJ25" s="164" t="str">
        <f t="shared" ref="AJ25:AL25" si="30">A15</f>
        <v>Road</v>
      </c>
      <c r="AK25" s="164" t="str">
        <f t="shared" si="30"/>
        <v>Container</v>
      </c>
      <c r="AL25" s="164" t="str">
        <f t="shared" si="30"/>
        <v>Hydrogen</v>
      </c>
      <c r="AM25" s="188">
        <f t="shared" si="23"/>
        <v>0.9139190023379028</v>
      </c>
    </row>
    <row r="26" spans="1:39" x14ac:dyDescent="0.25">
      <c r="A26" s="164" t="s">
        <v>227</v>
      </c>
      <c r="B26" s="164" t="s">
        <v>222</v>
      </c>
      <c r="C26" s="164" t="s">
        <v>136</v>
      </c>
      <c r="D26" s="164">
        <f>FIGURES!W17</f>
        <v>1.3425445445853938E-2</v>
      </c>
      <c r="E26" s="164">
        <v>1.2526381943933478E-2</v>
      </c>
      <c r="F26" s="164">
        <v>1.2027117148451387E-2</v>
      </c>
      <c r="G26" s="164">
        <v>1.3425445445853938E-2</v>
      </c>
      <c r="I26" s="187">
        <f t="shared" ref="I26:I39" si="31">E26/E26</f>
        <v>1</v>
      </c>
      <c r="J26" s="187">
        <f t="shared" ref="J26:J39" si="32">F26/E26</f>
        <v>0.96014293690574515</v>
      </c>
      <c r="K26" s="187">
        <f t="shared" ref="K26:K39" si="33">G26/E26</f>
        <v>1.0717735979905896</v>
      </c>
      <c r="M26" s="164">
        <f>FIGURES!BZ17</f>
        <v>1.2986311373201933E-2</v>
      </c>
      <c r="N26" s="164">
        <v>1.233970660085903E-2</v>
      </c>
      <c r="O26" s="164">
        <v>1.2021782558353728E-2</v>
      </c>
      <c r="P26" s="164">
        <v>1.2986311373201933E-2</v>
      </c>
      <c r="R26" s="187">
        <f t="shared" ref="R26:R39" si="34">N26/N26</f>
        <v>1</v>
      </c>
      <c r="S26" s="187">
        <f t="shared" ref="S26:S39" si="35">O26/N26</f>
        <v>0.97423568867649013</v>
      </c>
      <c r="T26" s="187">
        <f t="shared" ref="T26:T39" si="36">P26/N26</f>
        <v>1.0524003360256466</v>
      </c>
      <c r="W26" s="164">
        <f>FIGURES!EC17</f>
        <v>1.2373835507405413E-2</v>
      </c>
      <c r="X26" s="164">
        <v>1.2057604832973048E-2</v>
      </c>
      <c r="Y26" s="164">
        <v>1.1976988043733951E-2</v>
      </c>
      <c r="Z26" s="164">
        <v>1.2373835507405413E-2</v>
      </c>
      <c r="AB26" s="187">
        <f t="shared" ref="AB26:AB39" si="37">X26/X26</f>
        <v>1</v>
      </c>
      <c r="AC26" s="187">
        <f t="shared" ref="AC26:AC39" si="38">Y26/X26</f>
        <v>0.9933140295808468</v>
      </c>
      <c r="AD26" s="187">
        <f t="shared" ref="AD26:AD39" si="39">Z26/X26</f>
        <v>1.0262266576830907</v>
      </c>
      <c r="AG26" s="164" t="s">
        <v>433</v>
      </c>
      <c r="AH26" s="164" t="s">
        <v>431</v>
      </c>
      <c r="AI26" s="164">
        <v>2023</v>
      </c>
      <c r="AJ26" s="164" t="str">
        <f t="shared" ref="AJ26:AL26" si="40">A16</f>
        <v>Road</v>
      </c>
      <c r="AK26" s="164" t="str">
        <f t="shared" si="40"/>
        <v>Break bulk</v>
      </c>
      <c r="AL26" s="164" t="str">
        <f t="shared" si="40"/>
        <v>Diesel</v>
      </c>
      <c r="AM26" s="188">
        <f t="shared" si="23"/>
        <v>1</v>
      </c>
    </row>
    <row r="27" spans="1:39" x14ac:dyDescent="0.25">
      <c r="A27" s="164" t="s">
        <v>227</v>
      </c>
      <c r="B27" s="164" t="s">
        <v>222</v>
      </c>
      <c r="C27" s="164" t="s">
        <v>87</v>
      </c>
      <c r="D27" s="164">
        <f>FIGURES!X17</f>
        <v>1.8319967731408395E-2</v>
      </c>
      <c r="E27" s="164">
        <v>1.7342224646357405E-2</v>
      </c>
      <c r="F27" s="164">
        <v>1.6799267780297025E-2</v>
      </c>
      <c r="G27" s="164">
        <v>1.8319967731408395E-2</v>
      </c>
      <c r="I27" s="187">
        <f t="shared" si="31"/>
        <v>1</v>
      </c>
      <c r="J27" s="187">
        <f t="shared" si="32"/>
        <v>0.96869162537492415</v>
      </c>
      <c r="K27" s="187">
        <f t="shared" si="33"/>
        <v>1.0563793345426624</v>
      </c>
      <c r="M27" s="164">
        <f>FIGURES!CA17</f>
        <v>1.630443136417466E-2</v>
      </c>
      <c r="N27" s="164">
        <v>1.5604811585669889E-2</v>
      </c>
      <c r="O27" s="164">
        <v>1.5260821009490005E-2</v>
      </c>
      <c r="P27" s="164">
        <v>1.630443136417466E-2</v>
      </c>
      <c r="R27" s="187">
        <f t="shared" si="34"/>
        <v>1</v>
      </c>
      <c r="S27" s="187">
        <f t="shared" si="35"/>
        <v>0.97795612114305985</v>
      </c>
      <c r="T27" s="187">
        <f t="shared" si="36"/>
        <v>1.0448335934505766</v>
      </c>
      <c r="W27" s="164">
        <f>FIGURES!ED17</f>
        <v>1.36575018337667E-2</v>
      </c>
      <c r="X27" s="164">
        <v>1.3317588120839415E-2</v>
      </c>
      <c r="Y27" s="164">
        <v>1.3230933806852554E-2</v>
      </c>
      <c r="Z27" s="164">
        <v>1.36575018337667E-2</v>
      </c>
      <c r="AB27" s="187">
        <f t="shared" si="37"/>
        <v>1</v>
      </c>
      <c r="AC27" s="187">
        <f t="shared" si="38"/>
        <v>0.99349324268023698</v>
      </c>
      <c r="AD27" s="187">
        <f t="shared" si="39"/>
        <v>1.025523669139113</v>
      </c>
      <c r="AG27" s="164" t="s">
        <v>87</v>
      </c>
      <c r="AH27" s="164" t="s">
        <v>431</v>
      </c>
      <c r="AI27" s="164">
        <v>2023</v>
      </c>
      <c r="AJ27" s="164" t="str">
        <f t="shared" ref="AJ27:AL27" si="41">A17</f>
        <v>Road</v>
      </c>
      <c r="AK27" s="164" t="str">
        <f t="shared" si="41"/>
        <v>Break bulk</v>
      </c>
      <c r="AL27" s="164" t="str">
        <f t="shared" si="41"/>
        <v>Battery</v>
      </c>
      <c r="AM27" s="188">
        <f t="shared" si="23"/>
        <v>0.98371211670246361</v>
      </c>
    </row>
    <row r="28" spans="1:39" x14ac:dyDescent="0.25">
      <c r="A28" s="164" t="s">
        <v>227</v>
      </c>
      <c r="B28" s="164" t="s">
        <v>222</v>
      </c>
      <c r="C28" s="164" t="s">
        <v>103</v>
      </c>
      <c r="D28" s="164">
        <f>FIGURES!Y17</f>
        <v>2.4077933552663213E-2</v>
      </c>
      <c r="E28" s="164">
        <v>2.2557712737461412E-2</v>
      </c>
      <c r="F28" s="164">
        <v>2.0089807406494339E-2</v>
      </c>
      <c r="G28" s="164">
        <v>2.4077933552663213E-2</v>
      </c>
      <c r="I28" s="187">
        <f t="shared" si="31"/>
        <v>1</v>
      </c>
      <c r="J28" s="187">
        <f t="shared" si="32"/>
        <v>0.89059594118916841</v>
      </c>
      <c r="K28" s="187">
        <f t="shared" si="33"/>
        <v>1.0673925070726333</v>
      </c>
      <c r="M28" s="164">
        <f>FIGURES!CB17</f>
        <v>1.9193421283154901E-2</v>
      </c>
      <c r="N28" s="164">
        <v>1.8221286265581772E-2</v>
      </c>
      <c r="O28" s="164">
        <v>1.6652140595179613E-2</v>
      </c>
      <c r="P28" s="164">
        <v>1.9193421283154901E-2</v>
      </c>
      <c r="R28" s="187">
        <f t="shared" si="34"/>
        <v>1</v>
      </c>
      <c r="S28" s="187">
        <f t="shared" si="35"/>
        <v>0.91388392413514075</v>
      </c>
      <c r="T28" s="187">
        <f t="shared" si="36"/>
        <v>1.0533516132398071</v>
      </c>
      <c r="W28" s="164">
        <f>FIGURES!EE17</f>
        <v>1.3131869146125583E-2</v>
      </c>
      <c r="X28" s="164">
        <v>1.2781698340390295E-2</v>
      </c>
      <c r="Y28" s="164">
        <v>1.2232110198593363E-2</v>
      </c>
      <c r="Z28" s="164">
        <v>1.3131869146125583E-2</v>
      </c>
      <c r="AB28" s="187">
        <f t="shared" si="37"/>
        <v>1</v>
      </c>
      <c r="AC28" s="187">
        <f t="shared" si="38"/>
        <v>0.95700194706831498</v>
      </c>
      <c r="AD28" s="187">
        <f t="shared" si="39"/>
        <v>1.0273962658490183</v>
      </c>
      <c r="AG28" s="164" t="s">
        <v>103</v>
      </c>
      <c r="AH28" s="164" t="s">
        <v>431</v>
      </c>
      <c r="AI28" s="164">
        <v>2023</v>
      </c>
      <c r="AJ28" s="164" t="str">
        <f t="shared" ref="AJ28:AL28" si="42">A18</f>
        <v>Road</v>
      </c>
      <c r="AK28" s="164" t="str">
        <f t="shared" si="42"/>
        <v>Break bulk</v>
      </c>
      <c r="AL28" s="164" t="str">
        <f t="shared" si="42"/>
        <v>Hydrogen</v>
      </c>
      <c r="AM28" s="188">
        <f t="shared" si="23"/>
        <v>0.93101258443098078</v>
      </c>
    </row>
    <row r="29" spans="1:39" x14ac:dyDescent="0.25">
      <c r="A29" s="164" t="s">
        <v>227</v>
      </c>
      <c r="B29" s="164" t="s">
        <v>223</v>
      </c>
      <c r="C29" s="164" t="s">
        <v>11</v>
      </c>
      <c r="D29" s="164">
        <f>FIGURES!Z17</f>
        <v>2.7711075574809615E-2</v>
      </c>
      <c r="E29" s="164">
        <v>2.7711075574809615E-2</v>
      </c>
      <c r="F29" s="164">
        <v>2.7711075574809615E-2</v>
      </c>
      <c r="G29" s="164">
        <v>2.7711075574809615E-2</v>
      </c>
      <c r="I29" s="187">
        <f t="shared" si="31"/>
        <v>1</v>
      </c>
      <c r="J29" s="187">
        <f t="shared" si="32"/>
        <v>1</v>
      </c>
      <c r="K29" s="187">
        <f t="shared" si="33"/>
        <v>1</v>
      </c>
      <c r="M29" s="164">
        <f>FIGURES!CC17</f>
        <v>2.8346679902664967E-2</v>
      </c>
      <c r="N29" s="164">
        <v>2.8346679902664967E-2</v>
      </c>
      <c r="O29" s="164">
        <v>2.8346679902664967E-2</v>
      </c>
      <c r="P29" s="164">
        <v>2.8346679902664967E-2</v>
      </c>
      <c r="R29" s="187">
        <f t="shared" si="34"/>
        <v>1</v>
      </c>
      <c r="S29" s="187">
        <f t="shared" si="35"/>
        <v>1</v>
      </c>
      <c r="T29" s="187">
        <f t="shared" si="36"/>
        <v>1</v>
      </c>
      <c r="W29" s="164">
        <f>FIGURES!EF17</f>
        <v>3.3143124413279129E-2</v>
      </c>
      <c r="X29" s="164">
        <v>3.3143124413279129E-2</v>
      </c>
      <c r="Y29" s="164">
        <v>3.3143124413279129E-2</v>
      </c>
      <c r="Z29" s="164">
        <v>3.3143124413279129E-2</v>
      </c>
      <c r="AB29" s="187">
        <f t="shared" si="37"/>
        <v>1</v>
      </c>
      <c r="AC29" s="187">
        <f t="shared" si="38"/>
        <v>1</v>
      </c>
      <c r="AD29" s="187">
        <f t="shared" si="39"/>
        <v>1</v>
      </c>
      <c r="AG29" s="164" t="s">
        <v>433</v>
      </c>
      <c r="AH29" s="164" t="s">
        <v>431</v>
      </c>
      <c r="AI29" s="164">
        <v>2023</v>
      </c>
      <c r="AJ29" s="164" t="str">
        <f t="shared" ref="AJ29:AL29" si="43">A19</f>
        <v>Road</v>
      </c>
      <c r="AK29" s="164" t="str">
        <f t="shared" si="43"/>
        <v>Neo bulk</v>
      </c>
      <c r="AL29" s="164" t="str">
        <f t="shared" si="43"/>
        <v>Diesel</v>
      </c>
      <c r="AM29" s="188">
        <f t="shared" si="23"/>
        <v>1</v>
      </c>
    </row>
    <row r="30" spans="1:39" x14ac:dyDescent="0.25">
      <c r="A30" s="164" t="s">
        <v>227</v>
      </c>
      <c r="B30" s="164" t="s">
        <v>223</v>
      </c>
      <c r="C30" s="164" t="s">
        <v>136</v>
      </c>
      <c r="D30" s="164">
        <f>FIGURES!AA17</f>
        <v>2.0307945146252789E-2</v>
      </c>
      <c r="E30" s="164">
        <v>1.8959349893372099E-2</v>
      </c>
      <c r="F30" s="164">
        <v>1.8210452700148965E-2</v>
      </c>
      <c r="G30" s="164">
        <v>2.0307945146252789E-2</v>
      </c>
      <c r="I30" s="187">
        <f t="shared" si="31"/>
        <v>1</v>
      </c>
      <c r="J30" s="187">
        <f t="shared" si="32"/>
        <v>0.96049984849507219</v>
      </c>
      <c r="K30" s="187">
        <f t="shared" si="33"/>
        <v>1.0711308805663289</v>
      </c>
      <c r="M30" s="164">
        <f>FIGURES!CD17</f>
        <v>1.9649244037274784E-2</v>
      </c>
      <c r="N30" s="164">
        <v>1.8679336878760427E-2</v>
      </c>
      <c r="O30" s="164">
        <v>1.8202450815002477E-2</v>
      </c>
      <c r="P30" s="164">
        <v>1.9649244037274784E-2</v>
      </c>
      <c r="R30" s="187">
        <f t="shared" si="34"/>
        <v>1</v>
      </c>
      <c r="S30" s="187">
        <f t="shared" si="35"/>
        <v>0.9744698611704895</v>
      </c>
      <c r="T30" s="187">
        <f t="shared" si="36"/>
        <v>1.051924068012136</v>
      </c>
      <c r="W30" s="164">
        <f>FIGURES!EG17</f>
        <v>1.8730530238579998E-2</v>
      </c>
      <c r="X30" s="164">
        <v>1.8256184226931454E-2</v>
      </c>
      <c r="Y30" s="164">
        <v>1.8135259043072807E-2</v>
      </c>
      <c r="Z30" s="164">
        <v>1.8730530238579998E-2</v>
      </c>
      <c r="AB30" s="187">
        <f t="shared" si="37"/>
        <v>1</v>
      </c>
      <c r="AC30" s="187">
        <f t="shared" si="38"/>
        <v>0.99337620707835217</v>
      </c>
      <c r="AD30" s="187">
        <f t="shared" si="39"/>
        <v>1.0259827577193701</v>
      </c>
      <c r="AG30" s="164" t="s">
        <v>87</v>
      </c>
      <c r="AH30" s="164" t="s">
        <v>431</v>
      </c>
      <c r="AI30" s="164">
        <v>2023</v>
      </c>
      <c r="AJ30" s="164" t="str">
        <f t="shared" ref="AJ30:AL30" si="44">A20</f>
        <v>Road</v>
      </c>
      <c r="AK30" s="164" t="str">
        <f t="shared" si="44"/>
        <v>Neo bulk</v>
      </c>
      <c r="AL30" s="164" t="str">
        <f t="shared" si="44"/>
        <v>Battery</v>
      </c>
      <c r="AM30" s="188">
        <f t="shared" si="23"/>
        <v>0.98147001793746236</v>
      </c>
    </row>
    <row r="31" spans="1:39" x14ac:dyDescent="0.25">
      <c r="A31" s="164" t="s">
        <v>227</v>
      </c>
      <c r="B31" s="164" t="s">
        <v>223</v>
      </c>
      <c r="C31" s="164" t="s">
        <v>87</v>
      </c>
      <c r="D31" s="164">
        <f>FIGURES!AB17</f>
        <v>2.744063606332638E-2</v>
      </c>
      <c r="E31" s="164">
        <v>2.598526549288015E-2</v>
      </c>
      <c r="F31" s="164">
        <v>2.5177074204219902E-2</v>
      </c>
      <c r="G31" s="164">
        <v>2.744063606332638E-2</v>
      </c>
      <c r="I31" s="187">
        <f t="shared" si="31"/>
        <v>1</v>
      </c>
      <c r="J31" s="187">
        <f t="shared" si="32"/>
        <v>0.9688980938493128</v>
      </c>
      <c r="K31" s="187">
        <f t="shared" si="33"/>
        <v>1.0560075313005748</v>
      </c>
      <c r="M31" s="164">
        <f>FIGURES!CE17</f>
        <v>2.4480812016437991E-2</v>
      </c>
      <c r="N31" s="164">
        <v>2.3437683452626052E-2</v>
      </c>
      <c r="O31" s="164">
        <v>2.2924795728865226E-2</v>
      </c>
      <c r="P31" s="164">
        <v>2.4480812016437991E-2</v>
      </c>
      <c r="R31" s="187">
        <f t="shared" si="34"/>
        <v>1</v>
      </c>
      <c r="S31" s="187">
        <f t="shared" si="35"/>
        <v>0.97811696173824036</v>
      </c>
      <c r="T31" s="187">
        <f t="shared" si="36"/>
        <v>1.0445064703566111</v>
      </c>
      <c r="W31" s="164">
        <f>FIGURES!EH17</f>
        <v>2.0578087238273764E-2</v>
      </c>
      <c r="X31" s="164">
        <v>2.0070175979554281E-2</v>
      </c>
      <c r="Y31" s="164">
        <v>1.9940693996284151E-2</v>
      </c>
      <c r="Z31" s="164">
        <v>2.0578087238273764E-2</v>
      </c>
      <c r="AB31" s="187">
        <f t="shared" si="37"/>
        <v>1</v>
      </c>
      <c r="AC31" s="187">
        <f t="shared" si="38"/>
        <v>0.99354853772074381</v>
      </c>
      <c r="AD31" s="187">
        <f t="shared" si="39"/>
        <v>1.0253067665792717</v>
      </c>
      <c r="AG31" s="164" t="s">
        <v>103</v>
      </c>
      <c r="AH31" s="164" t="s">
        <v>431</v>
      </c>
      <c r="AI31" s="164">
        <v>2023</v>
      </c>
      <c r="AJ31" s="164" t="str">
        <f t="shared" ref="AJ31:AL31" si="45">A21</f>
        <v>Road</v>
      </c>
      <c r="AK31" s="164" t="str">
        <f t="shared" si="45"/>
        <v>Neo bulk</v>
      </c>
      <c r="AL31" s="164" t="str">
        <f t="shared" si="45"/>
        <v>Hydrogen</v>
      </c>
      <c r="AM31" s="188">
        <f t="shared" si="23"/>
        <v>0.92304579942097853</v>
      </c>
    </row>
    <row r="32" spans="1:39" x14ac:dyDescent="0.25">
      <c r="A32" s="164" t="s">
        <v>227</v>
      </c>
      <c r="B32" s="164" t="s">
        <v>223</v>
      </c>
      <c r="C32" s="164" t="s">
        <v>103</v>
      </c>
      <c r="D32" s="164">
        <f>FIGURES!AC17</f>
        <v>3.6148978398956422E-2</v>
      </c>
      <c r="E32" s="164">
        <v>3.3877390358412252E-2</v>
      </c>
      <c r="F32" s="164">
        <v>3.0189725922456064E-2</v>
      </c>
      <c r="G32" s="164">
        <v>3.6148978398956422E-2</v>
      </c>
      <c r="I32" s="187">
        <f t="shared" si="31"/>
        <v>1</v>
      </c>
      <c r="J32" s="187">
        <f t="shared" si="32"/>
        <v>0.89114673837205738</v>
      </c>
      <c r="K32" s="187">
        <f t="shared" si="33"/>
        <v>1.0670532179873207</v>
      </c>
      <c r="M32" s="164">
        <f>FIGURES!CF17</f>
        <v>2.8850302085388465E-2</v>
      </c>
      <c r="N32" s="164">
        <v>2.7397690558410934E-2</v>
      </c>
      <c r="O32" s="164">
        <v>2.5052996614535392E-2</v>
      </c>
      <c r="P32" s="164">
        <v>2.8850302085388465E-2</v>
      </c>
      <c r="R32" s="187">
        <f t="shared" si="34"/>
        <v>1</v>
      </c>
      <c r="S32" s="187">
        <f t="shared" si="35"/>
        <v>0.91442001511489679</v>
      </c>
      <c r="T32" s="187">
        <f t="shared" si="36"/>
        <v>1.0530194880433668</v>
      </c>
      <c r="W32" s="164">
        <f>FIGURES!EI17</f>
        <v>1.979283543059664E-2</v>
      </c>
      <c r="X32" s="164">
        <v>1.9269593144672272E-2</v>
      </c>
      <c r="Y32" s="164">
        <v>1.8448371755222289E-2</v>
      </c>
      <c r="Z32" s="164">
        <v>1.979283543059664E-2</v>
      </c>
      <c r="AB32" s="187">
        <f t="shared" si="37"/>
        <v>1</v>
      </c>
      <c r="AC32" s="187">
        <f t="shared" si="38"/>
        <v>0.95738252576043426</v>
      </c>
      <c r="AD32" s="187">
        <f t="shared" si="39"/>
        <v>1.0271537796359254</v>
      </c>
      <c r="AG32" s="164" t="s">
        <v>433</v>
      </c>
      <c r="AH32" s="164" t="s">
        <v>432</v>
      </c>
      <c r="AI32" s="164">
        <v>2023</v>
      </c>
      <c r="AJ32" s="164" t="str">
        <f>A7</f>
        <v>Road</v>
      </c>
      <c r="AK32" s="164" t="str">
        <f>B7</f>
        <v>Dry bulk</v>
      </c>
      <c r="AL32" s="164" t="str">
        <f>C7</f>
        <v>Diesel</v>
      </c>
      <c r="AM32" s="188">
        <f>K7</f>
        <v>1</v>
      </c>
    </row>
    <row r="33" spans="1:39" x14ac:dyDescent="0.25">
      <c r="A33" s="164" t="s">
        <v>227</v>
      </c>
      <c r="B33" s="164" t="s">
        <v>224</v>
      </c>
      <c r="C33" s="164" t="s">
        <v>11</v>
      </c>
      <c r="D33" s="164">
        <f>FIGURES!AD17</f>
        <v>2.6451341154744356E-2</v>
      </c>
      <c r="E33" s="164">
        <v>2.6451341154744356E-2</v>
      </c>
      <c r="F33" s="164">
        <v>2.6451341154744356E-2</v>
      </c>
      <c r="G33" s="164">
        <v>2.6451341154744356E-2</v>
      </c>
      <c r="I33" s="187">
        <f t="shared" si="31"/>
        <v>1</v>
      </c>
      <c r="J33" s="187">
        <f t="shared" si="32"/>
        <v>1</v>
      </c>
      <c r="K33" s="187">
        <f t="shared" si="33"/>
        <v>1</v>
      </c>
      <c r="M33" s="164">
        <f>FIGURES!CG17</f>
        <v>2.7086945482599704E-2</v>
      </c>
      <c r="N33" s="164">
        <v>2.7086945482599704E-2</v>
      </c>
      <c r="O33" s="164">
        <v>2.7086945482599704E-2</v>
      </c>
      <c r="P33" s="164">
        <v>2.7086945482599704E-2</v>
      </c>
      <c r="R33" s="187">
        <f t="shared" si="34"/>
        <v>1</v>
      </c>
      <c r="S33" s="187">
        <f t="shared" si="35"/>
        <v>1</v>
      </c>
      <c r="T33" s="187">
        <f t="shared" si="36"/>
        <v>1</v>
      </c>
      <c r="W33" s="164">
        <f>FIGURES!EJ17</f>
        <v>3.188338999321387E-2</v>
      </c>
      <c r="X33" s="164">
        <v>3.188338999321387E-2</v>
      </c>
      <c r="Y33" s="164">
        <v>3.188338999321387E-2</v>
      </c>
      <c r="Z33" s="164">
        <v>3.188338999321387E-2</v>
      </c>
      <c r="AB33" s="187">
        <f t="shared" si="37"/>
        <v>1</v>
      </c>
      <c r="AC33" s="187">
        <f t="shared" si="38"/>
        <v>1</v>
      </c>
      <c r="AD33" s="187">
        <f t="shared" si="39"/>
        <v>1</v>
      </c>
      <c r="AG33" s="164" t="s">
        <v>87</v>
      </c>
      <c r="AH33" s="164" t="s">
        <v>432</v>
      </c>
      <c r="AI33" s="164">
        <v>2023</v>
      </c>
      <c r="AJ33" s="164" t="str">
        <f t="shared" ref="AJ33:AL33" si="46">A8</f>
        <v>Road</v>
      </c>
      <c r="AK33" s="164" t="str">
        <f t="shared" si="46"/>
        <v>Dry bulk</v>
      </c>
      <c r="AL33" s="164" t="str">
        <f t="shared" si="46"/>
        <v>Battery</v>
      </c>
      <c r="AM33" s="188">
        <f t="shared" ref="AM33:AM46" si="47">K8</f>
        <v>1.0214288906187394</v>
      </c>
    </row>
    <row r="34" spans="1:39" x14ac:dyDescent="0.25">
      <c r="A34" s="164" t="s">
        <v>227</v>
      </c>
      <c r="B34" s="164" t="s">
        <v>224</v>
      </c>
      <c r="C34" s="164" t="s">
        <v>136</v>
      </c>
      <c r="D34" s="164">
        <f>FIGURES!AE17</f>
        <v>1.904821072618753E-2</v>
      </c>
      <c r="E34" s="164">
        <v>1.7699615473306844E-2</v>
      </c>
      <c r="F34" s="164">
        <v>1.6950718280083706E-2</v>
      </c>
      <c r="G34" s="164">
        <v>1.904821072618753E-2</v>
      </c>
      <c r="I34" s="187">
        <f t="shared" si="31"/>
        <v>1</v>
      </c>
      <c r="J34" s="187">
        <f t="shared" si="32"/>
        <v>0.95768850490833746</v>
      </c>
      <c r="K34" s="187">
        <f t="shared" si="33"/>
        <v>1.0761934774749502</v>
      </c>
      <c r="M34" s="164">
        <f>FIGURES!CH17</f>
        <v>1.8389509617209521E-2</v>
      </c>
      <c r="N34" s="164">
        <v>1.7419602458695168E-2</v>
      </c>
      <c r="O34" s="164">
        <v>1.6942716394937215E-2</v>
      </c>
      <c r="P34" s="164">
        <v>1.8389509617209521E-2</v>
      </c>
      <c r="R34" s="187">
        <f t="shared" si="34"/>
        <v>1</v>
      </c>
      <c r="S34" s="187">
        <f t="shared" si="35"/>
        <v>0.97262359661256736</v>
      </c>
      <c r="T34" s="187">
        <f t="shared" si="36"/>
        <v>1.0556790639059741</v>
      </c>
      <c r="W34" s="164">
        <f>FIGURES!EK17</f>
        <v>1.7470795818514739E-2</v>
      </c>
      <c r="X34" s="164">
        <v>1.6996449806866196E-2</v>
      </c>
      <c r="Y34" s="164">
        <v>1.6875524623007548E-2</v>
      </c>
      <c r="Z34" s="164">
        <v>1.7470795818514739E-2</v>
      </c>
      <c r="AB34" s="187">
        <f t="shared" si="37"/>
        <v>1</v>
      </c>
      <c r="AC34" s="187">
        <f t="shared" si="38"/>
        <v>0.99288526808640964</v>
      </c>
      <c r="AD34" s="187">
        <f t="shared" si="39"/>
        <v>1.0279085348433716</v>
      </c>
      <c r="AG34" s="164" t="s">
        <v>103</v>
      </c>
      <c r="AH34" s="164" t="s">
        <v>432</v>
      </c>
      <c r="AI34" s="164">
        <v>2023</v>
      </c>
      <c r="AJ34" s="164" t="str">
        <f t="shared" ref="AJ34:AL34" si="48">A9</f>
        <v>Road</v>
      </c>
      <c r="AK34" s="164" t="str">
        <f t="shared" si="48"/>
        <v>Dry bulk</v>
      </c>
      <c r="AL34" s="164" t="str">
        <f t="shared" si="48"/>
        <v>Hydrogen</v>
      </c>
      <c r="AM34" s="188">
        <f t="shared" si="47"/>
        <v>1.0322873581329604</v>
      </c>
    </row>
    <row r="35" spans="1:39" x14ac:dyDescent="0.25">
      <c r="A35" s="164" t="s">
        <v>227</v>
      </c>
      <c r="B35" s="164" t="s">
        <v>224</v>
      </c>
      <c r="C35" s="164" t="s">
        <v>87</v>
      </c>
      <c r="D35" s="164">
        <f>FIGURES!AF17</f>
        <v>2.6160332527494345E-2</v>
      </c>
      <c r="E35" s="164">
        <v>2.4704961957048115E-2</v>
      </c>
      <c r="F35" s="164">
        <v>2.3896770668387867E-2</v>
      </c>
      <c r="G35" s="164">
        <v>2.6160332527494345E-2</v>
      </c>
      <c r="I35" s="187">
        <f t="shared" si="31"/>
        <v>1</v>
      </c>
      <c r="J35" s="187">
        <f t="shared" si="32"/>
        <v>0.96728627673803491</v>
      </c>
      <c r="K35" s="187">
        <f t="shared" si="33"/>
        <v>1.0589100510649045</v>
      </c>
      <c r="M35" s="164">
        <f>FIGURES!CI17</f>
        <v>2.3205050284614743E-2</v>
      </c>
      <c r="N35" s="164">
        <v>2.2161921720802811E-2</v>
      </c>
      <c r="O35" s="164">
        <v>2.1649033997041985E-2</v>
      </c>
      <c r="P35" s="164">
        <v>2.3205050284614743E-2</v>
      </c>
      <c r="R35" s="187">
        <f t="shared" si="34"/>
        <v>1</v>
      </c>
      <c r="S35" s="187">
        <f t="shared" si="35"/>
        <v>0.97685725406748503</v>
      </c>
      <c r="T35" s="187">
        <f t="shared" si="36"/>
        <v>1.0470685068268595</v>
      </c>
      <c r="W35" s="164">
        <f>FIGURES!EL17</f>
        <v>1.9308162628809186E-2</v>
      </c>
      <c r="X35" s="164">
        <v>1.8800251370089709E-2</v>
      </c>
      <c r="Y35" s="164">
        <v>1.8670769386819577E-2</v>
      </c>
      <c r="Z35" s="164">
        <v>1.9308162628809186E-2</v>
      </c>
      <c r="AB35" s="187">
        <f t="shared" si="37"/>
        <v>1</v>
      </c>
      <c r="AC35" s="187">
        <f t="shared" si="38"/>
        <v>0.9931127525520147</v>
      </c>
      <c r="AD35" s="187">
        <f t="shared" si="39"/>
        <v>1.0270161950880901</v>
      </c>
      <c r="AG35" s="164" t="s">
        <v>433</v>
      </c>
      <c r="AH35" s="164" t="s">
        <v>432</v>
      </c>
      <c r="AI35" s="164">
        <v>2023</v>
      </c>
      <c r="AJ35" s="164" t="str">
        <f t="shared" ref="AJ35:AL35" si="49">A10</f>
        <v>Road</v>
      </c>
      <c r="AK35" s="164" t="str">
        <f t="shared" si="49"/>
        <v>Liquid bulk</v>
      </c>
      <c r="AL35" s="164" t="str">
        <f t="shared" si="49"/>
        <v>Diesel</v>
      </c>
      <c r="AM35" s="188">
        <f t="shared" si="47"/>
        <v>1</v>
      </c>
    </row>
    <row r="36" spans="1:39" x14ac:dyDescent="0.25">
      <c r="A36" s="164" t="s">
        <v>227</v>
      </c>
      <c r="B36" s="164" t="s">
        <v>224</v>
      </c>
      <c r="C36" s="164" t="s">
        <v>103</v>
      </c>
      <c r="D36" s="164">
        <f>FIGURES!AG17</f>
        <v>3.4879076830223489E-2</v>
      </c>
      <c r="E36" s="164">
        <v>3.2607488789679312E-2</v>
      </c>
      <c r="F36" s="164">
        <v>2.8919824353723124E-2</v>
      </c>
      <c r="G36" s="164">
        <v>3.4879076830223489E-2</v>
      </c>
      <c r="I36" s="187">
        <f t="shared" si="31"/>
        <v>1</v>
      </c>
      <c r="J36" s="187">
        <f t="shared" si="32"/>
        <v>0.88690743835743091</v>
      </c>
      <c r="K36" s="187">
        <f t="shared" si="33"/>
        <v>1.0696646115619661</v>
      </c>
      <c r="M36" s="164">
        <f>FIGURES!CJ17</f>
        <v>2.7580400516655525E-2</v>
      </c>
      <c r="N36" s="164">
        <v>2.6127788989677995E-2</v>
      </c>
      <c r="O36" s="164">
        <v>2.3783095045802446E-2</v>
      </c>
      <c r="P36" s="164">
        <v>2.7580400516655525E-2</v>
      </c>
      <c r="R36" s="187">
        <f t="shared" si="34"/>
        <v>1</v>
      </c>
      <c r="S36" s="187">
        <f t="shared" si="35"/>
        <v>0.91026052970644244</v>
      </c>
      <c r="T36" s="187">
        <f t="shared" si="36"/>
        <v>1.0555964198712489</v>
      </c>
      <c r="W36" s="164">
        <f>FIGURES!EM17</f>
        <v>1.8522933861863697E-2</v>
      </c>
      <c r="X36" s="164">
        <v>1.7999691575939333E-2</v>
      </c>
      <c r="Y36" s="164">
        <v>1.7178470186489346E-2</v>
      </c>
      <c r="Z36" s="164">
        <v>1.8522933861863697E-2</v>
      </c>
      <c r="AB36" s="187">
        <f t="shared" si="37"/>
        <v>1</v>
      </c>
      <c r="AC36" s="187">
        <f t="shared" si="38"/>
        <v>0.95437580771952035</v>
      </c>
      <c r="AD36" s="187">
        <f t="shared" si="39"/>
        <v>1.0290695139812172</v>
      </c>
      <c r="AG36" s="164" t="s">
        <v>87</v>
      </c>
      <c r="AH36" s="164" t="s">
        <v>432</v>
      </c>
      <c r="AI36" s="164">
        <v>2023</v>
      </c>
      <c r="AJ36" s="164" t="str">
        <f t="shared" ref="AJ36:AL36" si="50">A11</f>
        <v>Road</v>
      </c>
      <c r="AK36" s="164" t="str">
        <f t="shared" si="50"/>
        <v>Liquid bulk</v>
      </c>
      <c r="AL36" s="164" t="str">
        <f t="shared" si="50"/>
        <v>Battery</v>
      </c>
      <c r="AM36" s="188">
        <f t="shared" si="47"/>
        <v>1.0388361050340593</v>
      </c>
    </row>
    <row r="37" spans="1:39" x14ac:dyDescent="0.25">
      <c r="A37" s="164" t="s">
        <v>227</v>
      </c>
      <c r="B37" s="164" t="s">
        <v>225</v>
      </c>
      <c r="C37" s="164" t="s">
        <v>11</v>
      </c>
      <c r="D37" s="164">
        <f>FIGURES!AH17</f>
        <v>2.2217430274894662E-2</v>
      </c>
      <c r="E37" s="164">
        <v>2.2217430274894662E-2</v>
      </c>
      <c r="F37" s="164">
        <v>2.2217430274894662E-2</v>
      </c>
      <c r="G37" s="164">
        <v>2.2217430274894662E-2</v>
      </c>
      <c r="I37" s="187">
        <f t="shared" si="31"/>
        <v>1</v>
      </c>
      <c r="J37" s="187">
        <f t="shared" si="32"/>
        <v>1</v>
      </c>
      <c r="K37" s="187">
        <f t="shared" si="33"/>
        <v>1</v>
      </c>
      <c r="M37" s="164">
        <f>FIGURES!CK17</f>
        <v>2.2594084691401537E-2</v>
      </c>
      <c r="N37" s="164">
        <v>2.2594084691401537E-2</v>
      </c>
      <c r="O37" s="164">
        <v>2.2594084691401537E-2</v>
      </c>
      <c r="P37" s="164">
        <v>2.2594084691401537E-2</v>
      </c>
      <c r="R37" s="187">
        <f t="shared" si="34"/>
        <v>1</v>
      </c>
      <c r="S37" s="187">
        <f t="shared" si="35"/>
        <v>1</v>
      </c>
      <c r="T37" s="187">
        <f t="shared" si="36"/>
        <v>1</v>
      </c>
      <c r="W37" s="164">
        <f>FIGURES!EN17</f>
        <v>2.5436422179172895E-2</v>
      </c>
      <c r="X37" s="164">
        <v>2.5436422179172895E-2</v>
      </c>
      <c r="Y37" s="164">
        <v>2.5436422179172895E-2</v>
      </c>
      <c r="Z37" s="164">
        <v>2.5436422179172895E-2</v>
      </c>
      <c r="AB37" s="187">
        <f t="shared" si="37"/>
        <v>1</v>
      </c>
      <c r="AC37" s="187">
        <f t="shared" si="38"/>
        <v>1</v>
      </c>
      <c r="AD37" s="187">
        <f t="shared" si="39"/>
        <v>1</v>
      </c>
      <c r="AG37" s="164" t="s">
        <v>103</v>
      </c>
      <c r="AH37" s="164" t="s">
        <v>432</v>
      </c>
      <c r="AI37" s="164">
        <v>2023</v>
      </c>
      <c r="AJ37" s="164" t="str">
        <f t="shared" ref="AJ37:AL37" si="51">A12</f>
        <v>Road</v>
      </c>
      <c r="AK37" s="164" t="str">
        <f t="shared" si="51"/>
        <v>Liquid bulk</v>
      </c>
      <c r="AL37" s="164" t="str">
        <f t="shared" si="51"/>
        <v>Hydrogen</v>
      </c>
      <c r="AM37" s="188">
        <f t="shared" si="47"/>
        <v>1.053832941477421</v>
      </c>
    </row>
    <row r="38" spans="1:39" x14ac:dyDescent="0.25">
      <c r="A38" s="164" t="s">
        <v>227</v>
      </c>
      <c r="B38" s="164" t="s">
        <v>225</v>
      </c>
      <c r="C38" s="164" t="s">
        <v>136</v>
      </c>
      <c r="D38" s="164">
        <f>FIGURES!AI17</f>
        <v>1.7830390020935068E-2</v>
      </c>
      <c r="E38" s="164">
        <v>1.7031222463672439E-2</v>
      </c>
      <c r="F38" s="164">
        <v>1.6587431534355022E-2</v>
      </c>
      <c r="G38" s="164">
        <v>1.7830390020935068E-2</v>
      </c>
      <c r="I38" s="187">
        <f t="shared" si="31"/>
        <v>1</v>
      </c>
      <c r="J38" s="187">
        <f t="shared" si="32"/>
        <v>0.97394250880909916</v>
      </c>
      <c r="K38" s="187">
        <f t="shared" si="33"/>
        <v>1.0469236755592413</v>
      </c>
      <c r="M38" s="164">
        <f>FIGURES!CL17</f>
        <v>1.7440048623022172E-2</v>
      </c>
      <c r="N38" s="164">
        <v>1.6865288825384038E-2</v>
      </c>
      <c r="O38" s="164">
        <v>1.6582689676490438E-2</v>
      </c>
      <c r="P38" s="164">
        <v>1.7440048623022172E-2</v>
      </c>
      <c r="R38" s="187">
        <f t="shared" si="34"/>
        <v>1</v>
      </c>
      <c r="S38" s="187">
        <f t="shared" si="35"/>
        <v>0.98324374092732647</v>
      </c>
      <c r="T38" s="187">
        <f t="shared" si="36"/>
        <v>1.0340794518012084</v>
      </c>
      <c r="W38" s="164">
        <f>FIGURES!EO17</f>
        <v>1.6895625631203039E-2</v>
      </c>
      <c r="X38" s="164">
        <v>1.6614531698374277E-2</v>
      </c>
      <c r="Y38" s="164">
        <v>1.6542872330161745E-2</v>
      </c>
      <c r="Z38" s="164">
        <v>1.6895625631203039E-2</v>
      </c>
      <c r="AB38" s="187">
        <f t="shared" si="37"/>
        <v>1</v>
      </c>
      <c r="AC38" s="187">
        <f t="shared" si="38"/>
        <v>0.99568694625202447</v>
      </c>
      <c r="AD38" s="187">
        <f t="shared" si="39"/>
        <v>1.0169185588815763</v>
      </c>
      <c r="AG38" s="164" t="s">
        <v>433</v>
      </c>
      <c r="AH38" s="164" t="s">
        <v>432</v>
      </c>
      <c r="AI38" s="164">
        <v>2023</v>
      </c>
      <c r="AJ38" s="164" t="str">
        <f t="shared" ref="AJ38:AL38" si="52">A13</f>
        <v>Road</v>
      </c>
      <c r="AK38" s="164" t="str">
        <f t="shared" si="52"/>
        <v>Container</v>
      </c>
      <c r="AL38" s="164" t="str">
        <f t="shared" si="52"/>
        <v>Diesel</v>
      </c>
      <c r="AM38" s="188">
        <f t="shared" si="47"/>
        <v>1</v>
      </c>
    </row>
    <row r="39" spans="1:39" x14ac:dyDescent="0.25">
      <c r="A39" s="164" t="s">
        <v>227</v>
      </c>
      <c r="B39" s="164" t="s">
        <v>225</v>
      </c>
      <c r="C39" s="164" t="s">
        <v>87</v>
      </c>
      <c r="D39" s="164">
        <f>FIGURES!AJ17</f>
        <v>2.2384481947338539E-2</v>
      </c>
      <c r="E39" s="164">
        <v>2.1512878303486496E-2</v>
      </c>
      <c r="F39" s="164">
        <v>2.1028862420226082E-2</v>
      </c>
      <c r="G39" s="164">
        <v>2.2384481947338539E-2</v>
      </c>
      <c r="I39" s="187">
        <f t="shared" si="31"/>
        <v>1</v>
      </c>
      <c r="J39" s="187">
        <f t="shared" si="32"/>
        <v>0.97750110996621165</v>
      </c>
      <c r="K39" s="187">
        <f t="shared" si="33"/>
        <v>1.0405154359893714</v>
      </c>
      <c r="M39" s="164">
        <f>FIGURES!CM17</f>
        <v>2.0544133742843699E-2</v>
      </c>
      <c r="N39" s="164">
        <v>1.9920849249962742E-2</v>
      </c>
      <c r="O39" s="164">
        <v>1.9614391373245287E-2</v>
      </c>
      <c r="P39" s="164">
        <v>2.0544133742843699E-2</v>
      </c>
      <c r="R39" s="187">
        <f t="shared" si="34"/>
        <v>1</v>
      </c>
      <c r="S39" s="187">
        <f t="shared" si="35"/>
        <v>0.98461622429485385</v>
      </c>
      <c r="T39" s="187">
        <f t="shared" si="36"/>
        <v>1.0312880482684301</v>
      </c>
      <c r="W39" s="164">
        <f>FIGURES!EP17</f>
        <v>1.8131733120181098E-2</v>
      </c>
      <c r="X39" s="164">
        <v>1.7829152195207632E-2</v>
      </c>
      <c r="Y39" s="164">
        <v>1.7752015141061495E-2</v>
      </c>
      <c r="Z39" s="164">
        <v>1.8131733120181098E-2</v>
      </c>
      <c r="AB39" s="187">
        <f t="shared" si="37"/>
        <v>1</v>
      </c>
      <c r="AC39" s="187">
        <f t="shared" si="38"/>
        <v>0.99567354334622427</v>
      </c>
      <c r="AD39" s="187">
        <f t="shared" si="39"/>
        <v>1.0169711336613525</v>
      </c>
      <c r="AG39" s="164" t="s">
        <v>87</v>
      </c>
      <c r="AH39" s="164" t="s">
        <v>432</v>
      </c>
      <c r="AI39" s="164">
        <v>2023</v>
      </c>
      <c r="AJ39" s="164" t="str">
        <f t="shared" ref="AJ39:AL39" si="53">A14</f>
        <v>Road</v>
      </c>
      <c r="AK39" s="164" t="str">
        <f t="shared" si="53"/>
        <v>Container</v>
      </c>
      <c r="AL39" s="164" t="str">
        <f t="shared" si="53"/>
        <v>Battery</v>
      </c>
      <c r="AM39" s="188">
        <f t="shared" si="47"/>
        <v>1.0381930043061411</v>
      </c>
    </row>
    <row r="40" spans="1:39" x14ac:dyDescent="0.25">
      <c r="A40" s="164" t="s">
        <v>227</v>
      </c>
      <c r="B40" s="164" t="s">
        <v>225</v>
      </c>
      <c r="C40" s="164" t="s">
        <v>103</v>
      </c>
      <c r="D40" s="164">
        <f>FIGURES!AK17</f>
        <v>2.7407442497810533E-2</v>
      </c>
      <c r="E40" s="164">
        <v>2.6054192177129256E-2</v>
      </c>
      <c r="F40" s="164">
        <v>2.3857344425048662E-2</v>
      </c>
      <c r="G40" s="164">
        <v>2.7407442497810533E-2</v>
      </c>
      <c r="I40" s="187">
        <f>E40/E40</f>
        <v>1</v>
      </c>
      <c r="J40" s="187">
        <f>F40/E40</f>
        <v>0.91568160174971691</v>
      </c>
      <c r="K40" s="187">
        <f>G40/E40</f>
        <v>1.0519398303152603</v>
      </c>
      <c r="M40" s="164">
        <f>FIGURES!CN17</f>
        <v>2.3059411126982135E-2</v>
      </c>
      <c r="N40" s="164">
        <v>2.2194048667054433E-2</v>
      </c>
      <c r="O40" s="164">
        <v>2.0797247057424143E-2</v>
      </c>
      <c r="P40" s="164">
        <v>2.3059411126982135E-2</v>
      </c>
      <c r="R40" s="187">
        <f>N40/N40</f>
        <v>1</v>
      </c>
      <c r="S40" s="187">
        <f>O40/N40</f>
        <v>0.93706413685107626</v>
      </c>
      <c r="T40" s="187">
        <f>P40/N40</f>
        <v>1.0389907435506471</v>
      </c>
      <c r="W40" s="164">
        <f>FIGURES!EQ17</f>
        <v>1.7663617771677825E-2</v>
      </c>
      <c r="X40" s="164">
        <v>1.7351907294873448E-2</v>
      </c>
      <c r="Y40" s="164">
        <v>1.6862682096999416E-2</v>
      </c>
      <c r="Z40" s="164">
        <v>1.7663617771677825E-2</v>
      </c>
      <c r="AB40" s="187">
        <f>X40/X40</f>
        <v>1</v>
      </c>
      <c r="AC40" s="187">
        <f>Y40/X40</f>
        <v>0.97180568167174497</v>
      </c>
      <c r="AD40" s="187">
        <f>Z40/X40</f>
        <v>1.0179640469204483</v>
      </c>
      <c r="AG40" s="164" t="s">
        <v>103</v>
      </c>
      <c r="AH40" s="164" t="s">
        <v>432</v>
      </c>
      <c r="AI40" s="164">
        <v>2023</v>
      </c>
      <c r="AJ40" s="164" t="str">
        <f t="shared" ref="AJ40:AL40" si="54">A15</f>
        <v>Road</v>
      </c>
      <c r="AK40" s="164" t="str">
        <f t="shared" si="54"/>
        <v>Container</v>
      </c>
      <c r="AL40" s="164" t="str">
        <f t="shared" si="54"/>
        <v>Hydrogen</v>
      </c>
      <c r="AM40" s="188">
        <f t="shared" si="47"/>
        <v>1.0530255852188539</v>
      </c>
    </row>
    <row r="41" spans="1:39" x14ac:dyDescent="0.25">
      <c r="A41" s="164" t="s">
        <v>227</v>
      </c>
      <c r="B41" s="164" t="s">
        <v>226</v>
      </c>
      <c r="C41" s="164" t="s">
        <v>11</v>
      </c>
      <c r="D41" s="164">
        <f>FIGURES!AL17</f>
        <v>2.7291893879419288E-2</v>
      </c>
      <c r="E41" s="164">
        <v>2.7291893879419288E-2</v>
      </c>
      <c r="F41" s="164">
        <v>2.7291893879419288E-2</v>
      </c>
      <c r="G41" s="164">
        <v>2.7291893879419288E-2</v>
      </c>
      <c r="I41" s="187">
        <f t="shared" ref="I41:I44" si="55">E41/E41</f>
        <v>1</v>
      </c>
      <c r="J41" s="187">
        <f t="shared" ref="J41:J44" si="56">F41/E41</f>
        <v>1</v>
      </c>
      <c r="K41" s="187">
        <f t="shared" ref="K41:K44" si="57">G41/E41</f>
        <v>1</v>
      </c>
      <c r="M41" s="164">
        <f>FIGURES!CO17</f>
        <v>2.7927498207274644E-2</v>
      </c>
      <c r="N41" s="164">
        <v>2.7927498207274644E-2</v>
      </c>
      <c r="O41" s="164">
        <v>2.7927498207274644E-2</v>
      </c>
      <c r="P41" s="164">
        <v>2.7927498207274644E-2</v>
      </c>
      <c r="R41" s="187">
        <f t="shared" ref="R41:R44" si="58">N41/N41</f>
        <v>1</v>
      </c>
      <c r="S41" s="187">
        <f t="shared" ref="S41:S44" si="59">O41/N41</f>
        <v>1</v>
      </c>
      <c r="T41" s="187">
        <f t="shared" ref="T41:T44" si="60">P41/N41</f>
        <v>1</v>
      </c>
      <c r="W41" s="164">
        <f>FIGURES!ER17</f>
        <v>3.272394271788881E-2</v>
      </c>
      <c r="X41" s="164">
        <v>3.272394271788881E-2</v>
      </c>
      <c r="Y41" s="164">
        <v>3.272394271788881E-2</v>
      </c>
      <c r="Z41" s="164">
        <v>3.272394271788881E-2</v>
      </c>
      <c r="AB41" s="187">
        <f t="shared" ref="AB41:AB44" si="61">X41/X41</f>
        <v>1</v>
      </c>
      <c r="AC41" s="187">
        <f t="shared" ref="AC41:AC44" si="62">Y41/X41</f>
        <v>1</v>
      </c>
      <c r="AD41" s="187">
        <f t="shared" ref="AD41:AD44" si="63">Z41/X41</f>
        <v>1</v>
      </c>
      <c r="AG41" s="164" t="s">
        <v>433</v>
      </c>
      <c r="AH41" s="164" t="s">
        <v>432</v>
      </c>
      <c r="AI41" s="164">
        <v>2023</v>
      </c>
      <c r="AJ41" s="164" t="str">
        <f t="shared" ref="AJ41:AL41" si="64">A16</f>
        <v>Road</v>
      </c>
      <c r="AK41" s="164" t="str">
        <f t="shared" si="64"/>
        <v>Break bulk</v>
      </c>
      <c r="AL41" s="164" t="str">
        <f t="shared" si="64"/>
        <v>Diesel</v>
      </c>
      <c r="AM41" s="188">
        <f t="shared" si="47"/>
        <v>1</v>
      </c>
    </row>
    <row r="42" spans="1:39" x14ac:dyDescent="0.25">
      <c r="A42" s="164" t="s">
        <v>227</v>
      </c>
      <c r="B42" s="164" t="s">
        <v>226</v>
      </c>
      <c r="C42" s="164" t="s">
        <v>136</v>
      </c>
      <c r="D42" s="164">
        <f>FIGURES!AM17</f>
        <v>1.9888763450862466E-2</v>
      </c>
      <c r="E42" s="164">
        <v>1.8540168197981776E-2</v>
      </c>
      <c r="F42" s="164">
        <v>1.7791271004758642E-2</v>
      </c>
      <c r="G42" s="164">
        <v>1.9888763450862466E-2</v>
      </c>
      <c r="I42" s="187">
        <f t="shared" si="55"/>
        <v>1</v>
      </c>
      <c r="J42" s="187">
        <f t="shared" si="56"/>
        <v>0.95960677458661592</v>
      </c>
      <c r="K42" s="187">
        <f t="shared" si="57"/>
        <v>1.0727391056262097</v>
      </c>
      <c r="M42" s="164">
        <f>FIGURES!CP17</f>
        <v>1.9230062341884457E-2</v>
      </c>
      <c r="N42" s="164">
        <v>1.8260155183370104E-2</v>
      </c>
      <c r="O42" s="164">
        <v>1.7783269119612151E-2</v>
      </c>
      <c r="P42" s="164">
        <v>1.9230062341884457E-2</v>
      </c>
      <c r="R42" s="187">
        <f t="shared" si="58"/>
        <v>1</v>
      </c>
      <c r="S42" s="187">
        <f t="shared" si="59"/>
        <v>0.97388378910425344</v>
      </c>
      <c r="T42" s="187">
        <f t="shared" si="60"/>
        <v>1.0531160413903637</v>
      </c>
      <c r="W42" s="164">
        <f>FIGURES!ES17</f>
        <v>1.8311348543189675E-2</v>
      </c>
      <c r="X42" s="164">
        <v>1.7837002531541132E-2</v>
      </c>
      <c r="Y42" s="164">
        <v>1.7716077347682487E-2</v>
      </c>
      <c r="Z42" s="164">
        <v>1.8311348543189675E-2</v>
      </c>
      <c r="AB42" s="187">
        <f t="shared" si="61"/>
        <v>1</v>
      </c>
      <c r="AC42" s="187">
        <f t="shared" si="62"/>
        <v>0.99322054343801247</v>
      </c>
      <c r="AD42" s="187">
        <f t="shared" si="63"/>
        <v>1.0265933702038645</v>
      </c>
      <c r="AG42" s="164" t="s">
        <v>87</v>
      </c>
      <c r="AH42" s="164" t="s">
        <v>432</v>
      </c>
      <c r="AI42" s="164">
        <v>2023</v>
      </c>
      <c r="AJ42" s="164" t="str">
        <f t="shared" ref="AJ42:AL42" si="65">A17</f>
        <v>Road</v>
      </c>
      <c r="AK42" s="164" t="str">
        <f t="shared" si="65"/>
        <v>Break bulk</v>
      </c>
      <c r="AL42" s="164" t="str">
        <f t="shared" si="65"/>
        <v>Battery</v>
      </c>
      <c r="AM42" s="188">
        <f t="shared" si="47"/>
        <v>1.0293308110823529</v>
      </c>
    </row>
    <row r="43" spans="1:39" x14ac:dyDescent="0.25">
      <c r="A43" s="164" t="s">
        <v>227</v>
      </c>
      <c r="B43" s="164" t="s">
        <v>226</v>
      </c>
      <c r="C43" s="164" t="s">
        <v>87</v>
      </c>
      <c r="D43" s="164">
        <f>FIGURES!AN17</f>
        <v>2.6861569584288928E-2</v>
      </c>
      <c r="E43" s="164">
        <v>2.5414399842422483E-2</v>
      </c>
      <c r="F43" s="164">
        <v>2.461076260917093E-2</v>
      </c>
      <c r="G43" s="164">
        <v>2.6861569584288928E-2</v>
      </c>
      <c r="I43" s="187">
        <f t="shared" si="55"/>
        <v>1</v>
      </c>
      <c r="J43" s="187">
        <f t="shared" si="56"/>
        <v>0.96837866570785203</v>
      </c>
      <c r="K43" s="187">
        <f t="shared" si="57"/>
        <v>1.056942904449421</v>
      </c>
      <c r="M43" s="164">
        <f>FIGURES!CQ17</f>
        <v>2.394997411206903E-2</v>
      </c>
      <c r="N43" s="164">
        <v>2.2911428312941962E-2</v>
      </c>
      <c r="O43" s="164">
        <v>2.2400793852900773E-2</v>
      </c>
      <c r="P43" s="164">
        <v>2.394997411206903E-2</v>
      </c>
      <c r="R43" s="187">
        <f t="shared" si="58"/>
        <v>1</v>
      </c>
      <c r="S43" s="187">
        <f t="shared" si="59"/>
        <v>0.97771267451917232</v>
      </c>
      <c r="T43" s="187">
        <f t="shared" si="60"/>
        <v>1.0453287235060953</v>
      </c>
      <c r="W43" s="164">
        <f>FIGURES!ET17</f>
        <v>2.009876674914381E-2</v>
      </c>
      <c r="X43" s="164">
        <v>1.9592275301283314E-2</v>
      </c>
      <c r="Y43" s="164">
        <v>1.9463155270859737E-2</v>
      </c>
      <c r="Z43" s="164">
        <v>2.009876674914381E-2</v>
      </c>
      <c r="AB43" s="187">
        <f t="shared" si="61"/>
        <v>1</v>
      </c>
      <c r="AC43" s="187">
        <f t="shared" si="62"/>
        <v>0.99340964597332304</v>
      </c>
      <c r="AD43" s="187">
        <f t="shared" si="63"/>
        <v>1.0258515889590079</v>
      </c>
      <c r="AG43" s="164" t="s">
        <v>103</v>
      </c>
      <c r="AH43" s="164" t="s">
        <v>432</v>
      </c>
      <c r="AI43" s="164">
        <v>2023</v>
      </c>
      <c r="AJ43" s="164" t="str">
        <f t="shared" ref="AJ43:AL43" si="66">A18</f>
        <v>Road</v>
      </c>
      <c r="AK43" s="164" t="str">
        <f t="shared" si="66"/>
        <v>Break bulk</v>
      </c>
      <c r="AL43" s="164" t="str">
        <f t="shared" si="66"/>
        <v>Hydrogen</v>
      </c>
      <c r="AM43" s="188">
        <f t="shared" si="47"/>
        <v>1.0424960000770789</v>
      </c>
    </row>
    <row r="44" spans="1:39" x14ac:dyDescent="0.25">
      <c r="A44" s="164" t="s">
        <v>227</v>
      </c>
      <c r="B44" s="164" t="s">
        <v>226</v>
      </c>
      <c r="C44" s="164" t="s">
        <v>103</v>
      </c>
      <c r="D44" s="164">
        <f>FIGURES!AO17</f>
        <v>3.5626365244930909E-2</v>
      </c>
      <c r="E44" s="164">
        <v>3.3361112843704507E-2</v>
      </c>
      <c r="F44" s="164">
        <v>2.9683733596512395E-2</v>
      </c>
      <c r="G44" s="164">
        <v>3.5626365244930909E-2</v>
      </c>
      <c r="I44" s="187">
        <f t="shared" si="55"/>
        <v>1</v>
      </c>
      <c r="J44" s="187">
        <f t="shared" si="56"/>
        <v>0.88977048624185628</v>
      </c>
      <c r="K44" s="187">
        <f t="shared" si="57"/>
        <v>1.0679009843538199</v>
      </c>
      <c r="M44" s="164">
        <f>FIGURES!CR17</f>
        <v>2.8348045518822744E-2</v>
      </c>
      <c r="N44" s="164">
        <v>2.6899485440672864E-2</v>
      </c>
      <c r="O44" s="164">
        <v>2.456133103428115E-2</v>
      </c>
      <c r="P44" s="164">
        <v>2.8348045518822744E-2</v>
      </c>
      <c r="R44" s="187">
        <f t="shared" si="58"/>
        <v>1</v>
      </c>
      <c r="S44" s="187">
        <f t="shared" si="59"/>
        <v>0.9130780991499432</v>
      </c>
      <c r="T44" s="187">
        <f t="shared" si="60"/>
        <v>1.0538508471228827</v>
      </c>
      <c r="W44" s="164">
        <f>FIGURES!EU17</f>
        <v>1.9315840857329569E-2</v>
      </c>
      <c r="X44" s="164">
        <v>1.8794057935665034E-2</v>
      </c>
      <c r="Y44" s="164">
        <v>1.7975126997842161E-2</v>
      </c>
      <c r="Z44" s="164">
        <v>1.9315840857329569E-2</v>
      </c>
      <c r="AB44" s="187">
        <f t="shared" si="61"/>
        <v>1</v>
      </c>
      <c r="AC44" s="187">
        <f t="shared" si="62"/>
        <v>0.95642607144097347</v>
      </c>
      <c r="AD44" s="187">
        <f t="shared" si="63"/>
        <v>1.0277631857606633</v>
      </c>
      <c r="AG44" s="164" t="s">
        <v>433</v>
      </c>
      <c r="AH44" s="164" t="s">
        <v>432</v>
      </c>
      <c r="AI44" s="164">
        <v>2023</v>
      </c>
      <c r="AJ44" s="164" t="str">
        <f t="shared" ref="AJ44:AL44" si="67">A19</f>
        <v>Road</v>
      </c>
      <c r="AK44" s="164" t="str">
        <f t="shared" si="67"/>
        <v>Neo bulk</v>
      </c>
      <c r="AL44" s="164" t="str">
        <f t="shared" si="67"/>
        <v>Diesel</v>
      </c>
      <c r="AM44" s="188">
        <f t="shared" si="47"/>
        <v>1</v>
      </c>
    </row>
    <row r="45" spans="1:39" x14ac:dyDescent="0.25">
      <c r="AG45" s="164" t="s">
        <v>87</v>
      </c>
      <c r="AH45" s="164" t="s">
        <v>432</v>
      </c>
      <c r="AI45" s="164">
        <v>2023</v>
      </c>
      <c r="AJ45" s="164" t="str">
        <f t="shared" ref="AJ45:AL45" si="68">A20</f>
        <v>Road</v>
      </c>
      <c r="AK45" s="164" t="str">
        <f t="shared" si="68"/>
        <v>Neo bulk</v>
      </c>
      <c r="AL45" s="164" t="str">
        <f t="shared" si="68"/>
        <v>Battery</v>
      </c>
      <c r="AM45" s="188">
        <f t="shared" si="47"/>
        <v>1.0333683262157147</v>
      </c>
    </row>
    <row r="46" spans="1:39" x14ac:dyDescent="0.25">
      <c r="A46" s="164" t="s">
        <v>422</v>
      </c>
      <c r="I46" s="202" t="s">
        <v>424</v>
      </c>
      <c r="J46" s="202"/>
      <c r="K46" s="202"/>
      <c r="S46" s="202" t="s">
        <v>424</v>
      </c>
      <c r="T46" s="202"/>
      <c r="U46" s="202"/>
      <c r="AB46" s="202" t="s">
        <v>424</v>
      </c>
      <c r="AC46" s="202"/>
      <c r="AD46" s="202"/>
      <c r="AG46" s="164" t="s">
        <v>103</v>
      </c>
      <c r="AH46" s="164" t="s">
        <v>432</v>
      </c>
      <c r="AI46" s="164">
        <v>2023</v>
      </c>
      <c r="AJ46" s="164" t="str">
        <f t="shared" ref="AJ46:AL46" si="69">A21</f>
        <v>Road</v>
      </c>
      <c r="AK46" s="164" t="str">
        <f t="shared" si="69"/>
        <v>Neo bulk</v>
      </c>
      <c r="AL46" s="164" t="str">
        <f t="shared" si="69"/>
        <v>Hydrogen</v>
      </c>
      <c r="AM46" s="188">
        <f t="shared" si="47"/>
        <v>1.0474035110137716</v>
      </c>
    </row>
    <row r="47" spans="1:39" x14ac:dyDescent="0.25">
      <c r="D47" s="171" t="s">
        <v>423</v>
      </c>
      <c r="E47" s="164" t="s">
        <v>430</v>
      </c>
      <c r="F47" s="164" t="s">
        <v>431</v>
      </c>
      <c r="G47" s="164" t="s">
        <v>432</v>
      </c>
      <c r="I47" s="164" t="s">
        <v>430</v>
      </c>
      <c r="J47" s="164" t="s">
        <v>431</v>
      </c>
      <c r="K47" s="164" t="s">
        <v>432</v>
      </c>
      <c r="N47" s="171" t="s">
        <v>423</v>
      </c>
      <c r="O47" s="164" t="s">
        <v>430</v>
      </c>
      <c r="P47" s="164" t="s">
        <v>431</v>
      </c>
      <c r="Q47" s="164" t="s">
        <v>432</v>
      </c>
      <c r="S47" s="164" t="s">
        <v>430</v>
      </c>
      <c r="T47" s="164" t="s">
        <v>431</v>
      </c>
      <c r="U47" s="164" t="s">
        <v>432</v>
      </c>
      <c r="W47" s="171" t="s">
        <v>423</v>
      </c>
      <c r="X47" s="164" t="s">
        <v>430</v>
      </c>
      <c r="Y47" s="164" t="s">
        <v>431</v>
      </c>
      <c r="Z47" s="164" t="s">
        <v>432</v>
      </c>
      <c r="AB47" s="164" t="s">
        <v>430</v>
      </c>
      <c r="AC47" s="164" t="s">
        <v>431</v>
      </c>
      <c r="AD47" s="164" t="s">
        <v>432</v>
      </c>
      <c r="AG47" s="164" t="s">
        <v>433</v>
      </c>
      <c r="AH47" s="164" t="s">
        <v>430</v>
      </c>
      <c r="AI47" s="164">
        <v>2034</v>
      </c>
      <c r="AJ47" s="164" t="str">
        <f>A7</f>
        <v>Road</v>
      </c>
      <c r="AK47" s="164" t="str">
        <f>B7</f>
        <v>Dry bulk</v>
      </c>
      <c r="AL47" s="164" t="str">
        <f>C7</f>
        <v>Diesel</v>
      </c>
      <c r="AM47" s="188">
        <f>R7</f>
        <v>1</v>
      </c>
    </row>
    <row r="48" spans="1:39" x14ac:dyDescent="0.25">
      <c r="A48" s="164" t="s">
        <v>168</v>
      </c>
      <c r="B48" s="164" t="s">
        <v>222</v>
      </c>
      <c r="C48" s="164" t="s">
        <v>290</v>
      </c>
      <c r="D48" s="164">
        <f>FIGURES!B17</f>
        <v>9.8027731057717341E-3</v>
      </c>
      <c r="E48" s="164">
        <v>9.8027731057717341E-3</v>
      </c>
      <c r="F48" s="164">
        <v>9.8027731057717341E-3</v>
      </c>
      <c r="G48" s="164">
        <v>9.8027731057717341E-3</v>
      </c>
      <c r="I48" s="187">
        <f>E48/E48</f>
        <v>1</v>
      </c>
      <c r="J48" s="187">
        <f>F48/E48</f>
        <v>1</v>
      </c>
      <c r="K48" s="187">
        <f>G48/E48</f>
        <v>1</v>
      </c>
      <c r="N48" s="164">
        <f>FIGURES!BE17</f>
        <v>1.045031702053442E-2</v>
      </c>
      <c r="O48" s="164">
        <v>1.045031702053442E-2</v>
      </c>
      <c r="P48" s="164">
        <v>1.045031702053442E-2</v>
      </c>
      <c r="Q48" s="164">
        <v>1.045031702053442E-2</v>
      </c>
      <c r="S48" s="187">
        <f>O48/O48</f>
        <v>1</v>
      </c>
      <c r="T48" s="187">
        <f>P48/O48</f>
        <v>1</v>
      </c>
      <c r="U48" s="187">
        <f>Q48/O48</f>
        <v>1</v>
      </c>
      <c r="W48" s="164">
        <f>FIGURES!DH17</f>
        <v>1.5887738607902789E-2</v>
      </c>
      <c r="X48" s="164">
        <v>1.5887738607902789E-2</v>
      </c>
      <c r="Y48" s="164">
        <v>1.5887738607902789E-2</v>
      </c>
      <c r="Z48" s="164">
        <v>1.5887738607902789E-2</v>
      </c>
      <c r="AB48" s="187">
        <f>X48/X48</f>
        <v>1</v>
      </c>
      <c r="AC48" s="187">
        <f>Y48/X48</f>
        <v>1</v>
      </c>
      <c r="AD48" s="187">
        <f>Z48/X48</f>
        <v>1</v>
      </c>
      <c r="AG48" s="164" t="s">
        <v>87</v>
      </c>
      <c r="AH48" s="164" t="s">
        <v>430</v>
      </c>
      <c r="AI48" s="164">
        <v>2034</v>
      </c>
      <c r="AJ48" s="164" t="str">
        <f t="shared" ref="AJ48:AL48" si="70">A8</f>
        <v>Road</v>
      </c>
      <c r="AK48" s="164" t="str">
        <f t="shared" si="70"/>
        <v>Dry bulk</v>
      </c>
      <c r="AL48" s="164" t="str">
        <f t="shared" si="70"/>
        <v>Battery</v>
      </c>
      <c r="AM48" s="188">
        <f t="shared" ref="AM48:AM61" si="71">R8</f>
        <v>1</v>
      </c>
    </row>
    <row r="49" spans="1:39" x14ac:dyDescent="0.25">
      <c r="A49" s="164" t="s">
        <v>168</v>
      </c>
      <c r="B49" s="164" t="s">
        <v>222</v>
      </c>
      <c r="C49" s="164" t="s">
        <v>289</v>
      </c>
      <c r="D49" s="164">
        <f>FIGURES!C17</f>
        <v>1.2536826875262043E-2</v>
      </c>
      <c r="E49" s="164">
        <v>1.2536826875262043E-2</v>
      </c>
      <c r="F49" s="164">
        <v>1.2536826875262043E-2</v>
      </c>
      <c r="G49" s="164">
        <v>1.2536826875262043E-2</v>
      </c>
      <c r="I49" s="187">
        <f t="shared" ref="I49:I62" si="72">E49/E49</f>
        <v>1</v>
      </c>
      <c r="J49" s="187">
        <f t="shared" ref="J49:J62" si="73">F49/E49</f>
        <v>1</v>
      </c>
      <c r="K49" s="187">
        <f t="shared" ref="K49:K62" si="74">G49/E49</f>
        <v>1</v>
      </c>
      <c r="N49" s="164">
        <f>FIGURES!BF17</f>
        <v>1.3128655140408532E-2</v>
      </c>
      <c r="O49" s="164">
        <v>1.3128655140408532E-2</v>
      </c>
      <c r="P49" s="164">
        <v>1.3128655140408532E-2</v>
      </c>
      <c r="Q49" s="164">
        <v>1.3128655140408532E-2</v>
      </c>
      <c r="S49" s="187">
        <f t="shared" ref="S49:S62" si="75">O49/O49</f>
        <v>1</v>
      </c>
      <c r="T49" s="187">
        <f t="shared" ref="T49:T62" si="76">P49/O49</f>
        <v>1</v>
      </c>
      <c r="U49" s="187">
        <f t="shared" ref="U49:U62" si="77">Q49/O49</f>
        <v>1</v>
      </c>
      <c r="W49" s="164">
        <f>FIGURES!DI17</f>
        <v>1.809823281932417E-2</v>
      </c>
      <c r="X49" s="164">
        <v>1.809823281932417E-2</v>
      </c>
      <c r="Y49" s="164">
        <v>1.809823281932417E-2</v>
      </c>
      <c r="Z49" s="164">
        <v>1.809823281932417E-2</v>
      </c>
      <c r="AB49" s="187">
        <f t="shared" ref="AB49:AB62" si="78">X49/X49</f>
        <v>1</v>
      </c>
      <c r="AC49" s="187">
        <f t="shared" ref="AC49:AC62" si="79">Y49/X49</f>
        <v>1</v>
      </c>
      <c r="AD49" s="187">
        <f t="shared" ref="AD49:AD62" si="80">Z49/X49</f>
        <v>1</v>
      </c>
      <c r="AG49" s="164" t="s">
        <v>103</v>
      </c>
      <c r="AH49" s="164" t="s">
        <v>430</v>
      </c>
      <c r="AI49" s="164">
        <v>2034</v>
      </c>
      <c r="AJ49" s="164" t="str">
        <f t="shared" ref="AJ49:AL49" si="81">A9</f>
        <v>Road</v>
      </c>
      <c r="AK49" s="164" t="str">
        <f t="shared" si="81"/>
        <v>Dry bulk</v>
      </c>
      <c r="AL49" s="164" t="str">
        <f t="shared" si="81"/>
        <v>Hydrogen</v>
      </c>
      <c r="AM49" s="188">
        <f t="shared" si="71"/>
        <v>1</v>
      </c>
    </row>
    <row r="50" spans="1:39" x14ac:dyDescent="0.25">
      <c r="A50" s="164" t="s">
        <v>168</v>
      </c>
      <c r="B50" s="164" t="s">
        <v>222</v>
      </c>
      <c r="C50" s="164" t="s">
        <v>103</v>
      </c>
      <c r="D50" s="164">
        <f>FIGURES!D17</f>
        <v>3.0810093230027879E-2</v>
      </c>
      <c r="E50" s="164">
        <v>2.6455651335161715E-2</v>
      </c>
      <c r="F50" s="164">
        <v>1.938671091659493E-2</v>
      </c>
      <c r="G50" s="164">
        <v>3.0810093230027879E-2</v>
      </c>
      <c r="I50" s="187">
        <f t="shared" si="72"/>
        <v>1</v>
      </c>
      <c r="J50" s="187">
        <f t="shared" si="73"/>
        <v>0.73280036355893508</v>
      </c>
      <c r="K50" s="187">
        <f t="shared" si="74"/>
        <v>1.1645940158380736</v>
      </c>
      <c r="N50" s="164">
        <f>FIGURES!BG17</f>
        <v>2.4276447531910151E-2</v>
      </c>
      <c r="O50" s="164">
        <v>2.1337761145924099E-2</v>
      </c>
      <c r="P50" s="164">
        <v>1.6594359318108671E-2</v>
      </c>
      <c r="Q50" s="164">
        <v>2.4276447531910151E-2</v>
      </c>
      <c r="S50" s="187">
        <f t="shared" si="75"/>
        <v>1</v>
      </c>
      <c r="T50" s="187">
        <f t="shared" si="76"/>
        <v>0.77769917868250649</v>
      </c>
      <c r="U50" s="187">
        <f t="shared" si="77"/>
        <v>1.1377223395598555</v>
      </c>
      <c r="W50" s="164">
        <f>FIGURES!DJ17</f>
        <v>1.3697339192702274E-2</v>
      </c>
      <c r="X50" s="164">
        <v>1.266849538836424E-2</v>
      </c>
      <c r="Y50" s="164">
        <v>1.1053739545317524E-2</v>
      </c>
      <c r="Z50" s="164">
        <v>1.3697339192702274E-2</v>
      </c>
      <c r="AB50" s="187">
        <f t="shared" si="78"/>
        <v>1</v>
      </c>
      <c r="AC50" s="187">
        <f t="shared" si="79"/>
        <v>0.87253767763693257</v>
      </c>
      <c r="AD50" s="187">
        <f t="shared" si="80"/>
        <v>1.0812127859542819</v>
      </c>
      <c r="AG50" s="164" t="s">
        <v>433</v>
      </c>
      <c r="AH50" s="164" t="s">
        <v>430</v>
      </c>
      <c r="AI50" s="164">
        <v>2034</v>
      </c>
      <c r="AJ50" s="164" t="str">
        <f t="shared" ref="AJ50:AL50" si="82">A10</f>
        <v>Road</v>
      </c>
      <c r="AK50" s="164" t="str">
        <f t="shared" si="82"/>
        <v>Liquid bulk</v>
      </c>
      <c r="AL50" s="164" t="str">
        <f t="shared" si="82"/>
        <v>Diesel</v>
      </c>
      <c r="AM50" s="188">
        <f t="shared" si="71"/>
        <v>1</v>
      </c>
    </row>
    <row r="51" spans="1:39" x14ac:dyDescent="0.25">
      <c r="A51" s="164" t="s">
        <v>168</v>
      </c>
      <c r="B51" s="164" t="s">
        <v>222</v>
      </c>
      <c r="C51" s="164" t="s">
        <v>186</v>
      </c>
      <c r="D51" s="164">
        <f>FIGURES!E17</f>
        <v>2.902835818114894E-2</v>
      </c>
      <c r="E51" s="164">
        <v>2.4164738028984341E-2</v>
      </c>
      <c r="F51" s="164">
        <v>1.6268719085558461E-2</v>
      </c>
      <c r="G51" s="164">
        <v>2.902835818114894E-2</v>
      </c>
      <c r="I51" s="187">
        <f t="shared" si="72"/>
        <v>1</v>
      </c>
      <c r="J51" s="187">
        <f t="shared" si="73"/>
        <v>0.67324210450967781</v>
      </c>
      <c r="K51" s="187">
        <f t="shared" si="74"/>
        <v>1.2012693101133951</v>
      </c>
      <c r="N51" s="164">
        <f>FIGURES!BH17</f>
        <v>2.5394305808418977E-2</v>
      </c>
      <c r="O51" s="164">
        <v>2.1518814862330576E-2</v>
      </c>
      <c r="P51" s="164">
        <v>1.5245482834790353E-2</v>
      </c>
      <c r="Q51" s="164">
        <v>2.5394305808418977E-2</v>
      </c>
      <c r="S51" s="187">
        <f t="shared" si="75"/>
        <v>1</v>
      </c>
      <c r="T51" s="187">
        <f t="shared" si="76"/>
        <v>0.70847223382539037</v>
      </c>
      <c r="U51" s="187">
        <f t="shared" si="77"/>
        <v>1.1800977874888723</v>
      </c>
      <c r="W51" s="164">
        <f>FIGURES!DK17</f>
        <v>1.3884215565991918E-2</v>
      </c>
      <c r="X51" s="164">
        <v>1.2723402485027428E-2</v>
      </c>
      <c r="Y51" s="164">
        <v>1.0900892414516543E-2</v>
      </c>
      <c r="Z51" s="164">
        <v>1.3884215565991918E-2</v>
      </c>
      <c r="AB51" s="187">
        <f t="shared" si="78"/>
        <v>1</v>
      </c>
      <c r="AC51" s="187">
        <f t="shared" si="79"/>
        <v>0.85675922201977284</v>
      </c>
      <c r="AD51" s="187">
        <f t="shared" si="80"/>
        <v>1.0912344856126737</v>
      </c>
      <c r="AG51" s="164" t="s">
        <v>87</v>
      </c>
      <c r="AH51" s="164" t="s">
        <v>430</v>
      </c>
      <c r="AI51" s="164">
        <v>2034</v>
      </c>
      <c r="AJ51" s="164" t="str">
        <f t="shared" ref="AJ51:AL51" si="83">A11</f>
        <v>Road</v>
      </c>
      <c r="AK51" s="164" t="str">
        <f t="shared" si="83"/>
        <v>Liquid bulk</v>
      </c>
      <c r="AL51" s="164" t="str">
        <f t="shared" si="83"/>
        <v>Battery</v>
      </c>
      <c r="AM51" s="188">
        <f t="shared" si="71"/>
        <v>1</v>
      </c>
    </row>
    <row r="52" spans="1:39" x14ac:dyDescent="0.25">
      <c r="A52" s="164" t="s">
        <v>168</v>
      </c>
      <c r="B52" s="164" t="s">
        <v>222</v>
      </c>
      <c r="C52" s="164" t="s">
        <v>187</v>
      </c>
      <c r="D52" s="164">
        <f>FIGURES!F17</f>
        <v>5.256198907442549E-2</v>
      </c>
      <c r="E52" s="164">
        <v>4.6798127195103914E-2</v>
      </c>
      <c r="F52" s="164">
        <v>3.7440218515067444E-2</v>
      </c>
      <c r="G52" s="164">
        <v>5.256198907442549E-2</v>
      </c>
      <c r="I52" s="187">
        <f t="shared" si="72"/>
        <v>1</v>
      </c>
      <c r="J52" s="187">
        <f t="shared" si="73"/>
        <v>0.80003668435228525</v>
      </c>
      <c r="K52" s="187">
        <f t="shared" si="74"/>
        <v>1.1231643705589269</v>
      </c>
      <c r="N52" s="164">
        <f>FIGURES!BI17</f>
        <v>4.8674626273940889E-2</v>
      </c>
      <c r="O52" s="164">
        <v>4.3393014936380175E-2</v>
      </c>
      <c r="P52" s="164">
        <v>3.4826803422997599E-2</v>
      </c>
      <c r="Q52" s="164">
        <v>4.8674626273940889E-2</v>
      </c>
      <c r="S52" s="187">
        <f t="shared" si="75"/>
        <v>1</v>
      </c>
      <c r="T52" s="187">
        <f t="shared" si="76"/>
        <v>0.80259008216087868</v>
      </c>
      <c r="U52" s="187">
        <f t="shared" si="77"/>
        <v>1.1217157034445346</v>
      </c>
      <c r="W52" s="164">
        <f>FIGURES!DL17</f>
        <v>1.8095171411782698E-2</v>
      </c>
      <c r="X52" s="164">
        <v>1.6598404470209011E-2</v>
      </c>
      <c r="Y52" s="164">
        <v>1.4245187269952135E-2</v>
      </c>
      <c r="Z52" s="164">
        <v>1.8095171411782698E-2</v>
      </c>
      <c r="AB52" s="187">
        <f t="shared" si="78"/>
        <v>1</v>
      </c>
      <c r="AC52" s="187">
        <f t="shared" si="79"/>
        <v>0.85822630093871644</v>
      </c>
      <c r="AD52" s="187">
        <f t="shared" si="80"/>
        <v>1.0901753505440899</v>
      </c>
      <c r="AG52" s="164" t="s">
        <v>103</v>
      </c>
      <c r="AH52" s="164" t="s">
        <v>430</v>
      </c>
      <c r="AI52" s="164">
        <v>2034</v>
      </c>
      <c r="AJ52" s="164" t="str">
        <f t="shared" ref="AJ52:AL52" si="84">A12</f>
        <v>Road</v>
      </c>
      <c r="AK52" s="164" t="str">
        <f t="shared" si="84"/>
        <v>Liquid bulk</v>
      </c>
      <c r="AL52" s="164" t="str">
        <f t="shared" si="84"/>
        <v>Hydrogen</v>
      </c>
      <c r="AM52" s="188">
        <f t="shared" si="71"/>
        <v>1</v>
      </c>
    </row>
    <row r="53" spans="1:39" x14ac:dyDescent="0.25">
      <c r="A53" s="164" t="s">
        <v>168</v>
      </c>
      <c r="B53" s="164" t="s">
        <v>224</v>
      </c>
      <c r="C53" s="164" t="s">
        <v>290</v>
      </c>
      <c r="D53" s="164">
        <f>FIGURES!G17</f>
        <v>1.2258901301375238E-2</v>
      </c>
      <c r="E53" s="164">
        <v>1.2258901301375238E-2</v>
      </c>
      <c r="F53" s="164">
        <v>1.2258901301375238E-2</v>
      </c>
      <c r="G53" s="164">
        <v>1.2258901301375238E-2</v>
      </c>
      <c r="I53" s="187">
        <f t="shared" si="72"/>
        <v>1</v>
      </c>
      <c r="J53" s="187">
        <f t="shared" si="73"/>
        <v>1</v>
      </c>
      <c r="K53" s="187">
        <f t="shared" si="74"/>
        <v>1</v>
      </c>
      <c r="N53" s="164">
        <f>FIGURES!BJ17</f>
        <v>1.30269185026054E-2</v>
      </c>
      <c r="O53" s="164">
        <v>1.30269185026054E-2</v>
      </c>
      <c r="P53" s="164">
        <v>1.30269185026054E-2</v>
      </c>
      <c r="Q53" s="164">
        <v>1.30269185026054E-2</v>
      </c>
      <c r="S53" s="187">
        <f t="shared" si="75"/>
        <v>1</v>
      </c>
      <c r="T53" s="187">
        <f t="shared" si="76"/>
        <v>1</v>
      </c>
      <c r="U53" s="187">
        <f t="shared" si="77"/>
        <v>1</v>
      </c>
      <c r="W53" s="164">
        <f>FIGURES!DM17</f>
        <v>1.9475953408553938E-2</v>
      </c>
      <c r="X53" s="164">
        <v>1.9475953408553938E-2</v>
      </c>
      <c r="Y53" s="164">
        <v>1.9475953408553938E-2</v>
      </c>
      <c r="Z53" s="164">
        <v>1.9475953408553938E-2</v>
      </c>
      <c r="AB53" s="187">
        <f t="shared" si="78"/>
        <v>1</v>
      </c>
      <c r="AC53" s="187">
        <f t="shared" si="79"/>
        <v>1</v>
      </c>
      <c r="AD53" s="187">
        <f t="shared" si="80"/>
        <v>1</v>
      </c>
      <c r="AG53" s="164" t="s">
        <v>433</v>
      </c>
      <c r="AH53" s="164" t="s">
        <v>430</v>
      </c>
      <c r="AI53" s="164">
        <v>2034</v>
      </c>
      <c r="AJ53" s="164" t="str">
        <f t="shared" ref="AJ53:AL53" si="85">A13</f>
        <v>Road</v>
      </c>
      <c r="AK53" s="164" t="str">
        <f t="shared" si="85"/>
        <v>Container</v>
      </c>
      <c r="AL53" s="164" t="str">
        <f t="shared" si="85"/>
        <v>Diesel</v>
      </c>
      <c r="AM53" s="188">
        <f t="shared" si="71"/>
        <v>1</v>
      </c>
    </row>
    <row r="54" spans="1:39" x14ac:dyDescent="0.25">
      <c r="A54" s="164" t="s">
        <v>168</v>
      </c>
      <c r="B54" s="164" t="s">
        <v>224</v>
      </c>
      <c r="C54" s="164" t="s">
        <v>289</v>
      </c>
      <c r="D54" s="164">
        <f>FIGURES!H17</f>
        <v>1.5501616237282348E-2</v>
      </c>
      <c r="E54" s="164">
        <v>1.5501616237282348E-2</v>
      </c>
      <c r="F54" s="164">
        <v>1.5501616237282348E-2</v>
      </c>
      <c r="G54" s="164">
        <v>1.5501616237282348E-2</v>
      </c>
      <c r="I54" s="187">
        <f t="shared" si="72"/>
        <v>1</v>
      </c>
      <c r="J54" s="187">
        <f t="shared" si="73"/>
        <v>1</v>
      </c>
      <c r="K54" s="187">
        <f t="shared" si="74"/>
        <v>1</v>
      </c>
      <c r="N54" s="164">
        <f>FIGURES!BK17</f>
        <v>1.6203552086642141E-2</v>
      </c>
      <c r="O54" s="164">
        <v>1.6203552086642141E-2</v>
      </c>
      <c r="P54" s="164">
        <v>1.6203552086642141E-2</v>
      </c>
      <c r="Q54" s="164">
        <v>1.6203552086642141E-2</v>
      </c>
      <c r="S54" s="187">
        <f t="shared" si="75"/>
        <v>1</v>
      </c>
      <c r="T54" s="187">
        <f t="shared" si="76"/>
        <v>1</v>
      </c>
      <c r="U54" s="187">
        <f t="shared" si="77"/>
        <v>1</v>
      </c>
      <c r="W54" s="164">
        <f>FIGURES!DN17</f>
        <v>2.2097702356983946E-2</v>
      </c>
      <c r="X54" s="164">
        <v>2.2097702356983946E-2</v>
      </c>
      <c r="Y54" s="164">
        <v>2.2097702356983946E-2</v>
      </c>
      <c r="Z54" s="164">
        <v>2.2097702356983946E-2</v>
      </c>
      <c r="AB54" s="187">
        <f t="shared" si="78"/>
        <v>1</v>
      </c>
      <c r="AC54" s="187">
        <f t="shared" si="79"/>
        <v>1</v>
      </c>
      <c r="AD54" s="187">
        <f t="shared" si="80"/>
        <v>1</v>
      </c>
      <c r="AG54" s="164" t="s">
        <v>87</v>
      </c>
      <c r="AH54" s="164" t="s">
        <v>430</v>
      </c>
      <c r="AI54" s="164">
        <v>2034</v>
      </c>
      <c r="AJ54" s="164" t="str">
        <f t="shared" ref="AJ54:AL54" si="86">A14</f>
        <v>Road</v>
      </c>
      <c r="AK54" s="164" t="str">
        <f t="shared" si="86"/>
        <v>Container</v>
      </c>
      <c r="AL54" s="164" t="str">
        <f t="shared" si="86"/>
        <v>Battery</v>
      </c>
      <c r="AM54" s="188">
        <f t="shared" si="71"/>
        <v>1</v>
      </c>
    </row>
    <row r="55" spans="1:39" x14ac:dyDescent="0.25">
      <c r="A55" s="164" t="s">
        <v>168</v>
      </c>
      <c r="B55" s="164" t="s">
        <v>224</v>
      </c>
      <c r="C55" s="164" t="s">
        <v>103</v>
      </c>
      <c r="D55" s="164">
        <f>FIGURES!I17</f>
        <v>3.6815507844405446E-2</v>
      </c>
      <c r="E55" s="164">
        <v>3.1707821270290704E-2</v>
      </c>
      <c r="F55" s="164">
        <v>2.3416073914171647E-2</v>
      </c>
      <c r="G55" s="164">
        <v>3.6815507844405446E-2</v>
      </c>
      <c r="I55" s="187">
        <f t="shared" si="72"/>
        <v>1</v>
      </c>
      <c r="J55" s="187">
        <f t="shared" si="73"/>
        <v>0.73849520326746065</v>
      </c>
      <c r="K55" s="187">
        <f t="shared" si="74"/>
        <v>1.1610860150426197</v>
      </c>
      <c r="N55" s="164">
        <f>FIGURES!BL17</f>
        <v>2.9157488262562616E-2</v>
      </c>
      <c r="O55" s="164">
        <v>2.5709630598553645E-2</v>
      </c>
      <c r="P55" s="164">
        <v>2.0144363605961637E-2</v>
      </c>
      <c r="Q55" s="164">
        <v>2.9157488262562616E-2</v>
      </c>
      <c r="S55" s="187">
        <f t="shared" si="75"/>
        <v>1</v>
      </c>
      <c r="T55" s="187">
        <f t="shared" si="76"/>
        <v>0.78353376291197685</v>
      </c>
      <c r="U55" s="187">
        <f t="shared" si="77"/>
        <v>1.1341076314104233</v>
      </c>
      <c r="W55" s="164">
        <f>FIGURES!DO17</f>
        <v>1.6769330398974394E-2</v>
      </c>
      <c r="X55" s="164">
        <v>1.5559804650768904E-2</v>
      </c>
      <c r="Y55" s="164">
        <v>1.3661471044642088E-2</v>
      </c>
      <c r="Z55" s="164">
        <v>1.6769330398974394E-2</v>
      </c>
      <c r="AB55" s="187">
        <f t="shared" si="78"/>
        <v>1</v>
      </c>
      <c r="AC55" s="187">
        <f t="shared" si="79"/>
        <v>0.87799759388155252</v>
      </c>
      <c r="AD55" s="187">
        <f t="shared" si="80"/>
        <v>1.0777339931543242</v>
      </c>
      <c r="AG55" s="164" t="s">
        <v>103</v>
      </c>
      <c r="AH55" s="164" t="s">
        <v>430</v>
      </c>
      <c r="AI55" s="164">
        <v>2034</v>
      </c>
      <c r="AJ55" s="164" t="str">
        <f t="shared" ref="AJ55:AL55" si="87">A15</f>
        <v>Road</v>
      </c>
      <c r="AK55" s="164" t="str">
        <f t="shared" si="87"/>
        <v>Container</v>
      </c>
      <c r="AL55" s="164" t="str">
        <f t="shared" si="87"/>
        <v>Hydrogen</v>
      </c>
      <c r="AM55" s="188">
        <f t="shared" si="71"/>
        <v>1</v>
      </c>
    </row>
    <row r="56" spans="1:39" x14ac:dyDescent="0.25">
      <c r="A56" s="164" t="s">
        <v>168</v>
      </c>
      <c r="B56" s="164" t="s">
        <v>224</v>
      </c>
      <c r="C56" s="164" t="s">
        <v>186</v>
      </c>
      <c r="D56" s="164">
        <f>FIGURES!J17</f>
        <v>3.4793907727129626E-2</v>
      </c>
      <c r="E56" s="164">
        <v>2.9075931389897652E-2</v>
      </c>
      <c r="F56" s="164">
        <v>1.9792877190701896E-2</v>
      </c>
      <c r="G56" s="164">
        <v>3.4793907727129626E-2</v>
      </c>
      <c r="I56" s="187">
        <f t="shared" si="72"/>
        <v>1</v>
      </c>
      <c r="J56" s="187">
        <f t="shared" si="73"/>
        <v>0.68073063336429773</v>
      </c>
      <c r="K56" s="187">
        <f t="shared" si="74"/>
        <v>1.1966566869537554</v>
      </c>
      <c r="N56" s="164">
        <f>FIGURES!BM17</f>
        <v>3.0524539385806074E-2</v>
      </c>
      <c r="O56" s="164">
        <v>2.596773037535453E-2</v>
      </c>
      <c r="P56" s="164">
        <v>1.859153564123902E-2</v>
      </c>
      <c r="Q56" s="164">
        <v>3.0524539385806074E-2</v>
      </c>
      <c r="S56" s="187">
        <f t="shared" si="75"/>
        <v>1</v>
      </c>
      <c r="T56" s="187">
        <f t="shared" si="76"/>
        <v>0.71594765397302051</v>
      </c>
      <c r="U56" s="187">
        <f t="shared" si="77"/>
        <v>1.1754796797634777</v>
      </c>
      <c r="W56" s="164">
        <f>FIGURES!DP17</f>
        <v>1.700311858405153E-2</v>
      </c>
      <c r="X56" s="164">
        <v>1.5636880668649138E-2</v>
      </c>
      <c r="Y56" s="164">
        <v>1.3491847673788511E-2</v>
      </c>
      <c r="Z56" s="164">
        <v>1.700311858405153E-2</v>
      </c>
      <c r="AB56" s="187">
        <f t="shared" si="78"/>
        <v>1</v>
      </c>
      <c r="AC56" s="187">
        <f t="shared" si="79"/>
        <v>0.86282219322928833</v>
      </c>
      <c r="AD56" s="187">
        <f t="shared" si="80"/>
        <v>1.0873727915658782</v>
      </c>
      <c r="AG56" s="164" t="s">
        <v>433</v>
      </c>
      <c r="AH56" s="164" t="s">
        <v>430</v>
      </c>
      <c r="AI56" s="164">
        <v>2034</v>
      </c>
      <c r="AJ56" s="164" t="str">
        <f t="shared" ref="AJ56:AL56" si="88">A16</f>
        <v>Road</v>
      </c>
      <c r="AK56" s="164" t="str">
        <f t="shared" si="88"/>
        <v>Break bulk</v>
      </c>
      <c r="AL56" s="164" t="str">
        <f t="shared" si="88"/>
        <v>Diesel</v>
      </c>
      <c r="AM56" s="188">
        <f t="shared" si="71"/>
        <v>1</v>
      </c>
    </row>
    <row r="57" spans="1:39" x14ac:dyDescent="0.25">
      <c r="A57" s="164" t="s">
        <v>168</v>
      </c>
      <c r="B57" s="164" t="s">
        <v>224</v>
      </c>
      <c r="C57" s="164" t="s">
        <v>187</v>
      </c>
      <c r="D57" s="164">
        <f>FIGURES!K17</f>
        <v>6.2720175930539093E-2</v>
      </c>
      <c r="E57" s="164">
        <v>5.5913513665979728E-2</v>
      </c>
      <c r="F57" s="164">
        <v>4.4862568098371178E-2</v>
      </c>
      <c r="G57" s="164">
        <v>6.2720175930539093E-2</v>
      </c>
      <c r="I57" s="187">
        <f t="shared" si="72"/>
        <v>1</v>
      </c>
      <c r="J57" s="187">
        <f t="shared" si="73"/>
        <v>0.80235644582049515</v>
      </c>
      <c r="K57" s="187">
        <f t="shared" si="74"/>
        <v>1.1217355486765062</v>
      </c>
      <c r="N57" s="164">
        <f>FIGURES!BN17</f>
        <v>5.8129509770123607E-2</v>
      </c>
      <c r="O57" s="164">
        <v>5.1892347024010965E-2</v>
      </c>
      <c r="P57" s="164">
        <v>4.1776332817015774E-2</v>
      </c>
      <c r="Q57" s="164">
        <v>5.8129509770123607E-2</v>
      </c>
      <c r="S57" s="187">
        <f t="shared" si="75"/>
        <v>1</v>
      </c>
      <c r="T57" s="187">
        <f t="shared" si="76"/>
        <v>0.80505768601457861</v>
      </c>
      <c r="U57" s="187">
        <f t="shared" si="77"/>
        <v>1.1201942695562923</v>
      </c>
      <c r="W57" s="164">
        <f>FIGURES!DQ17</f>
        <v>2.2017606702531806E-2</v>
      </c>
      <c r="X57" s="164">
        <v>2.02500440382355E-2</v>
      </c>
      <c r="Y57" s="164">
        <v>1.7471081763867843E-2</v>
      </c>
      <c r="Z57" s="164">
        <v>2.2017606702531806E-2</v>
      </c>
      <c r="AB57" s="187">
        <f t="shared" si="78"/>
        <v>1</v>
      </c>
      <c r="AC57" s="187">
        <f t="shared" si="79"/>
        <v>0.86276759353606802</v>
      </c>
      <c r="AD57" s="187">
        <f t="shared" si="80"/>
        <v>1.0872868553252946</v>
      </c>
      <c r="AG57" s="164" t="s">
        <v>87</v>
      </c>
      <c r="AH57" s="164" t="s">
        <v>430</v>
      </c>
      <c r="AI57" s="164">
        <v>2034</v>
      </c>
      <c r="AJ57" s="164" t="str">
        <f t="shared" ref="AJ57:AL57" si="89">A17</f>
        <v>Road</v>
      </c>
      <c r="AK57" s="164" t="str">
        <f t="shared" si="89"/>
        <v>Break bulk</v>
      </c>
      <c r="AL57" s="164" t="str">
        <f t="shared" si="89"/>
        <v>Battery</v>
      </c>
      <c r="AM57" s="188">
        <f t="shared" si="71"/>
        <v>1</v>
      </c>
    </row>
    <row r="58" spans="1:39" x14ac:dyDescent="0.25">
      <c r="A58" s="164" t="s">
        <v>168</v>
      </c>
      <c r="B58" s="164" t="s">
        <v>225</v>
      </c>
      <c r="C58" s="164" t="s">
        <v>290</v>
      </c>
      <c r="D58" s="164">
        <f>FIGURES!L17</f>
        <v>1.2816541364345116E-2</v>
      </c>
      <c r="E58" s="164">
        <v>1.2816541364345116E-2</v>
      </c>
      <c r="F58" s="164">
        <v>1.2816541364345116E-2</v>
      </c>
      <c r="G58" s="164">
        <v>1.2816541364345116E-2</v>
      </c>
      <c r="I58" s="187">
        <f t="shared" si="72"/>
        <v>1</v>
      </c>
      <c r="J58" s="187">
        <f t="shared" si="73"/>
        <v>1</v>
      </c>
      <c r="K58" s="187">
        <f t="shared" si="74"/>
        <v>1</v>
      </c>
      <c r="N58" s="164">
        <f>FIGURES!BO17</f>
        <v>1.3663329560573244E-2</v>
      </c>
      <c r="O58" s="164">
        <v>1.3663329560573244E-2</v>
      </c>
      <c r="P58" s="164">
        <v>1.3663329560573244E-2</v>
      </c>
      <c r="Q58" s="164">
        <v>1.3663329560573244E-2</v>
      </c>
      <c r="S58" s="187">
        <f t="shared" si="75"/>
        <v>1</v>
      </c>
      <c r="T58" s="187">
        <f t="shared" si="76"/>
        <v>1</v>
      </c>
      <c r="U58" s="187">
        <f t="shared" si="77"/>
        <v>1</v>
      </c>
      <c r="W58" s="164">
        <f>FIGURES!DR17</f>
        <v>2.077380394405496E-2</v>
      </c>
      <c r="X58" s="164">
        <v>2.077380394405496E-2</v>
      </c>
      <c r="Y58" s="164">
        <v>2.077380394405496E-2</v>
      </c>
      <c r="Z58" s="164">
        <v>2.077380394405496E-2</v>
      </c>
      <c r="AB58" s="187">
        <f t="shared" si="78"/>
        <v>1</v>
      </c>
      <c r="AC58" s="187">
        <f t="shared" si="79"/>
        <v>1</v>
      </c>
      <c r="AD58" s="187">
        <f t="shared" si="80"/>
        <v>1</v>
      </c>
      <c r="AG58" s="164" t="s">
        <v>103</v>
      </c>
      <c r="AH58" s="164" t="s">
        <v>430</v>
      </c>
      <c r="AI58" s="164">
        <v>2034</v>
      </c>
      <c r="AJ58" s="164" t="str">
        <f t="shared" ref="AJ58:AL58" si="90">A18</f>
        <v>Road</v>
      </c>
      <c r="AK58" s="164" t="str">
        <f t="shared" si="90"/>
        <v>Break bulk</v>
      </c>
      <c r="AL58" s="164" t="str">
        <f t="shared" si="90"/>
        <v>Hydrogen</v>
      </c>
      <c r="AM58" s="188">
        <f t="shared" si="71"/>
        <v>1</v>
      </c>
    </row>
    <row r="59" spans="1:39" x14ac:dyDescent="0.25">
      <c r="A59" s="164" t="s">
        <v>168</v>
      </c>
      <c r="B59" s="164" t="s">
        <v>225</v>
      </c>
      <c r="C59" s="164" t="s">
        <v>289</v>
      </c>
      <c r="D59" s="164">
        <f>FIGURES!M17</f>
        <v>1.639184244752475E-2</v>
      </c>
      <c r="E59" s="164">
        <v>1.639184244752475E-2</v>
      </c>
      <c r="F59" s="164">
        <v>1.639184244752475E-2</v>
      </c>
      <c r="G59" s="164">
        <v>1.639184244752475E-2</v>
      </c>
      <c r="I59" s="187">
        <f t="shared" si="72"/>
        <v>1</v>
      </c>
      <c r="J59" s="187">
        <f t="shared" si="73"/>
        <v>1</v>
      </c>
      <c r="K59" s="187">
        <f t="shared" si="74"/>
        <v>1</v>
      </c>
      <c r="N59" s="164">
        <f>FIGURES!BP17</f>
        <v>1.7165771717331697E-2</v>
      </c>
      <c r="O59" s="164">
        <v>1.7165771717331697E-2</v>
      </c>
      <c r="P59" s="164">
        <v>1.7165771717331697E-2</v>
      </c>
      <c r="Q59" s="164">
        <v>1.7165771717331697E-2</v>
      </c>
      <c r="S59" s="187">
        <f t="shared" si="75"/>
        <v>1</v>
      </c>
      <c r="T59" s="187">
        <f t="shared" si="76"/>
        <v>1</v>
      </c>
      <c r="U59" s="187">
        <f t="shared" si="77"/>
        <v>1</v>
      </c>
      <c r="W59" s="164">
        <f>FIGURES!DS17</f>
        <v>2.3664450220529071E-2</v>
      </c>
      <c r="X59" s="164">
        <v>2.3664450220529071E-2</v>
      </c>
      <c r="Y59" s="164">
        <v>2.3664450220529071E-2</v>
      </c>
      <c r="Z59" s="164">
        <v>2.3664450220529071E-2</v>
      </c>
      <c r="AB59" s="187">
        <f t="shared" si="78"/>
        <v>1</v>
      </c>
      <c r="AC59" s="187">
        <f t="shared" si="79"/>
        <v>1</v>
      </c>
      <c r="AD59" s="187">
        <f t="shared" si="80"/>
        <v>1</v>
      </c>
      <c r="AG59" s="164" t="s">
        <v>433</v>
      </c>
      <c r="AH59" s="164" t="s">
        <v>430</v>
      </c>
      <c r="AI59" s="164">
        <v>2034</v>
      </c>
      <c r="AJ59" s="164" t="str">
        <f t="shared" ref="AJ59:AL59" si="91">A19</f>
        <v>Road</v>
      </c>
      <c r="AK59" s="164" t="str">
        <f t="shared" si="91"/>
        <v>Neo bulk</v>
      </c>
      <c r="AL59" s="164" t="str">
        <f t="shared" si="91"/>
        <v>Diesel</v>
      </c>
      <c r="AM59" s="188">
        <f t="shared" si="71"/>
        <v>1</v>
      </c>
    </row>
    <row r="60" spans="1:39" x14ac:dyDescent="0.25">
      <c r="A60" s="164" t="s">
        <v>168</v>
      </c>
      <c r="B60" s="164" t="s">
        <v>225</v>
      </c>
      <c r="C60" s="164" t="s">
        <v>103</v>
      </c>
      <c r="D60" s="164">
        <f>FIGURES!N17</f>
        <v>3.9621316206197396E-2</v>
      </c>
      <c r="E60" s="164">
        <v>3.4021123495650896E-2</v>
      </c>
      <c r="F60" s="164">
        <v>2.4929848526516911E-2</v>
      </c>
      <c r="G60" s="164">
        <v>3.9621316206197396E-2</v>
      </c>
      <c r="I60" s="187">
        <f t="shared" si="72"/>
        <v>1</v>
      </c>
      <c r="J60" s="187">
        <f t="shared" si="73"/>
        <v>0.7327755807271864</v>
      </c>
      <c r="K60" s="187">
        <f t="shared" si="74"/>
        <v>1.1646092819733718</v>
      </c>
      <c r="N60" s="164">
        <f>FIGURES!BQ17</f>
        <v>3.1229809235388841E-2</v>
      </c>
      <c r="O60" s="164">
        <v>2.7449031889595642E-2</v>
      </c>
      <c r="P60" s="164">
        <v>2.1346391520034338E-2</v>
      </c>
      <c r="Q60" s="164">
        <v>3.1229809235388841E-2</v>
      </c>
      <c r="S60" s="187">
        <f t="shared" si="75"/>
        <v>1</v>
      </c>
      <c r="T60" s="187">
        <f t="shared" si="76"/>
        <v>0.77767374841826509</v>
      </c>
      <c r="U60" s="187">
        <f t="shared" si="77"/>
        <v>1.1377380944071209</v>
      </c>
      <c r="W60" s="164">
        <f>FIGURES!DT17</f>
        <v>1.7672618345426837E-2</v>
      </c>
      <c r="X60" s="164">
        <v>1.6344954403154168E-2</v>
      </c>
      <c r="Y60" s="164">
        <v>1.4261204567321127E-2</v>
      </c>
      <c r="Z60" s="164">
        <v>1.7672618345426837E-2</v>
      </c>
      <c r="AB60" s="187">
        <f t="shared" si="78"/>
        <v>1</v>
      </c>
      <c r="AC60" s="187">
        <f t="shared" si="79"/>
        <v>0.87251418484037313</v>
      </c>
      <c r="AD60" s="187">
        <f t="shared" si="80"/>
        <v>1.0812277544204383</v>
      </c>
      <c r="AG60" s="164" t="s">
        <v>87</v>
      </c>
      <c r="AH60" s="164" t="s">
        <v>430</v>
      </c>
      <c r="AI60" s="164">
        <v>2034</v>
      </c>
      <c r="AJ60" s="164" t="str">
        <f t="shared" ref="AJ60:AL60" si="92">A20</f>
        <v>Road</v>
      </c>
      <c r="AK60" s="164" t="str">
        <f t="shared" si="92"/>
        <v>Neo bulk</v>
      </c>
      <c r="AL60" s="164" t="str">
        <f t="shared" si="92"/>
        <v>Battery</v>
      </c>
      <c r="AM60" s="188">
        <f t="shared" si="71"/>
        <v>1</v>
      </c>
    </row>
    <row r="61" spans="1:39" x14ac:dyDescent="0.25">
      <c r="A61" s="164" t="s">
        <v>168</v>
      </c>
      <c r="B61" s="164" t="s">
        <v>225</v>
      </c>
      <c r="C61" s="164" t="s">
        <v>186</v>
      </c>
      <c r="D61" s="164">
        <f>FIGURES!O17</f>
        <v>3.7458635463234573E-2</v>
      </c>
      <c r="E61" s="164">
        <v>3.1182041620381611E-2</v>
      </c>
      <c r="F61" s="164">
        <v>2.099207975395171E-2</v>
      </c>
      <c r="G61" s="164">
        <v>3.7458635463234573E-2</v>
      </c>
      <c r="I61" s="187">
        <f t="shared" si="72"/>
        <v>1</v>
      </c>
      <c r="J61" s="187">
        <f t="shared" si="73"/>
        <v>0.67321056169172044</v>
      </c>
      <c r="K61" s="187">
        <f t="shared" si="74"/>
        <v>1.2012887391809</v>
      </c>
      <c r="N61" s="164">
        <f>FIGURES!BR17</f>
        <v>3.2774673158946381E-2</v>
      </c>
      <c r="O61" s="164">
        <v>2.7772386952565075E-2</v>
      </c>
      <c r="P61" s="164">
        <v>1.9675089679534959E-2</v>
      </c>
      <c r="Q61" s="164">
        <v>3.2774673158946381E-2</v>
      </c>
      <c r="S61" s="187">
        <f t="shared" si="75"/>
        <v>1</v>
      </c>
      <c r="T61" s="187">
        <f t="shared" si="76"/>
        <v>0.70844071534577824</v>
      </c>
      <c r="U61" s="187">
        <f t="shared" si="77"/>
        <v>1.1801172587334734</v>
      </c>
      <c r="W61" s="164">
        <f>FIGURES!DU17</f>
        <v>1.7944839325241123E-2</v>
      </c>
      <c r="X61" s="164">
        <v>1.6444285171937034E-2</v>
      </c>
      <c r="Y61" s="164">
        <v>1.4088371803463109E-2</v>
      </c>
      <c r="Z61" s="164">
        <v>1.7944839325241123E-2</v>
      </c>
      <c r="AB61" s="187">
        <f t="shared" si="78"/>
        <v>1</v>
      </c>
      <c r="AC61" s="187">
        <f t="shared" si="79"/>
        <v>0.85673361025784178</v>
      </c>
      <c r="AD61" s="187">
        <f t="shared" si="80"/>
        <v>1.0912507985366768</v>
      </c>
      <c r="AG61" s="164" t="s">
        <v>103</v>
      </c>
      <c r="AH61" s="164" t="s">
        <v>430</v>
      </c>
      <c r="AI61" s="164">
        <v>2034</v>
      </c>
      <c r="AJ61" s="164" t="str">
        <f t="shared" ref="AJ61:AL61" si="93">A21</f>
        <v>Road</v>
      </c>
      <c r="AK61" s="164" t="str">
        <f t="shared" si="93"/>
        <v>Neo bulk</v>
      </c>
      <c r="AL61" s="164" t="str">
        <f t="shared" si="93"/>
        <v>Hydrogen</v>
      </c>
      <c r="AM61" s="188">
        <f t="shared" si="71"/>
        <v>1</v>
      </c>
    </row>
    <row r="62" spans="1:39" x14ac:dyDescent="0.25">
      <c r="A62" s="164" t="s">
        <v>168</v>
      </c>
      <c r="B62" s="164" t="s">
        <v>225</v>
      </c>
      <c r="C62" s="164" t="s">
        <v>187</v>
      </c>
      <c r="D62" s="164">
        <f>FIGURES!P17</f>
        <v>6.8286569531415708E-2</v>
      </c>
      <c r="E62" s="164">
        <v>6.0798076245739338E-2</v>
      </c>
      <c r="F62" s="164">
        <v>4.8640145020872112E-2</v>
      </c>
      <c r="G62" s="164">
        <v>6.8286569531415708E-2</v>
      </c>
      <c r="I62" s="187">
        <f t="shared" si="72"/>
        <v>1</v>
      </c>
      <c r="J62" s="187">
        <f t="shared" si="73"/>
        <v>0.80002769864417811</v>
      </c>
      <c r="K62" s="187">
        <f t="shared" si="74"/>
        <v>1.1231699051695103</v>
      </c>
      <c r="N62" s="164">
        <f>FIGURES!BS17</f>
        <v>6.3236051174122357E-2</v>
      </c>
      <c r="O62" s="164">
        <v>5.6374104814725746E-2</v>
      </c>
      <c r="P62" s="164">
        <v>4.524475807729153E-2</v>
      </c>
      <c r="Q62" s="164">
        <v>6.3236051174122357E-2</v>
      </c>
      <c r="S62" s="187">
        <f t="shared" si="75"/>
        <v>1</v>
      </c>
      <c r="T62" s="187">
        <f t="shared" si="76"/>
        <v>0.80258051504301553</v>
      </c>
      <c r="U62" s="187">
        <f t="shared" si="77"/>
        <v>1.121721602177959</v>
      </c>
      <c r="W62" s="164">
        <f>FIGURES!DV17</f>
        <v>2.3506778126054714E-2</v>
      </c>
      <c r="X62" s="164">
        <v>2.1562156719978229E-2</v>
      </c>
      <c r="Y62" s="164">
        <v>1.8504822666384306E-2</v>
      </c>
      <c r="Z62" s="164">
        <v>2.3506778126054714E-2</v>
      </c>
      <c r="AB62" s="187">
        <f t="shared" si="78"/>
        <v>1</v>
      </c>
      <c r="AC62" s="187">
        <f t="shared" si="79"/>
        <v>0.85820833725964085</v>
      </c>
      <c r="AD62" s="187">
        <f t="shared" si="80"/>
        <v>1.0901867763661468</v>
      </c>
      <c r="AG62" s="164" t="s">
        <v>433</v>
      </c>
      <c r="AH62" s="164" t="s">
        <v>431</v>
      </c>
      <c r="AI62" s="164">
        <v>2034</v>
      </c>
      <c r="AJ62" s="164" t="str">
        <f>A7</f>
        <v>Road</v>
      </c>
      <c r="AK62" s="164" t="str">
        <f>B7</f>
        <v>Dry bulk</v>
      </c>
      <c r="AL62" s="164" t="str">
        <f>C7</f>
        <v>Diesel</v>
      </c>
      <c r="AM62" s="188">
        <f>S7</f>
        <v>1</v>
      </c>
    </row>
    <row r="63" spans="1:39" x14ac:dyDescent="0.25">
      <c r="A63" s="164" t="s">
        <v>168</v>
      </c>
      <c r="B63" s="164" t="s">
        <v>226</v>
      </c>
      <c r="C63" s="164" t="s">
        <v>290</v>
      </c>
      <c r="D63" s="164">
        <f>FIGURES!Q17</f>
        <v>9.7976383140681526E-3</v>
      </c>
      <c r="E63" s="164">
        <v>9.7976383140681526E-3</v>
      </c>
      <c r="F63" s="164">
        <v>9.7976383140681526E-3</v>
      </c>
      <c r="G63" s="164">
        <v>9.7976383140681526E-3</v>
      </c>
      <c r="I63" s="187">
        <f>E63/E63</f>
        <v>1</v>
      </c>
      <c r="J63" s="187">
        <f>F63/E63</f>
        <v>1</v>
      </c>
      <c r="K63" s="187">
        <f>G63/E63</f>
        <v>1</v>
      </c>
      <c r="N63" s="164">
        <f>FIGURES!BT17</f>
        <v>1.0445182228830839E-2</v>
      </c>
      <c r="O63" s="164">
        <v>1.0445182228830839E-2</v>
      </c>
      <c r="P63" s="164">
        <v>1.0445182228830839E-2</v>
      </c>
      <c r="Q63" s="164">
        <v>1.0445182228830839E-2</v>
      </c>
      <c r="S63" s="187">
        <f>O63/O63</f>
        <v>1</v>
      </c>
      <c r="T63" s="187">
        <f>P63/O63</f>
        <v>1</v>
      </c>
      <c r="U63" s="187">
        <f>Q63/O63</f>
        <v>1</v>
      </c>
      <c r="W63" s="164">
        <f>FIGURES!DW17</f>
        <v>1.5882603816199208E-2</v>
      </c>
      <c r="X63" s="164">
        <v>1.5882603816199208E-2</v>
      </c>
      <c r="Y63" s="164">
        <v>1.5882603816199208E-2</v>
      </c>
      <c r="Z63" s="164">
        <v>1.5882603816199208E-2</v>
      </c>
      <c r="AB63" s="187">
        <f>X63/X63</f>
        <v>1</v>
      </c>
      <c r="AC63" s="187">
        <f>Y63/X63</f>
        <v>1</v>
      </c>
      <c r="AD63" s="187">
        <f>Z63/X63</f>
        <v>1</v>
      </c>
      <c r="AG63" s="164" t="s">
        <v>87</v>
      </c>
      <c r="AH63" s="164" t="s">
        <v>431</v>
      </c>
      <c r="AI63" s="164">
        <v>2034</v>
      </c>
      <c r="AJ63" s="164" t="str">
        <f t="shared" ref="AJ63:AL63" si="94">A8</f>
        <v>Road</v>
      </c>
      <c r="AK63" s="164" t="str">
        <f t="shared" si="94"/>
        <v>Dry bulk</v>
      </c>
      <c r="AL63" s="164" t="str">
        <f t="shared" si="94"/>
        <v>Battery</v>
      </c>
      <c r="AM63" s="188">
        <f t="shared" ref="AM63:AM76" si="95">S8</f>
        <v>0.99236950289545012</v>
      </c>
    </row>
    <row r="64" spans="1:39" x14ac:dyDescent="0.25">
      <c r="A64" s="164" t="s">
        <v>168</v>
      </c>
      <c r="B64" s="164" t="s">
        <v>226</v>
      </c>
      <c r="C64" s="164" t="s">
        <v>289</v>
      </c>
      <c r="D64" s="164">
        <f>FIGURES!R17</f>
        <v>1.2531692083558459E-2</v>
      </c>
      <c r="E64" s="164">
        <v>1.2531692083558459E-2</v>
      </c>
      <c r="F64" s="164">
        <v>1.2531692083558459E-2</v>
      </c>
      <c r="G64" s="164">
        <v>1.2531692083558459E-2</v>
      </c>
      <c r="I64" s="187">
        <f t="shared" ref="I64:I67" si="96">E64/E64</f>
        <v>1</v>
      </c>
      <c r="J64" s="187">
        <f t="shared" ref="J64:J67" si="97">F64/E64</f>
        <v>1</v>
      </c>
      <c r="K64" s="187">
        <f t="shared" ref="K64:K67" si="98">G64/E64</f>
        <v>1</v>
      </c>
      <c r="N64" s="164">
        <f>FIGURES!BU17</f>
        <v>1.312352034870495E-2</v>
      </c>
      <c r="O64" s="164">
        <v>1.312352034870495E-2</v>
      </c>
      <c r="P64" s="164">
        <v>1.312352034870495E-2</v>
      </c>
      <c r="Q64" s="164">
        <v>1.312352034870495E-2</v>
      </c>
      <c r="S64" s="187">
        <f t="shared" ref="S64:S67" si="99">O64/O64</f>
        <v>1</v>
      </c>
      <c r="T64" s="187">
        <f t="shared" ref="T64:T67" si="100">P64/O64</f>
        <v>1</v>
      </c>
      <c r="U64" s="187">
        <f t="shared" ref="U64:U67" si="101">Q64/O64</f>
        <v>1</v>
      </c>
      <c r="W64" s="164">
        <f>FIGURES!DX17</f>
        <v>1.8093098027620588E-2</v>
      </c>
      <c r="X64" s="164">
        <v>1.8093098027620588E-2</v>
      </c>
      <c r="Y64" s="164">
        <v>1.8093098027620588E-2</v>
      </c>
      <c r="Z64" s="164">
        <v>1.8093098027620588E-2</v>
      </c>
      <c r="AB64" s="187">
        <f t="shared" ref="AB64:AB67" si="102">X64/X64</f>
        <v>1</v>
      </c>
      <c r="AC64" s="187">
        <f t="shared" ref="AC64:AC67" si="103">Y64/X64</f>
        <v>1</v>
      </c>
      <c r="AD64" s="187">
        <f t="shared" ref="AD64:AD67" si="104">Z64/X64</f>
        <v>1</v>
      </c>
      <c r="AG64" s="164" t="s">
        <v>103</v>
      </c>
      <c r="AH64" s="164" t="s">
        <v>431</v>
      </c>
      <c r="AI64" s="164">
        <v>2034</v>
      </c>
      <c r="AJ64" s="164" t="str">
        <f t="shared" ref="AJ64:AL64" si="105">A9</f>
        <v>Road</v>
      </c>
      <c r="AK64" s="164" t="str">
        <f t="shared" si="105"/>
        <v>Dry bulk</v>
      </c>
      <c r="AL64" s="164" t="str">
        <f t="shared" si="105"/>
        <v>Hydrogen</v>
      </c>
      <c r="AM64" s="188">
        <f t="shared" si="95"/>
        <v>0.96378803016764036</v>
      </c>
    </row>
    <row r="65" spans="1:39" x14ac:dyDescent="0.25">
      <c r="A65" s="164" t="s">
        <v>168</v>
      </c>
      <c r="B65" s="164" t="s">
        <v>226</v>
      </c>
      <c r="C65" s="164" t="s">
        <v>103</v>
      </c>
      <c r="D65" s="164">
        <f>FIGURES!S17</f>
        <v>3.0804570665622654E-2</v>
      </c>
      <c r="E65" s="164">
        <v>2.6450128770756486E-2</v>
      </c>
      <c r="F65" s="164">
        <v>1.9381188352189702E-2</v>
      </c>
      <c r="G65" s="164">
        <v>3.0804570665622654E-2</v>
      </c>
      <c r="I65" s="187">
        <f t="shared" si="96"/>
        <v>1</v>
      </c>
      <c r="J65" s="187">
        <f t="shared" si="97"/>
        <v>0.73274457452236408</v>
      </c>
      <c r="K65" s="187">
        <f t="shared" si="98"/>
        <v>1.1646283816841179</v>
      </c>
      <c r="N65" s="164">
        <f>FIGURES!BV17</f>
        <v>2.427093395158746E-2</v>
      </c>
      <c r="O65" s="164">
        <v>2.1332247565601415E-2</v>
      </c>
      <c r="P65" s="164">
        <v>1.6588845737785983E-2</v>
      </c>
      <c r="Q65" s="164">
        <v>2.427093395158746E-2</v>
      </c>
      <c r="S65" s="187">
        <f t="shared" si="99"/>
        <v>1</v>
      </c>
      <c r="T65" s="187">
        <f t="shared" si="100"/>
        <v>0.7776417223160188</v>
      </c>
      <c r="U65" s="187">
        <f t="shared" si="101"/>
        <v>1.1377579355831555</v>
      </c>
      <c r="W65" s="164">
        <f>FIGURES!DY17</f>
        <v>1.3691899441277723E-2</v>
      </c>
      <c r="X65" s="164">
        <v>1.2663055636939688E-2</v>
      </c>
      <c r="Y65" s="164">
        <v>1.104829979389297E-2</v>
      </c>
      <c r="Z65" s="164">
        <v>1.3691899441277723E-2</v>
      </c>
      <c r="AB65" s="187">
        <f t="shared" si="102"/>
        <v>1</v>
      </c>
      <c r="AC65" s="187">
        <f t="shared" si="103"/>
        <v>0.87248292281554252</v>
      </c>
      <c r="AD65" s="187">
        <f t="shared" si="104"/>
        <v>1.081247673060582</v>
      </c>
      <c r="AG65" s="164" t="s">
        <v>433</v>
      </c>
      <c r="AH65" s="164" t="s">
        <v>431</v>
      </c>
      <c r="AI65" s="164">
        <v>2034</v>
      </c>
      <c r="AJ65" s="164" t="str">
        <f t="shared" ref="AJ65:AL65" si="106">A10</f>
        <v>Road</v>
      </c>
      <c r="AK65" s="164" t="str">
        <f t="shared" si="106"/>
        <v>Liquid bulk</v>
      </c>
      <c r="AL65" s="164" t="str">
        <f t="shared" si="106"/>
        <v>Diesel</v>
      </c>
      <c r="AM65" s="188">
        <f t="shared" si="95"/>
        <v>1</v>
      </c>
    </row>
    <row r="66" spans="1:39" x14ac:dyDescent="0.25">
      <c r="A66" s="164" t="s">
        <v>168</v>
      </c>
      <c r="B66" s="164" t="s">
        <v>226</v>
      </c>
      <c r="C66" s="164" t="s">
        <v>186</v>
      </c>
      <c r="D66" s="164">
        <f>FIGURES!T17</f>
        <v>2.902291985757945E-2</v>
      </c>
      <c r="E66" s="164">
        <v>2.415929970541485E-2</v>
      </c>
      <c r="F66" s="164">
        <v>1.626328076198897E-2</v>
      </c>
      <c r="G66" s="164">
        <v>2.902291985757945E-2</v>
      </c>
      <c r="I66" s="187">
        <f t="shared" si="96"/>
        <v>1</v>
      </c>
      <c r="J66" s="187">
        <f t="shared" si="97"/>
        <v>0.6731685504254854</v>
      </c>
      <c r="K66" s="187">
        <f t="shared" si="98"/>
        <v>1.2013146163783261</v>
      </c>
      <c r="N66" s="164">
        <f>FIGURES!BW17</f>
        <v>2.5388871789013941E-2</v>
      </c>
      <c r="O66" s="164">
        <v>2.1513380842925537E-2</v>
      </c>
      <c r="P66" s="164">
        <v>1.5240048815385317E-2</v>
      </c>
      <c r="Q66" s="164">
        <v>2.5388871789013941E-2</v>
      </c>
      <c r="S66" s="187">
        <f t="shared" si="99"/>
        <v>1</v>
      </c>
      <c r="T66" s="187">
        <f t="shared" si="100"/>
        <v>0.70839859744298894</v>
      </c>
      <c r="U66" s="187">
        <f t="shared" si="101"/>
        <v>1.1801432780084318</v>
      </c>
      <c r="W66" s="164">
        <f>FIGURES!DZ17</f>
        <v>1.3878817307084377E-2</v>
      </c>
      <c r="X66" s="164">
        <v>1.271800422611989E-2</v>
      </c>
      <c r="Y66" s="164">
        <v>1.0895494155609005E-2</v>
      </c>
      <c r="Z66" s="164">
        <v>1.3878817307084377E-2</v>
      </c>
      <c r="AB66" s="187">
        <f t="shared" si="102"/>
        <v>1</v>
      </c>
      <c r="AC66" s="187">
        <f t="shared" si="103"/>
        <v>0.85669842232259497</v>
      </c>
      <c r="AD66" s="187">
        <f t="shared" si="104"/>
        <v>1.0912732108219025</v>
      </c>
      <c r="AG66" s="164" t="s">
        <v>87</v>
      </c>
      <c r="AH66" s="164" t="s">
        <v>431</v>
      </c>
      <c r="AI66" s="164">
        <v>2034</v>
      </c>
      <c r="AJ66" s="164" t="str">
        <f t="shared" ref="AJ66:AL66" si="107">A11</f>
        <v>Road</v>
      </c>
      <c r="AK66" s="164" t="str">
        <f t="shared" si="107"/>
        <v>Liquid bulk</v>
      </c>
      <c r="AL66" s="164" t="str">
        <f t="shared" si="107"/>
        <v>Battery</v>
      </c>
      <c r="AM66" s="188">
        <f t="shared" si="95"/>
        <v>0.98627474300002671</v>
      </c>
    </row>
    <row r="67" spans="1:39" x14ac:dyDescent="0.25">
      <c r="A67" s="164" t="s">
        <v>168</v>
      </c>
      <c r="B67" s="164" t="s">
        <v>226</v>
      </c>
      <c r="C67" s="164" t="s">
        <v>187</v>
      </c>
      <c r="D67" s="164">
        <f>FIGURES!U17</f>
        <v>5.2556708796956973E-2</v>
      </c>
      <c r="E67" s="164">
        <v>4.6792846917635397E-2</v>
      </c>
      <c r="F67" s="164">
        <v>3.7434938237598928E-2</v>
      </c>
      <c r="G67" s="164">
        <v>5.2556708796956973E-2</v>
      </c>
      <c r="I67" s="187">
        <f t="shared" si="96"/>
        <v>1</v>
      </c>
      <c r="J67" s="187">
        <f t="shared" si="97"/>
        <v>0.80001411975406778</v>
      </c>
      <c r="K67" s="187">
        <f t="shared" si="98"/>
        <v>1.1231782688808634</v>
      </c>
      <c r="N67" s="164">
        <f>FIGURES!BX17</f>
        <v>4.8669345996472373E-2</v>
      </c>
      <c r="O67" s="164">
        <v>4.3387734658911666E-2</v>
      </c>
      <c r="P67" s="164">
        <v>3.4821523145529082E-2</v>
      </c>
      <c r="Q67" s="164">
        <v>4.8669345996472373E-2</v>
      </c>
      <c r="S67" s="187">
        <f t="shared" si="99"/>
        <v>1</v>
      </c>
      <c r="T67" s="187">
        <f t="shared" si="100"/>
        <v>0.80256605741864606</v>
      </c>
      <c r="U67" s="187">
        <f t="shared" si="101"/>
        <v>1.1217305162180411</v>
      </c>
      <c r="W67" s="164">
        <f>FIGURES!EA17</f>
        <v>1.8089891134314182E-2</v>
      </c>
      <c r="X67" s="164">
        <v>1.6593124192740491E-2</v>
      </c>
      <c r="Y67" s="164">
        <v>1.423990699248362E-2</v>
      </c>
      <c r="Z67" s="164">
        <v>1.8089891134314182E-2</v>
      </c>
      <c r="AB67" s="187">
        <f t="shared" si="102"/>
        <v>1</v>
      </c>
      <c r="AC67" s="187">
        <f t="shared" si="103"/>
        <v>0.85818118559695911</v>
      </c>
      <c r="AD67" s="187">
        <f t="shared" si="104"/>
        <v>1.0902040462174403</v>
      </c>
      <c r="AG67" s="164" t="s">
        <v>103</v>
      </c>
      <c r="AH67" s="164" t="s">
        <v>431</v>
      </c>
      <c r="AI67" s="164">
        <v>2034</v>
      </c>
      <c r="AJ67" s="164" t="str">
        <f t="shared" ref="AJ67:AL67" si="108">A12</f>
        <v>Road</v>
      </c>
      <c r="AK67" s="164" t="str">
        <f t="shared" si="108"/>
        <v>Liquid bulk</v>
      </c>
      <c r="AL67" s="164" t="str">
        <f t="shared" si="108"/>
        <v>Hydrogen</v>
      </c>
      <c r="AM67" s="188">
        <f t="shared" si="95"/>
        <v>0.93855346545041862</v>
      </c>
    </row>
    <row r="68" spans="1:39" x14ac:dyDescent="0.25">
      <c r="AG68" s="164" t="s">
        <v>433</v>
      </c>
      <c r="AH68" s="164" t="s">
        <v>431</v>
      </c>
      <c r="AI68" s="164">
        <v>2034</v>
      </c>
      <c r="AJ68" s="164" t="str">
        <f t="shared" ref="AJ68:AL68" si="109">A13</f>
        <v>Road</v>
      </c>
      <c r="AK68" s="164" t="str">
        <f t="shared" si="109"/>
        <v>Container</v>
      </c>
      <c r="AL68" s="164" t="str">
        <f t="shared" si="109"/>
        <v>Diesel</v>
      </c>
      <c r="AM68" s="188">
        <f t="shared" si="95"/>
        <v>1</v>
      </c>
    </row>
    <row r="69" spans="1:39" x14ac:dyDescent="0.25">
      <c r="AG69" s="164" t="s">
        <v>87</v>
      </c>
      <c r="AH69" s="164" t="s">
        <v>431</v>
      </c>
      <c r="AI69" s="164">
        <v>2034</v>
      </c>
      <c r="AJ69" s="164" t="str">
        <f t="shared" ref="AJ69:AL69" si="110">A14</f>
        <v>Road</v>
      </c>
      <c r="AK69" s="164" t="str">
        <f t="shared" si="110"/>
        <v>Container</v>
      </c>
      <c r="AL69" s="164" t="str">
        <f t="shared" si="110"/>
        <v>Battery</v>
      </c>
      <c r="AM69" s="188">
        <f t="shared" si="95"/>
        <v>0.98643090564504754</v>
      </c>
    </row>
    <row r="70" spans="1:39" x14ac:dyDescent="0.25">
      <c r="AG70" s="164" t="s">
        <v>103</v>
      </c>
      <c r="AH70" s="164" t="s">
        <v>431</v>
      </c>
      <c r="AI70" s="164">
        <v>2034</v>
      </c>
      <c r="AJ70" s="164" t="str">
        <f t="shared" ref="AJ70:AL70" si="111">A15</f>
        <v>Road</v>
      </c>
      <c r="AK70" s="164" t="str">
        <f t="shared" si="111"/>
        <v>Container</v>
      </c>
      <c r="AL70" s="164" t="str">
        <f t="shared" si="111"/>
        <v>Hydrogen</v>
      </c>
      <c r="AM70" s="188">
        <f t="shared" si="95"/>
        <v>0.9392737834328978</v>
      </c>
    </row>
    <row r="71" spans="1:39" x14ac:dyDescent="0.25">
      <c r="AG71" s="164" t="s">
        <v>433</v>
      </c>
      <c r="AH71" s="164" t="s">
        <v>431</v>
      </c>
      <c r="AI71" s="164">
        <v>2034</v>
      </c>
      <c r="AJ71" s="164" t="str">
        <f t="shared" ref="AJ71:AL71" si="112">A16</f>
        <v>Road</v>
      </c>
      <c r="AK71" s="164" t="str">
        <f t="shared" si="112"/>
        <v>Break bulk</v>
      </c>
      <c r="AL71" s="164" t="str">
        <f t="shared" si="112"/>
        <v>Diesel</v>
      </c>
      <c r="AM71" s="188">
        <f t="shared" si="95"/>
        <v>1</v>
      </c>
    </row>
    <row r="72" spans="1:39" x14ac:dyDescent="0.25">
      <c r="AG72" s="164" t="s">
        <v>87</v>
      </c>
      <c r="AH72" s="164" t="s">
        <v>431</v>
      </c>
      <c r="AI72" s="164">
        <v>2034</v>
      </c>
      <c r="AJ72" s="164" t="str">
        <f t="shared" ref="AJ72:AL72" si="113">A17</f>
        <v>Road</v>
      </c>
      <c r="AK72" s="164" t="str">
        <f t="shared" si="113"/>
        <v>Break bulk</v>
      </c>
      <c r="AL72" s="164" t="str">
        <f t="shared" si="113"/>
        <v>Battery</v>
      </c>
      <c r="AM72" s="188">
        <f t="shared" si="95"/>
        <v>0.98957450364870148</v>
      </c>
    </row>
    <row r="73" spans="1:39" x14ac:dyDescent="0.25">
      <c r="AG73" s="164" t="s">
        <v>103</v>
      </c>
      <c r="AH73" s="164" t="s">
        <v>431</v>
      </c>
      <c r="AI73" s="164">
        <v>2034</v>
      </c>
      <c r="AJ73" s="164" t="str">
        <f t="shared" ref="AJ73:AL73" si="114">A18</f>
        <v>Road</v>
      </c>
      <c r="AK73" s="164" t="str">
        <f t="shared" si="114"/>
        <v>Break bulk</v>
      </c>
      <c r="AL73" s="164" t="str">
        <f t="shared" si="114"/>
        <v>Hydrogen</v>
      </c>
      <c r="AM73" s="188">
        <f t="shared" si="95"/>
        <v>0.95187742000078146</v>
      </c>
    </row>
    <row r="74" spans="1:39" x14ac:dyDescent="0.25">
      <c r="AG74" s="164" t="s">
        <v>433</v>
      </c>
      <c r="AH74" s="164" t="s">
        <v>431</v>
      </c>
      <c r="AI74" s="164">
        <v>2034</v>
      </c>
      <c r="AJ74" s="164" t="str">
        <f t="shared" ref="AJ74:AL74" si="115">A19</f>
        <v>Road</v>
      </c>
      <c r="AK74" s="164" t="str">
        <f t="shared" si="115"/>
        <v>Neo bulk</v>
      </c>
      <c r="AL74" s="164" t="str">
        <f t="shared" si="115"/>
        <v>Diesel</v>
      </c>
      <c r="AM74" s="188">
        <f t="shared" si="95"/>
        <v>1</v>
      </c>
    </row>
    <row r="75" spans="1:39" x14ac:dyDescent="0.25">
      <c r="AG75" s="164" t="s">
        <v>87</v>
      </c>
      <c r="AH75" s="164" t="s">
        <v>431</v>
      </c>
      <c r="AI75" s="164">
        <v>2034</v>
      </c>
      <c r="AJ75" s="164" t="str">
        <f t="shared" ref="AJ75:AL75" si="116">A20</f>
        <v>Road</v>
      </c>
      <c r="AK75" s="164" t="str">
        <f t="shared" si="116"/>
        <v>Neo bulk</v>
      </c>
      <c r="AL75" s="164" t="str">
        <f t="shared" si="116"/>
        <v>Battery</v>
      </c>
      <c r="AM75" s="188">
        <f t="shared" si="95"/>
        <v>0.98813971226502595</v>
      </c>
    </row>
    <row r="76" spans="1:39" x14ac:dyDescent="0.25">
      <c r="AG76" s="164" t="s">
        <v>103</v>
      </c>
      <c r="AH76" s="164" t="s">
        <v>431</v>
      </c>
      <c r="AI76" s="164">
        <v>2034</v>
      </c>
      <c r="AJ76" s="164" t="str">
        <f t="shared" ref="AJ76:AL76" si="117">A21</f>
        <v>Road</v>
      </c>
      <c r="AK76" s="164" t="str">
        <f t="shared" si="117"/>
        <v>Neo bulk</v>
      </c>
      <c r="AL76" s="164" t="str">
        <f t="shared" si="117"/>
        <v>Hydrogen</v>
      </c>
      <c r="AM76" s="188">
        <f t="shared" si="95"/>
        <v>0.94603023890332583</v>
      </c>
    </row>
    <row r="77" spans="1:39" x14ac:dyDescent="0.25">
      <c r="AG77" s="164" t="s">
        <v>433</v>
      </c>
      <c r="AH77" s="164" t="s">
        <v>432</v>
      </c>
      <c r="AI77" s="164">
        <v>2034</v>
      </c>
      <c r="AJ77" s="164" t="str">
        <f>A7</f>
        <v>Road</v>
      </c>
      <c r="AK77" s="164" t="str">
        <f>B7</f>
        <v>Dry bulk</v>
      </c>
      <c r="AL77" s="164" t="str">
        <f>C7</f>
        <v>Diesel</v>
      </c>
      <c r="AM77" s="188">
        <f>T7</f>
        <v>1</v>
      </c>
    </row>
    <row r="78" spans="1:39" x14ac:dyDescent="0.25">
      <c r="AG78" s="164" t="s">
        <v>87</v>
      </c>
      <c r="AH78" s="164" t="s">
        <v>432</v>
      </c>
      <c r="AI78" s="164">
        <v>2034</v>
      </c>
      <c r="AJ78" s="164" t="str">
        <f t="shared" ref="AJ78:AL78" si="118">A8</f>
        <v>Road</v>
      </c>
      <c r="AK78" s="164" t="str">
        <f t="shared" si="118"/>
        <v>Dry bulk</v>
      </c>
      <c r="AL78" s="164" t="str">
        <f t="shared" si="118"/>
        <v>Battery</v>
      </c>
      <c r="AM78" s="188">
        <f t="shared" ref="AM78:AM91" si="119">T8</f>
        <v>1.0155191655348572</v>
      </c>
    </row>
    <row r="79" spans="1:39" x14ac:dyDescent="0.25">
      <c r="AG79" s="164" t="s">
        <v>103</v>
      </c>
      <c r="AH79" s="164" t="s">
        <v>432</v>
      </c>
      <c r="AI79" s="164">
        <v>2034</v>
      </c>
      <c r="AJ79" s="164" t="str">
        <f t="shared" ref="AJ79:AL79" si="120">A9</f>
        <v>Road</v>
      </c>
      <c r="AK79" s="164" t="str">
        <f t="shared" si="120"/>
        <v>Dry bulk</v>
      </c>
      <c r="AL79" s="164" t="str">
        <f t="shared" si="120"/>
        <v>Hydrogen</v>
      </c>
      <c r="AM79" s="188">
        <f t="shared" si="119"/>
        <v>1.0224344524497311</v>
      </c>
    </row>
    <row r="80" spans="1:39" x14ac:dyDescent="0.25">
      <c r="AG80" s="164" t="s">
        <v>433</v>
      </c>
      <c r="AH80" s="164" t="s">
        <v>432</v>
      </c>
      <c r="AI80" s="164">
        <v>2034</v>
      </c>
      <c r="AJ80" s="164" t="str">
        <f t="shared" ref="AJ80:AL80" si="121">A10</f>
        <v>Road</v>
      </c>
      <c r="AK80" s="164" t="str">
        <f t="shared" si="121"/>
        <v>Liquid bulk</v>
      </c>
      <c r="AL80" s="164" t="str">
        <f t="shared" si="121"/>
        <v>Diesel</v>
      </c>
      <c r="AM80" s="188">
        <f t="shared" si="119"/>
        <v>1</v>
      </c>
    </row>
    <row r="81" spans="33:39" x14ac:dyDescent="0.25">
      <c r="AG81" s="164" t="s">
        <v>87</v>
      </c>
      <c r="AH81" s="164" t="s">
        <v>432</v>
      </c>
      <c r="AI81" s="164">
        <v>2034</v>
      </c>
      <c r="AJ81" s="164" t="str">
        <f t="shared" ref="AJ81:AL81" si="122">A11</f>
        <v>Road</v>
      </c>
      <c r="AK81" s="164" t="str">
        <f t="shared" si="122"/>
        <v>Liquid bulk</v>
      </c>
      <c r="AL81" s="164" t="str">
        <f t="shared" si="122"/>
        <v>Battery</v>
      </c>
      <c r="AM81" s="188">
        <f t="shared" si="119"/>
        <v>1.0279148963000102</v>
      </c>
    </row>
    <row r="82" spans="33:39" x14ac:dyDescent="0.25">
      <c r="AG82" s="164" t="s">
        <v>103</v>
      </c>
      <c r="AH82" s="164" t="s">
        <v>432</v>
      </c>
      <c r="AI82" s="164">
        <v>2034</v>
      </c>
      <c r="AJ82" s="164" t="str">
        <f t="shared" ref="AJ82:AL82" si="123">A12</f>
        <v>Road</v>
      </c>
      <c r="AK82" s="164" t="str">
        <f t="shared" si="123"/>
        <v>Liquid bulk</v>
      </c>
      <c r="AL82" s="164" t="str">
        <f t="shared" si="123"/>
        <v>Hydrogen</v>
      </c>
      <c r="AM82" s="188">
        <f t="shared" si="119"/>
        <v>1.0380680577150341</v>
      </c>
    </row>
    <row r="83" spans="33:39" x14ac:dyDescent="0.25">
      <c r="AG83" s="164" t="s">
        <v>433</v>
      </c>
      <c r="AH83" s="164" t="s">
        <v>432</v>
      </c>
      <c r="AI83" s="164">
        <v>2034</v>
      </c>
      <c r="AJ83" s="164" t="str">
        <f t="shared" ref="AJ83:AL83" si="124">A13</f>
        <v>Road</v>
      </c>
      <c r="AK83" s="164" t="str">
        <f t="shared" si="124"/>
        <v>Container</v>
      </c>
      <c r="AL83" s="164" t="str">
        <f t="shared" si="124"/>
        <v>Diesel</v>
      </c>
      <c r="AM83" s="188">
        <f t="shared" si="119"/>
        <v>1</v>
      </c>
    </row>
    <row r="84" spans="33:39" x14ac:dyDescent="0.25">
      <c r="AG84" s="164" t="s">
        <v>87</v>
      </c>
      <c r="AH84" s="164" t="s">
        <v>432</v>
      </c>
      <c r="AI84" s="164">
        <v>2034</v>
      </c>
      <c r="AJ84" s="164" t="str">
        <f t="shared" ref="AJ84:AL84" si="125">A14</f>
        <v>Road</v>
      </c>
      <c r="AK84" s="164" t="str">
        <f t="shared" si="125"/>
        <v>Container</v>
      </c>
      <c r="AL84" s="164" t="str">
        <f t="shared" si="125"/>
        <v>Battery</v>
      </c>
      <c r="AM84" s="188">
        <f t="shared" si="119"/>
        <v>1.0275972873807966</v>
      </c>
    </row>
    <row r="85" spans="33:39" x14ac:dyDescent="0.25">
      <c r="AG85" s="164" t="s">
        <v>103</v>
      </c>
      <c r="AH85" s="164" t="s">
        <v>432</v>
      </c>
      <c r="AI85" s="164">
        <v>2034</v>
      </c>
      <c r="AJ85" s="164" t="str">
        <f t="shared" ref="AJ85:AL85" si="126">A15</f>
        <v>Road</v>
      </c>
      <c r="AK85" s="164" t="str">
        <f t="shared" si="126"/>
        <v>Container</v>
      </c>
      <c r="AL85" s="164" t="str">
        <f t="shared" si="126"/>
        <v>Hydrogen</v>
      </c>
      <c r="AM85" s="188">
        <f t="shared" si="119"/>
        <v>1.0376217981052576</v>
      </c>
    </row>
    <row r="86" spans="33:39" x14ac:dyDescent="0.25">
      <c r="AG86" s="164" t="s">
        <v>433</v>
      </c>
      <c r="AH86" s="164" t="s">
        <v>432</v>
      </c>
      <c r="AI86" s="164">
        <v>2034</v>
      </c>
      <c r="AJ86" s="164" t="str">
        <f t="shared" ref="AJ86:AL86" si="127">A16</f>
        <v>Road</v>
      </c>
      <c r="AK86" s="164" t="str">
        <f t="shared" si="127"/>
        <v>Break bulk</v>
      </c>
      <c r="AL86" s="164" t="str">
        <f t="shared" si="127"/>
        <v>Diesel</v>
      </c>
      <c r="AM86" s="188">
        <f t="shared" si="119"/>
        <v>1</v>
      </c>
    </row>
    <row r="87" spans="33:39" x14ac:dyDescent="0.25">
      <c r="AG87" s="164" t="s">
        <v>87</v>
      </c>
      <c r="AH87" s="164" t="s">
        <v>432</v>
      </c>
      <c r="AI87" s="164">
        <v>2034</v>
      </c>
      <c r="AJ87" s="164" t="str">
        <f t="shared" ref="AJ87:AL87" si="128">A17</f>
        <v>Road</v>
      </c>
      <c r="AK87" s="164" t="str">
        <f t="shared" si="128"/>
        <v>Break bulk</v>
      </c>
      <c r="AL87" s="164" t="str">
        <f t="shared" si="128"/>
        <v>Battery</v>
      </c>
      <c r="AM87" s="188">
        <f t="shared" si="119"/>
        <v>1.0212037304309274</v>
      </c>
    </row>
    <row r="88" spans="33:39" x14ac:dyDescent="0.25">
      <c r="AG88" s="164" t="s">
        <v>103</v>
      </c>
      <c r="AH88" s="164" t="s">
        <v>432</v>
      </c>
      <c r="AI88" s="164">
        <v>2034</v>
      </c>
      <c r="AJ88" s="164" t="str">
        <f t="shared" ref="AJ88:AL88" si="129">A18</f>
        <v>Road</v>
      </c>
      <c r="AK88" s="164" t="str">
        <f t="shared" si="129"/>
        <v>Break bulk</v>
      </c>
      <c r="AL88" s="164" t="str">
        <f t="shared" si="129"/>
        <v>Hydrogen</v>
      </c>
      <c r="AM88" s="188">
        <f t="shared" si="119"/>
        <v>1.029813449468471</v>
      </c>
    </row>
    <row r="89" spans="33:39" x14ac:dyDescent="0.25">
      <c r="AG89" s="164" t="s">
        <v>433</v>
      </c>
      <c r="AH89" s="164" t="s">
        <v>432</v>
      </c>
      <c r="AI89" s="164">
        <v>2034</v>
      </c>
      <c r="AJ89" s="164" t="str">
        <f t="shared" ref="AJ89:AL89" si="130">A19</f>
        <v>Road</v>
      </c>
      <c r="AK89" s="164" t="str">
        <f t="shared" si="130"/>
        <v>Neo bulk</v>
      </c>
      <c r="AL89" s="164" t="str">
        <f t="shared" si="130"/>
        <v>Diesel</v>
      </c>
      <c r="AM89" s="188">
        <f t="shared" si="119"/>
        <v>1</v>
      </c>
    </row>
    <row r="90" spans="33:39" x14ac:dyDescent="0.25">
      <c r="AG90" s="164" t="s">
        <v>87</v>
      </c>
      <c r="AH90" s="164" t="s">
        <v>432</v>
      </c>
      <c r="AI90" s="164">
        <v>2034</v>
      </c>
      <c r="AJ90" s="164" t="str">
        <f t="shared" ref="AJ90:AL90" si="131">A20</f>
        <v>Road</v>
      </c>
      <c r="AK90" s="164" t="str">
        <f t="shared" si="131"/>
        <v>Neo bulk</v>
      </c>
      <c r="AL90" s="164" t="str">
        <f t="shared" si="131"/>
        <v>Battery</v>
      </c>
      <c r="AM90" s="188">
        <f t="shared" si="119"/>
        <v>1.024121858134295</v>
      </c>
    </row>
    <row r="91" spans="33:39" x14ac:dyDescent="0.25">
      <c r="AG91" s="164" t="s">
        <v>103</v>
      </c>
      <c r="AH91" s="164" t="s">
        <v>432</v>
      </c>
      <c r="AI91" s="164">
        <v>2034</v>
      </c>
      <c r="AJ91" s="164" t="str">
        <f t="shared" ref="AJ91:AL91" si="132">A21</f>
        <v>Road</v>
      </c>
      <c r="AK91" s="164" t="str">
        <f t="shared" si="132"/>
        <v>Neo bulk</v>
      </c>
      <c r="AL91" s="164" t="str">
        <f t="shared" si="132"/>
        <v>Hydrogen</v>
      </c>
      <c r="AM91" s="188">
        <f t="shared" si="119"/>
        <v>1.0334359617731901</v>
      </c>
    </row>
    <row r="92" spans="33:39" x14ac:dyDescent="0.25">
      <c r="AG92" s="164" t="s">
        <v>433</v>
      </c>
      <c r="AH92" s="164" t="s">
        <v>430</v>
      </c>
      <c r="AI92" s="164">
        <v>2050</v>
      </c>
      <c r="AJ92" s="164" t="str">
        <f>A7</f>
        <v>Road</v>
      </c>
      <c r="AK92" s="164" t="str">
        <f>B7</f>
        <v>Dry bulk</v>
      </c>
      <c r="AL92" s="164" t="str">
        <f>C7</f>
        <v>Diesel</v>
      </c>
      <c r="AM92" s="188">
        <f>AB7</f>
        <v>1</v>
      </c>
    </row>
    <row r="93" spans="33:39" x14ac:dyDescent="0.25">
      <c r="AG93" s="164" t="s">
        <v>87</v>
      </c>
      <c r="AH93" s="164" t="s">
        <v>430</v>
      </c>
      <c r="AI93" s="164">
        <v>2050</v>
      </c>
      <c r="AJ93" s="164" t="str">
        <f t="shared" ref="AJ93:AL93" si="133">A8</f>
        <v>Road</v>
      </c>
      <c r="AK93" s="164" t="str">
        <f t="shared" si="133"/>
        <v>Dry bulk</v>
      </c>
      <c r="AL93" s="164" t="str">
        <f t="shared" si="133"/>
        <v>Battery</v>
      </c>
      <c r="AM93" s="188">
        <f t="shared" ref="AM93:AM105" si="134">AB8</f>
        <v>1</v>
      </c>
    </row>
    <row r="94" spans="33:39" x14ac:dyDescent="0.25">
      <c r="AG94" s="164" t="s">
        <v>103</v>
      </c>
      <c r="AH94" s="164" t="s">
        <v>430</v>
      </c>
      <c r="AI94" s="164">
        <v>2050</v>
      </c>
      <c r="AJ94" s="164" t="str">
        <f t="shared" ref="AJ94:AL94" si="135">A9</f>
        <v>Road</v>
      </c>
      <c r="AK94" s="164" t="str">
        <f t="shared" si="135"/>
        <v>Dry bulk</v>
      </c>
      <c r="AL94" s="164" t="str">
        <f t="shared" si="135"/>
        <v>Hydrogen</v>
      </c>
      <c r="AM94" s="188">
        <f t="shared" si="134"/>
        <v>1</v>
      </c>
    </row>
    <row r="95" spans="33:39" x14ac:dyDescent="0.25">
      <c r="AG95" s="164" t="s">
        <v>433</v>
      </c>
      <c r="AH95" s="164" t="s">
        <v>430</v>
      </c>
      <c r="AI95" s="164">
        <v>2050</v>
      </c>
      <c r="AJ95" s="164" t="str">
        <f t="shared" ref="AJ95:AL95" si="136">A10</f>
        <v>Road</v>
      </c>
      <c r="AK95" s="164" t="str">
        <f t="shared" si="136"/>
        <v>Liquid bulk</v>
      </c>
      <c r="AL95" s="164" t="str">
        <f t="shared" si="136"/>
        <v>Diesel</v>
      </c>
      <c r="AM95" s="188">
        <f t="shared" si="134"/>
        <v>1</v>
      </c>
    </row>
    <row r="96" spans="33:39" x14ac:dyDescent="0.25">
      <c r="AG96" s="164" t="s">
        <v>87</v>
      </c>
      <c r="AH96" s="164" t="s">
        <v>430</v>
      </c>
      <c r="AI96" s="164">
        <v>2050</v>
      </c>
      <c r="AJ96" s="164" t="str">
        <f t="shared" ref="AJ96:AL96" si="137">A11</f>
        <v>Road</v>
      </c>
      <c r="AK96" s="164" t="str">
        <f t="shared" si="137"/>
        <v>Liquid bulk</v>
      </c>
      <c r="AL96" s="164" t="str">
        <f t="shared" si="137"/>
        <v>Battery</v>
      </c>
      <c r="AM96" s="188">
        <f t="shared" si="134"/>
        <v>1</v>
      </c>
    </row>
    <row r="97" spans="33:39" x14ac:dyDescent="0.25">
      <c r="AG97" s="164" t="s">
        <v>103</v>
      </c>
      <c r="AH97" s="164" t="s">
        <v>430</v>
      </c>
      <c r="AI97" s="164">
        <v>2050</v>
      </c>
      <c r="AJ97" s="164" t="str">
        <f t="shared" ref="AJ97:AL97" si="138">A12</f>
        <v>Road</v>
      </c>
      <c r="AK97" s="164" t="str">
        <f t="shared" si="138"/>
        <v>Liquid bulk</v>
      </c>
      <c r="AL97" s="164" t="str">
        <f t="shared" si="138"/>
        <v>Hydrogen</v>
      </c>
      <c r="AM97" s="188">
        <f t="shared" si="134"/>
        <v>1</v>
      </c>
    </row>
    <row r="98" spans="33:39" x14ac:dyDescent="0.25">
      <c r="AG98" s="164" t="s">
        <v>433</v>
      </c>
      <c r="AH98" s="164" t="s">
        <v>430</v>
      </c>
      <c r="AI98" s="164">
        <v>2050</v>
      </c>
      <c r="AJ98" s="164" t="str">
        <f t="shared" ref="AJ98:AL98" si="139">A13</f>
        <v>Road</v>
      </c>
      <c r="AK98" s="164" t="str">
        <f t="shared" si="139"/>
        <v>Container</v>
      </c>
      <c r="AL98" s="164" t="str">
        <f t="shared" si="139"/>
        <v>Diesel</v>
      </c>
      <c r="AM98" s="188">
        <f t="shared" si="134"/>
        <v>1</v>
      </c>
    </row>
    <row r="99" spans="33:39" x14ac:dyDescent="0.25">
      <c r="AG99" s="164" t="s">
        <v>87</v>
      </c>
      <c r="AH99" s="164" t="s">
        <v>430</v>
      </c>
      <c r="AI99" s="164">
        <v>2050</v>
      </c>
      <c r="AJ99" s="164" t="str">
        <f t="shared" ref="AJ99:AL99" si="140">A14</f>
        <v>Road</v>
      </c>
      <c r="AK99" s="164" t="str">
        <f t="shared" si="140"/>
        <v>Container</v>
      </c>
      <c r="AL99" s="164" t="str">
        <f t="shared" si="140"/>
        <v>Battery</v>
      </c>
      <c r="AM99" s="188">
        <f t="shared" si="134"/>
        <v>1</v>
      </c>
    </row>
    <row r="100" spans="33:39" x14ac:dyDescent="0.25">
      <c r="AG100" s="164" t="s">
        <v>103</v>
      </c>
      <c r="AH100" s="164" t="s">
        <v>430</v>
      </c>
      <c r="AI100" s="164">
        <v>2050</v>
      </c>
      <c r="AJ100" s="164" t="str">
        <f t="shared" ref="AJ100:AL100" si="141">A15</f>
        <v>Road</v>
      </c>
      <c r="AK100" s="164" t="str">
        <f t="shared" si="141"/>
        <v>Container</v>
      </c>
      <c r="AL100" s="164" t="str">
        <f t="shared" si="141"/>
        <v>Hydrogen</v>
      </c>
      <c r="AM100" s="188">
        <f t="shared" si="134"/>
        <v>1</v>
      </c>
    </row>
    <row r="101" spans="33:39" x14ac:dyDescent="0.25">
      <c r="AG101" s="164" t="s">
        <v>433</v>
      </c>
      <c r="AH101" s="164" t="s">
        <v>430</v>
      </c>
      <c r="AI101" s="164">
        <v>2050</v>
      </c>
      <c r="AJ101" s="164" t="str">
        <f t="shared" ref="AJ101:AL101" si="142">A16</f>
        <v>Road</v>
      </c>
      <c r="AK101" s="164" t="str">
        <f t="shared" si="142"/>
        <v>Break bulk</v>
      </c>
      <c r="AL101" s="164" t="str">
        <f t="shared" si="142"/>
        <v>Diesel</v>
      </c>
      <c r="AM101" s="188">
        <f t="shared" si="134"/>
        <v>1</v>
      </c>
    </row>
    <row r="102" spans="33:39" x14ac:dyDescent="0.25">
      <c r="AG102" s="164" t="s">
        <v>87</v>
      </c>
      <c r="AH102" s="164" t="s">
        <v>430</v>
      </c>
      <c r="AI102" s="164">
        <v>2050</v>
      </c>
      <c r="AJ102" s="164" t="str">
        <f t="shared" ref="AJ102:AL102" si="143">A17</f>
        <v>Road</v>
      </c>
      <c r="AK102" s="164" t="str">
        <f t="shared" si="143"/>
        <v>Break bulk</v>
      </c>
      <c r="AL102" s="164" t="str">
        <f t="shared" si="143"/>
        <v>Battery</v>
      </c>
      <c r="AM102" s="188">
        <f t="shared" si="134"/>
        <v>1</v>
      </c>
    </row>
    <row r="103" spans="33:39" x14ac:dyDescent="0.25">
      <c r="AG103" s="164" t="s">
        <v>103</v>
      </c>
      <c r="AH103" s="164" t="s">
        <v>430</v>
      </c>
      <c r="AI103" s="164">
        <v>2050</v>
      </c>
      <c r="AJ103" s="164" t="str">
        <f t="shared" ref="AJ103:AL103" si="144">A18</f>
        <v>Road</v>
      </c>
      <c r="AK103" s="164" t="str">
        <f t="shared" si="144"/>
        <v>Break bulk</v>
      </c>
      <c r="AL103" s="164" t="str">
        <f t="shared" si="144"/>
        <v>Hydrogen</v>
      </c>
      <c r="AM103" s="188">
        <f t="shared" si="134"/>
        <v>1</v>
      </c>
    </row>
    <row r="104" spans="33:39" x14ac:dyDescent="0.25">
      <c r="AG104" s="164" t="s">
        <v>433</v>
      </c>
      <c r="AH104" s="164" t="s">
        <v>430</v>
      </c>
      <c r="AI104" s="164">
        <v>2050</v>
      </c>
      <c r="AJ104" s="164" t="str">
        <f t="shared" ref="AJ104:AL104" si="145">A19</f>
        <v>Road</v>
      </c>
      <c r="AK104" s="164" t="str">
        <f t="shared" si="145"/>
        <v>Neo bulk</v>
      </c>
      <c r="AL104" s="164" t="str">
        <f t="shared" si="145"/>
        <v>Diesel</v>
      </c>
      <c r="AM104" s="188">
        <f t="shared" si="134"/>
        <v>1</v>
      </c>
    </row>
    <row r="105" spans="33:39" x14ac:dyDescent="0.25">
      <c r="AG105" s="164" t="s">
        <v>87</v>
      </c>
      <c r="AH105" s="164" t="s">
        <v>430</v>
      </c>
      <c r="AI105" s="164">
        <v>2050</v>
      </c>
      <c r="AJ105" s="164" t="str">
        <f t="shared" ref="AJ105:AL105" si="146">A20</f>
        <v>Road</v>
      </c>
      <c r="AK105" s="164" t="str">
        <f t="shared" si="146"/>
        <v>Neo bulk</v>
      </c>
      <c r="AL105" s="164" t="str">
        <f t="shared" si="146"/>
        <v>Battery</v>
      </c>
      <c r="AM105" s="188">
        <f t="shared" si="134"/>
        <v>1</v>
      </c>
    </row>
    <row r="106" spans="33:39" x14ac:dyDescent="0.25">
      <c r="AG106" s="164" t="s">
        <v>103</v>
      </c>
      <c r="AH106" s="164" t="s">
        <v>430</v>
      </c>
      <c r="AI106" s="164">
        <v>2050</v>
      </c>
      <c r="AJ106" s="164" t="str">
        <f>A21</f>
        <v>Road</v>
      </c>
      <c r="AK106" s="164" t="str">
        <f>B21</f>
        <v>Neo bulk</v>
      </c>
      <c r="AL106" s="164" t="str">
        <f>C21</f>
        <v>Hydrogen</v>
      </c>
      <c r="AM106" s="188">
        <f>AB21</f>
        <v>1</v>
      </c>
    </row>
    <row r="107" spans="33:39" x14ac:dyDescent="0.25">
      <c r="AG107" s="164" t="s">
        <v>433</v>
      </c>
      <c r="AH107" s="164" t="s">
        <v>431</v>
      </c>
      <c r="AI107" s="164">
        <v>2050</v>
      </c>
      <c r="AJ107" s="164" t="str">
        <f>A7</f>
        <v>Road</v>
      </c>
      <c r="AK107" s="164" t="str">
        <f>B7</f>
        <v>Dry bulk</v>
      </c>
      <c r="AL107" s="164" t="str">
        <f>C7</f>
        <v>Diesel</v>
      </c>
      <c r="AM107" s="188">
        <f>AC7</f>
        <v>1</v>
      </c>
    </row>
    <row r="108" spans="33:39" x14ac:dyDescent="0.25">
      <c r="AG108" s="164" t="s">
        <v>87</v>
      </c>
      <c r="AH108" s="164" t="s">
        <v>431</v>
      </c>
      <c r="AI108" s="164">
        <v>2050</v>
      </c>
      <c r="AJ108" s="164" t="str">
        <f t="shared" ref="AJ108:AL108" si="147">A8</f>
        <v>Road</v>
      </c>
      <c r="AK108" s="164" t="str">
        <f t="shared" si="147"/>
        <v>Dry bulk</v>
      </c>
      <c r="AL108" s="164" t="str">
        <f t="shared" si="147"/>
        <v>Battery</v>
      </c>
      <c r="AM108" s="188">
        <f t="shared" ref="AM108:AM121" si="148">AC8</f>
        <v>0.99804909400681119</v>
      </c>
    </row>
    <row r="109" spans="33:39" x14ac:dyDescent="0.25">
      <c r="AG109" s="164" t="s">
        <v>103</v>
      </c>
      <c r="AH109" s="164" t="s">
        <v>431</v>
      </c>
      <c r="AI109" s="164">
        <v>2050</v>
      </c>
      <c r="AJ109" s="164" t="str">
        <f t="shared" ref="AJ109:AL109" si="149">A9</f>
        <v>Road</v>
      </c>
      <c r="AK109" s="164" t="str">
        <f t="shared" si="149"/>
        <v>Dry bulk</v>
      </c>
      <c r="AL109" s="164" t="str">
        <f t="shared" si="149"/>
        <v>Hydrogen</v>
      </c>
      <c r="AM109" s="188">
        <f t="shared" si="148"/>
        <v>0.98548142654221516</v>
      </c>
    </row>
    <row r="110" spans="33:39" x14ac:dyDescent="0.25">
      <c r="AG110" s="164" t="s">
        <v>433</v>
      </c>
      <c r="AH110" s="164" t="s">
        <v>431</v>
      </c>
      <c r="AI110" s="164">
        <v>2050</v>
      </c>
      <c r="AJ110" s="164" t="str">
        <f t="shared" ref="AJ110:AL110" si="150">A10</f>
        <v>Road</v>
      </c>
      <c r="AK110" s="164" t="str">
        <f t="shared" si="150"/>
        <v>Liquid bulk</v>
      </c>
      <c r="AL110" s="164" t="str">
        <f t="shared" si="150"/>
        <v>Diesel</v>
      </c>
      <c r="AM110" s="188">
        <f t="shared" si="148"/>
        <v>1</v>
      </c>
    </row>
    <row r="111" spans="33:39" x14ac:dyDescent="0.25">
      <c r="AG111" s="164" t="s">
        <v>87</v>
      </c>
      <c r="AH111" s="164" t="s">
        <v>431</v>
      </c>
      <c r="AI111" s="164">
        <v>2050</v>
      </c>
      <c r="AJ111" s="164" t="str">
        <f t="shared" ref="AJ111:AL111" si="151">A11</f>
        <v>Road</v>
      </c>
      <c r="AK111" s="164" t="str">
        <f t="shared" si="151"/>
        <v>Liquid bulk</v>
      </c>
      <c r="AL111" s="164" t="str">
        <f t="shared" si="151"/>
        <v>Battery</v>
      </c>
      <c r="AM111" s="188">
        <f t="shared" si="148"/>
        <v>0.99648499246542965</v>
      </c>
    </row>
    <row r="112" spans="33:39" x14ac:dyDescent="0.25">
      <c r="AG112" s="164" t="s">
        <v>103</v>
      </c>
      <c r="AH112" s="164" t="s">
        <v>431</v>
      </c>
      <c r="AI112" s="164">
        <v>2050</v>
      </c>
      <c r="AJ112" s="164" t="str">
        <f t="shared" ref="AJ112:AL112" si="152">A12</f>
        <v>Road</v>
      </c>
      <c r="AK112" s="164" t="str">
        <f t="shared" si="152"/>
        <v>Liquid bulk</v>
      </c>
      <c r="AL112" s="164" t="str">
        <f t="shared" si="152"/>
        <v>Hydrogen</v>
      </c>
      <c r="AM112" s="188">
        <f t="shared" si="148"/>
        <v>0.97455239043299347</v>
      </c>
    </row>
    <row r="113" spans="33:39" x14ac:dyDescent="0.25">
      <c r="AG113" s="164" t="s">
        <v>433</v>
      </c>
      <c r="AH113" s="164" t="s">
        <v>431</v>
      </c>
      <c r="AI113" s="164">
        <v>2050</v>
      </c>
      <c r="AJ113" s="164" t="str">
        <f t="shared" ref="AJ113:AL113" si="153">A13</f>
        <v>Road</v>
      </c>
      <c r="AK113" s="164" t="str">
        <f t="shared" si="153"/>
        <v>Container</v>
      </c>
      <c r="AL113" s="164" t="str">
        <f t="shared" si="153"/>
        <v>Diesel</v>
      </c>
      <c r="AM113" s="188">
        <f t="shared" si="148"/>
        <v>1</v>
      </c>
    </row>
    <row r="114" spans="33:39" x14ac:dyDescent="0.25">
      <c r="AG114" s="164" t="s">
        <v>87</v>
      </c>
      <c r="AH114" s="164" t="s">
        <v>431</v>
      </c>
      <c r="AI114" s="164">
        <v>2050</v>
      </c>
      <c r="AJ114" s="164" t="str">
        <f t="shared" ref="AJ114:AL114" si="154">A14</f>
        <v>Road</v>
      </c>
      <c r="AK114" s="164" t="str">
        <f t="shared" si="154"/>
        <v>Container</v>
      </c>
      <c r="AL114" s="164" t="str">
        <f t="shared" si="154"/>
        <v>Battery</v>
      </c>
      <c r="AM114" s="188">
        <f t="shared" si="148"/>
        <v>0.99651898526093341</v>
      </c>
    </row>
    <row r="115" spans="33:39" x14ac:dyDescent="0.25">
      <c r="AG115" s="164" t="s">
        <v>103</v>
      </c>
      <c r="AH115" s="164" t="s">
        <v>431</v>
      </c>
      <c r="AI115" s="164">
        <v>2050</v>
      </c>
      <c r="AJ115" s="164" t="str">
        <f t="shared" ref="AJ115:AL115" si="155">A15</f>
        <v>Road</v>
      </c>
      <c r="AK115" s="164" t="str">
        <f t="shared" si="155"/>
        <v>Container</v>
      </c>
      <c r="AL115" s="164" t="str">
        <f t="shared" si="155"/>
        <v>Hydrogen</v>
      </c>
      <c r="AM115" s="188">
        <f t="shared" si="148"/>
        <v>0.97481376767899386</v>
      </c>
    </row>
    <row r="116" spans="33:39" x14ac:dyDescent="0.25">
      <c r="AG116" s="164" t="s">
        <v>433</v>
      </c>
      <c r="AH116" s="164" t="s">
        <v>431</v>
      </c>
      <c r="AI116" s="164">
        <v>2050</v>
      </c>
      <c r="AJ116" s="164" t="str">
        <f t="shared" ref="AJ116:AL116" si="156">A16</f>
        <v>Road</v>
      </c>
      <c r="AK116" s="164" t="str">
        <f t="shared" si="156"/>
        <v>Break bulk</v>
      </c>
      <c r="AL116" s="164" t="str">
        <f t="shared" si="156"/>
        <v>Diesel</v>
      </c>
      <c r="AM116" s="188">
        <f t="shared" si="148"/>
        <v>1</v>
      </c>
    </row>
    <row r="117" spans="33:39" x14ac:dyDescent="0.25">
      <c r="AG117" s="164" t="s">
        <v>87</v>
      </c>
      <c r="AH117" s="164" t="s">
        <v>431</v>
      </c>
      <c r="AI117" s="164">
        <v>2050</v>
      </c>
      <c r="AJ117" s="164" t="str">
        <f t="shared" ref="AJ117:AL117" si="157">A17</f>
        <v>Road</v>
      </c>
      <c r="AK117" s="164" t="str">
        <f t="shared" si="157"/>
        <v>Break bulk</v>
      </c>
      <c r="AL117" s="164" t="str">
        <f t="shared" si="157"/>
        <v>Battery</v>
      </c>
      <c r="AM117" s="188">
        <f t="shared" si="148"/>
        <v>0.99733087839201928</v>
      </c>
    </row>
    <row r="118" spans="33:39" x14ac:dyDescent="0.25">
      <c r="AG118" s="164" t="s">
        <v>103</v>
      </c>
      <c r="AH118" s="164" t="s">
        <v>431</v>
      </c>
      <c r="AI118" s="164">
        <v>2050</v>
      </c>
      <c r="AJ118" s="164" t="str">
        <f t="shared" ref="AJ118:AL118" si="158">A18</f>
        <v>Road</v>
      </c>
      <c r="AK118" s="164" t="str">
        <f t="shared" si="158"/>
        <v>Break bulk</v>
      </c>
      <c r="AL118" s="164" t="str">
        <f t="shared" si="158"/>
        <v>Hydrogen</v>
      </c>
      <c r="AM118" s="188">
        <f t="shared" si="148"/>
        <v>0.9803954100972101</v>
      </c>
    </row>
    <row r="119" spans="33:39" x14ac:dyDescent="0.25">
      <c r="AG119" s="164" t="s">
        <v>433</v>
      </c>
      <c r="AH119" s="164" t="s">
        <v>431</v>
      </c>
      <c r="AI119" s="164">
        <v>2050</v>
      </c>
      <c r="AJ119" s="164" t="str">
        <f t="shared" ref="AJ119:AL119" si="159">A19</f>
        <v>Road</v>
      </c>
      <c r="AK119" s="164" t="str">
        <f t="shared" si="159"/>
        <v>Neo bulk</v>
      </c>
      <c r="AL119" s="164" t="str">
        <f t="shared" si="159"/>
        <v>Diesel</v>
      </c>
      <c r="AM119" s="188">
        <f t="shared" si="148"/>
        <v>1</v>
      </c>
    </row>
    <row r="120" spans="33:39" x14ac:dyDescent="0.25">
      <c r="AG120" s="164" t="s">
        <v>87</v>
      </c>
      <c r="AH120" s="164" t="s">
        <v>431</v>
      </c>
      <c r="AI120" s="164">
        <v>2050</v>
      </c>
      <c r="AJ120" s="164" t="str">
        <f t="shared" ref="AJ120:AL120" si="160">A20</f>
        <v>Road</v>
      </c>
      <c r="AK120" s="164" t="str">
        <f t="shared" si="160"/>
        <v>Neo bulk</v>
      </c>
      <c r="AL120" s="164" t="str">
        <f t="shared" si="160"/>
        <v>Battery</v>
      </c>
      <c r="AM120" s="188">
        <f t="shared" si="148"/>
        <v>0.99696047289811673</v>
      </c>
    </row>
    <row r="121" spans="33:39" x14ac:dyDescent="0.25">
      <c r="AG121" s="164" t="s">
        <v>103</v>
      </c>
      <c r="AH121" s="164" t="s">
        <v>431</v>
      </c>
      <c r="AI121" s="164">
        <v>2050</v>
      </c>
      <c r="AJ121" s="164" t="str">
        <f t="shared" ref="AJ121:AL121" si="161">A21</f>
        <v>Road</v>
      </c>
      <c r="AK121" s="164" t="str">
        <f t="shared" si="161"/>
        <v>Neo bulk</v>
      </c>
      <c r="AL121" s="164" t="str">
        <f t="shared" si="161"/>
        <v>Hydrogen</v>
      </c>
      <c r="AM121" s="188">
        <f t="shared" si="148"/>
        <v>0.97782856605498636</v>
      </c>
    </row>
    <row r="122" spans="33:39" x14ac:dyDescent="0.25">
      <c r="AG122" s="164" t="s">
        <v>433</v>
      </c>
      <c r="AH122" s="164" t="s">
        <v>432</v>
      </c>
      <c r="AI122" s="164">
        <v>2050</v>
      </c>
      <c r="AJ122" s="164" t="str">
        <f>A7</f>
        <v>Road</v>
      </c>
      <c r="AK122" s="164" t="str">
        <f>B7</f>
        <v>Dry bulk</v>
      </c>
      <c r="AL122" s="164" t="str">
        <f>C7</f>
        <v>Diesel</v>
      </c>
      <c r="AM122" s="188">
        <f>AD7</f>
        <v>1</v>
      </c>
    </row>
    <row r="123" spans="33:39" x14ac:dyDescent="0.25">
      <c r="AG123" s="164" t="s">
        <v>87</v>
      </c>
      <c r="AH123" s="164" t="s">
        <v>432</v>
      </c>
      <c r="AI123" s="164">
        <v>2050</v>
      </c>
      <c r="AJ123" s="164" t="str">
        <f t="shared" ref="AJ123:AL123" si="162">A8</f>
        <v>Road</v>
      </c>
      <c r="AK123" s="164" t="str">
        <f t="shared" si="162"/>
        <v>Dry bulk</v>
      </c>
      <c r="AL123" s="164" t="str">
        <f t="shared" si="162"/>
        <v>Battery</v>
      </c>
      <c r="AM123" s="188">
        <f t="shared" ref="AM123:AM136" si="163">AD8</f>
        <v>1.0076527026665691</v>
      </c>
    </row>
    <row r="124" spans="33:39" x14ac:dyDescent="0.25">
      <c r="AG124" s="164" t="s">
        <v>103</v>
      </c>
      <c r="AH124" s="164" t="s">
        <v>432</v>
      </c>
      <c r="AI124" s="164">
        <v>2050</v>
      </c>
      <c r="AJ124" s="164" t="str">
        <f t="shared" ref="AJ124:AL124" si="164">A9</f>
        <v>Road</v>
      </c>
      <c r="AK124" s="164" t="str">
        <f t="shared" si="164"/>
        <v>Dry bulk</v>
      </c>
      <c r="AL124" s="164" t="str">
        <f t="shared" si="164"/>
        <v>Hydrogen</v>
      </c>
      <c r="AM124" s="188">
        <f t="shared" si="163"/>
        <v>1.0092505281304227</v>
      </c>
    </row>
    <row r="125" spans="33:39" x14ac:dyDescent="0.25">
      <c r="AG125" s="164" t="s">
        <v>433</v>
      </c>
      <c r="AH125" s="164" t="s">
        <v>432</v>
      </c>
      <c r="AI125" s="164">
        <v>2050</v>
      </c>
      <c r="AJ125" s="164" t="str">
        <f t="shared" ref="AJ125:AL125" si="165">A10</f>
        <v>Road</v>
      </c>
      <c r="AK125" s="164" t="str">
        <f t="shared" si="165"/>
        <v>Liquid bulk</v>
      </c>
      <c r="AL125" s="164" t="str">
        <f t="shared" si="165"/>
        <v>Diesel</v>
      </c>
      <c r="AM125" s="188">
        <f t="shared" si="163"/>
        <v>1</v>
      </c>
    </row>
    <row r="126" spans="33:39" x14ac:dyDescent="0.25">
      <c r="AG126" s="164" t="s">
        <v>87</v>
      </c>
      <c r="AH126" s="164" t="s">
        <v>432</v>
      </c>
      <c r="AI126" s="164">
        <v>2050</v>
      </c>
      <c r="AJ126" s="164" t="str">
        <f t="shared" ref="AJ126:AL126" si="166">A11</f>
        <v>Road</v>
      </c>
      <c r="AK126" s="164" t="str">
        <f t="shared" si="166"/>
        <v>Liquid bulk</v>
      </c>
      <c r="AL126" s="164" t="str">
        <f t="shared" si="166"/>
        <v>Battery</v>
      </c>
      <c r="AM126" s="188">
        <f t="shared" si="163"/>
        <v>1.0137881105633624</v>
      </c>
    </row>
    <row r="127" spans="33:39" x14ac:dyDescent="0.25">
      <c r="AG127" s="164" t="s">
        <v>103</v>
      </c>
      <c r="AH127" s="164" t="s">
        <v>432</v>
      </c>
      <c r="AI127" s="164">
        <v>2050</v>
      </c>
      <c r="AJ127" s="164" t="str">
        <f t="shared" ref="AJ127:AL127" si="167">A12</f>
        <v>Road</v>
      </c>
      <c r="AK127" s="164" t="str">
        <f t="shared" si="167"/>
        <v>Liquid bulk</v>
      </c>
      <c r="AL127" s="164" t="str">
        <f t="shared" si="167"/>
        <v>Hydrogen</v>
      </c>
      <c r="AM127" s="188">
        <f t="shared" si="163"/>
        <v>1.0162139778288886</v>
      </c>
    </row>
    <row r="128" spans="33:39" x14ac:dyDescent="0.25">
      <c r="AG128" s="164" t="s">
        <v>433</v>
      </c>
      <c r="AH128" s="164" t="s">
        <v>432</v>
      </c>
      <c r="AI128" s="164">
        <v>2050</v>
      </c>
      <c r="AJ128" s="164" t="str">
        <f t="shared" ref="AJ128:AL128" si="168">A13</f>
        <v>Road</v>
      </c>
      <c r="AK128" s="164" t="str">
        <f t="shared" si="168"/>
        <v>Container</v>
      </c>
      <c r="AL128" s="164" t="str">
        <f t="shared" si="168"/>
        <v>Diesel</v>
      </c>
      <c r="AM128" s="188">
        <f t="shared" si="163"/>
        <v>1</v>
      </c>
    </row>
    <row r="129" spans="33:39" x14ac:dyDescent="0.25">
      <c r="AG129" s="164" t="s">
        <v>87</v>
      </c>
      <c r="AH129" s="164" t="s">
        <v>432</v>
      </c>
      <c r="AI129" s="164">
        <v>2050</v>
      </c>
      <c r="AJ129" s="164" t="str">
        <f t="shared" ref="AJ129:AL129" si="169">A14</f>
        <v>Road</v>
      </c>
      <c r="AK129" s="164" t="str">
        <f t="shared" si="169"/>
        <v>Container</v>
      </c>
      <c r="AL129" s="164" t="str">
        <f t="shared" si="169"/>
        <v>Battery</v>
      </c>
      <c r="AM129" s="188">
        <f t="shared" si="163"/>
        <v>1.0136547690503916</v>
      </c>
    </row>
    <row r="130" spans="33:39" x14ac:dyDescent="0.25">
      <c r="AG130" s="164" t="s">
        <v>103</v>
      </c>
      <c r="AH130" s="164" t="s">
        <v>432</v>
      </c>
      <c r="AI130" s="164">
        <v>2050</v>
      </c>
      <c r="AJ130" s="164" t="str">
        <f t="shared" ref="AJ130:AL130" si="170">A15</f>
        <v>Road</v>
      </c>
      <c r="AK130" s="164" t="str">
        <f t="shared" si="170"/>
        <v>Container</v>
      </c>
      <c r="AL130" s="164" t="str">
        <f t="shared" si="170"/>
        <v>Hydrogen</v>
      </c>
      <c r="AM130" s="188">
        <f t="shared" si="163"/>
        <v>1.0160474409736111</v>
      </c>
    </row>
    <row r="131" spans="33:39" x14ac:dyDescent="0.25">
      <c r="AG131" s="164" t="s">
        <v>433</v>
      </c>
      <c r="AH131" s="164" t="s">
        <v>432</v>
      </c>
      <c r="AI131" s="164">
        <v>2050</v>
      </c>
      <c r="AJ131" s="164" t="str">
        <f t="shared" ref="AJ131:AL131" si="171">A16</f>
        <v>Road</v>
      </c>
      <c r="AK131" s="164" t="str">
        <f t="shared" si="171"/>
        <v>Break bulk</v>
      </c>
      <c r="AL131" s="164" t="str">
        <f t="shared" si="171"/>
        <v>Diesel</v>
      </c>
      <c r="AM131" s="188">
        <f t="shared" si="163"/>
        <v>1</v>
      </c>
    </row>
    <row r="132" spans="33:39" x14ac:dyDescent="0.25">
      <c r="AG132" s="164" t="s">
        <v>87</v>
      </c>
      <c r="AH132" s="164" t="s">
        <v>432</v>
      </c>
      <c r="AI132" s="164">
        <v>2050</v>
      </c>
      <c r="AJ132" s="164" t="str">
        <f t="shared" ref="AJ132:AL132" si="172">A17</f>
        <v>Road</v>
      </c>
      <c r="AK132" s="164" t="str">
        <f t="shared" si="172"/>
        <v>Break bulk</v>
      </c>
      <c r="AL132" s="164" t="str">
        <f t="shared" si="172"/>
        <v>Battery</v>
      </c>
      <c r="AM132" s="188">
        <f t="shared" si="163"/>
        <v>1.0104700042534611</v>
      </c>
    </row>
    <row r="133" spans="33:39" x14ac:dyDescent="0.25">
      <c r="AG133" s="164" t="s">
        <v>103</v>
      </c>
      <c r="AH133" s="164" t="s">
        <v>432</v>
      </c>
      <c r="AI133" s="164">
        <v>2050</v>
      </c>
      <c r="AJ133" s="164" t="str">
        <f t="shared" ref="AJ133:AL133" si="173">A18</f>
        <v>Road</v>
      </c>
      <c r="AK133" s="164" t="str">
        <f t="shared" si="173"/>
        <v>Break bulk</v>
      </c>
      <c r="AL133" s="164" t="str">
        <f t="shared" si="173"/>
        <v>Hydrogen</v>
      </c>
      <c r="AM133" s="188">
        <f t="shared" si="163"/>
        <v>1.012491090182412</v>
      </c>
    </row>
    <row r="134" spans="33:39" x14ac:dyDescent="0.25">
      <c r="AG134" s="164" t="s">
        <v>433</v>
      </c>
      <c r="AH134" s="164" t="s">
        <v>432</v>
      </c>
      <c r="AI134" s="164">
        <v>2050</v>
      </c>
      <c r="AJ134" s="164" t="str">
        <f t="shared" ref="AJ134:AL134" si="174">A19</f>
        <v>Road</v>
      </c>
      <c r="AK134" s="164" t="str">
        <f t="shared" si="174"/>
        <v>Neo bulk</v>
      </c>
      <c r="AL134" s="164" t="str">
        <f t="shared" si="174"/>
        <v>Diesel</v>
      </c>
      <c r="AM134" s="188">
        <f t="shared" si="163"/>
        <v>1</v>
      </c>
    </row>
    <row r="135" spans="33:39" x14ac:dyDescent="0.25">
      <c r="AG135" s="164" t="s">
        <v>87</v>
      </c>
      <c r="AH135" s="164" t="s">
        <v>432</v>
      </c>
      <c r="AI135" s="164">
        <v>2050</v>
      </c>
      <c r="AJ135" s="164" t="str">
        <f t="shared" ref="AJ135:AL135" si="175">A20</f>
        <v>Road</v>
      </c>
      <c r="AK135" s="164" t="str">
        <f t="shared" si="175"/>
        <v>Neo bulk</v>
      </c>
      <c r="AL135" s="164" t="str">
        <f t="shared" si="175"/>
        <v>Battery</v>
      </c>
      <c r="AM135" s="188">
        <f t="shared" si="163"/>
        <v>1.0119229718084319</v>
      </c>
    </row>
    <row r="136" spans="33:39" x14ac:dyDescent="0.25">
      <c r="AG136" s="164" t="s">
        <v>103</v>
      </c>
      <c r="AH136" s="164" t="s">
        <v>432</v>
      </c>
      <c r="AI136" s="164">
        <v>2050</v>
      </c>
      <c r="AJ136" s="164" t="str">
        <f t="shared" ref="AJ136:AL136" si="176">A21</f>
        <v>Road</v>
      </c>
      <c r="AK136" s="164" t="str">
        <f t="shared" si="176"/>
        <v>Neo bulk</v>
      </c>
      <c r="AL136" s="164" t="str">
        <f t="shared" si="176"/>
        <v>Hydrogen</v>
      </c>
      <c r="AM136" s="188">
        <f t="shared" si="163"/>
        <v>1.0141265582322201</v>
      </c>
    </row>
    <row r="137" spans="33:39" x14ac:dyDescent="0.25">
      <c r="AG137" s="164" t="s">
        <v>433</v>
      </c>
      <c r="AH137" s="164" t="s">
        <v>430</v>
      </c>
      <c r="AI137" s="164">
        <v>2023</v>
      </c>
      <c r="AJ137" s="164" t="str">
        <f>A25</f>
        <v>Rail</v>
      </c>
      <c r="AK137" s="164" t="str">
        <f>B25</f>
        <v>Dry bulk</v>
      </c>
      <c r="AL137" s="164" t="str">
        <f>C25</f>
        <v>Diesel</v>
      </c>
      <c r="AM137" s="188">
        <f>I25</f>
        <v>1</v>
      </c>
    </row>
    <row r="138" spans="33:39" x14ac:dyDescent="0.25">
      <c r="AG138" s="164" t="s">
        <v>433</v>
      </c>
      <c r="AH138" s="164" t="s">
        <v>430</v>
      </c>
      <c r="AI138" s="164">
        <v>2023</v>
      </c>
      <c r="AJ138" s="164" t="str">
        <f t="shared" ref="AJ138:AL138" si="177">A26</f>
        <v>Rail</v>
      </c>
      <c r="AK138" s="164" t="str">
        <f t="shared" si="177"/>
        <v>Dry bulk</v>
      </c>
      <c r="AL138" s="164" t="str">
        <f t="shared" si="177"/>
        <v>Catenary</v>
      </c>
      <c r="AM138" s="188">
        <f t="shared" ref="AM138:AM156" si="178">I26</f>
        <v>1</v>
      </c>
    </row>
    <row r="139" spans="33:39" x14ac:dyDescent="0.25">
      <c r="AG139" s="164" t="s">
        <v>87</v>
      </c>
      <c r="AH139" s="164" t="s">
        <v>430</v>
      </c>
      <c r="AI139" s="164">
        <v>2023</v>
      </c>
      <c r="AJ139" s="164" t="str">
        <f t="shared" ref="AJ139:AL139" si="179">A27</f>
        <v>Rail</v>
      </c>
      <c r="AK139" s="164" t="str">
        <f t="shared" si="179"/>
        <v>Dry bulk</v>
      </c>
      <c r="AL139" s="164" t="str">
        <f t="shared" si="179"/>
        <v>Battery</v>
      </c>
      <c r="AM139" s="188">
        <f t="shared" si="178"/>
        <v>1</v>
      </c>
    </row>
    <row r="140" spans="33:39" x14ac:dyDescent="0.25">
      <c r="AG140" s="164" t="s">
        <v>103</v>
      </c>
      <c r="AH140" s="164" t="s">
        <v>430</v>
      </c>
      <c r="AI140" s="164">
        <v>2023</v>
      </c>
      <c r="AJ140" s="164" t="str">
        <f t="shared" ref="AJ140:AL140" si="180">A28</f>
        <v>Rail</v>
      </c>
      <c r="AK140" s="164" t="str">
        <f t="shared" si="180"/>
        <v>Dry bulk</v>
      </c>
      <c r="AL140" s="164" t="str">
        <f t="shared" si="180"/>
        <v>Hydrogen</v>
      </c>
      <c r="AM140" s="188">
        <f t="shared" si="178"/>
        <v>1</v>
      </c>
    </row>
    <row r="141" spans="33:39" x14ac:dyDescent="0.25">
      <c r="AG141" s="164" t="s">
        <v>433</v>
      </c>
      <c r="AH141" s="164" t="s">
        <v>430</v>
      </c>
      <c r="AI141" s="164">
        <v>2023</v>
      </c>
      <c r="AJ141" s="164" t="str">
        <f t="shared" ref="AJ141:AL141" si="181">A29</f>
        <v>Rail</v>
      </c>
      <c r="AK141" s="164" t="str">
        <f t="shared" si="181"/>
        <v>Liquid bulk</v>
      </c>
      <c r="AL141" s="164" t="str">
        <f t="shared" si="181"/>
        <v>Diesel</v>
      </c>
      <c r="AM141" s="188">
        <f t="shared" si="178"/>
        <v>1</v>
      </c>
    </row>
    <row r="142" spans="33:39" x14ac:dyDescent="0.25">
      <c r="AG142" s="164" t="s">
        <v>433</v>
      </c>
      <c r="AH142" s="164" t="s">
        <v>430</v>
      </c>
      <c r="AI142" s="164">
        <v>2023</v>
      </c>
      <c r="AJ142" s="164" t="str">
        <f t="shared" ref="AJ142:AL142" si="182">A30</f>
        <v>Rail</v>
      </c>
      <c r="AK142" s="164" t="str">
        <f t="shared" si="182"/>
        <v>Liquid bulk</v>
      </c>
      <c r="AL142" s="164" t="str">
        <f t="shared" si="182"/>
        <v>Catenary</v>
      </c>
      <c r="AM142" s="188">
        <f t="shared" si="178"/>
        <v>1</v>
      </c>
    </row>
    <row r="143" spans="33:39" x14ac:dyDescent="0.25">
      <c r="AG143" s="164" t="s">
        <v>87</v>
      </c>
      <c r="AH143" s="164" t="s">
        <v>430</v>
      </c>
      <c r="AI143" s="164">
        <v>2023</v>
      </c>
      <c r="AJ143" s="164" t="str">
        <f t="shared" ref="AJ143:AL143" si="183">A31</f>
        <v>Rail</v>
      </c>
      <c r="AK143" s="164" t="str">
        <f t="shared" si="183"/>
        <v>Liquid bulk</v>
      </c>
      <c r="AL143" s="164" t="str">
        <f t="shared" si="183"/>
        <v>Battery</v>
      </c>
      <c r="AM143" s="188">
        <f t="shared" si="178"/>
        <v>1</v>
      </c>
    </row>
    <row r="144" spans="33:39" x14ac:dyDescent="0.25">
      <c r="AG144" s="164" t="s">
        <v>103</v>
      </c>
      <c r="AH144" s="164" t="s">
        <v>430</v>
      </c>
      <c r="AI144" s="164">
        <v>2023</v>
      </c>
      <c r="AJ144" s="164" t="str">
        <f t="shared" ref="AJ144:AL144" si="184">A32</f>
        <v>Rail</v>
      </c>
      <c r="AK144" s="164" t="str">
        <f t="shared" si="184"/>
        <v>Liquid bulk</v>
      </c>
      <c r="AL144" s="164" t="str">
        <f t="shared" si="184"/>
        <v>Hydrogen</v>
      </c>
      <c r="AM144" s="188">
        <f t="shared" si="178"/>
        <v>1</v>
      </c>
    </row>
    <row r="145" spans="33:39" x14ac:dyDescent="0.25">
      <c r="AG145" s="164" t="s">
        <v>433</v>
      </c>
      <c r="AH145" s="164" t="s">
        <v>430</v>
      </c>
      <c r="AI145" s="164">
        <v>2023</v>
      </c>
      <c r="AJ145" s="164" t="str">
        <f t="shared" ref="AJ145:AL145" si="185">A33</f>
        <v>Rail</v>
      </c>
      <c r="AK145" s="164" t="str">
        <f t="shared" si="185"/>
        <v>Container</v>
      </c>
      <c r="AL145" s="164" t="str">
        <f t="shared" si="185"/>
        <v>Diesel</v>
      </c>
      <c r="AM145" s="188">
        <f t="shared" si="178"/>
        <v>1</v>
      </c>
    </row>
    <row r="146" spans="33:39" x14ac:dyDescent="0.25">
      <c r="AG146" s="164" t="s">
        <v>433</v>
      </c>
      <c r="AH146" s="164" t="s">
        <v>430</v>
      </c>
      <c r="AI146" s="164">
        <v>2023</v>
      </c>
      <c r="AJ146" s="164" t="str">
        <f t="shared" ref="AJ146:AL146" si="186">A34</f>
        <v>Rail</v>
      </c>
      <c r="AK146" s="164" t="str">
        <f t="shared" si="186"/>
        <v>Container</v>
      </c>
      <c r="AL146" s="164" t="str">
        <f t="shared" si="186"/>
        <v>Catenary</v>
      </c>
      <c r="AM146" s="188">
        <f t="shared" si="178"/>
        <v>1</v>
      </c>
    </row>
    <row r="147" spans="33:39" x14ac:dyDescent="0.25">
      <c r="AG147" s="164" t="s">
        <v>87</v>
      </c>
      <c r="AH147" s="164" t="s">
        <v>430</v>
      </c>
      <c r="AI147" s="164">
        <v>2023</v>
      </c>
      <c r="AJ147" s="164" t="str">
        <f t="shared" ref="AJ147:AL147" si="187">A35</f>
        <v>Rail</v>
      </c>
      <c r="AK147" s="164" t="str">
        <f t="shared" si="187"/>
        <v>Container</v>
      </c>
      <c r="AL147" s="164" t="str">
        <f t="shared" si="187"/>
        <v>Battery</v>
      </c>
      <c r="AM147" s="188">
        <f t="shared" si="178"/>
        <v>1</v>
      </c>
    </row>
    <row r="148" spans="33:39" x14ac:dyDescent="0.25">
      <c r="AG148" s="164" t="s">
        <v>103</v>
      </c>
      <c r="AH148" s="164" t="s">
        <v>430</v>
      </c>
      <c r="AI148" s="164">
        <v>2023</v>
      </c>
      <c r="AJ148" s="164" t="str">
        <f t="shared" ref="AJ148:AL148" si="188">A36</f>
        <v>Rail</v>
      </c>
      <c r="AK148" s="164" t="str">
        <f t="shared" si="188"/>
        <v>Container</v>
      </c>
      <c r="AL148" s="164" t="str">
        <f t="shared" si="188"/>
        <v>Hydrogen</v>
      </c>
      <c r="AM148" s="188">
        <f t="shared" si="178"/>
        <v>1</v>
      </c>
    </row>
    <row r="149" spans="33:39" x14ac:dyDescent="0.25">
      <c r="AG149" s="164" t="s">
        <v>433</v>
      </c>
      <c r="AH149" s="164" t="s">
        <v>430</v>
      </c>
      <c r="AI149" s="164">
        <v>2023</v>
      </c>
      <c r="AJ149" s="164" t="str">
        <f t="shared" ref="AJ149:AL149" si="189">A37</f>
        <v>Rail</v>
      </c>
      <c r="AK149" s="164" t="str">
        <f t="shared" si="189"/>
        <v>Break bulk</v>
      </c>
      <c r="AL149" s="164" t="str">
        <f t="shared" si="189"/>
        <v>Diesel</v>
      </c>
      <c r="AM149" s="188">
        <f t="shared" si="178"/>
        <v>1</v>
      </c>
    </row>
    <row r="150" spans="33:39" x14ac:dyDescent="0.25">
      <c r="AG150" s="164" t="s">
        <v>433</v>
      </c>
      <c r="AH150" s="164" t="s">
        <v>430</v>
      </c>
      <c r="AI150" s="164">
        <v>2023</v>
      </c>
      <c r="AJ150" s="164" t="str">
        <f t="shared" ref="AJ150:AL150" si="190">A38</f>
        <v>Rail</v>
      </c>
      <c r="AK150" s="164" t="str">
        <f t="shared" si="190"/>
        <v>Break bulk</v>
      </c>
      <c r="AL150" s="164" t="str">
        <f t="shared" si="190"/>
        <v>Catenary</v>
      </c>
      <c r="AM150" s="188">
        <f t="shared" si="178"/>
        <v>1</v>
      </c>
    </row>
    <row r="151" spans="33:39" x14ac:dyDescent="0.25">
      <c r="AG151" s="164" t="s">
        <v>87</v>
      </c>
      <c r="AH151" s="164" t="s">
        <v>430</v>
      </c>
      <c r="AI151" s="164">
        <v>2023</v>
      </c>
      <c r="AJ151" s="164" t="str">
        <f t="shared" ref="AJ151:AL151" si="191">A39</f>
        <v>Rail</v>
      </c>
      <c r="AK151" s="164" t="str">
        <f t="shared" si="191"/>
        <v>Break bulk</v>
      </c>
      <c r="AL151" s="164" t="str">
        <f t="shared" si="191"/>
        <v>Battery</v>
      </c>
      <c r="AM151" s="188">
        <f t="shared" si="178"/>
        <v>1</v>
      </c>
    </row>
    <row r="152" spans="33:39" x14ac:dyDescent="0.25">
      <c r="AG152" s="164" t="s">
        <v>103</v>
      </c>
      <c r="AH152" s="164" t="s">
        <v>430</v>
      </c>
      <c r="AI152" s="164">
        <v>2023</v>
      </c>
      <c r="AJ152" s="164" t="str">
        <f t="shared" ref="AJ152:AL152" si="192">A40</f>
        <v>Rail</v>
      </c>
      <c r="AK152" s="164" t="str">
        <f t="shared" si="192"/>
        <v>Break bulk</v>
      </c>
      <c r="AL152" s="164" t="str">
        <f t="shared" si="192"/>
        <v>Hydrogen</v>
      </c>
      <c r="AM152" s="188">
        <f t="shared" si="178"/>
        <v>1</v>
      </c>
    </row>
    <row r="153" spans="33:39" x14ac:dyDescent="0.25">
      <c r="AG153" s="164" t="s">
        <v>433</v>
      </c>
      <c r="AH153" s="164" t="s">
        <v>430</v>
      </c>
      <c r="AI153" s="164">
        <v>2023</v>
      </c>
      <c r="AJ153" s="164" t="str">
        <f t="shared" ref="AJ153:AL153" si="193">A41</f>
        <v>Rail</v>
      </c>
      <c r="AK153" s="164" t="str">
        <f t="shared" si="193"/>
        <v>Neo bulk</v>
      </c>
      <c r="AL153" s="164" t="str">
        <f t="shared" si="193"/>
        <v>Diesel</v>
      </c>
      <c r="AM153" s="188">
        <f t="shared" si="178"/>
        <v>1</v>
      </c>
    </row>
    <row r="154" spans="33:39" x14ac:dyDescent="0.25">
      <c r="AG154" s="164" t="s">
        <v>433</v>
      </c>
      <c r="AH154" s="164" t="s">
        <v>430</v>
      </c>
      <c r="AI154" s="164">
        <v>2023</v>
      </c>
      <c r="AJ154" s="164" t="str">
        <f t="shared" ref="AJ154:AL154" si="194">A42</f>
        <v>Rail</v>
      </c>
      <c r="AK154" s="164" t="str">
        <f t="shared" si="194"/>
        <v>Neo bulk</v>
      </c>
      <c r="AL154" s="164" t="str">
        <f t="shared" si="194"/>
        <v>Catenary</v>
      </c>
      <c r="AM154" s="188">
        <f t="shared" si="178"/>
        <v>1</v>
      </c>
    </row>
    <row r="155" spans="33:39" x14ac:dyDescent="0.25">
      <c r="AG155" s="164" t="s">
        <v>87</v>
      </c>
      <c r="AH155" s="164" t="s">
        <v>430</v>
      </c>
      <c r="AI155" s="164">
        <v>2023</v>
      </c>
      <c r="AJ155" s="164" t="str">
        <f t="shared" ref="AJ155:AL155" si="195">A43</f>
        <v>Rail</v>
      </c>
      <c r="AK155" s="164" t="str">
        <f t="shared" si="195"/>
        <v>Neo bulk</v>
      </c>
      <c r="AL155" s="164" t="str">
        <f t="shared" si="195"/>
        <v>Battery</v>
      </c>
      <c r="AM155" s="188">
        <f t="shared" si="178"/>
        <v>1</v>
      </c>
    </row>
    <row r="156" spans="33:39" x14ac:dyDescent="0.25">
      <c r="AG156" s="164" t="s">
        <v>103</v>
      </c>
      <c r="AH156" s="164" t="s">
        <v>430</v>
      </c>
      <c r="AI156" s="164">
        <v>2023</v>
      </c>
      <c r="AJ156" s="164" t="str">
        <f t="shared" ref="AJ156:AL156" si="196">A44</f>
        <v>Rail</v>
      </c>
      <c r="AK156" s="164" t="str">
        <f t="shared" si="196"/>
        <v>Neo bulk</v>
      </c>
      <c r="AL156" s="164" t="str">
        <f t="shared" si="196"/>
        <v>Hydrogen</v>
      </c>
      <c r="AM156" s="188">
        <f t="shared" si="178"/>
        <v>1</v>
      </c>
    </row>
    <row r="157" spans="33:39" x14ac:dyDescent="0.25">
      <c r="AG157" s="164" t="s">
        <v>433</v>
      </c>
      <c r="AH157" s="164" t="s">
        <v>431</v>
      </c>
      <c r="AI157" s="164">
        <v>2023</v>
      </c>
      <c r="AJ157" s="164" t="str">
        <f>A25</f>
        <v>Rail</v>
      </c>
      <c r="AK157" s="164" t="str">
        <f>B25</f>
        <v>Dry bulk</v>
      </c>
      <c r="AL157" s="164" t="str">
        <f>C25</f>
        <v>Diesel</v>
      </c>
      <c r="AM157" s="188">
        <f>J25</f>
        <v>1</v>
      </c>
    </row>
    <row r="158" spans="33:39" x14ac:dyDescent="0.25">
      <c r="AG158" s="164" t="s">
        <v>433</v>
      </c>
      <c r="AH158" s="164" t="s">
        <v>431</v>
      </c>
      <c r="AI158" s="164">
        <v>2023</v>
      </c>
      <c r="AJ158" s="164" t="str">
        <f t="shared" ref="AJ158:AL158" si="197">A26</f>
        <v>Rail</v>
      </c>
      <c r="AK158" s="164" t="str">
        <f t="shared" si="197"/>
        <v>Dry bulk</v>
      </c>
      <c r="AL158" s="164" t="str">
        <f t="shared" si="197"/>
        <v>Catenary</v>
      </c>
      <c r="AM158" s="188">
        <f t="shared" ref="AM158:AM176" si="198">J26</f>
        <v>0.96014293690574515</v>
      </c>
    </row>
    <row r="159" spans="33:39" x14ac:dyDescent="0.25">
      <c r="AG159" s="164" t="s">
        <v>87</v>
      </c>
      <c r="AH159" s="164" t="s">
        <v>431</v>
      </c>
      <c r="AI159" s="164">
        <v>2023</v>
      </c>
      <c r="AJ159" s="164" t="str">
        <f t="shared" ref="AJ159:AL159" si="199">A27</f>
        <v>Rail</v>
      </c>
      <c r="AK159" s="164" t="str">
        <f t="shared" si="199"/>
        <v>Dry bulk</v>
      </c>
      <c r="AL159" s="164" t="str">
        <f t="shared" si="199"/>
        <v>Battery</v>
      </c>
      <c r="AM159" s="188">
        <f t="shared" si="198"/>
        <v>0.96869162537492415</v>
      </c>
    </row>
    <row r="160" spans="33:39" x14ac:dyDescent="0.25">
      <c r="AG160" s="164" t="s">
        <v>103</v>
      </c>
      <c r="AH160" s="164" t="s">
        <v>431</v>
      </c>
      <c r="AI160" s="164">
        <v>2023</v>
      </c>
      <c r="AJ160" s="164" t="str">
        <f t="shared" ref="AJ160:AL160" si="200">A28</f>
        <v>Rail</v>
      </c>
      <c r="AK160" s="164" t="str">
        <f t="shared" si="200"/>
        <v>Dry bulk</v>
      </c>
      <c r="AL160" s="164" t="str">
        <f t="shared" si="200"/>
        <v>Hydrogen</v>
      </c>
      <c r="AM160" s="188">
        <f t="shared" si="198"/>
        <v>0.89059594118916841</v>
      </c>
    </row>
    <row r="161" spans="33:39" x14ac:dyDescent="0.25">
      <c r="AG161" s="164" t="s">
        <v>433</v>
      </c>
      <c r="AH161" s="164" t="s">
        <v>431</v>
      </c>
      <c r="AI161" s="164">
        <v>2023</v>
      </c>
      <c r="AJ161" s="164" t="str">
        <f t="shared" ref="AJ161:AL161" si="201">A29</f>
        <v>Rail</v>
      </c>
      <c r="AK161" s="164" t="str">
        <f t="shared" si="201"/>
        <v>Liquid bulk</v>
      </c>
      <c r="AL161" s="164" t="str">
        <f t="shared" si="201"/>
        <v>Diesel</v>
      </c>
      <c r="AM161" s="188">
        <f t="shared" si="198"/>
        <v>1</v>
      </c>
    </row>
    <row r="162" spans="33:39" x14ac:dyDescent="0.25">
      <c r="AG162" s="164" t="s">
        <v>433</v>
      </c>
      <c r="AH162" s="164" t="s">
        <v>431</v>
      </c>
      <c r="AI162" s="164">
        <v>2023</v>
      </c>
      <c r="AJ162" s="164" t="str">
        <f t="shared" ref="AJ162:AL162" si="202">A30</f>
        <v>Rail</v>
      </c>
      <c r="AK162" s="164" t="str">
        <f t="shared" si="202"/>
        <v>Liquid bulk</v>
      </c>
      <c r="AL162" s="164" t="str">
        <f t="shared" si="202"/>
        <v>Catenary</v>
      </c>
      <c r="AM162" s="188">
        <f t="shared" si="198"/>
        <v>0.96049984849507219</v>
      </c>
    </row>
    <row r="163" spans="33:39" x14ac:dyDescent="0.25">
      <c r="AG163" s="164" t="s">
        <v>87</v>
      </c>
      <c r="AH163" s="164" t="s">
        <v>431</v>
      </c>
      <c r="AI163" s="164">
        <v>2023</v>
      </c>
      <c r="AJ163" s="164" t="str">
        <f t="shared" ref="AJ163:AL163" si="203">A31</f>
        <v>Rail</v>
      </c>
      <c r="AK163" s="164" t="str">
        <f t="shared" si="203"/>
        <v>Liquid bulk</v>
      </c>
      <c r="AL163" s="164" t="str">
        <f t="shared" si="203"/>
        <v>Battery</v>
      </c>
      <c r="AM163" s="188">
        <f t="shared" si="198"/>
        <v>0.9688980938493128</v>
      </c>
    </row>
    <row r="164" spans="33:39" x14ac:dyDescent="0.25">
      <c r="AG164" s="164" t="s">
        <v>103</v>
      </c>
      <c r="AH164" s="164" t="s">
        <v>431</v>
      </c>
      <c r="AI164" s="164">
        <v>2023</v>
      </c>
      <c r="AJ164" s="164" t="str">
        <f t="shared" ref="AJ164:AL164" si="204">A32</f>
        <v>Rail</v>
      </c>
      <c r="AK164" s="164" t="str">
        <f t="shared" si="204"/>
        <v>Liquid bulk</v>
      </c>
      <c r="AL164" s="164" t="str">
        <f t="shared" si="204"/>
        <v>Hydrogen</v>
      </c>
      <c r="AM164" s="188">
        <f t="shared" si="198"/>
        <v>0.89114673837205738</v>
      </c>
    </row>
    <row r="165" spans="33:39" x14ac:dyDescent="0.25">
      <c r="AG165" s="164" t="s">
        <v>433</v>
      </c>
      <c r="AH165" s="164" t="s">
        <v>431</v>
      </c>
      <c r="AI165" s="164">
        <v>2023</v>
      </c>
      <c r="AJ165" s="164" t="str">
        <f t="shared" ref="AJ165:AL165" si="205">A33</f>
        <v>Rail</v>
      </c>
      <c r="AK165" s="164" t="str">
        <f t="shared" si="205"/>
        <v>Container</v>
      </c>
      <c r="AL165" s="164" t="str">
        <f t="shared" si="205"/>
        <v>Diesel</v>
      </c>
      <c r="AM165" s="188">
        <f t="shared" si="198"/>
        <v>1</v>
      </c>
    </row>
    <row r="166" spans="33:39" x14ac:dyDescent="0.25">
      <c r="AG166" s="164" t="s">
        <v>433</v>
      </c>
      <c r="AH166" s="164" t="s">
        <v>431</v>
      </c>
      <c r="AI166" s="164">
        <v>2023</v>
      </c>
      <c r="AJ166" s="164" t="str">
        <f t="shared" ref="AJ166:AL166" si="206">A34</f>
        <v>Rail</v>
      </c>
      <c r="AK166" s="164" t="str">
        <f t="shared" si="206"/>
        <v>Container</v>
      </c>
      <c r="AL166" s="164" t="str">
        <f t="shared" si="206"/>
        <v>Catenary</v>
      </c>
      <c r="AM166" s="188">
        <f t="shared" si="198"/>
        <v>0.95768850490833746</v>
      </c>
    </row>
    <row r="167" spans="33:39" x14ac:dyDescent="0.25">
      <c r="AG167" s="164" t="s">
        <v>87</v>
      </c>
      <c r="AH167" s="164" t="s">
        <v>431</v>
      </c>
      <c r="AI167" s="164">
        <v>2023</v>
      </c>
      <c r="AJ167" s="164" t="str">
        <f t="shared" ref="AJ167:AL167" si="207">A35</f>
        <v>Rail</v>
      </c>
      <c r="AK167" s="164" t="str">
        <f t="shared" si="207"/>
        <v>Container</v>
      </c>
      <c r="AL167" s="164" t="str">
        <f t="shared" si="207"/>
        <v>Battery</v>
      </c>
      <c r="AM167" s="188">
        <f t="shared" si="198"/>
        <v>0.96728627673803491</v>
      </c>
    </row>
    <row r="168" spans="33:39" x14ac:dyDescent="0.25">
      <c r="AG168" s="164" t="s">
        <v>103</v>
      </c>
      <c r="AH168" s="164" t="s">
        <v>431</v>
      </c>
      <c r="AI168" s="164">
        <v>2023</v>
      </c>
      <c r="AJ168" s="164" t="str">
        <f t="shared" ref="AJ168:AL168" si="208">A36</f>
        <v>Rail</v>
      </c>
      <c r="AK168" s="164" t="str">
        <f t="shared" si="208"/>
        <v>Container</v>
      </c>
      <c r="AL168" s="164" t="str">
        <f t="shared" si="208"/>
        <v>Hydrogen</v>
      </c>
      <c r="AM168" s="188">
        <f t="shared" si="198"/>
        <v>0.88690743835743091</v>
      </c>
    </row>
    <row r="169" spans="33:39" x14ac:dyDescent="0.25">
      <c r="AG169" s="164" t="s">
        <v>433</v>
      </c>
      <c r="AH169" s="164" t="s">
        <v>431</v>
      </c>
      <c r="AI169" s="164">
        <v>2023</v>
      </c>
      <c r="AJ169" s="164" t="str">
        <f t="shared" ref="AJ169:AL169" si="209">A37</f>
        <v>Rail</v>
      </c>
      <c r="AK169" s="164" t="str">
        <f t="shared" si="209"/>
        <v>Break bulk</v>
      </c>
      <c r="AL169" s="164" t="str">
        <f t="shared" si="209"/>
        <v>Diesel</v>
      </c>
      <c r="AM169" s="188">
        <f t="shared" si="198"/>
        <v>1</v>
      </c>
    </row>
    <row r="170" spans="33:39" x14ac:dyDescent="0.25">
      <c r="AG170" s="164" t="s">
        <v>433</v>
      </c>
      <c r="AH170" s="164" t="s">
        <v>431</v>
      </c>
      <c r="AI170" s="164">
        <v>2023</v>
      </c>
      <c r="AJ170" s="164" t="str">
        <f t="shared" ref="AJ170:AL170" si="210">A38</f>
        <v>Rail</v>
      </c>
      <c r="AK170" s="164" t="str">
        <f t="shared" si="210"/>
        <v>Break bulk</v>
      </c>
      <c r="AL170" s="164" t="str">
        <f t="shared" si="210"/>
        <v>Catenary</v>
      </c>
      <c r="AM170" s="188">
        <f t="shared" si="198"/>
        <v>0.97394250880909916</v>
      </c>
    </row>
    <row r="171" spans="33:39" x14ac:dyDescent="0.25">
      <c r="AG171" s="164" t="s">
        <v>87</v>
      </c>
      <c r="AH171" s="164" t="s">
        <v>431</v>
      </c>
      <c r="AI171" s="164">
        <v>2023</v>
      </c>
      <c r="AJ171" s="164" t="str">
        <f t="shared" ref="AJ171:AL171" si="211">A39</f>
        <v>Rail</v>
      </c>
      <c r="AK171" s="164" t="str">
        <f t="shared" si="211"/>
        <v>Break bulk</v>
      </c>
      <c r="AL171" s="164" t="str">
        <f t="shared" si="211"/>
        <v>Battery</v>
      </c>
      <c r="AM171" s="188">
        <f t="shared" si="198"/>
        <v>0.97750110996621165</v>
      </c>
    </row>
    <row r="172" spans="33:39" x14ac:dyDescent="0.25">
      <c r="AG172" s="164" t="s">
        <v>103</v>
      </c>
      <c r="AH172" s="164" t="s">
        <v>431</v>
      </c>
      <c r="AI172" s="164">
        <v>2023</v>
      </c>
      <c r="AJ172" s="164" t="str">
        <f t="shared" ref="AJ172:AL172" si="212">A40</f>
        <v>Rail</v>
      </c>
      <c r="AK172" s="164" t="str">
        <f t="shared" si="212"/>
        <v>Break bulk</v>
      </c>
      <c r="AL172" s="164" t="str">
        <f t="shared" si="212"/>
        <v>Hydrogen</v>
      </c>
      <c r="AM172" s="188">
        <f t="shared" si="198"/>
        <v>0.91568160174971691</v>
      </c>
    </row>
    <row r="173" spans="33:39" x14ac:dyDescent="0.25">
      <c r="AG173" s="164" t="s">
        <v>433</v>
      </c>
      <c r="AH173" s="164" t="s">
        <v>431</v>
      </c>
      <c r="AI173" s="164">
        <v>2023</v>
      </c>
      <c r="AJ173" s="164" t="str">
        <f t="shared" ref="AJ173:AL173" si="213">A41</f>
        <v>Rail</v>
      </c>
      <c r="AK173" s="164" t="str">
        <f t="shared" si="213"/>
        <v>Neo bulk</v>
      </c>
      <c r="AL173" s="164" t="str">
        <f t="shared" si="213"/>
        <v>Diesel</v>
      </c>
      <c r="AM173" s="188">
        <f t="shared" si="198"/>
        <v>1</v>
      </c>
    </row>
    <row r="174" spans="33:39" x14ac:dyDescent="0.25">
      <c r="AG174" s="164" t="s">
        <v>433</v>
      </c>
      <c r="AH174" s="164" t="s">
        <v>431</v>
      </c>
      <c r="AI174" s="164">
        <v>2023</v>
      </c>
      <c r="AJ174" s="164" t="str">
        <f t="shared" ref="AJ174:AL174" si="214">A42</f>
        <v>Rail</v>
      </c>
      <c r="AK174" s="164" t="str">
        <f t="shared" si="214"/>
        <v>Neo bulk</v>
      </c>
      <c r="AL174" s="164" t="str">
        <f t="shared" si="214"/>
        <v>Catenary</v>
      </c>
      <c r="AM174" s="188">
        <f t="shared" si="198"/>
        <v>0.95960677458661592</v>
      </c>
    </row>
    <row r="175" spans="33:39" x14ac:dyDescent="0.25">
      <c r="AG175" s="164" t="s">
        <v>87</v>
      </c>
      <c r="AH175" s="164" t="s">
        <v>431</v>
      </c>
      <c r="AI175" s="164">
        <v>2023</v>
      </c>
      <c r="AJ175" s="164" t="str">
        <f t="shared" ref="AJ175:AL175" si="215">A43</f>
        <v>Rail</v>
      </c>
      <c r="AK175" s="164" t="str">
        <f t="shared" si="215"/>
        <v>Neo bulk</v>
      </c>
      <c r="AL175" s="164" t="str">
        <f t="shared" si="215"/>
        <v>Battery</v>
      </c>
      <c r="AM175" s="188">
        <f t="shared" si="198"/>
        <v>0.96837866570785203</v>
      </c>
    </row>
    <row r="176" spans="33:39" x14ac:dyDescent="0.25">
      <c r="AG176" s="164" t="s">
        <v>103</v>
      </c>
      <c r="AH176" s="164" t="s">
        <v>431</v>
      </c>
      <c r="AI176" s="164">
        <v>2023</v>
      </c>
      <c r="AJ176" s="164" t="str">
        <f t="shared" ref="AJ176:AL176" si="216">A44</f>
        <v>Rail</v>
      </c>
      <c r="AK176" s="164" t="str">
        <f t="shared" si="216"/>
        <v>Neo bulk</v>
      </c>
      <c r="AL176" s="164" t="str">
        <f t="shared" si="216"/>
        <v>Hydrogen</v>
      </c>
      <c r="AM176" s="188">
        <f t="shared" si="198"/>
        <v>0.88977048624185628</v>
      </c>
    </row>
    <row r="177" spans="33:39" x14ac:dyDescent="0.25">
      <c r="AG177" s="164" t="s">
        <v>433</v>
      </c>
      <c r="AH177" s="164" t="s">
        <v>432</v>
      </c>
      <c r="AI177" s="164">
        <v>2023</v>
      </c>
      <c r="AJ177" s="164" t="str">
        <f>A25</f>
        <v>Rail</v>
      </c>
      <c r="AK177" s="164" t="str">
        <f>B25</f>
        <v>Dry bulk</v>
      </c>
      <c r="AL177" s="164" t="str">
        <f>C25</f>
        <v>Diesel</v>
      </c>
      <c r="AM177" s="188">
        <f>K25</f>
        <v>1</v>
      </c>
    </row>
    <row r="178" spans="33:39" x14ac:dyDescent="0.25">
      <c r="AG178" s="164" t="s">
        <v>433</v>
      </c>
      <c r="AH178" s="164" t="s">
        <v>432</v>
      </c>
      <c r="AI178" s="164">
        <v>2023</v>
      </c>
      <c r="AJ178" s="164" t="str">
        <f t="shared" ref="AJ178:AL178" si="217">A26</f>
        <v>Rail</v>
      </c>
      <c r="AK178" s="164" t="str">
        <f t="shared" si="217"/>
        <v>Dry bulk</v>
      </c>
      <c r="AL178" s="164" t="str">
        <f t="shared" si="217"/>
        <v>Catenary</v>
      </c>
      <c r="AM178" s="188">
        <f t="shared" ref="AM178:AM196" si="218">K26</f>
        <v>1.0717735979905896</v>
      </c>
    </row>
    <row r="179" spans="33:39" x14ac:dyDescent="0.25">
      <c r="AG179" s="164" t="s">
        <v>87</v>
      </c>
      <c r="AH179" s="164" t="s">
        <v>432</v>
      </c>
      <c r="AI179" s="164">
        <v>2023</v>
      </c>
      <c r="AJ179" s="164" t="str">
        <f t="shared" ref="AJ179:AL179" si="219">A27</f>
        <v>Rail</v>
      </c>
      <c r="AK179" s="164" t="str">
        <f t="shared" si="219"/>
        <v>Dry bulk</v>
      </c>
      <c r="AL179" s="164" t="str">
        <f t="shared" si="219"/>
        <v>Battery</v>
      </c>
      <c r="AM179" s="188">
        <f t="shared" si="218"/>
        <v>1.0563793345426624</v>
      </c>
    </row>
    <row r="180" spans="33:39" x14ac:dyDescent="0.25">
      <c r="AG180" s="164" t="s">
        <v>103</v>
      </c>
      <c r="AH180" s="164" t="s">
        <v>432</v>
      </c>
      <c r="AI180" s="164">
        <v>2023</v>
      </c>
      <c r="AJ180" s="164" t="str">
        <f t="shared" ref="AJ180:AL180" si="220">A28</f>
        <v>Rail</v>
      </c>
      <c r="AK180" s="164" t="str">
        <f t="shared" si="220"/>
        <v>Dry bulk</v>
      </c>
      <c r="AL180" s="164" t="str">
        <f t="shared" si="220"/>
        <v>Hydrogen</v>
      </c>
      <c r="AM180" s="188">
        <f t="shared" si="218"/>
        <v>1.0673925070726333</v>
      </c>
    </row>
    <row r="181" spans="33:39" x14ac:dyDescent="0.25">
      <c r="AG181" s="164" t="s">
        <v>433</v>
      </c>
      <c r="AH181" s="164" t="s">
        <v>432</v>
      </c>
      <c r="AI181" s="164">
        <v>2023</v>
      </c>
      <c r="AJ181" s="164" t="str">
        <f t="shared" ref="AJ181:AL181" si="221">A29</f>
        <v>Rail</v>
      </c>
      <c r="AK181" s="164" t="str">
        <f t="shared" si="221"/>
        <v>Liquid bulk</v>
      </c>
      <c r="AL181" s="164" t="str">
        <f t="shared" si="221"/>
        <v>Diesel</v>
      </c>
      <c r="AM181" s="188">
        <f t="shared" si="218"/>
        <v>1</v>
      </c>
    </row>
    <row r="182" spans="33:39" x14ac:dyDescent="0.25">
      <c r="AG182" s="164" t="s">
        <v>433</v>
      </c>
      <c r="AH182" s="164" t="s">
        <v>432</v>
      </c>
      <c r="AI182" s="164">
        <v>2023</v>
      </c>
      <c r="AJ182" s="164" t="str">
        <f t="shared" ref="AJ182:AL182" si="222">A30</f>
        <v>Rail</v>
      </c>
      <c r="AK182" s="164" t="str">
        <f t="shared" si="222"/>
        <v>Liquid bulk</v>
      </c>
      <c r="AL182" s="164" t="str">
        <f t="shared" si="222"/>
        <v>Catenary</v>
      </c>
      <c r="AM182" s="188">
        <f t="shared" si="218"/>
        <v>1.0711308805663289</v>
      </c>
    </row>
    <row r="183" spans="33:39" x14ac:dyDescent="0.25">
      <c r="AG183" s="164" t="s">
        <v>87</v>
      </c>
      <c r="AH183" s="164" t="s">
        <v>432</v>
      </c>
      <c r="AI183" s="164">
        <v>2023</v>
      </c>
      <c r="AJ183" s="164" t="str">
        <f t="shared" ref="AJ183:AL183" si="223">A31</f>
        <v>Rail</v>
      </c>
      <c r="AK183" s="164" t="str">
        <f t="shared" si="223"/>
        <v>Liquid bulk</v>
      </c>
      <c r="AL183" s="164" t="str">
        <f t="shared" si="223"/>
        <v>Battery</v>
      </c>
      <c r="AM183" s="188">
        <f t="shared" si="218"/>
        <v>1.0560075313005748</v>
      </c>
    </row>
    <row r="184" spans="33:39" x14ac:dyDescent="0.25">
      <c r="AG184" s="164" t="s">
        <v>103</v>
      </c>
      <c r="AH184" s="164" t="s">
        <v>432</v>
      </c>
      <c r="AI184" s="164">
        <v>2023</v>
      </c>
      <c r="AJ184" s="164" t="str">
        <f t="shared" ref="AJ184:AL184" si="224">A32</f>
        <v>Rail</v>
      </c>
      <c r="AK184" s="164" t="str">
        <f t="shared" si="224"/>
        <v>Liquid bulk</v>
      </c>
      <c r="AL184" s="164" t="str">
        <f t="shared" si="224"/>
        <v>Hydrogen</v>
      </c>
      <c r="AM184" s="188">
        <f t="shared" si="218"/>
        <v>1.0670532179873207</v>
      </c>
    </row>
    <row r="185" spans="33:39" x14ac:dyDescent="0.25">
      <c r="AG185" s="164" t="s">
        <v>433</v>
      </c>
      <c r="AH185" s="164" t="s">
        <v>432</v>
      </c>
      <c r="AI185" s="164">
        <v>2023</v>
      </c>
      <c r="AJ185" s="164" t="str">
        <f t="shared" ref="AJ185:AL185" si="225">A33</f>
        <v>Rail</v>
      </c>
      <c r="AK185" s="164" t="str">
        <f t="shared" si="225"/>
        <v>Container</v>
      </c>
      <c r="AL185" s="164" t="str">
        <f t="shared" si="225"/>
        <v>Diesel</v>
      </c>
      <c r="AM185" s="188">
        <f t="shared" si="218"/>
        <v>1</v>
      </c>
    </row>
    <row r="186" spans="33:39" x14ac:dyDescent="0.25">
      <c r="AG186" s="164" t="s">
        <v>433</v>
      </c>
      <c r="AH186" s="164" t="s">
        <v>432</v>
      </c>
      <c r="AI186" s="164">
        <v>2023</v>
      </c>
      <c r="AJ186" s="164" t="str">
        <f t="shared" ref="AJ186:AL186" si="226">A34</f>
        <v>Rail</v>
      </c>
      <c r="AK186" s="164" t="str">
        <f t="shared" si="226"/>
        <v>Container</v>
      </c>
      <c r="AL186" s="164" t="str">
        <f t="shared" si="226"/>
        <v>Catenary</v>
      </c>
      <c r="AM186" s="188">
        <f t="shared" si="218"/>
        <v>1.0761934774749502</v>
      </c>
    </row>
    <row r="187" spans="33:39" x14ac:dyDescent="0.25">
      <c r="AG187" s="164" t="s">
        <v>87</v>
      </c>
      <c r="AH187" s="164" t="s">
        <v>432</v>
      </c>
      <c r="AI187" s="164">
        <v>2023</v>
      </c>
      <c r="AJ187" s="164" t="str">
        <f t="shared" ref="AJ187:AL187" si="227">A35</f>
        <v>Rail</v>
      </c>
      <c r="AK187" s="164" t="str">
        <f t="shared" si="227"/>
        <v>Container</v>
      </c>
      <c r="AL187" s="164" t="str">
        <f t="shared" si="227"/>
        <v>Battery</v>
      </c>
      <c r="AM187" s="188">
        <f t="shared" si="218"/>
        <v>1.0589100510649045</v>
      </c>
    </row>
    <row r="188" spans="33:39" x14ac:dyDescent="0.25">
      <c r="AG188" s="164" t="s">
        <v>103</v>
      </c>
      <c r="AH188" s="164" t="s">
        <v>432</v>
      </c>
      <c r="AI188" s="164">
        <v>2023</v>
      </c>
      <c r="AJ188" s="164" t="str">
        <f t="shared" ref="AJ188:AL188" si="228">A36</f>
        <v>Rail</v>
      </c>
      <c r="AK188" s="164" t="str">
        <f t="shared" si="228"/>
        <v>Container</v>
      </c>
      <c r="AL188" s="164" t="str">
        <f t="shared" si="228"/>
        <v>Hydrogen</v>
      </c>
      <c r="AM188" s="188">
        <f t="shared" si="218"/>
        <v>1.0696646115619661</v>
      </c>
    </row>
    <row r="189" spans="33:39" x14ac:dyDescent="0.25">
      <c r="AG189" s="164" t="s">
        <v>433</v>
      </c>
      <c r="AH189" s="164" t="s">
        <v>432</v>
      </c>
      <c r="AI189" s="164">
        <v>2023</v>
      </c>
      <c r="AJ189" s="164" t="str">
        <f t="shared" ref="AJ189:AL189" si="229">A37</f>
        <v>Rail</v>
      </c>
      <c r="AK189" s="164" t="str">
        <f t="shared" si="229"/>
        <v>Break bulk</v>
      </c>
      <c r="AL189" s="164" t="str">
        <f t="shared" si="229"/>
        <v>Diesel</v>
      </c>
      <c r="AM189" s="188">
        <f t="shared" si="218"/>
        <v>1</v>
      </c>
    </row>
    <row r="190" spans="33:39" x14ac:dyDescent="0.25">
      <c r="AG190" s="164" t="s">
        <v>433</v>
      </c>
      <c r="AH190" s="164" t="s">
        <v>432</v>
      </c>
      <c r="AI190" s="164">
        <v>2023</v>
      </c>
      <c r="AJ190" s="164" t="str">
        <f t="shared" ref="AJ190:AL190" si="230">A38</f>
        <v>Rail</v>
      </c>
      <c r="AK190" s="164" t="str">
        <f t="shared" si="230"/>
        <v>Break bulk</v>
      </c>
      <c r="AL190" s="164" t="str">
        <f t="shared" si="230"/>
        <v>Catenary</v>
      </c>
      <c r="AM190" s="188">
        <f t="shared" si="218"/>
        <v>1.0469236755592413</v>
      </c>
    </row>
    <row r="191" spans="33:39" x14ac:dyDescent="0.25">
      <c r="AG191" s="164" t="s">
        <v>87</v>
      </c>
      <c r="AH191" s="164" t="s">
        <v>432</v>
      </c>
      <c r="AI191" s="164">
        <v>2023</v>
      </c>
      <c r="AJ191" s="164" t="str">
        <f t="shared" ref="AJ191:AL191" si="231">A39</f>
        <v>Rail</v>
      </c>
      <c r="AK191" s="164" t="str">
        <f t="shared" si="231"/>
        <v>Break bulk</v>
      </c>
      <c r="AL191" s="164" t="str">
        <f t="shared" si="231"/>
        <v>Battery</v>
      </c>
      <c r="AM191" s="188">
        <f t="shared" si="218"/>
        <v>1.0405154359893714</v>
      </c>
    </row>
    <row r="192" spans="33:39" x14ac:dyDescent="0.25">
      <c r="AG192" s="164" t="s">
        <v>103</v>
      </c>
      <c r="AH192" s="164" t="s">
        <v>432</v>
      </c>
      <c r="AI192" s="164">
        <v>2023</v>
      </c>
      <c r="AJ192" s="164" t="str">
        <f t="shared" ref="AJ192:AL192" si="232">A40</f>
        <v>Rail</v>
      </c>
      <c r="AK192" s="164" t="str">
        <f t="shared" si="232"/>
        <v>Break bulk</v>
      </c>
      <c r="AL192" s="164" t="str">
        <f t="shared" si="232"/>
        <v>Hydrogen</v>
      </c>
      <c r="AM192" s="188">
        <f t="shared" si="218"/>
        <v>1.0519398303152603</v>
      </c>
    </row>
    <row r="193" spans="33:39" x14ac:dyDescent="0.25">
      <c r="AG193" s="164" t="s">
        <v>433</v>
      </c>
      <c r="AH193" s="164" t="s">
        <v>432</v>
      </c>
      <c r="AI193" s="164">
        <v>2023</v>
      </c>
      <c r="AJ193" s="164" t="str">
        <f t="shared" ref="AJ193:AL193" si="233">A41</f>
        <v>Rail</v>
      </c>
      <c r="AK193" s="164" t="str">
        <f t="shared" si="233"/>
        <v>Neo bulk</v>
      </c>
      <c r="AL193" s="164" t="str">
        <f t="shared" si="233"/>
        <v>Diesel</v>
      </c>
      <c r="AM193" s="188">
        <f t="shared" si="218"/>
        <v>1</v>
      </c>
    </row>
    <row r="194" spans="33:39" x14ac:dyDescent="0.25">
      <c r="AG194" s="164" t="s">
        <v>433</v>
      </c>
      <c r="AH194" s="164" t="s">
        <v>432</v>
      </c>
      <c r="AI194" s="164">
        <v>2023</v>
      </c>
      <c r="AJ194" s="164" t="str">
        <f t="shared" ref="AJ194:AL194" si="234">A42</f>
        <v>Rail</v>
      </c>
      <c r="AK194" s="164" t="str">
        <f t="shared" si="234"/>
        <v>Neo bulk</v>
      </c>
      <c r="AL194" s="164" t="str">
        <f t="shared" si="234"/>
        <v>Catenary</v>
      </c>
      <c r="AM194" s="188">
        <f t="shared" si="218"/>
        <v>1.0727391056262097</v>
      </c>
    </row>
    <row r="195" spans="33:39" x14ac:dyDescent="0.25">
      <c r="AG195" s="164" t="s">
        <v>87</v>
      </c>
      <c r="AH195" s="164" t="s">
        <v>432</v>
      </c>
      <c r="AI195" s="164">
        <v>2023</v>
      </c>
      <c r="AJ195" s="164" t="str">
        <f t="shared" ref="AJ195:AL195" si="235">A43</f>
        <v>Rail</v>
      </c>
      <c r="AK195" s="164" t="str">
        <f t="shared" si="235"/>
        <v>Neo bulk</v>
      </c>
      <c r="AL195" s="164" t="str">
        <f t="shared" si="235"/>
        <v>Battery</v>
      </c>
      <c r="AM195" s="188">
        <f t="shared" si="218"/>
        <v>1.056942904449421</v>
      </c>
    </row>
    <row r="196" spans="33:39" x14ac:dyDescent="0.25">
      <c r="AG196" s="164" t="s">
        <v>103</v>
      </c>
      <c r="AH196" s="164" t="s">
        <v>432</v>
      </c>
      <c r="AI196" s="164">
        <v>2023</v>
      </c>
      <c r="AJ196" s="164" t="str">
        <f t="shared" ref="AJ196:AL196" si="236">A44</f>
        <v>Rail</v>
      </c>
      <c r="AK196" s="164" t="str">
        <f t="shared" si="236"/>
        <v>Neo bulk</v>
      </c>
      <c r="AL196" s="164" t="str">
        <f t="shared" si="236"/>
        <v>Hydrogen</v>
      </c>
      <c r="AM196" s="188">
        <f t="shared" si="218"/>
        <v>1.0679009843538199</v>
      </c>
    </row>
    <row r="197" spans="33:39" x14ac:dyDescent="0.25">
      <c r="AG197" s="164" t="s">
        <v>433</v>
      </c>
      <c r="AH197" s="164" t="s">
        <v>430</v>
      </c>
      <c r="AI197" s="164">
        <v>2034</v>
      </c>
      <c r="AJ197" s="164" t="str">
        <f>A25</f>
        <v>Rail</v>
      </c>
      <c r="AK197" s="164" t="str">
        <f>B25</f>
        <v>Dry bulk</v>
      </c>
      <c r="AL197" s="164" t="str">
        <f>C25</f>
        <v>Diesel</v>
      </c>
      <c r="AM197" s="188">
        <f>R25</f>
        <v>1</v>
      </c>
    </row>
    <row r="198" spans="33:39" x14ac:dyDescent="0.25">
      <c r="AG198" s="164" t="s">
        <v>433</v>
      </c>
      <c r="AH198" s="164" t="s">
        <v>430</v>
      </c>
      <c r="AI198" s="164">
        <v>2034</v>
      </c>
      <c r="AJ198" s="164" t="str">
        <f t="shared" ref="AJ198:AL198" si="237">A26</f>
        <v>Rail</v>
      </c>
      <c r="AK198" s="164" t="str">
        <f t="shared" si="237"/>
        <v>Dry bulk</v>
      </c>
      <c r="AL198" s="164" t="str">
        <f t="shared" si="237"/>
        <v>Catenary</v>
      </c>
      <c r="AM198" s="188">
        <f t="shared" ref="AM198:AM214" si="238">R26</f>
        <v>1</v>
      </c>
    </row>
    <row r="199" spans="33:39" x14ac:dyDescent="0.25">
      <c r="AG199" s="164" t="s">
        <v>87</v>
      </c>
      <c r="AH199" s="164" t="s">
        <v>430</v>
      </c>
      <c r="AI199" s="164">
        <v>2034</v>
      </c>
      <c r="AJ199" s="164" t="str">
        <f t="shared" ref="AJ199:AL199" si="239">A27</f>
        <v>Rail</v>
      </c>
      <c r="AK199" s="164" t="str">
        <f t="shared" si="239"/>
        <v>Dry bulk</v>
      </c>
      <c r="AL199" s="164" t="str">
        <f t="shared" si="239"/>
        <v>Battery</v>
      </c>
      <c r="AM199" s="188">
        <f t="shared" si="238"/>
        <v>1</v>
      </c>
    </row>
    <row r="200" spans="33:39" x14ac:dyDescent="0.25">
      <c r="AG200" s="164" t="s">
        <v>103</v>
      </c>
      <c r="AH200" s="164" t="s">
        <v>430</v>
      </c>
      <c r="AI200" s="164">
        <v>2034</v>
      </c>
      <c r="AJ200" s="164" t="str">
        <f t="shared" ref="AJ200:AL200" si="240">A28</f>
        <v>Rail</v>
      </c>
      <c r="AK200" s="164" t="str">
        <f t="shared" si="240"/>
        <v>Dry bulk</v>
      </c>
      <c r="AL200" s="164" t="str">
        <f t="shared" si="240"/>
        <v>Hydrogen</v>
      </c>
      <c r="AM200" s="188">
        <f t="shared" si="238"/>
        <v>1</v>
      </c>
    </row>
    <row r="201" spans="33:39" x14ac:dyDescent="0.25">
      <c r="AG201" s="164" t="s">
        <v>433</v>
      </c>
      <c r="AH201" s="164" t="s">
        <v>430</v>
      </c>
      <c r="AI201" s="164">
        <v>2034</v>
      </c>
      <c r="AJ201" s="164" t="str">
        <f t="shared" ref="AJ201:AL201" si="241">A29</f>
        <v>Rail</v>
      </c>
      <c r="AK201" s="164" t="str">
        <f t="shared" si="241"/>
        <v>Liquid bulk</v>
      </c>
      <c r="AL201" s="164" t="str">
        <f t="shared" si="241"/>
        <v>Diesel</v>
      </c>
      <c r="AM201" s="188">
        <f t="shared" si="238"/>
        <v>1</v>
      </c>
    </row>
    <row r="202" spans="33:39" x14ac:dyDescent="0.25">
      <c r="AG202" s="164" t="s">
        <v>433</v>
      </c>
      <c r="AH202" s="164" t="s">
        <v>430</v>
      </c>
      <c r="AI202" s="164">
        <v>2034</v>
      </c>
      <c r="AJ202" s="164" t="str">
        <f t="shared" ref="AJ202:AL202" si="242">A30</f>
        <v>Rail</v>
      </c>
      <c r="AK202" s="164" t="str">
        <f t="shared" si="242"/>
        <v>Liquid bulk</v>
      </c>
      <c r="AL202" s="164" t="str">
        <f t="shared" si="242"/>
        <v>Catenary</v>
      </c>
      <c r="AM202" s="188">
        <f t="shared" si="238"/>
        <v>1</v>
      </c>
    </row>
    <row r="203" spans="33:39" x14ac:dyDescent="0.25">
      <c r="AG203" s="164" t="s">
        <v>87</v>
      </c>
      <c r="AH203" s="164" t="s">
        <v>430</v>
      </c>
      <c r="AI203" s="164">
        <v>2034</v>
      </c>
      <c r="AJ203" s="164" t="str">
        <f t="shared" ref="AJ203:AL203" si="243">A31</f>
        <v>Rail</v>
      </c>
      <c r="AK203" s="164" t="str">
        <f t="shared" si="243"/>
        <v>Liquid bulk</v>
      </c>
      <c r="AL203" s="164" t="str">
        <f t="shared" si="243"/>
        <v>Battery</v>
      </c>
      <c r="AM203" s="188">
        <f t="shared" si="238"/>
        <v>1</v>
      </c>
    </row>
    <row r="204" spans="33:39" x14ac:dyDescent="0.25">
      <c r="AG204" s="164" t="s">
        <v>103</v>
      </c>
      <c r="AH204" s="164" t="s">
        <v>430</v>
      </c>
      <c r="AI204" s="164">
        <v>2034</v>
      </c>
      <c r="AJ204" s="164" t="str">
        <f t="shared" ref="AJ204:AL204" si="244">A32</f>
        <v>Rail</v>
      </c>
      <c r="AK204" s="164" t="str">
        <f t="shared" si="244"/>
        <v>Liquid bulk</v>
      </c>
      <c r="AL204" s="164" t="str">
        <f t="shared" si="244"/>
        <v>Hydrogen</v>
      </c>
      <c r="AM204" s="188">
        <f t="shared" si="238"/>
        <v>1</v>
      </c>
    </row>
    <row r="205" spans="33:39" x14ac:dyDescent="0.25">
      <c r="AG205" s="164" t="s">
        <v>433</v>
      </c>
      <c r="AH205" s="164" t="s">
        <v>430</v>
      </c>
      <c r="AI205" s="164">
        <v>2034</v>
      </c>
      <c r="AJ205" s="164" t="str">
        <f t="shared" ref="AJ205:AL205" si="245">A33</f>
        <v>Rail</v>
      </c>
      <c r="AK205" s="164" t="str">
        <f t="shared" si="245"/>
        <v>Container</v>
      </c>
      <c r="AL205" s="164" t="str">
        <f t="shared" si="245"/>
        <v>Diesel</v>
      </c>
      <c r="AM205" s="188">
        <f t="shared" si="238"/>
        <v>1</v>
      </c>
    </row>
    <row r="206" spans="33:39" x14ac:dyDescent="0.25">
      <c r="AG206" s="164" t="s">
        <v>433</v>
      </c>
      <c r="AH206" s="164" t="s">
        <v>430</v>
      </c>
      <c r="AI206" s="164">
        <v>2034</v>
      </c>
      <c r="AJ206" s="164" t="str">
        <f t="shared" ref="AJ206:AL206" si="246">A34</f>
        <v>Rail</v>
      </c>
      <c r="AK206" s="164" t="str">
        <f t="shared" si="246"/>
        <v>Container</v>
      </c>
      <c r="AL206" s="164" t="str">
        <f t="shared" si="246"/>
        <v>Catenary</v>
      </c>
      <c r="AM206" s="188">
        <f t="shared" si="238"/>
        <v>1</v>
      </c>
    </row>
    <row r="207" spans="33:39" x14ac:dyDescent="0.25">
      <c r="AG207" s="164" t="s">
        <v>87</v>
      </c>
      <c r="AH207" s="164" t="s">
        <v>430</v>
      </c>
      <c r="AI207" s="164">
        <v>2034</v>
      </c>
      <c r="AJ207" s="164" t="str">
        <f t="shared" ref="AJ207:AL207" si="247">A35</f>
        <v>Rail</v>
      </c>
      <c r="AK207" s="164" t="str">
        <f t="shared" si="247"/>
        <v>Container</v>
      </c>
      <c r="AL207" s="164" t="str">
        <f t="shared" si="247"/>
        <v>Battery</v>
      </c>
      <c r="AM207" s="188">
        <f t="shared" si="238"/>
        <v>1</v>
      </c>
    </row>
    <row r="208" spans="33:39" x14ac:dyDescent="0.25">
      <c r="AG208" s="164" t="s">
        <v>103</v>
      </c>
      <c r="AH208" s="164" t="s">
        <v>430</v>
      </c>
      <c r="AI208" s="164">
        <v>2034</v>
      </c>
      <c r="AJ208" s="164" t="str">
        <f t="shared" ref="AJ208:AL208" si="248">A36</f>
        <v>Rail</v>
      </c>
      <c r="AK208" s="164" t="str">
        <f t="shared" si="248"/>
        <v>Container</v>
      </c>
      <c r="AL208" s="164" t="str">
        <f t="shared" si="248"/>
        <v>Hydrogen</v>
      </c>
      <c r="AM208" s="188">
        <f t="shared" si="238"/>
        <v>1</v>
      </c>
    </row>
    <row r="209" spans="33:39" x14ac:dyDescent="0.25">
      <c r="AG209" s="164" t="s">
        <v>433</v>
      </c>
      <c r="AH209" s="164" t="s">
        <v>430</v>
      </c>
      <c r="AI209" s="164">
        <v>2034</v>
      </c>
      <c r="AJ209" s="164" t="str">
        <f t="shared" ref="AJ209:AL209" si="249">A37</f>
        <v>Rail</v>
      </c>
      <c r="AK209" s="164" t="str">
        <f t="shared" si="249"/>
        <v>Break bulk</v>
      </c>
      <c r="AL209" s="164" t="str">
        <f t="shared" si="249"/>
        <v>Diesel</v>
      </c>
      <c r="AM209" s="188">
        <f t="shared" si="238"/>
        <v>1</v>
      </c>
    </row>
    <row r="210" spans="33:39" x14ac:dyDescent="0.25">
      <c r="AG210" s="164" t="s">
        <v>433</v>
      </c>
      <c r="AH210" s="164" t="s">
        <v>430</v>
      </c>
      <c r="AI210" s="164">
        <v>2034</v>
      </c>
      <c r="AJ210" s="164" t="str">
        <f t="shared" ref="AJ210:AL210" si="250">A38</f>
        <v>Rail</v>
      </c>
      <c r="AK210" s="164" t="str">
        <f t="shared" si="250"/>
        <v>Break bulk</v>
      </c>
      <c r="AL210" s="164" t="str">
        <f t="shared" si="250"/>
        <v>Catenary</v>
      </c>
      <c r="AM210" s="188">
        <f t="shared" si="238"/>
        <v>1</v>
      </c>
    </row>
    <row r="211" spans="33:39" x14ac:dyDescent="0.25">
      <c r="AG211" s="164" t="s">
        <v>87</v>
      </c>
      <c r="AH211" s="164" t="s">
        <v>430</v>
      </c>
      <c r="AI211" s="164">
        <v>2034</v>
      </c>
      <c r="AJ211" s="164" t="str">
        <f t="shared" ref="AJ211:AL211" si="251">A39</f>
        <v>Rail</v>
      </c>
      <c r="AK211" s="164" t="str">
        <f t="shared" si="251"/>
        <v>Break bulk</v>
      </c>
      <c r="AL211" s="164" t="str">
        <f t="shared" si="251"/>
        <v>Battery</v>
      </c>
      <c r="AM211" s="188">
        <f t="shared" si="238"/>
        <v>1</v>
      </c>
    </row>
    <row r="212" spans="33:39" x14ac:dyDescent="0.25">
      <c r="AG212" s="164" t="s">
        <v>103</v>
      </c>
      <c r="AH212" s="164" t="s">
        <v>430</v>
      </c>
      <c r="AI212" s="164">
        <v>2034</v>
      </c>
      <c r="AJ212" s="164" t="str">
        <f t="shared" ref="AJ212:AL212" si="252">A40</f>
        <v>Rail</v>
      </c>
      <c r="AK212" s="164" t="str">
        <f t="shared" si="252"/>
        <v>Break bulk</v>
      </c>
      <c r="AL212" s="164" t="str">
        <f t="shared" si="252"/>
        <v>Hydrogen</v>
      </c>
      <c r="AM212" s="188">
        <f t="shared" si="238"/>
        <v>1</v>
      </c>
    </row>
    <row r="213" spans="33:39" x14ac:dyDescent="0.25">
      <c r="AG213" s="164" t="s">
        <v>433</v>
      </c>
      <c r="AH213" s="164" t="s">
        <v>430</v>
      </c>
      <c r="AI213" s="164">
        <v>2034</v>
      </c>
      <c r="AJ213" s="164" t="str">
        <f t="shared" ref="AJ213:AL213" si="253">A41</f>
        <v>Rail</v>
      </c>
      <c r="AK213" s="164" t="str">
        <f t="shared" si="253"/>
        <v>Neo bulk</v>
      </c>
      <c r="AL213" s="164" t="str">
        <f t="shared" si="253"/>
        <v>Diesel</v>
      </c>
      <c r="AM213" s="188">
        <f t="shared" si="238"/>
        <v>1</v>
      </c>
    </row>
    <row r="214" spans="33:39" x14ac:dyDescent="0.25">
      <c r="AG214" s="164" t="s">
        <v>433</v>
      </c>
      <c r="AH214" s="164" t="s">
        <v>430</v>
      </c>
      <c r="AI214" s="164">
        <v>2034</v>
      </c>
      <c r="AJ214" s="164" t="str">
        <f t="shared" ref="AJ214:AL214" si="254">A42</f>
        <v>Rail</v>
      </c>
      <c r="AK214" s="164" t="str">
        <f t="shared" si="254"/>
        <v>Neo bulk</v>
      </c>
      <c r="AL214" s="164" t="str">
        <f t="shared" si="254"/>
        <v>Catenary</v>
      </c>
      <c r="AM214" s="188">
        <f t="shared" si="238"/>
        <v>1</v>
      </c>
    </row>
    <row r="215" spans="33:39" x14ac:dyDescent="0.25">
      <c r="AG215" s="164" t="s">
        <v>87</v>
      </c>
      <c r="AH215" s="164" t="s">
        <v>430</v>
      </c>
      <c r="AI215" s="164">
        <v>2034</v>
      </c>
      <c r="AJ215" s="164" t="str">
        <f>A43</f>
        <v>Rail</v>
      </c>
      <c r="AK215" s="164" t="str">
        <f>B43</f>
        <v>Neo bulk</v>
      </c>
      <c r="AL215" s="164" t="str">
        <f>C43</f>
        <v>Battery</v>
      </c>
      <c r="AM215" s="188">
        <f>R43</f>
        <v>1</v>
      </c>
    </row>
    <row r="216" spans="33:39" x14ac:dyDescent="0.25">
      <c r="AG216" s="164" t="s">
        <v>103</v>
      </c>
      <c r="AH216" s="164" t="s">
        <v>430</v>
      </c>
      <c r="AI216" s="164">
        <v>2034</v>
      </c>
      <c r="AJ216" s="164" t="str">
        <f t="shared" ref="AJ216" si="255">A44</f>
        <v>Rail</v>
      </c>
      <c r="AK216" s="164" t="str">
        <f t="shared" ref="AK216" si="256">B44</f>
        <v>Neo bulk</v>
      </c>
      <c r="AL216" s="164" t="str">
        <f t="shared" ref="AL216" si="257">C44</f>
        <v>Hydrogen</v>
      </c>
      <c r="AM216" s="188">
        <f t="shared" ref="AM216" si="258">R44</f>
        <v>1</v>
      </c>
    </row>
    <row r="217" spans="33:39" x14ac:dyDescent="0.25">
      <c r="AG217" s="164" t="s">
        <v>433</v>
      </c>
      <c r="AH217" s="164" t="s">
        <v>431</v>
      </c>
      <c r="AI217" s="164">
        <v>2034</v>
      </c>
      <c r="AJ217" s="164" t="str">
        <f>A25</f>
        <v>Rail</v>
      </c>
      <c r="AK217" s="164" t="str">
        <f>B25</f>
        <v>Dry bulk</v>
      </c>
      <c r="AL217" s="164" t="str">
        <f>C25</f>
        <v>Diesel</v>
      </c>
      <c r="AM217" s="188">
        <f>S25</f>
        <v>1</v>
      </c>
    </row>
    <row r="218" spans="33:39" x14ac:dyDescent="0.25">
      <c r="AG218" s="164" t="s">
        <v>433</v>
      </c>
      <c r="AH218" s="164" t="s">
        <v>431</v>
      </c>
      <c r="AI218" s="164">
        <v>2034</v>
      </c>
      <c r="AJ218" s="164" t="str">
        <f t="shared" ref="AJ218:AL218" si="259">A26</f>
        <v>Rail</v>
      </c>
      <c r="AK218" s="164" t="str">
        <f t="shared" si="259"/>
        <v>Dry bulk</v>
      </c>
      <c r="AL218" s="164" t="str">
        <f t="shared" si="259"/>
        <v>Catenary</v>
      </c>
      <c r="AM218" s="188">
        <f t="shared" ref="AM218:AM234" si="260">S26</f>
        <v>0.97423568867649013</v>
      </c>
    </row>
    <row r="219" spans="33:39" x14ac:dyDescent="0.25">
      <c r="AG219" s="164" t="s">
        <v>87</v>
      </c>
      <c r="AH219" s="164" t="s">
        <v>431</v>
      </c>
      <c r="AI219" s="164">
        <v>2034</v>
      </c>
      <c r="AJ219" s="164" t="str">
        <f t="shared" ref="AJ219:AL219" si="261">A27</f>
        <v>Rail</v>
      </c>
      <c r="AK219" s="164" t="str">
        <f t="shared" si="261"/>
        <v>Dry bulk</v>
      </c>
      <c r="AL219" s="164" t="str">
        <f t="shared" si="261"/>
        <v>Battery</v>
      </c>
      <c r="AM219" s="188">
        <f t="shared" si="260"/>
        <v>0.97795612114305985</v>
      </c>
    </row>
    <row r="220" spans="33:39" x14ac:dyDescent="0.25">
      <c r="AG220" s="164" t="s">
        <v>103</v>
      </c>
      <c r="AH220" s="164" t="s">
        <v>431</v>
      </c>
      <c r="AI220" s="164">
        <v>2034</v>
      </c>
      <c r="AJ220" s="164" t="str">
        <f t="shared" ref="AJ220:AL220" si="262">A28</f>
        <v>Rail</v>
      </c>
      <c r="AK220" s="164" t="str">
        <f t="shared" si="262"/>
        <v>Dry bulk</v>
      </c>
      <c r="AL220" s="164" t="str">
        <f t="shared" si="262"/>
        <v>Hydrogen</v>
      </c>
      <c r="AM220" s="188">
        <f t="shared" si="260"/>
        <v>0.91388392413514075</v>
      </c>
    </row>
    <row r="221" spans="33:39" x14ac:dyDescent="0.25">
      <c r="AG221" s="164" t="s">
        <v>433</v>
      </c>
      <c r="AH221" s="164" t="s">
        <v>431</v>
      </c>
      <c r="AI221" s="164">
        <v>2034</v>
      </c>
      <c r="AJ221" s="164" t="str">
        <f t="shared" ref="AJ221:AL221" si="263">A29</f>
        <v>Rail</v>
      </c>
      <c r="AK221" s="164" t="str">
        <f t="shared" si="263"/>
        <v>Liquid bulk</v>
      </c>
      <c r="AL221" s="164" t="str">
        <f t="shared" si="263"/>
        <v>Diesel</v>
      </c>
      <c r="AM221" s="188">
        <f t="shared" si="260"/>
        <v>1</v>
      </c>
    </row>
    <row r="222" spans="33:39" x14ac:dyDescent="0.25">
      <c r="AG222" s="164" t="s">
        <v>433</v>
      </c>
      <c r="AH222" s="164" t="s">
        <v>431</v>
      </c>
      <c r="AI222" s="164">
        <v>2034</v>
      </c>
      <c r="AJ222" s="164" t="str">
        <f t="shared" ref="AJ222:AL222" si="264">A30</f>
        <v>Rail</v>
      </c>
      <c r="AK222" s="164" t="str">
        <f t="shared" si="264"/>
        <v>Liquid bulk</v>
      </c>
      <c r="AL222" s="164" t="str">
        <f t="shared" si="264"/>
        <v>Catenary</v>
      </c>
      <c r="AM222" s="188">
        <f t="shared" si="260"/>
        <v>0.9744698611704895</v>
      </c>
    </row>
    <row r="223" spans="33:39" x14ac:dyDescent="0.25">
      <c r="AG223" s="164" t="s">
        <v>87</v>
      </c>
      <c r="AH223" s="164" t="s">
        <v>431</v>
      </c>
      <c r="AI223" s="164">
        <v>2034</v>
      </c>
      <c r="AJ223" s="164" t="str">
        <f t="shared" ref="AJ223:AL223" si="265">A31</f>
        <v>Rail</v>
      </c>
      <c r="AK223" s="164" t="str">
        <f t="shared" si="265"/>
        <v>Liquid bulk</v>
      </c>
      <c r="AL223" s="164" t="str">
        <f t="shared" si="265"/>
        <v>Battery</v>
      </c>
      <c r="AM223" s="188">
        <f t="shared" si="260"/>
        <v>0.97811696173824036</v>
      </c>
    </row>
    <row r="224" spans="33:39" x14ac:dyDescent="0.25">
      <c r="AG224" s="164" t="s">
        <v>103</v>
      </c>
      <c r="AH224" s="164" t="s">
        <v>431</v>
      </c>
      <c r="AI224" s="164">
        <v>2034</v>
      </c>
      <c r="AJ224" s="164" t="str">
        <f t="shared" ref="AJ224:AL224" si="266">A32</f>
        <v>Rail</v>
      </c>
      <c r="AK224" s="164" t="str">
        <f t="shared" si="266"/>
        <v>Liquid bulk</v>
      </c>
      <c r="AL224" s="164" t="str">
        <f t="shared" si="266"/>
        <v>Hydrogen</v>
      </c>
      <c r="AM224" s="188">
        <f t="shared" si="260"/>
        <v>0.91442001511489679</v>
      </c>
    </row>
    <row r="225" spans="33:39" x14ac:dyDescent="0.25">
      <c r="AG225" s="164" t="s">
        <v>433</v>
      </c>
      <c r="AH225" s="164" t="s">
        <v>431</v>
      </c>
      <c r="AI225" s="164">
        <v>2034</v>
      </c>
      <c r="AJ225" s="164" t="str">
        <f t="shared" ref="AJ225:AL225" si="267">A33</f>
        <v>Rail</v>
      </c>
      <c r="AK225" s="164" t="str">
        <f t="shared" si="267"/>
        <v>Container</v>
      </c>
      <c r="AL225" s="164" t="str">
        <f t="shared" si="267"/>
        <v>Diesel</v>
      </c>
      <c r="AM225" s="188">
        <f t="shared" si="260"/>
        <v>1</v>
      </c>
    </row>
    <row r="226" spans="33:39" x14ac:dyDescent="0.25">
      <c r="AG226" s="164" t="s">
        <v>433</v>
      </c>
      <c r="AH226" s="164" t="s">
        <v>431</v>
      </c>
      <c r="AI226" s="164">
        <v>2034</v>
      </c>
      <c r="AJ226" s="164" t="str">
        <f t="shared" ref="AJ226:AL226" si="268">A34</f>
        <v>Rail</v>
      </c>
      <c r="AK226" s="164" t="str">
        <f t="shared" si="268"/>
        <v>Container</v>
      </c>
      <c r="AL226" s="164" t="str">
        <f t="shared" si="268"/>
        <v>Catenary</v>
      </c>
      <c r="AM226" s="188">
        <f t="shared" si="260"/>
        <v>0.97262359661256736</v>
      </c>
    </row>
    <row r="227" spans="33:39" x14ac:dyDescent="0.25">
      <c r="AG227" s="164" t="s">
        <v>87</v>
      </c>
      <c r="AH227" s="164" t="s">
        <v>431</v>
      </c>
      <c r="AI227" s="164">
        <v>2034</v>
      </c>
      <c r="AJ227" s="164" t="str">
        <f t="shared" ref="AJ227:AL227" si="269">A35</f>
        <v>Rail</v>
      </c>
      <c r="AK227" s="164" t="str">
        <f t="shared" si="269"/>
        <v>Container</v>
      </c>
      <c r="AL227" s="164" t="str">
        <f t="shared" si="269"/>
        <v>Battery</v>
      </c>
      <c r="AM227" s="188">
        <f t="shared" si="260"/>
        <v>0.97685725406748503</v>
      </c>
    </row>
    <row r="228" spans="33:39" x14ac:dyDescent="0.25">
      <c r="AG228" s="164" t="s">
        <v>103</v>
      </c>
      <c r="AH228" s="164" t="s">
        <v>431</v>
      </c>
      <c r="AI228" s="164">
        <v>2034</v>
      </c>
      <c r="AJ228" s="164" t="str">
        <f t="shared" ref="AJ228:AL228" si="270">A36</f>
        <v>Rail</v>
      </c>
      <c r="AK228" s="164" t="str">
        <f t="shared" si="270"/>
        <v>Container</v>
      </c>
      <c r="AL228" s="164" t="str">
        <f t="shared" si="270"/>
        <v>Hydrogen</v>
      </c>
      <c r="AM228" s="188">
        <f t="shared" si="260"/>
        <v>0.91026052970644244</v>
      </c>
    </row>
    <row r="229" spans="33:39" x14ac:dyDescent="0.25">
      <c r="AG229" s="164" t="s">
        <v>433</v>
      </c>
      <c r="AH229" s="164" t="s">
        <v>431</v>
      </c>
      <c r="AI229" s="164">
        <v>2034</v>
      </c>
      <c r="AJ229" s="164" t="str">
        <f t="shared" ref="AJ229:AL229" si="271">A37</f>
        <v>Rail</v>
      </c>
      <c r="AK229" s="164" t="str">
        <f t="shared" si="271"/>
        <v>Break bulk</v>
      </c>
      <c r="AL229" s="164" t="str">
        <f t="shared" si="271"/>
        <v>Diesel</v>
      </c>
      <c r="AM229" s="188">
        <f t="shared" si="260"/>
        <v>1</v>
      </c>
    </row>
    <row r="230" spans="33:39" x14ac:dyDescent="0.25">
      <c r="AG230" s="164" t="s">
        <v>433</v>
      </c>
      <c r="AH230" s="164" t="s">
        <v>431</v>
      </c>
      <c r="AI230" s="164">
        <v>2034</v>
      </c>
      <c r="AJ230" s="164" t="str">
        <f t="shared" ref="AJ230:AL230" si="272">A38</f>
        <v>Rail</v>
      </c>
      <c r="AK230" s="164" t="str">
        <f t="shared" si="272"/>
        <v>Break bulk</v>
      </c>
      <c r="AL230" s="164" t="str">
        <f t="shared" si="272"/>
        <v>Catenary</v>
      </c>
      <c r="AM230" s="188">
        <f t="shared" si="260"/>
        <v>0.98324374092732647</v>
      </c>
    </row>
    <row r="231" spans="33:39" x14ac:dyDescent="0.25">
      <c r="AG231" s="164" t="s">
        <v>87</v>
      </c>
      <c r="AH231" s="164" t="s">
        <v>431</v>
      </c>
      <c r="AI231" s="164">
        <v>2034</v>
      </c>
      <c r="AJ231" s="164" t="str">
        <f t="shared" ref="AJ231:AL231" si="273">A39</f>
        <v>Rail</v>
      </c>
      <c r="AK231" s="164" t="str">
        <f t="shared" si="273"/>
        <v>Break bulk</v>
      </c>
      <c r="AL231" s="164" t="str">
        <f t="shared" si="273"/>
        <v>Battery</v>
      </c>
      <c r="AM231" s="188">
        <f t="shared" si="260"/>
        <v>0.98461622429485385</v>
      </c>
    </row>
    <row r="232" spans="33:39" x14ac:dyDescent="0.25">
      <c r="AG232" s="164" t="s">
        <v>103</v>
      </c>
      <c r="AH232" s="164" t="s">
        <v>431</v>
      </c>
      <c r="AI232" s="164">
        <v>2034</v>
      </c>
      <c r="AJ232" s="164" t="str">
        <f t="shared" ref="AJ232:AL232" si="274">A40</f>
        <v>Rail</v>
      </c>
      <c r="AK232" s="164" t="str">
        <f t="shared" si="274"/>
        <v>Break bulk</v>
      </c>
      <c r="AL232" s="164" t="str">
        <f t="shared" si="274"/>
        <v>Hydrogen</v>
      </c>
      <c r="AM232" s="188">
        <f t="shared" si="260"/>
        <v>0.93706413685107626</v>
      </c>
    </row>
    <row r="233" spans="33:39" x14ac:dyDescent="0.25">
      <c r="AG233" s="164" t="s">
        <v>433</v>
      </c>
      <c r="AH233" s="164" t="s">
        <v>431</v>
      </c>
      <c r="AI233" s="164">
        <v>2034</v>
      </c>
      <c r="AJ233" s="164" t="str">
        <f t="shared" ref="AJ233:AL233" si="275">A41</f>
        <v>Rail</v>
      </c>
      <c r="AK233" s="164" t="str">
        <f t="shared" si="275"/>
        <v>Neo bulk</v>
      </c>
      <c r="AL233" s="164" t="str">
        <f t="shared" si="275"/>
        <v>Diesel</v>
      </c>
      <c r="AM233" s="188">
        <f t="shared" si="260"/>
        <v>1</v>
      </c>
    </row>
    <row r="234" spans="33:39" x14ac:dyDescent="0.25">
      <c r="AG234" s="164" t="s">
        <v>433</v>
      </c>
      <c r="AH234" s="164" t="s">
        <v>431</v>
      </c>
      <c r="AI234" s="164">
        <v>2034</v>
      </c>
      <c r="AJ234" s="164" t="str">
        <f t="shared" ref="AJ234:AL234" si="276">A42</f>
        <v>Rail</v>
      </c>
      <c r="AK234" s="164" t="str">
        <f t="shared" si="276"/>
        <v>Neo bulk</v>
      </c>
      <c r="AL234" s="164" t="str">
        <f t="shared" si="276"/>
        <v>Catenary</v>
      </c>
      <c r="AM234" s="188">
        <f t="shared" si="260"/>
        <v>0.97388378910425344</v>
      </c>
    </row>
    <row r="235" spans="33:39" x14ac:dyDescent="0.25">
      <c r="AG235" s="164" t="s">
        <v>87</v>
      </c>
      <c r="AH235" s="164" t="s">
        <v>431</v>
      </c>
      <c r="AI235" s="164">
        <v>2034</v>
      </c>
      <c r="AJ235" s="164" t="str">
        <f>A43</f>
        <v>Rail</v>
      </c>
      <c r="AK235" s="164" t="str">
        <f>B43</f>
        <v>Neo bulk</v>
      </c>
      <c r="AL235" s="164" t="str">
        <f>C43</f>
        <v>Battery</v>
      </c>
      <c r="AM235" s="188">
        <f>S43</f>
        <v>0.97771267451917232</v>
      </c>
    </row>
    <row r="236" spans="33:39" x14ac:dyDescent="0.25">
      <c r="AG236" s="164" t="s">
        <v>103</v>
      </c>
      <c r="AH236" s="164" t="s">
        <v>431</v>
      </c>
      <c r="AI236" s="164">
        <v>2034</v>
      </c>
      <c r="AJ236" s="164" t="str">
        <f t="shared" ref="AJ236" si="277">A44</f>
        <v>Rail</v>
      </c>
      <c r="AK236" s="164" t="str">
        <f t="shared" ref="AK236" si="278">B44</f>
        <v>Neo bulk</v>
      </c>
      <c r="AL236" s="164" t="str">
        <f t="shared" ref="AL236" si="279">C44</f>
        <v>Hydrogen</v>
      </c>
      <c r="AM236" s="188">
        <f t="shared" ref="AM236" si="280">S44</f>
        <v>0.9130780991499432</v>
      </c>
    </row>
    <row r="237" spans="33:39" x14ac:dyDescent="0.25">
      <c r="AG237" s="164" t="s">
        <v>433</v>
      </c>
      <c r="AH237" s="164" t="s">
        <v>432</v>
      </c>
      <c r="AI237" s="164">
        <v>2034</v>
      </c>
      <c r="AJ237" s="164" t="str">
        <f>A25</f>
        <v>Rail</v>
      </c>
      <c r="AK237" s="164" t="str">
        <f>B25</f>
        <v>Dry bulk</v>
      </c>
      <c r="AL237" s="164" t="str">
        <f>C25</f>
        <v>Diesel</v>
      </c>
      <c r="AM237" s="188">
        <f>T25</f>
        <v>1</v>
      </c>
    </row>
    <row r="238" spans="33:39" x14ac:dyDescent="0.25">
      <c r="AG238" s="164" t="s">
        <v>433</v>
      </c>
      <c r="AH238" s="164" t="s">
        <v>432</v>
      </c>
      <c r="AI238" s="164">
        <v>2034</v>
      </c>
      <c r="AJ238" s="164" t="str">
        <f t="shared" ref="AJ238:AL238" si="281">A26</f>
        <v>Rail</v>
      </c>
      <c r="AK238" s="164" t="str">
        <f t="shared" si="281"/>
        <v>Dry bulk</v>
      </c>
      <c r="AL238" s="164" t="str">
        <f t="shared" si="281"/>
        <v>Catenary</v>
      </c>
      <c r="AM238" s="188">
        <f t="shared" ref="AM238:AM253" si="282">T26</f>
        <v>1.0524003360256466</v>
      </c>
    </row>
    <row r="239" spans="33:39" x14ac:dyDescent="0.25">
      <c r="AG239" s="164" t="s">
        <v>87</v>
      </c>
      <c r="AH239" s="164" t="s">
        <v>432</v>
      </c>
      <c r="AI239" s="164">
        <v>2034</v>
      </c>
      <c r="AJ239" s="164" t="str">
        <f t="shared" ref="AJ239:AL239" si="283">A27</f>
        <v>Rail</v>
      </c>
      <c r="AK239" s="164" t="str">
        <f t="shared" si="283"/>
        <v>Dry bulk</v>
      </c>
      <c r="AL239" s="164" t="str">
        <f t="shared" si="283"/>
        <v>Battery</v>
      </c>
      <c r="AM239" s="188">
        <f t="shared" si="282"/>
        <v>1.0448335934505766</v>
      </c>
    </row>
    <row r="240" spans="33:39" x14ac:dyDescent="0.25">
      <c r="AG240" s="164" t="s">
        <v>103</v>
      </c>
      <c r="AH240" s="164" t="s">
        <v>432</v>
      </c>
      <c r="AI240" s="164">
        <v>2034</v>
      </c>
      <c r="AJ240" s="164" t="str">
        <f t="shared" ref="AJ240:AL240" si="284">A28</f>
        <v>Rail</v>
      </c>
      <c r="AK240" s="164" t="str">
        <f t="shared" si="284"/>
        <v>Dry bulk</v>
      </c>
      <c r="AL240" s="164" t="str">
        <f t="shared" si="284"/>
        <v>Hydrogen</v>
      </c>
      <c r="AM240" s="188">
        <f t="shared" si="282"/>
        <v>1.0533516132398071</v>
      </c>
    </row>
    <row r="241" spans="33:39" x14ac:dyDescent="0.25">
      <c r="AG241" s="164" t="s">
        <v>433</v>
      </c>
      <c r="AH241" s="164" t="s">
        <v>432</v>
      </c>
      <c r="AI241" s="164">
        <v>2034</v>
      </c>
      <c r="AJ241" s="164" t="str">
        <f t="shared" ref="AJ241:AL241" si="285">A29</f>
        <v>Rail</v>
      </c>
      <c r="AK241" s="164" t="str">
        <f t="shared" si="285"/>
        <v>Liquid bulk</v>
      </c>
      <c r="AL241" s="164" t="str">
        <f t="shared" si="285"/>
        <v>Diesel</v>
      </c>
      <c r="AM241" s="188">
        <f t="shared" si="282"/>
        <v>1</v>
      </c>
    </row>
    <row r="242" spans="33:39" x14ac:dyDescent="0.25">
      <c r="AG242" s="164" t="s">
        <v>433</v>
      </c>
      <c r="AH242" s="164" t="s">
        <v>432</v>
      </c>
      <c r="AI242" s="164">
        <v>2034</v>
      </c>
      <c r="AJ242" s="164" t="str">
        <f t="shared" ref="AJ242:AL242" si="286">A30</f>
        <v>Rail</v>
      </c>
      <c r="AK242" s="164" t="str">
        <f t="shared" si="286"/>
        <v>Liquid bulk</v>
      </c>
      <c r="AL242" s="164" t="str">
        <f t="shared" si="286"/>
        <v>Catenary</v>
      </c>
      <c r="AM242" s="188">
        <f t="shared" si="282"/>
        <v>1.051924068012136</v>
      </c>
    </row>
    <row r="243" spans="33:39" x14ac:dyDescent="0.25">
      <c r="AG243" s="164" t="s">
        <v>87</v>
      </c>
      <c r="AH243" s="164" t="s">
        <v>432</v>
      </c>
      <c r="AI243" s="164">
        <v>2034</v>
      </c>
      <c r="AJ243" s="164" t="str">
        <f t="shared" ref="AJ243:AL243" si="287">A31</f>
        <v>Rail</v>
      </c>
      <c r="AK243" s="164" t="str">
        <f t="shared" si="287"/>
        <v>Liquid bulk</v>
      </c>
      <c r="AL243" s="164" t="str">
        <f t="shared" si="287"/>
        <v>Battery</v>
      </c>
      <c r="AM243" s="188">
        <f t="shared" si="282"/>
        <v>1.0445064703566111</v>
      </c>
    </row>
    <row r="244" spans="33:39" x14ac:dyDescent="0.25">
      <c r="AG244" s="164" t="s">
        <v>103</v>
      </c>
      <c r="AH244" s="164" t="s">
        <v>432</v>
      </c>
      <c r="AI244" s="164">
        <v>2034</v>
      </c>
      <c r="AJ244" s="164" t="str">
        <f t="shared" ref="AJ244:AL244" si="288">A32</f>
        <v>Rail</v>
      </c>
      <c r="AK244" s="164" t="str">
        <f t="shared" si="288"/>
        <v>Liquid bulk</v>
      </c>
      <c r="AL244" s="164" t="str">
        <f t="shared" si="288"/>
        <v>Hydrogen</v>
      </c>
      <c r="AM244" s="188">
        <f t="shared" si="282"/>
        <v>1.0530194880433668</v>
      </c>
    </row>
    <row r="245" spans="33:39" x14ac:dyDescent="0.25">
      <c r="AG245" s="164" t="s">
        <v>433</v>
      </c>
      <c r="AH245" s="164" t="s">
        <v>432</v>
      </c>
      <c r="AI245" s="164">
        <v>2034</v>
      </c>
      <c r="AJ245" s="164" t="str">
        <f t="shared" ref="AJ245:AL245" si="289">A33</f>
        <v>Rail</v>
      </c>
      <c r="AK245" s="164" t="str">
        <f t="shared" si="289"/>
        <v>Container</v>
      </c>
      <c r="AL245" s="164" t="str">
        <f t="shared" si="289"/>
        <v>Diesel</v>
      </c>
      <c r="AM245" s="188">
        <f t="shared" si="282"/>
        <v>1</v>
      </c>
    </row>
    <row r="246" spans="33:39" x14ac:dyDescent="0.25">
      <c r="AG246" s="164" t="s">
        <v>433</v>
      </c>
      <c r="AH246" s="164" t="s">
        <v>432</v>
      </c>
      <c r="AI246" s="164">
        <v>2034</v>
      </c>
      <c r="AJ246" s="164" t="str">
        <f t="shared" ref="AJ246:AL246" si="290">A34</f>
        <v>Rail</v>
      </c>
      <c r="AK246" s="164" t="str">
        <f t="shared" si="290"/>
        <v>Container</v>
      </c>
      <c r="AL246" s="164" t="str">
        <f t="shared" si="290"/>
        <v>Catenary</v>
      </c>
      <c r="AM246" s="188">
        <f t="shared" si="282"/>
        <v>1.0556790639059741</v>
      </c>
    </row>
    <row r="247" spans="33:39" x14ac:dyDescent="0.25">
      <c r="AG247" s="164" t="s">
        <v>87</v>
      </c>
      <c r="AH247" s="164" t="s">
        <v>432</v>
      </c>
      <c r="AI247" s="164">
        <v>2034</v>
      </c>
      <c r="AJ247" s="164" t="str">
        <f t="shared" ref="AJ247:AL247" si="291">A35</f>
        <v>Rail</v>
      </c>
      <c r="AK247" s="164" t="str">
        <f t="shared" si="291"/>
        <v>Container</v>
      </c>
      <c r="AL247" s="164" t="str">
        <f t="shared" si="291"/>
        <v>Battery</v>
      </c>
      <c r="AM247" s="188">
        <f t="shared" si="282"/>
        <v>1.0470685068268595</v>
      </c>
    </row>
    <row r="248" spans="33:39" x14ac:dyDescent="0.25">
      <c r="AG248" s="164" t="s">
        <v>103</v>
      </c>
      <c r="AH248" s="164" t="s">
        <v>432</v>
      </c>
      <c r="AI248" s="164">
        <v>2034</v>
      </c>
      <c r="AJ248" s="164" t="str">
        <f t="shared" ref="AJ248:AL248" si="292">A36</f>
        <v>Rail</v>
      </c>
      <c r="AK248" s="164" t="str">
        <f t="shared" si="292"/>
        <v>Container</v>
      </c>
      <c r="AL248" s="164" t="str">
        <f t="shared" si="292"/>
        <v>Hydrogen</v>
      </c>
      <c r="AM248" s="188">
        <f t="shared" si="282"/>
        <v>1.0555964198712489</v>
      </c>
    </row>
    <row r="249" spans="33:39" x14ac:dyDescent="0.25">
      <c r="AG249" s="164" t="s">
        <v>433</v>
      </c>
      <c r="AH249" s="164" t="s">
        <v>432</v>
      </c>
      <c r="AI249" s="164">
        <v>2034</v>
      </c>
      <c r="AJ249" s="164" t="str">
        <f t="shared" ref="AJ249:AL249" si="293">A37</f>
        <v>Rail</v>
      </c>
      <c r="AK249" s="164" t="str">
        <f t="shared" si="293"/>
        <v>Break bulk</v>
      </c>
      <c r="AL249" s="164" t="str">
        <f t="shared" si="293"/>
        <v>Diesel</v>
      </c>
      <c r="AM249" s="188">
        <f t="shared" si="282"/>
        <v>1</v>
      </c>
    </row>
    <row r="250" spans="33:39" x14ac:dyDescent="0.25">
      <c r="AG250" s="164" t="s">
        <v>433</v>
      </c>
      <c r="AH250" s="164" t="s">
        <v>432</v>
      </c>
      <c r="AI250" s="164">
        <v>2034</v>
      </c>
      <c r="AJ250" s="164" t="str">
        <f t="shared" ref="AJ250:AL250" si="294">A38</f>
        <v>Rail</v>
      </c>
      <c r="AK250" s="164" t="str">
        <f t="shared" si="294"/>
        <v>Break bulk</v>
      </c>
      <c r="AL250" s="164" t="str">
        <f t="shared" si="294"/>
        <v>Catenary</v>
      </c>
      <c r="AM250" s="188">
        <f t="shared" si="282"/>
        <v>1.0340794518012084</v>
      </c>
    </row>
    <row r="251" spans="33:39" x14ac:dyDescent="0.25">
      <c r="AG251" s="164" t="s">
        <v>87</v>
      </c>
      <c r="AH251" s="164" t="s">
        <v>432</v>
      </c>
      <c r="AI251" s="164">
        <v>2034</v>
      </c>
      <c r="AJ251" s="164" t="str">
        <f t="shared" ref="AJ251:AL251" si="295">A39</f>
        <v>Rail</v>
      </c>
      <c r="AK251" s="164" t="str">
        <f t="shared" si="295"/>
        <v>Break bulk</v>
      </c>
      <c r="AL251" s="164" t="str">
        <f t="shared" si="295"/>
        <v>Battery</v>
      </c>
      <c r="AM251" s="188">
        <f t="shared" si="282"/>
        <v>1.0312880482684301</v>
      </c>
    </row>
    <row r="252" spans="33:39" x14ac:dyDescent="0.25">
      <c r="AG252" s="164" t="s">
        <v>103</v>
      </c>
      <c r="AH252" s="164" t="s">
        <v>432</v>
      </c>
      <c r="AI252" s="164">
        <v>2034</v>
      </c>
      <c r="AJ252" s="164" t="str">
        <f t="shared" ref="AJ252:AL252" si="296">A40</f>
        <v>Rail</v>
      </c>
      <c r="AK252" s="164" t="str">
        <f t="shared" si="296"/>
        <v>Break bulk</v>
      </c>
      <c r="AL252" s="164" t="str">
        <f t="shared" si="296"/>
        <v>Hydrogen</v>
      </c>
      <c r="AM252" s="188">
        <f t="shared" si="282"/>
        <v>1.0389907435506471</v>
      </c>
    </row>
    <row r="253" spans="33:39" x14ac:dyDescent="0.25">
      <c r="AG253" s="164" t="s">
        <v>433</v>
      </c>
      <c r="AH253" s="164" t="s">
        <v>432</v>
      </c>
      <c r="AI253" s="164">
        <v>2034</v>
      </c>
      <c r="AJ253" s="164" t="str">
        <f t="shared" ref="AJ253:AL256" si="297">A41</f>
        <v>Rail</v>
      </c>
      <c r="AK253" s="164" t="str">
        <f t="shared" si="297"/>
        <v>Neo bulk</v>
      </c>
      <c r="AL253" s="164" t="str">
        <f t="shared" si="297"/>
        <v>Diesel</v>
      </c>
      <c r="AM253" s="188">
        <f t="shared" si="282"/>
        <v>1</v>
      </c>
    </row>
    <row r="254" spans="33:39" x14ac:dyDescent="0.25">
      <c r="AG254" s="164" t="s">
        <v>433</v>
      </c>
      <c r="AH254" s="164" t="s">
        <v>432</v>
      </c>
      <c r="AI254" s="164">
        <v>2034</v>
      </c>
      <c r="AJ254" s="164" t="str">
        <f t="shared" si="297"/>
        <v>Rail</v>
      </c>
      <c r="AK254" s="164" t="str">
        <f>B42</f>
        <v>Neo bulk</v>
      </c>
      <c r="AL254" s="164" t="str">
        <f>C42</f>
        <v>Catenary</v>
      </c>
      <c r="AM254" s="188">
        <f>T42</f>
        <v>1.0531160413903637</v>
      </c>
    </row>
    <row r="255" spans="33:39" x14ac:dyDescent="0.25">
      <c r="AG255" s="164" t="s">
        <v>87</v>
      </c>
      <c r="AH255" s="164" t="s">
        <v>432</v>
      </c>
      <c r="AI255" s="164">
        <v>2034</v>
      </c>
      <c r="AJ255" s="164" t="str">
        <f t="shared" si="297"/>
        <v>Rail</v>
      </c>
      <c r="AK255" s="164" t="str">
        <f t="shared" ref="AK255:AK256" si="298">B43</f>
        <v>Neo bulk</v>
      </c>
      <c r="AL255" s="164" t="str">
        <f t="shared" ref="AL255:AL256" si="299">C43</f>
        <v>Battery</v>
      </c>
      <c r="AM255" s="188">
        <f t="shared" ref="AM255:AM256" si="300">T43</f>
        <v>1.0453287235060953</v>
      </c>
    </row>
    <row r="256" spans="33:39" x14ac:dyDescent="0.25">
      <c r="AG256" s="164" t="s">
        <v>103</v>
      </c>
      <c r="AH256" s="164" t="s">
        <v>432</v>
      </c>
      <c r="AI256" s="164">
        <v>2034</v>
      </c>
      <c r="AJ256" s="164" t="str">
        <f t="shared" si="297"/>
        <v>Rail</v>
      </c>
      <c r="AK256" s="164" t="str">
        <f t="shared" si="298"/>
        <v>Neo bulk</v>
      </c>
      <c r="AL256" s="164" t="str">
        <f t="shared" si="299"/>
        <v>Hydrogen</v>
      </c>
      <c r="AM256" s="188">
        <f t="shared" si="300"/>
        <v>1.0538508471228827</v>
      </c>
    </row>
    <row r="257" spans="33:39" x14ac:dyDescent="0.25">
      <c r="AG257" s="164" t="s">
        <v>433</v>
      </c>
      <c r="AH257" s="164" t="s">
        <v>430</v>
      </c>
      <c r="AI257" s="164">
        <v>2050</v>
      </c>
      <c r="AJ257" s="164" t="str">
        <f t="shared" ref="AJ257:AJ263" si="301">A25</f>
        <v>Rail</v>
      </c>
      <c r="AK257" s="164" t="str">
        <f>B25</f>
        <v>Dry bulk</v>
      </c>
      <c r="AL257" s="164" t="str">
        <f>C25</f>
        <v>Diesel</v>
      </c>
      <c r="AM257" s="188">
        <f>AB25</f>
        <v>1</v>
      </c>
    </row>
    <row r="258" spans="33:39" x14ac:dyDescent="0.25">
      <c r="AG258" s="164" t="s">
        <v>433</v>
      </c>
      <c r="AH258" s="164" t="s">
        <v>430</v>
      </c>
      <c r="AI258" s="164">
        <v>2050</v>
      </c>
      <c r="AJ258" s="164" t="str">
        <f t="shared" si="301"/>
        <v>Rail</v>
      </c>
      <c r="AK258" s="164" t="str">
        <f t="shared" ref="AK258:AL258" si="302">B26</f>
        <v>Dry bulk</v>
      </c>
      <c r="AL258" s="164" t="str">
        <f t="shared" si="302"/>
        <v>Catenary</v>
      </c>
      <c r="AM258" s="188">
        <f t="shared" ref="AM258:AM276" si="303">AB26</f>
        <v>1</v>
      </c>
    </row>
    <row r="259" spans="33:39" x14ac:dyDescent="0.25">
      <c r="AG259" s="164" t="s">
        <v>87</v>
      </c>
      <c r="AH259" s="164" t="s">
        <v>430</v>
      </c>
      <c r="AI259" s="164">
        <v>2050</v>
      </c>
      <c r="AJ259" s="164" t="str">
        <f t="shared" si="301"/>
        <v>Rail</v>
      </c>
      <c r="AK259" s="164" t="str">
        <f t="shared" ref="AK259:AL259" si="304">B27</f>
        <v>Dry bulk</v>
      </c>
      <c r="AL259" s="164" t="str">
        <f t="shared" si="304"/>
        <v>Battery</v>
      </c>
      <c r="AM259" s="188">
        <f t="shared" si="303"/>
        <v>1</v>
      </c>
    </row>
    <row r="260" spans="33:39" x14ac:dyDescent="0.25">
      <c r="AG260" s="164" t="s">
        <v>103</v>
      </c>
      <c r="AH260" s="164" t="s">
        <v>430</v>
      </c>
      <c r="AI260" s="164">
        <v>2050</v>
      </c>
      <c r="AJ260" s="164" t="str">
        <f t="shared" si="301"/>
        <v>Rail</v>
      </c>
      <c r="AK260" s="164" t="str">
        <f t="shared" ref="AK260:AL260" si="305">B28</f>
        <v>Dry bulk</v>
      </c>
      <c r="AL260" s="164" t="str">
        <f t="shared" si="305"/>
        <v>Hydrogen</v>
      </c>
      <c r="AM260" s="188">
        <f t="shared" si="303"/>
        <v>1</v>
      </c>
    </row>
    <row r="261" spans="33:39" x14ac:dyDescent="0.25">
      <c r="AG261" s="164" t="s">
        <v>433</v>
      </c>
      <c r="AH261" s="164" t="s">
        <v>430</v>
      </c>
      <c r="AI261" s="164">
        <v>2050</v>
      </c>
      <c r="AJ261" s="164" t="str">
        <f t="shared" si="301"/>
        <v>Rail</v>
      </c>
      <c r="AK261" s="164" t="str">
        <f t="shared" ref="AK261:AL261" si="306">B29</f>
        <v>Liquid bulk</v>
      </c>
      <c r="AL261" s="164" t="str">
        <f t="shared" si="306"/>
        <v>Diesel</v>
      </c>
      <c r="AM261" s="188">
        <f t="shared" si="303"/>
        <v>1</v>
      </c>
    </row>
    <row r="262" spans="33:39" x14ac:dyDescent="0.25">
      <c r="AG262" s="164" t="s">
        <v>433</v>
      </c>
      <c r="AH262" s="164" t="s">
        <v>430</v>
      </c>
      <c r="AI262" s="164">
        <v>2050</v>
      </c>
      <c r="AJ262" s="164" t="str">
        <f t="shared" si="301"/>
        <v>Rail</v>
      </c>
      <c r="AK262" s="164" t="str">
        <f t="shared" ref="AK262:AL262" si="307">B30</f>
        <v>Liquid bulk</v>
      </c>
      <c r="AL262" s="164" t="str">
        <f t="shared" si="307"/>
        <v>Catenary</v>
      </c>
      <c r="AM262" s="188">
        <f t="shared" si="303"/>
        <v>1</v>
      </c>
    </row>
    <row r="263" spans="33:39" x14ac:dyDescent="0.25">
      <c r="AG263" s="164" t="s">
        <v>87</v>
      </c>
      <c r="AH263" s="164" t="s">
        <v>430</v>
      </c>
      <c r="AI263" s="164">
        <v>2050</v>
      </c>
      <c r="AJ263" s="164" t="str">
        <f t="shared" si="301"/>
        <v>Rail</v>
      </c>
      <c r="AK263" s="164" t="str">
        <f t="shared" ref="AK263:AL263" si="308">B31</f>
        <v>Liquid bulk</v>
      </c>
      <c r="AL263" s="164" t="str">
        <f t="shared" si="308"/>
        <v>Battery</v>
      </c>
      <c r="AM263" s="188">
        <f t="shared" si="303"/>
        <v>1</v>
      </c>
    </row>
    <row r="264" spans="33:39" x14ac:dyDescent="0.25">
      <c r="AG264" s="164" t="s">
        <v>103</v>
      </c>
      <c r="AH264" s="164" t="s">
        <v>430</v>
      </c>
      <c r="AI264" s="164">
        <v>2050</v>
      </c>
      <c r="AJ264" s="164" t="str">
        <f t="shared" ref="AJ264:AL264" si="309">A32</f>
        <v>Rail</v>
      </c>
      <c r="AK264" s="164" t="str">
        <f t="shared" si="309"/>
        <v>Liquid bulk</v>
      </c>
      <c r="AL264" s="164" t="str">
        <f t="shared" si="309"/>
        <v>Hydrogen</v>
      </c>
      <c r="AM264" s="188">
        <f t="shared" si="303"/>
        <v>1</v>
      </c>
    </row>
    <row r="265" spans="33:39" x14ac:dyDescent="0.25">
      <c r="AG265" s="164" t="s">
        <v>433</v>
      </c>
      <c r="AH265" s="164" t="s">
        <v>430</v>
      </c>
      <c r="AI265" s="164">
        <v>2050</v>
      </c>
      <c r="AJ265" s="164" t="str">
        <f t="shared" ref="AJ265:AL265" si="310">A33</f>
        <v>Rail</v>
      </c>
      <c r="AK265" s="164" t="str">
        <f t="shared" si="310"/>
        <v>Container</v>
      </c>
      <c r="AL265" s="164" t="str">
        <f t="shared" si="310"/>
        <v>Diesel</v>
      </c>
      <c r="AM265" s="188">
        <f t="shared" si="303"/>
        <v>1</v>
      </c>
    </row>
    <row r="266" spans="33:39" x14ac:dyDescent="0.25">
      <c r="AG266" s="164" t="s">
        <v>433</v>
      </c>
      <c r="AH266" s="164" t="s">
        <v>430</v>
      </c>
      <c r="AI266" s="164">
        <v>2050</v>
      </c>
      <c r="AJ266" s="164" t="str">
        <f t="shared" ref="AJ266:AL266" si="311">A34</f>
        <v>Rail</v>
      </c>
      <c r="AK266" s="164" t="str">
        <f t="shared" si="311"/>
        <v>Container</v>
      </c>
      <c r="AL266" s="164" t="str">
        <f t="shared" si="311"/>
        <v>Catenary</v>
      </c>
      <c r="AM266" s="188">
        <f t="shared" si="303"/>
        <v>1</v>
      </c>
    </row>
    <row r="267" spans="33:39" x14ac:dyDescent="0.25">
      <c r="AG267" s="164" t="s">
        <v>87</v>
      </c>
      <c r="AH267" s="164" t="s">
        <v>430</v>
      </c>
      <c r="AI267" s="164">
        <v>2050</v>
      </c>
      <c r="AJ267" s="164" t="str">
        <f t="shared" ref="AJ267:AL267" si="312">A35</f>
        <v>Rail</v>
      </c>
      <c r="AK267" s="164" t="str">
        <f t="shared" si="312"/>
        <v>Container</v>
      </c>
      <c r="AL267" s="164" t="str">
        <f t="shared" si="312"/>
        <v>Battery</v>
      </c>
      <c r="AM267" s="188">
        <f t="shared" si="303"/>
        <v>1</v>
      </c>
    </row>
    <row r="268" spans="33:39" x14ac:dyDescent="0.25">
      <c r="AG268" s="164" t="s">
        <v>103</v>
      </c>
      <c r="AH268" s="164" t="s">
        <v>430</v>
      </c>
      <c r="AI268" s="164">
        <v>2050</v>
      </c>
      <c r="AJ268" s="164" t="str">
        <f t="shared" ref="AJ268:AL268" si="313">A36</f>
        <v>Rail</v>
      </c>
      <c r="AK268" s="164" t="str">
        <f t="shared" si="313"/>
        <v>Container</v>
      </c>
      <c r="AL268" s="164" t="str">
        <f t="shared" si="313"/>
        <v>Hydrogen</v>
      </c>
      <c r="AM268" s="188">
        <f t="shared" si="303"/>
        <v>1</v>
      </c>
    </row>
    <row r="269" spans="33:39" x14ac:dyDescent="0.25">
      <c r="AG269" s="164" t="s">
        <v>433</v>
      </c>
      <c r="AH269" s="164" t="s">
        <v>430</v>
      </c>
      <c r="AI269" s="164">
        <v>2050</v>
      </c>
      <c r="AJ269" s="164" t="str">
        <f t="shared" ref="AJ269:AL269" si="314">A37</f>
        <v>Rail</v>
      </c>
      <c r="AK269" s="164" t="str">
        <f t="shared" si="314"/>
        <v>Break bulk</v>
      </c>
      <c r="AL269" s="164" t="str">
        <f t="shared" si="314"/>
        <v>Diesel</v>
      </c>
      <c r="AM269" s="188">
        <f t="shared" si="303"/>
        <v>1</v>
      </c>
    </row>
    <row r="270" spans="33:39" x14ac:dyDescent="0.25">
      <c r="AG270" s="164" t="s">
        <v>433</v>
      </c>
      <c r="AH270" s="164" t="s">
        <v>430</v>
      </c>
      <c r="AI270" s="164">
        <v>2050</v>
      </c>
      <c r="AJ270" s="164" t="str">
        <f t="shared" ref="AJ270:AL270" si="315">A38</f>
        <v>Rail</v>
      </c>
      <c r="AK270" s="164" t="str">
        <f t="shared" si="315"/>
        <v>Break bulk</v>
      </c>
      <c r="AL270" s="164" t="str">
        <f t="shared" si="315"/>
        <v>Catenary</v>
      </c>
      <c r="AM270" s="188">
        <f t="shared" si="303"/>
        <v>1</v>
      </c>
    </row>
    <row r="271" spans="33:39" x14ac:dyDescent="0.25">
      <c r="AG271" s="164" t="s">
        <v>87</v>
      </c>
      <c r="AH271" s="164" t="s">
        <v>430</v>
      </c>
      <c r="AI271" s="164">
        <v>2050</v>
      </c>
      <c r="AJ271" s="164" t="str">
        <f t="shared" ref="AJ271:AL271" si="316">A39</f>
        <v>Rail</v>
      </c>
      <c r="AK271" s="164" t="str">
        <f t="shared" si="316"/>
        <v>Break bulk</v>
      </c>
      <c r="AL271" s="164" t="str">
        <f t="shared" si="316"/>
        <v>Battery</v>
      </c>
      <c r="AM271" s="188">
        <f t="shared" si="303"/>
        <v>1</v>
      </c>
    </row>
    <row r="272" spans="33:39" x14ac:dyDescent="0.25">
      <c r="AG272" s="164" t="s">
        <v>103</v>
      </c>
      <c r="AH272" s="164" t="s">
        <v>430</v>
      </c>
      <c r="AI272" s="164">
        <v>2050</v>
      </c>
      <c r="AJ272" s="164" t="str">
        <f t="shared" ref="AJ272:AL272" si="317">A40</f>
        <v>Rail</v>
      </c>
      <c r="AK272" s="164" t="str">
        <f t="shared" si="317"/>
        <v>Break bulk</v>
      </c>
      <c r="AL272" s="164" t="str">
        <f t="shared" si="317"/>
        <v>Hydrogen</v>
      </c>
      <c r="AM272" s="188">
        <f t="shared" si="303"/>
        <v>1</v>
      </c>
    </row>
    <row r="273" spans="33:39" x14ac:dyDescent="0.25">
      <c r="AG273" s="164" t="s">
        <v>433</v>
      </c>
      <c r="AH273" s="164" t="s">
        <v>430</v>
      </c>
      <c r="AI273" s="164">
        <v>2050</v>
      </c>
      <c r="AJ273" s="164" t="str">
        <f t="shared" ref="AJ273:AL273" si="318">A41</f>
        <v>Rail</v>
      </c>
      <c r="AK273" s="164" t="str">
        <f t="shared" si="318"/>
        <v>Neo bulk</v>
      </c>
      <c r="AL273" s="164" t="str">
        <f t="shared" si="318"/>
        <v>Diesel</v>
      </c>
      <c r="AM273" s="188">
        <f t="shared" si="303"/>
        <v>1</v>
      </c>
    </row>
    <row r="274" spans="33:39" x14ac:dyDescent="0.25">
      <c r="AG274" s="164" t="s">
        <v>433</v>
      </c>
      <c r="AH274" s="164" t="s">
        <v>430</v>
      </c>
      <c r="AI274" s="164">
        <v>2050</v>
      </c>
      <c r="AJ274" s="164" t="str">
        <f t="shared" ref="AJ274:AL274" si="319">A42</f>
        <v>Rail</v>
      </c>
      <c r="AK274" s="164" t="str">
        <f t="shared" si="319"/>
        <v>Neo bulk</v>
      </c>
      <c r="AL274" s="164" t="str">
        <f t="shared" si="319"/>
        <v>Catenary</v>
      </c>
      <c r="AM274" s="188">
        <f t="shared" si="303"/>
        <v>1</v>
      </c>
    </row>
    <row r="275" spans="33:39" x14ac:dyDescent="0.25">
      <c r="AG275" s="164" t="s">
        <v>87</v>
      </c>
      <c r="AH275" s="164" t="s">
        <v>430</v>
      </c>
      <c r="AI275" s="164">
        <v>2050</v>
      </c>
      <c r="AJ275" s="164" t="str">
        <f t="shared" ref="AJ275:AL275" si="320">A43</f>
        <v>Rail</v>
      </c>
      <c r="AK275" s="164" t="str">
        <f t="shared" si="320"/>
        <v>Neo bulk</v>
      </c>
      <c r="AL275" s="164" t="str">
        <f t="shared" si="320"/>
        <v>Battery</v>
      </c>
      <c r="AM275" s="188">
        <f t="shared" si="303"/>
        <v>1</v>
      </c>
    </row>
    <row r="276" spans="33:39" x14ac:dyDescent="0.25">
      <c r="AG276" s="164" t="s">
        <v>103</v>
      </c>
      <c r="AH276" s="164" t="s">
        <v>430</v>
      </c>
      <c r="AI276" s="164">
        <v>2050</v>
      </c>
      <c r="AJ276" s="164" t="str">
        <f t="shared" ref="AJ276:AL276" si="321">A44</f>
        <v>Rail</v>
      </c>
      <c r="AK276" s="164" t="str">
        <f t="shared" si="321"/>
        <v>Neo bulk</v>
      </c>
      <c r="AL276" s="164" t="str">
        <f t="shared" si="321"/>
        <v>Hydrogen</v>
      </c>
      <c r="AM276" s="188">
        <f t="shared" si="303"/>
        <v>1</v>
      </c>
    </row>
    <row r="277" spans="33:39" x14ac:dyDescent="0.25">
      <c r="AG277" s="164" t="s">
        <v>433</v>
      </c>
      <c r="AH277" s="164" t="s">
        <v>431</v>
      </c>
      <c r="AI277" s="164">
        <v>2050</v>
      </c>
      <c r="AJ277" s="164" t="str">
        <f>A25</f>
        <v>Rail</v>
      </c>
      <c r="AK277" s="164" t="str">
        <f>B25</f>
        <v>Dry bulk</v>
      </c>
      <c r="AL277" s="164" t="str">
        <f>C25</f>
        <v>Diesel</v>
      </c>
      <c r="AM277" s="188">
        <f>AC25</f>
        <v>1</v>
      </c>
    </row>
    <row r="278" spans="33:39" x14ac:dyDescent="0.25">
      <c r="AG278" s="164" t="s">
        <v>433</v>
      </c>
      <c r="AH278" s="164" t="s">
        <v>431</v>
      </c>
      <c r="AI278" s="164">
        <v>2050</v>
      </c>
      <c r="AJ278" s="164" t="str">
        <f t="shared" ref="AJ278:AL278" si="322">A26</f>
        <v>Rail</v>
      </c>
      <c r="AK278" s="164" t="str">
        <f t="shared" si="322"/>
        <v>Dry bulk</v>
      </c>
      <c r="AL278" s="164" t="str">
        <f t="shared" si="322"/>
        <v>Catenary</v>
      </c>
      <c r="AM278" s="188">
        <f t="shared" ref="AM278:AM296" si="323">AC26</f>
        <v>0.9933140295808468</v>
      </c>
    </row>
    <row r="279" spans="33:39" x14ac:dyDescent="0.25">
      <c r="AG279" s="164" t="s">
        <v>87</v>
      </c>
      <c r="AH279" s="164" t="s">
        <v>431</v>
      </c>
      <c r="AI279" s="164">
        <v>2050</v>
      </c>
      <c r="AJ279" s="164" t="str">
        <f t="shared" ref="AJ279:AL279" si="324">A27</f>
        <v>Rail</v>
      </c>
      <c r="AK279" s="164" t="str">
        <f t="shared" si="324"/>
        <v>Dry bulk</v>
      </c>
      <c r="AL279" s="164" t="str">
        <f t="shared" si="324"/>
        <v>Battery</v>
      </c>
      <c r="AM279" s="188">
        <f t="shared" si="323"/>
        <v>0.99349324268023698</v>
      </c>
    </row>
    <row r="280" spans="33:39" x14ac:dyDescent="0.25">
      <c r="AG280" s="164" t="s">
        <v>103</v>
      </c>
      <c r="AH280" s="164" t="s">
        <v>431</v>
      </c>
      <c r="AI280" s="164">
        <v>2050</v>
      </c>
      <c r="AJ280" s="164" t="str">
        <f t="shared" ref="AJ280:AL280" si="325">A28</f>
        <v>Rail</v>
      </c>
      <c r="AK280" s="164" t="str">
        <f t="shared" si="325"/>
        <v>Dry bulk</v>
      </c>
      <c r="AL280" s="164" t="str">
        <f t="shared" si="325"/>
        <v>Hydrogen</v>
      </c>
      <c r="AM280" s="188">
        <f t="shared" si="323"/>
        <v>0.95700194706831498</v>
      </c>
    </row>
    <row r="281" spans="33:39" x14ac:dyDescent="0.25">
      <c r="AG281" s="164" t="s">
        <v>433</v>
      </c>
      <c r="AH281" s="164" t="s">
        <v>431</v>
      </c>
      <c r="AI281" s="164">
        <v>2050</v>
      </c>
      <c r="AJ281" s="164" t="str">
        <f t="shared" ref="AJ281:AL281" si="326">A29</f>
        <v>Rail</v>
      </c>
      <c r="AK281" s="164" t="str">
        <f t="shared" si="326"/>
        <v>Liquid bulk</v>
      </c>
      <c r="AL281" s="164" t="str">
        <f t="shared" si="326"/>
        <v>Diesel</v>
      </c>
      <c r="AM281" s="188">
        <f t="shared" si="323"/>
        <v>1</v>
      </c>
    </row>
    <row r="282" spans="33:39" x14ac:dyDescent="0.25">
      <c r="AG282" s="164" t="s">
        <v>433</v>
      </c>
      <c r="AH282" s="164" t="s">
        <v>431</v>
      </c>
      <c r="AI282" s="164">
        <v>2050</v>
      </c>
      <c r="AJ282" s="164" t="str">
        <f t="shared" ref="AJ282:AL282" si="327">A30</f>
        <v>Rail</v>
      </c>
      <c r="AK282" s="164" t="str">
        <f t="shared" si="327"/>
        <v>Liquid bulk</v>
      </c>
      <c r="AL282" s="164" t="str">
        <f t="shared" si="327"/>
        <v>Catenary</v>
      </c>
      <c r="AM282" s="188">
        <f t="shared" si="323"/>
        <v>0.99337620707835217</v>
      </c>
    </row>
    <row r="283" spans="33:39" x14ac:dyDescent="0.25">
      <c r="AG283" s="164" t="s">
        <v>87</v>
      </c>
      <c r="AH283" s="164" t="s">
        <v>431</v>
      </c>
      <c r="AI283" s="164">
        <v>2050</v>
      </c>
      <c r="AJ283" s="164" t="str">
        <f t="shared" ref="AJ283:AL283" si="328">A31</f>
        <v>Rail</v>
      </c>
      <c r="AK283" s="164" t="str">
        <f t="shared" si="328"/>
        <v>Liquid bulk</v>
      </c>
      <c r="AL283" s="164" t="str">
        <f t="shared" si="328"/>
        <v>Battery</v>
      </c>
      <c r="AM283" s="188">
        <f t="shared" si="323"/>
        <v>0.99354853772074381</v>
      </c>
    </row>
    <row r="284" spans="33:39" x14ac:dyDescent="0.25">
      <c r="AG284" s="164" t="s">
        <v>103</v>
      </c>
      <c r="AH284" s="164" t="s">
        <v>431</v>
      </c>
      <c r="AI284" s="164">
        <v>2050</v>
      </c>
      <c r="AJ284" s="164" t="str">
        <f t="shared" ref="AJ284:AL284" si="329">A32</f>
        <v>Rail</v>
      </c>
      <c r="AK284" s="164" t="str">
        <f t="shared" si="329"/>
        <v>Liquid bulk</v>
      </c>
      <c r="AL284" s="164" t="str">
        <f t="shared" si="329"/>
        <v>Hydrogen</v>
      </c>
      <c r="AM284" s="188">
        <f t="shared" si="323"/>
        <v>0.95738252576043426</v>
      </c>
    </row>
    <row r="285" spans="33:39" x14ac:dyDescent="0.25">
      <c r="AG285" s="164" t="s">
        <v>433</v>
      </c>
      <c r="AH285" s="164" t="s">
        <v>431</v>
      </c>
      <c r="AI285" s="164">
        <v>2050</v>
      </c>
      <c r="AJ285" s="164" t="str">
        <f t="shared" ref="AJ285:AL285" si="330">A33</f>
        <v>Rail</v>
      </c>
      <c r="AK285" s="164" t="str">
        <f t="shared" si="330"/>
        <v>Container</v>
      </c>
      <c r="AL285" s="164" t="str">
        <f t="shared" si="330"/>
        <v>Diesel</v>
      </c>
      <c r="AM285" s="188">
        <f t="shared" si="323"/>
        <v>1</v>
      </c>
    </row>
    <row r="286" spans="33:39" x14ac:dyDescent="0.25">
      <c r="AG286" s="164" t="s">
        <v>433</v>
      </c>
      <c r="AH286" s="164" t="s">
        <v>431</v>
      </c>
      <c r="AI286" s="164">
        <v>2050</v>
      </c>
      <c r="AJ286" s="164" t="str">
        <f t="shared" ref="AJ286:AL286" si="331">A34</f>
        <v>Rail</v>
      </c>
      <c r="AK286" s="164" t="str">
        <f t="shared" si="331"/>
        <v>Container</v>
      </c>
      <c r="AL286" s="164" t="str">
        <f t="shared" si="331"/>
        <v>Catenary</v>
      </c>
      <c r="AM286" s="188">
        <f t="shared" si="323"/>
        <v>0.99288526808640964</v>
      </c>
    </row>
    <row r="287" spans="33:39" x14ac:dyDescent="0.25">
      <c r="AG287" s="164" t="s">
        <v>87</v>
      </c>
      <c r="AH287" s="164" t="s">
        <v>431</v>
      </c>
      <c r="AI287" s="164">
        <v>2050</v>
      </c>
      <c r="AJ287" s="164" t="str">
        <f t="shared" ref="AJ287:AL287" si="332">A35</f>
        <v>Rail</v>
      </c>
      <c r="AK287" s="164" t="str">
        <f t="shared" si="332"/>
        <v>Container</v>
      </c>
      <c r="AL287" s="164" t="str">
        <f t="shared" si="332"/>
        <v>Battery</v>
      </c>
      <c r="AM287" s="188">
        <f t="shared" si="323"/>
        <v>0.9931127525520147</v>
      </c>
    </row>
    <row r="288" spans="33:39" x14ac:dyDescent="0.25">
      <c r="AG288" s="164" t="s">
        <v>103</v>
      </c>
      <c r="AH288" s="164" t="s">
        <v>431</v>
      </c>
      <c r="AI288" s="164">
        <v>2050</v>
      </c>
      <c r="AJ288" s="164" t="str">
        <f t="shared" ref="AJ288:AL288" si="333">A36</f>
        <v>Rail</v>
      </c>
      <c r="AK288" s="164" t="str">
        <f t="shared" si="333"/>
        <v>Container</v>
      </c>
      <c r="AL288" s="164" t="str">
        <f t="shared" si="333"/>
        <v>Hydrogen</v>
      </c>
      <c r="AM288" s="188">
        <f t="shared" si="323"/>
        <v>0.95437580771952035</v>
      </c>
    </row>
    <row r="289" spans="33:39" x14ac:dyDescent="0.25">
      <c r="AG289" s="164" t="s">
        <v>433</v>
      </c>
      <c r="AH289" s="164" t="s">
        <v>431</v>
      </c>
      <c r="AI289" s="164">
        <v>2050</v>
      </c>
      <c r="AJ289" s="164" t="str">
        <f t="shared" ref="AJ289:AL289" si="334">A37</f>
        <v>Rail</v>
      </c>
      <c r="AK289" s="164" t="str">
        <f t="shared" si="334"/>
        <v>Break bulk</v>
      </c>
      <c r="AL289" s="164" t="str">
        <f t="shared" si="334"/>
        <v>Diesel</v>
      </c>
      <c r="AM289" s="188">
        <f t="shared" si="323"/>
        <v>1</v>
      </c>
    </row>
    <row r="290" spans="33:39" x14ac:dyDescent="0.25">
      <c r="AG290" s="164" t="s">
        <v>433</v>
      </c>
      <c r="AH290" s="164" t="s">
        <v>431</v>
      </c>
      <c r="AI290" s="164">
        <v>2050</v>
      </c>
      <c r="AJ290" s="164" t="str">
        <f t="shared" ref="AJ290:AL290" si="335">A38</f>
        <v>Rail</v>
      </c>
      <c r="AK290" s="164" t="str">
        <f t="shared" si="335"/>
        <v>Break bulk</v>
      </c>
      <c r="AL290" s="164" t="str">
        <f t="shared" si="335"/>
        <v>Catenary</v>
      </c>
      <c r="AM290" s="188">
        <f t="shared" si="323"/>
        <v>0.99568694625202447</v>
      </c>
    </row>
    <row r="291" spans="33:39" x14ac:dyDescent="0.25">
      <c r="AG291" s="164" t="s">
        <v>87</v>
      </c>
      <c r="AH291" s="164" t="s">
        <v>431</v>
      </c>
      <c r="AI291" s="164">
        <v>2050</v>
      </c>
      <c r="AJ291" s="164" t="str">
        <f t="shared" ref="AJ291:AL291" si="336">A39</f>
        <v>Rail</v>
      </c>
      <c r="AK291" s="164" t="str">
        <f t="shared" si="336"/>
        <v>Break bulk</v>
      </c>
      <c r="AL291" s="164" t="str">
        <f t="shared" si="336"/>
        <v>Battery</v>
      </c>
      <c r="AM291" s="188">
        <f t="shared" si="323"/>
        <v>0.99567354334622427</v>
      </c>
    </row>
    <row r="292" spans="33:39" x14ac:dyDescent="0.25">
      <c r="AG292" s="164" t="s">
        <v>103</v>
      </c>
      <c r="AH292" s="164" t="s">
        <v>431</v>
      </c>
      <c r="AI292" s="164">
        <v>2050</v>
      </c>
      <c r="AJ292" s="164" t="str">
        <f t="shared" ref="AJ292:AL292" si="337">A40</f>
        <v>Rail</v>
      </c>
      <c r="AK292" s="164" t="str">
        <f t="shared" si="337"/>
        <v>Break bulk</v>
      </c>
      <c r="AL292" s="164" t="str">
        <f t="shared" si="337"/>
        <v>Hydrogen</v>
      </c>
      <c r="AM292" s="188">
        <f t="shared" si="323"/>
        <v>0.97180568167174497</v>
      </c>
    </row>
    <row r="293" spans="33:39" x14ac:dyDescent="0.25">
      <c r="AG293" s="164" t="s">
        <v>433</v>
      </c>
      <c r="AH293" s="164" t="s">
        <v>431</v>
      </c>
      <c r="AI293" s="164">
        <v>2050</v>
      </c>
      <c r="AJ293" s="164" t="str">
        <f t="shared" ref="AJ293:AL293" si="338">A41</f>
        <v>Rail</v>
      </c>
      <c r="AK293" s="164" t="str">
        <f t="shared" si="338"/>
        <v>Neo bulk</v>
      </c>
      <c r="AL293" s="164" t="str">
        <f t="shared" si="338"/>
        <v>Diesel</v>
      </c>
      <c r="AM293" s="188">
        <f t="shared" si="323"/>
        <v>1</v>
      </c>
    </row>
    <row r="294" spans="33:39" x14ac:dyDescent="0.25">
      <c r="AG294" s="164" t="s">
        <v>433</v>
      </c>
      <c r="AH294" s="164" t="s">
        <v>431</v>
      </c>
      <c r="AI294" s="164">
        <v>2050</v>
      </c>
      <c r="AJ294" s="164" t="str">
        <f t="shared" ref="AJ294:AL294" si="339">A42</f>
        <v>Rail</v>
      </c>
      <c r="AK294" s="164" t="str">
        <f t="shared" si="339"/>
        <v>Neo bulk</v>
      </c>
      <c r="AL294" s="164" t="str">
        <f t="shared" si="339"/>
        <v>Catenary</v>
      </c>
      <c r="AM294" s="188">
        <f t="shared" si="323"/>
        <v>0.99322054343801247</v>
      </c>
    </row>
    <row r="295" spans="33:39" x14ac:dyDescent="0.25">
      <c r="AG295" s="164" t="s">
        <v>87</v>
      </c>
      <c r="AH295" s="164" t="s">
        <v>431</v>
      </c>
      <c r="AI295" s="164">
        <v>2050</v>
      </c>
      <c r="AJ295" s="164" t="str">
        <f t="shared" ref="AJ295:AL295" si="340">A43</f>
        <v>Rail</v>
      </c>
      <c r="AK295" s="164" t="str">
        <f t="shared" si="340"/>
        <v>Neo bulk</v>
      </c>
      <c r="AL295" s="164" t="str">
        <f t="shared" si="340"/>
        <v>Battery</v>
      </c>
      <c r="AM295" s="188">
        <f t="shared" si="323"/>
        <v>0.99340964597332304</v>
      </c>
    </row>
    <row r="296" spans="33:39" x14ac:dyDescent="0.25">
      <c r="AG296" s="164" t="s">
        <v>103</v>
      </c>
      <c r="AH296" s="164" t="s">
        <v>431</v>
      </c>
      <c r="AI296" s="164">
        <v>2050</v>
      </c>
      <c r="AJ296" s="164" t="str">
        <f t="shared" ref="AJ296:AL296" si="341">A44</f>
        <v>Rail</v>
      </c>
      <c r="AK296" s="164" t="str">
        <f t="shared" si="341"/>
        <v>Neo bulk</v>
      </c>
      <c r="AL296" s="164" t="str">
        <f t="shared" si="341"/>
        <v>Hydrogen</v>
      </c>
      <c r="AM296" s="188">
        <f t="shared" si="323"/>
        <v>0.95642607144097347</v>
      </c>
    </row>
    <row r="297" spans="33:39" x14ac:dyDescent="0.25">
      <c r="AG297" s="164" t="s">
        <v>433</v>
      </c>
      <c r="AH297" s="164" t="s">
        <v>432</v>
      </c>
      <c r="AI297" s="164">
        <v>2050</v>
      </c>
      <c r="AJ297" s="164" t="str">
        <f>A25</f>
        <v>Rail</v>
      </c>
      <c r="AK297" s="164" t="str">
        <f t="shared" ref="AK297:AL297" si="342">B25</f>
        <v>Dry bulk</v>
      </c>
      <c r="AL297" s="164" t="str">
        <f t="shared" si="342"/>
        <v>Diesel</v>
      </c>
      <c r="AM297" s="188">
        <f>AD25</f>
        <v>1</v>
      </c>
    </row>
    <row r="298" spans="33:39" x14ac:dyDescent="0.25">
      <c r="AG298" s="164" t="s">
        <v>433</v>
      </c>
      <c r="AH298" s="164" t="s">
        <v>432</v>
      </c>
      <c r="AI298" s="164">
        <v>2050</v>
      </c>
      <c r="AJ298" s="164" t="str">
        <f t="shared" ref="AJ298:AJ316" si="343">A26</f>
        <v>Rail</v>
      </c>
      <c r="AK298" s="164" t="str">
        <f t="shared" ref="AK298:AK316" si="344">B26</f>
        <v>Dry bulk</v>
      </c>
      <c r="AL298" s="164" t="str">
        <f t="shared" ref="AL298:AL316" si="345">C26</f>
        <v>Catenary</v>
      </c>
      <c r="AM298" s="188">
        <f t="shared" ref="AM298:AM316" si="346">AD26</f>
        <v>1.0262266576830907</v>
      </c>
    </row>
    <row r="299" spans="33:39" x14ac:dyDescent="0.25">
      <c r="AG299" s="164" t="s">
        <v>87</v>
      </c>
      <c r="AH299" s="164" t="s">
        <v>432</v>
      </c>
      <c r="AI299" s="164">
        <v>2050</v>
      </c>
      <c r="AJ299" s="164" t="str">
        <f t="shared" si="343"/>
        <v>Rail</v>
      </c>
      <c r="AK299" s="164" t="str">
        <f t="shared" si="344"/>
        <v>Dry bulk</v>
      </c>
      <c r="AL299" s="164" t="str">
        <f t="shared" si="345"/>
        <v>Battery</v>
      </c>
      <c r="AM299" s="188">
        <f t="shared" si="346"/>
        <v>1.025523669139113</v>
      </c>
    </row>
    <row r="300" spans="33:39" x14ac:dyDescent="0.25">
      <c r="AG300" s="164" t="s">
        <v>103</v>
      </c>
      <c r="AH300" s="164" t="s">
        <v>432</v>
      </c>
      <c r="AI300" s="164">
        <v>2050</v>
      </c>
      <c r="AJ300" s="164" t="str">
        <f t="shared" si="343"/>
        <v>Rail</v>
      </c>
      <c r="AK300" s="164" t="str">
        <f t="shared" si="344"/>
        <v>Dry bulk</v>
      </c>
      <c r="AL300" s="164" t="str">
        <f t="shared" si="345"/>
        <v>Hydrogen</v>
      </c>
      <c r="AM300" s="188">
        <f t="shared" si="346"/>
        <v>1.0273962658490183</v>
      </c>
    </row>
    <row r="301" spans="33:39" x14ac:dyDescent="0.25">
      <c r="AG301" s="164" t="s">
        <v>433</v>
      </c>
      <c r="AH301" s="164" t="s">
        <v>432</v>
      </c>
      <c r="AI301" s="164">
        <v>2050</v>
      </c>
      <c r="AJ301" s="164" t="str">
        <f t="shared" si="343"/>
        <v>Rail</v>
      </c>
      <c r="AK301" s="164" t="str">
        <f t="shared" si="344"/>
        <v>Liquid bulk</v>
      </c>
      <c r="AL301" s="164" t="str">
        <f t="shared" si="345"/>
        <v>Diesel</v>
      </c>
      <c r="AM301" s="188">
        <f t="shared" si="346"/>
        <v>1</v>
      </c>
    </row>
    <row r="302" spans="33:39" x14ac:dyDescent="0.25">
      <c r="AG302" s="164" t="s">
        <v>433</v>
      </c>
      <c r="AH302" s="164" t="s">
        <v>432</v>
      </c>
      <c r="AI302" s="164">
        <v>2050</v>
      </c>
      <c r="AJ302" s="164" t="str">
        <f t="shared" si="343"/>
        <v>Rail</v>
      </c>
      <c r="AK302" s="164" t="str">
        <f t="shared" si="344"/>
        <v>Liquid bulk</v>
      </c>
      <c r="AL302" s="164" t="str">
        <f t="shared" si="345"/>
        <v>Catenary</v>
      </c>
      <c r="AM302" s="188">
        <f t="shared" si="346"/>
        <v>1.0259827577193701</v>
      </c>
    </row>
    <row r="303" spans="33:39" x14ac:dyDescent="0.25">
      <c r="AG303" s="164" t="s">
        <v>87</v>
      </c>
      <c r="AH303" s="164" t="s">
        <v>432</v>
      </c>
      <c r="AI303" s="164">
        <v>2050</v>
      </c>
      <c r="AJ303" s="164" t="str">
        <f t="shared" si="343"/>
        <v>Rail</v>
      </c>
      <c r="AK303" s="164" t="str">
        <f t="shared" si="344"/>
        <v>Liquid bulk</v>
      </c>
      <c r="AL303" s="164" t="str">
        <f t="shared" si="345"/>
        <v>Battery</v>
      </c>
      <c r="AM303" s="188">
        <f t="shared" si="346"/>
        <v>1.0253067665792717</v>
      </c>
    </row>
    <row r="304" spans="33:39" x14ac:dyDescent="0.25">
      <c r="AG304" s="164" t="s">
        <v>103</v>
      </c>
      <c r="AH304" s="164" t="s">
        <v>432</v>
      </c>
      <c r="AI304" s="164">
        <v>2050</v>
      </c>
      <c r="AJ304" s="164" t="str">
        <f t="shared" si="343"/>
        <v>Rail</v>
      </c>
      <c r="AK304" s="164" t="str">
        <f t="shared" si="344"/>
        <v>Liquid bulk</v>
      </c>
      <c r="AL304" s="164" t="str">
        <f t="shared" si="345"/>
        <v>Hydrogen</v>
      </c>
      <c r="AM304" s="188">
        <f t="shared" si="346"/>
        <v>1.0271537796359254</v>
      </c>
    </row>
    <row r="305" spans="33:39" x14ac:dyDescent="0.25">
      <c r="AG305" s="164" t="s">
        <v>433</v>
      </c>
      <c r="AH305" s="164" t="s">
        <v>432</v>
      </c>
      <c r="AI305" s="164">
        <v>2050</v>
      </c>
      <c r="AJ305" s="164" t="str">
        <f t="shared" si="343"/>
        <v>Rail</v>
      </c>
      <c r="AK305" s="164" t="str">
        <f t="shared" si="344"/>
        <v>Container</v>
      </c>
      <c r="AL305" s="164" t="str">
        <f t="shared" si="345"/>
        <v>Diesel</v>
      </c>
      <c r="AM305" s="188">
        <f t="shared" si="346"/>
        <v>1</v>
      </c>
    </row>
    <row r="306" spans="33:39" x14ac:dyDescent="0.25">
      <c r="AG306" s="164" t="s">
        <v>433</v>
      </c>
      <c r="AH306" s="164" t="s">
        <v>432</v>
      </c>
      <c r="AI306" s="164">
        <v>2050</v>
      </c>
      <c r="AJ306" s="164" t="str">
        <f t="shared" si="343"/>
        <v>Rail</v>
      </c>
      <c r="AK306" s="164" t="str">
        <f t="shared" si="344"/>
        <v>Container</v>
      </c>
      <c r="AL306" s="164" t="str">
        <f t="shared" si="345"/>
        <v>Catenary</v>
      </c>
      <c r="AM306" s="188">
        <f t="shared" si="346"/>
        <v>1.0279085348433716</v>
      </c>
    </row>
    <row r="307" spans="33:39" x14ac:dyDescent="0.25">
      <c r="AG307" s="164" t="s">
        <v>87</v>
      </c>
      <c r="AH307" s="164" t="s">
        <v>432</v>
      </c>
      <c r="AI307" s="164">
        <v>2050</v>
      </c>
      <c r="AJ307" s="164" t="str">
        <f t="shared" si="343"/>
        <v>Rail</v>
      </c>
      <c r="AK307" s="164" t="str">
        <f t="shared" si="344"/>
        <v>Container</v>
      </c>
      <c r="AL307" s="164" t="str">
        <f t="shared" si="345"/>
        <v>Battery</v>
      </c>
      <c r="AM307" s="188">
        <f t="shared" si="346"/>
        <v>1.0270161950880901</v>
      </c>
    </row>
    <row r="308" spans="33:39" x14ac:dyDescent="0.25">
      <c r="AG308" s="164" t="s">
        <v>103</v>
      </c>
      <c r="AH308" s="164" t="s">
        <v>432</v>
      </c>
      <c r="AI308" s="164">
        <v>2050</v>
      </c>
      <c r="AJ308" s="164" t="str">
        <f t="shared" si="343"/>
        <v>Rail</v>
      </c>
      <c r="AK308" s="164" t="str">
        <f t="shared" si="344"/>
        <v>Container</v>
      </c>
      <c r="AL308" s="164" t="str">
        <f t="shared" si="345"/>
        <v>Hydrogen</v>
      </c>
      <c r="AM308" s="188">
        <f t="shared" si="346"/>
        <v>1.0290695139812172</v>
      </c>
    </row>
    <row r="309" spans="33:39" x14ac:dyDescent="0.25">
      <c r="AG309" s="164" t="s">
        <v>433</v>
      </c>
      <c r="AH309" s="164" t="s">
        <v>432</v>
      </c>
      <c r="AI309" s="164">
        <v>2050</v>
      </c>
      <c r="AJ309" s="164" t="str">
        <f t="shared" si="343"/>
        <v>Rail</v>
      </c>
      <c r="AK309" s="164" t="str">
        <f t="shared" si="344"/>
        <v>Break bulk</v>
      </c>
      <c r="AL309" s="164" t="str">
        <f t="shared" si="345"/>
        <v>Diesel</v>
      </c>
      <c r="AM309" s="188">
        <f t="shared" si="346"/>
        <v>1</v>
      </c>
    </row>
    <row r="310" spans="33:39" x14ac:dyDescent="0.25">
      <c r="AG310" s="164" t="s">
        <v>433</v>
      </c>
      <c r="AH310" s="164" t="s">
        <v>432</v>
      </c>
      <c r="AI310" s="164">
        <v>2050</v>
      </c>
      <c r="AJ310" s="164" t="str">
        <f t="shared" si="343"/>
        <v>Rail</v>
      </c>
      <c r="AK310" s="164" t="str">
        <f t="shared" si="344"/>
        <v>Break bulk</v>
      </c>
      <c r="AL310" s="164" t="str">
        <f t="shared" si="345"/>
        <v>Catenary</v>
      </c>
      <c r="AM310" s="188">
        <f t="shared" si="346"/>
        <v>1.0169185588815763</v>
      </c>
    </row>
    <row r="311" spans="33:39" x14ac:dyDescent="0.25">
      <c r="AG311" s="164" t="s">
        <v>87</v>
      </c>
      <c r="AH311" s="164" t="s">
        <v>432</v>
      </c>
      <c r="AI311" s="164">
        <v>2050</v>
      </c>
      <c r="AJ311" s="164" t="str">
        <f t="shared" si="343"/>
        <v>Rail</v>
      </c>
      <c r="AK311" s="164" t="str">
        <f t="shared" si="344"/>
        <v>Break bulk</v>
      </c>
      <c r="AL311" s="164" t="str">
        <f t="shared" si="345"/>
        <v>Battery</v>
      </c>
      <c r="AM311" s="188">
        <f t="shared" si="346"/>
        <v>1.0169711336613525</v>
      </c>
    </row>
    <row r="312" spans="33:39" x14ac:dyDescent="0.25">
      <c r="AG312" s="164" t="s">
        <v>103</v>
      </c>
      <c r="AH312" s="164" t="s">
        <v>432</v>
      </c>
      <c r="AI312" s="164">
        <v>2050</v>
      </c>
      <c r="AJ312" s="164" t="str">
        <f t="shared" si="343"/>
        <v>Rail</v>
      </c>
      <c r="AK312" s="164" t="str">
        <f t="shared" si="344"/>
        <v>Break bulk</v>
      </c>
      <c r="AL312" s="164" t="str">
        <f t="shared" si="345"/>
        <v>Hydrogen</v>
      </c>
      <c r="AM312" s="188">
        <f t="shared" si="346"/>
        <v>1.0179640469204483</v>
      </c>
    </row>
    <row r="313" spans="33:39" x14ac:dyDescent="0.25">
      <c r="AG313" s="164" t="s">
        <v>433</v>
      </c>
      <c r="AH313" s="164" t="s">
        <v>432</v>
      </c>
      <c r="AI313" s="164">
        <v>2050</v>
      </c>
      <c r="AJ313" s="164" t="str">
        <f t="shared" si="343"/>
        <v>Rail</v>
      </c>
      <c r="AK313" s="164" t="str">
        <f t="shared" si="344"/>
        <v>Neo bulk</v>
      </c>
      <c r="AL313" s="164" t="str">
        <f t="shared" si="345"/>
        <v>Diesel</v>
      </c>
      <c r="AM313" s="188">
        <f t="shared" si="346"/>
        <v>1</v>
      </c>
    </row>
    <row r="314" spans="33:39" x14ac:dyDescent="0.25">
      <c r="AG314" s="164" t="s">
        <v>433</v>
      </c>
      <c r="AH314" s="164" t="s">
        <v>432</v>
      </c>
      <c r="AI314" s="164">
        <v>2050</v>
      </c>
      <c r="AJ314" s="164" t="str">
        <f t="shared" si="343"/>
        <v>Rail</v>
      </c>
      <c r="AK314" s="164" t="str">
        <f t="shared" si="344"/>
        <v>Neo bulk</v>
      </c>
      <c r="AL314" s="164" t="str">
        <f t="shared" si="345"/>
        <v>Catenary</v>
      </c>
      <c r="AM314" s="188">
        <f t="shared" si="346"/>
        <v>1.0265933702038645</v>
      </c>
    </row>
    <row r="315" spans="33:39" x14ac:dyDescent="0.25">
      <c r="AG315" s="164" t="s">
        <v>87</v>
      </c>
      <c r="AH315" s="164" t="s">
        <v>432</v>
      </c>
      <c r="AI315" s="164">
        <v>2050</v>
      </c>
      <c r="AJ315" s="164" t="str">
        <f t="shared" si="343"/>
        <v>Rail</v>
      </c>
      <c r="AK315" s="164" t="str">
        <f t="shared" si="344"/>
        <v>Neo bulk</v>
      </c>
      <c r="AL315" s="164" t="str">
        <f t="shared" si="345"/>
        <v>Battery</v>
      </c>
      <c r="AM315" s="188">
        <f t="shared" si="346"/>
        <v>1.0258515889590079</v>
      </c>
    </row>
    <row r="316" spans="33:39" x14ac:dyDescent="0.25">
      <c r="AG316" s="164" t="s">
        <v>103</v>
      </c>
      <c r="AH316" s="164" t="s">
        <v>432</v>
      </c>
      <c r="AI316" s="164">
        <v>2050</v>
      </c>
      <c r="AJ316" s="164" t="str">
        <f t="shared" si="343"/>
        <v>Rail</v>
      </c>
      <c r="AK316" s="164" t="str">
        <f t="shared" si="344"/>
        <v>Neo bulk</v>
      </c>
      <c r="AL316" s="164" t="str">
        <f t="shared" si="345"/>
        <v>Hydrogen</v>
      </c>
      <c r="AM316" s="188">
        <f t="shared" si="346"/>
        <v>1.0277631857606633</v>
      </c>
    </row>
    <row r="317" spans="33:39" x14ac:dyDescent="0.25">
      <c r="AG317" s="164" t="s">
        <v>433</v>
      </c>
      <c r="AH317" s="164" t="s">
        <v>430</v>
      </c>
      <c r="AI317" s="164">
        <v>2023</v>
      </c>
      <c r="AJ317" s="164" t="str">
        <f>A48</f>
        <v>Sea</v>
      </c>
      <c r="AK317" s="164" t="str">
        <f t="shared" ref="AK317:AL317" si="347">B48</f>
        <v>Dry bulk</v>
      </c>
      <c r="AL317" s="164" t="str">
        <f t="shared" si="347"/>
        <v>HFO</v>
      </c>
      <c r="AM317" s="188">
        <f>I48</f>
        <v>1</v>
      </c>
    </row>
    <row r="318" spans="33:39" x14ac:dyDescent="0.25">
      <c r="AG318" s="164" t="s">
        <v>433</v>
      </c>
      <c r="AH318" s="164" t="s">
        <v>430</v>
      </c>
      <c r="AI318" s="164">
        <v>2023</v>
      </c>
      <c r="AJ318" s="164" t="str">
        <f t="shared" ref="AJ318:AJ326" si="348">A49</f>
        <v>Sea</v>
      </c>
      <c r="AK318" s="164" t="str">
        <f t="shared" ref="AK318:AK327" si="349">B49</f>
        <v>Dry bulk</v>
      </c>
      <c r="AL318" s="164" t="str">
        <f t="shared" ref="AL318:AL327" si="350">C49</f>
        <v>MGO</v>
      </c>
      <c r="AM318" s="188">
        <f t="shared" ref="AM318:AM326" si="351">I49</f>
        <v>1</v>
      </c>
    </row>
    <row r="319" spans="33:39" x14ac:dyDescent="0.25">
      <c r="AG319" s="164" t="s">
        <v>103</v>
      </c>
      <c r="AH319" s="164" t="s">
        <v>430</v>
      </c>
      <c r="AI319" s="164">
        <v>2023</v>
      </c>
      <c r="AJ319" s="164" t="str">
        <f t="shared" si="348"/>
        <v>Sea</v>
      </c>
      <c r="AK319" s="164" t="str">
        <f t="shared" si="349"/>
        <v>Dry bulk</v>
      </c>
      <c r="AL319" s="164" t="str">
        <f t="shared" si="350"/>
        <v>Hydrogen</v>
      </c>
      <c r="AM319" s="188">
        <f t="shared" si="351"/>
        <v>1</v>
      </c>
    </row>
    <row r="320" spans="33:39" x14ac:dyDescent="0.25">
      <c r="AG320" s="164" t="s">
        <v>103</v>
      </c>
      <c r="AH320" s="164" t="s">
        <v>430</v>
      </c>
      <c r="AI320" s="164">
        <v>2023</v>
      </c>
      <c r="AJ320" s="164" t="str">
        <f t="shared" si="348"/>
        <v>Sea</v>
      </c>
      <c r="AK320" s="164" t="str">
        <f t="shared" si="349"/>
        <v>Dry bulk</v>
      </c>
      <c r="AL320" s="164" t="str">
        <f t="shared" si="350"/>
        <v>Ammonia</v>
      </c>
      <c r="AM320" s="188">
        <f t="shared" si="351"/>
        <v>1</v>
      </c>
    </row>
    <row r="321" spans="33:39" x14ac:dyDescent="0.25">
      <c r="AG321" s="164" t="s">
        <v>103</v>
      </c>
      <c r="AH321" s="164" t="s">
        <v>430</v>
      </c>
      <c r="AI321" s="164">
        <v>2023</v>
      </c>
      <c r="AJ321" s="164" t="str">
        <f t="shared" si="348"/>
        <v>Sea</v>
      </c>
      <c r="AK321" s="164" t="str">
        <f t="shared" si="349"/>
        <v>Dry bulk</v>
      </c>
      <c r="AL321" s="164" t="str">
        <f t="shared" si="350"/>
        <v>Methanol</v>
      </c>
      <c r="AM321" s="188">
        <f t="shared" si="351"/>
        <v>1</v>
      </c>
    </row>
    <row r="322" spans="33:39" x14ac:dyDescent="0.25">
      <c r="AG322" s="164" t="s">
        <v>433</v>
      </c>
      <c r="AH322" s="164" t="s">
        <v>430</v>
      </c>
      <c r="AI322" s="164">
        <v>2023</v>
      </c>
      <c r="AJ322" s="164" t="str">
        <f t="shared" si="348"/>
        <v>Sea</v>
      </c>
      <c r="AK322" s="164" t="str">
        <f t="shared" si="349"/>
        <v>Container</v>
      </c>
      <c r="AL322" s="164" t="str">
        <f t="shared" si="350"/>
        <v>HFO</v>
      </c>
      <c r="AM322" s="188">
        <f t="shared" si="351"/>
        <v>1</v>
      </c>
    </row>
    <row r="323" spans="33:39" x14ac:dyDescent="0.25">
      <c r="AG323" s="164" t="s">
        <v>433</v>
      </c>
      <c r="AH323" s="164" t="s">
        <v>430</v>
      </c>
      <c r="AI323" s="164">
        <v>2023</v>
      </c>
      <c r="AJ323" s="164" t="str">
        <f t="shared" si="348"/>
        <v>Sea</v>
      </c>
      <c r="AK323" s="164" t="str">
        <f t="shared" si="349"/>
        <v>Container</v>
      </c>
      <c r="AL323" s="164" t="str">
        <f t="shared" si="350"/>
        <v>MGO</v>
      </c>
      <c r="AM323" s="188">
        <f t="shared" si="351"/>
        <v>1</v>
      </c>
    </row>
    <row r="324" spans="33:39" x14ac:dyDescent="0.25">
      <c r="AG324" s="164" t="s">
        <v>103</v>
      </c>
      <c r="AH324" s="164" t="s">
        <v>430</v>
      </c>
      <c r="AI324" s="164">
        <v>2023</v>
      </c>
      <c r="AJ324" s="164" t="str">
        <f t="shared" si="348"/>
        <v>Sea</v>
      </c>
      <c r="AK324" s="164" t="str">
        <f t="shared" si="349"/>
        <v>Container</v>
      </c>
      <c r="AL324" s="164" t="str">
        <f t="shared" si="350"/>
        <v>Hydrogen</v>
      </c>
      <c r="AM324" s="188">
        <f t="shared" si="351"/>
        <v>1</v>
      </c>
    </row>
    <row r="325" spans="33:39" x14ac:dyDescent="0.25">
      <c r="AG325" s="164" t="s">
        <v>103</v>
      </c>
      <c r="AH325" s="164" t="s">
        <v>430</v>
      </c>
      <c r="AI325" s="164">
        <v>2023</v>
      </c>
      <c r="AJ325" s="164" t="str">
        <f t="shared" si="348"/>
        <v>Sea</v>
      </c>
      <c r="AK325" s="164" t="str">
        <f t="shared" si="349"/>
        <v>Container</v>
      </c>
      <c r="AL325" s="164" t="str">
        <f t="shared" si="350"/>
        <v>Ammonia</v>
      </c>
      <c r="AM325" s="188">
        <f t="shared" si="351"/>
        <v>1</v>
      </c>
    </row>
    <row r="326" spans="33:39" x14ac:dyDescent="0.25">
      <c r="AG326" s="164" t="s">
        <v>103</v>
      </c>
      <c r="AH326" s="164" t="s">
        <v>430</v>
      </c>
      <c r="AI326" s="164">
        <v>2023</v>
      </c>
      <c r="AJ326" s="164" t="str">
        <f t="shared" si="348"/>
        <v>Sea</v>
      </c>
      <c r="AK326" s="164" t="str">
        <f t="shared" si="349"/>
        <v>Container</v>
      </c>
      <c r="AL326" s="164" t="str">
        <f t="shared" si="350"/>
        <v>Methanol</v>
      </c>
      <c r="AM326" s="188">
        <f t="shared" si="351"/>
        <v>1</v>
      </c>
    </row>
    <row r="327" spans="33:39" x14ac:dyDescent="0.25">
      <c r="AG327" s="164" t="s">
        <v>433</v>
      </c>
      <c r="AH327" s="164" t="s">
        <v>430</v>
      </c>
      <c r="AI327" s="164">
        <v>2023</v>
      </c>
      <c r="AJ327" s="164" t="str">
        <f>A58</f>
        <v>Sea</v>
      </c>
      <c r="AK327" s="164" t="str">
        <f t="shared" si="349"/>
        <v>Break bulk</v>
      </c>
      <c r="AL327" s="164" t="str">
        <f t="shared" si="350"/>
        <v>HFO</v>
      </c>
      <c r="AM327" s="188">
        <f>I58</f>
        <v>1</v>
      </c>
    </row>
    <row r="328" spans="33:39" x14ac:dyDescent="0.25">
      <c r="AG328" s="164" t="s">
        <v>433</v>
      </c>
      <c r="AH328" s="164" t="s">
        <v>430</v>
      </c>
      <c r="AI328" s="164">
        <v>2023</v>
      </c>
      <c r="AJ328" s="164" t="str">
        <f t="shared" ref="AJ328:AJ333" si="352">A59</f>
        <v>Sea</v>
      </c>
      <c r="AK328" s="164" t="str">
        <f t="shared" ref="AK328:AK336" si="353">B59</f>
        <v>Break bulk</v>
      </c>
      <c r="AL328" s="164" t="str">
        <f t="shared" ref="AL328:AL336" si="354">C59</f>
        <v>MGO</v>
      </c>
      <c r="AM328" s="188">
        <f t="shared" ref="AM328:AM333" si="355">I59</f>
        <v>1</v>
      </c>
    </row>
    <row r="329" spans="33:39" x14ac:dyDescent="0.25">
      <c r="AG329" s="164" t="s">
        <v>103</v>
      </c>
      <c r="AH329" s="164" t="s">
        <v>430</v>
      </c>
      <c r="AI329" s="164">
        <v>2023</v>
      </c>
      <c r="AJ329" s="164" t="str">
        <f t="shared" si="352"/>
        <v>Sea</v>
      </c>
      <c r="AK329" s="164" t="str">
        <f t="shared" si="353"/>
        <v>Break bulk</v>
      </c>
      <c r="AL329" s="164" t="str">
        <f t="shared" si="354"/>
        <v>Hydrogen</v>
      </c>
      <c r="AM329" s="188">
        <f t="shared" si="355"/>
        <v>1</v>
      </c>
    </row>
    <row r="330" spans="33:39" x14ac:dyDescent="0.25">
      <c r="AG330" s="164" t="s">
        <v>103</v>
      </c>
      <c r="AH330" s="164" t="s">
        <v>430</v>
      </c>
      <c r="AI330" s="164">
        <v>2023</v>
      </c>
      <c r="AJ330" s="164" t="str">
        <f t="shared" si="352"/>
        <v>Sea</v>
      </c>
      <c r="AK330" s="164" t="str">
        <f t="shared" si="353"/>
        <v>Break bulk</v>
      </c>
      <c r="AL330" s="164" t="str">
        <f t="shared" si="354"/>
        <v>Ammonia</v>
      </c>
      <c r="AM330" s="188">
        <f t="shared" si="355"/>
        <v>1</v>
      </c>
    </row>
    <row r="331" spans="33:39" x14ac:dyDescent="0.25">
      <c r="AG331" s="164" t="s">
        <v>103</v>
      </c>
      <c r="AH331" s="164" t="s">
        <v>430</v>
      </c>
      <c r="AI331" s="164">
        <v>2023</v>
      </c>
      <c r="AJ331" s="164" t="str">
        <f t="shared" si="352"/>
        <v>Sea</v>
      </c>
      <c r="AK331" s="164" t="str">
        <f t="shared" si="353"/>
        <v>Break bulk</v>
      </c>
      <c r="AL331" s="164" t="str">
        <f t="shared" si="354"/>
        <v>Methanol</v>
      </c>
      <c r="AM331" s="188">
        <f t="shared" si="355"/>
        <v>1</v>
      </c>
    </row>
    <row r="332" spans="33:39" x14ac:dyDescent="0.25">
      <c r="AG332" s="164" t="s">
        <v>433</v>
      </c>
      <c r="AH332" s="164" t="s">
        <v>430</v>
      </c>
      <c r="AI332" s="164">
        <v>2023</v>
      </c>
      <c r="AJ332" s="164" t="str">
        <f t="shared" si="352"/>
        <v>Sea</v>
      </c>
      <c r="AK332" s="164" t="str">
        <f t="shared" si="353"/>
        <v>Neo bulk</v>
      </c>
      <c r="AL332" s="164" t="str">
        <f t="shared" si="354"/>
        <v>HFO</v>
      </c>
      <c r="AM332" s="188">
        <f t="shared" si="355"/>
        <v>1</v>
      </c>
    </row>
    <row r="333" spans="33:39" x14ac:dyDescent="0.25">
      <c r="AG333" s="164" t="s">
        <v>433</v>
      </c>
      <c r="AH333" s="164" t="s">
        <v>430</v>
      </c>
      <c r="AI333" s="164">
        <v>2023</v>
      </c>
      <c r="AJ333" s="164" t="str">
        <f t="shared" si="352"/>
        <v>Sea</v>
      </c>
      <c r="AK333" s="164" t="str">
        <f t="shared" si="353"/>
        <v>Neo bulk</v>
      </c>
      <c r="AL333" s="164" t="str">
        <f t="shared" si="354"/>
        <v>MGO</v>
      </c>
      <c r="AM333" s="188">
        <f t="shared" si="355"/>
        <v>1</v>
      </c>
    </row>
    <row r="334" spans="33:39" x14ac:dyDescent="0.25">
      <c r="AG334" s="164" t="s">
        <v>103</v>
      </c>
      <c r="AH334" s="164" t="s">
        <v>430</v>
      </c>
      <c r="AI334" s="164">
        <v>2023</v>
      </c>
      <c r="AJ334" s="164" t="str">
        <f>A65</f>
        <v>Sea</v>
      </c>
      <c r="AK334" s="164" t="str">
        <f t="shared" si="353"/>
        <v>Neo bulk</v>
      </c>
      <c r="AL334" s="164" t="str">
        <f t="shared" si="354"/>
        <v>Hydrogen</v>
      </c>
      <c r="AM334" s="188">
        <f>I65</f>
        <v>1</v>
      </c>
    </row>
    <row r="335" spans="33:39" x14ac:dyDescent="0.25">
      <c r="AG335" s="164" t="s">
        <v>103</v>
      </c>
      <c r="AH335" s="164" t="s">
        <v>430</v>
      </c>
      <c r="AI335" s="164">
        <v>2023</v>
      </c>
      <c r="AJ335" s="164" t="str">
        <f t="shared" ref="AJ335" si="356">A66</f>
        <v>Sea</v>
      </c>
      <c r="AK335" s="164" t="str">
        <f t="shared" si="353"/>
        <v>Neo bulk</v>
      </c>
      <c r="AL335" s="164" t="str">
        <f t="shared" si="354"/>
        <v>Ammonia</v>
      </c>
      <c r="AM335" s="188">
        <f t="shared" ref="AM335" si="357">I66</f>
        <v>1</v>
      </c>
    </row>
    <row r="336" spans="33:39" x14ac:dyDescent="0.25">
      <c r="AG336" s="164" t="s">
        <v>103</v>
      </c>
      <c r="AH336" s="164" t="s">
        <v>430</v>
      </c>
      <c r="AI336" s="164">
        <v>2023</v>
      </c>
      <c r="AJ336" s="164" t="str">
        <f>A67</f>
        <v>Sea</v>
      </c>
      <c r="AK336" s="164" t="str">
        <f t="shared" si="353"/>
        <v>Neo bulk</v>
      </c>
      <c r="AL336" s="164" t="str">
        <f t="shared" si="354"/>
        <v>Methanol</v>
      </c>
      <c r="AM336" s="188">
        <f>I67</f>
        <v>1</v>
      </c>
    </row>
    <row r="337" spans="33:39" x14ac:dyDescent="0.25">
      <c r="AG337" s="164" t="s">
        <v>433</v>
      </c>
      <c r="AH337" s="164" t="s">
        <v>431</v>
      </c>
      <c r="AI337" s="164">
        <v>2023</v>
      </c>
      <c r="AJ337" s="164" t="str">
        <f>A48</f>
        <v>Sea</v>
      </c>
      <c r="AK337" s="164" t="str">
        <f t="shared" ref="AK337:AL337" si="358">B48</f>
        <v>Dry bulk</v>
      </c>
      <c r="AL337" s="164" t="str">
        <f t="shared" si="358"/>
        <v>HFO</v>
      </c>
      <c r="AM337" s="188">
        <f>J48</f>
        <v>1</v>
      </c>
    </row>
    <row r="338" spans="33:39" x14ac:dyDescent="0.25">
      <c r="AG338" s="164" t="s">
        <v>433</v>
      </c>
      <c r="AH338" s="164" t="s">
        <v>431</v>
      </c>
      <c r="AI338" s="164">
        <v>2023</v>
      </c>
      <c r="AJ338" s="164" t="str">
        <f t="shared" ref="AJ338:AJ349" si="359">A49</f>
        <v>Sea</v>
      </c>
      <c r="AK338" s="164" t="str">
        <f t="shared" ref="AK338:AK350" si="360">B49</f>
        <v>Dry bulk</v>
      </c>
      <c r="AL338" s="164" t="str">
        <f t="shared" ref="AL338:AL350" si="361">C49</f>
        <v>MGO</v>
      </c>
      <c r="AM338" s="188">
        <f t="shared" ref="AM338:AM349" si="362">J49</f>
        <v>1</v>
      </c>
    </row>
    <row r="339" spans="33:39" x14ac:dyDescent="0.25">
      <c r="AG339" s="164" t="s">
        <v>103</v>
      </c>
      <c r="AH339" s="164" t="s">
        <v>431</v>
      </c>
      <c r="AI339" s="164">
        <v>2023</v>
      </c>
      <c r="AJ339" s="164" t="str">
        <f t="shared" si="359"/>
        <v>Sea</v>
      </c>
      <c r="AK339" s="164" t="str">
        <f t="shared" si="360"/>
        <v>Dry bulk</v>
      </c>
      <c r="AL339" s="164" t="str">
        <f t="shared" si="361"/>
        <v>Hydrogen</v>
      </c>
      <c r="AM339" s="188">
        <f t="shared" si="362"/>
        <v>0.73280036355893508</v>
      </c>
    </row>
    <row r="340" spans="33:39" x14ac:dyDescent="0.25">
      <c r="AG340" s="164" t="s">
        <v>103</v>
      </c>
      <c r="AH340" s="164" t="s">
        <v>431</v>
      </c>
      <c r="AI340" s="164">
        <v>2023</v>
      </c>
      <c r="AJ340" s="164" t="str">
        <f t="shared" si="359"/>
        <v>Sea</v>
      </c>
      <c r="AK340" s="164" t="str">
        <f t="shared" si="360"/>
        <v>Dry bulk</v>
      </c>
      <c r="AL340" s="164" t="str">
        <f t="shared" si="361"/>
        <v>Ammonia</v>
      </c>
      <c r="AM340" s="188">
        <f t="shared" si="362"/>
        <v>0.67324210450967781</v>
      </c>
    </row>
    <row r="341" spans="33:39" x14ac:dyDescent="0.25">
      <c r="AG341" s="164" t="s">
        <v>103</v>
      </c>
      <c r="AH341" s="164" t="s">
        <v>431</v>
      </c>
      <c r="AI341" s="164">
        <v>2023</v>
      </c>
      <c r="AJ341" s="164" t="str">
        <f t="shared" si="359"/>
        <v>Sea</v>
      </c>
      <c r="AK341" s="164" t="str">
        <f t="shared" si="360"/>
        <v>Dry bulk</v>
      </c>
      <c r="AL341" s="164" t="str">
        <f t="shared" si="361"/>
        <v>Methanol</v>
      </c>
      <c r="AM341" s="188">
        <f t="shared" si="362"/>
        <v>0.80003668435228525</v>
      </c>
    </row>
    <row r="342" spans="33:39" x14ac:dyDescent="0.25">
      <c r="AG342" s="164" t="s">
        <v>433</v>
      </c>
      <c r="AH342" s="164" t="s">
        <v>431</v>
      </c>
      <c r="AI342" s="164">
        <v>2023</v>
      </c>
      <c r="AJ342" s="164" t="str">
        <f t="shared" si="359"/>
        <v>Sea</v>
      </c>
      <c r="AK342" s="164" t="str">
        <f t="shared" si="360"/>
        <v>Container</v>
      </c>
      <c r="AL342" s="164" t="str">
        <f t="shared" si="361"/>
        <v>HFO</v>
      </c>
      <c r="AM342" s="188">
        <f t="shared" si="362"/>
        <v>1</v>
      </c>
    </row>
    <row r="343" spans="33:39" x14ac:dyDescent="0.25">
      <c r="AG343" s="164" t="s">
        <v>433</v>
      </c>
      <c r="AH343" s="164" t="s">
        <v>431</v>
      </c>
      <c r="AI343" s="164">
        <v>2023</v>
      </c>
      <c r="AJ343" s="164" t="str">
        <f t="shared" si="359"/>
        <v>Sea</v>
      </c>
      <c r="AK343" s="164" t="str">
        <f t="shared" si="360"/>
        <v>Container</v>
      </c>
      <c r="AL343" s="164" t="str">
        <f t="shared" si="361"/>
        <v>MGO</v>
      </c>
      <c r="AM343" s="188">
        <f t="shared" si="362"/>
        <v>1</v>
      </c>
    </row>
    <row r="344" spans="33:39" x14ac:dyDescent="0.25">
      <c r="AG344" s="164" t="s">
        <v>103</v>
      </c>
      <c r="AH344" s="164" t="s">
        <v>431</v>
      </c>
      <c r="AI344" s="164">
        <v>2023</v>
      </c>
      <c r="AJ344" s="164" t="str">
        <f t="shared" si="359"/>
        <v>Sea</v>
      </c>
      <c r="AK344" s="164" t="str">
        <f t="shared" si="360"/>
        <v>Container</v>
      </c>
      <c r="AL344" s="164" t="str">
        <f t="shared" si="361"/>
        <v>Hydrogen</v>
      </c>
      <c r="AM344" s="188">
        <f t="shared" si="362"/>
        <v>0.73849520326746065</v>
      </c>
    </row>
    <row r="345" spans="33:39" x14ac:dyDescent="0.25">
      <c r="AG345" s="164" t="s">
        <v>103</v>
      </c>
      <c r="AH345" s="164" t="s">
        <v>431</v>
      </c>
      <c r="AI345" s="164">
        <v>2023</v>
      </c>
      <c r="AJ345" s="164" t="str">
        <f t="shared" si="359"/>
        <v>Sea</v>
      </c>
      <c r="AK345" s="164" t="str">
        <f t="shared" si="360"/>
        <v>Container</v>
      </c>
      <c r="AL345" s="164" t="str">
        <f t="shared" si="361"/>
        <v>Ammonia</v>
      </c>
      <c r="AM345" s="188">
        <f t="shared" si="362"/>
        <v>0.68073063336429773</v>
      </c>
    </row>
    <row r="346" spans="33:39" x14ac:dyDescent="0.25">
      <c r="AG346" s="164" t="s">
        <v>103</v>
      </c>
      <c r="AH346" s="164" t="s">
        <v>431</v>
      </c>
      <c r="AI346" s="164">
        <v>2023</v>
      </c>
      <c r="AJ346" s="164" t="str">
        <f t="shared" si="359"/>
        <v>Sea</v>
      </c>
      <c r="AK346" s="164" t="str">
        <f t="shared" si="360"/>
        <v>Container</v>
      </c>
      <c r="AL346" s="164" t="str">
        <f t="shared" si="361"/>
        <v>Methanol</v>
      </c>
      <c r="AM346" s="188">
        <f t="shared" si="362"/>
        <v>0.80235644582049515</v>
      </c>
    </row>
    <row r="347" spans="33:39" x14ac:dyDescent="0.25">
      <c r="AG347" s="164" t="s">
        <v>433</v>
      </c>
      <c r="AH347" s="164" t="s">
        <v>431</v>
      </c>
      <c r="AI347" s="164">
        <v>2023</v>
      </c>
      <c r="AJ347" s="164" t="str">
        <f t="shared" si="359"/>
        <v>Sea</v>
      </c>
      <c r="AK347" s="164" t="str">
        <f t="shared" si="360"/>
        <v>Break bulk</v>
      </c>
      <c r="AL347" s="164" t="str">
        <f t="shared" si="361"/>
        <v>HFO</v>
      </c>
      <c r="AM347" s="188">
        <f t="shared" si="362"/>
        <v>1</v>
      </c>
    </row>
    <row r="348" spans="33:39" x14ac:dyDescent="0.25">
      <c r="AG348" s="164" t="s">
        <v>433</v>
      </c>
      <c r="AH348" s="164" t="s">
        <v>431</v>
      </c>
      <c r="AI348" s="164">
        <v>2023</v>
      </c>
      <c r="AJ348" s="164" t="str">
        <f t="shared" si="359"/>
        <v>Sea</v>
      </c>
      <c r="AK348" s="164" t="str">
        <f t="shared" si="360"/>
        <v>Break bulk</v>
      </c>
      <c r="AL348" s="164" t="str">
        <f t="shared" si="361"/>
        <v>MGO</v>
      </c>
      <c r="AM348" s="188">
        <f t="shared" si="362"/>
        <v>1</v>
      </c>
    </row>
    <row r="349" spans="33:39" x14ac:dyDescent="0.25">
      <c r="AG349" s="164" t="s">
        <v>103</v>
      </c>
      <c r="AH349" s="164" t="s">
        <v>431</v>
      </c>
      <c r="AI349" s="164">
        <v>2023</v>
      </c>
      <c r="AJ349" s="164" t="str">
        <f t="shared" si="359"/>
        <v>Sea</v>
      </c>
      <c r="AK349" s="164" t="str">
        <f t="shared" si="360"/>
        <v>Break bulk</v>
      </c>
      <c r="AL349" s="164" t="str">
        <f t="shared" si="361"/>
        <v>Hydrogen</v>
      </c>
      <c r="AM349" s="188">
        <f t="shared" si="362"/>
        <v>0.7327755807271864</v>
      </c>
    </row>
    <row r="350" spans="33:39" x14ac:dyDescent="0.25">
      <c r="AG350" s="164" t="s">
        <v>103</v>
      </c>
      <c r="AH350" s="164" t="s">
        <v>431</v>
      </c>
      <c r="AI350" s="164">
        <v>2023</v>
      </c>
      <c r="AJ350" s="164" t="str">
        <f>A61</f>
        <v>Sea</v>
      </c>
      <c r="AK350" s="164" t="str">
        <f t="shared" si="360"/>
        <v>Break bulk</v>
      </c>
      <c r="AL350" s="164" t="str">
        <f t="shared" si="361"/>
        <v>Ammonia</v>
      </c>
      <c r="AM350" s="188">
        <f>J61</f>
        <v>0.67321056169172044</v>
      </c>
    </row>
    <row r="351" spans="33:39" x14ac:dyDescent="0.25">
      <c r="AG351" s="164" t="s">
        <v>103</v>
      </c>
      <c r="AH351" s="164" t="s">
        <v>431</v>
      </c>
      <c r="AI351" s="164">
        <v>2023</v>
      </c>
      <c r="AJ351" s="164" t="str">
        <f t="shared" ref="AJ351:AJ356" si="363">A62</f>
        <v>Sea</v>
      </c>
      <c r="AK351" s="164" t="str">
        <f t="shared" ref="AK351:AK356" si="364">B62</f>
        <v>Break bulk</v>
      </c>
      <c r="AL351" s="164" t="str">
        <f t="shared" ref="AL351:AL356" si="365">C62</f>
        <v>Methanol</v>
      </c>
      <c r="AM351" s="188">
        <f t="shared" ref="AM351:AM356" si="366">J62</f>
        <v>0.80002769864417811</v>
      </c>
    </row>
    <row r="352" spans="33:39" x14ac:dyDescent="0.25">
      <c r="AG352" s="164" t="s">
        <v>433</v>
      </c>
      <c r="AH352" s="164" t="s">
        <v>431</v>
      </c>
      <c r="AI352" s="164">
        <v>2023</v>
      </c>
      <c r="AJ352" s="164" t="str">
        <f t="shared" si="363"/>
        <v>Sea</v>
      </c>
      <c r="AK352" s="164" t="str">
        <f t="shared" si="364"/>
        <v>Neo bulk</v>
      </c>
      <c r="AL352" s="164" t="str">
        <f t="shared" si="365"/>
        <v>HFO</v>
      </c>
      <c r="AM352" s="188">
        <f t="shared" si="366"/>
        <v>1</v>
      </c>
    </row>
    <row r="353" spans="33:39" x14ac:dyDescent="0.25">
      <c r="AG353" s="164" t="s">
        <v>433</v>
      </c>
      <c r="AH353" s="164" t="s">
        <v>431</v>
      </c>
      <c r="AI353" s="164">
        <v>2023</v>
      </c>
      <c r="AJ353" s="164" t="str">
        <f t="shared" si="363"/>
        <v>Sea</v>
      </c>
      <c r="AK353" s="164" t="str">
        <f t="shared" si="364"/>
        <v>Neo bulk</v>
      </c>
      <c r="AL353" s="164" t="str">
        <f t="shared" si="365"/>
        <v>MGO</v>
      </c>
      <c r="AM353" s="188">
        <f t="shared" si="366"/>
        <v>1</v>
      </c>
    </row>
    <row r="354" spans="33:39" x14ac:dyDescent="0.25">
      <c r="AG354" s="164" t="s">
        <v>103</v>
      </c>
      <c r="AH354" s="164" t="s">
        <v>431</v>
      </c>
      <c r="AI354" s="164">
        <v>2023</v>
      </c>
      <c r="AJ354" s="164" t="str">
        <f t="shared" si="363"/>
        <v>Sea</v>
      </c>
      <c r="AK354" s="164" t="str">
        <f t="shared" si="364"/>
        <v>Neo bulk</v>
      </c>
      <c r="AL354" s="164" t="str">
        <f t="shared" si="365"/>
        <v>Hydrogen</v>
      </c>
      <c r="AM354" s="188">
        <f t="shared" si="366"/>
        <v>0.73274457452236408</v>
      </c>
    </row>
    <row r="355" spans="33:39" x14ac:dyDescent="0.25">
      <c r="AG355" s="164" t="s">
        <v>103</v>
      </c>
      <c r="AH355" s="164" t="s">
        <v>431</v>
      </c>
      <c r="AI355" s="164">
        <v>2023</v>
      </c>
      <c r="AJ355" s="164" t="str">
        <f t="shared" si="363"/>
        <v>Sea</v>
      </c>
      <c r="AK355" s="164" t="str">
        <f t="shared" si="364"/>
        <v>Neo bulk</v>
      </c>
      <c r="AL355" s="164" t="str">
        <f t="shared" si="365"/>
        <v>Ammonia</v>
      </c>
      <c r="AM355" s="188">
        <f t="shared" si="366"/>
        <v>0.6731685504254854</v>
      </c>
    </row>
    <row r="356" spans="33:39" x14ac:dyDescent="0.25">
      <c r="AG356" s="164" t="s">
        <v>103</v>
      </c>
      <c r="AH356" s="164" t="s">
        <v>431</v>
      </c>
      <c r="AI356" s="164">
        <v>2023</v>
      </c>
      <c r="AJ356" s="164" t="str">
        <f t="shared" si="363"/>
        <v>Sea</v>
      </c>
      <c r="AK356" s="164" t="str">
        <f t="shared" si="364"/>
        <v>Neo bulk</v>
      </c>
      <c r="AL356" s="164" t="str">
        <f t="shared" si="365"/>
        <v>Methanol</v>
      </c>
      <c r="AM356" s="188">
        <f t="shared" si="366"/>
        <v>0.80001411975406778</v>
      </c>
    </row>
    <row r="357" spans="33:39" x14ac:dyDescent="0.25">
      <c r="AG357" s="164" t="s">
        <v>433</v>
      </c>
      <c r="AH357" s="164" t="s">
        <v>432</v>
      </c>
      <c r="AI357" s="164">
        <v>2023</v>
      </c>
      <c r="AJ357" s="164" t="str">
        <f>A48</f>
        <v>Sea</v>
      </c>
      <c r="AK357" s="164" t="str">
        <f t="shared" ref="AK357:AL357" si="367">B48</f>
        <v>Dry bulk</v>
      </c>
      <c r="AL357" s="164" t="str">
        <f t="shared" si="367"/>
        <v>HFO</v>
      </c>
      <c r="AM357" s="188">
        <f>K48</f>
        <v>1</v>
      </c>
    </row>
    <row r="358" spans="33:39" x14ac:dyDescent="0.25">
      <c r="AG358" s="164" t="s">
        <v>433</v>
      </c>
      <c r="AH358" s="164" t="s">
        <v>432</v>
      </c>
      <c r="AI358" s="164">
        <v>2023</v>
      </c>
      <c r="AJ358" s="164" t="str">
        <f t="shared" ref="AJ358:AJ376" si="368">A49</f>
        <v>Sea</v>
      </c>
      <c r="AK358" s="164" t="str">
        <f t="shared" ref="AK358:AK376" si="369">B49</f>
        <v>Dry bulk</v>
      </c>
      <c r="AL358" s="164" t="str">
        <f t="shared" ref="AL358:AL376" si="370">C49</f>
        <v>MGO</v>
      </c>
      <c r="AM358" s="188">
        <f t="shared" ref="AM358:AM376" si="371">K49</f>
        <v>1</v>
      </c>
    </row>
    <row r="359" spans="33:39" x14ac:dyDescent="0.25">
      <c r="AG359" s="164" t="s">
        <v>103</v>
      </c>
      <c r="AH359" s="164" t="s">
        <v>432</v>
      </c>
      <c r="AI359" s="164">
        <v>2023</v>
      </c>
      <c r="AJ359" s="164" t="str">
        <f t="shared" si="368"/>
        <v>Sea</v>
      </c>
      <c r="AK359" s="164" t="str">
        <f t="shared" si="369"/>
        <v>Dry bulk</v>
      </c>
      <c r="AL359" s="164" t="str">
        <f t="shared" si="370"/>
        <v>Hydrogen</v>
      </c>
      <c r="AM359" s="188">
        <f t="shared" si="371"/>
        <v>1.1645940158380736</v>
      </c>
    </row>
    <row r="360" spans="33:39" x14ac:dyDescent="0.25">
      <c r="AG360" s="164" t="s">
        <v>103</v>
      </c>
      <c r="AH360" s="164" t="s">
        <v>432</v>
      </c>
      <c r="AI360" s="164">
        <v>2023</v>
      </c>
      <c r="AJ360" s="164" t="str">
        <f t="shared" si="368"/>
        <v>Sea</v>
      </c>
      <c r="AK360" s="164" t="str">
        <f t="shared" si="369"/>
        <v>Dry bulk</v>
      </c>
      <c r="AL360" s="164" t="str">
        <f t="shared" si="370"/>
        <v>Ammonia</v>
      </c>
      <c r="AM360" s="188">
        <f t="shared" si="371"/>
        <v>1.2012693101133951</v>
      </c>
    </row>
    <row r="361" spans="33:39" x14ac:dyDescent="0.25">
      <c r="AG361" s="164" t="s">
        <v>103</v>
      </c>
      <c r="AH361" s="164" t="s">
        <v>432</v>
      </c>
      <c r="AI361" s="164">
        <v>2023</v>
      </c>
      <c r="AJ361" s="164" t="str">
        <f t="shared" si="368"/>
        <v>Sea</v>
      </c>
      <c r="AK361" s="164" t="str">
        <f t="shared" si="369"/>
        <v>Dry bulk</v>
      </c>
      <c r="AL361" s="164" t="str">
        <f t="shared" si="370"/>
        <v>Methanol</v>
      </c>
      <c r="AM361" s="188">
        <f t="shared" si="371"/>
        <v>1.1231643705589269</v>
      </c>
    </row>
    <row r="362" spans="33:39" x14ac:dyDescent="0.25">
      <c r="AG362" s="164" t="s">
        <v>433</v>
      </c>
      <c r="AH362" s="164" t="s">
        <v>432</v>
      </c>
      <c r="AI362" s="164">
        <v>2023</v>
      </c>
      <c r="AJ362" s="164" t="str">
        <f t="shared" si="368"/>
        <v>Sea</v>
      </c>
      <c r="AK362" s="164" t="str">
        <f t="shared" si="369"/>
        <v>Container</v>
      </c>
      <c r="AL362" s="164" t="str">
        <f t="shared" si="370"/>
        <v>HFO</v>
      </c>
      <c r="AM362" s="188">
        <f t="shared" si="371"/>
        <v>1</v>
      </c>
    </row>
    <row r="363" spans="33:39" x14ac:dyDescent="0.25">
      <c r="AG363" s="164" t="s">
        <v>433</v>
      </c>
      <c r="AH363" s="164" t="s">
        <v>432</v>
      </c>
      <c r="AI363" s="164">
        <v>2023</v>
      </c>
      <c r="AJ363" s="164" t="str">
        <f t="shared" si="368"/>
        <v>Sea</v>
      </c>
      <c r="AK363" s="164" t="str">
        <f t="shared" si="369"/>
        <v>Container</v>
      </c>
      <c r="AL363" s="164" t="str">
        <f t="shared" si="370"/>
        <v>MGO</v>
      </c>
      <c r="AM363" s="188">
        <f t="shared" si="371"/>
        <v>1</v>
      </c>
    </row>
    <row r="364" spans="33:39" x14ac:dyDescent="0.25">
      <c r="AG364" s="164" t="s">
        <v>103</v>
      </c>
      <c r="AH364" s="164" t="s">
        <v>432</v>
      </c>
      <c r="AI364" s="164">
        <v>2023</v>
      </c>
      <c r="AJ364" s="164" t="str">
        <f t="shared" si="368"/>
        <v>Sea</v>
      </c>
      <c r="AK364" s="164" t="str">
        <f t="shared" si="369"/>
        <v>Container</v>
      </c>
      <c r="AL364" s="164" t="str">
        <f t="shared" si="370"/>
        <v>Hydrogen</v>
      </c>
      <c r="AM364" s="188">
        <f t="shared" si="371"/>
        <v>1.1610860150426197</v>
      </c>
    </row>
    <row r="365" spans="33:39" x14ac:dyDescent="0.25">
      <c r="AG365" s="164" t="s">
        <v>103</v>
      </c>
      <c r="AH365" s="164" t="s">
        <v>432</v>
      </c>
      <c r="AI365" s="164">
        <v>2023</v>
      </c>
      <c r="AJ365" s="164" t="str">
        <f t="shared" si="368"/>
        <v>Sea</v>
      </c>
      <c r="AK365" s="164" t="str">
        <f t="shared" si="369"/>
        <v>Container</v>
      </c>
      <c r="AL365" s="164" t="str">
        <f t="shared" si="370"/>
        <v>Ammonia</v>
      </c>
      <c r="AM365" s="188">
        <f t="shared" si="371"/>
        <v>1.1966566869537554</v>
      </c>
    </row>
    <row r="366" spans="33:39" x14ac:dyDescent="0.25">
      <c r="AG366" s="164" t="s">
        <v>103</v>
      </c>
      <c r="AH366" s="164" t="s">
        <v>432</v>
      </c>
      <c r="AI366" s="164">
        <v>2023</v>
      </c>
      <c r="AJ366" s="164" t="str">
        <f t="shared" si="368"/>
        <v>Sea</v>
      </c>
      <c r="AK366" s="164" t="str">
        <f t="shared" si="369"/>
        <v>Container</v>
      </c>
      <c r="AL366" s="164" t="str">
        <f t="shared" si="370"/>
        <v>Methanol</v>
      </c>
      <c r="AM366" s="188">
        <f t="shared" si="371"/>
        <v>1.1217355486765062</v>
      </c>
    </row>
    <row r="367" spans="33:39" x14ac:dyDescent="0.25">
      <c r="AG367" s="164" t="s">
        <v>433</v>
      </c>
      <c r="AH367" s="164" t="s">
        <v>432</v>
      </c>
      <c r="AI367" s="164">
        <v>2023</v>
      </c>
      <c r="AJ367" s="164" t="str">
        <f t="shared" si="368"/>
        <v>Sea</v>
      </c>
      <c r="AK367" s="164" t="str">
        <f t="shared" si="369"/>
        <v>Break bulk</v>
      </c>
      <c r="AL367" s="164" t="str">
        <f t="shared" si="370"/>
        <v>HFO</v>
      </c>
      <c r="AM367" s="188">
        <f t="shared" si="371"/>
        <v>1</v>
      </c>
    </row>
    <row r="368" spans="33:39" x14ac:dyDescent="0.25">
      <c r="AG368" s="164" t="s">
        <v>433</v>
      </c>
      <c r="AH368" s="164" t="s">
        <v>432</v>
      </c>
      <c r="AI368" s="164">
        <v>2023</v>
      </c>
      <c r="AJ368" s="164" t="str">
        <f t="shared" si="368"/>
        <v>Sea</v>
      </c>
      <c r="AK368" s="164" t="str">
        <f t="shared" si="369"/>
        <v>Break bulk</v>
      </c>
      <c r="AL368" s="164" t="str">
        <f t="shared" si="370"/>
        <v>MGO</v>
      </c>
      <c r="AM368" s="188">
        <f t="shared" si="371"/>
        <v>1</v>
      </c>
    </row>
    <row r="369" spans="33:39" x14ac:dyDescent="0.25">
      <c r="AG369" s="164" t="s">
        <v>103</v>
      </c>
      <c r="AH369" s="164" t="s">
        <v>432</v>
      </c>
      <c r="AI369" s="164">
        <v>2023</v>
      </c>
      <c r="AJ369" s="164" t="str">
        <f t="shared" si="368"/>
        <v>Sea</v>
      </c>
      <c r="AK369" s="164" t="str">
        <f t="shared" si="369"/>
        <v>Break bulk</v>
      </c>
      <c r="AL369" s="164" t="str">
        <f t="shared" si="370"/>
        <v>Hydrogen</v>
      </c>
      <c r="AM369" s="188">
        <f t="shared" si="371"/>
        <v>1.1646092819733718</v>
      </c>
    </row>
    <row r="370" spans="33:39" x14ac:dyDescent="0.25">
      <c r="AG370" s="164" t="s">
        <v>103</v>
      </c>
      <c r="AH370" s="164" t="s">
        <v>432</v>
      </c>
      <c r="AI370" s="164">
        <v>2023</v>
      </c>
      <c r="AJ370" s="164" t="str">
        <f t="shared" si="368"/>
        <v>Sea</v>
      </c>
      <c r="AK370" s="164" t="str">
        <f t="shared" si="369"/>
        <v>Break bulk</v>
      </c>
      <c r="AL370" s="164" t="str">
        <f t="shared" si="370"/>
        <v>Ammonia</v>
      </c>
      <c r="AM370" s="188">
        <f t="shared" si="371"/>
        <v>1.2012887391809</v>
      </c>
    </row>
    <row r="371" spans="33:39" x14ac:dyDescent="0.25">
      <c r="AG371" s="164" t="s">
        <v>103</v>
      </c>
      <c r="AH371" s="164" t="s">
        <v>432</v>
      </c>
      <c r="AI371" s="164">
        <v>2023</v>
      </c>
      <c r="AJ371" s="164" t="str">
        <f t="shared" si="368"/>
        <v>Sea</v>
      </c>
      <c r="AK371" s="164" t="str">
        <f t="shared" si="369"/>
        <v>Break bulk</v>
      </c>
      <c r="AL371" s="164" t="str">
        <f t="shared" si="370"/>
        <v>Methanol</v>
      </c>
      <c r="AM371" s="188">
        <f t="shared" si="371"/>
        <v>1.1231699051695103</v>
      </c>
    </row>
    <row r="372" spans="33:39" x14ac:dyDescent="0.25">
      <c r="AG372" s="164" t="s">
        <v>433</v>
      </c>
      <c r="AH372" s="164" t="s">
        <v>432</v>
      </c>
      <c r="AI372" s="164">
        <v>2023</v>
      </c>
      <c r="AJ372" s="164" t="str">
        <f t="shared" si="368"/>
        <v>Sea</v>
      </c>
      <c r="AK372" s="164" t="str">
        <f t="shared" si="369"/>
        <v>Neo bulk</v>
      </c>
      <c r="AL372" s="164" t="str">
        <f t="shared" si="370"/>
        <v>HFO</v>
      </c>
      <c r="AM372" s="188">
        <f t="shared" si="371"/>
        <v>1</v>
      </c>
    </row>
    <row r="373" spans="33:39" x14ac:dyDescent="0.25">
      <c r="AG373" s="164" t="s">
        <v>433</v>
      </c>
      <c r="AH373" s="164" t="s">
        <v>432</v>
      </c>
      <c r="AI373" s="164">
        <v>2023</v>
      </c>
      <c r="AJ373" s="164" t="str">
        <f t="shared" si="368"/>
        <v>Sea</v>
      </c>
      <c r="AK373" s="164" t="str">
        <f t="shared" si="369"/>
        <v>Neo bulk</v>
      </c>
      <c r="AL373" s="164" t="str">
        <f t="shared" si="370"/>
        <v>MGO</v>
      </c>
      <c r="AM373" s="188">
        <f t="shared" si="371"/>
        <v>1</v>
      </c>
    </row>
    <row r="374" spans="33:39" x14ac:dyDescent="0.25">
      <c r="AG374" s="164" t="s">
        <v>103</v>
      </c>
      <c r="AH374" s="164" t="s">
        <v>432</v>
      </c>
      <c r="AI374" s="164">
        <v>2023</v>
      </c>
      <c r="AJ374" s="164" t="str">
        <f t="shared" si="368"/>
        <v>Sea</v>
      </c>
      <c r="AK374" s="164" t="str">
        <f t="shared" si="369"/>
        <v>Neo bulk</v>
      </c>
      <c r="AL374" s="164" t="str">
        <f t="shared" si="370"/>
        <v>Hydrogen</v>
      </c>
      <c r="AM374" s="188">
        <f t="shared" si="371"/>
        <v>1.1646283816841179</v>
      </c>
    </row>
    <row r="375" spans="33:39" x14ac:dyDescent="0.25">
      <c r="AG375" s="164" t="s">
        <v>103</v>
      </c>
      <c r="AH375" s="164" t="s">
        <v>432</v>
      </c>
      <c r="AI375" s="164">
        <v>2023</v>
      </c>
      <c r="AJ375" s="164" t="str">
        <f t="shared" si="368"/>
        <v>Sea</v>
      </c>
      <c r="AK375" s="164" t="str">
        <f t="shared" si="369"/>
        <v>Neo bulk</v>
      </c>
      <c r="AL375" s="164" t="str">
        <f t="shared" si="370"/>
        <v>Ammonia</v>
      </c>
      <c r="AM375" s="188">
        <f t="shared" si="371"/>
        <v>1.2013146163783261</v>
      </c>
    </row>
    <row r="376" spans="33:39" x14ac:dyDescent="0.25">
      <c r="AG376" s="164" t="s">
        <v>103</v>
      </c>
      <c r="AH376" s="164" t="s">
        <v>432</v>
      </c>
      <c r="AI376" s="164">
        <v>2023</v>
      </c>
      <c r="AJ376" s="164" t="str">
        <f t="shared" si="368"/>
        <v>Sea</v>
      </c>
      <c r="AK376" s="164" t="str">
        <f t="shared" si="369"/>
        <v>Neo bulk</v>
      </c>
      <c r="AL376" s="164" t="str">
        <f t="shared" si="370"/>
        <v>Methanol</v>
      </c>
      <c r="AM376" s="188">
        <f t="shared" si="371"/>
        <v>1.1231782688808634</v>
      </c>
    </row>
    <row r="377" spans="33:39" x14ac:dyDescent="0.25">
      <c r="AG377" s="164" t="s">
        <v>433</v>
      </c>
      <c r="AH377" s="164" t="s">
        <v>430</v>
      </c>
      <c r="AI377" s="164">
        <v>2034</v>
      </c>
      <c r="AJ377" s="164" t="str">
        <f>A48</f>
        <v>Sea</v>
      </c>
      <c r="AK377" s="164" t="str">
        <f t="shared" ref="AK377:AL377" si="372">B48</f>
        <v>Dry bulk</v>
      </c>
      <c r="AL377" s="164" t="str">
        <f t="shared" si="372"/>
        <v>HFO</v>
      </c>
      <c r="AM377" s="188">
        <f>S48</f>
        <v>1</v>
      </c>
    </row>
    <row r="378" spans="33:39" x14ac:dyDescent="0.25">
      <c r="AG378" s="164" t="s">
        <v>433</v>
      </c>
      <c r="AH378" s="164" t="s">
        <v>430</v>
      </c>
      <c r="AI378" s="164">
        <v>2034</v>
      </c>
      <c r="AJ378" s="164" t="str">
        <f t="shared" ref="AJ378:AJ396" si="373">A49</f>
        <v>Sea</v>
      </c>
      <c r="AK378" s="164" t="str">
        <f t="shared" ref="AK378:AK396" si="374">B49</f>
        <v>Dry bulk</v>
      </c>
      <c r="AL378" s="164" t="str">
        <f t="shared" ref="AL378:AL396" si="375">C49</f>
        <v>MGO</v>
      </c>
      <c r="AM378" s="188">
        <f t="shared" ref="AM378:AM396" si="376">S49</f>
        <v>1</v>
      </c>
    </row>
    <row r="379" spans="33:39" x14ac:dyDescent="0.25">
      <c r="AG379" s="164" t="s">
        <v>103</v>
      </c>
      <c r="AH379" s="164" t="s">
        <v>430</v>
      </c>
      <c r="AI379" s="164">
        <v>2034</v>
      </c>
      <c r="AJ379" s="164" t="str">
        <f t="shared" si="373"/>
        <v>Sea</v>
      </c>
      <c r="AK379" s="164" t="str">
        <f t="shared" si="374"/>
        <v>Dry bulk</v>
      </c>
      <c r="AL379" s="164" t="str">
        <f t="shared" si="375"/>
        <v>Hydrogen</v>
      </c>
      <c r="AM379" s="188">
        <f t="shared" si="376"/>
        <v>1</v>
      </c>
    </row>
    <row r="380" spans="33:39" x14ac:dyDescent="0.25">
      <c r="AG380" s="164" t="s">
        <v>103</v>
      </c>
      <c r="AH380" s="164" t="s">
        <v>430</v>
      </c>
      <c r="AI380" s="164">
        <v>2034</v>
      </c>
      <c r="AJ380" s="164" t="str">
        <f t="shared" si="373"/>
        <v>Sea</v>
      </c>
      <c r="AK380" s="164" t="str">
        <f t="shared" si="374"/>
        <v>Dry bulk</v>
      </c>
      <c r="AL380" s="164" t="str">
        <f t="shared" si="375"/>
        <v>Ammonia</v>
      </c>
      <c r="AM380" s="188">
        <f t="shared" si="376"/>
        <v>1</v>
      </c>
    </row>
    <row r="381" spans="33:39" x14ac:dyDescent="0.25">
      <c r="AG381" s="164" t="s">
        <v>103</v>
      </c>
      <c r="AH381" s="164" t="s">
        <v>430</v>
      </c>
      <c r="AI381" s="164">
        <v>2034</v>
      </c>
      <c r="AJ381" s="164" t="str">
        <f t="shared" si="373"/>
        <v>Sea</v>
      </c>
      <c r="AK381" s="164" t="str">
        <f t="shared" si="374"/>
        <v>Dry bulk</v>
      </c>
      <c r="AL381" s="164" t="str">
        <f t="shared" si="375"/>
        <v>Methanol</v>
      </c>
      <c r="AM381" s="188">
        <f t="shared" si="376"/>
        <v>1</v>
      </c>
    </row>
    <row r="382" spans="33:39" x14ac:dyDescent="0.25">
      <c r="AG382" s="164" t="s">
        <v>433</v>
      </c>
      <c r="AH382" s="164" t="s">
        <v>430</v>
      </c>
      <c r="AI382" s="164">
        <v>2034</v>
      </c>
      <c r="AJ382" s="164" t="str">
        <f t="shared" si="373"/>
        <v>Sea</v>
      </c>
      <c r="AK382" s="164" t="str">
        <f t="shared" si="374"/>
        <v>Container</v>
      </c>
      <c r="AL382" s="164" t="str">
        <f t="shared" si="375"/>
        <v>HFO</v>
      </c>
      <c r="AM382" s="188">
        <f t="shared" si="376"/>
        <v>1</v>
      </c>
    </row>
    <row r="383" spans="33:39" x14ac:dyDescent="0.25">
      <c r="AG383" s="164" t="s">
        <v>433</v>
      </c>
      <c r="AH383" s="164" t="s">
        <v>430</v>
      </c>
      <c r="AI383" s="164">
        <v>2034</v>
      </c>
      <c r="AJ383" s="164" t="str">
        <f t="shared" si="373"/>
        <v>Sea</v>
      </c>
      <c r="AK383" s="164" t="str">
        <f t="shared" si="374"/>
        <v>Container</v>
      </c>
      <c r="AL383" s="164" t="str">
        <f t="shared" si="375"/>
        <v>MGO</v>
      </c>
      <c r="AM383" s="188">
        <f t="shared" si="376"/>
        <v>1</v>
      </c>
    </row>
    <row r="384" spans="33:39" x14ac:dyDescent="0.25">
      <c r="AG384" s="164" t="s">
        <v>103</v>
      </c>
      <c r="AH384" s="164" t="s">
        <v>430</v>
      </c>
      <c r="AI384" s="164">
        <v>2034</v>
      </c>
      <c r="AJ384" s="164" t="str">
        <f t="shared" si="373"/>
        <v>Sea</v>
      </c>
      <c r="AK384" s="164" t="str">
        <f t="shared" si="374"/>
        <v>Container</v>
      </c>
      <c r="AL384" s="164" t="str">
        <f t="shared" si="375"/>
        <v>Hydrogen</v>
      </c>
      <c r="AM384" s="188">
        <f t="shared" si="376"/>
        <v>1</v>
      </c>
    </row>
    <row r="385" spans="33:39" x14ac:dyDescent="0.25">
      <c r="AG385" s="164" t="s">
        <v>103</v>
      </c>
      <c r="AH385" s="164" t="s">
        <v>430</v>
      </c>
      <c r="AI385" s="164">
        <v>2034</v>
      </c>
      <c r="AJ385" s="164" t="str">
        <f t="shared" si="373"/>
        <v>Sea</v>
      </c>
      <c r="AK385" s="164" t="str">
        <f t="shared" si="374"/>
        <v>Container</v>
      </c>
      <c r="AL385" s="164" t="str">
        <f t="shared" si="375"/>
        <v>Ammonia</v>
      </c>
      <c r="AM385" s="188">
        <f t="shared" si="376"/>
        <v>1</v>
      </c>
    </row>
    <row r="386" spans="33:39" x14ac:dyDescent="0.25">
      <c r="AG386" s="164" t="s">
        <v>103</v>
      </c>
      <c r="AH386" s="164" t="s">
        <v>430</v>
      </c>
      <c r="AI386" s="164">
        <v>2034</v>
      </c>
      <c r="AJ386" s="164" t="str">
        <f t="shared" si="373"/>
        <v>Sea</v>
      </c>
      <c r="AK386" s="164" t="str">
        <f t="shared" si="374"/>
        <v>Container</v>
      </c>
      <c r="AL386" s="164" t="str">
        <f t="shared" si="375"/>
        <v>Methanol</v>
      </c>
      <c r="AM386" s="188">
        <f t="shared" si="376"/>
        <v>1</v>
      </c>
    </row>
    <row r="387" spans="33:39" x14ac:dyDescent="0.25">
      <c r="AG387" s="164" t="s">
        <v>433</v>
      </c>
      <c r="AH387" s="164" t="s">
        <v>430</v>
      </c>
      <c r="AI387" s="164">
        <v>2034</v>
      </c>
      <c r="AJ387" s="164" t="str">
        <f t="shared" si="373"/>
        <v>Sea</v>
      </c>
      <c r="AK387" s="164" t="str">
        <f t="shared" si="374"/>
        <v>Break bulk</v>
      </c>
      <c r="AL387" s="164" t="str">
        <f t="shared" si="375"/>
        <v>HFO</v>
      </c>
      <c r="AM387" s="188">
        <f t="shared" si="376"/>
        <v>1</v>
      </c>
    </row>
    <row r="388" spans="33:39" x14ac:dyDescent="0.25">
      <c r="AG388" s="164" t="s">
        <v>433</v>
      </c>
      <c r="AH388" s="164" t="s">
        <v>430</v>
      </c>
      <c r="AI388" s="164">
        <v>2034</v>
      </c>
      <c r="AJ388" s="164" t="str">
        <f t="shared" si="373"/>
        <v>Sea</v>
      </c>
      <c r="AK388" s="164" t="str">
        <f t="shared" si="374"/>
        <v>Break bulk</v>
      </c>
      <c r="AL388" s="164" t="str">
        <f t="shared" si="375"/>
        <v>MGO</v>
      </c>
      <c r="AM388" s="188">
        <f t="shared" si="376"/>
        <v>1</v>
      </c>
    </row>
    <row r="389" spans="33:39" x14ac:dyDescent="0.25">
      <c r="AG389" s="164" t="s">
        <v>103</v>
      </c>
      <c r="AH389" s="164" t="s">
        <v>430</v>
      </c>
      <c r="AI389" s="164">
        <v>2034</v>
      </c>
      <c r="AJ389" s="164" t="str">
        <f t="shared" si="373"/>
        <v>Sea</v>
      </c>
      <c r="AK389" s="164" t="str">
        <f t="shared" si="374"/>
        <v>Break bulk</v>
      </c>
      <c r="AL389" s="164" t="str">
        <f t="shared" si="375"/>
        <v>Hydrogen</v>
      </c>
      <c r="AM389" s="188">
        <f t="shared" si="376"/>
        <v>1</v>
      </c>
    </row>
    <row r="390" spans="33:39" x14ac:dyDescent="0.25">
      <c r="AG390" s="164" t="s">
        <v>103</v>
      </c>
      <c r="AH390" s="164" t="s">
        <v>430</v>
      </c>
      <c r="AI390" s="164">
        <v>2034</v>
      </c>
      <c r="AJ390" s="164" t="str">
        <f t="shared" si="373"/>
        <v>Sea</v>
      </c>
      <c r="AK390" s="164" t="str">
        <f t="shared" si="374"/>
        <v>Break bulk</v>
      </c>
      <c r="AL390" s="164" t="str">
        <f t="shared" si="375"/>
        <v>Ammonia</v>
      </c>
      <c r="AM390" s="188">
        <f t="shared" si="376"/>
        <v>1</v>
      </c>
    </row>
    <row r="391" spans="33:39" x14ac:dyDescent="0.25">
      <c r="AG391" s="164" t="s">
        <v>103</v>
      </c>
      <c r="AH391" s="164" t="s">
        <v>430</v>
      </c>
      <c r="AI391" s="164">
        <v>2034</v>
      </c>
      <c r="AJ391" s="164" t="str">
        <f t="shared" si="373"/>
        <v>Sea</v>
      </c>
      <c r="AK391" s="164" t="str">
        <f t="shared" si="374"/>
        <v>Break bulk</v>
      </c>
      <c r="AL391" s="164" t="str">
        <f t="shared" si="375"/>
        <v>Methanol</v>
      </c>
      <c r="AM391" s="188">
        <f t="shared" si="376"/>
        <v>1</v>
      </c>
    </row>
    <row r="392" spans="33:39" x14ac:dyDescent="0.25">
      <c r="AG392" s="164" t="s">
        <v>433</v>
      </c>
      <c r="AH392" s="164" t="s">
        <v>430</v>
      </c>
      <c r="AI392" s="164">
        <v>2034</v>
      </c>
      <c r="AJ392" s="164" t="str">
        <f t="shared" si="373"/>
        <v>Sea</v>
      </c>
      <c r="AK392" s="164" t="str">
        <f t="shared" si="374"/>
        <v>Neo bulk</v>
      </c>
      <c r="AL392" s="164" t="str">
        <f t="shared" si="375"/>
        <v>HFO</v>
      </c>
      <c r="AM392" s="188">
        <f t="shared" si="376"/>
        <v>1</v>
      </c>
    </row>
    <row r="393" spans="33:39" x14ac:dyDescent="0.25">
      <c r="AG393" s="164" t="s">
        <v>433</v>
      </c>
      <c r="AH393" s="164" t="s">
        <v>430</v>
      </c>
      <c r="AI393" s="164">
        <v>2034</v>
      </c>
      <c r="AJ393" s="164" t="str">
        <f t="shared" si="373"/>
        <v>Sea</v>
      </c>
      <c r="AK393" s="164" t="str">
        <f t="shared" si="374"/>
        <v>Neo bulk</v>
      </c>
      <c r="AL393" s="164" t="str">
        <f t="shared" si="375"/>
        <v>MGO</v>
      </c>
      <c r="AM393" s="188">
        <f t="shared" si="376"/>
        <v>1</v>
      </c>
    </row>
    <row r="394" spans="33:39" x14ac:dyDescent="0.25">
      <c r="AG394" s="164" t="s">
        <v>103</v>
      </c>
      <c r="AH394" s="164" t="s">
        <v>430</v>
      </c>
      <c r="AI394" s="164">
        <v>2034</v>
      </c>
      <c r="AJ394" s="164" t="str">
        <f t="shared" si="373"/>
        <v>Sea</v>
      </c>
      <c r="AK394" s="164" t="str">
        <f t="shared" si="374"/>
        <v>Neo bulk</v>
      </c>
      <c r="AL394" s="164" t="str">
        <f t="shared" si="375"/>
        <v>Hydrogen</v>
      </c>
      <c r="AM394" s="188">
        <f t="shared" si="376"/>
        <v>1</v>
      </c>
    </row>
    <row r="395" spans="33:39" x14ac:dyDescent="0.25">
      <c r="AG395" s="164" t="s">
        <v>103</v>
      </c>
      <c r="AH395" s="164" t="s">
        <v>430</v>
      </c>
      <c r="AI395" s="164">
        <v>2034</v>
      </c>
      <c r="AJ395" s="164" t="str">
        <f t="shared" si="373"/>
        <v>Sea</v>
      </c>
      <c r="AK395" s="164" t="str">
        <f t="shared" si="374"/>
        <v>Neo bulk</v>
      </c>
      <c r="AL395" s="164" t="str">
        <f t="shared" si="375"/>
        <v>Ammonia</v>
      </c>
      <c r="AM395" s="188">
        <f t="shared" si="376"/>
        <v>1</v>
      </c>
    </row>
    <row r="396" spans="33:39" x14ac:dyDescent="0.25">
      <c r="AG396" s="164" t="s">
        <v>103</v>
      </c>
      <c r="AH396" s="164" t="s">
        <v>430</v>
      </c>
      <c r="AI396" s="164">
        <v>2034</v>
      </c>
      <c r="AJ396" s="164" t="str">
        <f t="shared" si="373"/>
        <v>Sea</v>
      </c>
      <c r="AK396" s="164" t="str">
        <f t="shared" si="374"/>
        <v>Neo bulk</v>
      </c>
      <c r="AL396" s="164" t="str">
        <f t="shared" si="375"/>
        <v>Methanol</v>
      </c>
      <c r="AM396" s="188">
        <f t="shared" si="376"/>
        <v>1</v>
      </c>
    </row>
    <row r="397" spans="33:39" x14ac:dyDescent="0.25">
      <c r="AG397" s="164" t="s">
        <v>433</v>
      </c>
      <c r="AH397" s="164" t="s">
        <v>431</v>
      </c>
      <c r="AI397" s="164">
        <v>2034</v>
      </c>
      <c r="AJ397" s="164" t="str">
        <f>A48</f>
        <v>Sea</v>
      </c>
      <c r="AK397" s="164" t="str">
        <f t="shared" ref="AK397:AL397" si="377">B48</f>
        <v>Dry bulk</v>
      </c>
      <c r="AL397" s="164" t="str">
        <f t="shared" si="377"/>
        <v>HFO</v>
      </c>
      <c r="AM397" s="188">
        <f>T48</f>
        <v>1</v>
      </c>
    </row>
    <row r="398" spans="33:39" x14ac:dyDescent="0.25">
      <c r="AG398" s="164" t="s">
        <v>433</v>
      </c>
      <c r="AH398" s="164" t="s">
        <v>431</v>
      </c>
      <c r="AI398" s="164">
        <v>2034</v>
      </c>
      <c r="AJ398" s="164" t="str">
        <f t="shared" ref="AJ398:AJ416" si="378">A49</f>
        <v>Sea</v>
      </c>
      <c r="AK398" s="164" t="str">
        <f t="shared" ref="AK398:AK416" si="379">B49</f>
        <v>Dry bulk</v>
      </c>
      <c r="AL398" s="164" t="str">
        <f t="shared" ref="AL398:AL416" si="380">C49</f>
        <v>MGO</v>
      </c>
      <c r="AM398" s="188">
        <f t="shared" ref="AM398:AM416" si="381">T49</f>
        <v>1</v>
      </c>
    </row>
    <row r="399" spans="33:39" x14ac:dyDescent="0.25">
      <c r="AG399" s="164" t="s">
        <v>103</v>
      </c>
      <c r="AH399" s="164" t="s">
        <v>431</v>
      </c>
      <c r="AI399" s="164">
        <v>2034</v>
      </c>
      <c r="AJ399" s="164" t="str">
        <f t="shared" si="378"/>
        <v>Sea</v>
      </c>
      <c r="AK399" s="164" t="str">
        <f t="shared" si="379"/>
        <v>Dry bulk</v>
      </c>
      <c r="AL399" s="164" t="str">
        <f t="shared" si="380"/>
        <v>Hydrogen</v>
      </c>
      <c r="AM399" s="188">
        <f t="shared" si="381"/>
        <v>0.77769917868250649</v>
      </c>
    </row>
    <row r="400" spans="33:39" x14ac:dyDescent="0.25">
      <c r="AG400" s="164" t="s">
        <v>103</v>
      </c>
      <c r="AH400" s="164" t="s">
        <v>431</v>
      </c>
      <c r="AI400" s="164">
        <v>2034</v>
      </c>
      <c r="AJ400" s="164" t="str">
        <f t="shared" si="378"/>
        <v>Sea</v>
      </c>
      <c r="AK400" s="164" t="str">
        <f t="shared" si="379"/>
        <v>Dry bulk</v>
      </c>
      <c r="AL400" s="164" t="str">
        <f t="shared" si="380"/>
        <v>Ammonia</v>
      </c>
      <c r="AM400" s="188">
        <f t="shared" si="381"/>
        <v>0.70847223382539037</v>
      </c>
    </row>
    <row r="401" spans="33:39" x14ac:dyDescent="0.25">
      <c r="AG401" s="164" t="s">
        <v>103</v>
      </c>
      <c r="AH401" s="164" t="s">
        <v>431</v>
      </c>
      <c r="AI401" s="164">
        <v>2034</v>
      </c>
      <c r="AJ401" s="164" t="str">
        <f t="shared" si="378"/>
        <v>Sea</v>
      </c>
      <c r="AK401" s="164" t="str">
        <f t="shared" si="379"/>
        <v>Dry bulk</v>
      </c>
      <c r="AL401" s="164" t="str">
        <f t="shared" si="380"/>
        <v>Methanol</v>
      </c>
      <c r="AM401" s="188">
        <f t="shared" si="381"/>
        <v>0.80259008216087868</v>
      </c>
    </row>
    <row r="402" spans="33:39" x14ac:dyDescent="0.25">
      <c r="AG402" s="164" t="s">
        <v>433</v>
      </c>
      <c r="AH402" s="164" t="s">
        <v>431</v>
      </c>
      <c r="AI402" s="164">
        <v>2034</v>
      </c>
      <c r="AJ402" s="164" t="str">
        <f t="shared" si="378"/>
        <v>Sea</v>
      </c>
      <c r="AK402" s="164" t="str">
        <f t="shared" si="379"/>
        <v>Container</v>
      </c>
      <c r="AL402" s="164" t="str">
        <f t="shared" si="380"/>
        <v>HFO</v>
      </c>
      <c r="AM402" s="188">
        <f t="shared" si="381"/>
        <v>1</v>
      </c>
    </row>
    <row r="403" spans="33:39" x14ac:dyDescent="0.25">
      <c r="AG403" s="164" t="s">
        <v>433</v>
      </c>
      <c r="AH403" s="164" t="s">
        <v>431</v>
      </c>
      <c r="AI403" s="164">
        <v>2034</v>
      </c>
      <c r="AJ403" s="164" t="str">
        <f t="shared" si="378"/>
        <v>Sea</v>
      </c>
      <c r="AK403" s="164" t="str">
        <f t="shared" si="379"/>
        <v>Container</v>
      </c>
      <c r="AL403" s="164" t="str">
        <f t="shared" si="380"/>
        <v>MGO</v>
      </c>
      <c r="AM403" s="188">
        <f t="shared" si="381"/>
        <v>1</v>
      </c>
    </row>
    <row r="404" spans="33:39" x14ac:dyDescent="0.25">
      <c r="AG404" s="164" t="s">
        <v>103</v>
      </c>
      <c r="AH404" s="164" t="s">
        <v>431</v>
      </c>
      <c r="AI404" s="164">
        <v>2034</v>
      </c>
      <c r="AJ404" s="164" t="str">
        <f t="shared" si="378"/>
        <v>Sea</v>
      </c>
      <c r="AK404" s="164" t="str">
        <f t="shared" si="379"/>
        <v>Container</v>
      </c>
      <c r="AL404" s="164" t="str">
        <f t="shared" si="380"/>
        <v>Hydrogen</v>
      </c>
      <c r="AM404" s="188">
        <f t="shared" si="381"/>
        <v>0.78353376291197685</v>
      </c>
    </row>
    <row r="405" spans="33:39" x14ac:dyDescent="0.25">
      <c r="AG405" s="164" t="s">
        <v>103</v>
      </c>
      <c r="AH405" s="164" t="s">
        <v>431</v>
      </c>
      <c r="AI405" s="164">
        <v>2034</v>
      </c>
      <c r="AJ405" s="164" t="str">
        <f t="shared" si="378"/>
        <v>Sea</v>
      </c>
      <c r="AK405" s="164" t="str">
        <f t="shared" si="379"/>
        <v>Container</v>
      </c>
      <c r="AL405" s="164" t="str">
        <f t="shared" si="380"/>
        <v>Ammonia</v>
      </c>
      <c r="AM405" s="188">
        <f t="shared" si="381"/>
        <v>0.71594765397302051</v>
      </c>
    </row>
    <row r="406" spans="33:39" x14ac:dyDescent="0.25">
      <c r="AG406" s="164" t="s">
        <v>103</v>
      </c>
      <c r="AH406" s="164" t="s">
        <v>431</v>
      </c>
      <c r="AI406" s="164">
        <v>2034</v>
      </c>
      <c r="AJ406" s="164" t="str">
        <f t="shared" si="378"/>
        <v>Sea</v>
      </c>
      <c r="AK406" s="164" t="str">
        <f t="shared" si="379"/>
        <v>Container</v>
      </c>
      <c r="AL406" s="164" t="str">
        <f t="shared" si="380"/>
        <v>Methanol</v>
      </c>
      <c r="AM406" s="188">
        <f t="shared" si="381"/>
        <v>0.80505768601457861</v>
      </c>
    </row>
    <row r="407" spans="33:39" x14ac:dyDescent="0.25">
      <c r="AG407" s="164" t="s">
        <v>433</v>
      </c>
      <c r="AH407" s="164" t="s">
        <v>431</v>
      </c>
      <c r="AI407" s="164">
        <v>2034</v>
      </c>
      <c r="AJ407" s="164" t="str">
        <f t="shared" si="378"/>
        <v>Sea</v>
      </c>
      <c r="AK407" s="164" t="str">
        <f t="shared" si="379"/>
        <v>Break bulk</v>
      </c>
      <c r="AL407" s="164" t="str">
        <f t="shared" si="380"/>
        <v>HFO</v>
      </c>
      <c r="AM407" s="188">
        <f t="shared" si="381"/>
        <v>1</v>
      </c>
    </row>
    <row r="408" spans="33:39" x14ac:dyDescent="0.25">
      <c r="AG408" s="164" t="s">
        <v>433</v>
      </c>
      <c r="AH408" s="164" t="s">
        <v>431</v>
      </c>
      <c r="AI408" s="164">
        <v>2034</v>
      </c>
      <c r="AJ408" s="164" t="str">
        <f t="shared" si="378"/>
        <v>Sea</v>
      </c>
      <c r="AK408" s="164" t="str">
        <f t="shared" si="379"/>
        <v>Break bulk</v>
      </c>
      <c r="AL408" s="164" t="str">
        <f t="shared" si="380"/>
        <v>MGO</v>
      </c>
      <c r="AM408" s="188">
        <f t="shared" si="381"/>
        <v>1</v>
      </c>
    </row>
    <row r="409" spans="33:39" x14ac:dyDescent="0.25">
      <c r="AG409" s="164" t="s">
        <v>103</v>
      </c>
      <c r="AH409" s="164" t="s">
        <v>431</v>
      </c>
      <c r="AI409" s="164">
        <v>2034</v>
      </c>
      <c r="AJ409" s="164" t="str">
        <f t="shared" si="378"/>
        <v>Sea</v>
      </c>
      <c r="AK409" s="164" t="str">
        <f t="shared" si="379"/>
        <v>Break bulk</v>
      </c>
      <c r="AL409" s="164" t="str">
        <f t="shared" si="380"/>
        <v>Hydrogen</v>
      </c>
      <c r="AM409" s="188">
        <f t="shared" si="381"/>
        <v>0.77767374841826509</v>
      </c>
    </row>
    <row r="410" spans="33:39" x14ac:dyDescent="0.25">
      <c r="AG410" s="164" t="s">
        <v>103</v>
      </c>
      <c r="AH410" s="164" t="s">
        <v>431</v>
      </c>
      <c r="AI410" s="164">
        <v>2034</v>
      </c>
      <c r="AJ410" s="164" t="str">
        <f t="shared" si="378"/>
        <v>Sea</v>
      </c>
      <c r="AK410" s="164" t="str">
        <f t="shared" si="379"/>
        <v>Break bulk</v>
      </c>
      <c r="AL410" s="164" t="str">
        <f t="shared" si="380"/>
        <v>Ammonia</v>
      </c>
      <c r="AM410" s="188">
        <f t="shared" si="381"/>
        <v>0.70844071534577824</v>
      </c>
    </row>
    <row r="411" spans="33:39" x14ac:dyDescent="0.25">
      <c r="AG411" s="164" t="s">
        <v>103</v>
      </c>
      <c r="AH411" s="164" t="s">
        <v>431</v>
      </c>
      <c r="AI411" s="164">
        <v>2034</v>
      </c>
      <c r="AJ411" s="164" t="str">
        <f t="shared" si="378"/>
        <v>Sea</v>
      </c>
      <c r="AK411" s="164" t="str">
        <f t="shared" si="379"/>
        <v>Break bulk</v>
      </c>
      <c r="AL411" s="164" t="str">
        <f t="shared" si="380"/>
        <v>Methanol</v>
      </c>
      <c r="AM411" s="188">
        <f t="shared" si="381"/>
        <v>0.80258051504301553</v>
      </c>
    </row>
    <row r="412" spans="33:39" x14ac:dyDescent="0.25">
      <c r="AG412" s="164" t="s">
        <v>433</v>
      </c>
      <c r="AH412" s="164" t="s">
        <v>431</v>
      </c>
      <c r="AI412" s="164">
        <v>2034</v>
      </c>
      <c r="AJ412" s="164" t="str">
        <f t="shared" si="378"/>
        <v>Sea</v>
      </c>
      <c r="AK412" s="164" t="str">
        <f t="shared" si="379"/>
        <v>Neo bulk</v>
      </c>
      <c r="AL412" s="164" t="str">
        <f t="shared" si="380"/>
        <v>HFO</v>
      </c>
      <c r="AM412" s="188">
        <f t="shared" si="381"/>
        <v>1</v>
      </c>
    </row>
    <row r="413" spans="33:39" x14ac:dyDescent="0.25">
      <c r="AG413" s="164" t="s">
        <v>433</v>
      </c>
      <c r="AH413" s="164" t="s">
        <v>431</v>
      </c>
      <c r="AI413" s="164">
        <v>2034</v>
      </c>
      <c r="AJ413" s="164" t="str">
        <f t="shared" si="378"/>
        <v>Sea</v>
      </c>
      <c r="AK413" s="164" t="str">
        <f t="shared" si="379"/>
        <v>Neo bulk</v>
      </c>
      <c r="AL413" s="164" t="str">
        <f t="shared" si="380"/>
        <v>MGO</v>
      </c>
      <c r="AM413" s="188">
        <f t="shared" si="381"/>
        <v>1</v>
      </c>
    </row>
    <row r="414" spans="33:39" x14ac:dyDescent="0.25">
      <c r="AG414" s="164" t="s">
        <v>103</v>
      </c>
      <c r="AH414" s="164" t="s">
        <v>431</v>
      </c>
      <c r="AI414" s="164">
        <v>2034</v>
      </c>
      <c r="AJ414" s="164" t="str">
        <f t="shared" si="378"/>
        <v>Sea</v>
      </c>
      <c r="AK414" s="164" t="str">
        <f t="shared" si="379"/>
        <v>Neo bulk</v>
      </c>
      <c r="AL414" s="164" t="str">
        <f t="shared" si="380"/>
        <v>Hydrogen</v>
      </c>
      <c r="AM414" s="188">
        <f t="shared" si="381"/>
        <v>0.7776417223160188</v>
      </c>
    </row>
    <row r="415" spans="33:39" x14ac:dyDescent="0.25">
      <c r="AG415" s="164" t="s">
        <v>103</v>
      </c>
      <c r="AH415" s="164" t="s">
        <v>431</v>
      </c>
      <c r="AI415" s="164">
        <v>2034</v>
      </c>
      <c r="AJ415" s="164" t="str">
        <f t="shared" si="378"/>
        <v>Sea</v>
      </c>
      <c r="AK415" s="164" t="str">
        <f t="shared" si="379"/>
        <v>Neo bulk</v>
      </c>
      <c r="AL415" s="164" t="str">
        <f t="shared" si="380"/>
        <v>Ammonia</v>
      </c>
      <c r="AM415" s="188">
        <f t="shared" si="381"/>
        <v>0.70839859744298894</v>
      </c>
    </row>
    <row r="416" spans="33:39" x14ac:dyDescent="0.25">
      <c r="AG416" s="164" t="s">
        <v>103</v>
      </c>
      <c r="AH416" s="164" t="s">
        <v>431</v>
      </c>
      <c r="AI416" s="164">
        <v>2034</v>
      </c>
      <c r="AJ416" s="164" t="str">
        <f t="shared" si="378"/>
        <v>Sea</v>
      </c>
      <c r="AK416" s="164" t="str">
        <f t="shared" si="379"/>
        <v>Neo bulk</v>
      </c>
      <c r="AL416" s="164" t="str">
        <f t="shared" si="380"/>
        <v>Methanol</v>
      </c>
      <c r="AM416" s="188">
        <f t="shared" si="381"/>
        <v>0.80256605741864606</v>
      </c>
    </row>
    <row r="417" spans="33:39" x14ac:dyDescent="0.25">
      <c r="AG417" s="164" t="s">
        <v>433</v>
      </c>
      <c r="AH417" s="164" t="s">
        <v>432</v>
      </c>
      <c r="AI417" s="164">
        <v>2034</v>
      </c>
      <c r="AJ417" s="164" t="str">
        <f>A48</f>
        <v>Sea</v>
      </c>
      <c r="AK417" s="164" t="str">
        <f t="shared" ref="AK417:AL417" si="382">B48</f>
        <v>Dry bulk</v>
      </c>
      <c r="AL417" s="164" t="str">
        <f t="shared" si="382"/>
        <v>HFO</v>
      </c>
      <c r="AM417" s="188">
        <f>U48</f>
        <v>1</v>
      </c>
    </row>
    <row r="418" spans="33:39" x14ac:dyDescent="0.25">
      <c r="AG418" s="164" t="s">
        <v>433</v>
      </c>
      <c r="AH418" s="164" t="s">
        <v>432</v>
      </c>
      <c r="AI418" s="164">
        <v>2034</v>
      </c>
      <c r="AJ418" s="164" t="str">
        <f t="shared" ref="AJ418:AJ436" si="383">A49</f>
        <v>Sea</v>
      </c>
      <c r="AK418" s="164" t="str">
        <f t="shared" ref="AK418:AK436" si="384">B49</f>
        <v>Dry bulk</v>
      </c>
      <c r="AL418" s="164" t="str">
        <f t="shared" ref="AL418:AL436" si="385">C49</f>
        <v>MGO</v>
      </c>
      <c r="AM418" s="188">
        <f t="shared" ref="AM418:AM436" si="386">U49</f>
        <v>1</v>
      </c>
    </row>
    <row r="419" spans="33:39" x14ac:dyDescent="0.25">
      <c r="AG419" s="164" t="s">
        <v>103</v>
      </c>
      <c r="AH419" s="164" t="s">
        <v>432</v>
      </c>
      <c r="AI419" s="164">
        <v>2034</v>
      </c>
      <c r="AJ419" s="164" t="str">
        <f t="shared" si="383"/>
        <v>Sea</v>
      </c>
      <c r="AK419" s="164" t="str">
        <f t="shared" si="384"/>
        <v>Dry bulk</v>
      </c>
      <c r="AL419" s="164" t="str">
        <f t="shared" si="385"/>
        <v>Hydrogen</v>
      </c>
      <c r="AM419" s="188">
        <f t="shared" si="386"/>
        <v>1.1377223395598555</v>
      </c>
    </row>
    <row r="420" spans="33:39" x14ac:dyDescent="0.25">
      <c r="AG420" s="164" t="s">
        <v>103</v>
      </c>
      <c r="AH420" s="164" t="s">
        <v>432</v>
      </c>
      <c r="AI420" s="164">
        <v>2034</v>
      </c>
      <c r="AJ420" s="164" t="str">
        <f t="shared" si="383"/>
        <v>Sea</v>
      </c>
      <c r="AK420" s="164" t="str">
        <f t="shared" si="384"/>
        <v>Dry bulk</v>
      </c>
      <c r="AL420" s="164" t="str">
        <f t="shared" si="385"/>
        <v>Ammonia</v>
      </c>
      <c r="AM420" s="188">
        <f t="shared" si="386"/>
        <v>1.1800977874888723</v>
      </c>
    </row>
    <row r="421" spans="33:39" x14ac:dyDescent="0.25">
      <c r="AG421" s="164" t="s">
        <v>103</v>
      </c>
      <c r="AH421" s="164" t="s">
        <v>432</v>
      </c>
      <c r="AI421" s="164">
        <v>2034</v>
      </c>
      <c r="AJ421" s="164" t="str">
        <f t="shared" si="383"/>
        <v>Sea</v>
      </c>
      <c r="AK421" s="164" t="str">
        <f t="shared" si="384"/>
        <v>Dry bulk</v>
      </c>
      <c r="AL421" s="164" t="str">
        <f t="shared" si="385"/>
        <v>Methanol</v>
      </c>
      <c r="AM421" s="188">
        <f t="shared" si="386"/>
        <v>1.1217157034445346</v>
      </c>
    </row>
    <row r="422" spans="33:39" x14ac:dyDescent="0.25">
      <c r="AG422" s="164" t="s">
        <v>433</v>
      </c>
      <c r="AH422" s="164" t="s">
        <v>432</v>
      </c>
      <c r="AI422" s="164">
        <v>2034</v>
      </c>
      <c r="AJ422" s="164" t="str">
        <f t="shared" si="383"/>
        <v>Sea</v>
      </c>
      <c r="AK422" s="164" t="str">
        <f t="shared" si="384"/>
        <v>Container</v>
      </c>
      <c r="AL422" s="164" t="str">
        <f t="shared" si="385"/>
        <v>HFO</v>
      </c>
      <c r="AM422" s="188">
        <f t="shared" si="386"/>
        <v>1</v>
      </c>
    </row>
    <row r="423" spans="33:39" x14ac:dyDescent="0.25">
      <c r="AG423" s="164" t="s">
        <v>433</v>
      </c>
      <c r="AH423" s="164" t="s">
        <v>432</v>
      </c>
      <c r="AI423" s="164">
        <v>2034</v>
      </c>
      <c r="AJ423" s="164" t="str">
        <f t="shared" si="383"/>
        <v>Sea</v>
      </c>
      <c r="AK423" s="164" t="str">
        <f t="shared" si="384"/>
        <v>Container</v>
      </c>
      <c r="AL423" s="164" t="str">
        <f t="shared" si="385"/>
        <v>MGO</v>
      </c>
      <c r="AM423" s="188">
        <f t="shared" si="386"/>
        <v>1</v>
      </c>
    </row>
    <row r="424" spans="33:39" x14ac:dyDescent="0.25">
      <c r="AG424" s="164" t="s">
        <v>103</v>
      </c>
      <c r="AH424" s="164" t="s">
        <v>432</v>
      </c>
      <c r="AI424" s="164">
        <v>2034</v>
      </c>
      <c r="AJ424" s="164" t="str">
        <f t="shared" si="383"/>
        <v>Sea</v>
      </c>
      <c r="AK424" s="164" t="str">
        <f t="shared" si="384"/>
        <v>Container</v>
      </c>
      <c r="AL424" s="164" t="str">
        <f t="shared" si="385"/>
        <v>Hydrogen</v>
      </c>
      <c r="AM424" s="188">
        <f t="shared" si="386"/>
        <v>1.1341076314104233</v>
      </c>
    </row>
    <row r="425" spans="33:39" x14ac:dyDescent="0.25">
      <c r="AG425" s="164" t="s">
        <v>103</v>
      </c>
      <c r="AH425" s="164" t="s">
        <v>432</v>
      </c>
      <c r="AI425" s="164">
        <v>2034</v>
      </c>
      <c r="AJ425" s="164" t="str">
        <f t="shared" si="383"/>
        <v>Sea</v>
      </c>
      <c r="AK425" s="164" t="str">
        <f t="shared" si="384"/>
        <v>Container</v>
      </c>
      <c r="AL425" s="164" t="str">
        <f t="shared" si="385"/>
        <v>Ammonia</v>
      </c>
      <c r="AM425" s="188">
        <f t="shared" si="386"/>
        <v>1.1754796797634777</v>
      </c>
    </row>
    <row r="426" spans="33:39" x14ac:dyDescent="0.25">
      <c r="AG426" s="164" t="s">
        <v>103</v>
      </c>
      <c r="AH426" s="164" t="s">
        <v>432</v>
      </c>
      <c r="AI426" s="164">
        <v>2034</v>
      </c>
      <c r="AJ426" s="164" t="str">
        <f t="shared" si="383"/>
        <v>Sea</v>
      </c>
      <c r="AK426" s="164" t="str">
        <f t="shared" si="384"/>
        <v>Container</v>
      </c>
      <c r="AL426" s="164" t="str">
        <f t="shared" si="385"/>
        <v>Methanol</v>
      </c>
      <c r="AM426" s="188">
        <f t="shared" si="386"/>
        <v>1.1201942695562923</v>
      </c>
    </row>
    <row r="427" spans="33:39" x14ac:dyDescent="0.25">
      <c r="AG427" s="164" t="s">
        <v>433</v>
      </c>
      <c r="AH427" s="164" t="s">
        <v>432</v>
      </c>
      <c r="AI427" s="164">
        <v>2034</v>
      </c>
      <c r="AJ427" s="164" t="str">
        <f t="shared" si="383"/>
        <v>Sea</v>
      </c>
      <c r="AK427" s="164" t="str">
        <f t="shared" si="384"/>
        <v>Break bulk</v>
      </c>
      <c r="AL427" s="164" t="str">
        <f t="shared" si="385"/>
        <v>HFO</v>
      </c>
      <c r="AM427" s="188">
        <f t="shared" si="386"/>
        <v>1</v>
      </c>
    </row>
    <row r="428" spans="33:39" x14ac:dyDescent="0.25">
      <c r="AG428" s="164" t="s">
        <v>433</v>
      </c>
      <c r="AH428" s="164" t="s">
        <v>432</v>
      </c>
      <c r="AI428" s="164">
        <v>2034</v>
      </c>
      <c r="AJ428" s="164" t="str">
        <f t="shared" si="383"/>
        <v>Sea</v>
      </c>
      <c r="AK428" s="164" t="str">
        <f t="shared" si="384"/>
        <v>Break bulk</v>
      </c>
      <c r="AL428" s="164" t="str">
        <f t="shared" si="385"/>
        <v>MGO</v>
      </c>
      <c r="AM428" s="188">
        <f t="shared" si="386"/>
        <v>1</v>
      </c>
    </row>
    <row r="429" spans="33:39" x14ac:dyDescent="0.25">
      <c r="AG429" s="164" t="s">
        <v>103</v>
      </c>
      <c r="AH429" s="164" t="s">
        <v>432</v>
      </c>
      <c r="AI429" s="164">
        <v>2034</v>
      </c>
      <c r="AJ429" s="164" t="str">
        <f t="shared" si="383"/>
        <v>Sea</v>
      </c>
      <c r="AK429" s="164" t="str">
        <f t="shared" si="384"/>
        <v>Break bulk</v>
      </c>
      <c r="AL429" s="164" t="str">
        <f t="shared" si="385"/>
        <v>Hydrogen</v>
      </c>
      <c r="AM429" s="188">
        <f t="shared" si="386"/>
        <v>1.1377380944071209</v>
      </c>
    </row>
    <row r="430" spans="33:39" x14ac:dyDescent="0.25">
      <c r="AG430" s="164" t="s">
        <v>103</v>
      </c>
      <c r="AH430" s="164" t="s">
        <v>432</v>
      </c>
      <c r="AI430" s="164">
        <v>2034</v>
      </c>
      <c r="AJ430" s="164" t="str">
        <f t="shared" si="383"/>
        <v>Sea</v>
      </c>
      <c r="AK430" s="164" t="str">
        <f t="shared" si="384"/>
        <v>Break bulk</v>
      </c>
      <c r="AL430" s="164" t="str">
        <f t="shared" si="385"/>
        <v>Ammonia</v>
      </c>
      <c r="AM430" s="188">
        <f t="shared" si="386"/>
        <v>1.1801172587334734</v>
      </c>
    </row>
    <row r="431" spans="33:39" x14ac:dyDescent="0.25">
      <c r="AG431" s="164" t="s">
        <v>103</v>
      </c>
      <c r="AH431" s="164" t="s">
        <v>432</v>
      </c>
      <c r="AI431" s="164">
        <v>2034</v>
      </c>
      <c r="AJ431" s="164" t="str">
        <f t="shared" si="383"/>
        <v>Sea</v>
      </c>
      <c r="AK431" s="164" t="str">
        <f t="shared" si="384"/>
        <v>Break bulk</v>
      </c>
      <c r="AL431" s="164" t="str">
        <f t="shared" si="385"/>
        <v>Methanol</v>
      </c>
      <c r="AM431" s="188">
        <f t="shared" si="386"/>
        <v>1.121721602177959</v>
      </c>
    </row>
    <row r="432" spans="33:39" x14ac:dyDescent="0.25">
      <c r="AG432" s="164" t="s">
        <v>433</v>
      </c>
      <c r="AH432" s="164" t="s">
        <v>432</v>
      </c>
      <c r="AI432" s="164">
        <v>2034</v>
      </c>
      <c r="AJ432" s="164" t="str">
        <f t="shared" si="383"/>
        <v>Sea</v>
      </c>
      <c r="AK432" s="164" t="str">
        <f t="shared" si="384"/>
        <v>Neo bulk</v>
      </c>
      <c r="AL432" s="164" t="str">
        <f t="shared" si="385"/>
        <v>HFO</v>
      </c>
      <c r="AM432" s="188">
        <f t="shared" si="386"/>
        <v>1</v>
      </c>
    </row>
    <row r="433" spans="33:39" x14ac:dyDescent="0.25">
      <c r="AG433" s="164" t="s">
        <v>433</v>
      </c>
      <c r="AH433" s="164" t="s">
        <v>432</v>
      </c>
      <c r="AI433" s="164">
        <v>2034</v>
      </c>
      <c r="AJ433" s="164" t="str">
        <f t="shared" si="383"/>
        <v>Sea</v>
      </c>
      <c r="AK433" s="164" t="str">
        <f t="shared" si="384"/>
        <v>Neo bulk</v>
      </c>
      <c r="AL433" s="164" t="str">
        <f t="shared" si="385"/>
        <v>MGO</v>
      </c>
      <c r="AM433" s="188">
        <f t="shared" si="386"/>
        <v>1</v>
      </c>
    </row>
    <row r="434" spans="33:39" x14ac:dyDescent="0.25">
      <c r="AG434" s="164" t="s">
        <v>103</v>
      </c>
      <c r="AH434" s="164" t="s">
        <v>432</v>
      </c>
      <c r="AI434" s="164">
        <v>2034</v>
      </c>
      <c r="AJ434" s="164" t="str">
        <f t="shared" si="383"/>
        <v>Sea</v>
      </c>
      <c r="AK434" s="164" t="str">
        <f t="shared" si="384"/>
        <v>Neo bulk</v>
      </c>
      <c r="AL434" s="164" t="str">
        <f t="shared" si="385"/>
        <v>Hydrogen</v>
      </c>
      <c r="AM434" s="188">
        <f t="shared" si="386"/>
        <v>1.1377579355831555</v>
      </c>
    </row>
    <row r="435" spans="33:39" x14ac:dyDescent="0.25">
      <c r="AG435" s="164" t="s">
        <v>103</v>
      </c>
      <c r="AH435" s="164" t="s">
        <v>432</v>
      </c>
      <c r="AI435" s="164">
        <v>2034</v>
      </c>
      <c r="AJ435" s="164" t="str">
        <f t="shared" si="383"/>
        <v>Sea</v>
      </c>
      <c r="AK435" s="164" t="str">
        <f t="shared" si="384"/>
        <v>Neo bulk</v>
      </c>
      <c r="AL435" s="164" t="str">
        <f t="shared" si="385"/>
        <v>Ammonia</v>
      </c>
      <c r="AM435" s="188">
        <f t="shared" si="386"/>
        <v>1.1801432780084318</v>
      </c>
    </row>
    <row r="436" spans="33:39" x14ac:dyDescent="0.25">
      <c r="AG436" s="164" t="s">
        <v>103</v>
      </c>
      <c r="AH436" s="164" t="s">
        <v>432</v>
      </c>
      <c r="AI436" s="164">
        <v>2034</v>
      </c>
      <c r="AJ436" s="164" t="str">
        <f t="shared" si="383"/>
        <v>Sea</v>
      </c>
      <c r="AK436" s="164" t="str">
        <f t="shared" si="384"/>
        <v>Neo bulk</v>
      </c>
      <c r="AL436" s="164" t="str">
        <f t="shared" si="385"/>
        <v>Methanol</v>
      </c>
      <c r="AM436" s="188">
        <f t="shared" si="386"/>
        <v>1.1217305162180411</v>
      </c>
    </row>
    <row r="437" spans="33:39" x14ac:dyDescent="0.25">
      <c r="AG437" s="164" t="s">
        <v>433</v>
      </c>
      <c r="AH437" s="164" t="s">
        <v>430</v>
      </c>
      <c r="AI437" s="164">
        <v>2050</v>
      </c>
      <c r="AJ437" s="164" t="str">
        <f>A48</f>
        <v>Sea</v>
      </c>
      <c r="AK437" s="164" t="str">
        <f t="shared" ref="AK437:AL437" si="387">B48</f>
        <v>Dry bulk</v>
      </c>
      <c r="AL437" s="164" t="str">
        <f t="shared" si="387"/>
        <v>HFO</v>
      </c>
      <c r="AM437" s="188">
        <f>AB48</f>
        <v>1</v>
      </c>
    </row>
    <row r="438" spans="33:39" x14ac:dyDescent="0.25">
      <c r="AG438" s="164" t="s">
        <v>433</v>
      </c>
      <c r="AH438" s="164" t="s">
        <v>430</v>
      </c>
      <c r="AI438" s="164">
        <v>2050</v>
      </c>
      <c r="AJ438" s="164" t="str">
        <f t="shared" ref="AJ438:AJ452" si="388">A49</f>
        <v>Sea</v>
      </c>
      <c r="AK438" s="164" t="str">
        <f t="shared" ref="AK438:AK453" si="389">B49</f>
        <v>Dry bulk</v>
      </c>
      <c r="AL438" s="164" t="str">
        <f t="shared" ref="AL438:AL453" si="390">C49</f>
        <v>MGO</v>
      </c>
      <c r="AM438" s="188">
        <f t="shared" ref="AM438:AM452" si="391">AB49</f>
        <v>1</v>
      </c>
    </row>
    <row r="439" spans="33:39" x14ac:dyDescent="0.25">
      <c r="AG439" s="164" t="s">
        <v>103</v>
      </c>
      <c r="AH439" s="164" t="s">
        <v>430</v>
      </c>
      <c r="AI439" s="164">
        <v>2050</v>
      </c>
      <c r="AJ439" s="164" t="str">
        <f t="shared" si="388"/>
        <v>Sea</v>
      </c>
      <c r="AK439" s="164" t="str">
        <f t="shared" si="389"/>
        <v>Dry bulk</v>
      </c>
      <c r="AL439" s="164" t="str">
        <f t="shared" si="390"/>
        <v>Hydrogen</v>
      </c>
      <c r="AM439" s="188">
        <f t="shared" si="391"/>
        <v>1</v>
      </c>
    </row>
    <row r="440" spans="33:39" x14ac:dyDescent="0.25">
      <c r="AG440" s="164" t="s">
        <v>103</v>
      </c>
      <c r="AH440" s="164" t="s">
        <v>430</v>
      </c>
      <c r="AI440" s="164">
        <v>2050</v>
      </c>
      <c r="AJ440" s="164" t="str">
        <f t="shared" si="388"/>
        <v>Sea</v>
      </c>
      <c r="AK440" s="164" t="str">
        <f t="shared" si="389"/>
        <v>Dry bulk</v>
      </c>
      <c r="AL440" s="164" t="str">
        <f t="shared" si="390"/>
        <v>Ammonia</v>
      </c>
      <c r="AM440" s="188">
        <f t="shared" si="391"/>
        <v>1</v>
      </c>
    </row>
    <row r="441" spans="33:39" x14ac:dyDescent="0.25">
      <c r="AG441" s="164" t="s">
        <v>103</v>
      </c>
      <c r="AH441" s="164" t="s">
        <v>430</v>
      </c>
      <c r="AI441" s="164">
        <v>2050</v>
      </c>
      <c r="AJ441" s="164" t="str">
        <f t="shared" si="388"/>
        <v>Sea</v>
      </c>
      <c r="AK441" s="164" t="str">
        <f t="shared" si="389"/>
        <v>Dry bulk</v>
      </c>
      <c r="AL441" s="164" t="str">
        <f t="shared" si="390"/>
        <v>Methanol</v>
      </c>
      <c r="AM441" s="188">
        <f t="shared" si="391"/>
        <v>1</v>
      </c>
    </row>
    <row r="442" spans="33:39" x14ac:dyDescent="0.25">
      <c r="AG442" s="164" t="s">
        <v>433</v>
      </c>
      <c r="AH442" s="164" t="s">
        <v>430</v>
      </c>
      <c r="AI442" s="164">
        <v>2050</v>
      </c>
      <c r="AJ442" s="164" t="str">
        <f t="shared" si="388"/>
        <v>Sea</v>
      </c>
      <c r="AK442" s="164" t="str">
        <f t="shared" si="389"/>
        <v>Container</v>
      </c>
      <c r="AL442" s="164" t="str">
        <f t="shared" si="390"/>
        <v>HFO</v>
      </c>
      <c r="AM442" s="188">
        <f t="shared" si="391"/>
        <v>1</v>
      </c>
    </row>
    <row r="443" spans="33:39" x14ac:dyDescent="0.25">
      <c r="AG443" s="164" t="s">
        <v>433</v>
      </c>
      <c r="AH443" s="164" t="s">
        <v>430</v>
      </c>
      <c r="AI443" s="164">
        <v>2050</v>
      </c>
      <c r="AJ443" s="164" t="str">
        <f t="shared" si="388"/>
        <v>Sea</v>
      </c>
      <c r="AK443" s="164" t="str">
        <f t="shared" si="389"/>
        <v>Container</v>
      </c>
      <c r="AL443" s="164" t="str">
        <f t="shared" si="390"/>
        <v>MGO</v>
      </c>
      <c r="AM443" s="188">
        <f t="shared" si="391"/>
        <v>1</v>
      </c>
    </row>
    <row r="444" spans="33:39" x14ac:dyDescent="0.25">
      <c r="AG444" s="164" t="s">
        <v>103</v>
      </c>
      <c r="AH444" s="164" t="s">
        <v>430</v>
      </c>
      <c r="AI444" s="164">
        <v>2050</v>
      </c>
      <c r="AJ444" s="164" t="str">
        <f t="shared" si="388"/>
        <v>Sea</v>
      </c>
      <c r="AK444" s="164" t="str">
        <f t="shared" si="389"/>
        <v>Container</v>
      </c>
      <c r="AL444" s="164" t="str">
        <f t="shared" si="390"/>
        <v>Hydrogen</v>
      </c>
      <c r="AM444" s="188">
        <f t="shared" si="391"/>
        <v>1</v>
      </c>
    </row>
    <row r="445" spans="33:39" x14ac:dyDescent="0.25">
      <c r="AG445" s="164" t="s">
        <v>103</v>
      </c>
      <c r="AH445" s="164" t="s">
        <v>430</v>
      </c>
      <c r="AI445" s="164">
        <v>2050</v>
      </c>
      <c r="AJ445" s="164" t="str">
        <f t="shared" si="388"/>
        <v>Sea</v>
      </c>
      <c r="AK445" s="164" t="str">
        <f t="shared" si="389"/>
        <v>Container</v>
      </c>
      <c r="AL445" s="164" t="str">
        <f t="shared" si="390"/>
        <v>Ammonia</v>
      </c>
      <c r="AM445" s="188">
        <f t="shared" si="391"/>
        <v>1</v>
      </c>
    </row>
    <row r="446" spans="33:39" x14ac:dyDescent="0.25">
      <c r="AG446" s="164" t="s">
        <v>103</v>
      </c>
      <c r="AH446" s="164" t="s">
        <v>430</v>
      </c>
      <c r="AI446" s="164">
        <v>2050</v>
      </c>
      <c r="AJ446" s="164" t="str">
        <f t="shared" si="388"/>
        <v>Sea</v>
      </c>
      <c r="AK446" s="164" t="str">
        <f t="shared" si="389"/>
        <v>Container</v>
      </c>
      <c r="AL446" s="164" t="str">
        <f t="shared" si="390"/>
        <v>Methanol</v>
      </c>
      <c r="AM446" s="188">
        <f t="shared" si="391"/>
        <v>1</v>
      </c>
    </row>
    <row r="447" spans="33:39" x14ac:dyDescent="0.25">
      <c r="AG447" s="164" t="s">
        <v>433</v>
      </c>
      <c r="AH447" s="164" t="s">
        <v>430</v>
      </c>
      <c r="AI447" s="164">
        <v>2050</v>
      </c>
      <c r="AJ447" s="164" t="str">
        <f t="shared" si="388"/>
        <v>Sea</v>
      </c>
      <c r="AK447" s="164" t="str">
        <f t="shared" si="389"/>
        <v>Break bulk</v>
      </c>
      <c r="AL447" s="164" t="str">
        <f t="shared" si="390"/>
        <v>HFO</v>
      </c>
      <c r="AM447" s="188">
        <f t="shared" si="391"/>
        <v>1</v>
      </c>
    </row>
    <row r="448" spans="33:39" x14ac:dyDescent="0.25">
      <c r="AG448" s="164" t="s">
        <v>433</v>
      </c>
      <c r="AH448" s="164" t="s">
        <v>430</v>
      </c>
      <c r="AI448" s="164">
        <v>2050</v>
      </c>
      <c r="AJ448" s="164" t="str">
        <f t="shared" si="388"/>
        <v>Sea</v>
      </c>
      <c r="AK448" s="164" t="str">
        <f t="shared" si="389"/>
        <v>Break bulk</v>
      </c>
      <c r="AL448" s="164" t="str">
        <f t="shared" si="390"/>
        <v>MGO</v>
      </c>
      <c r="AM448" s="188">
        <f t="shared" si="391"/>
        <v>1</v>
      </c>
    </row>
    <row r="449" spans="33:39" x14ac:dyDescent="0.25">
      <c r="AG449" s="164" t="s">
        <v>103</v>
      </c>
      <c r="AH449" s="164" t="s">
        <v>430</v>
      </c>
      <c r="AI449" s="164">
        <v>2050</v>
      </c>
      <c r="AJ449" s="164" t="str">
        <f t="shared" si="388"/>
        <v>Sea</v>
      </c>
      <c r="AK449" s="164" t="str">
        <f t="shared" si="389"/>
        <v>Break bulk</v>
      </c>
      <c r="AL449" s="164" t="str">
        <f t="shared" si="390"/>
        <v>Hydrogen</v>
      </c>
      <c r="AM449" s="188">
        <f t="shared" si="391"/>
        <v>1</v>
      </c>
    </row>
    <row r="450" spans="33:39" x14ac:dyDescent="0.25">
      <c r="AG450" s="164" t="s">
        <v>103</v>
      </c>
      <c r="AH450" s="164" t="s">
        <v>430</v>
      </c>
      <c r="AI450" s="164">
        <v>2050</v>
      </c>
      <c r="AJ450" s="164" t="str">
        <f t="shared" si="388"/>
        <v>Sea</v>
      </c>
      <c r="AK450" s="164" t="str">
        <f t="shared" si="389"/>
        <v>Break bulk</v>
      </c>
      <c r="AL450" s="164" t="str">
        <f t="shared" si="390"/>
        <v>Ammonia</v>
      </c>
      <c r="AM450" s="188">
        <f t="shared" si="391"/>
        <v>1</v>
      </c>
    </row>
    <row r="451" spans="33:39" x14ac:dyDescent="0.25">
      <c r="AG451" s="164" t="s">
        <v>103</v>
      </c>
      <c r="AH451" s="164" t="s">
        <v>430</v>
      </c>
      <c r="AI451" s="164">
        <v>2050</v>
      </c>
      <c r="AJ451" s="164" t="str">
        <f t="shared" si="388"/>
        <v>Sea</v>
      </c>
      <c r="AK451" s="164" t="str">
        <f t="shared" si="389"/>
        <v>Break bulk</v>
      </c>
      <c r="AL451" s="164" t="str">
        <f t="shared" si="390"/>
        <v>Methanol</v>
      </c>
      <c r="AM451" s="188">
        <f t="shared" si="391"/>
        <v>1</v>
      </c>
    </row>
    <row r="452" spans="33:39" x14ac:dyDescent="0.25">
      <c r="AG452" s="164" t="s">
        <v>433</v>
      </c>
      <c r="AH452" s="164" t="s">
        <v>430</v>
      </c>
      <c r="AI452" s="164">
        <v>2050</v>
      </c>
      <c r="AJ452" s="164" t="str">
        <f t="shared" si="388"/>
        <v>Sea</v>
      </c>
      <c r="AK452" s="164" t="str">
        <f t="shared" si="389"/>
        <v>Neo bulk</v>
      </c>
      <c r="AL452" s="164" t="str">
        <f t="shared" si="390"/>
        <v>HFO</v>
      </c>
      <c r="AM452" s="188">
        <f t="shared" si="391"/>
        <v>1</v>
      </c>
    </row>
    <row r="453" spans="33:39" x14ac:dyDescent="0.25">
      <c r="AG453" s="164" t="s">
        <v>433</v>
      </c>
      <c r="AH453" s="164" t="s">
        <v>430</v>
      </c>
      <c r="AI453" s="164">
        <v>2050</v>
      </c>
      <c r="AJ453" s="164" t="str">
        <f>A64</f>
        <v>Sea</v>
      </c>
      <c r="AK453" s="164" t="str">
        <f t="shared" si="389"/>
        <v>Neo bulk</v>
      </c>
      <c r="AL453" s="164" t="str">
        <f t="shared" si="390"/>
        <v>MGO</v>
      </c>
      <c r="AM453" s="188">
        <f>AB64</f>
        <v>1</v>
      </c>
    </row>
    <row r="454" spans="33:39" x14ac:dyDescent="0.25">
      <c r="AG454" s="164" t="s">
        <v>103</v>
      </c>
      <c r="AH454" s="164" t="s">
        <v>430</v>
      </c>
      <c r="AI454" s="164">
        <v>2050</v>
      </c>
      <c r="AJ454" s="164" t="str">
        <f t="shared" ref="AJ454:AJ456" si="392">A65</f>
        <v>Sea</v>
      </c>
      <c r="AK454" s="164" t="str">
        <f t="shared" ref="AK454:AK456" si="393">B65</f>
        <v>Neo bulk</v>
      </c>
      <c r="AL454" s="164" t="str">
        <f t="shared" ref="AL454:AL456" si="394">C65</f>
        <v>Hydrogen</v>
      </c>
      <c r="AM454" s="188">
        <f t="shared" ref="AM454:AM456" si="395">AB65</f>
        <v>1</v>
      </c>
    </row>
    <row r="455" spans="33:39" x14ac:dyDescent="0.25">
      <c r="AG455" s="164" t="s">
        <v>103</v>
      </c>
      <c r="AH455" s="164" t="s">
        <v>430</v>
      </c>
      <c r="AI455" s="164">
        <v>2050</v>
      </c>
      <c r="AJ455" s="164" t="str">
        <f t="shared" si="392"/>
        <v>Sea</v>
      </c>
      <c r="AK455" s="164" t="str">
        <f t="shared" si="393"/>
        <v>Neo bulk</v>
      </c>
      <c r="AL455" s="164" t="str">
        <f t="shared" si="394"/>
        <v>Ammonia</v>
      </c>
      <c r="AM455" s="188">
        <f t="shared" si="395"/>
        <v>1</v>
      </c>
    </row>
    <row r="456" spans="33:39" x14ac:dyDescent="0.25">
      <c r="AG456" s="164" t="s">
        <v>103</v>
      </c>
      <c r="AH456" s="164" t="s">
        <v>430</v>
      </c>
      <c r="AI456" s="164">
        <v>2050</v>
      </c>
      <c r="AJ456" s="164" t="str">
        <f t="shared" si="392"/>
        <v>Sea</v>
      </c>
      <c r="AK456" s="164" t="str">
        <f t="shared" si="393"/>
        <v>Neo bulk</v>
      </c>
      <c r="AL456" s="164" t="str">
        <f t="shared" si="394"/>
        <v>Methanol</v>
      </c>
      <c r="AM456" s="188">
        <f t="shared" si="395"/>
        <v>1</v>
      </c>
    </row>
    <row r="457" spans="33:39" x14ac:dyDescent="0.25">
      <c r="AG457" s="164" t="s">
        <v>433</v>
      </c>
      <c r="AH457" s="164" t="s">
        <v>431</v>
      </c>
      <c r="AI457" s="164">
        <v>2050</v>
      </c>
      <c r="AJ457" s="164" t="str">
        <f>A48</f>
        <v>Sea</v>
      </c>
      <c r="AK457" s="164" t="str">
        <f t="shared" ref="AK457:AL457" si="396">B48</f>
        <v>Dry bulk</v>
      </c>
      <c r="AL457" s="164" t="str">
        <f t="shared" si="396"/>
        <v>HFO</v>
      </c>
      <c r="AM457" s="188">
        <f>AC48</f>
        <v>1</v>
      </c>
    </row>
    <row r="458" spans="33:39" x14ac:dyDescent="0.25">
      <c r="AG458" s="164" t="s">
        <v>433</v>
      </c>
      <c r="AH458" s="164" t="s">
        <v>431</v>
      </c>
      <c r="AI458" s="164">
        <v>2050</v>
      </c>
      <c r="AJ458" s="164" t="str">
        <f t="shared" ref="AJ458:AJ476" si="397">A49</f>
        <v>Sea</v>
      </c>
      <c r="AK458" s="164" t="str">
        <f t="shared" ref="AK458:AK476" si="398">B49</f>
        <v>Dry bulk</v>
      </c>
      <c r="AL458" s="164" t="str">
        <f t="shared" ref="AL458:AL476" si="399">C49</f>
        <v>MGO</v>
      </c>
      <c r="AM458" s="188">
        <f t="shared" ref="AM458:AM476" si="400">AC49</f>
        <v>1</v>
      </c>
    </row>
    <row r="459" spans="33:39" x14ac:dyDescent="0.25">
      <c r="AG459" s="164" t="s">
        <v>103</v>
      </c>
      <c r="AH459" s="164" t="s">
        <v>431</v>
      </c>
      <c r="AI459" s="164">
        <v>2050</v>
      </c>
      <c r="AJ459" s="164" t="str">
        <f t="shared" si="397"/>
        <v>Sea</v>
      </c>
      <c r="AK459" s="164" t="str">
        <f t="shared" si="398"/>
        <v>Dry bulk</v>
      </c>
      <c r="AL459" s="164" t="str">
        <f t="shared" si="399"/>
        <v>Hydrogen</v>
      </c>
      <c r="AM459" s="188">
        <f t="shared" si="400"/>
        <v>0.87253767763693257</v>
      </c>
    </row>
    <row r="460" spans="33:39" x14ac:dyDescent="0.25">
      <c r="AG460" s="164" t="s">
        <v>103</v>
      </c>
      <c r="AH460" s="164" t="s">
        <v>431</v>
      </c>
      <c r="AI460" s="164">
        <v>2050</v>
      </c>
      <c r="AJ460" s="164" t="str">
        <f t="shared" si="397"/>
        <v>Sea</v>
      </c>
      <c r="AK460" s="164" t="str">
        <f t="shared" si="398"/>
        <v>Dry bulk</v>
      </c>
      <c r="AL460" s="164" t="str">
        <f t="shared" si="399"/>
        <v>Ammonia</v>
      </c>
      <c r="AM460" s="188">
        <f t="shared" si="400"/>
        <v>0.85675922201977284</v>
      </c>
    </row>
    <row r="461" spans="33:39" x14ac:dyDescent="0.25">
      <c r="AG461" s="164" t="s">
        <v>103</v>
      </c>
      <c r="AH461" s="164" t="s">
        <v>431</v>
      </c>
      <c r="AI461" s="164">
        <v>2050</v>
      </c>
      <c r="AJ461" s="164" t="str">
        <f t="shared" si="397"/>
        <v>Sea</v>
      </c>
      <c r="AK461" s="164" t="str">
        <f t="shared" si="398"/>
        <v>Dry bulk</v>
      </c>
      <c r="AL461" s="164" t="str">
        <f t="shared" si="399"/>
        <v>Methanol</v>
      </c>
      <c r="AM461" s="188">
        <f t="shared" si="400"/>
        <v>0.85822630093871644</v>
      </c>
    </row>
    <row r="462" spans="33:39" x14ac:dyDescent="0.25">
      <c r="AG462" s="164" t="s">
        <v>433</v>
      </c>
      <c r="AH462" s="164" t="s">
        <v>431</v>
      </c>
      <c r="AI462" s="164">
        <v>2050</v>
      </c>
      <c r="AJ462" s="164" t="str">
        <f t="shared" si="397"/>
        <v>Sea</v>
      </c>
      <c r="AK462" s="164" t="str">
        <f t="shared" si="398"/>
        <v>Container</v>
      </c>
      <c r="AL462" s="164" t="str">
        <f t="shared" si="399"/>
        <v>HFO</v>
      </c>
      <c r="AM462" s="188">
        <f t="shared" si="400"/>
        <v>1</v>
      </c>
    </row>
    <row r="463" spans="33:39" x14ac:dyDescent="0.25">
      <c r="AG463" s="164" t="s">
        <v>433</v>
      </c>
      <c r="AH463" s="164" t="s">
        <v>431</v>
      </c>
      <c r="AI463" s="164">
        <v>2050</v>
      </c>
      <c r="AJ463" s="164" t="str">
        <f t="shared" si="397"/>
        <v>Sea</v>
      </c>
      <c r="AK463" s="164" t="str">
        <f t="shared" si="398"/>
        <v>Container</v>
      </c>
      <c r="AL463" s="164" t="str">
        <f t="shared" si="399"/>
        <v>MGO</v>
      </c>
      <c r="AM463" s="188">
        <f t="shared" si="400"/>
        <v>1</v>
      </c>
    </row>
    <row r="464" spans="33:39" x14ac:dyDescent="0.25">
      <c r="AG464" s="164" t="s">
        <v>103</v>
      </c>
      <c r="AH464" s="164" t="s">
        <v>431</v>
      </c>
      <c r="AI464" s="164">
        <v>2050</v>
      </c>
      <c r="AJ464" s="164" t="str">
        <f t="shared" si="397"/>
        <v>Sea</v>
      </c>
      <c r="AK464" s="164" t="str">
        <f t="shared" si="398"/>
        <v>Container</v>
      </c>
      <c r="AL464" s="164" t="str">
        <f t="shared" si="399"/>
        <v>Hydrogen</v>
      </c>
      <c r="AM464" s="188">
        <f t="shared" si="400"/>
        <v>0.87799759388155252</v>
      </c>
    </row>
    <row r="465" spans="33:39" x14ac:dyDescent="0.25">
      <c r="AG465" s="164" t="s">
        <v>103</v>
      </c>
      <c r="AH465" s="164" t="s">
        <v>431</v>
      </c>
      <c r="AI465" s="164">
        <v>2050</v>
      </c>
      <c r="AJ465" s="164" t="str">
        <f t="shared" si="397"/>
        <v>Sea</v>
      </c>
      <c r="AK465" s="164" t="str">
        <f t="shared" si="398"/>
        <v>Container</v>
      </c>
      <c r="AL465" s="164" t="str">
        <f t="shared" si="399"/>
        <v>Ammonia</v>
      </c>
      <c r="AM465" s="188">
        <f t="shared" si="400"/>
        <v>0.86282219322928833</v>
      </c>
    </row>
    <row r="466" spans="33:39" x14ac:dyDescent="0.25">
      <c r="AG466" s="164" t="s">
        <v>103</v>
      </c>
      <c r="AH466" s="164" t="s">
        <v>431</v>
      </c>
      <c r="AI466" s="164">
        <v>2050</v>
      </c>
      <c r="AJ466" s="164" t="str">
        <f t="shared" si="397"/>
        <v>Sea</v>
      </c>
      <c r="AK466" s="164" t="str">
        <f t="shared" si="398"/>
        <v>Container</v>
      </c>
      <c r="AL466" s="164" t="str">
        <f t="shared" si="399"/>
        <v>Methanol</v>
      </c>
      <c r="AM466" s="188">
        <f t="shared" si="400"/>
        <v>0.86276759353606802</v>
      </c>
    </row>
    <row r="467" spans="33:39" x14ac:dyDescent="0.25">
      <c r="AG467" s="164" t="s">
        <v>433</v>
      </c>
      <c r="AH467" s="164" t="s">
        <v>431</v>
      </c>
      <c r="AI467" s="164">
        <v>2050</v>
      </c>
      <c r="AJ467" s="164" t="str">
        <f t="shared" si="397"/>
        <v>Sea</v>
      </c>
      <c r="AK467" s="164" t="str">
        <f t="shared" si="398"/>
        <v>Break bulk</v>
      </c>
      <c r="AL467" s="164" t="str">
        <f t="shared" si="399"/>
        <v>HFO</v>
      </c>
      <c r="AM467" s="188">
        <f t="shared" si="400"/>
        <v>1</v>
      </c>
    </row>
    <row r="468" spans="33:39" x14ac:dyDescent="0.25">
      <c r="AG468" s="164" t="s">
        <v>433</v>
      </c>
      <c r="AH468" s="164" t="s">
        <v>431</v>
      </c>
      <c r="AI468" s="164">
        <v>2050</v>
      </c>
      <c r="AJ468" s="164" t="str">
        <f t="shared" si="397"/>
        <v>Sea</v>
      </c>
      <c r="AK468" s="164" t="str">
        <f t="shared" si="398"/>
        <v>Break bulk</v>
      </c>
      <c r="AL468" s="164" t="str">
        <f t="shared" si="399"/>
        <v>MGO</v>
      </c>
      <c r="AM468" s="188">
        <f t="shared" si="400"/>
        <v>1</v>
      </c>
    </row>
    <row r="469" spans="33:39" x14ac:dyDescent="0.25">
      <c r="AG469" s="164" t="s">
        <v>103</v>
      </c>
      <c r="AH469" s="164" t="s">
        <v>431</v>
      </c>
      <c r="AI469" s="164">
        <v>2050</v>
      </c>
      <c r="AJ469" s="164" t="str">
        <f t="shared" si="397"/>
        <v>Sea</v>
      </c>
      <c r="AK469" s="164" t="str">
        <f t="shared" si="398"/>
        <v>Break bulk</v>
      </c>
      <c r="AL469" s="164" t="str">
        <f t="shared" si="399"/>
        <v>Hydrogen</v>
      </c>
      <c r="AM469" s="188">
        <f t="shared" si="400"/>
        <v>0.87251418484037313</v>
      </c>
    </row>
    <row r="470" spans="33:39" x14ac:dyDescent="0.25">
      <c r="AG470" s="164" t="s">
        <v>103</v>
      </c>
      <c r="AH470" s="164" t="s">
        <v>431</v>
      </c>
      <c r="AI470" s="164">
        <v>2050</v>
      </c>
      <c r="AJ470" s="164" t="str">
        <f t="shared" si="397"/>
        <v>Sea</v>
      </c>
      <c r="AK470" s="164" t="str">
        <f t="shared" si="398"/>
        <v>Break bulk</v>
      </c>
      <c r="AL470" s="164" t="str">
        <f t="shared" si="399"/>
        <v>Ammonia</v>
      </c>
      <c r="AM470" s="188">
        <f t="shared" si="400"/>
        <v>0.85673361025784178</v>
      </c>
    </row>
    <row r="471" spans="33:39" x14ac:dyDescent="0.25">
      <c r="AG471" s="164" t="s">
        <v>103</v>
      </c>
      <c r="AH471" s="164" t="s">
        <v>431</v>
      </c>
      <c r="AI471" s="164">
        <v>2050</v>
      </c>
      <c r="AJ471" s="164" t="str">
        <f t="shared" si="397"/>
        <v>Sea</v>
      </c>
      <c r="AK471" s="164" t="str">
        <f t="shared" si="398"/>
        <v>Break bulk</v>
      </c>
      <c r="AL471" s="164" t="str">
        <f t="shared" si="399"/>
        <v>Methanol</v>
      </c>
      <c r="AM471" s="188">
        <f t="shared" si="400"/>
        <v>0.85820833725964085</v>
      </c>
    </row>
    <row r="472" spans="33:39" x14ac:dyDescent="0.25">
      <c r="AG472" s="164" t="s">
        <v>433</v>
      </c>
      <c r="AH472" s="164" t="s">
        <v>431</v>
      </c>
      <c r="AI472" s="164">
        <v>2050</v>
      </c>
      <c r="AJ472" s="164" t="str">
        <f t="shared" si="397"/>
        <v>Sea</v>
      </c>
      <c r="AK472" s="164" t="str">
        <f t="shared" si="398"/>
        <v>Neo bulk</v>
      </c>
      <c r="AL472" s="164" t="str">
        <f t="shared" si="399"/>
        <v>HFO</v>
      </c>
      <c r="AM472" s="188">
        <f t="shared" si="400"/>
        <v>1</v>
      </c>
    </row>
    <row r="473" spans="33:39" x14ac:dyDescent="0.25">
      <c r="AG473" s="164" t="s">
        <v>433</v>
      </c>
      <c r="AH473" s="164" t="s">
        <v>431</v>
      </c>
      <c r="AI473" s="164">
        <v>2050</v>
      </c>
      <c r="AJ473" s="164" t="str">
        <f t="shared" si="397"/>
        <v>Sea</v>
      </c>
      <c r="AK473" s="164" t="str">
        <f t="shared" si="398"/>
        <v>Neo bulk</v>
      </c>
      <c r="AL473" s="164" t="str">
        <f t="shared" si="399"/>
        <v>MGO</v>
      </c>
      <c r="AM473" s="188">
        <f t="shared" si="400"/>
        <v>1</v>
      </c>
    </row>
    <row r="474" spans="33:39" x14ac:dyDescent="0.25">
      <c r="AG474" s="164" t="s">
        <v>103</v>
      </c>
      <c r="AH474" s="164" t="s">
        <v>431</v>
      </c>
      <c r="AI474" s="164">
        <v>2050</v>
      </c>
      <c r="AJ474" s="164" t="str">
        <f t="shared" si="397"/>
        <v>Sea</v>
      </c>
      <c r="AK474" s="164" t="str">
        <f t="shared" si="398"/>
        <v>Neo bulk</v>
      </c>
      <c r="AL474" s="164" t="str">
        <f t="shared" si="399"/>
        <v>Hydrogen</v>
      </c>
      <c r="AM474" s="188">
        <f t="shared" si="400"/>
        <v>0.87248292281554252</v>
      </c>
    </row>
    <row r="475" spans="33:39" x14ac:dyDescent="0.25">
      <c r="AG475" s="164" t="s">
        <v>103</v>
      </c>
      <c r="AH475" s="164" t="s">
        <v>431</v>
      </c>
      <c r="AI475" s="164">
        <v>2050</v>
      </c>
      <c r="AJ475" s="164" t="str">
        <f t="shared" si="397"/>
        <v>Sea</v>
      </c>
      <c r="AK475" s="164" t="str">
        <f t="shared" si="398"/>
        <v>Neo bulk</v>
      </c>
      <c r="AL475" s="164" t="str">
        <f t="shared" si="399"/>
        <v>Ammonia</v>
      </c>
      <c r="AM475" s="188">
        <f t="shared" si="400"/>
        <v>0.85669842232259497</v>
      </c>
    </row>
    <row r="476" spans="33:39" x14ac:dyDescent="0.25">
      <c r="AG476" s="164" t="s">
        <v>103</v>
      </c>
      <c r="AH476" s="164" t="s">
        <v>431</v>
      </c>
      <c r="AI476" s="164">
        <v>2050</v>
      </c>
      <c r="AJ476" s="164" t="str">
        <f t="shared" si="397"/>
        <v>Sea</v>
      </c>
      <c r="AK476" s="164" t="str">
        <f t="shared" si="398"/>
        <v>Neo bulk</v>
      </c>
      <c r="AL476" s="164" t="str">
        <f t="shared" si="399"/>
        <v>Methanol</v>
      </c>
      <c r="AM476" s="188">
        <f t="shared" si="400"/>
        <v>0.85818118559695911</v>
      </c>
    </row>
    <row r="477" spans="33:39" x14ac:dyDescent="0.25">
      <c r="AG477" s="164" t="s">
        <v>433</v>
      </c>
      <c r="AH477" s="164" t="s">
        <v>432</v>
      </c>
      <c r="AI477" s="164">
        <v>2050</v>
      </c>
      <c r="AJ477" s="164" t="str">
        <f>A48</f>
        <v>Sea</v>
      </c>
      <c r="AK477" s="164" t="str">
        <f t="shared" ref="AK477:AL477" si="401">B48</f>
        <v>Dry bulk</v>
      </c>
      <c r="AL477" s="164" t="str">
        <f t="shared" si="401"/>
        <v>HFO</v>
      </c>
      <c r="AM477" s="188">
        <f>AD48</f>
        <v>1</v>
      </c>
    </row>
    <row r="478" spans="33:39" x14ac:dyDescent="0.25">
      <c r="AG478" s="164" t="s">
        <v>433</v>
      </c>
      <c r="AH478" s="164" t="s">
        <v>432</v>
      </c>
      <c r="AI478" s="164">
        <v>2050</v>
      </c>
      <c r="AJ478" s="164" t="str">
        <f t="shared" ref="AJ478:AJ496" si="402">A49</f>
        <v>Sea</v>
      </c>
      <c r="AK478" s="164" t="str">
        <f t="shared" ref="AK478:AK496" si="403">B49</f>
        <v>Dry bulk</v>
      </c>
      <c r="AL478" s="164" t="str">
        <f t="shared" ref="AL478:AL496" si="404">C49</f>
        <v>MGO</v>
      </c>
      <c r="AM478" s="188">
        <f t="shared" ref="AM478:AM496" si="405">AD49</f>
        <v>1</v>
      </c>
    </row>
    <row r="479" spans="33:39" x14ac:dyDescent="0.25">
      <c r="AG479" s="164" t="s">
        <v>103</v>
      </c>
      <c r="AH479" s="164" t="s">
        <v>432</v>
      </c>
      <c r="AI479" s="164">
        <v>2050</v>
      </c>
      <c r="AJ479" s="164" t="str">
        <f t="shared" si="402"/>
        <v>Sea</v>
      </c>
      <c r="AK479" s="164" t="str">
        <f t="shared" si="403"/>
        <v>Dry bulk</v>
      </c>
      <c r="AL479" s="164" t="str">
        <f t="shared" si="404"/>
        <v>Hydrogen</v>
      </c>
      <c r="AM479" s="188">
        <f t="shared" si="405"/>
        <v>1.0812127859542819</v>
      </c>
    </row>
    <row r="480" spans="33:39" x14ac:dyDescent="0.25">
      <c r="AG480" s="164" t="s">
        <v>103</v>
      </c>
      <c r="AH480" s="164" t="s">
        <v>432</v>
      </c>
      <c r="AI480" s="164">
        <v>2050</v>
      </c>
      <c r="AJ480" s="164" t="str">
        <f t="shared" si="402"/>
        <v>Sea</v>
      </c>
      <c r="AK480" s="164" t="str">
        <f t="shared" si="403"/>
        <v>Dry bulk</v>
      </c>
      <c r="AL480" s="164" t="str">
        <f t="shared" si="404"/>
        <v>Ammonia</v>
      </c>
      <c r="AM480" s="188">
        <f t="shared" si="405"/>
        <v>1.0912344856126737</v>
      </c>
    </row>
    <row r="481" spans="33:39" x14ac:dyDescent="0.25">
      <c r="AG481" s="164" t="s">
        <v>103</v>
      </c>
      <c r="AH481" s="164" t="s">
        <v>432</v>
      </c>
      <c r="AI481" s="164">
        <v>2050</v>
      </c>
      <c r="AJ481" s="164" t="str">
        <f t="shared" si="402"/>
        <v>Sea</v>
      </c>
      <c r="AK481" s="164" t="str">
        <f t="shared" si="403"/>
        <v>Dry bulk</v>
      </c>
      <c r="AL481" s="164" t="str">
        <f t="shared" si="404"/>
        <v>Methanol</v>
      </c>
      <c r="AM481" s="188">
        <f t="shared" si="405"/>
        <v>1.0901753505440899</v>
      </c>
    </row>
    <row r="482" spans="33:39" x14ac:dyDescent="0.25">
      <c r="AG482" s="164" t="s">
        <v>433</v>
      </c>
      <c r="AH482" s="164" t="s">
        <v>432</v>
      </c>
      <c r="AI482" s="164">
        <v>2050</v>
      </c>
      <c r="AJ482" s="164" t="str">
        <f t="shared" si="402"/>
        <v>Sea</v>
      </c>
      <c r="AK482" s="164" t="str">
        <f t="shared" si="403"/>
        <v>Container</v>
      </c>
      <c r="AL482" s="164" t="str">
        <f t="shared" si="404"/>
        <v>HFO</v>
      </c>
      <c r="AM482" s="188">
        <f t="shared" si="405"/>
        <v>1</v>
      </c>
    </row>
    <row r="483" spans="33:39" x14ac:dyDescent="0.25">
      <c r="AG483" s="164" t="s">
        <v>433</v>
      </c>
      <c r="AH483" s="164" t="s">
        <v>432</v>
      </c>
      <c r="AI483" s="164">
        <v>2050</v>
      </c>
      <c r="AJ483" s="164" t="str">
        <f t="shared" si="402"/>
        <v>Sea</v>
      </c>
      <c r="AK483" s="164" t="str">
        <f t="shared" si="403"/>
        <v>Container</v>
      </c>
      <c r="AL483" s="164" t="str">
        <f t="shared" si="404"/>
        <v>MGO</v>
      </c>
      <c r="AM483" s="188">
        <f t="shared" si="405"/>
        <v>1</v>
      </c>
    </row>
    <row r="484" spans="33:39" x14ac:dyDescent="0.25">
      <c r="AG484" s="164" t="s">
        <v>103</v>
      </c>
      <c r="AH484" s="164" t="s">
        <v>432</v>
      </c>
      <c r="AI484" s="164">
        <v>2050</v>
      </c>
      <c r="AJ484" s="164" t="str">
        <f t="shared" si="402"/>
        <v>Sea</v>
      </c>
      <c r="AK484" s="164" t="str">
        <f t="shared" si="403"/>
        <v>Container</v>
      </c>
      <c r="AL484" s="164" t="str">
        <f t="shared" si="404"/>
        <v>Hydrogen</v>
      </c>
      <c r="AM484" s="188">
        <f t="shared" si="405"/>
        <v>1.0777339931543242</v>
      </c>
    </row>
    <row r="485" spans="33:39" x14ac:dyDescent="0.25">
      <c r="AG485" s="164" t="s">
        <v>103</v>
      </c>
      <c r="AH485" s="164" t="s">
        <v>432</v>
      </c>
      <c r="AI485" s="164">
        <v>2050</v>
      </c>
      <c r="AJ485" s="164" t="str">
        <f t="shared" si="402"/>
        <v>Sea</v>
      </c>
      <c r="AK485" s="164" t="str">
        <f t="shared" si="403"/>
        <v>Container</v>
      </c>
      <c r="AL485" s="164" t="str">
        <f t="shared" si="404"/>
        <v>Ammonia</v>
      </c>
      <c r="AM485" s="188">
        <f t="shared" si="405"/>
        <v>1.0873727915658782</v>
      </c>
    </row>
    <row r="486" spans="33:39" x14ac:dyDescent="0.25">
      <c r="AG486" s="164" t="s">
        <v>103</v>
      </c>
      <c r="AH486" s="164" t="s">
        <v>432</v>
      </c>
      <c r="AI486" s="164">
        <v>2050</v>
      </c>
      <c r="AJ486" s="164" t="str">
        <f t="shared" si="402"/>
        <v>Sea</v>
      </c>
      <c r="AK486" s="164" t="str">
        <f t="shared" si="403"/>
        <v>Container</v>
      </c>
      <c r="AL486" s="164" t="str">
        <f t="shared" si="404"/>
        <v>Methanol</v>
      </c>
      <c r="AM486" s="188">
        <f t="shared" si="405"/>
        <v>1.0872868553252946</v>
      </c>
    </row>
    <row r="487" spans="33:39" x14ac:dyDescent="0.25">
      <c r="AG487" s="164" t="s">
        <v>433</v>
      </c>
      <c r="AH487" s="164" t="s">
        <v>432</v>
      </c>
      <c r="AI487" s="164">
        <v>2050</v>
      </c>
      <c r="AJ487" s="164" t="str">
        <f t="shared" si="402"/>
        <v>Sea</v>
      </c>
      <c r="AK487" s="164" t="str">
        <f t="shared" si="403"/>
        <v>Break bulk</v>
      </c>
      <c r="AL487" s="164" t="str">
        <f t="shared" si="404"/>
        <v>HFO</v>
      </c>
      <c r="AM487" s="188">
        <f t="shared" si="405"/>
        <v>1</v>
      </c>
    </row>
    <row r="488" spans="33:39" x14ac:dyDescent="0.25">
      <c r="AG488" s="164" t="s">
        <v>433</v>
      </c>
      <c r="AH488" s="164" t="s">
        <v>432</v>
      </c>
      <c r="AI488" s="164">
        <v>2050</v>
      </c>
      <c r="AJ488" s="164" t="str">
        <f t="shared" si="402"/>
        <v>Sea</v>
      </c>
      <c r="AK488" s="164" t="str">
        <f t="shared" si="403"/>
        <v>Break bulk</v>
      </c>
      <c r="AL488" s="164" t="str">
        <f t="shared" si="404"/>
        <v>MGO</v>
      </c>
      <c r="AM488" s="188">
        <f t="shared" si="405"/>
        <v>1</v>
      </c>
    </row>
    <row r="489" spans="33:39" x14ac:dyDescent="0.25">
      <c r="AG489" s="164" t="s">
        <v>103</v>
      </c>
      <c r="AH489" s="164" t="s">
        <v>432</v>
      </c>
      <c r="AI489" s="164">
        <v>2050</v>
      </c>
      <c r="AJ489" s="164" t="str">
        <f t="shared" si="402"/>
        <v>Sea</v>
      </c>
      <c r="AK489" s="164" t="str">
        <f t="shared" si="403"/>
        <v>Break bulk</v>
      </c>
      <c r="AL489" s="164" t="str">
        <f t="shared" si="404"/>
        <v>Hydrogen</v>
      </c>
      <c r="AM489" s="188">
        <f t="shared" si="405"/>
        <v>1.0812277544204383</v>
      </c>
    </row>
    <row r="490" spans="33:39" x14ac:dyDescent="0.25">
      <c r="AG490" s="164" t="s">
        <v>103</v>
      </c>
      <c r="AH490" s="164" t="s">
        <v>432</v>
      </c>
      <c r="AI490" s="164">
        <v>2050</v>
      </c>
      <c r="AJ490" s="164" t="str">
        <f t="shared" si="402"/>
        <v>Sea</v>
      </c>
      <c r="AK490" s="164" t="str">
        <f t="shared" si="403"/>
        <v>Break bulk</v>
      </c>
      <c r="AL490" s="164" t="str">
        <f t="shared" si="404"/>
        <v>Ammonia</v>
      </c>
      <c r="AM490" s="188">
        <f t="shared" si="405"/>
        <v>1.0912507985366768</v>
      </c>
    </row>
    <row r="491" spans="33:39" x14ac:dyDescent="0.25">
      <c r="AG491" s="164" t="s">
        <v>103</v>
      </c>
      <c r="AH491" s="164" t="s">
        <v>432</v>
      </c>
      <c r="AI491" s="164">
        <v>2050</v>
      </c>
      <c r="AJ491" s="164" t="str">
        <f t="shared" si="402"/>
        <v>Sea</v>
      </c>
      <c r="AK491" s="164" t="str">
        <f t="shared" si="403"/>
        <v>Break bulk</v>
      </c>
      <c r="AL491" s="164" t="str">
        <f t="shared" si="404"/>
        <v>Methanol</v>
      </c>
      <c r="AM491" s="188">
        <f t="shared" si="405"/>
        <v>1.0901867763661468</v>
      </c>
    </row>
    <row r="492" spans="33:39" x14ac:dyDescent="0.25">
      <c r="AG492" s="164" t="s">
        <v>433</v>
      </c>
      <c r="AH492" s="164" t="s">
        <v>432</v>
      </c>
      <c r="AI492" s="164">
        <v>2050</v>
      </c>
      <c r="AJ492" s="164" t="str">
        <f t="shared" si="402"/>
        <v>Sea</v>
      </c>
      <c r="AK492" s="164" t="str">
        <f t="shared" si="403"/>
        <v>Neo bulk</v>
      </c>
      <c r="AL492" s="164" t="str">
        <f t="shared" si="404"/>
        <v>HFO</v>
      </c>
      <c r="AM492" s="188">
        <f t="shared" si="405"/>
        <v>1</v>
      </c>
    </row>
    <row r="493" spans="33:39" x14ac:dyDescent="0.25">
      <c r="AG493" s="164" t="s">
        <v>433</v>
      </c>
      <c r="AH493" s="164" t="s">
        <v>432</v>
      </c>
      <c r="AI493" s="164">
        <v>2050</v>
      </c>
      <c r="AJ493" s="164" t="str">
        <f t="shared" si="402"/>
        <v>Sea</v>
      </c>
      <c r="AK493" s="164" t="str">
        <f t="shared" si="403"/>
        <v>Neo bulk</v>
      </c>
      <c r="AL493" s="164" t="str">
        <f t="shared" si="404"/>
        <v>MGO</v>
      </c>
      <c r="AM493" s="188">
        <f t="shared" si="405"/>
        <v>1</v>
      </c>
    </row>
    <row r="494" spans="33:39" x14ac:dyDescent="0.25">
      <c r="AG494" s="164" t="s">
        <v>103</v>
      </c>
      <c r="AH494" s="164" t="s">
        <v>432</v>
      </c>
      <c r="AI494" s="164">
        <v>2050</v>
      </c>
      <c r="AJ494" s="164" t="str">
        <f t="shared" si="402"/>
        <v>Sea</v>
      </c>
      <c r="AK494" s="164" t="str">
        <f t="shared" si="403"/>
        <v>Neo bulk</v>
      </c>
      <c r="AL494" s="164" t="str">
        <f t="shared" si="404"/>
        <v>Hydrogen</v>
      </c>
      <c r="AM494" s="188">
        <f t="shared" si="405"/>
        <v>1.081247673060582</v>
      </c>
    </row>
    <row r="495" spans="33:39" x14ac:dyDescent="0.25">
      <c r="AG495" s="164" t="s">
        <v>103</v>
      </c>
      <c r="AH495" s="164" t="s">
        <v>432</v>
      </c>
      <c r="AI495" s="164">
        <v>2050</v>
      </c>
      <c r="AJ495" s="164" t="str">
        <f t="shared" si="402"/>
        <v>Sea</v>
      </c>
      <c r="AK495" s="164" t="str">
        <f t="shared" si="403"/>
        <v>Neo bulk</v>
      </c>
      <c r="AL495" s="164" t="str">
        <f t="shared" si="404"/>
        <v>Ammonia</v>
      </c>
      <c r="AM495" s="188">
        <f t="shared" si="405"/>
        <v>1.0912732108219025</v>
      </c>
    </row>
    <row r="496" spans="33:39" x14ac:dyDescent="0.25">
      <c r="AG496" s="164" t="s">
        <v>103</v>
      </c>
      <c r="AH496" s="164" t="s">
        <v>432</v>
      </c>
      <c r="AI496" s="164">
        <v>2050</v>
      </c>
      <c r="AJ496" s="164" t="str">
        <f t="shared" si="402"/>
        <v>Sea</v>
      </c>
      <c r="AK496" s="164" t="str">
        <f t="shared" si="403"/>
        <v>Neo bulk</v>
      </c>
      <c r="AL496" s="164" t="str">
        <f t="shared" si="404"/>
        <v>Methanol</v>
      </c>
      <c r="AM496" s="188">
        <f t="shared" si="405"/>
        <v>1.0902040462174403</v>
      </c>
    </row>
    <row r="497" spans="39:39" x14ac:dyDescent="0.25">
      <c r="AM497" s="188"/>
    </row>
    <row r="498" spans="39:39" x14ac:dyDescent="0.25">
      <c r="AM498" s="188"/>
    </row>
    <row r="499" spans="39:39" x14ac:dyDescent="0.25">
      <c r="AM499" s="188"/>
    </row>
    <row r="500" spans="39:39" x14ac:dyDescent="0.25">
      <c r="AM500" s="188"/>
    </row>
    <row r="501" spans="39:39" x14ac:dyDescent="0.25">
      <c r="AM501" s="188"/>
    </row>
    <row r="502" spans="39:39" x14ac:dyDescent="0.25">
      <c r="AM502" s="188"/>
    </row>
    <row r="503" spans="39:39" x14ac:dyDescent="0.25">
      <c r="AM503" s="188"/>
    </row>
    <row r="504" spans="39:39" x14ac:dyDescent="0.25">
      <c r="AM504" s="188"/>
    </row>
    <row r="505" spans="39:39" x14ac:dyDescent="0.25">
      <c r="AM505" s="188"/>
    </row>
    <row r="506" spans="39:39" x14ac:dyDescent="0.25">
      <c r="AM506" s="188"/>
    </row>
    <row r="507" spans="39:39" x14ac:dyDescent="0.25">
      <c r="AM507" s="188"/>
    </row>
    <row r="508" spans="39:39" x14ac:dyDescent="0.25">
      <c r="AM508" s="188"/>
    </row>
    <row r="509" spans="39:39" x14ac:dyDescent="0.25">
      <c r="AM509" s="188"/>
    </row>
  </sheetData>
  <mergeCells count="12">
    <mergeCell ref="W3:AE3"/>
    <mergeCell ref="AB5:AD5"/>
    <mergeCell ref="AB23:AD23"/>
    <mergeCell ref="AB46:AD46"/>
    <mergeCell ref="I5:K5"/>
    <mergeCell ref="I23:K23"/>
    <mergeCell ref="I46:K46"/>
    <mergeCell ref="D3:K3"/>
    <mergeCell ref="M3:T3"/>
    <mergeCell ref="R5:T5"/>
    <mergeCell ref="S46:U46"/>
    <mergeCell ref="R23:T23"/>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6E95E-7033-4499-8462-D5A0F8C9ED28}">
  <dimension ref="A1:FR562"/>
  <sheetViews>
    <sheetView topLeftCell="BW1" zoomScale="70" zoomScaleNormal="70" workbookViewId="0">
      <selection activeCell="B4" sqref="B4:BD4"/>
    </sheetView>
  </sheetViews>
  <sheetFormatPr defaultColWidth="8.85546875" defaultRowHeight="15" x14ac:dyDescent="0.25"/>
  <cols>
    <col min="1" max="1" width="31.42578125" style="164" bestFit="1" customWidth="1"/>
    <col min="2" max="2" width="18.85546875" style="164" bestFit="1" customWidth="1"/>
    <col min="3" max="3" width="19.42578125" style="164" bestFit="1" customWidth="1"/>
    <col min="4" max="4" width="23.5703125" style="164" bestFit="1" customWidth="1"/>
    <col min="5" max="5" width="23.85546875" style="164" bestFit="1" customWidth="1"/>
    <col min="6" max="6" width="24" style="164" bestFit="1" customWidth="1"/>
    <col min="7" max="7" width="20.140625" style="164" bestFit="1" customWidth="1"/>
    <col min="8" max="8" width="20.85546875" style="164" bestFit="1" customWidth="1"/>
    <col min="9" max="9" width="25.140625" style="164" bestFit="1" customWidth="1"/>
    <col min="10" max="10" width="25.42578125" style="164" bestFit="1" customWidth="1"/>
    <col min="11" max="11" width="25.5703125" style="164" bestFit="1" customWidth="1"/>
    <col min="12" max="12" width="21.140625" style="164" bestFit="1" customWidth="1"/>
    <col min="13" max="13" width="21.85546875" style="164" bestFit="1" customWidth="1"/>
    <col min="14" max="15" width="26.140625" style="164" bestFit="1" customWidth="1"/>
    <col min="16" max="16" width="26.42578125" style="164" bestFit="1" customWidth="1"/>
    <col min="17" max="17" width="20.5703125" style="164" bestFit="1" customWidth="1"/>
    <col min="18" max="18" width="21.5703125" style="164" bestFit="1" customWidth="1"/>
    <col min="19" max="19" width="25.85546875" style="164" bestFit="1" customWidth="1"/>
    <col min="20" max="20" width="26" style="164" bestFit="1" customWidth="1"/>
    <col min="21" max="21" width="26.140625" style="164" bestFit="1" customWidth="1"/>
    <col min="22" max="22" width="21.5703125" style="164" bestFit="1" customWidth="1"/>
    <col min="23" max="23" width="23.42578125" style="164" bestFit="1" customWidth="1"/>
    <col min="24" max="24" width="21.85546875" style="164" bestFit="1" customWidth="1"/>
    <col min="25" max="25" width="24" style="164" bestFit="1" customWidth="1"/>
    <col min="26" max="26" width="24.42578125" style="164" bestFit="1" customWidth="1"/>
    <col min="27" max="27" width="26.140625" style="164" bestFit="1" customWidth="1"/>
    <col min="28" max="28" width="24.5703125" style="164" bestFit="1" customWidth="1"/>
    <col min="29" max="29" width="26.85546875" style="164" bestFit="1" customWidth="1"/>
    <col min="30" max="30" width="23" style="164" bestFit="1" customWidth="1"/>
    <col min="31" max="31" width="24.85546875" style="164" bestFit="1" customWidth="1"/>
    <col min="32" max="32" width="23.42578125" style="164" bestFit="1" customWidth="1"/>
    <col min="33" max="33" width="25.5703125" style="164" bestFit="1" customWidth="1"/>
    <col min="34" max="34" width="23.85546875" style="164" bestFit="1" customWidth="1"/>
    <col min="35" max="35" width="25.85546875" style="164" bestFit="1" customWidth="1"/>
    <col min="36" max="36" width="24.140625" style="164" bestFit="1" customWidth="1"/>
    <col min="37" max="37" width="26.42578125" style="164" bestFit="1" customWidth="1"/>
    <col min="38" max="38" width="23.42578125" style="164" bestFit="1" customWidth="1"/>
    <col min="39" max="39" width="25.42578125" style="164" bestFit="1" customWidth="1"/>
    <col min="40" max="40" width="23.85546875" style="164" bestFit="1" customWidth="1"/>
    <col min="41" max="41" width="26.140625" style="164" bestFit="1" customWidth="1"/>
    <col min="42" max="42" width="22.42578125" style="164" bestFit="1" customWidth="1"/>
    <col min="43" max="43" width="22.85546875" style="164" bestFit="1" customWidth="1"/>
    <col min="44" max="44" width="25" style="164" bestFit="1" customWidth="1"/>
    <col min="45" max="45" width="25.42578125" style="164" bestFit="1" customWidth="1"/>
    <col min="46" max="46" width="25.85546875" style="164" bestFit="1" customWidth="1"/>
    <col min="47" max="47" width="27.85546875" style="164" bestFit="1" customWidth="1"/>
    <col min="48" max="48" width="24" style="164" bestFit="1" customWidth="1"/>
    <col min="49" max="49" width="24.42578125" style="164" bestFit="1" customWidth="1"/>
    <col min="50" max="50" width="26.5703125" style="164" bestFit="1" customWidth="1"/>
    <col min="51" max="51" width="24.85546875" style="164" bestFit="1" customWidth="1"/>
    <col min="52" max="52" width="25.140625" style="164" bestFit="1" customWidth="1"/>
    <col min="53" max="53" width="27.42578125" style="164" bestFit="1" customWidth="1"/>
    <col min="54" max="54" width="24.42578125" style="164" bestFit="1" customWidth="1"/>
    <col min="55" max="55" width="24.85546875" style="164" bestFit="1" customWidth="1"/>
    <col min="56" max="56" width="27.140625" style="164" bestFit="1" customWidth="1"/>
    <col min="57" max="57" width="18.85546875" style="164" bestFit="1" customWidth="1"/>
    <col min="58" max="58" width="19.42578125" style="164" bestFit="1" customWidth="1"/>
    <col min="59" max="59" width="23.5703125" style="164" bestFit="1" customWidth="1"/>
    <col min="60" max="60" width="23.85546875" style="164" bestFit="1" customWidth="1"/>
    <col min="61" max="61" width="24" style="164" bestFit="1" customWidth="1"/>
    <col min="62" max="62" width="20.140625" style="164" bestFit="1" customWidth="1"/>
    <col min="63" max="63" width="20.85546875" style="164" bestFit="1" customWidth="1"/>
    <col min="64" max="64" width="25.140625" style="164" bestFit="1" customWidth="1"/>
    <col min="65" max="65" width="25.42578125" style="164" bestFit="1" customWidth="1"/>
    <col min="66" max="66" width="25.5703125" style="164" bestFit="1" customWidth="1"/>
    <col min="67" max="67" width="21.140625" style="164" bestFit="1" customWidth="1"/>
    <col min="68" max="68" width="21.85546875" style="164" bestFit="1" customWidth="1"/>
    <col min="69" max="70" width="26.140625" style="164" bestFit="1" customWidth="1"/>
    <col min="71" max="71" width="26.42578125" style="164" bestFit="1" customWidth="1"/>
    <col min="72" max="72" width="20.5703125" style="164" bestFit="1" customWidth="1"/>
    <col min="73" max="73" width="21.5703125" style="164" bestFit="1" customWidth="1"/>
    <col min="74" max="74" width="25.85546875" style="164" bestFit="1" customWidth="1"/>
    <col min="75" max="75" width="26" style="164" bestFit="1" customWidth="1"/>
    <col min="76" max="76" width="26.140625" style="164" bestFit="1" customWidth="1"/>
    <col min="77" max="77" width="21.5703125" style="164" bestFit="1" customWidth="1"/>
    <col min="78" max="78" width="23.42578125" style="164" bestFit="1" customWidth="1"/>
    <col min="79" max="79" width="21.85546875" style="164" bestFit="1" customWidth="1"/>
    <col min="80" max="80" width="24" style="164" bestFit="1" customWidth="1"/>
    <col min="81" max="81" width="24.42578125" style="164" bestFit="1" customWidth="1"/>
    <col min="82" max="82" width="26.140625" style="164" bestFit="1" customWidth="1"/>
    <col min="83" max="83" width="24.5703125" style="164" bestFit="1" customWidth="1"/>
    <col min="84" max="84" width="26.85546875" style="164" bestFit="1" customWidth="1"/>
    <col min="85" max="85" width="23" style="164" bestFit="1" customWidth="1"/>
    <col min="86" max="86" width="24.85546875" style="164" bestFit="1" customWidth="1"/>
    <col min="87" max="87" width="23.42578125" style="164" bestFit="1" customWidth="1"/>
    <col min="88" max="88" width="25.5703125" style="164" bestFit="1" customWidth="1"/>
    <col min="89" max="89" width="23.85546875" style="164" bestFit="1" customWidth="1"/>
    <col min="90" max="90" width="25.85546875" style="164" bestFit="1" customWidth="1"/>
    <col min="91" max="91" width="24.140625" style="164" bestFit="1" customWidth="1"/>
    <col min="92" max="92" width="26.42578125" style="164" bestFit="1" customWidth="1"/>
    <col min="93" max="93" width="23.42578125" style="164" bestFit="1" customWidth="1"/>
    <col min="94" max="94" width="25.42578125" style="164" bestFit="1" customWidth="1"/>
    <col min="95" max="95" width="23.85546875" style="164" bestFit="1" customWidth="1"/>
    <col min="96" max="96" width="26.140625" style="164" bestFit="1" customWidth="1"/>
    <col min="97" max="97" width="22.42578125" style="164" bestFit="1" customWidth="1"/>
    <col min="98" max="98" width="22.85546875" style="164" bestFit="1" customWidth="1"/>
    <col min="99" max="99" width="25" style="164" bestFit="1" customWidth="1"/>
    <col min="100" max="100" width="25.42578125" style="164" bestFit="1" customWidth="1"/>
    <col min="101" max="101" width="25.85546875" style="164" bestFit="1" customWidth="1"/>
    <col min="102" max="102" width="27.85546875" style="164" bestFit="1" customWidth="1"/>
    <col min="103" max="103" width="24" style="164" bestFit="1" customWidth="1"/>
    <col min="104" max="104" width="24.42578125" style="164" bestFit="1" customWidth="1"/>
    <col min="105" max="105" width="26.5703125" style="164" bestFit="1" customWidth="1"/>
    <col min="106" max="106" width="24.85546875" style="164" bestFit="1" customWidth="1"/>
    <col min="107" max="107" width="25.140625" style="164" bestFit="1" customWidth="1"/>
    <col min="108" max="108" width="27.42578125" style="164" bestFit="1" customWidth="1"/>
    <col min="109" max="109" width="24.42578125" style="164" bestFit="1" customWidth="1"/>
    <col min="110" max="110" width="24.85546875" style="164" bestFit="1" customWidth="1"/>
    <col min="111" max="111" width="27.140625" style="164" bestFit="1" customWidth="1"/>
    <col min="112" max="112" width="18.85546875" style="164" bestFit="1" customWidth="1"/>
    <col min="113" max="113" width="19.42578125" style="164" bestFit="1" customWidth="1"/>
    <col min="114" max="114" width="23.5703125" style="164" bestFit="1" customWidth="1"/>
    <col min="115" max="115" width="23.85546875" style="164" bestFit="1" customWidth="1"/>
    <col min="116" max="116" width="24" style="164" bestFit="1" customWidth="1"/>
    <col min="117" max="117" width="20.140625" style="164" bestFit="1" customWidth="1"/>
    <col min="118" max="118" width="20.85546875" style="164" bestFit="1" customWidth="1"/>
    <col min="119" max="119" width="25.140625" style="164" bestFit="1" customWidth="1"/>
    <col min="120" max="120" width="25.42578125" style="164" bestFit="1" customWidth="1"/>
    <col min="121" max="121" width="25.5703125" style="164" bestFit="1" customWidth="1"/>
    <col min="122" max="122" width="21.140625" style="164" bestFit="1" customWidth="1"/>
    <col min="123" max="123" width="21.85546875" style="164" bestFit="1" customWidth="1"/>
    <col min="124" max="125" width="26.140625" style="164" bestFit="1" customWidth="1"/>
    <col min="126" max="126" width="26.42578125" style="164" bestFit="1" customWidth="1"/>
    <col min="127" max="127" width="20.5703125" style="164" bestFit="1" customWidth="1"/>
    <col min="128" max="128" width="21.5703125" style="164" bestFit="1" customWidth="1"/>
    <col min="129" max="129" width="25.85546875" style="164" bestFit="1" customWidth="1"/>
    <col min="130" max="130" width="26" style="164" bestFit="1" customWidth="1"/>
    <col min="131" max="131" width="26.140625" style="164" bestFit="1" customWidth="1"/>
    <col min="132" max="132" width="21.5703125" style="164" bestFit="1" customWidth="1"/>
    <col min="133" max="133" width="23.42578125" style="164" bestFit="1" customWidth="1"/>
    <col min="134" max="134" width="21.85546875" style="164" bestFit="1" customWidth="1"/>
    <col min="135" max="135" width="24" style="164" bestFit="1" customWidth="1"/>
    <col min="136" max="136" width="24.42578125" style="164" bestFit="1" customWidth="1"/>
    <col min="137" max="137" width="26.140625" style="164" bestFit="1" customWidth="1"/>
    <col min="138" max="138" width="24.5703125" style="164" bestFit="1" customWidth="1"/>
    <col min="139" max="139" width="26.85546875" style="164" bestFit="1" customWidth="1"/>
    <col min="140" max="140" width="23" style="164" bestFit="1" customWidth="1"/>
    <col min="141" max="141" width="24.85546875" style="164" bestFit="1" customWidth="1"/>
    <col min="142" max="142" width="23.42578125" style="164" bestFit="1" customWidth="1"/>
    <col min="143" max="143" width="25.5703125" style="164" bestFit="1" customWidth="1"/>
    <col min="144" max="144" width="23.85546875" style="164" bestFit="1" customWidth="1"/>
    <col min="145" max="145" width="25.85546875" style="164" bestFit="1" customWidth="1"/>
    <col min="146" max="146" width="24.140625" style="164" bestFit="1" customWidth="1"/>
    <col min="147" max="147" width="26.42578125" style="164" bestFit="1" customWidth="1"/>
    <col min="148" max="148" width="23.42578125" style="164" bestFit="1" customWidth="1"/>
    <col min="149" max="149" width="25.42578125" style="164" bestFit="1" customWidth="1"/>
    <col min="150" max="150" width="23.85546875" style="164" bestFit="1" customWidth="1"/>
    <col min="151" max="151" width="26.140625" style="164" bestFit="1" customWidth="1"/>
    <col min="152" max="152" width="22.42578125" style="164" bestFit="1" customWidth="1"/>
    <col min="153" max="153" width="22.85546875" style="164" bestFit="1" customWidth="1"/>
    <col min="154" max="154" width="25" style="164" bestFit="1" customWidth="1"/>
    <col min="155" max="155" width="25.42578125" style="164" bestFit="1" customWidth="1"/>
    <col min="156" max="156" width="25.85546875" style="164" bestFit="1" customWidth="1"/>
    <col min="157" max="157" width="27.85546875" style="164" bestFit="1" customWidth="1"/>
    <col min="158" max="158" width="24" style="164" bestFit="1" customWidth="1"/>
    <col min="159" max="159" width="24.42578125" style="164" bestFit="1" customWidth="1"/>
    <col min="160" max="160" width="26.5703125" style="164" bestFit="1" customWidth="1"/>
    <col min="161" max="161" width="24.85546875" style="164" bestFit="1" customWidth="1"/>
    <col min="162" max="162" width="25.140625" style="164" bestFit="1" customWidth="1"/>
    <col min="163" max="163" width="27.42578125" style="164" bestFit="1" customWidth="1"/>
    <col min="164" max="164" width="24.42578125" style="164" bestFit="1" customWidth="1"/>
    <col min="165" max="165" width="24.85546875" style="164" bestFit="1" customWidth="1"/>
    <col min="166" max="166" width="27.140625" style="164" bestFit="1" customWidth="1"/>
    <col min="167" max="16384" width="8.85546875" style="164"/>
  </cols>
  <sheetData>
    <row r="1" spans="1:174" x14ac:dyDescent="0.25">
      <c r="A1" s="171" t="s">
        <v>407</v>
      </c>
    </row>
    <row r="4" spans="1:174" x14ac:dyDescent="0.25">
      <c r="B4" s="202">
        <v>2023</v>
      </c>
      <c r="C4" s="202"/>
      <c r="D4" s="202"/>
      <c r="E4" s="202"/>
      <c r="F4" s="202"/>
      <c r="G4" s="202"/>
      <c r="H4" s="202"/>
      <c r="I4" s="202"/>
      <c r="J4" s="202"/>
      <c r="K4" s="202"/>
      <c r="L4" s="202"/>
      <c r="M4" s="202"/>
      <c r="N4" s="202"/>
      <c r="O4" s="202"/>
      <c r="P4" s="202"/>
      <c r="Q4" s="202"/>
      <c r="R4" s="202"/>
      <c r="S4" s="202"/>
      <c r="T4" s="202"/>
      <c r="U4" s="202"/>
      <c r="V4" s="202"/>
      <c r="W4" s="202"/>
      <c r="X4" s="202"/>
      <c r="Y4" s="202"/>
      <c r="Z4" s="202"/>
      <c r="AA4" s="202"/>
      <c r="AB4" s="202"/>
      <c r="AC4" s="202"/>
      <c r="AD4" s="202"/>
      <c r="AE4" s="202"/>
      <c r="AF4" s="202"/>
      <c r="AG4" s="202"/>
      <c r="AH4" s="202"/>
      <c r="AI4" s="202"/>
      <c r="AJ4" s="202"/>
      <c r="AK4" s="202"/>
      <c r="AL4" s="202"/>
      <c r="AM4" s="202"/>
      <c r="AN4" s="202"/>
      <c r="AO4" s="202"/>
      <c r="AP4" s="202"/>
      <c r="AQ4" s="202"/>
      <c r="AR4" s="202"/>
      <c r="AS4" s="202"/>
      <c r="AT4" s="202"/>
      <c r="AU4" s="202"/>
      <c r="AV4" s="202"/>
      <c r="AW4" s="202"/>
      <c r="AX4" s="202"/>
      <c r="AY4" s="202"/>
      <c r="AZ4" s="202"/>
      <c r="BA4" s="202"/>
      <c r="BB4" s="202"/>
      <c r="BC4" s="202"/>
      <c r="BD4" s="202"/>
      <c r="BE4" s="202">
        <v>2034</v>
      </c>
      <c r="BF4" s="202"/>
      <c r="BG4" s="202"/>
      <c r="BH4" s="202"/>
      <c r="BI4" s="202"/>
      <c r="BJ4" s="202"/>
      <c r="BK4" s="202"/>
      <c r="BL4" s="202"/>
      <c r="BM4" s="202"/>
      <c r="BN4" s="202"/>
      <c r="BO4" s="202"/>
      <c r="BP4" s="202"/>
      <c r="BQ4" s="202"/>
      <c r="BR4" s="202"/>
      <c r="BS4" s="202"/>
      <c r="BT4" s="202"/>
      <c r="BU4" s="202"/>
      <c r="BV4" s="202"/>
      <c r="BW4" s="202"/>
      <c r="BX4" s="202"/>
      <c r="BY4" s="202"/>
      <c r="BZ4" s="202"/>
      <c r="CA4" s="202"/>
      <c r="CB4" s="202"/>
      <c r="CC4" s="202"/>
      <c r="CD4" s="202"/>
      <c r="CE4" s="202"/>
      <c r="CF4" s="202"/>
      <c r="CG4" s="202"/>
      <c r="CH4" s="202"/>
      <c r="CI4" s="202"/>
      <c r="CJ4" s="202"/>
      <c r="CK4" s="202"/>
      <c r="CL4" s="202"/>
      <c r="CM4" s="202"/>
      <c r="CN4" s="202"/>
      <c r="CO4" s="202"/>
      <c r="CP4" s="202"/>
      <c r="CQ4" s="202"/>
      <c r="CR4" s="202"/>
      <c r="CS4" s="202"/>
      <c r="CT4" s="202"/>
      <c r="CU4" s="202"/>
      <c r="CV4" s="202"/>
      <c r="CW4" s="202"/>
      <c r="CX4" s="202"/>
      <c r="CY4" s="202"/>
      <c r="CZ4" s="202"/>
      <c r="DA4" s="202"/>
      <c r="DB4" s="202"/>
      <c r="DC4" s="202"/>
      <c r="DD4" s="202"/>
      <c r="DE4" s="202"/>
      <c r="DF4" s="202"/>
      <c r="DG4" s="202"/>
      <c r="DH4" s="202">
        <v>2050</v>
      </c>
      <c r="DI4" s="202"/>
      <c r="DJ4" s="202"/>
      <c r="DK4" s="202"/>
      <c r="DL4" s="202"/>
      <c r="DM4" s="202"/>
      <c r="DN4" s="202"/>
      <c r="DO4" s="202"/>
      <c r="DP4" s="202"/>
      <c r="DQ4" s="202"/>
      <c r="DR4" s="202"/>
      <c r="DS4" s="202"/>
      <c r="DT4" s="202"/>
      <c r="DU4" s="202"/>
      <c r="DV4" s="202"/>
      <c r="DW4" s="202"/>
      <c r="DX4" s="202"/>
      <c r="DY4" s="202"/>
      <c r="DZ4" s="202"/>
      <c r="EA4" s="202"/>
      <c r="EB4" s="202"/>
      <c r="EC4" s="202"/>
      <c r="ED4" s="202"/>
      <c r="EE4" s="202"/>
      <c r="EF4" s="202"/>
      <c r="EG4" s="202"/>
      <c r="EH4" s="202"/>
      <c r="EI4" s="202"/>
      <c r="EJ4" s="202"/>
      <c r="EK4" s="202"/>
      <c r="EL4" s="202"/>
      <c r="EM4" s="202"/>
      <c r="EN4" s="202"/>
      <c r="EO4" s="202"/>
      <c r="EP4" s="202"/>
      <c r="EQ4" s="202"/>
      <c r="ER4" s="202"/>
      <c r="ES4" s="202"/>
      <c r="ET4" s="202"/>
      <c r="EU4" s="202"/>
      <c r="EV4" s="202"/>
      <c r="EW4" s="202"/>
      <c r="EX4" s="202"/>
      <c r="EY4" s="202"/>
      <c r="EZ4" s="202"/>
      <c r="FA4" s="202"/>
      <c r="FB4" s="202"/>
      <c r="FC4" s="202"/>
      <c r="FD4" s="202"/>
      <c r="FE4" s="202"/>
      <c r="FF4" s="202"/>
      <c r="FG4" s="202"/>
      <c r="FH4" s="202"/>
      <c r="FI4" s="202"/>
      <c r="FJ4" s="202"/>
    </row>
    <row r="5" spans="1:174" x14ac:dyDescent="0.25">
      <c r="B5" s="164" t="s">
        <v>388</v>
      </c>
      <c r="C5" s="164" t="s">
        <v>384</v>
      </c>
      <c r="D5" s="164" t="s">
        <v>337</v>
      </c>
      <c r="E5" s="164" t="s">
        <v>338</v>
      </c>
      <c r="F5" s="164" t="s">
        <v>339</v>
      </c>
      <c r="G5" s="164" t="s">
        <v>389</v>
      </c>
      <c r="H5" s="164" t="s">
        <v>385</v>
      </c>
      <c r="I5" s="164" t="s">
        <v>340</v>
      </c>
      <c r="J5" s="164" t="s">
        <v>341</v>
      </c>
      <c r="K5" s="164" t="s">
        <v>342</v>
      </c>
      <c r="L5" s="164" t="s">
        <v>390</v>
      </c>
      <c r="M5" s="164" t="s">
        <v>386</v>
      </c>
      <c r="N5" s="164" t="s">
        <v>343</v>
      </c>
      <c r="O5" s="164" t="s">
        <v>344</v>
      </c>
      <c r="P5" s="164" t="s">
        <v>345</v>
      </c>
      <c r="Q5" s="164" t="s">
        <v>391</v>
      </c>
      <c r="R5" s="164" t="s">
        <v>387</v>
      </c>
      <c r="S5" s="164" t="s">
        <v>346</v>
      </c>
      <c r="T5" s="164" t="s">
        <v>347</v>
      </c>
      <c r="U5" s="164" t="s">
        <v>348</v>
      </c>
      <c r="V5" s="164" t="s">
        <v>349</v>
      </c>
      <c r="W5" s="164" t="s">
        <v>350</v>
      </c>
      <c r="X5" s="164" t="s">
        <v>351</v>
      </c>
      <c r="Y5" s="164" t="s">
        <v>352</v>
      </c>
      <c r="Z5" s="164" t="s">
        <v>353</v>
      </c>
      <c r="AA5" s="164" t="s">
        <v>354</v>
      </c>
      <c r="AB5" s="164" t="s">
        <v>355</v>
      </c>
      <c r="AC5" s="164" t="s">
        <v>356</v>
      </c>
      <c r="AD5" s="164" t="s">
        <v>357</v>
      </c>
      <c r="AE5" s="164" t="s">
        <v>358</v>
      </c>
      <c r="AF5" s="164" t="s">
        <v>359</v>
      </c>
      <c r="AG5" s="164" t="s">
        <v>360</v>
      </c>
      <c r="AH5" s="164" t="s">
        <v>361</v>
      </c>
      <c r="AI5" s="164" t="s">
        <v>362</v>
      </c>
      <c r="AJ5" s="164" t="s">
        <v>363</v>
      </c>
      <c r="AK5" s="164" t="s">
        <v>364</v>
      </c>
      <c r="AL5" s="164" t="s">
        <v>365</v>
      </c>
      <c r="AM5" s="164" t="s">
        <v>366</v>
      </c>
      <c r="AN5" s="164" t="s">
        <v>367</v>
      </c>
      <c r="AO5" s="164" t="s">
        <v>368</v>
      </c>
      <c r="AP5" s="164" t="s">
        <v>369</v>
      </c>
      <c r="AQ5" s="164" t="s">
        <v>370</v>
      </c>
      <c r="AR5" s="164" t="s">
        <v>371</v>
      </c>
      <c r="AS5" s="164" t="s">
        <v>372</v>
      </c>
      <c r="AT5" s="164" t="s">
        <v>373</v>
      </c>
      <c r="AU5" s="164" t="s">
        <v>374</v>
      </c>
      <c r="AV5" s="164" t="s">
        <v>375</v>
      </c>
      <c r="AW5" s="164" t="s">
        <v>376</v>
      </c>
      <c r="AX5" s="164" t="s">
        <v>377</v>
      </c>
      <c r="AY5" s="164" t="s">
        <v>378</v>
      </c>
      <c r="AZ5" s="164" t="s">
        <v>379</v>
      </c>
      <c r="BA5" s="164" t="s">
        <v>380</v>
      </c>
      <c r="BB5" s="164" t="s">
        <v>381</v>
      </c>
      <c r="BC5" s="164" t="s">
        <v>382</v>
      </c>
      <c r="BD5" s="164" t="s">
        <v>383</v>
      </c>
      <c r="BE5" s="164" t="s">
        <v>388</v>
      </c>
      <c r="BF5" s="164" t="s">
        <v>384</v>
      </c>
      <c r="BG5" s="164" t="s">
        <v>337</v>
      </c>
      <c r="BH5" s="164" t="s">
        <v>338</v>
      </c>
      <c r="BI5" s="164" t="s">
        <v>339</v>
      </c>
      <c r="BJ5" s="164" t="s">
        <v>389</v>
      </c>
      <c r="BK5" s="164" t="s">
        <v>385</v>
      </c>
      <c r="BL5" s="164" t="s">
        <v>340</v>
      </c>
      <c r="BM5" s="164" t="s">
        <v>341</v>
      </c>
      <c r="BN5" s="164" t="s">
        <v>342</v>
      </c>
      <c r="BO5" s="164" t="s">
        <v>390</v>
      </c>
      <c r="BP5" s="164" t="s">
        <v>386</v>
      </c>
      <c r="BQ5" s="164" t="s">
        <v>343</v>
      </c>
      <c r="BR5" s="164" t="s">
        <v>344</v>
      </c>
      <c r="BS5" s="164" t="s">
        <v>345</v>
      </c>
      <c r="BT5" s="164" t="s">
        <v>391</v>
      </c>
      <c r="BU5" s="164" t="s">
        <v>387</v>
      </c>
      <c r="BV5" s="164" t="s">
        <v>346</v>
      </c>
      <c r="BW5" s="164" t="s">
        <v>347</v>
      </c>
      <c r="BX5" s="164" t="s">
        <v>348</v>
      </c>
      <c r="BY5" s="164" t="s">
        <v>349</v>
      </c>
      <c r="BZ5" s="164" t="s">
        <v>350</v>
      </c>
      <c r="CA5" s="164" t="s">
        <v>351</v>
      </c>
      <c r="CB5" s="164" t="s">
        <v>352</v>
      </c>
      <c r="CC5" s="164" t="s">
        <v>353</v>
      </c>
      <c r="CD5" s="164" t="s">
        <v>354</v>
      </c>
      <c r="CE5" s="164" t="s">
        <v>355</v>
      </c>
      <c r="CF5" s="164" t="s">
        <v>356</v>
      </c>
      <c r="CG5" s="164" t="s">
        <v>357</v>
      </c>
      <c r="CH5" s="164" t="s">
        <v>358</v>
      </c>
      <c r="CI5" s="164" t="s">
        <v>359</v>
      </c>
      <c r="CJ5" s="164" t="s">
        <v>360</v>
      </c>
      <c r="CK5" s="164" t="s">
        <v>361</v>
      </c>
      <c r="CL5" s="164" t="s">
        <v>362</v>
      </c>
      <c r="CM5" s="164" t="s">
        <v>363</v>
      </c>
      <c r="CN5" s="164" t="s">
        <v>364</v>
      </c>
      <c r="CO5" s="164" t="s">
        <v>365</v>
      </c>
      <c r="CP5" s="164" t="s">
        <v>366</v>
      </c>
      <c r="CQ5" s="164" t="s">
        <v>367</v>
      </c>
      <c r="CR5" s="164" t="s">
        <v>368</v>
      </c>
      <c r="CS5" s="164" t="s">
        <v>369</v>
      </c>
      <c r="CT5" s="164" t="s">
        <v>370</v>
      </c>
      <c r="CU5" s="164" t="s">
        <v>371</v>
      </c>
      <c r="CV5" s="164" t="s">
        <v>372</v>
      </c>
      <c r="CW5" s="164" t="s">
        <v>373</v>
      </c>
      <c r="CX5" s="164" t="s">
        <v>374</v>
      </c>
      <c r="CY5" s="164" t="s">
        <v>375</v>
      </c>
      <c r="CZ5" s="164" t="s">
        <v>376</v>
      </c>
      <c r="DA5" s="164" t="s">
        <v>377</v>
      </c>
      <c r="DB5" s="164" t="s">
        <v>378</v>
      </c>
      <c r="DC5" s="164" t="s">
        <v>379</v>
      </c>
      <c r="DD5" s="164" t="s">
        <v>380</v>
      </c>
      <c r="DE5" s="164" t="s">
        <v>381</v>
      </c>
      <c r="DF5" s="164" t="s">
        <v>382</v>
      </c>
      <c r="DG5" s="164" t="s">
        <v>383</v>
      </c>
      <c r="DH5" s="164" t="s">
        <v>388</v>
      </c>
      <c r="DI5" s="164" t="s">
        <v>384</v>
      </c>
      <c r="DJ5" s="164" t="s">
        <v>337</v>
      </c>
      <c r="DK5" s="164" t="s">
        <v>338</v>
      </c>
      <c r="DL5" s="164" t="s">
        <v>339</v>
      </c>
      <c r="DM5" s="164" t="s">
        <v>389</v>
      </c>
      <c r="DN5" s="164" t="s">
        <v>385</v>
      </c>
      <c r="DO5" s="164" t="s">
        <v>340</v>
      </c>
      <c r="DP5" s="164" t="s">
        <v>341</v>
      </c>
      <c r="DQ5" s="164" t="s">
        <v>342</v>
      </c>
      <c r="DR5" s="164" t="s">
        <v>390</v>
      </c>
      <c r="DS5" s="164" t="s">
        <v>386</v>
      </c>
      <c r="DT5" s="164" t="s">
        <v>343</v>
      </c>
      <c r="DU5" s="164" t="s">
        <v>344</v>
      </c>
      <c r="DV5" s="164" t="s">
        <v>345</v>
      </c>
      <c r="DW5" s="164" t="s">
        <v>391</v>
      </c>
      <c r="DX5" s="164" t="s">
        <v>387</v>
      </c>
      <c r="DY5" s="164" t="s">
        <v>346</v>
      </c>
      <c r="DZ5" s="164" t="s">
        <v>347</v>
      </c>
      <c r="EA5" s="164" t="s">
        <v>348</v>
      </c>
      <c r="EB5" s="164" t="s">
        <v>349</v>
      </c>
      <c r="EC5" s="164" t="s">
        <v>350</v>
      </c>
      <c r="ED5" s="164" t="s">
        <v>351</v>
      </c>
      <c r="EE5" s="164" t="s">
        <v>352</v>
      </c>
      <c r="EF5" s="164" t="s">
        <v>353</v>
      </c>
      <c r="EG5" s="164" t="s">
        <v>354</v>
      </c>
      <c r="EH5" s="164" t="s">
        <v>355</v>
      </c>
      <c r="EI5" s="164" t="s">
        <v>356</v>
      </c>
      <c r="EJ5" s="164" t="s">
        <v>357</v>
      </c>
      <c r="EK5" s="164" t="s">
        <v>358</v>
      </c>
      <c r="EL5" s="164" t="s">
        <v>359</v>
      </c>
      <c r="EM5" s="164" t="s">
        <v>360</v>
      </c>
      <c r="EN5" s="164" t="s">
        <v>361</v>
      </c>
      <c r="EO5" s="164" t="s">
        <v>362</v>
      </c>
      <c r="EP5" s="164" t="s">
        <v>363</v>
      </c>
      <c r="EQ5" s="164" t="s">
        <v>364</v>
      </c>
      <c r="ER5" s="164" t="s">
        <v>365</v>
      </c>
      <c r="ES5" s="164" t="s">
        <v>366</v>
      </c>
      <c r="ET5" s="164" t="s">
        <v>367</v>
      </c>
      <c r="EU5" s="164" t="s">
        <v>368</v>
      </c>
      <c r="EV5" s="164" t="s">
        <v>369</v>
      </c>
      <c r="EW5" s="164" t="s">
        <v>370</v>
      </c>
      <c r="EX5" s="164" t="s">
        <v>371</v>
      </c>
      <c r="EY5" s="164" t="s">
        <v>372</v>
      </c>
      <c r="EZ5" s="164" t="s">
        <v>373</v>
      </c>
      <c r="FA5" s="164" t="s">
        <v>374</v>
      </c>
      <c r="FB5" s="164" t="s">
        <v>375</v>
      </c>
      <c r="FC5" s="164" t="s">
        <v>376</v>
      </c>
      <c r="FD5" s="164" t="s">
        <v>377</v>
      </c>
      <c r="FE5" s="164" t="s">
        <v>378</v>
      </c>
      <c r="FF5" s="164" t="s">
        <v>379</v>
      </c>
      <c r="FG5" s="164" t="s">
        <v>380</v>
      </c>
      <c r="FH5" s="164" t="s">
        <v>381</v>
      </c>
      <c r="FI5" s="164" t="s">
        <v>382</v>
      </c>
      <c r="FJ5" s="164" t="s">
        <v>383</v>
      </c>
    </row>
    <row r="6" spans="1:174" x14ac:dyDescent="0.25">
      <c r="A6" s="164" t="s">
        <v>18</v>
      </c>
      <c r="B6" s="167">
        <f>'Short-sea (HFO)'!B74</f>
        <v>1.0347449498978036E-3</v>
      </c>
      <c r="C6" s="166">
        <f>'Short-sea (MGO)'!B74</f>
        <v>1.0347449498978036E-3</v>
      </c>
      <c r="D6" s="166">
        <f>'Short-sea (Hydrogen)'!B74</f>
        <v>2.0678991054715748E-3</v>
      </c>
      <c r="E6" s="166">
        <f>'Short-sea (Ammonia)'!B74</f>
        <v>2.0676718491395704E-3</v>
      </c>
      <c r="F6" s="166">
        <f>'Short-sea (Methanol)'!B74</f>
        <v>1.3444866658711308E-3</v>
      </c>
      <c r="G6" s="164">
        <f>'Short-sea (HFO)'!B180</f>
        <v>1.0347449498978036E-3</v>
      </c>
      <c r="H6" s="166">
        <f>'Short-sea (MGO)'!B180</f>
        <v>1.0347449498978036E-3</v>
      </c>
      <c r="I6" s="166">
        <f>'Short-sea (Hydrogen)'!B180</f>
        <v>2.0678991054715748E-3</v>
      </c>
      <c r="J6" s="166">
        <f>'Short-sea (Ammonia)'!B180</f>
        <v>2.0676718491395704E-3</v>
      </c>
      <c r="K6" s="166">
        <f>'Short-sea (Methanol)'!B180</f>
        <v>1.3444866658711308E-3</v>
      </c>
      <c r="L6" s="166">
        <f>'Short-sea (HFO)'!B288</f>
        <v>1.0347449498978036E-3</v>
      </c>
      <c r="M6" s="166">
        <f>'Short-sea (MGO)'!B288</f>
        <v>1.0347449498978036E-3</v>
      </c>
      <c r="N6" s="166">
        <f>'Short-sea (Hydrogen)'!B288</f>
        <v>2.0678991054715748E-3</v>
      </c>
      <c r="O6" s="166">
        <f>'Short-sea (Ammonia)'!B288</f>
        <v>2.0676718491395704E-3</v>
      </c>
      <c r="P6" s="166">
        <f>'Short-sea (Methanol)'!B288</f>
        <v>1.3444866658711308E-3</v>
      </c>
      <c r="Q6" s="166">
        <f>'Short-sea (HFO)'!B397</f>
        <v>1.0347449498978036E-3</v>
      </c>
      <c r="R6" s="166">
        <f>'Short-sea (MGO)'!B397</f>
        <v>1.0347449498978036E-3</v>
      </c>
      <c r="S6" s="166">
        <f>'Short-sea (Hydrogen)'!B397</f>
        <v>2.0678991054715748E-3</v>
      </c>
      <c r="T6" s="166">
        <f>'Short-sea (Ammonia)'!B397</f>
        <v>2.0676718491395704E-3</v>
      </c>
      <c r="U6" s="166">
        <f>'Short-sea (Methanol)'!B397</f>
        <v>1.3444866658711308E-3</v>
      </c>
      <c r="V6" s="166">
        <f>'Railway (Diesel)'!B74</f>
        <v>7.6317014160409149E-4</v>
      </c>
      <c r="W6" s="166">
        <f>'Railway (Catenary)'!B74</f>
        <v>1.0902430594344164E-3</v>
      </c>
      <c r="X6" s="166">
        <f>'Railway (Battery)'!B74</f>
        <v>2.1696909640280381E-3</v>
      </c>
      <c r="Y6" s="166">
        <f>'Railway (Hydrogen)'!B74</f>
        <v>2.1632138711235615E-3</v>
      </c>
      <c r="Z6" s="166">
        <f>'Railway (Diesel)'!B180</f>
        <v>7.6317014160409149E-4</v>
      </c>
      <c r="AA6" s="166">
        <f>'Railway (Catenary)'!B180</f>
        <v>1.0902430594344164E-3</v>
      </c>
      <c r="AB6" s="166">
        <f>'Railway (Battery)'!B180</f>
        <v>2.1696909640280381E-3</v>
      </c>
      <c r="AC6" s="166">
        <f>'Railway (Hydrogen)'!B180</f>
        <v>2.1632138711235615E-3</v>
      </c>
      <c r="AD6" s="166">
        <f>'Railway (Diesel)'!B288</f>
        <v>7.6317014160409149E-4</v>
      </c>
      <c r="AE6" s="166">
        <f>'Railway (Catenary)'!B288</f>
        <v>1.0902430594344164E-3</v>
      </c>
      <c r="AF6" s="166">
        <f>'Railway (Battery)'!B288</f>
        <v>2.1696909640280381E-3</v>
      </c>
      <c r="AG6" s="166">
        <f>'Railway (Hydrogen)'!B288</f>
        <v>2.1632138711235615E-3</v>
      </c>
      <c r="AH6" s="166">
        <f>'Railway (Diesel)'!B397</f>
        <v>7.6317014160409149E-4</v>
      </c>
      <c r="AI6" s="166">
        <f>'Railway (Catenary)'!B397</f>
        <v>1.0902430594344164E-3</v>
      </c>
      <c r="AJ6" s="166">
        <f>'Railway (Battery)'!B397</f>
        <v>2.1696909640280381E-3</v>
      </c>
      <c r="AK6" s="166">
        <f>'Railway (Hydrogen)'!B397</f>
        <v>2.1632138711235615E-3</v>
      </c>
      <c r="AL6" s="166">
        <f>'Railway (Diesel)'!B502</f>
        <v>6.1053611328327313E-4</v>
      </c>
      <c r="AM6" s="166">
        <f>'Railway (Catenary)'!B502</f>
        <v>8.7219444754753307E-4</v>
      </c>
      <c r="AN6" s="166">
        <f>'Railway (Battery)'!B502</f>
        <v>1.7357527712224307E-3</v>
      </c>
      <c r="AO6" s="166">
        <f>'Railway (Hydrogen)'!B502</f>
        <v>1.7305710968988492E-3</v>
      </c>
      <c r="AP6" s="166">
        <f>'Semi-trailer truck (Diesel)'!B74</f>
        <v>1.2312752120811793E-2</v>
      </c>
      <c r="AQ6" s="166">
        <f>'Semi-trailer truck (Battery)'!B74</f>
        <v>4.5229574619176545E-2</v>
      </c>
      <c r="AR6" s="166">
        <f>'Semi-trailer truck (Hydrogen)'!B74</f>
        <v>4.4623597015022408E-2</v>
      </c>
      <c r="AS6" s="166">
        <f>'Semi-trailer truck (Diesel)'!B180</f>
        <v>6.1563760604058963E-3</v>
      </c>
      <c r="AT6" s="166">
        <f>'Semi-trailer truck (Battery)'!B180</f>
        <v>2.2614787309588272E-2</v>
      </c>
      <c r="AU6" s="166">
        <f>'Semi-trailer truck (Hydrogen)'!B180</f>
        <v>2.2311798507511204E-2</v>
      </c>
      <c r="AV6" s="166">
        <f>'Semi-trailer truck (Diesel)'!B288</f>
        <v>6.4495368251871292E-3</v>
      </c>
      <c r="AW6" s="166">
        <f>'Semi-trailer truck (Battery)'!B288</f>
        <v>2.3691681943378187E-2</v>
      </c>
      <c r="AX6" s="166">
        <f>'Semi-trailer truck (Hydrogen)'!B288</f>
        <v>2.3374265103106976E-2</v>
      </c>
      <c r="AY6" s="166">
        <f>'Semi-trailer truck (Diesel)'!B397</f>
        <v>8.6820688031365185E-3</v>
      </c>
      <c r="AZ6" s="166">
        <f>'Semi-trailer truck (Battery)'!B397</f>
        <v>3.1892648769932176E-2</v>
      </c>
      <c r="BA6" s="166">
        <f>'Semi-trailer truck (Hydrogen)'!B397</f>
        <v>3.1465356869567078E-2</v>
      </c>
      <c r="BB6" s="166">
        <f>'Semi-trailer truck (Diesel)'!B502</f>
        <v>7.5244596293849832E-3</v>
      </c>
      <c r="BC6" s="166">
        <f>'Semi-trailer truck (Battery)'!B502</f>
        <v>2.7640295600607889E-2</v>
      </c>
      <c r="BD6" s="166">
        <f>'Semi-trailer truck (Hydrogen)'!B502</f>
        <v>2.7269975953624806E-2</v>
      </c>
      <c r="BE6" s="167">
        <f>'Short-sea (HFO)'!M74</f>
        <v>1.0347449498978036E-3</v>
      </c>
      <c r="BF6" s="166">
        <f>'Short-sea (MGO)'!M74</f>
        <v>1.0347449498978036E-3</v>
      </c>
      <c r="BG6" s="166">
        <f>'Short-sea (Hydrogen)'!M74</f>
        <v>1.9922371300663917E-3</v>
      </c>
      <c r="BH6" s="166">
        <f>'Short-sea (Ammonia)'!M74</f>
        <v>1.9812010201050753E-3</v>
      </c>
      <c r="BI6" s="166">
        <f>'Short-sea (Methanol)'!M74</f>
        <v>1.3120601049831952E-3</v>
      </c>
      <c r="BJ6" s="164">
        <f>'Short-sea (HFO)'!M180</f>
        <v>1.0347449498978036E-3</v>
      </c>
      <c r="BK6" s="166">
        <f>'Short-sea (MGO)'!M180</f>
        <v>1.0347449498978036E-3</v>
      </c>
      <c r="BL6" s="166">
        <f>'Short-sea (Hydrogen)'!M180</f>
        <v>1.9922371300663917E-3</v>
      </c>
      <c r="BM6" s="166">
        <f>'Short-sea (Ammonia)'!M180</f>
        <v>1.9812010201050753E-3</v>
      </c>
      <c r="BN6" s="166">
        <f>'Short-sea (Methanol)'!M180</f>
        <v>1.3120601049831952E-3</v>
      </c>
      <c r="BO6" s="166">
        <f>'Short-sea (HFO)'!M288</f>
        <v>1.0347449498978036E-3</v>
      </c>
      <c r="BP6" s="166">
        <f>'Short-sea (MGO)'!M288</f>
        <v>1.0347449498978036E-3</v>
      </c>
      <c r="BQ6" s="166">
        <f>'Short-sea (Hydrogen)'!M288</f>
        <v>1.9922371300663917E-3</v>
      </c>
      <c r="BR6" s="166">
        <f>'Short-sea (Ammonia)'!M288</f>
        <v>1.9812010201050753E-3</v>
      </c>
      <c r="BS6" s="166">
        <f>'Short-sea (Methanol)'!M288</f>
        <v>1.3120601049831952E-3</v>
      </c>
      <c r="BT6" s="166">
        <f>'Short-sea (HFO)'!M397</f>
        <v>1.0347449498978036E-3</v>
      </c>
      <c r="BU6" s="166">
        <f>'Short-sea (MGO)'!M397</f>
        <v>1.0347449498978036E-3</v>
      </c>
      <c r="BV6" s="166">
        <f>'Short-sea (Hydrogen)'!M397</f>
        <v>1.9922371300663917E-3</v>
      </c>
      <c r="BW6" s="166">
        <f>'Short-sea (Ammonia)'!M397</f>
        <v>1.9812010201050753E-3</v>
      </c>
      <c r="BX6" s="166">
        <f>'Short-sea (Methanol)'!M397</f>
        <v>1.3120601049831952E-3</v>
      </c>
      <c r="BY6" s="166">
        <f>'Railway (Diesel)'!M74</f>
        <v>7.6317014160409149E-4</v>
      </c>
      <c r="BZ6" s="166">
        <f>'Railway (Catenary)'!M74</f>
        <v>1.0902430594344164E-3</v>
      </c>
      <c r="CA6" s="166">
        <f>'Railway (Battery)'!M74</f>
        <v>1.8209695944675583E-3</v>
      </c>
      <c r="CB6" s="166">
        <f>'Railway (Hydrogen)'!M74</f>
        <v>1.6052596798267933E-3</v>
      </c>
      <c r="CC6" s="166">
        <f>'Railway (Diesel)'!M180</f>
        <v>7.6317014160409149E-4</v>
      </c>
      <c r="CD6" s="166">
        <f>'Railway (Catenary)'!M180</f>
        <v>1.0902430594344164E-3</v>
      </c>
      <c r="CE6" s="166">
        <f>'Railway (Battery)'!M180</f>
        <v>1.8209695944675583E-3</v>
      </c>
      <c r="CF6" s="166">
        <f>'Railway (Hydrogen)'!M180</f>
        <v>1.6052596798267933E-3</v>
      </c>
      <c r="CG6" s="166">
        <f>'Railway (Diesel)'!M288</f>
        <v>7.6317014160409149E-4</v>
      </c>
      <c r="CH6" s="166">
        <f>'Railway (Catenary)'!M288</f>
        <v>1.0902430594344164E-3</v>
      </c>
      <c r="CI6" s="166">
        <f>'Railway (Battery)'!M288</f>
        <v>1.8209695944675583E-3</v>
      </c>
      <c r="CJ6" s="166">
        <f>'Railway (Hydrogen)'!M288</f>
        <v>1.6052596798267933E-3</v>
      </c>
      <c r="CK6" s="166">
        <f>'Railway (Diesel)'!M397</f>
        <v>7.6317014160409149E-4</v>
      </c>
      <c r="CL6" s="166">
        <f>'Railway (Catenary)'!M397</f>
        <v>1.0902430594344164E-3</v>
      </c>
      <c r="CM6" s="166">
        <f>'Railway (Battery)'!M397</f>
        <v>1.8209695944675583E-3</v>
      </c>
      <c r="CN6" s="166">
        <f>'Railway (Hydrogen)'!M397</f>
        <v>1.6052596798267933E-3</v>
      </c>
      <c r="CO6" s="166">
        <f>'Railway (Diesel)'!M502</f>
        <v>6.1053611328327313E-4</v>
      </c>
      <c r="CP6" s="166">
        <f>'Railway (Catenary)'!M502</f>
        <v>8.7219444754753307E-4</v>
      </c>
      <c r="CQ6" s="166">
        <f>'Railway (Battery)'!M502</f>
        <v>1.4567756755740466E-3</v>
      </c>
      <c r="CR6" s="166">
        <f>'Railway (Hydrogen)'!M502</f>
        <v>1.2842077438614348E-3</v>
      </c>
      <c r="CS6" s="166">
        <f>'Semi-trailer truck (Diesel)'!M74</f>
        <v>1.2812227504666332E-2</v>
      </c>
      <c r="CT6" s="166">
        <f>'Semi-trailer truck (Battery)'!M74</f>
        <v>2.3282636418581814E-2</v>
      </c>
      <c r="CU6" s="166">
        <f>'Semi-trailer truck (Hydrogen)'!M74</f>
        <v>2.5967869002591151E-2</v>
      </c>
      <c r="CV6" s="166">
        <f>'Semi-trailer truck (Diesel)'!M180</f>
        <v>6.406113752333166E-3</v>
      </c>
      <c r="CW6" s="166">
        <f>'Semi-trailer truck (Battery)'!M180</f>
        <v>1.1641318209290907E-2</v>
      </c>
      <c r="CX6" s="166">
        <f>'Semi-trailer truck (Hydrogen)'!M180</f>
        <v>1.2983934501295575E-2</v>
      </c>
      <c r="CY6" s="166">
        <f>'Semi-trailer truck (Diesel)'!M288</f>
        <v>6.7111667881585542E-3</v>
      </c>
      <c r="CZ6" s="166">
        <f>'Semi-trailer truck (Battery)'!M288</f>
        <v>1.2195666695447615E-2</v>
      </c>
      <c r="DA6" s="166">
        <f>'Semi-trailer truck (Hydrogen)'!M288</f>
        <v>1.3602217096595365E-2</v>
      </c>
      <c r="DB6" s="166">
        <f>'Semi-trailer truck (Diesel)'!M397</f>
        <v>9.034262984059592E-3</v>
      </c>
      <c r="DC6" s="166">
        <f>'Semi-trailer truck (Battery)'!M397</f>
        <v>1.6417243628487177E-2</v>
      </c>
      <c r="DD6" s="166">
        <f>'Semi-trailer truck (Hydrogen)'!M397</f>
        <v>1.8310676860801452E-2</v>
      </c>
      <c r="DE6" s="166">
        <f>'Semi-trailer truck (Diesel)'!M502</f>
        <v>7.8296945861849807E-3</v>
      </c>
      <c r="DF6" s="166">
        <f>'Semi-trailer truck (Battery)'!M502</f>
        <v>1.4228277811355551E-2</v>
      </c>
      <c r="DG6" s="166">
        <f>'Semi-trailer truck (Hydrogen)'!M502</f>
        <v>1.586925327936126E-2</v>
      </c>
      <c r="DH6" s="167">
        <f>'Short-sea (HFO)'!AC74</f>
        <v>1.0347449498978036E-3</v>
      </c>
      <c r="DI6" s="166">
        <f>'Short-sea (MGO)'!AC74</f>
        <v>1.0347449498978036E-3</v>
      </c>
      <c r="DJ6" s="166">
        <f>'Short-sea (Hydrogen)'!AC74</f>
        <v>1.3569040676564852E-3</v>
      </c>
      <c r="DK6" s="166">
        <f>'Short-sea (Ammonia)'!AC74</f>
        <v>1.2551060916366106E-3</v>
      </c>
      <c r="DL6" s="166">
        <f>'Short-sea (Methanol)'!AC74</f>
        <v>1.0397745068075209E-3</v>
      </c>
      <c r="DM6" s="164">
        <f>'Short-sea (HFO)'!AC180</f>
        <v>1.0347449498978036E-3</v>
      </c>
      <c r="DN6" s="166">
        <f>'Short-sea (MGO)'!AC180</f>
        <v>1.0347449498978036E-3</v>
      </c>
      <c r="DO6" s="166">
        <f>'Short-sea (Hydrogen)'!AC180</f>
        <v>1.3569040676564852E-3</v>
      </c>
      <c r="DP6" s="166">
        <f>'Short-sea (Ammonia)'!AC180</f>
        <v>1.2551060916366106E-3</v>
      </c>
      <c r="DQ6" s="166">
        <f>'Short-sea (Methanol)'!AC180</f>
        <v>1.0397745068075209E-3</v>
      </c>
      <c r="DR6" s="166">
        <f>'Short-sea (HFO)'!AC288</f>
        <v>1.0347449498978036E-3</v>
      </c>
      <c r="DS6" s="166">
        <f>'Short-sea (MGO)'!AC288</f>
        <v>1.0347449498978036E-3</v>
      </c>
      <c r="DT6" s="166">
        <f>'Short-sea (Hydrogen)'!AC288</f>
        <v>1.3569040676564852E-3</v>
      </c>
      <c r="DU6" s="166">
        <f>'Short-sea (Ammonia)'!AC288</f>
        <v>1.2551060916366106E-3</v>
      </c>
      <c r="DV6" s="166">
        <f>'Short-sea (Methanol)'!AC288</f>
        <v>1.0397745068075209E-3</v>
      </c>
      <c r="DW6" s="166">
        <f>'Short-sea (HFO)'!AC397</f>
        <v>1.0347449498978036E-3</v>
      </c>
      <c r="DX6" s="166">
        <f>'Short-sea (MGO)'!AC397</f>
        <v>1.0347449498978036E-3</v>
      </c>
      <c r="DY6" s="166">
        <f>'Short-sea (Hydrogen)'!AC397</f>
        <v>1.3569040676564852E-3</v>
      </c>
      <c r="DZ6" s="166">
        <f>'Short-sea (Ammonia)'!AC397</f>
        <v>1.2551060916366106E-3</v>
      </c>
      <c r="EA6" s="166">
        <f>'Short-sea (Methanol)'!AC397</f>
        <v>1.0397745068075209E-3</v>
      </c>
      <c r="EB6" s="166">
        <f>'Railway (Diesel)'!AC74</f>
        <v>7.6317014160409149E-4</v>
      </c>
      <c r="EC6" s="166">
        <f>'Railway (Catenary)'!AC74</f>
        <v>1.0902430594344164E-3</v>
      </c>
      <c r="ED6" s="166">
        <f>'Railway (Battery)'!AC74</f>
        <v>1.364623687619921E-3</v>
      </c>
      <c r="EE6" s="166">
        <f>'Railway (Hydrogen)'!AC74</f>
        <v>8.7510622887057403E-4</v>
      </c>
      <c r="EF6" s="166">
        <f>'Railway (Diesel)'!AC180</f>
        <v>7.6317014160409149E-4</v>
      </c>
      <c r="EG6" s="166">
        <f>'Railway (Catenary)'!AC180</f>
        <v>1.0902430594344164E-3</v>
      </c>
      <c r="EH6" s="166">
        <f>'Railway (Battery)'!AC180</f>
        <v>1.364623687619921E-3</v>
      </c>
      <c r="EI6" s="166">
        <f>'Railway (Hydrogen)'!AC180</f>
        <v>8.7510622887057403E-4</v>
      </c>
      <c r="EJ6" s="166">
        <f>'Railway (Diesel)'!AC288</f>
        <v>7.6317014160409149E-4</v>
      </c>
      <c r="EK6" s="166">
        <f>'Railway (Catenary)'!AC288</f>
        <v>1.0902430594344164E-3</v>
      </c>
      <c r="EL6" s="166">
        <f>'Railway (Battery)'!AC288</f>
        <v>1.364623687619921E-3</v>
      </c>
      <c r="EM6" s="166">
        <f>'Railway (Hydrogen)'!AC288</f>
        <v>8.7510622887057403E-4</v>
      </c>
      <c r="EN6" s="166">
        <f>'Railway (Diesel)'!AC397</f>
        <v>7.6317014160409149E-4</v>
      </c>
      <c r="EO6" s="166">
        <f>'Railway (Catenary)'!AC397</f>
        <v>1.0902430594344164E-3</v>
      </c>
      <c r="EP6" s="166">
        <f>'Railway (Battery)'!AC397</f>
        <v>1.364623687619921E-3</v>
      </c>
      <c r="EQ6" s="166">
        <f>'Railway (Hydrogen)'!AC397</f>
        <v>8.7510622887057403E-4</v>
      </c>
      <c r="ER6" s="166">
        <f>'Railway (Diesel)'!AC502</f>
        <v>6.1053611328327313E-4</v>
      </c>
      <c r="ES6" s="166">
        <f>'Railway (Catenary)'!AC502</f>
        <v>8.7219444754753307E-4</v>
      </c>
      <c r="ET6" s="166">
        <f>'Railway (Battery)'!AC502</f>
        <v>1.0916989500959369E-3</v>
      </c>
      <c r="EU6" s="166">
        <f>'Railway (Hydrogen)'!AC502</f>
        <v>7.0008498309645929E-4</v>
      </c>
      <c r="EV6" s="166">
        <f>'Semi-trailer truck (Diesel)'!AC74</f>
        <v>1.3465854058382996E-2</v>
      </c>
      <c r="EW6" s="166">
        <f>'Semi-trailer truck (Battery)'!AC74</f>
        <v>1.6995417056938824E-2</v>
      </c>
      <c r="EX6" s="166">
        <f>'Semi-trailer truck (Hydrogen)'!AC74</f>
        <v>1.8171622640410206E-2</v>
      </c>
      <c r="EY6" s="166">
        <f>'Semi-trailer truck (Diesel)'!AC180</f>
        <v>6.7329270291914978E-3</v>
      </c>
      <c r="EZ6" s="166">
        <f>'Semi-trailer truck (Battery)'!AC180</f>
        <v>8.497708528469412E-3</v>
      </c>
      <c r="FA6" s="166">
        <f>'Semi-trailer truck (Hydrogen)'!AC180</f>
        <v>9.0858113202051029E-3</v>
      </c>
      <c r="FB6" s="166">
        <f>'Semi-trailer truck (Diesel)'!AC288</f>
        <v>7.0535426020101408E-3</v>
      </c>
      <c r="FC6" s="166">
        <f>'Semi-trailer truck (Battery)'!AC288</f>
        <v>8.9023613155393838E-3</v>
      </c>
      <c r="FD6" s="166">
        <f>'Semi-trailer truck (Hydrogen)'!AC288</f>
        <v>9.5184690021196325E-3</v>
      </c>
      <c r="FE6" s="166">
        <f>'Semi-trailer truck (Diesel)'!AC397</f>
        <v>9.4951535027059594E-3</v>
      </c>
      <c r="FF6" s="166">
        <f>'Semi-trailer truck (Battery)'!AC397</f>
        <v>1.1983947924764555E-2</v>
      </c>
      <c r="FG6" s="166">
        <f>'Semi-trailer truck (Hydrogen)'!AC397</f>
        <v>1.2813323656699505E-2</v>
      </c>
      <c r="FH6" s="166">
        <f>'Semi-trailer truck (Diesel)'!AC502</f>
        <v>8.2291330356784979E-3</v>
      </c>
      <c r="FI6" s="166">
        <f>'Semi-trailer truck (Battery)'!AC502</f>
        <v>1.0386088201462616E-2</v>
      </c>
      <c r="FJ6" s="166">
        <f>'Semi-trailer truck (Hydrogen)'!AC502</f>
        <v>1.1104880502472903E-2</v>
      </c>
      <c r="FK6" s="166"/>
      <c r="FL6" s="166"/>
      <c r="FM6" s="166"/>
      <c r="FN6" s="166"/>
      <c r="FP6" s="166"/>
      <c r="FQ6" s="166"/>
      <c r="FR6" s="166"/>
    </row>
    <row r="7" spans="1:174" x14ac:dyDescent="0.25">
      <c r="A7" s="164" t="s">
        <v>28</v>
      </c>
      <c r="B7" s="167">
        <f>'Short-sea (HFO)'!B75</f>
        <v>-1.0336086682377807E-4</v>
      </c>
      <c r="C7" s="166">
        <f>'Short-sea (MGO)'!B75</f>
        <v>-1.0336086682377807E-4</v>
      </c>
      <c r="D7" s="166">
        <f>'Short-sea (Hydrogen)'!B75</f>
        <v>-1.0354267188938173E-4</v>
      </c>
      <c r="E7" s="166">
        <f>'Short-sea (Ammonia)'!B75</f>
        <v>-1.0351994625618128E-4</v>
      </c>
      <c r="F7" s="166">
        <f>'Short-sea (Methanol)'!B75</f>
        <v>-6.7337961459558828E-5</v>
      </c>
      <c r="G7" s="164">
        <f>'Short-sea (HFO)'!B181</f>
        <v>-1.0336086682377807E-4</v>
      </c>
      <c r="H7" s="166">
        <f>'Short-sea (MGO)'!B181</f>
        <v>-1.0336086682377807E-4</v>
      </c>
      <c r="I7" s="166">
        <f>'Short-sea (Hydrogen)'!B181</f>
        <v>-1.0354267188938173E-4</v>
      </c>
      <c r="J7" s="166">
        <f>'Short-sea (Ammonia)'!B181</f>
        <v>-1.0351994625618128E-4</v>
      </c>
      <c r="K7" s="166">
        <f>'Short-sea (Methanol)'!B181</f>
        <v>-6.7337961459558828E-5</v>
      </c>
      <c r="L7" s="166">
        <f>'Short-sea (HFO)'!B289</f>
        <v>-1.0336086682377807E-4</v>
      </c>
      <c r="M7" s="166">
        <f>'Short-sea (MGO)'!B289</f>
        <v>-1.0336086682377807E-4</v>
      </c>
      <c r="N7" s="166">
        <f>'Short-sea (Hydrogen)'!B289</f>
        <v>-1.0354267188938173E-4</v>
      </c>
      <c r="O7" s="166">
        <f>'Short-sea (Ammonia)'!B289</f>
        <v>-1.0351994625618128E-4</v>
      </c>
      <c r="P7" s="166">
        <f>'Short-sea (Methanol)'!B289</f>
        <v>-6.7337961459558828E-5</v>
      </c>
      <c r="Q7" s="166">
        <f>'Short-sea (HFO)'!B398</f>
        <v>-1.0336086682377807E-4</v>
      </c>
      <c r="R7" s="166">
        <f>'Short-sea (MGO)'!B398</f>
        <v>-1.0336086682377807E-4</v>
      </c>
      <c r="S7" s="166">
        <f>'Short-sea (Hydrogen)'!B398</f>
        <v>-1.0354267188938173E-4</v>
      </c>
      <c r="T7" s="166">
        <f>'Short-sea (Ammonia)'!B398</f>
        <v>-1.0351994625618128E-4</v>
      </c>
      <c r="U7" s="166">
        <f>'Short-sea (Methanol)'!B398</f>
        <v>-6.7337961459558828E-5</v>
      </c>
      <c r="V7" s="166">
        <f>'Railway (Diesel)'!B75</f>
        <v>-1.1346797345547289E-4</v>
      </c>
      <c r="W7" s="166">
        <f>'Railway (Catenary)'!B75</f>
        <v>-1.6353645891516245E-4</v>
      </c>
      <c r="X7" s="166">
        <f>'Railway (Battery)'!B75</f>
        <v>-1.1028374067486764E-4</v>
      </c>
      <c r="Y7" s="166">
        <f>'Railway (Hydrogen)'!B75</f>
        <v>-1.0931217673919614E-4</v>
      </c>
      <c r="Z7" s="166">
        <f>'Railway (Diesel)'!B181</f>
        <v>-1.1346797345547289E-4</v>
      </c>
      <c r="AA7" s="166">
        <f>'Railway (Catenary)'!B181</f>
        <v>-1.6353645891516245E-4</v>
      </c>
      <c r="AB7" s="166">
        <f>'Railway (Battery)'!B181</f>
        <v>-1.1028374067486764E-4</v>
      </c>
      <c r="AC7" s="166">
        <f>'Railway (Hydrogen)'!B181</f>
        <v>-1.0931217673919614E-4</v>
      </c>
      <c r="AD7" s="166">
        <f>'Railway (Diesel)'!B289</f>
        <v>-1.1346797345547289E-4</v>
      </c>
      <c r="AE7" s="166">
        <f>'Railway (Catenary)'!B289</f>
        <v>-1.6353645891516245E-4</v>
      </c>
      <c r="AF7" s="166">
        <f>'Railway (Battery)'!B289</f>
        <v>-1.1028374067486764E-4</v>
      </c>
      <c r="AG7" s="166">
        <f>'Railway (Hydrogen)'!B289</f>
        <v>-1.0931217673919614E-4</v>
      </c>
      <c r="AH7" s="166">
        <f>'Railway (Diesel)'!B398</f>
        <v>-1.1346797345547289E-4</v>
      </c>
      <c r="AI7" s="166">
        <f>'Railway (Catenary)'!B398</f>
        <v>-1.6353645891516245E-4</v>
      </c>
      <c r="AJ7" s="166">
        <f>'Railway (Battery)'!B398</f>
        <v>-1.1028374067486764E-4</v>
      </c>
      <c r="AK7" s="166">
        <f>'Railway (Hydrogen)'!B398</f>
        <v>-1.0931217673919614E-4</v>
      </c>
      <c r="AL7" s="166">
        <f>'Railway (Diesel)'!B503</f>
        <v>-9.0774378764378309E-5</v>
      </c>
      <c r="AM7" s="166">
        <f>'Railway (Catenary)'!B503</f>
        <v>-1.3082916713212997E-4</v>
      </c>
      <c r="AN7" s="166">
        <f>'Railway (Battery)'!B503</f>
        <v>-8.822699253989411E-5</v>
      </c>
      <c r="AO7" s="166">
        <f>'Railway (Hydrogen)'!B503</f>
        <v>-8.7449741391356912E-5</v>
      </c>
      <c r="AP7" s="166">
        <f>'Semi-trailer truck (Diesel)'!B75</f>
        <v>-3.0604067820050769E-3</v>
      </c>
      <c r="AQ7" s="166">
        <f>'Semi-trailer truck (Battery)'!B75</f>
        <v>-6.8763971865001975E-3</v>
      </c>
      <c r="AR7" s="166">
        <f>'Semi-trailer truck (Hydrogen)'!B75</f>
        <v>-6.7629302274573042E-3</v>
      </c>
      <c r="AS7" s="166">
        <f>'Semi-trailer truck (Diesel)'!B181</f>
        <v>-1.5302033910025385E-3</v>
      </c>
      <c r="AT7" s="166">
        <f>'Semi-trailer truck (Battery)'!B181</f>
        <v>-3.4381985932500987E-3</v>
      </c>
      <c r="AU7" s="166">
        <f>'Semi-trailer truck (Hydrogen)'!B181</f>
        <v>-3.3814651137286521E-3</v>
      </c>
      <c r="AV7" s="166">
        <f>'Semi-trailer truck (Diesel)'!B289</f>
        <v>-1.6030702191455165E-3</v>
      </c>
      <c r="AW7" s="166">
        <f>'Semi-trailer truck (Battery)'!B289</f>
        <v>-3.6019223357858176E-3</v>
      </c>
      <c r="AX7" s="166">
        <f>'Semi-trailer truck (Hydrogen)'!B289</f>
        <v>-3.5424872620014453E-3</v>
      </c>
      <c r="AY7" s="166">
        <f>'Semi-trailer truck (Diesel)'!B398</f>
        <v>-2.157979141157426E-3</v>
      </c>
      <c r="AZ7" s="166">
        <f>'Semi-trailer truck (Battery)'!B398</f>
        <v>-4.8487416058655246E-3</v>
      </c>
      <c r="BA7" s="166">
        <f>'Semi-trailer truck (Hydrogen)'!B398</f>
        <v>-4.7687328526942532E-3</v>
      </c>
      <c r="BB7" s="166">
        <f>'Semi-trailer truck (Diesel)'!B503</f>
        <v>-1.8702485890031025E-3</v>
      </c>
      <c r="BC7" s="166">
        <f>'Semi-trailer truck (Battery)'!B503</f>
        <v>-4.2022427250834543E-3</v>
      </c>
      <c r="BD7" s="166">
        <f>'Semi-trailer truck (Hydrogen)'!B503</f>
        <v>-4.1329018056683528E-3</v>
      </c>
      <c r="BE7" s="167">
        <f>'Short-sea (HFO)'!M75</f>
        <v>-9.7956440009122124E-5</v>
      </c>
      <c r="BF7" s="166">
        <f>'Short-sea (MGO)'!M75</f>
        <v>-9.7956440009122124E-5</v>
      </c>
      <c r="BG7" s="166">
        <f>'Short-sea (Hydrogen)'!M75</f>
        <v>-1.067853279781753E-4</v>
      </c>
      <c r="BH7" s="166">
        <f>'Short-sea (Ammonia)'!M75</f>
        <v>-1.0568171698204363E-4</v>
      </c>
      <c r="BI7" s="166">
        <f>'Short-sea (Methanol)'!M75</f>
        <v>-7.1121060229817985E-5</v>
      </c>
      <c r="BJ7" s="164">
        <f>'Short-sea (HFO)'!M181</f>
        <v>-9.7956440009122124E-5</v>
      </c>
      <c r="BK7" s="166">
        <f>'Short-sea (MGO)'!M181</f>
        <v>-9.7956440009122124E-5</v>
      </c>
      <c r="BL7" s="166">
        <f>'Short-sea (Hydrogen)'!M181</f>
        <v>-1.067853279781753E-4</v>
      </c>
      <c r="BM7" s="166">
        <f>'Short-sea (Ammonia)'!M181</f>
        <v>-1.0568171698204363E-4</v>
      </c>
      <c r="BN7" s="166">
        <f>'Short-sea (Methanol)'!M181</f>
        <v>-7.1121060229817985E-5</v>
      </c>
      <c r="BO7" s="166">
        <f>'Short-sea (HFO)'!M289</f>
        <v>-9.7956440009122124E-5</v>
      </c>
      <c r="BP7" s="166">
        <f>'Short-sea (MGO)'!M289</f>
        <v>-9.7956440009122124E-5</v>
      </c>
      <c r="BQ7" s="166">
        <f>'Short-sea (Hydrogen)'!M289</f>
        <v>-1.067853279781753E-4</v>
      </c>
      <c r="BR7" s="166">
        <f>'Short-sea (Ammonia)'!M289</f>
        <v>-1.0568171698204363E-4</v>
      </c>
      <c r="BS7" s="166">
        <f>'Short-sea (Methanol)'!M289</f>
        <v>-7.1121060229817985E-5</v>
      </c>
      <c r="BT7" s="166">
        <f>'Short-sea (HFO)'!M398</f>
        <v>-9.7956440009122124E-5</v>
      </c>
      <c r="BU7" s="166">
        <f>'Short-sea (MGO)'!M398</f>
        <v>-9.7956440009122124E-5</v>
      </c>
      <c r="BV7" s="166">
        <f>'Short-sea (Hydrogen)'!M398</f>
        <v>-1.067853279781753E-4</v>
      </c>
      <c r="BW7" s="166">
        <f>'Short-sea (Ammonia)'!M398</f>
        <v>-1.0568171698204363E-4</v>
      </c>
      <c r="BX7" s="166">
        <f>'Short-sea (Methanol)'!M398</f>
        <v>-7.1121060229817985E-5</v>
      </c>
      <c r="BY7" s="166">
        <f>'Railway (Diesel)'!M75</f>
        <v>-8.0920645629828101E-5</v>
      </c>
      <c r="BZ7" s="166">
        <f>'Railway (Catenary)'!M75</f>
        <v>-1.6353645891516245E-4</v>
      </c>
      <c r="CA7" s="166">
        <f>'Railway (Battery)'!M75</f>
        <v>-1.5096790045692366E-4</v>
      </c>
      <c r="CB7" s="166">
        <f>'Railway (Hydrogen)'!M75</f>
        <v>-1.1861141326080898E-4</v>
      </c>
      <c r="CC7" s="166">
        <f>'Railway (Diesel)'!M181</f>
        <v>-8.0920645629828101E-5</v>
      </c>
      <c r="CD7" s="166">
        <f>'Railway (Catenary)'!M181</f>
        <v>-1.6353645891516245E-4</v>
      </c>
      <c r="CE7" s="166">
        <f>'Railway (Battery)'!M181</f>
        <v>-1.5096790045692366E-4</v>
      </c>
      <c r="CF7" s="166">
        <f>'Railway (Hydrogen)'!M181</f>
        <v>-1.1861141326080898E-4</v>
      </c>
      <c r="CG7" s="166">
        <f>'Railway (Diesel)'!M289</f>
        <v>-8.0920645629828101E-5</v>
      </c>
      <c r="CH7" s="166">
        <f>'Railway (Catenary)'!M289</f>
        <v>-1.6353645891516245E-4</v>
      </c>
      <c r="CI7" s="166">
        <f>'Railway (Battery)'!M289</f>
        <v>-1.5096790045692366E-4</v>
      </c>
      <c r="CJ7" s="166">
        <f>'Railway (Hydrogen)'!M289</f>
        <v>-1.1861141326080898E-4</v>
      </c>
      <c r="CK7" s="166">
        <f>'Railway (Diesel)'!M398</f>
        <v>-8.0920645629828101E-5</v>
      </c>
      <c r="CL7" s="166">
        <f>'Railway (Catenary)'!M398</f>
        <v>-1.6353645891516245E-4</v>
      </c>
      <c r="CM7" s="166">
        <f>'Railway (Battery)'!M398</f>
        <v>-1.5096790045692366E-4</v>
      </c>
      <c r="CN7" s="166">
        <f>'Railway (Hydrogen)'!M398</f>
        <v>-1.1861141326080898E-4</v>
      </c>
      <c r="CO7" s="166">
        <f>'Railway (Diesel)'!M503</f>
        <v>-6.4736516503862478E-5</v>
      </c>
      <c r="CP7" s="166">
        <f>'Railway (Catenary)'!M503</f>
        <v>-1.3082916713212997E-4</v>
      </c>
      <c r="CQ7" s="166">
        <f>'Railway (Battery)'!M503</f>
        <v>-1.2077432036553891E-4</v>
      </c>
      <c r="CR7" s="166">
        <f>'Railway (Hydrogen)'!M503</f>
        <v>-9.4889130608647181E-5</v>
      </c>
      <c r="CS7" s="166">
        <f>'Semi-trailer truck (Diesel)'!M75</f>
        <v>-2.6108789365359899E-3</v>
      </c>
      <c r="CT7" s="166">
        <f>'Semi-trailer truck (Battery)'!M75</f>
        <v>-4.8323196089938266E-3</v>
      </c>
      <c r="CU7" s="166">
        <f>'Semi-trailer truck (Hydrogen)'!M75</f>
        <v>-5.1950552136465931E-3</v>
      </c>
      <c r="CV7" s="166">
        <f>'Semi-trailer truck (Diesel)'!M181</f>
        <v>-1.3054394682679949E-3</v>
      </c>
      <c r="CW7" s="166">
        <f>'Semi-trailer truck (Battery)'!M181</f>
        <v>-2.4161598044969133E-3</v>
      </c>
      <c r="CX7" s="166">
        <f>'Semi-trailer truck (Hydrogen)'!M181</f>
        <v>-2.5975276068232966E-3</v>
      </c>
      <c r="CY7" s="166">
        <f>'Semi-trailer truck (Diesel)'!M289</f>
        <v>-1.3676032524712327E-3</v>
      </c>
      <c r="CZ7" s="166">
        <f>'Semi-trailer truck (Battery)'!M289</f>
        <v>-2.5312150332824808E-3</v>
      </c>
      <c r="DA7" s="166">
        <f>'Semi-trailer truck (Hydrogen)'!M289</f>
        <v>-2.721219397624406E-3</v>
      </c>
      <c r="DB7" s="166">
        <f>'Semi-trailer truck (Diesel)'!M398</f>
        <v>-1.8410043783266593E-3</v>
      </c>
      <c r="DC7" s="166">
        <f>'Semi-trailer truck (Battery)'!M398</f>
        <v>-3.4074048524956467E-3</v>
      </c>
      <c r="DD7" s="166">
        <f>'Semi-trailer truck (Hydrogen)'!M398</f>
        <v>-3.6631799583405462E-3</v>
      </c>
      <c r="DE7" s="166">
        <f>'Semi-trailer truck (Diesel)'!M503</f>
        <v>-1.5955371278831049E-3</v>
      </c>
      <c r="DF7" s="166">
        <f>'Semi-trailer truck (Battery)'!M503</f>
        <v>-2.9530842054962272E-3</v>
      </c>
      <c r="DG7" s="166">
        <f>'Semi-trailer truck (Hydrogen)'!M503</f>
        <v>-3.1747559638951399E-3</v>
      </c>
      <c r="DH7" s="167">
        <f>'Short-sea (HFO)'!AC75</f>
        <v>-5.2575506979843073E-5</v>
      </c>
      <c r="DI7" s="166">
        <f>'Short-sea (MGO)'!AC75</f>
        <v>-5.2575506979843073E-5</v>
      </c>
      <c r="DJ7" s="166">
        <f>'Short-sea (Hydrogen)'!AC75</f>
        <v>-1.3401388779574273E-4</v>
      </c>
      <c r="DK7" s="166">
        <f>'Short-sea (Ammonia)'!AC75</f>
        <v>-1.2383409019375524E-4</v>
      </c>
      <c r="DL7" s="166">
        <f>'Short-sea (Methanol)'!AC75</f>
        <v>-1.0288771335031333E-4</v>
      </c>
      <c r="DM7" s="164">
        <f>'Short-sea (HFO)'!AC181</f>
        <v>-5.2575506979843073E-5</v>
      </c>
      <c r="DN7" s="166">
        <f>'Short-sea (MGO)'!AC181</f>
        <v>-5.2575506979843073E-5</v>
      </c>
      <c r="DO7" s="166">
        <f>'Short-sea (Hydrogen)'!AC181</f>
        <v>-1.3401388779574273E-4</v>
      </c>
      <c r="DP7" s="166">
        <f>'Short-sea (Ammonia)'!AC181</f>
        <v>-1.2383409019375524E-4</v>
      </c>
      <c r="DQ7" s="166">
        <f>'Short-sea (Methanol)'!AC181</f>
        <v>-1.0288771335031333E-4</v>
      </c>
      <c r="DR7" s="166">
        <f>'Short-sea (HFO)'!AC289</f>
        <v>-5.2575506979843073E-5</v>
      </c>
      <c r="DS7" s="166">
        <f>'Short-sea (MGO)'!AC289</f>
        <v>-5.2575506979843073E-5</v>
      </c>
      <c r="DT7" s="166">
        <f>'Short-sea (Hydrogen)'!AC289</f>
        <v>-1.3401388779574273E-4</v>
      </c>
      <c r="DU7" s="166">
        <f>'Short-sea (Ammonia)'!AC289</f>
        <v>-1.2383409019375524E-4</v>
      </c>
      <c r="DV7" s="166">
        <f>'Short-sea (Methanol)'!AC289</f>
        <v>-1.0288771335031333E-4</v>
      </c>
      <c r="DW7" s="166">
        <f>'Short-sea (HFO)'!AC398</f>
        <v>-5.2575506979843073E-5</v>
      </c>
      <c r="DX7" s="166">
        <f>'Short-sea (MGO)'!AC398</f>
        <v>-5.2575506979843073E-5</v>
      </c>
      <c r="DY7" s="166">
        <f>'Short-sea (Hydrogen)'!AC398</f>
        <v>-1.3401388779574273E-4</v>
      </c>
      <c r="DZ7" s="166">
        <f>'Short-sea (Ammonia)'!AC398</f>
        <v>-1.2383409019375524E-4</v>
      </c>
      <c r="EA7" s="166">
        <f>'Short-sea (Methanol)'!AC398</f>
        <v>-1.0288771335031333E-4</v>
      </c>
      <c r="EB7" s="166">
        <f>'Railway (Diesel)'!AC75</f>
        <v>-3.832836099071531E-5</v>
      </c>
      <c r="EC7" s="166">
        <f>'Railway (Catenary)'!AC75</f>
        <v>-1.6353645891516245E-4</v>
      </c>
      <c r="ED7" s="166">
        <f>'Railway (Battery)'!AC75</f>
        <v>-2.0420825625581466E-4</v>
      </c>
      <c r="EE7" s="166">
        <f>'Railway (Hydrogen)'!AC75</f>
        <v>-1.3078063744341263E-4</v>
      </c>
      <c r="EF7" s="166">
        <f>'Railway (Diesel)'!AC181</f>
        <v>-3.832836099071531E-5</v>
      </c>
      <c r="EG7" s="166">
        <f>'Railway (Catenary)'!AC181</f>
        <v>-1.6353645891516245E-4</v>
      </c>
      <c r="EH7" s="166">
        <f>'Railway (Battery)'!AC181</f>
        <v>-2.0420825625581466E-4</v>
      </c>
      <c r="EI7" s="166">
        <f>'Railway (Hydrogen)'!AC181</f>
        <v>-1.3078063744341263E-4</v>
      </c>
      <c r="EJ7" s="166">
        <f>'Railway (Diesel)'!AC289</f>
        <v>-3.832836099071531E-5</v>
      </c>
      <c r="EK7" s="166">
        <f>'Railway (Catenary)'!AC289</f>
        <v>-1.6353645891516245E-4</v>
      </c>
      <c r="EL7" s="166">
        <f>'Railway (Battery)'!AC289</f>
        <v>-2.0420825625581466E-4</v>
      </c>
      <c r="EM7" s="166">
        <f>'Railway (Hydrogen)'!AC289</f>
        <v>-1.3078063744341263E-4</v>
      </c>
      <c r="EN7" s="166">
        <f>'Railway (Diesel)'!AC398</f>
        <v>-3.832836099071531E-5</v>
      </c>
      <c r="EO7" s="166">
        <f>'Railway (Catenary)'!AC398</f>
        <v>-1.6353645891516245E-4</v>
      </c>
      <c r="EP7" s="166">
        <f>'Railway (Battery)'!AC398</f>
        <v>-2.0420825625581466E-4</v>
      </c>
      <c r="EQ7" s="166">
        <f>'Railway (Hydrogen)'!AC398</f>
        <v>-1.3078063744341263E-4</v>
      </c>
      <c r="ER7" s="166">
        <f>'Railway (Diesel)'!AC503</f>
        <v>-3.0662688792572247E-5</v>
      </c>
      <c r="ES7" s="166">
        <f>'Railway (Catenary)'!AC503</f>
        <v>-1.3082916713212997E-4</v>
      </c>
      <c r="ET7" s="166">
        <f>'Railway (Battery)'!AC503</f>
        <v>-1.6336660500465173E-4</v>
      </c>
      <c r="EU7" s="166">
        <f>'Railway (Hydrogen)'!AC503</f>
        <v>-1.046245099547301E-4</v>
      </c>
      <c r="EV7" s="166">
        <f>'Semi-trailer truck (Diesel)'!AC75</f>
        <v>-2.0226150381909905E-3</v>
      </c>
      <c r="EW7" s="166">
        <f>'Semi-trailer truck (Battery)'!AC75</f>
        <v>-4.2467452566839394E-3</v>
      </c>
      <c r="EX7" s="166">
        <f>'Semi-trailer truck (Hydrogen)'!AC75</f>
        <v>-4.5398387640590461E-3</v>
      </c>
      <c r="EY7" s="166">
        <f>'Semi-trailer truck (Diesel)'!AC181</f>
        <v>-1.0113075190954952E-3</v>
      </c>
      <c r="EZ7" s="166">
        <f>'Semi-trailer truck (Battery)'!AC181</f>
        <v>-2.1233726283419697E-3</v>
      </c>
      <c r="FA7" s="166">
        <f>'Semi-trailer truck (Hydrogen)'!AC181</f>
        <v>-2.2699193820295231E-3</v>
      </c>
      <c r="FB7" s="166">
        <f>'Semi-trailer truck (Diesel)'!AC289</f>
        <v>-1.0594650200048046E-3</v>
      </c>
      <c r="FC7" s="166">
        <f>'Semi-trailer truck (Battery)'!AC289</f>
        <v>-2.2244856106439686E-3</v>
      </c>
      <c r="FD7" s="166">
        <f>'Semi-trailer truck (Hydrogen)'!AC289</f>
        <v>-2.3780107811737857E-3</v>
      </c>
      <c r="FE7" s="166">
        <f>'Semi-trailer truck (Diesel)'!AC398</f>
        <v>-1.4262029115449293E-3</v>
      </c>
      <c r="FF7" s="166">
        <f>'Semi-trailer truck (Battery)'!AC398</f>
        <v>-2.9944998604822652E-3</v>
      </c>
      <c r="FG7" s="166">
        <f>'Semi-trailer truck (Hydrogen)'!AC398</f>
        <v>-3.2011683592724038E-3</v>
      </c>
      <c r="FH7" s="166">
        <f>'Semi-trailer truck (Diesel)'!AC503</f>
        <v>-1.2360425233389387E-3</v>
      </c>
      <c r="FI7" s="166">
        <f>'Semi-trailer truck (Battery)'!AC503</f>
        <v>-2.5952332124179632E-3</v>
      </c>
      <c r="FJ7" s="166">
        <f>'Semi-trailer truck (Hydrogen)'!AC503</f>
        <v>-2.7743459113694167E-3</v>
      </c>
      <c r="FK7" s="166"/>
      <c r="FL7" s="166"/>
      <c r="FM7" s="166"/>
      <c r="FN7" s="166"/>
      <c r="FP7" s="166"/>
      <c r="FQ7" s="166"/>
      <c r="FR7" s="166"/>
    </row>
    <row r="8" spans="1:174" x14ac:dyDescent="0.25">
      <c r="A8" s="164" t="s">
        <v>14</v>
      </c>
      <c r="B8" s="167">
        <f>'Short-sea (HFO)'!B76</f>
        <v>6.8982996659853576E-5</v>
      </c>
      <c r="C8" s="166">
        <f>'Short-sea (MGO)'!B76</f>
        <v>6.8982996659853576E-5</v>
      </c>
      <c r="D8" s="166">
        <f>'Short-sea (Hydrogen)'!B76</f>
        <v>6.8982996659853576E-5</v>
      </c>
      <c r="E8" s="166">
        <f>'Short-sea (Ammonia)'!B76</f>
        <v>6.8982996659853576E-5</v>
      </c>
      <c r="F8" s="166">
        <f>'Short-sea (Methanol)'!B76</f>
        <v>6.8982996659853576E-5</v>
      </c>
      <c r="G8" s="164">
        <f>'Short-sea (HFO)'!B182</f>
        <v>3.4491498329926784E-4</v>
      </c>
      <c r="H8" s="166">
        <f>'Short-sea (MGO)'!B182</f>
        <v>3.4491498329926784E-4</v>
      </c>
      <c r="I8" s="166">
        <f>'Short-sea (Hydrogen)'!B182</f>
        <v>3.4491498329926784E-4</v>
      </c>
      <c r="J8" s="166">
        <f>'Short-sea (Ammonia)'!B182</f>
        <v>3.4491498329926784E-4</v>
      </c>
      <c r="K8" s="166">
        <f>'Short-sea (Methanol)'!B182</f>
        <v>3.4491498329926784E-4</v>
      </c>
      <c r="L8" s="166">
        <f>'Short-sea (HFO)'!B290</f>
        <v>6.8982996659853576E-5</v>
      </c>
      <c r="M8" s="166">
        <f>'Short-sea (MGO)'!B290</f>
        <v>6.8982996659853576E-5</v>
      </c>
      <c r="N8" s="166">
        <f>'Short-sea (Hydrogen)'!B290</f>
        <v>6.8982996659853576E-5</v>
      </c>
      <c r="O8" s="166">
        <f>'Short-sea (Ammonia)'!B290</f>
        <v>6.8982996659853576E-5</v>
      </c>
      <c r="P8" s="166">
        <f>'Short-sea (Methanol)'!B290</f>
        <v>6.8982996659853576E-5</v>
      </c>
      <c r="Q8" s="166">
        <f>'Short-sea (HFO)'!B399</f>
        <v>6.8982996659853576E-5</v>
      </c>
      <c r="R8" s="166">
        <f>'Short-sea (MGO)'!B399</f>
        <v>6.8982996659853576E-5</v>
      </c>
      <c r="S8" s="166">
        <f>'Short-sea (Hydrogen)'!B399</f>
        <v>6.8982996659853576E-5</v>
      </c>
      <c r="T8" s="166">
        <f>'Short-sea (Ammonia)'!B399</f>
        <v>6.8982996659853576E-5</v>
      </c>
      <c r="U8" s="166">
        <f>'Short-sea (Methanol)'!B399</f>
        <v>6.8982996659853576E-5</v>
      </c>
      <c r="V8" s="166">
        <f>'Railway (Diesel)'!B76</f>
        <v>7.6311881817276459E-4</v>
      </c>
      <c r="W8" s="166">
        <f>'Railway (Catenary)'!B76</f>
        <v>7.6311881817276459E-4</v>
      </c>
      <c r="X8" s="166">
        <f>'Railway (Battery)'!B76</f>
        <v>7.6311881817276459E-4</v>
      </c>
      <c r="Y8" s="166">
        <f>'Railway (Hydrogen)'!B76</f>
        <v>7.6311881817276459E-4</v>
      </c>
      <c r="Z8" s="166">
        <f>'Railway (Diesel)'!B182</f>
        <v>1.0174917575636864E-3</v>
      </c>
      <c r="AA8" s="166">
        <f>'Railway (Catenary)'!B182</f>
        <v>1.0174917575636864E-3</v>
      </c>
      <c r="AB8" s="166">
        <f>'Railway (Battery)'!B182</f>
        <v>1.0174917575636864E-3</v>
      </c>
      <c r="AC8" s="166">
        <f>'Railway (Hydrogen)'!B182</f>
        <v>1.0174917575636864E-3</v>
      </c>
      <c r="AD8" s="166">
        <f>'Railway (Diesel)'!B290</f>
        <v>5.087458787818432E-4</v>
      </c>
      <c r="AE8" s="166">
        <f>'Railway (Catenary)'!B290</f>
        <v>5.087458787818432E-4</v>
      </c>
      <c r="AF8" s="166">
        <f>'Railway (Battery)'!B290</f>
        <v>5.087458787818432E-4</v>
      </c>
      <c r="AG8" s="166">
        <f>'Railway (Hydrogen)'!B290</f>
        <v>5.087458787818432E-4</v>
      </c>
      <c r="AH8" s="166">
        <f>'Railway (Diesel)'!B399</f>
        <v>7.6311881817276459E-4</v>
      </c>
      <c r="AI8" s="166">
        <f>'Railway (Catenary)'!B399</f>
        <v>7.6311881817276459E-4</v>
      </c>
      <c r="AJ8" s="166">
        <f>'Railway (Battery)'!B399</f>
        <v>7.6311881817276459E-4</v>
      </c>
      <c r="AK8" s="166">
        <f>'Railway (Hydrogen)'!B399</f>
        <v>7.6311881817276459E-4</v>
      </c>
      <c r="AL8" s="166">
        <f>'Railway (Diesel)'!B504</f>
        <v>5.0874587878184309E-4</v>
      </c>
      <c r="AM8" s="166">
        <f>'Railway (Catenary)'!B504</f>
        <v>5.0874587878184309E-4</v>
      </c>
      <c r="AN8" s="166">
        <f>'Railway (Battery)'!B504</f>
        <v>5.0874587878184309E-4</v>
      </c>
      <c r="AO8" s="166">
        <f>'Railway (Hydrogen)'!B504</f>
        <v>5.0874587878184309E-4</v>
      </c>
      <c r="AP8" s="166">
        <f>'Semi-trailer truck (Diesel)'!B76</f>
        <v>3.9525224209566176E-3</v>
      </c>
      <c r="AQ8" s="166">
        <f>'Semi-trailer truck (Battery)'!B76</f>
        <v>3.9525224209566176E-3</v>
      </c>
      <c r="AR8" s="166">
        <f>'Semi-trailer truck (Hydrogen)'!B76</f>
        <v>3.9525224209566176E-3</v>
      </c>
      <c r="AS8" s="166">
        <f>'Semi-trailer truck (Diesel)'!B182</f>
        <v>2.964391815717463E-3</v>
      </c>
      <c r="AT8" s="166">
        <f>'Semi-trailer truck (Battery)'!B182</f>
        <v>2.964391815717463E-3</v>
      </c>
      <c r="AU8" s="166">
        <f>'Semi-trailer truck (Hydrogen)'!B182</f>
        <v>2.964391815717463E-3</v>
      </c>
      <c r="AV8" s="166">
        <f>'Semi-trailer truck (Diesel)'!B290</f>
        <v>1.552776665375814E-3</v>
      </c>
      <c r="AW8" s="166">
        <f>'Semi-trailer truck (Battery)'!B290</f>
        <v>1.552776665375814E-3</v>
      </c>
      <c r="AX8" s="166">
        <f>'Semi-trailer truck (Hydrogen)'!B290</f>
        <v>1.552776665375814E-3</v>
      </c>
      <c r="AY8" s="166">
        <f>'Semi-trailer truck (Diesel)'!B399</f>
        <v>2.7870350404181278E-3</v>
      </c>
      <c r="AZ8" s="166">
        <f>'Semi-trailer truck (Battery)'!B399</f>
        <v>2.7870350404181278E-3</v>
      </c>
      <c r="BA8" s="166">
        <f>'Semi-trailer truck (Hydrogen)'!B399</f>
        <v>2.7870350404181278E-3</v>
      </c>
      <c r="BB8" s="166">
        <f>'Semi-trailer truck (Diesel)'!B504</f>
        <v>2.1135015723170798E-3</v>
      </c>
      <c r="BC8" s="166">
        <f>'Semi-trailer truck (Battery)'!B504</f>
        <v>2.1135015723170798E-3</v>
      </c>
      <c r="BD8" s="166">
        <f>'Semi-trailer truck (Hydrogen)'!B504</f>
        <v>2.1135015723170798E-3</v>
      </c>
      <c r="BE8" s="167">
        <f>'Short-sea (HFO)'!M76</f>
        <v>6.8982996659853576E-5</v>
      </c>
      <c r="BF8" s="166">
        <f>'Short-sea (MGO)'!M76</f>
        <v>6.8982996659853576E-5</v>
      </c>
      <c r="BG8" s="166">
        <f>'Short-sea (Hydrogen)'!M76</f>
        <v>6.8982996659853576E-5</v>
      </c>
      <c r="BH8" s="166">
        <f>'Short-sea (Ammonia)'!M76</f>
        <v>6.8982996659853576E-5</v>
      </c>
      <c r="BI8" s="166">
        <f>'Short-sea (Methanol)'!M76</f>
        <v>6.8982996659853576E-5</v>
      </c>
      <c r="BJ8" s="164">
        <f>'Short-sea (HFO)'!M182</f>
        <v>3.4491498329926784E-4</v>
      </c>
      <c r="BK8" s="166">
        <f>'Short-sea (MGO)'!M182</f>
        <v>3.4491498329926784E-4</v>
      </c>
      <c r="BL8" s="166">
        <f>'Short-sea (Hydrogen)'!M182</f>
        <v>3.4491498329926784E-4</v>
      </c>
      <c r="BM8" s="166">
        <f>'Short-sea (Ammonia)'!M182</f>
        <v>3.4491498329926784E-4</v>
      </c>
      <c r="BN8" s="166">
        <f>'Short-sea (Methanol)'!M182</f>
        <v>3.4491498329926784E-4</v>
      </c>
      <c r="BO8" s="166">
        <f>'Short-sea (HFO)'!M290</f>
        <v>6.8982996659853576E-5</v>
      </c>
      <c r="BP8" s="166">
        <f>'Short-sea (MGO)'!M290</f>
        <v>6.8982996659853576E-5</v>
      </c>
      <c r="BQ8" s="166">
        <f>'Short-sea (Hydrogen)'!M290</f>
        <v>6.8982996659853576E-5</v>
      </c>
      <c r="BR8" s="166">
        <f>'Short-sea (Ammonia)'!M290</f>
        <v>6.8982996659853576E-5</v>
      </c>
      <c r="BS8" s="166">
        <f>'Short-sea (Methanol)'!M290</f>
        <v>6.8982996659853576E-5</v>
      </c>
      <c r="BT8" s="166">
        <f>'Short-sea (HFO)'!M399</f>
        <v>6.8982996659853576E-5</v>
      </c>
      <c r="BU8" s="166">
        <f>'Short-sea (MGO)'!M399</f>
        <v>6.8982996659853576E-5</v>
      </c>
      <c r="BV8" s="166">
        <f>'Short-sea (Hydrogen)'!M399</f>
        <v>6.8982996659853576E-5</v>
      </c>
      <c r="BW8" s="166">
        <f>'Short-sea (Ammonia)'!M399</f>
        <v>6.8982996659853576E-5</v>
      </c>
      <c r="BX8" s="166">
        <f>'Short-sea (Methanol)'!M399</f>
        <v>6.8982996659853576E-5</v>
      </c>
      <c r="BY8" s="166">
        <f>'Railway (Diesel)'!M76</f>
        <v>7.6311881817276459E-4</v>
      </c>
      <c r="BZ8" s="166">
        <f>'Railway (Catenary)'!M76</f>
        <v>7.6311881817276459E-4</v>
      </c>
      <c r="CA8" s="166">
        <f>'Railway (Battery)'!M76</f>
        <v>7.6311881817276459E-4</v>
      </c>
      <c r="CB8" s="166">
        <f>'Railway (Hydrogen)'!M76</f>
        <v>7.6311881817276459E-4</v>
      </c>
      <c r="CC8" s="166">
        <f>'Railway (Diesel)'!M182</f>
        <v>1.0174917575636864E-3</v>
      </c>
      <c r="CD8" s="166">
        <f>'Railway (Catenary)'!M182</f>
        <v>1.0174917575636864E-3</v>
      </c>
      <c r="CE8" s="166">
        <f>'Railway (Battery)'!M182</f>
        <v>1.0174917575636864E-3</v>
      </c>
      <c r="CF8" s="166">
        <f>'Railway (Hydrogen)'!M182</f>
        <v>1.0174917575636864E-3</v>
      </c>
      <c r="CG8" s="166">
        <f>'Railway (Diesel)'!M290</f>
        <v>5.087458787818432E-4</v>
      </c>
      <c r="CH8" s="166">
        <f>'Railway (Catenary)'!M290</f>
        <v>5.087458787818432E-4</v>
      </c>
      <c r="CI8" s="166">
        <f>'Railway (Battery)'!M290</f>
        <v>5.087458787818432E-4</v>
      </c>
      <c r="CJ8" s="166">
        <f>'Railway (Hydrogen)'!M290</f>
        <v>5.087458787818432E-4</v>
      </c>
      <c r="CK8" s="166">
        <f>'Railway (Diesel)'!M399</f>
        <v>7.6311881817276459E-4</v>
      </c>
      <c r="CL8" s="166">
        <f>'Railway (Catenary)'!M399</f>
        <v>7.6311881817276459E-4</v>
      </c>
      <c r="CM8" s="166">
        <f>'Railway (Battery)'!M399</f>
        <v>7.6311881817276459E-4</v>
      </c>
      <c r="CN8" s="166">
        <f>'Railway (Hydrogen)'!M399</f>
        <v>7.6311881817276459E-4</v>
      </c>
      <c r="CO8" s="166">
        <f>'Railway (Diesel)'!M504</f>
        <v>5.0874587878184309E-4</v>
      </c>
      <c r="CP8" s="166">
        <f>'Railway (Catenary)'!M504</f>
        <v>5.0874587878184309E-4</v>
      </c>
      <c r="CQ8" s="166">
        <f>'Railway (Battery)'!M504</f>
        <v>5.0874587878184309E-4</v>
      </c>
      <c r="CR8" s="166">
        <f>'Railway (Hydrogen)'!M504</f>
        <v>5.0874587878184309E-4</v>
      </c>
      <c r="CS8" s="166">
        <f>'Semi-trailer truck (Diesel)'!M76</f>
        <v>3.9525224209566176E-3</v>
      </c>
      <c r="CT8" s="166">
        <f>'Semi-trailer truck (Battery)'!M76</f>
        <v>3.9525224209566176E-3</v>
      </c>
      <c r="CU8" s="166">
        <f>'Semi-trailer truck (Hydrogen)'!M76</f>
        <v>3.9525224209566176E-3</v>
      </c>
      <c r="CV8" s="166">
        <f>'Semi-trailer truck (Diesel)'!M182</f>
        <v>2.964391815717463E-3</v>
      </c>
      <c r="CW8" s="166">
        <f>'Semi-trailer truck (Battery)'!M182</f>
        <v>2.964391815717463E-3</v>
      </c>
      <c r="CX8" s="166">
        <f>'Semi-trailer truck (Hydrogen)'!M182</f>
        <v>2.964391815717463E-3</v>
      </c>
      <c r="CY8" s="166">
        <f>'Semi-trailer truck (Diesel)'!M290</f>
        <v>1.552776665375814E-3</v>
      </c>
      <c r="CZ8" s="166">
        <f>'Semi-trailer truck (Battery)'!M290</f>
        <v>1.552776665375814E-3</v>
      </c>
      <c r="DA8" s="166">
        <f>'Semi-trailer truck (Hydrogen)'!M290</f>
        <v>1.552776665375814E-3</v>
      </c>
      <c r="DB8" s="166">
        <f>'Semi-trailer truck (Diesel)'!M399</f>
        <v>2.7870350404181278E-3</v>
      </c>
      <c r="DC8" s="166">
        <f>'Semi-trailer truck (Battery)'!M399</f>
        <v>2.7870350404181278E-3</v>
      </c>
      <c r="DD8" s="166">
        <f>'Semi-trailer truck (Hydrogen)'!M399</f>
        <v>2.7870350404181278E-3</v>
      </c>
      <c r="DE8" s="166">
        <f>'Semi-trailer truck (Diesel)'!M504</f>
        <v>2.1135015723170798E-3</v>
      </c>
      <c r="DF8" s="166">
        <f>'Semi-trailer truck (Battery)'!M504</f>
        <v>2.1135015723170798E-3</v>
      </c>
      <c r="DG8" s="166">
        <f>'Semi-trailer truck (Hydrogen)'!M504</f>
        <v>2.1135015723170798E-3</v>
      </c>
      <c r="DH8" s="167">
        <f>'Short-sea (HFO)'!AC76</f>
        <v>6.8982996659853576E-5</v>
      </c>
      <c r="DI8" s="166">
        <f>'Short-sea (MGO)'!AC76</f>
        <v>6.8982996659853576E-5</v>
      </c>
      <c r="DJ8" s="166">
        <f>'Short-sea (Hydrogen)'!AC76</f>
        <v>6.8982996659853576E-5</v>
      </c>
      <c r="DK8" s="166">
        <f>'Short-sea (Ammonia)'!AC76</f>
        <v>6.8982996659853576E-5</v>
      </c>
      <c r="DL8" s="166">
        <f>'Short-sea (Methanol)'!AC76</f>
        <v>6.8982996659853576E-5</v>
      </c>
      <c r="DM8" s="164">
        <f>'Short-sea (HFO)'!AC182</f>
        <v>3.4491498329926784E-4</v>
      </c>
      <c r="DN8" s="166">
        <f>'Short-sea (MGO)'!AC182</f>
        <v>3.4491498329926784E-4</v>
      </c>
      <c r="DO8" s="166">
        <f>'Short-sea (Hydrogen)'!AC182</f>
        <v>3.4491498329926784E-4</v>
      </c>
      <c r="DP8" s="166">
        <f>'Short-sea (Ammonia)'!AC182</f>
        <v>3.4491498329926784E-4</v>
      </c>
      <c r="DQ8" s="166">
        <f>'Short-sea (Methanol)'!AC182</f>
        <v>3.4491498329926784E-4</v>
      </c>
      <c r="DR8" s="166">
        <f>'Short-sea (HFO)'!AC290</f>
        <v>6.8982996659853576E-5</v>
      </c>
      <c r="DS8" s="166">
        <f>'Short-sea (MGO)'!AC290</f>
        <v>6.8982996659853576E-5</v>
      </c>
      <c r="DT8" s="166">
        <f>'Short-sea (Hydrogen)'!AC290</f>
        <v>6.8982996659853576E-5</v>
      </c>
      <c r="DU8" s="166">
        <f>'Short-sea (Ammonia)'!AC290</f>
        <v>6.8982996659853576E-5</v>
      </c>
      <c r="DV8" s="166">
        <f>'Short-sea (Methanol)'!AC290</f>
        <v>6.8982996659853576E-5</v>
      </c>
      <c r="DW8" s="166">
        <f>'Short-sea (HFO)'!AC399</f>
        <v>6.8982996659853576E-5</v>
      </c>
      <c r="DX8" s="166">
        <f>'Short-sea (MGO)'!AC399</f>
        <v>6.8982996659853576E-5</v>
      </c>
      <c r="DY8" s="166">
        <f>'Short-sea (Hydrogen)'!AC399</f>
        <v>6.8982996659853576E-5</v>
      </c>
      <c r="DZ8" s="166">
        <f>'Short-sea (Ammonia)'!AC399</f>
        <v>6.8982996659853576E-5</v>
      </c>
      <c r="EA8" s="166">
        <f>'Short-sea (Methanol)'!AC399</f>
        <v>6.8982996659853576E-5</v>
      </c>
      <c r="EB8" s="166">
        <f>'Railway (Diesel)'!AC76</f>
        <v>7.6311881817276459E-4</v>
      </c>
      <c r="EC8" s="166">
        <f>'Railway (Catenary)'!AC76</f>
        <v>7.6311881817276459E-4</v>
      </c>
      <c r="ED8" s="166">
        <f>'Railway (Battery)'!AC76</f>
        <v>7.6311881817276459E-4</v>
      </c>
      <c r="EE8" s="166">
        <f>'Railway (Hydrogen)'!AC76</f>
        <v>7.6311881817276459E-4</v>
      </c>
      <c r="EF8" s="166">
        <f>'Railway (Diesel)'!AC182</f>
        <v>1.0174917575636864E-3</v>
      </c>
      <c r="EG8" s="166">
        <f>'Railway (Catenary)'!AC182</f>
        <v>1.0174917575636864E-3</v>
      </c>
      <c r="EH8" s="166">
        <f>'Railway (Battery)'!AC182</f>
        <v>1.0174917575636864E-3</v>
      </c>
      <c r="EI8" s="166">
        <f>'Railway (Hydrogen)'!AC182</f>
        <v>1.0174917575636864E-3</v>
      </c>
      <c r="EJ8" s="166">
        <f>'Railway (Diesel)'!AC290</f>
        <v>5.087458787818432E-4</v>
      </c>
      <c r="EK8" s="166">
        <f>'Railway (Catenary)'!AC290</f>
        <v>5.087458787818432E-4</v>
      </c>
      <c r="EL8" s="166">
        <f>'Railway (Battery)'!AC290</f>
        <v>5.087458787818432E-4</v>
      </c>
      <c r="EM8" s="166">
        <f>'Railway (Hydrogen)'!AC290</f>
        <v>5.087458787818432E-4</v>
      </c>
      <c r="EN8" s="166">
        <f>'Railway (Diesel)'!AC399</f>
        <v>7.6311881817276459E-4</v>
      </c>
      <c r="EO8" s="166">
        <f>'Railway (Catenary)'!AC399</f>
        <v>7.6311881817276459E-4</v>
      </c>
      <c r="EP8" s="166">
        <f>'Railway (Battery)'!AC399</f>
        <v>7.6311881817276459E-4</v>
      </c>
      <c r="EQ8" s="166">
        <f>'Railway (Hydrogen)'!AC399</f>
        <v>7.6311881817276459E-4</v>
      </c>
      <c r="ER8" s="166">
        <f>'Railway (Diesel)'!AC504</f>
        <v>5.0874587878184309E-4</v>
      </c>
      <c r="ES8" s="166">
        <f>'Railway (Catenary)'!AC504</f>
        <v>5.0874587878184309E-4</v>
      </c>
      <c r="ET8" s="166">
        <f>'Railway (Battery)'!AC504</f>
        <v>5.0874587878184309E-4</v>
      </c>
      <c r="EU8" s="166">
        <f>'Railway (Hydrogen)'!AC504</f>
        <v>5.0874587878184309E-4</v>
      </c>
      <c r="EV8" s="166">
        <f>'Semi-trailer truck (Diesel)'!AC76</f>
        <v>3.9525224209566176E-3</v>
      </c>
      <c r="EW8" s="166">
        <f>'Semi-trailer truck (Battery)'!AC76</f>
        <v>3.9525224209566176E-3</v>
      </c>
      <c r="EX8" s="166">
        <f>'Semi-trailer truck (Hydrogen)'!AC76</f>
        <v>3.9525224209566176E-3</v>
      </c>
      <c r="EY8" s="166">
        <f>'Semi-trailer truck (Diesel)'!AC182</f>
        <v>2.964391815717463E-3</v>
      </c>
      <c r="EZ8" s="166">
        <f>'Semi-trailer truck (Battery)'!AC182</f>
        <v>2.964391815717463E-3</v>
      </c>
      <c r="FA8" s="166">
        <f>'Semi-trailer truck (Hydrogen)'!AC182</f>
        <v>2.964391815717463E-3</v>
      </c>
      <c r="FB8" s="166">
        <f>'Semi-trailer truck (Diesel)'!AC290</f>
        <v>1.552776665375814E-3</v>
      </c>
      <c r="FC8" s="166">
        <f>'Semi-trailer truck (Battery)'!AC290</f>
        <v>1.552776665375814E-3</v>
      </c>
      <c r="FD8" s="166">
        <f>'Semi-trailer truck (Hydrogen)'!AC290</f>
        <v>1.552776665375814E-3</v>
      </c>
      <c r="FE8" s="166">
        <f>'Semi-trailer truck (Diesel)'!AC399</f>
        <v>2.7870350404181278E-3</v>
      </c>
      <c r="FF8" s="166">
        <f>'Semi-trailer truck (Battery)'!AC399</f>
        <v>2.7870350404181278E-3</v>
      </c>
      <c r="FG8" s="166">
        <f>'Semi-trailer truck (Hydrogen)'!AC399</f>
        <v>2.7870350404181278E-3</v>
      </c>
      <c r="FH8" s="166">
        <f>'Semi-trailer truck (Diesel)'!AC504</f>
        <v>2.1135015723170798E-3</v>
      </c>
      <c r="FI8" s="166">
        <f>'Semi-trailer truck (Battery)'!AC504</f>
        <v>2.1135015723170798E-3</v>
      </c>
      <c r="FJ8" s="166">
        <f>'Semi-trailer truck (Hydrogen)'!AC504</f>
        <v>2.1135015723170798E-3</v>
      </c>
      <c r="FK8" s="166"/>
      <c r="FL8" s="166"/>
      <c r="FM8" s="166"/>
      <c r="FN8" s="166"/>
      <c r="FP8" s="166"/>
      <c r="FQ8" s="166"/>
      <c r="FR8" s="166"/>
    </row>
    <row r="9" spans="1:174" x14ac:dyDescent="0.25">
      <c r="A9" s="164" t="s">
        <v>25</v>
      </c>
      <c r="B9" s="167">
        <f>'Short-sea (HFO)'!B77</f>
        <v>-6.8982996659853564E-6</v>
      </c>
      <c r="C9" s="166">
        <f>'Short-sea (MGO)'!B77</f>
        <v>-6.8982996659853564E-6</v>
      </c>
      <c r="D9" s="166">
        <f>'Short-sea (Hydrogen)'!B77</f>
        <v>-6.8982996659853564E-6</v>
      </c>
      <c r="E9" s="166">
        <f>'Short-sea (Ammonia)'!B77</f>
        <v>-6.8982996659853564E-6</v>
      </c>
      <c r="F9" s="166">
        <f>'Short-sea (Methanol)'!B77</f>
        <v>-6.8982996659853564E-6</v>
      </c>
      <c r="G9" s="164">
        <f>'Short-sea (HFO)'!B183</f>
        <v>-3.4491498329926788E-5</v>
      </c>
      <c r="H9" s="166">
        <f>'Short-sea (MGO)'!B183</f>
        <v>-3.4491498329926788E-5</v>
      </c>
      <c r="I9" s="166">
        <f>'Short-sea (Hydrogen)'!B183</f>
        <v>-3.4491498329926788E-5</v>
      </c>
      <c r="J9" s="166">
        <f>'Short-sea (Ammonia)'!B183</f>
        <v>-3.4491498329926788E-5</v>
      </c>
      <c r="K9" s="166">
        <f>'Short-sea (Methanol)'!B183</f>
        <v>-3.4491498329926788E-5</v>
      </c>
      <c r="L9" s="166">
        <f>'Short-sea (HFO)'!B291</f>
        <v>-6.8982996659853564E-6</v>
      </c>
      <c r="M9" s="166">
        <f>'Short-sea (MGO)'!B291</f>
        <v>-6.8982996659853564E-6</v>
      </c>
      <c r="N9" s="166">
        <f>'Short-sea (Hydrogen)'!B291</f>
        <v>-6.8982996659853564E-6</v>
      </c>
      <c r="O9" s="166">
        <f>'Short-sea (Ammonia)'!B291</f>
        <v>-6.8982996659853564E-6</v>
      </c>
      <c r="P9" s="166">
        <f>'Short-sea (Methanol)'!B291</f>
        <v>-6.8982996659853564E-6</v>
      </c>
      <c r="Q9" s="166">
        <f>'Short-sea (HFO)'!B400</f>
        <v>-6.8982996659853564E-6</v>
      </c>
      <c r="R9" s="166">
        <f>'Short-sea (MGO)'!B400</f>
        <v>-6.8982996659853564E-6</v>
      </c>
      <c r="S9" s="166">
        <f>'Short-sea (Hydrogen)'!B400</f>
        <v>-6.8982996659853564E-6</v>
      </c>
      <c r="T9" s="166">
        <f>'Short-sea (Ammonia)'!B400</f>
        <v>-6.8982996659853564E-6</v>
      </c>
      <c r="U9" s="166">
        <f>'Short-sea (Methanol)'!B400</f>
        <v>-6.8982996659853564E-6</v>
      </c>
      <c r="V9" s="166">
        <f>'Railway (Diesel)'!B77</f>
        <v>-3.8155940908638231E-5</v>
      </c>
      <c r="W9" s="166">
        <f>'Railway (Catenary)'!B77</f>
        <v>-3.8155940908638231E-5</v>
      </c>
      <c r="X9" s="166">
        <f>'Railway (Battery)'!B77</f>
        <v>-3.8155940908638231E-5</v>
      </c>
      <c r="Y9" s="166">
        <f>'Railway (Hydrogen)'!B77</f>
        <v>-3.8155940908638231E-5</v>
      </c>
      <c r="Z9" s="166">
        <f>'Railway (Diesel)'!B183</f>
        <v>-5.0874587878184312E-5</v>
      </c>
      <c r="AA9" s="166">
        <f>'Railway (Catenary)'!B183</f>
        <v>-5.0874587878184312E-5</v>
      </c>
      <c r="AB9" s="166">
        <f>'Railway (Battery)'!B183</f>
        <v>-5.0874587878184312E-5</v>
      </c>
      <c r="AC9" s="166">
        <f>'Railway (Hydrogen)'!B183</f>
        <v>-5.0874587878184312E-5</v>
      </c>
      <c r="AD9" s="166">
        <f>'Railway (Diesel)'!B291</f>
        <v>-2.5437293939092156E-5</v>
      </c>
      <c r="AE9" s="166">
        <f>'Railway (Catenary)'!B291</f>
        <v>-2.5437293939092156E-5</v>
      </c>
      <c r="AF9" s="166">
        <f>'Railway (Battery)'!B291</f>
        <v>-2.5437293939092156E-5</v>
      </c>
      <c r="AG9" s="166">
        <f>'Railway (Hydrogen)'!B291</f>
        <v>-2.5437293939092156E-5</v>
      </c>
      <c r="AH9" s="166">
        <f>'Railway (Diesel)'!B400</f>
        <v>-3.8155940908638231E-5</v>
      </c>
      <c r="AI9" s="166">
        <f>'Railway (Catenary)'!B400</f>
        <v>-3.8155940908638231E-5</v>
      </c>
      <c r="AJ9" s="166">
        <f>'Railway (Battery)'!B400</f>
        <v>-3.8155940908638231E-5</v>
      </c>
      <c r="AK9" s="166">
        <f>'Railway (Hydrogen)'!B400</f>
        <v>-3.8155940908638231E-5</v>
      </c>
      <c r="AL9" s="166">
        <f>'Railway (Diesel)'!B505</f>
        <v>-2.5437293939092159E-5</v>
      </c>
      <c r="AM9" s="166">
        <f>'Railway (Catenary)'!B505</f>
        <v>-2.5437293939092159E-5</v>
      </c>
      <c r="AN9" s="166">
        <f>'Railway (Battery)'!B505</f>
        <v>-2.5437293939092159E-5</v>
      </c>
      <c r="AO9" s="166">
        <f>'Railway (Hydrogen)'!B505</f>
        <v>-2.5437293939092159E-5</v>
      </c>
      <c r="AP9" s="166">
        <f>'Semi-trailer truck (Diesel)'!B77</f>
        <v>-9.8813060523915441E-4</v>
      </c>
      <c r="AQ9" s="166">
        <f>'Semi-trailer truck (Battery)'!B77</f>
        <v>-9.8813060523915441E-4</v>
      </c>
      <c r="AR9" s="166">
        <f>'Semi-trailer truck (Hydrogen)'!B77</f>
        <v>-9.8813060523915441E-4</v>
      </c>
      <c r="AS9" s="166">
        <f>'Semi-trailer truck (Diesel)'!B183</f>
        <v>-7.4109795392936575E-4</v>
      </c>
      <c r="AT9" s="166">
        <f>'Semi-trailer truck (Battery)'!B183</f>
        <v>-7.4109795392936575E-4</v>
      </c>
      <c r="AU9" s="166">
        <f>'Semi-trailer truck (Hydrogen)'!B183</f>
        <v>-7.4109795392936575E-4</v>
      </c>
      <c r="AV9" s="166">
        <f>'Semi-trailer truck (Diesel)'!B291</f>
        <v>-3.8819416634395349E-4</v>
      </c>
      <c r="AW9" s="166">
        <f>'Semi-trailer truck (Battery)'!B291</f>
        <v>-3.8819416634395349E-4</v>
      </c>
      <c r="AX9" s="166">
        <f>'Semi-trailer truck (Hydrogen)'!B291</f>
        <v>-3.8819416634395349E-4</v>
      </c>
      <c r="AY9" s="166">
        <f>'Semi-trailer truck (Diesel)'!B400</f>
        <v>-6.9675876010453195E-4</v>
      </c>
      <c r="AZ9" s="166">
        <f>'Semi-trailer truck (Battery)'!B400</f>
        <v>-6.9675876010453195E-4</v>
      </c>
      <c r="BA9" s="166">
        <f>'Semi-trailer truck (Hydrogen)'!B400</f>
        <v>-6.9675876010453195E-4</v>
      </c>
      <c r="BB9" s="166">
        <f>'Semi-trailer truck (Diesel)'!B505</f>
        <v>-5.2837539307926996E-4</v>
      </c>
      <c r="BC9" s="166">
        <f>'Semi-trailer truck (Battery)'!B505</f>
        <v>-5.2837539307926996E-4</v>
      </c>
      <c r="BD9" s="166">
        <f>'Semi-trailer truck (Hydrogen)'!B505</f>
        <v>-5.2837539307926996E-4</v>
      </c>
      <c r="BE9" s="167">
        <f>'Short-sea (HFO)'!M77</f>
        <v>-6.8982996659853564E-6</v>
      </c>
      <c r="BF9" s="166">
        <f>'Short-sea (MGO)'!M77</f>
        <v>-6.8982996659853564E-6</v>
      </c>
      <c r="BG9" s="166">
        <f>'Short-sea (Hydrogen)'!M77</f>
        <v>-6.8982996659853564E-6</v>
      </c>
      <c r="BH9" s="166">
        <f>'Short-sea (Ammonia)'!M77</f>
        <v>-6.8982996659853564E-6</v>
      </c>
      <c r="BI9" s="166">
        <f>'Short-sea (Methanol)'!M77</f>
        <v>-6.8982996659853564E-6</v>
      </c>
      <c r="BJ9" s="164">
        <f>'Short-sea (HFO)'!M183</f>
        <v>-3.4491498329926788E-5</v>
      </c>
      <c r="BK9" s="166">
        <f>'Short-sea (MGO)'!M183</f>
        <v>-3.4491498329926788E-5</v>
      </c>
      <c r="BL9" s="166">
        <f>'Short-sea (Hydrogen)'!M183</f>
        <v>-3.4491498329926788E-5</v>
      </c>
      <c r="BM9" s="166">
        <f>'Short-sea (Ammonia)'!M183</f>
        <v>-3.4491498329926788E-5</v>
      </c>
      <c r="BN9" s="166">
        <f>'Short-sea (Methanol)'!M183</f>
        <v>-3.4491498329926788E-5</v>
      </c>
      <c r="BO9" s="166">
        <f>'Short-sea (HFO)'!M291</f>
        <v>-6.8982996659853564E-6</v>
      </c>
      <c r="BP9" s="166">
        <f>'Short-sea (MGO)'!M291</f>
        <v>-6.8982996659853564E-6</v>
      </c>
      <c r="BQ9" s="166">
        <f>'Short-sea (Hydrogen)'!M291</f>
        <v>-6.8982996659853564E-6</v>
      </c>
      <c r="BR9" s="166">
        <f>'Short-sea (Ammonia)'!M291</f>
        <v>-6.8982996659853564E-6</v>
      </c>
      <c r="BS9" s="166">
        <f>'Short-sea (Methanol)'!M291</f>
        <v>-6.8982996659853564E-6</v>
      </c>
      <c r="BT9" s="166">
        <f>'Short-sea (HFO)'!M400</f>
        <v>-6.8982996659853564E-6</v>
      </c>
      <c r="BU9" s="166">
        <f>'Short-sea (MGO)'!M400</f>
        <v>-6.8982996659853564E-6</v>
      </c>
      <c r="BV9" s="166">
        <f>'Short-sea (Hydrogen)'!M400</f>
        <v>-6.8982996659853564E-6</v>
      </c>
      <c r="BW9" s="166">
        <f>'Short-sea (Ammonia)'!M400</f>
        <v>-6.8982996659853564E-6</v>
      </c>
      <c r="BX9" s="166">
        <f>'Short-sea (Methanol)'!M400</f>
        <v>-6.8982996659853564E-6</v>
      </c>
      <c r="BY9" s="166">
        <f>'Railway (Diesel)'!M77</f>
        <v>-3.8155940908638231E-5</v>
      </c>
      <c r="BZ9" s="166">
        <f>'Railway (Catenary)'!M77</f>
        <v>-3.8155940908638231E-5</v>
      </c>
      <c r="CA9" s="166">
        <f>'Railway (Battery)'!M77</f>
        <v>-3.8155940908638231E-5</v>
      </c>
      <c r="CB9" s="166">
        <f>'Railway (Hydrogen)'!M77</f>
        <v>-3.8155940908638231E-5</v>
      </c>
      <c r="CC9" s="166">
        <f>'Railway (Diesel)'!M183</f>
        <v>-5.0874587878184312E-5</v>
      </c>
      <c r="CD9" s="166">
        <f>'Railway (Catenary)'!M183</f>
        <v>-5.0874587878184312E-5</v>
      </c>
      <c r="CE9" s="166">
        <f>'Railway (Battery)'!M183</f>
        <v>-5.0874587878184312E-5</v>
      </c>
      <c r="CF9" s="166">
        <f>'Railway (Hydrogen)'!M183</f>
        <v>-5.0874587878184312E-5</v>
      </c>
      <c r="CG9" s="166">
        <f>'Railway (Diesel)'!M291</f>
        <v>-2.5437293939092156E-5</v>
      </c>
      <c r="CH9" s="166">
        <f>'Railway (Catenary)'!M291</f>
        <v>-2.5437293939092156E-5</v>
      </c>
      <c r="CI9" s="166">
        <f>'Railway (Battery)'!M291</f>
        <v>-2.5437293939092156E-5</v>
      </c>
      <c r="CJ9" s="166">
        <f>'Railway (Hydrogen)'!M291</f>
        <v>-2.5437293939092156E-5</v>
      </c>
      <c r="CK9" s="166">
        <f>'Railway (Diesel)'!M400</f>
        <v>-3.8155940908638231E-5</v>
      </c>
      <c r="CL9" s="166">
        <f>'Railway (Catenary)'!M400</f>
        <v>-3.8155940908638231E-5</v>
      </c>
      <c r="CM9" s="166">
        <f>'Railway (Battery)'!M400</f>
        <v>-3.8155940908638231E-5</v>
      </c>
      <c r="CN9" s="166">
        <f>'Railway (Hydrogen)'!M400</f>
        <v>-3.8155940908638231E-5</v>
      </c>
      <c r="CO9" s="166">
        <f>'Railway (Diesel)'!M505</f>
        <v>-2.5437293939092159E-5</v>
      </c>
      <c r="CP9" s="166">
        <f>'Railway (Catenary)'!M505</f>
        <v>-2.5437293939092159E-5</v>
      </c>
      <c r="CQ9" s="166">
        <f>'Railway (Battery)'!M505</f>
        <v>-2.5437293939092159E-5</v>
      </c>
      <c r="CR9" s="166">
        <f>'Railway (Hydrogen)'!M505</f>
        <v>-2.5437293939092159E-5</v>
      </c>
      <c r="CS9" s="166">
        <f>'Semi-trailer truck (Diesel)'!M77</f>
        <v>-9.8813060523915441E-4</v>
      </c>
      <c r="CT9" s="166">
        <f>'Semi-trailer truck (Battery)'!M77</f>
        <v>-9.8813060523915441E-4</v>
      </c>
      <c r="CU9" s="166">
        <f>'Semi-trailer truck (Hydrogen)'!M77</f>
        <v>-9.8813060523915441E-4</v>
      </c>
      <c r="CV9" s="166">
        <f>'Semi-trailer truck (Diesel)'!M183</f>
        <v>-7.4109795392936575E-4</v>
      </c>
      <c r="CW9" s="166">
        <f>'Semi-trailer truck (Battery)'!M183</f>
        <v>-7.4109795392936575E-4</v>
      </c>
      <c r="CX9" s="166">
        <f>'Semi-trailer truck (Hydrogen)'!M183</f>
        <v>-7.4109795392936575E-4</v>
      </c>
      <c r="CY9" s="166">
        <f>'Semi-trailer truck (Diesel)'!M291</f>
        <v>-3.8819416634395349E-4</v>
      </c>
      <c r="CZ9" s="166">
        <f>'Semi-trailer truck (Battery)'!M291</f>
        <v>-3.8819416634395349E-4</v>
      </c>
      <c r="DA9" s="166">
        <f>'Semi-trailer truck (Hydrogen)'!M291</f>
        <v>-3.8819416634395349E-4</v>
      </c>
      <c r="DB9" s="166">
        <f>'Semi-trailer truck (Diesel)'!M400</f>
        <v>-6.9675876010453195E-4</v>
      </c>
      <c r="DC9" s="166">
        <f>'Semi-trailer truck (Battery)'!M400</f>
        <v>-6.9675876010453195E-4</v>
      </c>
      <c r="DD9" s="166">
        <f>'Semi-trailer truck (Hydrogen)'!M400</f>
        <v>-6.9675876010453195E-4</v>
      </c>
      <c r="DE9" s="166">
        <f>'Semi-trailer truck (Diesel)'!M505</f>
        <v>-5.2837539307926996E-4</v>
      </c>
      <c r="DF9" s="166">
        <f>'Semi-trailer truck (Battery)'!M505</f>
        <v>-5.2837539307926996E-4</v>
      </c>
      <c r="DG9" s="166">
        <f>'Semi-trailer truck (Hydrogen)'!M505</f>
        <v>-5.2837539307926996E-4</v>
      </c>
      <c r="DH9" s="167">
        <f>'Short-sea (HFO)'!AC77</f>
        <v>-6.8982996659853564E-6</v>
      </c>
      <c r="DI9" s="166">
        <f>'Short-sea (MGO)'!AC77</f>
        <v>-6.8982996659853564E-6</v>
      </c>
      <c r="DJ9" s="166">
        <f>'Short-sea (Hydrogen)'!AC77</f>
        <v>-6.8982996659853564E-6</v>
      </c>
      <c r="DK9" s="166">
        <f>'Short-sea (Ammonia)'!AC77</f>
        <v>-6.8982996659853564E-6</v>
      </c>
      <c r="DL9" s="166">
        <f>'Short-sea (Methanol)'!AC77</f>
        <v>-6.8982996659853564E-6</v>
      </c>
      <c r="DM9" s="164">
        <f>'Short-sea (HFO)'!AC183</f>
        <v>-3.4491498329926788E-5</v>
      </c>
      <c r="DN9" s="166">
        <f>'Short-sea (MGO)'!AC183</f>
        <v>-3.4491498329926788E-5</v>
      </c>
      <c r="DO9" s="166">
        <f>'Short-sea (Hydrogen)'!AC183</f>
        <v>-3.4491498329926788E-5</v>
      </c>
      <c r="DP9" s="166">
        <f>'Short-sea (Ammonia)'!AC183</f>
        <v>-3.4491498329926788E-5</v>
      </c>
      <c r="DQ9" s="166">
        <f>'Short-sea (Methanol)'!AC183</f>
        <v>-3.4491498329926788E-5</v>
      </c>
      <c r="DR9" s="166">
        <f>'Short-sea (HFO)'!AC291</f>
        <v>-6.8982996659853564E-6</v>
      </c>
      <c r="DS9" s="166">
        <f>'Short-sea (MGO)'!AC291</f>
        <v>-6.8982996659853564E-6</v>
      </c>
      <c r="DT9" s="166">
        <f>'Short-sea (Hydrogen)'!AC291</f>
        <v>-6.8982996659853564E-6</v>
      </c>
      <c r="DU9" s="166">
        <f>'Short-sea (Ammonia)'!AC291</f>
        <v>-6.8982996659853564E-6</v>
      </c>
      <c r="DV9" s="166">
        <f>'Short-sea (Methanol)'!AC291</f>
        <v>-6.8982996659853564E-6</v>
      </c>
      <c r="DW9" s="166">
        <f>'Short-sea (HFO)'!AC400</f>
        <v>-6.8982996659853564E-6</v>
      </c>
      <c r="DX9" s="166">
        <f>'Short-sea (MGO)'!AC400</f>
        <v>-6.8982996659853564E-6</v>
      </c>
      <c r="DY9" s="166">
        <f>'Short-sea (Hydrogen)'!AC400</f>
        <v>-6.8982996659853564E-6</v>
      </c>
      <c r="DZ9" s="166">
        <f>'Short-sea (Ammonia)'!AC400</f>
        <v>-6.8982996659853564E-6</v>
      </c>
      <c r="EA9" s="166">
        <f>'Short-sea (Methanol)'!AC400</f>
        <v>-6.8982996659853564E-6</v>
      </c>
      <c r="EB9" s="166">
        <f>'Railway (Diesel)'!AC77</f>
        <v>-3.8155940908638231E-5</v>
      </c>
      <c r="EC9" s="166">
        <f>'Railway (Catenary)'!AC77</f>
        <v>-3.8155940908638231E-5</v>
      </c>
      <c r="ED9" s="166">
        <f>'Railway (Battery)'!AC77</f>
        <v>-3.8155940908638231E-5</v>
      </c>
      <c r="EE9" s="166">
        <f>'Railway (Hydrogen)'!AC77</f>
        <v>-3.8155940908638231E-5</v>
      </c>
      <c r="EF9" s="166">
        <f>'Railway (Diesel)'!AC183</f>
        <v>-5.0874587878184312E-5</v>
      </c>
      <c r="EG9" s="166">
        <f>'Railway (Catenary)'!AC183</f>
        <v>-5.0874587878184312E-5</v>
      </c>
      <c r="EH9" s="166">
        <f>'Railway (Battery)'!AC183</f>
        <v>-5.0874587878184312E-5</v>
      </c>
      <c r="EI9" s="166">
        <f>'Railway (Hydrogen)'!AC183</f>
        <v>-5.0874587878184312E-5</v>
      </c>
      <c r="EJ9" s="166">
        <f>'Railway (Diesel)'!AC291</f>
        <v>-2.5437293939092156E-5</v>
      </c>
      <c r="EK9" s="166">
        <f>'Railway (Catenary)'!AC291</f>
        <v>-2.5437293939092156E-5</v>
      </c>
      <c r="EL9" s="166">
        <f>'Railway (Battery)'!AC291</f>
        <v>-2.5437293939092156E-5</v>
      </c>
      <c r="EM9" s="166">
        <f>'Railway (Hydrogen)'!AC291</f>
        <v>-2.5437293939092156E-5</v>
      </c>
      <c r="EN9" s="166">
        <f>'Railway (Diesel)'!AC400</f>
        <v>-3.8155940908638231E-5</v>
      </c>
      <c r="EO9" s="166">
        <f>'Railway (Catenary)'!AC400</f>
        <v>-3.8155940908638231E-5</v>
      </c>
      <c r="EP9" s="166">
        <f>'Railway (Battery)'!AC400</f>
        <v>-3.8155940908638231E-5</v>
      </c>
      <c r="EQ9" s="166">
        <f>'Railway (Hydrogen)'!AC400</f>
        <v>-3.8155940908638231E-5</v>
      </c>
      <c r="ER9" s="166">
        <f>'Railway (Diesel)'!AC505</f>
        <v>-2.5437293939092159E-5</v>
      </c>
      <c r="ES9" s="166">
        <f>'Railway (Catenary)'!AC505</f>
        <v>-2.5437293939092159E-5</v>
      </c>
      <c r="ET9" s="166">
        <f>'Railway (Battery)'!AC505</f>
        <v>-2.5437293939092159E-5</v>
      </c>
      <c r="EU9" s="166">
        <f>'Railway (Hydrogen)'!AC505</f>
        <v>-2.5437293939092159E-5</v>
      </c>
      <c r="EV9" s="166">
        <f>'Semi-trailer truck (Diesel)'!AC77</f>
        <v>-9.8813060523915441E-4</v>
      </c>
      <c r="EW9" s="166">
        <f>'Semi-trailer truck (Battery)'!AC77</f>
        <v>-9.8813060523915441E-4</v>
      </c>
      <c r="EX9" s="166">
        <f>'Semi-trailer truck (Hydrogen)'!AC77</f>
        <v>-9.8813060523915441E-4</v>
      </c>
      <c r="EY9" s="166">
        <f>'Semi-trailer truck (Diesel)'!AC183</f>
        <v>-7.4109795392936575E-4</v>
      </c>
      <c r="EZ9" s="166">
        <f>'Semi-trailer truck (Battery)'!AC183</f>
        <v>-7.4109795392936575E-4</v>
      </c>
      <c r="FA9" s="166">
        <f>'Semi-trailer truck (Hydrogen)'!AC183</f>
        <v>-7.4109795392936575E-4</v>
      </c>
      <c r="FB9" s="166">
        <f>'Semi-trailer truck (Diesel)'!AC291</f>
        <v>-3.8819416634395349E-4</v>
      </c>
      <c r="FC9" s="166">
        <f>'Semi-trailer truck (Battery)'!AC291</f>
        <v>-3.8819416634395349E-4</v>
      </c>
      <c r="FD9" s="166">
        <f>'Semi-trailer truck (Hydrogen)'!AC291</f>
        <v>-3.8819416634395349E-4</v>
      </c>
      <c r="FE9" s="166">
        <f>'Semi-trailer truck (Diesel)'!AC400</f>
        <v>-6.9675876010453195E-4</v>
      </c>
      <c r="FF9" s="166">
        <f>'Semi-trailer truck (Battery)'!AC400</f>
        <v>-6.9675876010453195E-4</v>
      </c>
      <c r="FG9" s="166">
        <f>'Semi-trailer truck (Hydrogen)'!AC400</f>
        <v>-6.9675876010453195E-4</v>
      </c>
      <c r="FH9" s="166">
        <f>'Semi-trailer truck (Diesel)'!AC505</f>
        <v>-5.2837539307926996E-4</v>
      </c>
      <c r="FI9" s="166">
        <f>'Semi-trailer truck (Battery)'!AC505</f>
        <v>-5.2837539307926996E-4</v>
      </c>
      <c r="FJ9" s="166">
        <f>'Semi-trailer truck (Hydrogen)'!AC505</f>
        <v>-5.2837539307926996E-4</v>
      </c>
      <c r="FK9" s="166"/>
      <c r="FL9" s="166"/>
      <c r="FM9" s="166"/>
      <c r="FN9" s="166"/>
      <c r="FP9" s="166"/>
      <c r="FQ9" s="166"/>
      <c r="FR9" s="166"/>
    </row>
    <row r="10" spans="1:174" x14ac:dyDescent="0.25">
      <c r="A10" s="164" t="s">
        <v>37</v>
      </c>
      <c r="B10" s="167">
        <f>'Short-sea (HFO)'!B78</f>
        <v>1.0654632223259673E-3</v>
      </c>
      <c r="C10" s="166">
        <f>'Short-sea (MGO)'!B78</f>
        <v>1.0654632223259673E-3</v>
      </c>
      <c r="D10" s="166">
        <f>'Short-sea (Hydrogen)'!B78</f>
        <v>1.0654632223259673E-3</v>
      </c>
      <c r="E10" s="166">
        <f>'Short-sea (Ammonia)'!B78</f>
        <v>1.0654632223259673E-3</v>
      </c>
      <c r="F10" s="166">
        <f>'Short-sea (Methanol)'!B78</f>
        <v>1.0654632223259673E-3</v>
      </c>
      <c r="G10" s="164">
        <f>'Short-sea (HFO)'!B184</f>
        <v>1.0654632223259673E-3</v>
      </c>
      <c r="H10" s="166">
        <f>'Short-sea (MGO)'!B184</f>
        <v>1.0654632223259673E-3</v>
      </c>
      <c r="I10" s="166">
        <f>'Short-sea (Hydrogen)'!B184</f>
        <v>1.0654632223259673E-3</v>
      </c>
      <c r="J10" s="166">
        <f>'Short-sea (Ammonia)'!B184</f>
        <v>1.0654632223259673E-3</v>
      </c>
      <c r="K10" s="166">
        <f>'Short-sea (Methanol)'!B184</f>
        <v>1.0654632223259673E-3</v>
      </c>
      <c r="L10" s="166">
        <f>'Short-sea (HFO)'!B292</f>
        <v>1.0654632223259673E-3</v>
      </c>
      <c r="M10" s="166">
        <f>'Short-sea (MGO)'!B292</f>
        <v>1.0654632223259673E-3</v>
      </c>
      <c r="N10" s="166">
        <f>'Short-sea (Hydrogen)'!B292</f>
        <v>1.0654632223259673E-3</v>
      </c>
      <c r="O10" s="166">
        <f>'Short-sea (Ammonia)'!B292</f>
        <v>1.0654632223259673E-3</v>
      </c>
      <c r="P10" s="166">
        <f>'Short-sea (Methanol)'!B292</f>
        <v>1.0654632223259673E-3</v>
      </c>
      <c r="Q10" s="166">
        <f>'Short-sea (HFO)'!B401</f>
        <v>1.0654632223259673E-3</v>
      </c>
      <c r="R10" s="166">
        <f>'Short-sea (MGO)'!B401</f>
        <v>1.0654632223259673E-3</v>
      </c>
      <c r="S10" s="166">
        <f>'Short-sea (Hydrogen)'!B401</f>
        <v>1.0654632223259673E-3</v>
      </c>
      <c r="T10" s="166">
        <f>'Short-sea (Ammonia)'!B401</f>
        <v>1.0654632223259673E-3</v>
      </c>
      <c r="U10" s="166">
        <f>'Short-sea (Methanol)'!B401</f>
        <v>1.0654632223259673E-3</v>
      </c>
      <c r="V10" s="166">
        <f>'Railway (Diesel)'!B78</f>
        <v>1.6256502601040416E-3</v>
      </c>
      <c r="W10" s="166">
        <f>'Railway (Catenary)'!B78</f>
        <v>1.6256502601040416E-3</v>
      </c>
      <c r="X10" s="166">
        <f>'Railway (Battery)'!B78</f>
        <v>1.6256502601040416E-3</v>
      </c>
      <c r="Y10" s="166">
        <f>'Railway (Hydrogen)'!B78</f>
        <v>1.6256502601040416E-3</v>
      </c>
      <c r="Z10" s="166">
        <f>'Railway (Diesel)'!B184</f>
        <v>1.5506202480992397E-3</v>
      </c>
      <c r="AA10" s="166">
        <f>'Railway (Catenary)'!B184</f>
        <v>1.5506202480992397E-3</v>
      </c>
      <c r="AB10" s="166">
        <f>'Railway (Battery)'!B184</f>
        <v>1.5506202480992397E-3</v>
      </c>
      <c r="AC10" s="166">
        <f>'Railway (Hydrogen)'!B184</f>
        <v>1.5506202480992397E-3</v>
      </c>
      <c r="AD10" s="166">
        <f>'Railway (Diesel)'!B292</f>
        <v>1.525610244097639E-3</v>
      </c>
      <c r="AE10" s="166">
        <f>'Railway (Catenary)'!B292</f>
        <v>1.525610244097639E-3</v>
      </c>
      <c r="AF10" s="166">
        <f>'Railway (Battery)'!B292</f>
        <v>1.525610244097639E-3</v>
      </c>
      <c r="AG10" s="166">
        <f>'Railway (Hydrogen)'!B292</f>
        <v>1.525610244097639E-3</v>
      </c>
      <c r="AH10" s="166">
        <f>'Railway (Diesel)'!B401</f>
        <v>3.6264505802320927E-3</v>
      </c>
      <c r="AI10" s="166">
        <f>'Railway (Catenary)'!B401</f>
        <v>3.6264505802320927E-3</v>
      </c>
      <c r="AJ10" s="166">
        <f>'Railway (Battery)'!B401</f>
        <v>3.6264505802320927E-3</v>
      </c>
      <c r="AK10" s="166">
        <f>'Railway (Hydrogen)'!B401</f>
        <v>3.6264505802320927E-3</v>
      </c>
      <c r="AL10" s="166">
        <f>'Railway (Diesel)'!B506</f>
        <v>1.3005202080832333E-3</v>
      </c>
      <c r="AM10" s="166">
        <f>'Railway (Catenary)'!B506</f>
        <v>1.3005202080832333E-3</v>
      </c>
      <c r="AN10" s="166">
        <f>'Railway (Battery)'!B506</f>
        <v>1.3005202080832333E-3</v>
      </c>
      <c r="AO10" s="166">
        <f>'Railway (Hydrogen)'!B506</f>
        <v>1.3005202080832333E-3</v>
      </c>
      <c r="AP10" s="166">
        <f>'Semi-trailer truck (Diesel)'!B78</f>
        <v>5.0909090909090911E-2</v>
      </c>
      <c r="AQ10" s="166">
        <f>'Semi-trailer truck (Battery)'!B78</f>
        <v>5.0909090909090911E-2</v>
      </c>
      <c r="AR10" s="166">
        <f>'Semi-trailer truck (Hydrogen)'!B78</f>
        <v>5.0909090909090911E-2</v>
      </c>
      <c r="AS10" s="166">
        <f>'Semi-trailer truck (Diesel)'!B184</f>
        <v>2.5454545454545455E-2</v>
      </c>
      <c r="AT10" s="166">
        <f>'Semi-trailer truck (Battery)'!B184</f>
        <v>2.5454545454545455E-2</v>
      </c>
      <c r="AU10" s="166">
        <f>'Semi-trailer truck (Hydrogen)'!B184</f>
        <v>2.5454545454545455E-2</v>
      </c>
      <c r="AV10" s="166">
        <f>'Semi-trailer truck (Diesel)'!B292</f>
        <v>2.6666666666666665E-2</v>
      </c>
      <c r="AW10" s="166">
        <f>'Semi-trailer truck (Battery)'!B292</f>
        <v>2.6666666666666665E-2</v>
      </c>
      <c r="AX10" s="166">
        <f>'Semi-trailer truck (Hydrogen)'!B292</f>
        <v>2.6666666666666665E-2</v>
      </c>
      <c r="AY10" s="166">
        <f>'Semi-trailer truck (Diesel)'!B401</f>
        <v>3.5897435897435902E-2</v>
      </c>
      <c r="AZ10" s="166">
        <f>'Semi-trailer truck (Battery)'!B401</f>
        <v>3.5897435897435902E-2</v>
      </c>
      <c r="BA10" s="166">
        <f>'Semi-trailer truck (Hydrogen)'!B401</f>
        <v>3.5897435897435902E-2</v>
      </c>
      <c r="BB10" s="166">
        <f>'Semi-trailer truck (Diesel)'!B506</f>
        <v>3.111111111111111E-2</v>
      </c>
      <c r="BC10" s="166">
        <f>'Semi-trailer truck (Battery)'!B506</f>
        <v>3.111111111111111E-2</v>
      </c>
      <c r="BD10" s="166">
        <f>'Semi-trailer truck (Hydrogen)'!B506</f>
        <v>3.111111111111111E-2</v>
      </c>
      <c r="BE10" s="167">
        <f>'Short-sea (HFO)'!M78</f>
        <v>1.0654632223259673E-3</v>
      </c>
      <c r="BF10" s="166">
        <f>'Short-sea (MGO)'!M78</f>
        <v>1.0654632223259673E-3</v>
      </c>
      <c r="BG10" s="166">
        <f>'Short-sea (Hydrogen)'!M78</f>
        <v>1.0654632223259673E-3</v>
      </c>
      <c r="BH10" s="166">
        <f>'Short-sea (Ammonia)'!M78</f>
        <v>1.0654632223259673E-3</v>
      </c>
      <c r="BI10" s="166">
        <f>'Short-sea (Methanol)'!M78</f>
        <v>1.0654632223259673E-3</v>
      </c>
      <c r="BJ10" s="164">
        <f>'Short-sea (HFO)'!M184</f>
        <v>1.0654632223259673E-3</v>
      </c>
      <c r="BK10" s="166">
        <f>'Short-sea (MGO)'!M184</f>
        <v>1.0654632223259673E-3</v>
      </c>
      <c r="BL10" s="166">
        <f>'Short-sea (Hydrogen)'!M184</f>
        <v>1.0654632223259673E-3</v>
      </c>
      <c r="BM10" s="166">
        <f>'Short-sea (Ammonia)'!M184</f>
        <v>1.0654632223259673E-3</v>
      </c>
      <c r="BN10" s="166">
        <f>'Short-sea (Methanol)'!M184</f>
        <v>1.0654632223259673E-3</v>
      </c>
      <c r="BO10" s="166">
        <f>'Short-sea (HFO)'!M292</f>
        <v>1.0654632223259673E-3</v>
      </c>
      <c r="BP10" s="166">
        <f>'Short-sea (MGO)'!M292</f>
        <v>1.0654632223259673E-3</v>
      </c>
      <c r="BQ10" s="166">
        <f>'Short-sea (Hydrogen)'!M292</f>
        <v>1.0654632223259673E-3</v>
      </c>
      <c r="BR10" s="166">
        <f>'Short-sea (Ammonia)'!M292</f>
        <v>1.0654632223259673E-3</v>
      </c>
      <c r="BS10" s="166">
        <f>'Short-sea (Methanol)'!M292</f>
        <v>1.0654632223259673E-3</v>
      </c>
      <c r="BT10" s="166">
        <f>'Short-sea (HFO)'!M401</f>
        <v>1.0654632223259673E-3</v>
      </c>
      <c r="BU10" s="166">
        <f>'Short-sea (MGO)'!M401</f>
        <v>1.0654632223259673E-3</v>
      </c>
      <c r="BV10" s="166">
        <f>'Short-sea (Hydrogen)'!M401</f>
        <v>1.0654632223259673E-3</v>
      </c>
      <c r="BW10" s="166">
        <f>'Short-sea (Ammonia)'!M401</f>
        <v>1.0654632223259673E-3</v>
      </c>
      <c r="BX10" s="166">
        <f>'Short-sea (Methanol)'!M401</f>
        <v>1.0654632223259673E-3</v>
      </c>
      <c r="BY10" s="166">
        <f>'Railway (Diesel)'!M78</f>
        <v>1.6256502601040416E-3</v>
      </c>
      <c r="BZ10" s="166">
        <f>'Railway (Catenary)'!M78</f>
        <v>1.6256502601040416E-3</v>
      </c>
      <c r="CA10" s="166">
        <f>'Railway (Battery)'!M78</f>
        <v>1.6256502601040416E-3</v>
      </c>
      <c r="CB10" s="166">
        <f>'Railway (Hydrogen)'!M78</f>
        <v>1.6256502601040416E-3</v>
      </c>
      <c r="CC10" s="166">
        <f>'Railway (Diesel)'!M184</f>
        <v>1.5506202480992397E-3</v>
      </c>
      <c r="CD10" s="166">
        <f>'Railway (Catenary)'!M184</f>
        <v>1.5506202480992397E-3</v>
      </c>
      <c r="CE10" s="166">
        <f>'Railway (Battery)'!M184</f>
        <v>1.5506202480992397E-3</v>
      </c>
      <c r="CF10" s="166">
        <f>'Railway (Hydrogen)'!M184</f>
        <v>1.5506202480992397E-3</v>
      </c>
      <c r="CG10" s="166">
        <f>'Railway (Diesel)'!M292</f>
        <v>1.525610244097639E-3</v>
      </c>
      <c r="CH10" s="166">
        <f>'Railway (Catenary)'!M292</f>
        <v>1.525610244097639E-3</v>
      </c>
      <c r="CI10" s="166">
        <f>'Railway (Battery)'!M292</f>
        <v>1.525610244097639E-3</v>
      </c>
      <c r="CJ10" s="166">
        <f>'Railway (Hydrogen)'!M292</f>
        <v>1.525610244097639E-3</v>
      </c>
      <c r="CK10" s="166">
        <f>'Railway (Diesel)'!M401</f>
        <v>3.6264505802320927E-3</v>
      </c>
      <c r="CL10" s="166">
        <f>'Railway (Catenary)'!M401</f>
        <v>3.6264505802320927E-3</v>
      </c>
      <c r="CM10" s="166">
        <f>'Railway (Battery)'!M401</f>
        <v>3.6264505802320927E-3</v>
      </c>
      <c r="CN10" s="166">
        <f>'Railway (Hydrogen)'!M401</f>
        <v>3.6264505802320927E-3</v>
      </c>
      <c r="CO10" s="166">
        <f>'Railway (Diesel)'!M506</f>
        <v>1.3005202080832333E-3</v>
      </c>
      <c r="CP10" s="166">
        <f>'Railway (Catenary)'!M506</f>
        <v>1.3005202080832333E-3</v>
      </c>
      <c r="CQ10" s="166">
        <f>'Railway (Battery)'!M506</f>
        <v>1.3005202080832333E-3</v>
      </c>
      <c r="CR10" s="166">
        <f>'Railway (Hydrogen)'!M506</f>
        <v>1.3005202080832333E-3</v>
      </c>
      <c r="CS10" s="166">
        <f>'Semi-trailer truck (Diesel)'!M78</f>
        <v>5.0909090909090911E-2</v>
      </c>
      <c r="CT10" s="166">
        <f>'Semi-trailer truck (Battery)'!M78</f>
        <v>5.0909090909090911E-2</v>
      </c>
      <c r="CU10" s="166">
        <f>'Semi-trailer truck (Hydrogen)'!M78</f>
        <v>5.0909090909090911E-2</v>
      </c>
      <c r="CV10" s="166">
        <f>'Semi-trailer truck (Diesel)'!M184</f>
        <v>2.5454545454545455E-2</v>
      </c>
      <c r="CW10" s="166">
        <f>'Semi-trailer truck (Battery)'!M184</f>
        <v>2.5454545454545455E-2</v>
      </c>
      <c r="CX10" s="166">
        <f>'Semi-trailer truck (Hydrogen)'!M184</f>
        <v>2.5454545454545455E-2</v>
      </c>
      <c r="CY10" s="166">
        <f>'Semi-trailer truck (Diesel)'!M292</f>
        <v>2.6666666666666665E-2</v>
      </c>
      <c r="CZ10" s="166">
        <f>'Semi-trailer truck (Battery)'!M292</f>
        <v>2.6666666666666665E-2</v>
      </c>
      <c r="DA10" s="166">
        <f>'Semi-trailer truck (Hydrogen)'!M292</f>
        <v>2.6666666666666665E-2</v>
      </c>
      <c r="DB10" s="166">
        <f>'Semi-trailer truck (Diesel)'!M401</f>
        <v>3.5897435897435902E-2</v>
      </c>
      <c r="DC10" s="166">
        <f>'Semi-trailer truck (Battery)'!M401</f>
        <v>3.5897435897435902E-2</v>
      </c>
      <c r="DD10" s="166">
        <f>'Semi-trailer truck (Hydrogen)'!M401</f>
        <v>3.5897435897435902E-2</v>
      </c>
      <c r="DE10" s="166">
        <f>'Semi-trailer truck (Diesel)'!M506</f>
        <v>3.111111111111111E-2</v>
      </c>
      <c r="DF10" s="166">
        <f>'Semi-trailer truck (Battery)'!M506</f>
        <v>3.111111111111111E-2</v>
      </c>
      <c r="DG10" s="166">
        <f>'Semi-trailer truck (Hydrogen)'!M506</f>
        <v>3.111111111111111E-2</v>
      </c>
      <c r="DH10" s="167">
        <f>'Short-sea (HFO)'!AC78</f>
        <v>1.0654632223259673E-3</v>
      </c>
      <c r="DI10" s="166">
        <f>'Short-sea (MGO)'!AC78</f>
        <v>1.0654632223259673E-3</v>
      </c>
      <c r="DJ10" s="166">
        <f>'Short-sea (Hydrogen)'!AC78</f>
        <v>1.0654632223259673E-3</v>
      </c>
      <c r="DK10" s="166">
        <f>'Short-sea (Ammonia)'!AC78</f>
        <v>1.0654632223259673E-3</v>
      </c>
      <c r="DL10" s="166">
        <f>'Short-sea (Methanol)'!AC78</f>
        <v>1.0654632223259673E-3</v>
      </c>
      <c r="DM10" s="164">
        <f>'Short-sea (HFO)'!AC184</f>
        <v>1.0654632223259673E-3</v>
      </c>
      <c r="DN10" s="166">
        <f>'Short-sea (MGO)'!AC184</f>
        <v>1.0654632223259673E-3</v>
      </c>
      <c r="DO10" s="166">
        <f>'Short-sea (Hydrogen)'!AC184</f>
        <v>1.0654632223259673E-3</v>
      </c>
      <c r="DP10" s="166">
        <f>'Short-sea (Ammonia)'!AC184</f>
        <v>1.0654632223259673E-3</v>
      </c>
      <c r="DQ10" s="166">
        <f>'Short-sea (Methanol)'!AC184</f>
        <v>1.0654632223259673E-3</v>
      </c>
      <c r="DR10" s="166">
        <f>'Short-sea (HFO)'!AC292</f>
        <v>1.0654632223259673E-3</v>
      </c>
      <c r="DS10" s="166">
        <f>'Short-sea (MGO)'!AC292</f>
        <v>1.0654632223259673E-3</v>
      </c>
      <c r="DT10" s="166">
        <f>'Short-sea (Hydrogen)'!AC292</f>
        <v>1.0654632223259673E-3</v>
      </c>
      <c r="DU10" s="166">
        <f>'Short-sea (Ammonia)'!AC292</f>
        <v>1.0654632223259673E-3</v>
      </c>
      <c r="DV10" s="166">
        <f>'Short-sea (Methanol)'!AC292</f>
        <v>1.0654632223259673E-3</v>
      </c>
      <c r="DW10" s="166">
        <f>'Short-sea (HFO)'!AC401</f>
        <v>1.0654632223259673E-3</v>
      </c>
      <c r="DX10" s="166">
        <f>'Short-sea (MGO)'!AC401</f>
        <v>1.0654632223259673E-3</v>
      </c>
      <c r="DY10" s="166">
        <f>'Short-sea (Hydrogen)'!AC401</f>
        <v>1.0654632223259673E-3</v>
      </c>
      <c r="DZ10" s="166">
        <f>'Short-sea (Ammonia)'!AC401</f>
        <v>1.0654632223259673E-3</v>
      </c>
      <c r="EA10" s="166">
        <f>'Short-sea (Methanol)'!AC401</f>
        <v>1.0654632223259673E-3</v>
      </c>
      <c r="EB10" s="166">
        <f>'Railway (Diesel)'!AC78</f>
        <v>1.6256502601040416E-3</v>
      </c>
      <c r="EC10" s="166">
        <f>'Railway (Catenary)'!AC78</f>
        <v>1.6256502601040416E-3</v>
      </c>
      <c r="ED10" s="166">
        <f>'Railway (Battery)'!AC78</f>
        <v>1.6256502601040416E-3</v>
      </c>
      <c r="EE10" s="166">
        <f>'Railway (Hydrogen)'!AC78</f>
        <v>1.6256502601040416E-3</v>
      </c>
      <c r="EF10" s="166">
        <f>'Railway (Diesel)'!AC184</f>
        <v>1.5506202480992397E-3</v>
      </c>
      <c r="EG10" s="166">
        <f>'Railway (Catenary)'!AC184</f>
        <v>1.5506202480992397E-3</v>
      </c>
      <c r="EH10" s="166">
        <f>'Railway (Battery)'!AC184</f>
        <v>1.5506202480992397E-3</v>
      </c>
      <c r="EI10" s="166">
        <f>'Railway (Hydrogen)'!AC184</f>
        <v>1.5506202480992397E-3</v>
      </c>
      <c r="EJ10" s="166">
        <f>'Railway (Diesel)'!AC292</f>
        <v>1.525610244097639E-3</v>
      </c>
      <c r="EK10" s="166">
        <f>'Railway (Catenary)'!AC292</f>
        <v>1.525610244097639E-3</v>
      </c>
      <c r="EL10" s="166">
        <f>'Railway (Battery)'!AC292</f>
        <v>1.525610244097639E-3</v>
      </c>
      <c r="EM10" s="166">
        <f>'Railway (Hydrogen)'!AC292</f>
        <v>1.525610244097639E-3</v>
      </c>
      <c r="EN10" s="166">
        <f>'Railway (Diesel)'!AC401</f>
        <v>3.6264505802320927E-3</v>
      </c>
      <c r="EO10" s="166">
        <f>'Railway (Catenary)'!AC401</f>
        <v>3.6264505802320927E-3</v>
      </c>
      <c r="EP10" s="166">
        <f>'Railway (Battery)'!AC401</f>
        <v>3.6264505802320927E-3</v>
      </c>
      <c r="EQ10" s="166">
        <f>'Railway (Hydrogen)'!AC401</f>
        <v>3.6264505802320927E-3</v>
      </c>
      <c r="ER10" s="166">
        <f>'Railway (Diesel)'!AC506</f>
        <v>1.3005202080832333E-3</v>
      </c>
      <c r="ES10" s="166">
        <f>'Railway (Catenary)'!AC506</f>
        <v>1.3005202080832333E-3</v>
      </c>
      <c r="ET10" s="166">
        <f>'Railway (Battery)'!AC506</f>
        <v>1.3005202080832333E-3</v>
      </c>
      <c r="EU10" s="166">
        <f>'Railway (Hydrogen)'!AC506</f>
        <v>1.3005202080832333E-3</v>
      </c>
      <c r="EV10" s="166">
        <f>'Semi-trailer truck (Diesel)'!AC78</f>
        <v>5.0909090909090911E-2</v>
      </c>
      <c r="EW10" s="166">
        <f>'Semi-trailer truck (Battery)'!AC78</f>
        <v>5.0909090909090911E-2</v>
      </c>
      <c r="EX10" s="166">
        <f>'Semi-trailer truck (Hydrogen)'!AC78</f>
        <v>5.0909090909090911E-2</v>
      </c>
      <c r="EY10" s="166">
        <f>'Semi-trailer truck (Diesel)'!AC184</f>
        <v>2.5454545454545455E-2</v>
      </c>
      <c r="EZ10" s="166">
        <f>'Semi-trailer truck (Battery)'!AC184</f>
        <v>2.5454545454545455E-2</v>
      </c>
      <c r="FA10" s="166">
        <f>'Semi-trailer truck (Hydrogen)'!AC184</f>
        <v>2.5454545454545455E-2</v>
      </c>
      <c r="FB10" s="166">
        <f>'Semi-trailer truck (Diesel)'!AC292</f>
        <v>2.6666666666666665E-2</v>
      </c>
      <c r="FC10" s="166">
        <f>'Semi-trailer truck (Battery)'!AC292</f>
        <v>2.6666666666666665E-2</v>
      </c>
      <c r="FD10" s="166">
        <f>'Semi-trailer truck (Hydrogen)'!AC292</f>
        <v>2.6666666666666665E-2</v>
      </c>
      <c r="FE10" s="166">
        <f>'Semi-trailer truck (Diesel)'!AC401</f>
        <v>3.5897435897435902E-2</v>
      </c>
      <c r="FF10" s="166">
        <f>'Semi-trailer truck (Battery)'!AC401</f>
        <v>3.5897435897435902E-2</v>
      </c>
      <c r="FG10" s="166">
        <f>'Semi-trailer truck (Hydrogen)'!AC401</f>
        <v>3.5897435897435902E-2</v>
      </c>
      <c r="FH10" s="166">
        <f>'Semi-trailer truck (Diesel)'!AC506</f>
        <v>3.111111111111111E-2</v>
      </c>
      <c r="FI10" s="166">
        <f>'Semi-trailer truck (Battery)'!AC506</f>
        <v>3.111111111111111E-2</v>
      </c>
      <c r="FJ10" s="166">
        <f>'Semi-trailer truck (Hydrogen)'!AC506</f>
        <v>3.111111111111111E-2</v>
      </c>
      <c r="FK10" s="166"/>
      <c r="FL10" s="166"/>
      <c r="FM10" s="166"/>
      <c r="FN10" s="166"/>
      <c r="FP10" s="166"/>
      <c r="FQ10" s="166"/>
      <c r="FR10" s="166"/>
    </row>
    <row r="11" spans="1:174" x14ac:dyDescent="0.25">
      <c r="A11" s="164" t="s">
        <v>52</v>
      </c>
      <c r="B11" s="167">
        <f>'Short-sea (HFO)'!B79</f>
        <v>4.305425874053325E-4</v>
      </c>
      <c r="C11" s="166">
        <f>'Short-sea (MGO)'!B79</f>
        <v>4.305425874053325E-4</v>
      </c>
      <c r="D11" s="166">
        <f>'Short-sea (Hydrogen)'!B79</f>
        <v>2.9878618113912231E-4</v>
      </c>
      <c r="E11" s="166">
        <f>'Short-sea (Ammonia)'!B79</f>
        <v>2.9878618113912231E-4</v>
      </c>
      <c r="F11" s="166">
        <f>'Short-sea (Methanol)'!B79</f>
        <v>4.305425874053325E-4</v>
      </c>
      <c r="G11" s="164">
        <f>'Short-sea (HFO)'!B185</f>
        <v>4.305425874053325E-4</v>
      </c>
      <c r="H11" s="166">
        <f>'Short-sea (MGO)'!B185</f>
        <v>4.305425874053325E-4</v>
      </c>
      <c r="I11" s="166">
        <f>'Short-sea (Hydrogen)'!B185</f>
        <v>2.9878618113912231E-4</v>
      </c>
      <c r="J11" s="166">
        <f>'Short-sea (Ammonia)'!B185</f>
        <v>2.9878618113912231E-4</v>
      </c>
      <c r="K11" s="166">
        <f>'Short-sea (Methanol)'!B185</f>
        <v>4.305425874053325E-4</v>
      </c>
      <c r="L11" s="166">
        <f>'Short-sea (HFO)'!B293</f>
        <v>4.305425874053325E-4</v>
      </c>
      <c r="M11" s="166">
        <f>'Short-sea (MGO)'!B293</f>
        <v>4.305425874053325E-4</v>
      </c>
      <c r="N11" s="166">
        <f>'Short-sea (Hydrogen)'!B293</f>
        <v>2.9878618113912231E-4</v>
      </c>
      <c r="O11" s="166">
        <f>'Short-sea (Ammonia)'!B293</f>
        <v>2.9878618113912231E-4</v>
      </c>
      <c r="P11" s="166">
        <f>'Short-sea (Methanol)'!B293</f>
        <v>4.305425874053325E-4</v>
      </c>
      <c r="Q11" s="166">
        <f>'Short-sea (HFO)'!B402</f>
        <v>4.305425874053325E-4</v>
      </c>
      <c r="R11" s="166">
        <f>'Short-sea (MGO)'!B402</f>
        <v>4.305425874053325E-4</v>
      </c>
      <c r="S11" s="166">
        <f>'Short-sea (Hydrogen)'!B402</f>
        <v>2.9878618113912231E-4</v>
      </c>
      <c r="T11" s="166">
        <f>'Short-sea (Ammonia)'!B402</f>
        <v>2.9878618113912231E-4</v>
      </c>
      <c r="U11" s="166">
        <f>'Short-sea (Methanol)'!B402</f>
        <v>4.305425874053325E-4</v>
      </c>
      <c r="V11" s="166">
        <f>'Railway (Diesel)'!B79</f>
        <v>2.6260504201680674E-3</v>
      </c>
      <c r="W11" s="166">
        <f>'Railway (Catenary)'!B79</f>
        <v>1.6256502601040416E-3</v>
      </c>
      <c r="X11" s="166">
        <f>'Railway (Battery)'!B79</f>
        <v>3.235203975384487E-3</v>
      </c>
      <c r="Y11" s="166">
        <f>'Railway (Hydrogen)'!B79</f>
        <v>3.4736649752972778E-3</v>
      </c>
      <c r="Z11" s="166">
        <f>'Railway (Diesel)'!B185</f>
        <v>2.6260504201680674E-3</v>
      </c>
      <c r="AA11" s="166">
        <f>'Railway (Catenary)'!B185</f>
        <v>1.6256502601040416E-3</v>
      </c>
      <c r="AB11" s="166">
        <f>'Railway (Battery)'!B185</f>
        <v>3.235203975384487E-3</v>
      </c>
      <c r="AC11" s="166">
        <f>'Railway (Hydrogen)'!B185</f>
        <v>3.4736649752972778E-3</v>
      </c>
      <c r="AD11" s="166">
        <f>'Railway (Diesel)'!B293</f>
        <v>2.6260504201680674E-3</v>
      </c>
      <c r="AE11" s="166">
        <f>'Railway (Catenary)'!B293</f>
        <v>1.6256502601040416E-3</v>
      </c>
      <c r="AF11" s="166">
        <f>'Railway (Battery)'!B293</f>
        <v>3.235203975384487E-3</v>
      </c>
      <c r="AG11" s="166">
        <f>'Railway (Hydrogen)'!B293</f>
        <v>3.4736649752972778E-3</v>
      </c>
      <c r="AH11" s="166">
        <f>'Railway (Diesel)'!B402</f>
        <v>2.6260504201680674E-3</v>
      </c>
      <c r="AI11" s="166">
        <f>'Railway (Catenary)'!B402</f>
        <v>1.6256502601040416E-3</v>
      </c>
      <c r="AJ11" s="166">
        <f>'Railway (Battery)'!B402</f>
        <v>3.235203975384487E-3</v>
      </c>
      <c r="AK11" s="166">
        <f>'Railway (Hydrogen)'!B402</f>
        <v>3.4736649752972778E-3</v>
      </c>
      <c r="AL11" s="166">
        <f>'Railway (Diesel)'!B507</f>
        <v>2.1008403361344541E-3</v>
      </c>
      <c r="AM11" s="166">
        <f>'Railway (Catenary)'!B507</f>
        <v>1.3005202080832333E-3</v>
      </c>
      <c r="AN11" s="166">
        <f>'Railway (Battery)'!B507</f>
        <v>2.5881631803075897E-3</v>
      </c>
      <c r="AO11" s="166">
        <f>'Railway (Hydrogen)'!B507</f>
        <v>2.7789319802378224E-3</v>
      </c>
      <c r="AP11" s="166">
        <f>'Semi-trailer truck (Diesel)'!B79</f>
        <v>1.4545454545454545E-2</v>
      </c>
      <c r="AQ11" s="166">
        <f>'Semi-trailer truck (Battery)'!B79</f>
        <v>1.0909090909090908E-2</v>
      </c>
      <c r="AR11" s="166">
        <f>'Semi-trailer truck (Hydrogen)'!B79</f>
        <v>1.868668998758358E-2</v>
      </c>
      <c r="AS11" s="166">
        <f>'Semi-trailer truck (Diesel)'!B185</f>
        <v>7.2727272727272727E-3</v>
      </c>
      <c r="AT11" s="166">
        <f>'Semi-trailer truck (Battery)'!B185</f>
        <v>5.4545454545454541E-3</v>
      </c>
      <c r="AU11" s="166">
        <f>'Semi-trailer truck (Hydrogen)'!B185</f>
        <v>9.3433449937917901E-3</v>
      </c>
      <c r="AV11" s="166">
        <f>'Semi-trailer truck (Diesel)'!B293</f>
        <v>7.619047619047619E-3</v>
      </c>
      <c r="AW11" s="166">
        <f>'Semi-trailer truck (Battery)'!B293</f>
        <v>5.7142857142857143E-3</v>
      </c>
      <c r="AX11" s="166">
        <f>'Semi-trailer truck (Hydrogen)'!B293</f>
        <v>9.7882661839723516E-3</v>
      </c>
      <c r="AY11" s="166">
        <f>'Semi-trailer truck (Diesel)'!B402</f>
        <v>1.0256410256410255E-2</v>
      </c>
      <c r="AZ11" s="166">
        <f>'Semi-trailer truck (Battery)'!B402</f>
        <v>7.6923076923076927E-3</v>
      </c>
      <c r="BA11" s="166">
        <f>'Semi-trailer truck (Hydrogen)'!B402</f>
        <v>1.3176512170732011E-2</v>
      </c>
      <c r="BB11" s="166">
        <f>'Semi-trailer truck (Diesel)'!B507</f>
        <v>8.8888888888888889E-3</v>
      </c>
      <c r="BC11" s="166">
        <f>'Semi-trailer truck (Battery)'!B507</f>
        <v>6.6666666666666662E-3</v>
      </c>
      <c r="BD11" s="166">
        <f>'Semi-trailer truck (Hydrogen)'!B507</f>
        <v>1.1419643881301077E-2</v>
      </c>
      <c r="BE11" s="167">
        <f>'Short-sea (HFO)'!M79</f>
        <v>4.305425874053325E-4</v>
      </c>
      <c r="BF11" s="166">
        <f>'Short-sea (MGO)'!M79</f>
        <v>4.305425874053325E-4</v>
      </c>
      <c r="BG11" s="166">
        <f>'Short-sea (Hydrogen)'!M79</f>
        <v>2.9878618113912231E-4</v>
      </c>
      <c r="BH11" s="166">
        <f>'Short-sea (Ammonia)'!M79</f>
        <v>2.9878618113912231E-4</v>
      </c>
      <c r="BI11" s="166">
        <f>'Short-sea (Methanol)'!M79</f>
        <v>4.305425874053325E-4</v>
      </c>
      <c r="BJ11" s="164">
        <f>'Short-sea (HFO)'!M185</f>
        <v>4.305425874053325E-4</v>
      </c>
      <c r="BK11" s="166">
        <f>'Short-sea (MGO)'!M185</f>
        <v>4.305425874053325E-4</v>
      </c>
      <c r="BL11" s="166">
        <f>'Short-sea (Hydrogen)'!M185</f>
        <v>2.9878618113912231E-4</v>
      </c>
      <c r="BM11" s="166">
        <f>'Short-sea (Ammonia)'!M185</f>
        <v>2.9878618113912231E-4</v>
      </c>
      <c r="BN11" s="166">
        <f>'Short-sea (Methanol)'!M185</f>
        <v>4.305425874053325E-4</v>
      </c>
      <c r="BO11" s="166">
        <f>'Short-sea (HFO)'!M293</f>
        <v>4.305425874053325E-4</v>
      </c>
      <c r="BP11" s="166">
        <f>'Short-sea (MGO)'!M293</f>
        <v>4.305425874053325E-4</v>
      </c>
      <c r="BQ11" s="166">
        <f>'Short-sea (Hydrogen)'!M293</f>
        <v>2.9878618113912231E-4</v>
      </c>
      <c r="BR11" s="166">
        <f>'Short-sea (Ammonia)'!M293</f>
        <v>2.9878618113912231E-4</v>
      </c>
      <c r="BS11" s="166">
        <f>'Short-sea (Methanol)'!M293</f>
        <v>4.305425874053325E-4</v>
      </c>
      <c r="BT11" s="166">
        <f>'Short-sea (HFO)'!M402</f>
        <v>4.305425874053325E-4</v>
      </c>
      <c r="BU11" s="166">
        <f>'Short-sea (MGO)'!M402</f>
        <v>4.305425874053325E-4</v>
      </c>
      <c r="BV11" s="166">
        <f>'Short-sea (Hydrogen)'!M402</f>
        <v>2.9878618113912231E-4</v>
      </c>
      <c r="BW11" s="166">
        <f>'Short-sea (Ammonia)'!M402</f>
        <v>2.9878618113912231E-4</v>
      </c>
      <c r="BX11" s="166">
        <f>'Short-sea (Methanol)'!M402</f>
        <v>4.305425874053325E-4</v>
      </c>
      <c r="BY11" s="166">
        <f>'Railway (Diesel)'!M79</f>
        <v>2.6260504201680674E-3</v>
      </c>
      <c r="BZ11" s="166">
        <f>'Railway (Catenary)'!M79</f>
        <v>1.6256502601040416E-3</v>
      </c>
      <c r="CA11" s="166">
        <f>'Railway (Battery)'!M79</f>
        <v>2.7152291126929309E-3</v>
      </c>
      <c r="CB11" s="166">
        <f>'Railway (Hydrogen)'!M79</f>
        <v>2.5777082888133671E-3</v>
      </c>
      <c r="CC11" s="166">
        <f>'Railway (Diesel)'!M185</f>
        <v>2.6260504201680674E-3</v>
      </c>
      <c r="CD11" s="166">
        <f>'Railway (Catenary)'!M185</f>
        <v>1.6256502601040416E-3</v>
      </c>
      <c r="CE11" s="166">
        <f>'Railway (Battery)'!M185</f>
        <v>2.7152291126929309E-3</v>
      </c>
      <c r="CF11" s="166">
        <f>'Railway (Hydrogen)'!M185</f>
        <v>2.5777082888133671E-3</v>
      </c>
      <c r="CG11" s="166">
        <f>'Railway (Diesel)'!M293</f>
        <v>2.6260504201680674E-3</v>
      </c>
      <c r="CH11" s="166">
        <f>'Railway (Catenary)'!M293</f>
        <v>1.6256502601040416E-3</v>
      </c>
      <c r="CI11" s="166">
        <f>'Railway (Battery)'!M293</f>
        <v>2.7152291126929309E-3</v>
      </c>
      <c r="CJ11" s="166">
        <f>'Railway (Hydrogen)'!M293</f>
        <v>2.5777082888133671E-3</v>
      </c>
      <c r="CK11" s="166">
        <f>'Railway (Diesel)'!M402</f>
        <v>2.6260504201680674E-3</v>
      </c>
      <c r="CL11" s="166">
        <f>'Railway (Catenary)'!M402</f>
        <v>1.6256502601040416E-3</v>
      </c>
      <c r="CM11" s="166">
        <f>'Railway (Battery)'!M402</f>
        <v>2.7152291126929309E-3</v>
      </c>
      <c r="CN11" s="166">
        <f>'Railway (Hydrogen)'!M402</f>
        <v>2.5777082888133671E-3</v>
      </c>
      <c r="CO11" s="166">
        <f>'Railway (Diesel)'!M507</f>
        <v>2.1008403361344541E-3</v>
      </c>
      <c r="CP11" s="166">
        <f>'Railway (Catenary)'!M507</f>
        <v>1.3005202080832333E-3</v>
      </c>
      <c r="CQ11" s="166">
        <f>'Railway (Battery)'!M507</f>
        <v>2.1721832901543448E-3</v>
      </c>
      <c r="CR11" s="166">
        <f>'Railway (Hydrogen)'!M507</f>
        <v>2.0621666310506933E-3</v>
      </c>
      <c r="CS11" s="166">
        <f>'Semi-trailer truck (Diesel)'!M79</f>
        <v>1.4545454545454545E-2</v>
      </c>
      <c r="CT11" s="166">
        <f>'Semi-trailer truck (Battery)'!M79</f>
        <v>1.0909090909090908E-2</v>
      </c>
      <c r="CU11" s="166">
        <f>'Semi-trailer truck (Hydrogen)'!M79</f>
        <v>1.474292064798436E-2</v>
      </c>
      <c r="CV11" s="166">
        <f>'Semi-trailer truck (Diesel)'!M185</f>
        <v>7.2727272727272727E-3</v>
      </c>
      <c r="CW11" s="166">
        <f>'Semi-trailer truck (Battery)'!M185</f>
        <v>5.4545454545454541E-3</v>
      </c>
      <c r="CX11" s="166">
        <f>'Semi-trailer truck (Hydrogen)'!M185</f>
        <v>7.3714603239921801E-3</v>
      </c>
      <c r="CY11" s="166">
        <f>'Semi-trailer truck (Diesel)'!M293</f>
        <v>7.619047619047619E-3</v>
      </c>
      <c r="CZ11" s="166">
        <f>'Semi-trailer truck (Battery)'!M293</f>
        <v>5.7142857142857143E-3</v>
      </c>
      <c r="DA11" s="166">
        <f>'Semi-trailer truck (Hydrogen)'!M293</f>
        <v>7.7224822441822839E-3</v>
      </c>
      <c r="DB11" s="166">
        <f>'Semi-trailer truck (Diesel)'!M402</f>
        <v>1.0256410256410255E-2</v>
      </c>
      <c r="DC11" s="166">
        <f>'Semi-trailer truck (Battery)'!M402</f>
        <v>7.6923076923076927E-3</v>
      </c>
      <c r="DD11" s="166">
        <f>'Semi-trailer truck (Hydrogen)'!M402</f>
        <v>1.0395649174860766E-2</v>
      </c>
      <c r="DE11" s="166">
        <f>'Semi-trailer truck (Diesel)'!M507</f>
        <v>8.8888888888888889E-3</v>
      </c>
      <c r="DF11" s="166">
        <f>'Semi-trailer truck (Battery)'!M507</f>
        <v>6.6666666666666662E-3</v>
      </c>
      <c r="DG11" s="166">
        <f>'Semi-trailer truck (Hydrogen)'!M507</f>
        <v>9.0095626182126638E-3</v>
      </c>
      <c r="DH11" s="167">
        <f>'Short-sea (HFO)'!AC79</f>
        <v>4.305425874053325E-4</v>
      </c>
      <c r="DI11" s="166">
        <f>'Short-sea (MGO)'!AC79</f>
        <v>4.305425874053325E-4</v>
      </c>
      <c r="DJ11" s="166">
        <f>'Short-sea (Hydrogen)'!AC79</f>
        <v>2.9878618113912231E-4</v>
      </c>
      <c r="DK11" s="166">
        <f>'Short-sea (Ammonia)'!AC79</f>
        <v>2.9878618113912231E-4</v>
      </c>
      <c r="DL11" s="166">
        <f>'Short-sea (Methanol)'!AC79</f>
        <v>4.305425874053325E-4</v>
      </c>
      <c r="DM11" s="164">
        <f>'Short-sea (HFO)'!AC185</f>
        <v>4.305425874053325E-4</v>
      </c>
      <c r="DN11" s="166">
        <f>'Short-sea (MGO)'!AC185</f>
        <v>4.305425874053325E-4</v>
      </c>
      <c r="DO11" s="166">
        <f>'Short-sea (Hydrogen)'!AC185</f>
        <v>2.9878618113912231E-4</v>
      </c>
      <c r="DP11" s="166">
        <f>'Short-sea (Ammonia)'!AC185</f>
        <v>2.9878618113912231E-4</v>
      </c>
      <c r="DQ11" s="166">
        <f>'Short-sea (Methanol)'!AC185</f>
        <v>4.305425874053325E-4</v>
      </c>
      <c r="DR11" s="166">
        <f>'Short-sea (HFO)'!AC293</f>
        <v>4.305425874053325E-4</v>
      </c>
      <c r="DS11" s="166">
        <f>'Short-sea (MGO)'!AC293</f>
        <v>4.305425874053325E-4</v>
      </c>
      <c r="DT11" s="166">
        <f>'Short-sea (Hydrogen)'!AC293</f>
        <v>2.9878618113912231E-4</v>
      </c>
      <c r="DU11" s="166">
        <f>'Short-sea (Ammonia)'!AC293</f>
        <v>2.9878618113912231E-4</v>
      </c>
      <c r="DV11" s="166">
        <f>'Short-sea (Methanol)'!AC293</f>
        <v>4.305425874053325E-4</v>
      </c>
      <c r="DW11" s="166">
        <f>'Short-sea (HFO)'!AC402</f>
        <v>4.305425874053325E-4</v>
      </c>
      <c r="DX11" s="166">
        <f>'Short-sea (MGO)'!AC402</f>
        <v>4.305425874053325E-4</v>
      </c>
      <c r="DY11" s="166">
        <f>'Short-sea (Hydrogen)'!AC402</f>
        <v>2.9878618113912231E-4</v>
      </c>
      <c r="DZ11" s="166">
        <f>'Short-sea (Ammonia)'!AC402</f>
        <v>2.9878618113912231E-4</v>
      </c>
      <c r="EA11" s="166">
        <f>'Short-sea (Methanol)'!AC402</f>
        <v>4.305425874053325E-4</v>
      </c>
      <c r="EB11" s="166">
        <f>'Railway (Diesel)'!AC79</f>
        <v>2.6260504201680674E-3</v>
      </c>
      <c r="EC11" s="166">
        <f>'Railway (Catenary)'!AC79</f>
        <v>1.6256502601040416E-3</v>
      </c>
      <c r="ED11" s="166">
        <f>'Railway (Battery)'!AC79</f>
        <v>2.0347764046985059E-3</v>
      </c>
      <c r="EE11" s="166">
        <f>'Railway (Hydrogen)'!AC79</f>
        <v>1.4052359304229719E-3</v>
      </c>
      <c r="EF11" s="166">
        <f>'Railway (Diesel)'!AC185</f>
        <v>2.6260504201680674E-3</v>
      </c>
      <c r="EG11" s="166">
        <f>'Railway (Catenary)'!AC185</f>
        <v>1.6256502601040416E-3</v>
      </c>
      <c r="EH11" s="166">
        <f>'Railway (Battery)'!AC185</f>
        <v>2.0347764046985059E-3</v>
      </c>
      <c r="EI11" s="166">
        <f>'Railway (Hydrogen)'!AC185</f>
        <v>1.4052359304229719E-3</v>
      </c>
      <c r="EJ11" s="166">
        <f>'Railway (Diesel)'!AC293</f>
        <v>2.6260504201680674E-3</v>
      </c>
      <c r="EK11" s="166">
        <f>'Railway (Catenary)'!AC293</f>
        <v>1.6256502601040416E-3</v>
      </c>
      <c r="EL11" s="166">
        <f>'Railway (Battery)'!AC293</f>
        <v>2.0347764046985059E-3</v>
      </c>
      <c r="EM11" s="166">
        <f>'Railway (Hydrogen)'!AC293</f>
        <v>1.4052359304229719E-3</v>
      </c>
      <c r="EN11" s="166">
        <f>'Railway (Diesel)'!AC402</f>
        <v>2.6260504201680674E-3</v>
      </c>
      <c r="EO11" s="166">
        <f>'Railway (Catenary)'!AC402</f>
        <v>1.6256502601040416E-3</v>
      </c>
      <c r="EP11" s="166">
        <f>'Railway (Battery)'!AC402</f>
        <v>2.0347764046985059E-3</v>
      </c>
      <c r="EQ11" s="166">
        <f>'Railway (Hydrogen)'!AC402</f>
        <v>1.4052359304229719E-3</v>
      </c>
      <c r="ER11" s="166">
        <f>'Railway (Diesel)'!AC507</f>
        <v>2.1008403361344541E-3</v>
      </c>
      <c r="ES11" s="166">
        <f>'Railway (Catenary)'!AC507</f>
        <v>1.3005202080832333E-3</v>
      </c>
      <c r="ET11" s="166">
        <f>'Railway (Battery)'!AC507</f>
        <v>1.6278211237588046E-3</v>
      </c>
      <c r="EU11" s="166">
        <f>'Railway (Hydrogen)'!AC507</f>
        <v>1.1241887443383775E-3</v>
      </c>
      <c r="EV11" s="166">
        <f>'Semi-trailer truck (Diesel)'!AC79</f>
        <v>1.4545454545454545E-2</v>
      </c>
      <c r="EW11" s="166">
        <f>'Semi-trailer truck (Battery)'!AC79</f>
        <v>1.0909090909090908E-2</v>
      </c>
      <c r="EX11" s="166">
        <f>'Semi-trailer truck (Hydrogen)'!AC79</f>
        <v>1.3094815714923418E-2</v>
      </c>
      <c r="EY11" s="166">
        <f>'Semi-trailer truck (Diesel)'!AC185</f>
        <v>7.2727272727272727E-3</v>
      </c>
      <c r="EZ11" s="166">
        <f>'Semi-trailer truck (Battery)'!AC185</f>
        <v>5.4545454545454541E-3</v>
      </c>
      <c r="FA11" s="166">
        <f>'Semi-trailer truck (Hydrogen)'!AC185</f>
        <v>6.5474078574617092E-3</v>
      </c>
      <c r="FB11" s="166">
        <f>'Semi-trailer truck (Diesel)'!AC293</f>
        <v>7.619047619047619E-3</v>
      </c>
      <c r="FC11" s="166">
        <f>'Semi-trailer truck (Battery)'!AC293</f>
        <v>5.7142857142857143E-3</v>
      </c>
      <c r="FD11" s="166">
        <f>'Semi-trailer truck (Hydrogen)'!AC293</f>
        <v>6.8591891840075045E-3</v>
      </c>
      <c r="FE11" s="166">
        <f>'Semi-trailer truck (Diesel)'!AC402</f>
        <v>1.0256410256410255E-2</v>
      </c>
      <c r="FF11" s="166">
        <f>'Semi-trailer truck (Battery)'!AC402</f>
        <v>7.6923076923076927E-3</v>
      </c>
      <c r="FG11" s="166">
        <f>'Semi-trailer truck (Hydrogen)'!AC402</f>
        <v>9.2335239015485654E-3</v>
      </c>
      <c r="FH11" s="166">
        <f>'Semi-trailer truck (Diesel)'!AC507</f>
        <v>8.8888888888888889E-3</v>
      </c>
      <c r="FI11" s="166">
        <f>'Semi-trailer truck (Battery)'!AC507</f>
        <v>6.6666666666666662E-3</v>
      </c>
      <c r="FJ11" s="166">
        <f>'Semi-trailer truck (Hydrogen)'!AC507</f>
        <v>8.0023873813420895E-3</v>
      </c>
      <c r="FK11" s="166"/>
      <c r="FL11" s="166"/>
      <c r="FM11" s="166"/>
      <c r="FN11" s="166"/>
      <c r="FP11" s="166"/>
      <c r="FQ11" s="166"/>
      <c r="FR11" s="166"/>
    </row>
    <row r="12" spans="1:174" x14ac:dyDescent="0.25">
      <c r="A12" s="164" t="s">
        <v>272</v>
      </c>
      <c r="B12" s="167">
        <f>'Short-sea (HFO)'!B80</f>
        <v>8.9502842587904882E-5</v>
      </c>
      <c r="C12" s="166">
        <f>'Short-sea (MGO)'!B80</f>
        <v>8.9502842587904882E-5</v>
      </c>
      <c r="D12" s="166">
        <f>'Short-sea (Hydrogen)'!B80</f>
        <v>8.9502842587904882E-5</v>
      </c>
      <c r="E12" s="166">
        <f>'Short-sea (Ammonia)'!B80</f>
        <v>8.9502842587904882E-5</v>
      </c>
      <c r="F12" s="166">
        <f>'Short-sea (Methanol)'!B80</f>
        <v>8.9502842587904882E-5</v>
      </c>
      <c r="G12" s="164">
        <f>'Short-sea (HFO)'!B186</f>
        <v>1.7869725535414797E-4</v>
      </c>
      <c r="H12" s="166">
        <f>'Short-sea (MGO)'!B186</f>
        <v>1.7869725535414797E-4</v>
      </c>
      <c r="I12" s="166">
        <f>'Short-sea (Hydrogen)'!B186</f>
        <v>1.7869725535414797E-4</v>
      </c>
      <c r="J12" s="166">
        <f>'Short-sea (Ammonia)'!B186</f>
        <v>1.7869725535414797E-4</v>
      </c>
      <c r="K12" s="166">
        <f>'Short-sea (Methanol)'!B186</f>
        <v>1.7869725535414797E-4</v>
      </c>
      <c r="L12" s="166">
        <f>'Short-sea (HFO)'!B294</f>
        <v>8.6011184229469056E-5</v>
      </c>
      <c r="M12" s="166">
        <f>'Short-sea (MGO)'!B294</f>
        <v>8.6011184229469056E-5</v>
      </c>
      <c r="N12" s="166">
        <f>'Short-sea (Hydrogen)'!B294</f>
        <v>8.6011184229469056E-5</v>
      </c>
      <c r="O12" s="166">
        <f>'Short-sea (Ammonia)'!B294</f>
        <v>8.6011184229469056E-5</v>
      </c>
      <c r="P12" s="166">
        <f>'Short-sea (Methanol)'!B294</f>
        <v>8.6011184229469056E-5</v>
      </c>
      <c r="Q12" s="166">
        <f>'Short-sea (HFO)'!B403</f>
        <v>8.6011184229469056E-5</v>
      </c>
      <c r="R12" s="166">
        <f>'Short-sea (MGO)'!B403</f>
        <v>8.6011184229469056E-5</v>
      </c>
      <c r="S12" s="166">
        <f>'Short-sea (Hydrogen)'!B403</f>
        <v>8.6011184229469056E-5</v>
      </c>
      <c r="T12" s="166">
        <f>'Short-sea (Ammonia)'!B403</f>
        <v>8.6011184229469056E-5</v>
      </c>
      <c r="U12" s="166">
        <f>'Short-sea (Methanol)'!B403</f>
        <v>8.6011184229469056E-5</v>
      </c>
      <c r="V12" s="166">
        <f>'Railway (Diesel)'!B80</f>
        <v>1.7507002801120447E-3</v>
      </c>
      <c r="W12" s="166">
        <f>'Railway (Catenary)'!B80</f>
        <v>1.7507002801120447E-3</v>
      </c>
      <c r="X12" s="166">
        <f>'Railway (Battery)'!B80</f>
        <v>1.7507002801120447E-3</v>
      </c>
      <c r="Y12" s="166">
        <f>'Railway (Hydrogen)'!B80</f>
        <v>1.7507002801120447E-3</v>
      </c>
      <c r="Z12" s="166">
        <f>'Railway (Diesel)'!B186</f>
        <v>1.6256502601040416E-3</v>
      </c>
      <c r="AA12" s="166">
        <f>'Railway (Catenary)'!B186</f>
        <v>1.6256502601040416E-3</v>
      </c>
      <c r="AB12" s="166">
        <f>'Railway (Battery)'!B186</f>
        <v>1.6256502601040416E-3</v>
      </c>
      <c r="AC12" s="166">
        <f>'Railway (Hydrogen)'!B186</f>
        <v>1.6256502601040416E-3</v>
      </c>
      <c r="AD12" s="166">
        <f>'Railway (Diesel)'!B294</f>
        <v>1.6256502601040416E-3</v>
      </c>
      <c r="AE12" s="166">
        <f>'Railway (Catenary)'!B294</f>
        <v>1.6256502601040416E-3</v>
      </c>
      <c r="AF12" s="166">
        <f>'Railway (Battery)'!B294</f>
        <v>1.6256502601040416E-3</v>
      </c>
      <c r="AG12" s="166">
        <f>'Railway (Hydrogen)'!B294</f>
        <v>1.6256502601040416E-3</v>
      </c>
      <c r="AH12" s="166">
        <f>'Railway (Diesel)'!B403</f>
        <v>4.0016006402561026E-3</v>
      </c>
      <c r="AI12" s="166">
        <f>'Railway (Catenary)'!B403</f>
        <v>4.0016006402561026E-3</v>
      </c>
      <c r="AJ12" s="166">
        <f>'Railway (Battery)'!B403</f>
        <v>4.0016006402561026E-3</v>
      </c>
      <c r="AK12" s="166">
        <f>'Railway (Hydrogen)'!B403</f>
        <v>4.0016006402561026E-3</v>
      </c>
      <c r="AL12" s="166">
        <f>'Railway (Diesel)'!B508</f>
        <v>1.4005602240896359E-3</v>
      </c>
      <c r="AM12" s="166">
        <f>'Railway (Catenary)'!B508</f>
        <v>1.4005602240896359E-3</v>
      </c>
      <c r="AN12" s="166">
        <f>'Railway (Battery)'!B508</f>
        <v>1.4005602240896359E-3</v>
      </c>
      <c r="AO12" s="166">
        <f>'Railway (Hydrogen)'!B508</f>
        <v>1.4005602240896359E-3</v>
      </c>
      <c r="AP12" s="166">
        <f>'Semi-trailer truck (Diesel)'!B80</f>
        <v>4.4000000000000003E-3</v>
      </c>
      <c r="AQ12" s="166">
        <f>'Semi-trailer truck (Battery)'!B80</f>
        <v>4.4000000000000003E-3</v>
      </c>
      <c r="AR12" s="166">
        <f>'Semi-trailer truck (Hydrogen)'!B80</f>
        <v>4.4000000000000003E-3</v>
      </c>
      <c r="AS12" s="166">
        <f>'Semi-trailer truck (Diesel)'!B186</f>
        <v>4.4000000000000003E-3</v>
      </c>
      <c r="AT12" s="166">
        <f>'Semi-trailer truck (Battery)'!B186</f>
        <v>4.4000000000000003E-3</v>
      </c>
      <c r="AU12" s="166">
        <f>'Semi-trailer truck (Hydrogen)'!B186</f>
        <v>4.4000000000000003E-3</v>
      </c>
      <c r="AV12" s="166">
        <f>'Semi-trailer truck (Diesel)'!B294</f>
        <v>4.4000000000000003E-3</v>
      </c>
      <c r="AW12" s="166">
        <f>'Semi-trailer truck (Battery)'!B294</f>
        <v>4.4000000000000003E-3</v>
      </c>
      <c r="AX12" s="166">
        <f>'Semi-trailer truck (Hydrogen)'!B294</f>
        <v>4.4000000000000003E-3</v>
      </c>
      <c r="AY12" s="166">
        <f>'Semi-trailer truck (Diesel)'!B403</f>
        <v>4.4000000000000003E-3</v>
      </c>
      <c r="AZ12" s="166">
        <f>'Semi-trailer truck (Battery)'!B403</f>
        <v>4.4000000000000003E-3</v>
      </c>
      <c r="BA12" s="166">
        <f>'Semi-trailer truck (Hydrogen)'!B403</f>
        <v>4.4000000000000003E-3</v>
      </c>
      <c r="BB12" s="166">
        <f>'Semi-trailer truck (Diesel)'!B508</f>
        <v>4.4000000000000003E-3</v>
      </c>
      <c r="BC12" s="166">
        <f>'Semi-trailer truck (Battery)'!B508</f>
        <v>4.4000000000000003E-3</v>
      </c>
      <c r="BD12" s="166">
        <f>'Semi-trailer truck (Hydrogen)'!B508</f>
        <v>4.4000000000000003E-3</v>
      </c>
      <c r="BE12" s="167">
        <f>'Short-sea (HFO)'!M80</f>
        <v>8.9502842587904882E-5</v>
      </c>
      <c r="BF12" s="166">
        <f>'Short-sea (MGO)'!M80</f>
        <v>8.9502842587904882E-5</v>
      </c>
      <c r="BG12" s="166">
        <f>'Short-sea (Hydrogen)'!M80</f>
        <v>8.9502842587904882E-5</v>
      </c>
      <c r="BH12" s="166">
        <f>'Short-sea (Ammonia)'!M80</f>
        <v>8.9502842587904882E-5</v>
      </c>
      <c r="BI12" s="166">
        <f>'Short-sea (Methanol)'!M80</f>
        <v>8.9502842587904882E-5</v>
      </c>
      <c r="BJ12" s="164">
        <f>'Short-sea (HFO)'!M186</f>
        <v>1.7869725535414797E-4</v>
      </c>
      <c r="BK12" s="166">
        <f>'Short-sea (MGO)'!M186</f>
        <v>1.7869725535414797E-4</v>
      </c>
      <c r="BL12" s="166">
        <f>'Short-sea (Hydrogen)'!M186</f>
        <v>1.7869725535414797E-4</v>
      </c>
      <c r="BM12" s="166">
        <f>'Short-sea (Ammonia)'!M186</f>
        <v>1.7869725535414797E-4</v>
      </c>
      <c r="BN12" s="166">
        <f>'Short-sea (Methanol)'!M186</f>
        <v>1.7869725535414797E-4</v>
      </c>
      <c r="BO12" s="166">
        <f>'Short-sea (HFO)'!M294</f>
        <v>8.6011184229469056E-5</v>
      </c>
      <c r="BP12" s="166">
        <f>'Short-sea (MGO)'!M294</f>
        <v>8.6011184229469056E-5</v>
      </c>
      <c r="BQ12" s="166">
        <f>'Short-sea (Hydrogen)'!M294</f>
        <v>8.6011184229469056E-5</v>
      </c>
      <c r="BR12" s="166">
        <f>'Short-sea (Ammonia)'!M294</f>
        <v>8.6011184229469056E-5</v>
      </c>
      <c r="BS12" s="166">
        <f>'Short-sea (Methanol)'!M294</f>
        <v>8.6011184229469056E-5</v>
      </c>
      <c r="BT12" s="166">
        <f>'Short-sea (HFO)'!M403</f>
        <v>8.6011184229469056E-5</v>
      </c>
      <c r="BU12" s="166">
        <f>'Short-sea (MGO)'!M403</f>
        <v>8.6011184229469056E-5</v>
      </c>
      <c r="BV12" s="166">
        <f>'Short-sea (Hydrogen)'!M403</f>
        <v>8.6011184229469056E-5</v>
      </c>
      <c r="BW12" s="166">
        <f>'Short-sea (Ammonia)'!M403</f>
        <v>8.6011184229469056E-5</v>
      </c>
      <c r="BX12" s="166">
        <f>'Short-sea (Methanol)'!M403</f>
        <v>8.6011184229469056E-5</v>
      </c>
      <c r="BY12" s="166">
        <f>'Railway (Diesel)'!M80</f>
        <v>1.7507002801120447E-3</v>
      </c>
      <c r="BZ12" s="166">
        <f>'Railway (Catenary)'!M80</f>
        <v>1.7507002801120447E-3</v>
      </c>
      <c r="CA12" s="166">
        <f>'Railway (Battery)'!M80</f>
        <v>1.7507002801120447E-3</v>
      </c>
      <c r="CB12" s="166">
        <f>'Railway (Hydrogen)'!M80</f>
        <v>1.7507002801120447E-3</v>
      </c>
      <c r="CC12" s="166">
        <f>'Railway (Diesel)'!M186</f>
        <v>1.6256502601040416E-3</v>
      </c>
      <c r="CD12" s="166">
        <f>'Railway (Catenary)'!M186</f>
        <v>1.6256502601040416E-3</v>
      </c>
      <c r="CE12" s="166">
        <f>'Railway (Battery)'!M186</f>
        <v>1.6256502601040416E-3</v>
      </c>
      <c r="CF12" s="166">
        <f>'Railway (Hydrogen)'!M186</f>
        <v>1.6256502601040416E-3</v>
      </c>
      <c r="CG12" s="166">
        <f>'Railway (Diesel)'!M294</f>
        <v>1.6256502601040416E-3</v>
      </c>
      <c r="CH12" s="166">
        <f>'Railway (Catenary)'!M294</f>
        <v>1.6256502601040416E-3</v>
      </c>
      <c r="CI12" s="166">
        <f>'Railway (Battery)'!M294</f>
        <v>1.6256502601040416E-3</v>
      </c>
      <c r="CJ12" s="166">
        <f>'Railway (Hydrogen)'!M294</f>
        <v>1.6256502601040416E-3</v>
      </c>
      <c r="CK12" s="166">
        <f>'Railway (Diesel)'!M403</f>
        <v>4.0016006402561026E-3</v>
      </c>
      <c r="CL12" s="166">
        <f>'Railway (Catenary)'!M403</f>
        <v>4.0016006402561026E-3</v>
      </c>
      <c r="CM12" s="166">
        <f>'Railway (Battery)'!M403</f>
        <v>4.0016006402561026E-3</v>
      </c>
      <c r="CN12" s="166">
        <f>'Railway (Hydrogen)'!M403</f>
        <v>4.0016006402561026E-3</v>
      </c>
      <c r="CO12" s="166">
        <f>'Railway (Diesel)'!M508</f>
        <v>1.4005602240896359E-3</v>
      </c>
      <c r="CP12" s="166">
        <f>'Railway (Catenary)'!M508</f>
        <v>1.4005602240896359E-3</v>
      </c>
      <c r="CQ12" s="166">
        <f>'Railway (Battery)'!M508</f>
        <v>1.4005602240896359E-3</v>
      </c>
      <c r="CR12" s="166">
        <f>'Railway (Hydrogen)'!M508</f>
        <v>1.4005602240896359E-3</v>
      </c>
      <c r="CS12" s="166">
        <f>'Semi-trailer truck (Diesel)'!M80</f>
        <v>4.4000000000000003E-3</v>
      </c>
      <c r="CT12" s="166">
        <f>'Semi-trailer truck (Battery)'!M80</f>
        <v>4.4000000000000003E-3</v>
      </c>
      <c r="CU12" s="166">
        <f>'Semi-trailer truck (Hydrogen)'!M80</f>
        <v>4.4000000000000003E-3</v>
      </c>
      <c r="CV12" s="166">
        <f>'Semi-trailer truck (Diesel)'!M186</f>
        <v>4.4000000000000003E-3</v>
      </c>
      <c r="CW12" s="166">
        <f>'Semi-trailer truck (Battery)'!M186</f>
        <v>4.4000000000000003E-3</v>
      </c>
      <c r="CX12" s="166">
        <f>'Semi-trailer truck (Hydrogen)'!M186</f>
        <v>4.4000000000000003E-3</v>
      </c>
      <c r="CY12" s="166">
        <f>'Semi-trailer truck (Diesel)'!M294</f>
        <v>4.4000000000000003E-3</v>
      </c>
      <c r="CZ12" s="166">
        <f>'Semi-trailer truck (Battery)'!M294</f>
        <v>4.4000000000000003E-3</v>
      </c>
      <c r="DA12" s="166">
        <f>'Semi-trailer truck (Hydrogen)'!M294</f>
        <v>4.4000000000000003E-3</v>
      </c>
      <c r="DB12" s="166">
        <f>'Semi-trailer truck (Diesel)'!M403</f>
        <v>4.4000000000000003E-3</v>
      </c>
      <c r="DC12" s="166">
        <f>'Semi-trailer truck (Battery)'!M403</f>
        <v>4.4000000000000003E-3</v>
      </c>
      <c r="DD12" s="166">
        <f>'Semi-trailer truck (Hydrogen)'!M403</f>
        <v>4.4000000000000003E-3</v>
      </c>
      <c r="DE12" s="166">
        <f>'Semi-trailer truck (Diesel)'!M508</f>
        <v>4.4000000000000003E-3</v>
      </c>
      <c r="DF12" s="166">
        <f>'Semi-trailer truck (Battery)'!M508</f>
        <v>4.4000000000000003E-3</v>
      </c>
      <c r="DG12" s="166">
        <f>'Semi-trailer truck (Hydrogen)'!M508</f>
        <v>4.4000000000000003E-3</v>
      </c>
      <c r="DH12" s="167">
        <f>'Short-sea (HFO)'!AC80</f>
        <v>8.9502842587904882E-5</v>
      </c>
      <c r="DI12" s="166">
        <f>'Short-sea (MGO)'!AC80</f>
        <v>8.9502842587904882E-5</v>
      </c>
      <c r="DJ12" s="166">
        <f>'Short-sea (Hydrogen)'!AC80</f>
        <v>8.9502842587904882E-5</v>
      </c>
      <c r="DK12" s="166">
        <f>'Short-sea (Ammonia)'!AC80</f>
        <v>8.9502842587904882E-5</v>
      </c>
      <c r="DL12" s="166">
        <f>'Short-sea (Methanol)'!AC80</f>
        <v>8.9502842587904882E-5</v>
      </c>
      <c r="DM12" s="164">
        <f>'Short-sea (HFO)'!AC186</f>
        <v>1.7869725535414797E-4</v>
      </c>
      <c r="DN12" s="166">
        <f>'Short-sea (MGO)'!AC186</f>
        <v>1.7869725535414797E-4</v>
      </c>
      <c r="DO12" s="166">
        <f>'Short-sea (Hydrogen)'!AC186</f>
        <v>1.7869725535414797E-4</v>
      </c>
      <c r="DP12" s="166">
        <f>'Short-sea (Ammonia)'!AC186</f>
        <v>1.7869725535414797E-4</v>
      </c>
      <c r="DQ12" s="166">
        <f>'Short-sea (Methanol)'!AC186</f>
        <v>1.7869725535414797E-4</v>
      </c>
      <c r="DR12" s="166">
        <f>'Short-sea (HFO)'!AC294</f>
        <v>8.6011184229469056E-5</v>
      </c>
      <c r="DS12" s="166">
        <f>'Short-sea (MGO)'!AC294</f>
        <v>8.6011184229469056E-5</v>
      </c>
      <c r="DT12" s="166">
        <f>'Short-sea (Hydrogen)'!AC294</f>
        <v>8.6011184229469056E-5</v>
      </c>
      <c r="DU12" s="166">
        <f>'Short-sea (Ammonia)'!AC294</f>
        <v>8.6011184229469056E-5</v>
      </c>
      <c r="DV12" s="166">
        <f>'Short-sea (Methanol)'!AC294</f>
        <v>8.6011184229469056E-5</v>
      </c>
      <c r="DW12" s="166">
        <f>'Short-sea (HFO)'!AC403</f>
        <v>8.6011184229469056E-5</v>
      </c>
      <c r="DX12" s="166">
        <f>'Short-sea (MGO)'!AC403</f>
        <v>8.6011184229469056E-5</v>
      </c>
      <c r="DY12" s="166">
        <f>'Short-sea (Hydrogen)'!AC403</f>
        <v>8.6011184229469056E-5</v>
      </c>
      <c r="DZ12" s="166">
        <f>'Short-sea (Ammonia)'!AC403</f>
        <v>8.6011184229469056E-5</v>
      </c>
      <c r="EA12" s="166">
        <f>'Short-sea (Methanol)'!AC403</f>
        <v>8.6011184229469056E-5</v>
      </c>
      <c r="EB12" s="166">
        <f>'Railway (Diesel)'!AC80</f>
        <v>1.7507002801120447E-3</v>
      </c>
      <c r="EC12" s="166">
        <f>'Railway (Catenary)'!AC80</f>
        <v>1.7507002801120447E-3</v>
      </c>
      <c r="ED12" s="166">
        <f>'Railway (Battery)'!AC80</f>
        <v>1.7507002801120447E-3</v>
      </c>
      <c r="EE12" s="166">
        <f>'Railway (Hydrogen)'!AC80</f>
        <v>1.7507002801120447E-3</v>
      </c>
      <c r="EF12" s="166">
        <f>'Railway (Diesel)'!AC186</f>
        <v>1.6256502601040416E-3</v>
      </c>
      <c r="EG12" s="166">
        <f>'Railway (Catenary)'!AC186</f>
        <v>1.6256502601040416E-3</v>
      </c>
      <c r="EH12" s="166">
        <f>'Railway (Battery)'!AC186</f>
        <v>1.6256502601040416E-3</v>
      </c>
      <c r="EI12" s="166">
        <f>'Railway (Hydrogen)'!AC186</f>
        <v>1.6256502601040416E-3</v>
      </c>
      <c r="EJ12" s="166">
        <f>'Railway (Diesel)'!AC294</f>
        <v>1.6256502601040416E-3</v>
      </c>
      <c r="EK12" s="166">
        <f>'Railway (Catenary)'!AC294</f>
        <v>1.6256502601040416E-3</v>
      </c>
      <c r="EL12" s="166">
        <f>'Railway (Battery)'!AC294</f>
        <v>1.6256502601040416E-3</v>
      </c>
      <c r="EM12" s="166">
        <f>'Railway (Hydrogen)'!AC294</f>
        <v>1.6256502601040416E-3</v>
      </c>
      <c r="EN12" s="166">
        <f>'Railway (Diesel)'!AC403</f>
        <v>4.0016006402561026E-3</v>
      </c>
      <c r="EO12" s="166">
        <f>'Railway (Catenary)'!AC403</f>
        <v>4.0016006402561026E-3</v>
      </c>
      <c r="EP12" s="166">
        <f>'Railway (Battery)'!AC403</f>
        <v>4.0016006402561026E-3</v>
      </c>
      <c r="EQ12" s="166">
        <f>'Railway (Hydrogen)'!AC403</f>
        <v>4.0016006402561026E-3</v>
      </c>
      <c r="ER12" s="166">
        <f>'Railway (Diesel)'!AC508</f>
        <v>1.4005602240896359E-3</v>
      </c>
      <c r="ES12" s="166">
        <f>'Railway (Catenary)'!AC508</f>
        <v>1.4005602240896359E-3</v>
      </c>
      <c r="ET12" s="166">
        <f>'Railway (Battery)'!AC508</f>
        <v>1.4005602240896359E-3</v>
      </c>
      <c r="EU12" s="166">
        <f>'Railway (Hydrogen)'!AC508</f>
        <v>1.4005602240896359E-3</v>
      </c>
      <c r="EV12" s="166">
        <f>'Semi-trailer truck (Diesel)'!AC80</f>
        <v>4.4000000000000003E-3</v>
      </c>
      <c r="EW12" s="166">
        <f>'Semi-trailer truck (Battery)'!AC80</f>
        <v>4.4000000000000003E-3</v>
      </c>
      <c r="EX12" s="166">
        <f>'Semi-trailer truck (Hydrogen)'!AC80</f>
        <v>4.4000000000000003E-3</v>
      </c>
      <c r="EY12" s="166">
        <f>'Semi-trailer truck (Diesel)'!AC186</f>
        <v>4.4000000000000003E-3</v>
      </c>
      <c r="EZ12" s="166">
        <f>'Semi-trailer truck (Battery)'!AC186</f>
        <v>4.4000000000000003E-3</v>
      </c>
      <c r="FA12" s="166">
        <f>'Semi-trailer truck (Hydrogen)'!AC186</f>
        <v>4.4000000000000003E-3</v>
      </c>
      <c r="FB12" s="166">
        <f>'Semi-trailer truck (Diesel)'!AC294</f>
        <v>4.4000000000000003E-3</v>
      </c>
      <c r="FC12" s="166">
        <f>'Semi-trailer truck (Battery)'!AC294</f>
        <v>4.4000000000000003E-3</v>
      </c>
      <c r="FD12" s="166">
        <f>'Semi-trailer truck (Hydrogen)'!AC294</f>
        <v>4.4000000000000003E-3</v>
      </c>
      <c r="FE12" s="166">
        <f>'Semi-trailer truck (Diesel)'!AC403</f>
        <v>4.4000000000000003E-3</v>
      </c>
      <c r="FF12" s="166">
        <f>'Semi-trailer truck (Battery)'!AC403</f>
        <v>4.4000000000000003E-3</v>
      </c>
      <c r="FG12" s="166">
        <f>'Semi-trailer truck (Hydrogen)'!AC403</f>
        <v>4.4000000000000003E-3</v>
      </c>
      <c r="FH12" s="166">
        <f>'Semi-trailer truck (Diesel)'!AC508</f>
        <v>4.4000000000000003E-3</v>
      </c>
      <c r="FI12" s="166">
        <f>'Semi-trailer truck (Battery)'!AC508</f>
        <v>4.4000000000000003E-3</v>
      </c>
      <c r="FJ12" s="166">
        <f>'Semi-trailer truck (Hydrogen)'!AC508</f>
        <v>4.4000000000000003E-3</v>
      </c>
      <c r="FK12" s="166"/>
      <c r="FL12" s="166"/>
      <c r="FM12" s="166"/>
      <c r="FN12" s="166"/>
      <c r="FP12" s="166"/>
      <c r="FQ12" s="166"/>
      <c r="FR12" s="166"/>
    </row>
    <row r="13" spans="1:174" x14ac:dyDescent="0.25">
      <c r="A13" s="164" t="s">
        <v>67</v>
      </c>
      <c r="B13" s="167">
        <f>'Short-sea (HFO)'!B81</f>
        <v>2.1494771182553069E-3</v>
      </c>
      <c r="C13" s="166">
        <f>'Short-sea (MGO)'!B81</f>
        <v>4.1072811176853007E-3</v>
      </c>
      <c r="D13" s="166">
        <f>'Short-sea (Hydrogen)'!B81</f>
        <v>1.5736357366733275E-2</v>
      </c>
      <c r="E13" s="166">
        <f>'Short-sea (Ammonia)'!B81</f>
        <v>1.488952128048405E-2</v>
      </c>
      <c r="F13" s="166">
        <f>'Short-sea (Methanol)'!B81</f>
        <v>3.1493959607937827E-2</v>
      </c>
      <c r="G13" s="164">
        <f>'Short-sea (HFO)'!B187</f>
        <v>2.1494771182553069E-3</v>
      </c>
      <c r="H13" s="166">
        <f>'Short-sea (MGO)'!B187</f>
        <v>4.1072811176853007E-3</v>
      </c>
      <c r="I13" s="166">
        <f>'Short-sea (Hydrogen)'!B187</f>
        <v>1.5736357366733275E-2</v>
      </c>
      <c r="J13" s="166">
        <f>'Short-sea (Ammonia)'!B187</f>
        <v>1.488952128048405E-2</v>
      </c>
      <c r="K13" s="166">
        <f>'Short-sea (Methanol)'!B187</f>
        <v>3.1493959607937827E-2</v>
      </c>
      <c r="L13" s="166">
        <f>'Short-sea (HFO)'!B295</f>
        <v>2.1494771182553069E-3</v>
      </c>
      <c r="M13" s="166">
        <f>'Short-sea (MGO)'!B295</f>
        <v>4.1072811176853007E-3</v>
      </c>
      <c r="N13" s="166">
        <f>'Short-sea (Hydrogen)'!B295</f>
        <v>1.5736357366733275E-2</v>
      </c>
      <c r="O13" s="166">
        <f>'Short-sea (Ammonia)'!B295</f>
        <v>1.488952128048405E-2</v>
      </c>
      <c r="P13" s="166">
        <f>'Short-sea (Methanol)'!B295</f>
        <v>3.1493959607937827E-2</v>
      </c>
      <c r="Q13" s="166">
        <f>'Short-sea (HFO)'!B404</f>
        <v>2.1494771182553069E-3</v>
      </c>
      <c r="R13" s="166">
        <f>'Short-sea (MGO)'!B404</f>
        <v>4.1072811176853007E-3</v>
      </c>
      <c r="S13" s="166">
        <f>'Short-sea (Hydrogen)'!B404</f>
        <v>1.5736357366733275E-2</v>
      </c>
      <c r="T13" s="166">
        <f>'Short-sea (Ammonia)'!B404</f>
        <v>1.488952128048405E-2</v>
      </c>
      <c r="U13" s="166">
        <f>'Short-sea (Methanol)'!B404</f>
        <v>3.1493959607937827E-2</v>
      </c>
      <c r="V13" s="166">
        <f>'Railway (Diesel)'!B81</f>
        <v>3.4275714285714283E-3</v>
      </c>
      <c r="W13" s="166">
        <f>'Railway (Catenary)'!B81</f>
        <v>1.8785303492431114E-3</v>
      </c>
      <c r="X13" s="166">
        <f>'Railway (Battery)'!B81</f>
        <v>1.995938496070806E-3</v>
      </c>
      <c r="Y13" s="166">
        <f>'Railway (Hydrogen)'!B81</f>
        <v>5.4972181617018003E-3</v>
      </c>
      <c r="Z13" s="166">
        <f>'Railway (Diesel)'!B187</f>
        <v>3.4275714285714283E-3</v>
      </c>
      <c r="AA13" s="166">
        <f>'Railway (Catenary)'!B187</f>
        <v>1.8785303492431114E-3</v>
      </c>
      <c r="AB13" s="166">
        <f>'Railway (Battery)'!B187</f>
        <v>1.995938496070806E-3</v>
      </c>
      <c r="AC13" s="166">
        <f>'Railway (Hydrogen)'!B187</f>
        <v>5.4972181617018003E-3</v>
      </c>
      <c r="AD13" s="166">
        <f>'Railway (Diesel)'!B295</f>
        <v>3.4275714285714283E-3</v>
      </c>
      <c r="AE13" s="166">
        <f>'Railway (Catenary)'!B295</f>
        <v>1.8785303492431114E-3</v>
      </c>
      <c r="AF13" s="166">
        <f>'Railway (Battery)'!B295</f>
        <v>1.995938496070806E-3</v>
      </c>
      <c r="AG13" s="166">
        <f>'Railway (Hydrogen)'!B295</f>
        <v>5.4972181617018003E-3</v>
      </c>
      <c r="AH13" s="166">
        <f>'Railway (Diesel)'!B404</f>
        <v>3.4275714285714283E-3</v>
      </c>
      <c r="AI13" s="166">
        <f>'Railway (Catenary)'!B404</f>
        <v>1.8785303492431114E-3</v>
      </c>
      <c r="AJ13" s="166">
        <f>'Railway (Battery)'!B404</f>
        <v>1.995938496070806E-3</v>
      </c>
      <c r="AK13" s="166">
        <f>'Railway (Hydrogen)'!B404</f>
        <v>5.4972181617018003E-3</v>
      </c>
      <c r="AL13" s="166">
        <f>'Railway (Diesel)'!B509</f>
        <v>2.7420571428571428E-3</v>
      </c>
      <c r="AM13" s="166">
        <f>'Railway (Catenary)'!B509</f>
        <v>1.5028242793944891E-3</v>
      </c>
      <c r="AN13" s="166">
        <f>'Railway (Battery)'!B509</f>
        <v>1.596750796856645E-3</v>
      </c>
      <c r="AO13" s="166">
        <f>'Railway (Hydrogen)'!B509</f>
        <v>4.3977745293614402E-3</v>
      </c>
      <c r="AP13" s="166">
        <f>'Semi-trailer truck (Diesel)'!B81</f>
        <v>1.1573595723149675E-2</v>
      </c>
      <c r="AQ13" s="166">
        <f>'Semi-trailer truck (Battery)'!B81</f>
        <v>7.985890061771795E-3</v>
      </c>
      <c r="AR13" s="166">
        <f>'Semi-trailer truck (Hydrogen)'!B81</f>
        <v>2.5271535978108505E-2</v>
      </c>
      <c r="AS13" s="166">
        <f>'Semi-trailer truck (Diesel)'!B187</f>
        <v>1.1573595723149675E-2</v>
      </c>
      <c r="AT13" s="166">
        <f>'Semi-trailer truck (Battery)'!B187</f>
        <v>7.985890061771795E-3</v>
      </c>
      <c r="AU13" s="166">
        <f>'Semi-trailer truck (Hydrogen)'!B187</f>
        <v>2.5271535978108505E-2</v>
      </c>
      <c r="AV13" s="166">
        <f>'Semi-trailer truck (Diesel)'!B295</f>
        <v>1.1573595723149675E-2</v>
      </c>
      <c r="AW13" s="166">
        <f>'Semi-trailer truck (Battery)'!B295</f>
        <v>7.985890061771795E-3</v>
      </c>
      <c r="AX13" s="166">
        <f>'Semi-trailer truck (Hydrogen)'!B295</f>
        <v>2.5271535978108509E-2</v>
      </c>
      <c r="AY13" s="166">
        <f>'Semi-trailer truck (Diesel)'!B404</f>
        <v>1.1573595723149675E-2</v>
      </c>
      <c r="AZ13" s="166">
        <f>'Semi-trailer truck (Battery)'!B404</f>
        <v>7.985890061771795E-3</v>
      </c>
      <c r="BA13" s="166">
        <f>'Semi-trailer truck (Hydrogen)'!B404</f>
        <v>2.5271535978108505E-2</v>
      </c>
      <c r="BB13" s="166">
        <f>'Semi-trailer truck (Diesel)'!B509</f>
        <v>1.1573595723149675E-2</v>
      </c>
      <c r="BC13" s="166">
        <f>'Semi-trailer truck (Battery)'!B509</f>
        <v>7.985890061771795E-3</v>
      </c>
      <c r="BD13" s="166">
        <f>'Semi-trailer truck (Hydrogen)'!B509</f>
        <v>2.5271535978108505E-2</v>
      </c>
      <c r="BE13" s="167">
        <f>'Short-sea (HFO)'!M81</f>
        <v>2.1331638109345504E-3</v>
      </c>
      <c r="BF13" s="166">
        <f>'Short-sea (MGO)'!M81</f>
        <v>4.076109192868568E-3</v>
      </c>
      <c r="BG13" s="166">
        <f>'Short-sea (Hydrogen)'!M81</f>
        <v>1.1736394409988367E-2</v>
      </c>
      <c r="BH13" s="166">
        <f>'Short-sea (Ammonia)'!M81</f>
        <v>1.2685388823128101E-2</v>
      </c>
      <c r="BI13" s="166">
        <f>'Short-sea (Methanol)'!M81</f>
        <v>2.8994560118872258E-2</v>
      </c>
      <c r="BJ13" s="164">
        <f>'Short-sea (HFO)'!M187</f>
        <v>2.1331638109345504E-3</v>
      </c>
      <c r="BK13" s="166">
        <f>'Short-sea (MGO)'!M187</f>
        <v>4.076109192868568E-3</v>
      </c>
      <c r="BL13" s="166">
        <f>'Short-sea (Hydrogen)'!M187</f>
        <v>1.1736394409988367E-2</v>
      </c>
      <c r="BM13" s="166">
        <f>'Short-sea (Ammonia)'!M187</f>
        <v>1.2685388823128101E-2</v>
      </c>
      <c r="BN13" s="166">
        <f>'Short-sea (Methanol)'!M187</f>
        <v>2.8994560118872258E-2</v>
      </c>
      <c r="BO13" s="166">
        <f>'Short-sea (HFO)'!M295</f>
        <v>2.1331638109345504E-3</v>
      </c>
      <c r="BP13" s="166">
        <f>'Short-sea (MGO)'!M295</f>
        <v>4.076109192868568E-3</v>
      </c>
      <c r="BQ13" s="166">
        <f>'Short-sea (Hydrogen)'!M295</f>
        <v>1.1736394409988367E-2</v>
      </c>
      <c r="BR13" s="166">
        <f>'Short-sea (Ammonia)'!M295</f>
        <v>1.2685388823128101E-2</v>
      </c>
      <c r="BS13" s="166">
        <f>'Short-sea (Methanol)'!M295</f>
        <v>2.8994560118872258E-2</v>
      </c>
      <c r="BT13" s="166">
        <f>'Short-sea (HFO)'!M404</f>
        <v>2.1331638109345504E-3</v>
      </c>
      <c r="BU13" s="166">
        <f>'Short-sea (MGO)'!M404</f>
        <v>4.076109192868568E-3</v>
      </c>
      <c r="BV13" s="166">
        <f>'Short-sea (Hydrogen)'!M404</f>
        <v>1.1736394409988367E-2</v>
      </c>
      <c r="BW13" s="166">
        <f>'Short-sea (Ammonia)'!M404</f>
        <v>1.2685388823128101E-2</v>
      </c>
      <c r="BX13" s="166">
        <f>'Short-sea (Methanol)'!M404</f>
        <v>2.8994560118872258E-2</v>
      </c>
      <c r="BY13" s="166">
        <f>'Railway (Diesel)'!M81</f>
        <v>3.4275714285714283E-3</v>
      </c>
      <c r="BZ13" s="166">
        <f>'Railway (Catenary)'!M81</f>
        <v>1.6008986804083307E-3</v>
      </c>
      <c r="CA13" s="166">
        <f>'Railway (Battery)'!M81</f>
        <v>1.7009548479338516E-3</v>
      </c>
      <c r="CB13" s="166">
        <f>'Railway (Hydrogen)'!M81</f>
        <v>3.8785156354124296E-3</v>
      </c>
      <c r="CC13" s="166">
        <f>'Railway (Diesel)'!M187</f>
        <v>3.4275714285714283E-3</v>
      </c>
      <c r="CD13" s="166">
        <f>'Railway (Catenary)'!M187</f>
        <v>1.6008986804083307E-3</v>
      </c>
      <c r="CE13" s="166">
        <f>'Railway (Battery)'!M187</f>
        <v>1.7009548479338516E-3</v>
      </c>
      <c r="CF13" s="166">
        <f>'Railway (Hydrogen)'!M187</f>
        <v>3.8785156354124296E-3</v>
      </c>
      <c r="CG13" s="166">
        <f>'Railway (Diesel)'!M295</f>
        <v>3.4275714285714283E-3</v>
      </c>
      <c r="CH13" s="166">
        <f>'Railway (Catenary)'!M295</f>
        <v>1.6008986804083307E-3</v>
      </c>
      <c r="CI13" s="166">
        <f>'Railway (Battery)'!M295</f>
        <v>1.7009548479338516E-3</v>
      </c>
      <c r="CJ13" s="166">
        <f>'Railway (Hydrogen)'!M295</f>
        <v>3.8785156354124296E-3</v>
      </c>
      <c r="CK13" s="166">
        <f>'Railway (Diesel)'!M404</f>
        <v>3.4275714285714283E-3</v>
      </c>
      <c r="CL13" s="166">
        <f>'Railway (Catenary)'!M404</f>
        <v>1.6008986804083307E-3</v>
      </c>
      <c r="CM13" s="166">
        <f>'Railway (Battery)'!M404</f>
        <v>1.7009548479338516E-3</v>
      </c>
      <c r="CN13" s="166">
        <f>'Railway (Hydrogen)'!M404</f>
        <v>3.8785156354124296E-3</v>
      </c>
      <c r="CO13" s="166">
        <f>'Railway (Diesel)'!M509</f>
        <v>2.7420571428571428E-3</v>
      </c>
      <c r="CP13" s="166">
        <f>'Railway (Catenary)'!M509</f>
        <v>1.2807189443266645E-3</v>
      </c>
      <c r="CQ13" s="166">
        <f>'Railway (Battery)'!M509</f>
        <v>1.3607638783470813E-3</v>
      </c>
      <c r="CR13" s="166">
        <f>'Railway (Hydrogen)'!M509</f>
        <v>3.1028125083299436E-3</v>
      </c>
      <c r="CS13" s="166">
        <f>'Semi-trailer truck (Diesel)'!M81</f>
        <v>1.0720644957616992E-2</v>
      </c>
      <c r="CT13" s="166">
        <f>'Semi-trailer truck (Battery)'!M81</f>
        <v>5.5719568088488311E-3</v>
      </c>
      <c r="CU13" s="166">
        <f>'Semi-trailer truck (Hydrogen)'!M81</f>
        <v>1.5258305500660627E-2</v>
      </c>
      <c r="CV13" s="166">
        <f>'Semi-trailer truck (Diesel)'!M187</f>
        <v>1.0720644957616992E-2</v>
      </c>
      <c r="CW13" s="166">
        <f>'Semi-trailer truck (Battery)'!M187</f>
        <v>5.5719568088488311E-3</v>
      </c>
      <c r="CX13" s="166">
        <f>'Semi-trailer truck (Hydrogen)'!M187</f>
        <v>1.5258305500660627E-2</v>
      </c>
      <c r="CY13" s="166">
        <f>'Semi-trailer truck (Diesel)'!M295</f>
        <v>1.0720644957616992E-2</v>
      </c>
      <c r="CZ13" s="166">
        <f>'Semi-trailer truck (Battery)'!M295</f>
        <v>5.5719568088488311E-3</v>
      </c>
      <c r="DA13" s="166">
        <f>'Semi-trailer truck (Hydrogen)'!M295</f>
        <v>1.5258305500660622E-2</v>
      </c>
      <c r="DB13" s="166">
        <f>'Semi-trailer truck (Diesel)'!M404</f>
        <v>1.0720644957616992E-2</v>
      </c>
      <c r="DC13" s="166">
        <f>'Semi-trailer truck (Battery)'!M404</f>
        <v>5.5719568088488311E-3</v>
      </c>
      <c r="DD13" s="166">
        <f>'Semi-trailer truck (Hydrogen)'!M404</f>
        <v>1.5258305500660626E-2</v>
      </c>
      <c r="DE13" s="166">
        <f>'Semi-trailer truck (Diesel)'!M509</f>
        <v>1.0720644957616992E-2</v>
      </c>
      <c r="DF13" s="166">
        <f>'Semi-trailer truck (Battery)'!M509</f>
        <v>5.5719568088488311E-3</v>
      </c>
      <c r="DG13" s="166">
        <f>'Semi-trailer truck (Hydrogen)'!M509</f>
        <v>1.5258305500660626E-2</v>
      </c>
      <c r="DH13" s="167">
        <f>'Short-sea (HFO)'!AC81</f>
        <v>1.9961810868829068E-3</v>
      </c>
      <c r="DI13" s="166">
        <f>'Short-sea (MGO)'!AC81</f>
        <v>3.8143587647444083E-3</v>
      </c>
      <c r="DJ13" s="166">
        <f>'Short-sea (Hydrogen)'!AC81</f>
        <v>6.0441648669882124E-3</v>
      </c>
      <c r="DK13" s="166">
        <f>'Short-sea (Ammonia)'!AC81</f>
        <v>6.3242223149148858E-3</v>
      </c>
      <c r="DL13" s="166">
        <f>'Short-sea (Methanol)'!AC81</f>
        <v>9.3711119408467249E-3</v>
      </c>
      <c r="DM13" s="164">
        <f>'Short-sea (HFO)'!AC187</f>
        <v>1.9961810868829068E-3</v>
      </c>
      <c r="DN13" s="166">
        <f>'Short-sea (MGO)'!AC187</f>
        <v>3.8143587647444083E-3</v>
      </c>
      <c r="DO13" s="166">
        <f>'Short-sea (Hydrogen)'!AC187</f>
        <v>6.0441648669882124E-3</v>
      </c>
      <c r="DP13" s="166">
        <f>'Short-sea (Ammonia)'!AC187</f>
        <v>6.3242223149148858E-3</v>
      </c>
      <c r="DQ13" s="166">
        <f>'Short-sea (Methanol)'!AC187</f>
        <v>9.3711119408467249E-3</v>
      </c>
      <c r="DR13" s="166">
        <f>'Short-sea (HFO)'!AC295</f>
        <v>1.9961810868829068E-3</v>
      </c>
      <c r="DS13" s="166">
        <f>'Short-sea (MGO)'!AC295</f>
        <v>3.8143587647444083E-3</v>
      </c>
      <c r="DT13" s="166">
        <f>'Short-sea (Hydrogen)'!AC295</f>
        <v>6.0441648669882124E-3</v>
      </c>
      <c r="DU13" s="166">
        <f>'Short-sea (Ammonia)'!AC295</f>
        <v>6.3242223149148858E-3</v>
      </c>
      <c r="DV13" s="166">
        <f>'Short-sea (Methanol)'!AC295</f>
        <v>9.3711119408467249E-3</v>
      </c>
      <c r="DW13" s="166">
        <f>'Short-sea (HFO)'!AC404</f>
        <v>1.9961810868829068E-3</v>
      </c>
      <c r="DX13" s="166">
        <f>'Short-sea (MGO)'!AC404</f>
        <v>3.8143587647444083E-3</v>
      </c>
      <c r="DY13" s="166">
        <f>'Short-sea (Hydrogen)'!AC404</f>
        <v>6.0441648669882124E-3</v>
      </c>
      <c r="DZ13" s="166">
        <f>'Short-sea (Ammonia)'!AC404</f>
        <v>6.3242223149148858E-3</v>
      </c>
      <c r="EA13" s="166">
        <f>'Short-sea (Methanol)'!AC404</f>
        <v>9.3711119408467249E-3</v>
      </c>
      <c r="EB13" s="166">
        <f>'Railway (Diesel)'!AC81</f>
        <v>3.4275714285714283E-3</v>
      </c>
      <c r="EC13" s="166">
        <f>'Railway (Catenary)'!AC81</f>
        <v>1.2375826156552142E-3</v>
      </c>
      <c r="ED13" s="166">
        <f>'Railway (Battery)'!AC81</f>
        <v>1.3149315291336651E-3</v>
      </c>
      <c r="EE13" s="166">
        <f>'Railway (Hydrogen)'!AC81</f>
        <v>2.0275409957600308E-3</v>
      </c>
      <c r="EF13" s="166">
        <f>'Railway (Diesel)'!AC187</f>
        <v>3.4275714285714283E-3</v>
      </c>
      <c r="EG13" s="166">
        <f>'Railway (Catenary)'!AC187</f>
        <v>1.2375826156552142E-3</v>
      </c>
      <c r="EH13" s="166">
        <f>'Railway (Battery)'!AC187</f>
        <v>1.3149315291336651E-3</v>
      </c>
      <c r="EI13" s="166">
        <f>'Railway (Hydrogen)'!AC187</f>
        <v>2.0275409957600308E-3</v>
      </c>
      <c r="EJ13" s="166">
        <f>'Railway (Diesel)'!AC295</f>
        <v>3.4275714285714283E-3</v>
      </c>
      <c r="EK13" s="166">
        <f>'Railway (Catenary)'!AC295</f>
        <v>1.2375826156552142E-3</v>
      </c>
      <c r="EL13" s="166">
        <f>'Railway (Battery)'!AC295</f>
        <v>1.3149315291336651E-3</v>
      </c>
      <c r="EM13" s="166">
        <f>'Railway (Hydrogen)'!AC295</f>
        <v>2.0275409957600308E-3</v>
      </c>
      <c r="EN13" s="166">
        <f>'Railway (Diesel)'!AC404</f>
        <v>3.4275714285714283E-3</v>
      </c>
      <c r="EO13" s="166">
        <f>'Railway (Catenary)'!AC404</f>
        <v>1.2375826156552142E-3</v>
      </c>
      <c r="EP13" s="166">
        <f>'Railway (Battery)'!AC404</f>
        <v>1.3149315291336651E-3</v>
      </c>
      <c r="EQ13" s="166">
        <f>'Railway (Hydrogen)'!AC404</f>
        <v>2.0275409957600308E-3</v>
      </c>
      <c r="ER13" s="166">
        <f>'Railway (Diesel)'!AC509</f>
        <v>2.7420571428571428E-3</v>
      </c>
      <c r="ES13" s="166">
        <f>'Railway (Catenary)'!AC509</f>
        <v>9.9006609252417143E-4</v>
      </c>
      <c r="ET13" s="166">
        <f>'Railway (Battery)'!AC509</f>
        <v>1.0519452233069321E-3</v>
      </c>
      <c r="EU13" s="166">
        <f>'Railway (Hydrogen)'!AC509</f>
        <v>1.6220327966080246E-3</v>
      </c>
      <c r="EV13" s="166">
        <f>'Semi-trailer truck (Diesel)'!AC81</f>
        <v>9.604451272429336E-3</v>
      </c>
      <c r="EW13" s="166">
        <f>'Semi-trailer truck (Battery)'!AC81</f>
        <v>4.0342174151229478E-3</v>
      </c>
      <c r="EX13" s="166">
        <f>'Semi-trailer truck (Hydrogen)'!AC81</f>
        <v>7.8647748498683282E-3</v>
      </c>
      <c r="EY13" s="166">
        <f>'Semi-trailer truck (Diesel)'!AC187</f>
        <v>9.604451272429336E-3</v>
      </c>
      <c r="EZ13" s="166">
        <f>'Semi-trailer truck (Battery)'!AC187</f>
        <v>4.0342174151229478E-3</v>
      </c>
      <c r="FA13" s="166">
        <f>'Semi-trailer truck (Hydrogen)'!AC187</f>
        <v>7.8647748498683282E-3</v>
      </c>
      <c r="FB13" s="166">
        <f>'Semi-trailer truck (Diesel)'!AC295</f>
        <v>9.604451272429336E-3</v>
      </c>
      <c r="FC13" s="166">
        <f>'Semi-trailer truck (Battery)'!AC295</f>
        <v>4.0342174151229478E-3</v>
      </c>
      <c r="FD13" s="166">
        <f>'Semi-trailer truck (Hydrogen)'!AC295</f>
        <v>7.8647748498683282E-3</v>
      </c>
      <c r="FE13" s="166">
        <f>'Semi-trailer truck (Diesel)'!AC404</f>
        <v>9.604451272429336E-3</v>
      </c>
      <c r="FF13" s="166">
        <f>'Semi-trailer truck (Battery)'!AC404</f>
        <v>4.0342174151229478E-3</v>
      </c>
      <c r="FG13" s="166">
        <f>'Semi-trailer truck (Hydrogen)'!AC404</f>
        <v>7.8647748498683282E-3</v>
      </c>
      <c r="FH13" s="166">
        <f>'Semi-trailer truck (Diesel)'!AC509</f>
        <v>9.604451272429336E-3</v>
      </c>
      <c r="FI13" s="166">
        <f>'Semi-trailer truck (Battery)'!AC509</f>
        <v>4.0342174151229478E-3</v>
      </c>
      <c r="FJ13" s="166">
        <f>'Semi-trailer truck (Hydrogen)'!AC509</f>
        <v>7.8647748498683282E-3</v>
      </c>
      <c r="FK13" s="166"/>
      <c r="FL13" s="166"/>
      <c r="FM13" s="166"/>
      <c r="FN13" s="166"/>
      <c r="FP13" s="166"/>
      <c r="FQ13" s="166"/>
      <c r="FR13" s="166"/>
    </row>
    <row r="14" spans="1:174" x14ac:dyDescent="0.25">
      <c r="A14" s="164" t="s">
        <v>56</v>
      </c>
      <c r="B14" s="167">
        <f>'Short-sea (HFO)'!B82</f>
        <v>3.1413023056331849E-3</v>
      </c>
      <c r="C14" s="166">
        <f>'Short-sea (MGO)'!B82</f>
        <v>4.0161995118700826E-3</v>
      </c>
      <c r="D14" s="166">
        <f>'Short-sea (Hydrogen)'!B82</f>
        <v>9.1710584955428734E-3</v>
      </c>
      <c r="E14" s="166">
        <f>'Short-sea (Ammonia)'!B82</f>
        <v>8.774787363226462E-3</v>
      </c>
      <c r="F14" s="166">
        <f>'Short-sea (Methanol)'!B82</f>
        <v>1.6360698297182223E-2</v>
      </c>
      <c r="G14" s="164">
        <f>'Short-sea (HFO)'!B188</f>
        <v>5.2598973004949739E-3</v>
      </c>
      <c r="H14" s="166">
        <f>'Short-sea (MGO)'!B188</f>
        <v>6.6434556731486717E-3</v>
      </c>
      <c r="I14" s="166">
        <f>'Short-sea (Hydrogen)'!B188</f>
        <v>1.4795325693840532E-2</v>
      </c>
      <c r="J14" s="166">
        <f>'Short-sea (Ammonia)'!B188</f>
        <v>1.4168664368316906E-2</v>
      </c>
      <c r="K14" s="166">
        <f>'Short-sea (Methanol)'!B188</f>
        <v>2.6164988635967876E-2</v>
      </c>
      <c r="L14" s="166">
        <f>'Short-sea (HFO)'!B296</f>
        <v>6.1585622225650014E-3</v>
      </c>
      <c r="M14" s="166">
        <f>'Short-sea (MGO)'!B296</f>
        <v>7.8747067424912252E-3</v>
      </c>
      <c r="N14" s="166">
        <f>'Short-sea (Hydrogen)'!B296</f>
        <v>1.7986160902772469E-2</v>
      </c>
      <c r="O14" s="166">
        <f>'Short-sea (Ammonia)'!B296</f>
        <v>1.7208859835536439E-2</v>
      </c>
      <c r="P14" s="166">
        <f>'Short-sea (Methanol)'!B296</f>
        <v>3.2088915898295808E-2</v>
      </c>
      <c r="Q14" s="166">
        <f>'Short-sea (HFO)'!B405</f>
        <v>3.1396591722880384E-3</v>
      </c>
      <c r="R14" s="166">
        <f>'Short-sea (MGO)'!B405</f>
        <v>4.0145563785249361E-3</v>
      </c>
      <c r="S14" s="166">
        <f>'Short-sea (Hydrogen)'!B405</f>
        <v>9.1694153621977269E-3</v>
      </c>
      <c r="T14" s="166">
        <f>'Short-sea (Ammonia)'!B405</f>
        <v>8.7731442298813155E-3</v>
      </c>
      <c r="U14" s="166">
        <f>'Short-sea (Methanol)'!B405</f>
        <v>1.6359055163837073E-2</v>
      </c>
      <c r="V14" s="166">
        <f>'Railway (Diesel)'!B82</f>
        <v>6.6373839408152731E-3</v>
      </c>
      <c r="W14" s="166">
        <f>'Railway (Catenary)'!B82</f>
        <v>4.8606326379616368E-3</v>
      </c>
      <c r="X14" s="166">
        <f>'Railway (Battery)'!B82</f>
        <v>6.4703393077138547E-3</v>
      </c>
      <c r="Y14" s="166">
        <f>'Railway (Hydrogen)'!B82</f>
        <v>8.5955079008395684E-3</v>
      </c>
      <c r="Z14" s="166">
        <f>'Railway (Diesel)'!B188</f>
        <v>1.5946019523657831E-2</v>
      </c>
      <c r="AA14" s="166">
        <f>'Railway (Catenary)'!B188</f>
        <v>1.1701558077951917E-2</v>
      </c>
      <c r="AB14" s="166">
        <f>'Railway (Battery)'!B188</f>
        <v>1.5546968455693323E-2</v>
      </c>
      <c r="AC14" s="166">
        <f>'Railway (Hydrogen)'!B188</f>
        <v>2.0623760094826978E-2</v>
      </c>
      <c r="AD14" s="166">
        <f>'Railway (Diesel)'!B296</f>
        <v>1.5194603692436923E-2</v>
      </c>
      <c r="AE14" s="166">
        <f>'Railway (Catenary)'!B296</f>
        <v>1.0950142246731005E-2</v>
      </c>
      <c r="AF14" s="166">
        <f>'Railway (Battery)'!B296</f>
        <v>1.4795552624472418E-2</v>
      </c>
      <c r="AG14" s="166">
        <f>'Railway (Hydrogen)'!B296</f>
        <v>1.9872344263606082E-2</v>
      </c>
      <c r="AH14" s="166">
        <f>'Railway (Diesel)'!B405</f>
        <v>6.2422478038793409E-3</v>
      </c>
      <c r="AI14" s="166">
        <f>'Railway (Catenary)'!B405</f>
        <v>5.0138765327706527E-3</v>
      </c>
      <c r="AJ14" s="166">
        <f>'Railway (Battery)'!B405</f>
        <v>6.1267601563030488E-3</v>
      </c>
      <c r="AK14" s="166">
        <f>'Railway (Hydrogen)'!B405</f>
        <v>7.5960125169825567E-3</v>
      </c>
      <c r="AL14" s="166">
        <f>'Railway (Diesel)'!B510</f>
        <v>1.8009770163793265E-2</v>
      </c>
      <c r="AM14" s="166">
        <f>'Railway (Catenary)'!B510</f>
        <v>1.3133574921517174E-2</v>
      </c>
      <c r="AN14" s="166">
        <f>'Railway (Battery)'!B510</f>
        <v>1.7551325448503817E-2</v>
      </c>
      <c r="AO14" s="166">
        <f>'Railway (Hydrogen)'!B510</f>
        <v>2.3383732587415509E-2</v>
      </c>
      <c r="AP14" s="166">
        <f>'Semi-trailer truck (Diesel)'!B82</f>
        <v>7.7570982070867392E-2</v>
      </c>
      <c r="AQ14" s="166">
        <f>'Semi-trailer truck (Battery)'!B82</f>
        <v>9.2430166012000908E-2</v>
      </c>
      <c r="AR14" s="166">
        <f>'Semi-trailer truck (Hydrogen)'!B82</f>
        <v>0.11191150040572001</v>
      </c>
      <c r="AS14" s="166">
        <f>'Semi-trailer truck (Diesel)'!B188</f>
        <v>3.382767888784096E-2</v>
      </c>
      <c r="AT14" s="166">
        <f>'Semi-trailer truck (Battery)'!B188</f>
        <v>3.7303622001115269E-2</v>
      </c>
      <c r="AU14" s="166">
        <f>'Semi-trailer truck (Hydrogen)'!B188</f>
        <v>4.9201555274730205E-2</v>
      </c>
      <c r="AV14" s="166">
        <f>'Semi-trailer truck (Diesel)'!B296</f>
        <v>3.7922109964674072E-2</v>
      </c>
      <c r="AW14" s="166">
        <f>'Semi-trailer truck (Battery)'!B296</f>
        <v>4.2200083605052424E-2</v>
      </c>
      <c r="AX14" s="166">
        <f>'Semi-trailer truck (Hydrogen)'!B296</f>
        <v>5.5644317083159214E-2</v>
      </c>
      <c r="AY14" s="166">
        <f>'Semi-trailer truck (Diesel)'!B405</f>
        <v>4.7434474288441345E-2</v>
      </c>
      <c r="AZ14" s="166">
        <f>'Semi-trailer truck (Battery)'!B405</f>
        <v>5.4623281220008577E-2</v>
      </c>
      <c r="BA14" s="166">
        <f>'Semi-trailer truck (Hydrogen)'!B405</f>
        <v>6.8900270267960778E-2</v>
      </c>
      <c r="BB14" s="166">
        <f>'Semi-trailer truck (Diesel)'!B510</f>
        <v>3.6151697097521945E-2</v>
      </c>
      <c r="BC14" s="166">
        <f>'Semi-trailer truck (Battery)'!B510</f>
        <v>4.2966049751903018E-2</v>
      </c>
      <c r="BD14" s="166">
        <f>'Semi-trailer truck (Hydrogen)'!B510</f>
        <v>5.5319301052604297E-2</v>
      </c>
      <c r="BE14" s="167">
        <f>'Short-sea (HFO)'!M82</f>
        <v>3.3485163583572442E-3</v>
      </c>
      <c r="BF14" s="166">
        <f>'Short-sea (MGO)'!M82</f>
        <v>4.205584556716959E-3</v>
      </c>
      <c r="BG14" s="166">
        <f>'Short-sea (Hydrogen)'!M82</f>
        <v>7.2388734284985785E-3</v>
      </c>
      <c r="BH14" s="166">
        <f>'Short-sea (Ammonia)'!M82</f>
        <v>7.6828765580748727E-3</v>
      </c>
      <c r="BI14" s="166">
        <f>'Short-sea (Methanol)'!M82</f>
        <v>1.5151016518101114E-2</v>
      </c>
      <c r="BJ14" s="164">
        <f>'Short-sea (HFO)'!M188</f>
        <v>5.5875846396865091E-3</v>
      </c>
      <c r="BK14" s="166">
        <f>'Short-sea (MGO)'!M188</f>
        <v>6.9429483022088508E-3</v>
      </c>
      <c r="BL14" s="166">
        <f>'Short-sea (Hydrogen)'!M188</f>
        <v>1.173977721572397E-2</v>
      </c>
      <c r="BM14" s="166">
        <f>'Short-sea (Ammonia)'!M188</f>
        <v>1.2441921699705084E-2</v>
      </c>
      <c r="BN14" s="166">
        <f>'Short-sea (Methanol)'!M188</f>
        <v>2.4252003496955887E-2</v>
      </c>
      <c r="BO14" s="166">
        <f>'Short-sea (HFO)'!M296</f>
        <v>6.5650205567545031E-3</v>
      </c>
      <c r="BP14" s="166">
        <f>'Short-sea (MGO)'!M296</f>
        <v>8.2461927919985599E-3</v>
      </c>
      <c r="BQ14" s="166">
        <f>'Short-sea (Hydrogen)'!M296</f>
        <v>1.4196105578954813E-2</v>
      </c>
      <c r="BR14" s="166">
        <f>'Short-sea (Ammonia)'!M296</f>
        <v>1.5067034794662159E-2</v>
      </c>
      <c r="BS14" s="166">
        <f>'Short-sea (Methanol)'!M296</f>
        <v>2.9716078562405948E-2</v>
      </c>
      <c r="BT14" s="166">
        <f>'Short-sea (HFO)'!M405</f>
        <v>3.3468732250120977E-3</v>
      </c>
      <c r="BU14" s="166">
        <f>'Short-sea (MGO)'!M405</f>
        <v>4.2039414233718125E-3</v>
      </c>
      <c r="BV14" s="166">
        <f>'Short-sea (Hydrogen)'!M405</f>
        <v>7.237230295153432E-3</v>
      </c>
      <c r="BW14" s="166">
        <f>'Short-sea (Ammonia)'!M405</f>
        <v>7.6812334247297262E-3</v>
      </c>
      <c r="BX14" s="166">
        <f>'Short-sea (Methanol)'!M405</f>
        <v>1.5149373384755964E-2</v>
      </c>
      <c r="BY14" s="166">
        <f>'Railway (Diesel)'!M82</f>
        <v>6.7899289795005577E-3</v>
      </c>
      <c r="BZ14" s="166">
        <f>'Railway (Catenary)'!M82</f>
        <v>4.7025443718069146E-3</v>
      </c>
      <c r="CA14" s="166">
        <f>'Railway (Battery)'!M82</f>
        <v>5.7908440544052839E-3</v>
      </c>
      <c r="CB14" s="166">
        <f>'Railway (Hydrogen)'!M82</f>
        <v>6.8573097891166251E-3</v>
      </c>
      <c r="CC14" s="166">
        <f>'Railway (Diesel)'!M188</f>
        <v>1.6310432671628232E-2</v>
      </c>
      <c r="CD14" s="166">
        <f>'Railway (Catenary)'!M188</f>
        <v>1.1323902775471193E-2</v>
      </c>
      <c r="CE14" s="166">
        <f>'Railway (Battery)'!M188</f>
        <v>1.3923729795011741E-2</v>
      </c>
      <c r="CF14" s="166">
        <f>'Railway (Hydrogen)'!M188</f>
        <v>1.647139793904439E-2</v>
      </c>
      <c r="CG14" s="166">
        <f>'Railway (Diesel)'!M296</f>
        <v>1.5559016840407324E-2</v>
      </c>
      <c r="CH14" s="166">
        <f>'Railway (Catenary)'!M296</f>
        <v>1.0572486944250283E-2</v>
      </c>
      <c r="CI14" s="166">
        <f>'Railway (Battery)'!M296</f>
        <v>1.3172313963790833E-2</v>
      </c>
      <c r="CJ14" s="166">
        <f>'Railway (Hydrogen)'!M296</f>
        <v>1.5719982107823487E-2</v>
      </c>
      <c r="CK14" s="166">
        <f>'Railway (Diesel)'!M405</f>
        <v>6.3477110405012645E-3</v>
      </c>
      <c r="CL14" s="166">
        <f>'Railway (Catenary)'!M405</f>
        <v>4.9045809413550447E-3</v>
      </c>
      <c r="CM14" s="166">
        <f>'Railway (Battery)'!M405</f>
        <v>5.6569856601884835E-3</v>
      </c>
      <c r="CN14" s="166">
        <f>'Railway (Hydrogen)'!M405</f>
        <v>6.3942953039395345E-3</v>
      </c>
      <c r="CO14" s="166">
        <f>'Railway (Diesel)'!M510</f>
        <v>1.8428421547740662E-2</v>
      </c>
      <c r="CP14" s="166">
        <f>'Railway (Catenary)'!M510</f>
        <v>1.2699710457736994E-2</v>
      </c>
      <c r="CQ14" s="166">
        <f>'Railway (Battery)'!M510</f>
        <v>1.5686488475534742E-2</v>
      </c>
      <c r="CR14" s="166">
        <f>'Railway (Hydrogen)'!M510</f>
        <v>1.8613344436353648E-2</v>
      </c>
      <c r="CS14" s="166">
        <f>'Semi-trailer truck (Diesel)'!M82</f>
        <v>7.8127857375439785E-2</v>
      </c>
      <c r="CT14" s="166">
        <f>'Semi-trailer truck (Battery)'!M82</f>
        <v>7.4883986090192492E-2</v>
      </c>
      <c r="CU14" s="166">
        <f>'Semi-trailer truck (Hydrogen)'!M82</f>
        <v>8.7489160015639E-2</v>
      </c>
      <c r="CV14" s="166">
        <f>'Semi-trailer truck (Diesel)'!M188</f>
        <v>3.3959443822639858E-2</v>
      </c>
      <c r="CW14" s="166">
        <f>'Semi-trailer truck (Battery)'!M188</f>
        <v>3.0339831834609657E-2</v>
      </c>
      <c r="CX14" s="166">
        <f>'Semi-trailer truck (Hydrogen)'!M188</f>
        <v>3.7632523550819225E-2</v>
      </c>
      <c r="CY14" s="166">
        <f>'Semi-trailer truck (Diesel)'!M296</f>
        <v>3.8084033411431281E-2</v>
      </c>
      <c r="CZ14" s="166">
        <f>'Semi-trailer truck (Battery)'!M296</f>
        <v>3.4096507035723721E-2</v>
      </c>
      <c r="DA14" s="166">
        <f>'Semi-trailer truck (Hydrogen)'!M296</f>
        <v>4.2362367251904731E-2</v>
      </c>
      <c r="DB14" s="166">
        <f>'Semi-trailer truck (Diesel)'!M405</f>
        <v>4.7704877918005859E-2</v>
      </c>
      <c r="DC14" s="166">
        <f>'Semi-trailer truck (Battery)'!M405</f>
        <v>4.42446165455323E-2</v>
      </c>
      <c r="DD14" s="166">
        <f>'Semi-trailer truck (Hydrogen)'!M405</f>
        <v>5.3214204027523776E-2</v>
      </c>
      <c r="DE14" s="166">
        <f>'Semi-trailer truck (Diesel)'!M510</f>
        <v>3.5998132151989812E-2</v>
      </c>
      <c r="DF14" s="166">
        <f>'Semi-trailer truck (Battery)'!M510</f>
        <v>3.4758330796454379E-2</v>
      </c>
      <c r="DG14" s="166">
        <f>'Semi-trailer truck (Hydrogen)'!M510</f>
        <v>4.2435792932554589E-2</v>
      </c>
      <c r="DH14" s="167">
        <f>'Short-sea (HFO)'!AC82</f>
        <v>5.0884912663151215E-3</v>
      </c>
      <c r="DI14" s="166">
        <f>'Short-sea (MGO)'!AC82</f>
        <v>5.7958494139699612E-3</v>
      </c>
      <c r="DJ14" s="166">
        <f>'Short-sea (Hydrogen)'!AC82</f>
        <v>4.1415907936602197E-3</v>
      </c>
      <c r="DK14" s="166">
        <f>'Short-sea (Ammonia)'!AC82</f>
        <v>4.2303060322281573E-3</v>
      </c>
      <c r="DL14" s="166">
        <f>'Short-sea (Methanol)'!AC82</f>
        <v>5.6352056047552918E-3</v>
      </c>
      <c r="DM14" s="164">
        <f>'Short-sea (HFO)'!AC188</f>
        <v>8.339172866224551E-3</v>
      </c>
      <c r="DN14" s="166">
        <f>'Short-sea (MGO)'!AC188</f>
        <v>9.45778575088802E-3</v>
      </c>
      <c r="DO14" s="166">
        <f>'Short-sea (Hydrogen)'!AC188</f>
        <v>6.8417488629563313E-3</v>
      </c>
      <c r="DP14" s="166">
        <f>'Short-sea (Ammonia)'!AC188</f>
        <v>6.9820427285986492E-3</v>
      </c>
      <c r="DQ14" s="166">
        <f>'Short-sea (Methanol)'!AC188</f>
        <v>9.20374437817645E-3</v>
      </c>
      <c r="DR14" s="166">
        <f>'Short-sea (HFO)'!AC296</f>
        <v>9.9780482608257288E-3</v>
      </c>
      <c r="DS14" s="166">
        <f>'Short-sea (MGO)'!AC296</f>
        <v>1.1365558473533301E-2</v>
      </c>
      <c r="DT14" s="166">
        <f>'Short-sea (Hydrogen)'!AC296</f>
        <v>8.1206665644641875E-3</v>
      </c>
      <c r="DU14" s="166">
        <f>'Short-sea (Ammonia)'!AC296</f>
        <v>8.294684917039755E-3</v>
      </c>
      <c r="DV14" s="166">
        <f>'Short-sea (Methanol)'!AC296</f>
        <v>1.1050449463150678E-2</v>
      </c>
      <c r="DW14" s="166">
        <f>'Short-sea (HFO)'!AC405</f>
        <v>5.0868481329699768E-3</v>
      </c>
      <c r="DX14" s="166">
        <f>'Short-sea (MGO)'!AC405</f>
        <v>5.7942062806248182E-3</v>
      </c>
      <c r="DY14" s="166">
        <f>'Short-sea (Hydrogen)'!AC405</f>
        <v>4.1399476603150732E-3</v>
      </c>
      <c r="DZ14" s="166">
        <f>'Short-sea (Ammonia)'!AC405</f>
        <v>4.2286628988830108E-3</v>
      </c>
      <c r="EA14" s="166">
        <f>'Short-sea (Methanol)'!AC405</f>
        <v>5.6335624714101452E-3</v>
      </c>
      <c r="EB14" s="166">
        <f>'Railway (Diesel)'!AC82</f>
        <v>7.9410756620479587E-3</v>
      </c>
      <c r="EC14" s="166">
        <f>'Railway (Catenary)'!AC82</f>
        <v>4.4820530601201673E-3</v>
      </c>
      <c r="ED14" s="166">
        <f>'Railway (Battery)'!AC82</f>
        <v>4.8871751147525778E-3</v>
      </c>
      <c r="EE14" s="166">
        <f>'Railway (Hydrogen)'!AC82</f>
        <v>4.7002513363276176E-3</v>
      </c>
      <c r="EF14" s="166">
        <f>'Railway (Diesel)'!AC188</f>
        <v>1.906039419104702E-2</v>
      </c>
      <c r="EG14" s="166">
        <f>'Railway (Catenary)'!AC188</f>
        <v>1.0797173530886182E-2</v>
      </c>
      <c r="EH14" s="166">
        <f>'Railway (Battery)'!AC188</f>
        <v>1.176496510584139E-2</v>
      </c>
      <c r="EI14" s="166">
        <f>'Railway (Hydrogen)'!AC188</f>
        <v>1.131842496849287E-2</v>
      </c>
      <c r="EJ14" s="166">
        <f>'Railway (Diesel)'!AC296</f>
        <v>1.830897835982611E-2</v>
      </c>
      <c r="EK14" s="166">
        <f>'Railway (Catenary)'!AC296</f>
        <v>1.0045757699665276E-2</v>
      </c>
      <c r="EL14" s="166">
        <f>'Railway (Battery)'!AC296</f>
        <v>1.1013549274620478E-2</v>
      </c>
      <c r="EM14" s="166">
        <f>'Railway (Hydrogen)'!AC296</f>
        <v>1.0567009137271962E-2</v>
      </c>
      <c r="EN14" s="166">
        <f>'Railway (Diesel)'!AC405</f>
        <v>7.1435655370772483E-3</v>
      </c>
      <c r="EO14" s="166">
        <f>'Railway (Catenary)'!AC405</f>
        <v>4.7521425036456868E-3</v>
      </c>
      <c r="EP14" s="166">
        <f>'Railway (Battery)'!AC405</f>
        <v>5.0322268870952556E-3</v>
      </c>
      <c r="EQ14" s="166">
        <f>'Railway (Hydrogen)'!AC405</f>
        <v>4.9029956328755283E-3</v>
      </c>
      <c r="ER14" s="166">
        <f>'Railway (Diesel)'!AC510</f>
        <v>2.1587679665398526E-2</v>
      </c>
      <c r="ES14" s="166">
        <f>'Railway (Catenary)'!AC510</f>
        <v>1.2094584302330031E-2</v>
      </c>
      <c r="ET14" s="166">
        <f>'Railway (Battery)'!AC510</f>
        <v>1.3206419274487867E-2</v>
      </c>
      <c r="EU14" s="166">
        <f>'Railway (Hydrogen)'!AC510</f>
        <v>1.269341734925492E-2</v>
      </c>
      <c r="EV14" s="166">
        <f>'Semi-trailer truck (Diesel)'!AC82</f>
        <v>8.2268977733658016E-2</v>
      </c>
      <c r="EW14" s="166">
        <f>'Semi-trailer truck (Battery)'!AC82</f>
        <v>6.9098861335152389E-2</v>
      </c>
      <c r="EX14" s="166">
        <f>'Semi-trailer truck (Hydrogen)'!AC82</f>
        <v>7.4522667944778312E-2</v>
      </c>
      <c r="EY14" s="166">
        <f>'Semi-trailer truck (Diesel)'!AC188</f>
        <v>3.6574827843994642E-2</v>
      </c>
      <c r="EZ14" s="166">
        <f>'Semi-trailer truck (Battery)'!AC188</f>
        <v>2.7801796089308148E-2</v>
      </c>
      <c r="FA14" s="166">
        <f>'Semi-trailer truck (Hydrogen)'!AC188</f>
        <v>3.0821638175429711E-2</v>
      </c>
      <c r="FB14" s="166">
        <f>'Semi-trailer truck (Diesel)'!AC296</f>
        <v>4.1033926281005134E-2</v>
      </c>
      <c r="FC14" s="166">
        <f>'Semi-trailer truck (Battery)'!AC296</f>
        <v>3.1166361535846128E-2</v>
      </c>
      <c r="FD14" s="166">
        <f>'Semi-trailer truck (Hydrogen)'!AC296</f>
        <v>3.459698317148683E-2</v>
      </c>
      <c r="FE14" s="166">
        <f>'Semi-trailer truck (Diesel)'!AC405</f>
        <v>5.0796730792670858E-2</v>
      </c>
      <c r="FF14" s="166">
        <f>'Semi-trailer truck (Battery)'!AC405</f>
        <v>4.0662718265681963E-2</v>
      </c>
      <c r="FG14" s="166">
        <f>'Semi-trailer truck (Hydrogen)'!AC405</f>
        <v>4.4444137428318098E-2</v>
      </c>
      <c r="FH14" s="166">
        <f>'Semi-trailer truck (Diesel)'!AC510</f>
        <v>3.5797173046967959E-2</v>
      </c>
      <c r="FI14" s="166">
        <f>'Semi-trailer truck (Battery)'!AC510</f>
        <v>3.1863942238069549E-2</v>
      </c>
      <c r="FJ14" s="166">
        <f>'Semi-trailer truck (Hydrogen)'!AC510</f>
        <v>3.5075586629311664E-2</v>
      </c>
      <c r="FK14" s="166"/>
      <c r="FL14" s="166"/>
      <c r="FM14" s="166"/>
      <c r="FN14" s="166"/>
      <c r="FP14" s="166"/>
      <c r="FQ14" s="166"/>
      <c r="FR14" s="166"/>
    </row>
    <row r="15" spans="1:174" x14ac:dyDescent="0.25">
      <c r="A15" s="164" t="s">
        <v>73</v>
      </c>
      <c r="B15" s="167">
        <f>'Short-sea (HFO)'!B83</f>
        <v>0</v>
      </c>
      <c r="C15" s="166">
        <f>'Short-sea (MGO)'!B83</f>
        <v>0</v>
      </c>
      <c r="D15" s="166">
        <f>'Short-sea (Hydrogen)'!B83</f>
        <v>2.1643320307883629E-3</v>
      </c>
      <c r="E15" s="166">
        <f>'Short-sea (Ammonia)'!B83</f>
        <v>1.6209442703982065E-3</v>
      </c>
      <c r="F15" s="166">
        <f>'Short-sea (Methanol)'!B83</f>
        <v>1.4486034950630111E-3</v>
      </c>
      <c r="G15" s="164">
        <f>'Short-sea (HFO)'!B189</f>
        <v>0</v>
      </c>
      <c r="H15" s="166">
        <f>'Short-sea (MGO)'!B189</f>
        <v>0</v>
      </c>
      <c r="I15" s="166">
        <f>'Short-sea (Hydrogen)'!B189</f>
        <v>2.2079462461265485E-3</v>
      </c>
      <c r="J15" s="166">
        <f>'Short-sea (Ammonia)'!B189</f>
        <v>1.6550836105467398E-3</v>
      </c>
      <c r="K15" s="166">
        <f>'Short-sea (Methanol)'!B189</f>
        <v>1.4649668116492459E-3</v>
      </c>
      <c r="L15" s="166">
        <f>'Short-sea (HFO)'!B297</f>
        <v>0</v>
      </c>
      <c r="M15" s="166">
        <f>'Short-sea (MGO)'!B297</f>
        <v>0</v>
      </c>
      <c r="N15" s="166">
        <f>'Short-sea (Hydrogen)'!B297</f>
        <v>2.1639442580867196E-3</v>
      </c>
      <c r="O15" s="166">
        <f>'Short-sea (Ammonia)'!B297</f>
        <v>1.6206407385322974E-3</v>
      </c>
      <c r="P15" s="166">
        <f>'Short-sea (Methanol)'!B297</f>
        <v>1.4484580092980759E-3</v>
      </c>
      <c r="Q15" s="166">
        <f>'Short-sea (HFO)'!B406</f>
        <v>0</v>
      </c>
      <c r="R15" s="166">
        <f>'Short-sea (MGO)'!B406</f>
        <v>0</v>
      </c>
      <c r="S15" s="166">
        <f>'Short-sea (Hydrogen)'!B406</f>
        <v>2.1639442580867196E-3</v>
      </c>
      <c r="T15" s="166">
        <f>'Short-sea (Ammonia)'!B406</f>
        <v>1.6206407385322974E-3</v>
      </c>
      <c r="U15" s="166">
        <f>'Short-sea (Methanol)'!B406</f>
        <v>1.4484580092980759E-3</v>
      </c>
      <c r="V15" s="166">
        <f>'Railway (Diesel)'!B83</f>
        <v>0</v>
      </c>
      <c r="W15" s="166">
        <f>'Railway (Catenary)'!B83</f>
        <v>0</v>
      </c>
      <c r="X15" s="166">
        <f>'Railway (Battery)'!B83</f>
        <v>4.2311486957607308E-4</v>
      </c>
      <c r="Y15" s="166">
        <f>'Railway (Hydrogen)'!B83</f>
        <v>2.7783459881501604E-4</v>
      </c>
      <c r="Z15" s="166">
        <f>'Railway (Diesel)'!B189</f>
        <v>0</v>
      </c>
      <c r="AA15" s="166">
        <f>'Railway (Catenary)'!B189</f>
        <v>0</v>
      </c>
      <c r="AB15" s="166">
        <f>'Railway (Battery)'!B189</f>
        <v>4.2557979310601894E-4</v>
      </c>
      <c r="AC15" s="166">
        <f>'Railway (Hydrogen)'!B189</f>
        <v>2.7905299071224673E-4</v>
      </c>
      <c r="AD15" s="166">
        <f>'Railway (Diesel)'!B297</f>
        <v>0</v>
      </c>
      <c r="AE15" s="166">
        <f>'Railway (Catenary)'!B297</f>
        <v>0</v>
      </c>
      <c r="AF15" s="166">
        <f>'Railway (Battery)'!B297</f>
        <v>4.0501067733924104E-4</v>
      </c>
      <c r="AG15" s="166">
        <f>'Railway (Hydrogen)'!B297</f>
        <v>2.6888584204456424E-4</v>
      </c>
      <c r="AH15" s="166">
        <f>'Railway (Diesel)'!B406</f>
        <v>0</v>
      </c>
      <c r="AI15" s="166">
        <f>'Railway (Catenary)'!B406</f>
        <v>0</v>
      </c>
      <c r="AJ15" s="166">
        <f>'Railway (Battery)'!B406</f>
        <v>5.7950755664491413E-4</v>
      </c>
      <c r="AK15" s="166">
        <f>'Railway (Hydrogen)'!B406</f>
        <v>3.5513824754723755E-4</v>
      </c>
      <c r="AL15" s="166">
        <f>'Railway (Diesel)'!B511</f>
        <v>0</v>
      </c>
      <c r="AM15" s="166">
        <f>'Railway (Catenary)'!B511</f>
        <v>0</v>
      </c>
      <c r="AN15" s="166">
        <f>'Railway (Battery)'!B511</f>
        <v>2.6569500945889182E-4</v>
      </c>
      <c r="AO15" s="166">
        <f>'Railway (Hydrogen)'!B511</f>
        <v>1.7562153207705163E-4</v>
      </c>
      <c r="AP15" s="166">
        <f>'Semi-trailer truck (Diesel)'!B83</f>
        <v>0</v>
      </c>
      <c r="AQ15" s="166">
        <f>'Semi-trailer truck (Battery)'!B83</f>
        <v>1.2975133797221566E-2</v>
      </c>
      <c r="AR15" s="166">
        <f>'Semi-trailer truck (Hydrogen)'!B83</f>
        <v>7.4339832283982221E-3</v>
      </c>
      <c r="AS15" s="166">
        <f>'Semi-trailer truck (Diesel)'!B189</f>
        <v>0</v>
      </c>
      <c r="AT15" s="166">
        <f>'Semi-trailer truck (Battery)'!B189</f>
        <v>7.3146110257246849E-3</v>
      </c>
      <c r="AU15" s="166">
        <f>'Semi-trailer truck (Hydrogen)'!B189</f>
        <v>4.5652841350153489E-3</v>
      </c>
      <c r="AV15" s="166">
        <f>'Semi-trailer truck (Diesel)'!B297</f>
        <v>0</v>
      </c>
      <c r="AW15" s="166">
        <f>'Semi-trailer truck (Battery)'!B297</f>
        <v>7.3830516470406171E-3</v>
      </c>
      <c r="AX15" s="166">
        <f>'Semi-trailer truck (Hydrogen)'!B297</f>
        <v>4.6067236304448006E-3</v>
      </c>
      <c r="AY15" s="166">
        <f>'Semi-trailer truck (Diesel)'!B406</f>
        <v>0</v>
      </c>
      <c r="AZ15" s="166">
        <f>'Semi-trailer truck (Battery)'!B406</f>
        <v>9.5565333507979938E-3</v>
      </c>
      <c r="BA15" s="166">
        <f>'Semi-trailer truck (Hydrogen)'!B406</f>
        <v>5.7041674662498681E-3</v>
      </c>
      <c r="BB15" s="166">
        <f>'Semi-trailer truck (Diesel)'!B511</f>
        <v>0</v>
      </c>
      <c r="BC15" s="166">
        <f>'Semi-trailer truck (Battery)'!B511</f>
        <v>8.4249175921230768E-3</v>
      </c>
      <c r="BD15" s="166">
        <f>'Semi-trailer truck (Hydrogen)'!B511</f>
        <v>5.1329338279129805E-3</v>
      </c>
      <c r="BE15" s="167">
        <f>'Short-sea (HFO)'!M83</f>
        <v>0</v>
      </c>
      <c r="BF15" s="166">
        <f>'Short-sea (MGO)'!M83</f>
        <v>0</v>
      </c>
      <c r="BG15" s="166">
        <f>'Short-sea (Hydrogen)'!M83</f>
        <v>1.6687646671840594E-3</v>
      </c>
      <c r="BH15" s="166">
        <f>'Short-sea (Ammonia)'!M83</f>
        <v>1.3991131637669657E-3</v>
      </c>
      <c r="BI15" s="166">
        <f>'Short-sea (Methanol)'!M83</f>
        <v>1.3414962542068753E-3</v>
      </c>
      <c r="BJ15" s="164">
        <f>'Short-sea (HFO)'!M189</f>
        <v>0</v>
      </c>
      <c r="BK15" s="166">
        <f>'Short-sea (MGO)'!M189</f>
        <v>0</v>
      </c>
      <c r="BL15" s="166">
        <f>'Short-sea (Hydrogen)'!M189</f>
        <v>1.711368409869421E-3</v>
      </c>
      <c r="BM15" s="166">
        <f>'Short-sea (Ammonia)'!M189</f>
        <v>1.4327683987821367E-3</v>
      </c>
      <c r="BN15" s="166">
        <f>'Short-sea (Methanol)'!M189</f>
        <v>1.3578595707931032E-3</v>
      </c>
      <c r="BO15" s="166">
        <f>'Short-sea (HFO)'!M297</f>
        <v>0</v>
      </c>
      <c r="BP15" s="166">
        <f>'Short-sea (MGO)'!M297</f>
        <v>0</v>
      </c>
      <c r="BQ15" s="166">
        <f>'Short-sea (Hydrogen)'!M297</f>
        <v>1.6683858785649531E-3</v>
      </c>
      <c r="BR15" s="166">
        <f>'Short-sea (Ammonia)'!M297</f>
        <v>1.398813936065512E-3</v>
      </c>
      <c r="BS15" s="166">
        <f>'Short-sea (Methanol)'!M297</f>
        <v>1.3413507684419401E-3</v>
      </c>
      <c r="BT15" s="166">
        <f>'Short-sea (HFO)'!M406</f>
        <v>0</v>
      </c>
      <c r="BU15" s="166">
        <f>'Short-sea (MGO)'!M406</f>
        <v>0</v>
      </c>
      <c r="BV15" s="166">
        <f>'Short-sea (Hydrogen)'!M406</f>
        <v>1.6683858785649531E-3</v>
      </c>
      <c r="BW15" s="166">
        <f>'Short-sea (Ammonia)'!M406</f>
        <v>1.398813936065512E-3</v>
      </c>
      <c r="BX15" s="166">
        <f>'Short-sea (Methanol)'!M406</f>
        <v>1.3413507684419401E-3</v>
      </c>
      <c r="BY15" s="166">
        <f>'Railway (Diesel)'!M83</f>
        <v>0</v>
      </c>
      <c r="BZ15" s="166">
        <f>'Railway (Catenary)'!M83</f>
        <v>0</v>
      </c>
      <c r="CA15" s="166">
        <f>'Railway (Battery)'!M83</f>
        <v>2.9506531708836832E-4</v>
      </c>
      <c r="CB15" s="166">
        <f>'Railway (Hydrogen)'!M83</f>
        <v>2.2165041742599166E-4</v>
      </c>
      <c r="CC15" s="166">
        <f>'Railway (Diesel)'!M189</f>
        <v>0</v>
      </c>
      <c r="CD15" s="166">
        <f>'Railway (Catenary)'!M189</f>
        <v>0</v>
      </c>
      <c r="CE15" s="166">
        <f>'Railway (Battery)'!M189</f>
        <v>2.9698596833667434E-4</v>
      </c>
      <c r="CF15" s="166">
        <f>'Railway (Hydrogen)'!M189</f>
        <v>2.2286880932322235E-4</v>
      </c>
      <c r="CG15" s="166">
        <f>'Railway (Diesel)'!M297</f>
        <v>0</v>
      </c>
      <c r="CH15" s="166">
        <f>'Railway (Catenary)'!M297</f>
        <v>0</v>
      </c>
      <c r="CI15" s="166">
        <f>'Railway (Battery)'!M297</f>
        <v>2.8095865657868681E-4</v>
      </c>
      <c r="CJ15" s="166">
        <f>'Railway (Hydrogen)'!M297</f>
        <v>2.1270166065553986E-4</v>
      </c>
      <c r="CK15" s="166">
        <f>'Railway (Diesel)'!M406</f>
        <v>0</v>
      </c>
      <c r="CL15" s="166">
        <f>'Railway (Catenary)'!M406</f>
        <v>0</v>
      </c>
      <c r="CM15" s="166">
        <f>'Railway (Battery)'!M406</f>
        <v>4.1692540970209718E-4</v>
      </c>
      <c r="CN15" s="166">
        <f>'Railway (Hydrogen)'!M406</f>
        <v>2.9895406615821143E-4</v>
      </c>
      <c r="CO15" s="166">
        <f>'Railway (Diesel)'!M511</f>
        <v>0</v>
      </c>
      <c r="CP15" s="166">
        <f>'Railway (Catenary)'!M511</f>
        <v>0</v>
      </c>
      <c r="CQ15" s="166">
        <f>'Railway (Battery)'!M511</f>
        <v>1.8532975935802928E-4</v>
      </c>
      <c r="CR15" s="166">
        <f>'Railway (Hydrogen)'!M511</f>
        <v>1.3979393814781901E-4</v>
      </c>
      <c r="CS15" s="166">
        <f>'Semi-trailer truck (Diesel)'!M83</f>
        <v>0</v>
      </c>
      <c r="CT15" s="166">
        <f>'Semi-trailer truck (Battery)'!M83</f>
        <v>8.0646467296622559E-3</v>
      </c>
      <c r="CU15" s="166">
        <f>'Semi-trailer truck (Hydrogen)'!M83</f>
        <v>4.2553909051559619E-3</v>
      </c>
      <c r="CV15" s="166">
        <f>'Semi-trailer truck (Diesel)'!M189</f>
        <v>0</v>
      </c>
      <c r="CW15" s="166">
        <f>'Semi-trailer truck (Battery)'!M189</f>
        <v>4.5640635825563436E-3</v>
      </c>
      <c r="CX15" s="166">
        <f>'Semi-trailer truck (Hydrogen)'!M189</f>
        <v>2.5567642135229524E-3</v>
      </c>
      <c r="CY15" s="166">
        <f>'Semi-trailer truck (Diesel)'!M297</f>
        <v>0</v>
      </c>
      <c r="CZ15" s="166">
        <f>'Semi-trailer truck (Battery)'!M297</f>
        <v>4.5764715610098206E-3</v>
      </c>
      <c r="DA15" s="166">
        <f>'Semi-trailer truck (Hydrogen)'!M297</f>
        <v>2.5679698375209725E-3</v>
      </c>
      <c r="DB15" s="166">
        <f>'Semi-trailer truck (Diesel)'!M406</f>
        <v>0</v>
      </c>
      <c r="DC15" s="166">
        <f>'Semi-trailer truck (Battery)'!M406</f>
        <v>5.9385622444042552E-3</v>
      </c>
      <c r="DD15" s="166">
        <f>'Semi-trailer truck (Hydrogen)'!M406</f>
        <v>3.2257987391916404E-3</v>
      </c>
      <c r="DE15" s="166">
        <f>'Semi-trailer truck (Diesel)'!M511</f>
        <v>0</v>
      </c>
      <c r="DF15" s="166">
        <f>'Semi-trailer truck (Battery)'!M511</f>
        <v>5.2287445969815549E-3</v>
      </c>
      <c r="DG15" s="166">
        <f>'Semi-trailer truck (Hydrogen)'!M511</f>
        <v>2.8830996835997186E-3</v>
      </c>
      <c r="DH15" s="167">
        <f>'Short-sea (HFO)'!AC83</f>
        <v>0</v>
      </c>
      <c r="DI15" s="166">
        <f>'Short-sea (MGO)'!AC83</f>
        <v>0</v>
      </c>
      <c r="DJ15" s="166">
        <f>'Short-sea (Hydrogen)'!AC83</f>
        <v>7.6866456184605456E-4</v>
      </c>
      <c r="DK15" s="166">
        <f>'Short-sea (Ammonia)'!AC83</f>
        <v>6.7830581461089494E-4</v>
      </c>
      <c r="DL15" s="166">
        <f>'Short-sea (Methanol)'!AC83</f>
        <v>4.9895049625437414E-4</v>
      </c>
      <c r="DM15" s="164">
        <f>'Short-sea (HFO)'!AC189</f>
        <v>0</v>
      </c>
      <c r="DN15" s="166">
        <f>'Short-sea (MGO)'!AC189</f>
        <v>0</v>
      </c>
      <c r="DO15" s="166">
        <f>'Short-sea (Hydrogen)'!AC189</f>
        <v>8.0296449808034583E-4</v>
      </c>
      <c r="DP15" s="166">
        <f>'Short-sea (Ammonia)'!AC189</f>
        <v>7.0793893555829573E-4</v>
      </c>
      <c r="DQ15" s="166">
        <f>'Short-sea (Methanol)'!AC189</f>
        <v>5.1531381284060894E-4</v>
      </c>
      <c r="DR15" s="166">
        <f>'Short-sea (HFO)'!AC297</f>
        <v>0</v>
      </c>
      <c r="DS15" s="166">
        <f>'Short-sea (MGO)'!AC297</f>
        <v>0</v>
      </c>
      <c r="DT15" s="166">
        <f>'Short-sea (Hydrogen)'!AC297</f>
        <v>7.6835960212508561E-4</v>
      </c>
      <c r="DU15" s="166">
        <f>'Short-sea (Ammonia)'!AC297</f>
        <v>6.7804234740693678E-4</v>
      </c>
      <c r="DV15" s="166">
        <f>'Short-sea (Methanol)'!AC297</f>
        <v>4.9880501048943891E-4</v>
      </c>
      <c r="DW15" s="166">
        <f>'Short-sea (HFO)'!AC406</f>
        <v>0</v>
      </c>
      <c r="DX15" s="166">
        <f>'Short-sea (MGO)'!AC406</f>
        <v>0</v>
      </c>
      <c r="DY15" s="166">
        <f>'Short-sea (Hydrogen)'!AC406</f>
        <v>7.6835960212508561E-4</v>
      </c>
      <c r="DZ15" s="166">
        <f>'Short-sea (Ammonia)'!AC406</f>
        <v>6.7804234740693678E-4</v>
      </c>
      <c r="EA15" s="166">
        <f>'Short-sea (Methanol)'!AC406</f>
        <v>4.9880501048943891E-4</v>
      </c>
      <c r="EB15" s="166">
        <f>'Railway (Diesel)'!AC83</f>
        <v>0</v>
      </c>
      <c r="EC15" s="166">
        <f>'Railway (Catenary)'!AC83</f>
        <v>0</v>
      </c>
      <c r="ED15" s="166">
        <f>'Railway (Battery)'!AC83</f>
        <v>1.5832728571570434E-4</v>
      </c>
      <c r="EE15" s="166">
        <f>'Railway (Hydrogen)'!AC83</f>
        <v>1.5192731592169988E-4</v>
      </c>
      <c r="EF15" s="166">
        <f>'Railway (Diesel)'!AC189</f>
        <v>0</v>
      </c>
      <c r="EG15" s="166">
        <f>'Railway (Catenary)'!AC189</f>
        <v>0</v>
      </c>
      <c r="EH15" s="166">
        <f>'Railway (Battery)'!AC189</f>
        <v>1.5954843872538135E-4</v>
      </c>
      <c r="EI15" s="166">
        <f>'Railway (Hydrogen)'!AC189</f>
        <v>1.5314570781893057E-4</v>
      </c>
      <c r="EJ15" s="166">
        <f>'Railway (Diesel)'!AC297</f>
        <v>0</v>
      </c>
      <c r="EK15" s="166">
        <f>'Railway (Catenary)'!AC297</f>
        <v>0</v>
      </c>
      <c r="EL15" s="166">
        <f>'Railway (Battery)'!AC297</f>
        <v>1.4935824932606895E-4</v>
      </c>
      <c r="EM15" s="166">
        <f>'Railway (Hydrogen)'!AC297</f>
        <v>1.4297855915124807E-4</v>
      </c>
      <c r="EN15" s="166">
        <f>'Railway (Diesel)'!AC406</f>
        <v>0</v>
      </c>
      <c r="EO15" s="166">
        <f>'Railway (Catenary)'!AC406</f>
        <v>0</v>
      </c>
      <c r="EP15" s="166">
        <f>'Railway (Battery)'!AC406</f>
        <v>2.3580611951531244E-4</v>
      </c>
      <c r="EQ15" s="166">
        <f>'Railway (Hydrogen)'!AC406</f>
        <v>2.2923096465391965E-4</v>
      </c>
      <c r="ER15" s="166">
        <f>'Railway (Diesel)'!AC511</f>
        <v>0</v>
      </c>
      <c r="ES15" s="166">
        <f>'Railway (Catenary)'!AC511</f>
        <v>0</v>
      </c>
      <c r="ET15" s="166">
        <f>'Railway (Battery)'!AC511</f>
        <v>9.94096449857566E-5</v>
      </c>
      <c r="EU15" s="166">
        <f>'Railway (Hydrogen)'!AC511</f>
        <v>9.533282994218361E-5</v>
      </c>
      <c r="EV15" s="166">
        <f>'Semi-trailer truck (Diesel)'!AC83</f>
        <v>0</v>
      </c>
      <c r="EW15" s="166">
        <f>'Semi-trailer truck (Battery)'!AC83</f>
        <v>4.6394769729870972E-3</v>
      </c>
      <c r="EX15" s="166">
        <f>'Semi-trailer truck (Hydrogen)'!AC83</f>
        <v>1.9422481330625962E-3</v>
      </c>
      <c r="EY15" s="166">
        <f>'Semi-trailer truck (Diesel)'!AC189</f>
        <v>0</v>
      </c>
      <c r="EZ15" s="166">
        <f>'Semi-trailer truck (Battery)'!AC189</f>
        <v>2.6074327084575841E-3</v>
      </c>
      <c r="FA15" s="166">
        <f>'Semi-trailer truck (Hydrogen)'!AC189</f>
        <v>1.1220550346282138E-3</v>
      </c>
      <c r="FB15" s="166">
        <f>'Semi-trailer truck (Diesel)'!AC297</f>
        <v>0</v>
      </c>
      <c r="FC15" s="166">
        <f>'Semi-trailer truck (Battery)'!AC297</f>
        <v>2.6080068051186275E-3</v>
      </c>
      <c r="FD15" s="166">
        <f>'Semi-trailer truck (Hydrogen)'!AC297</f>
        <v>1.1237741343322408E-3</v>
      </c>
      <c r="FE15" s="166">
        <f>'Semi-trailer truck (Diesel)'!AC406</f>
        <v>0</v>
      </c>
      <c r="FF15" s="166">
        <f>'Semi-trailer truck (Battery)'!AC406</f>
        <v>3.4026636644623326E-3</v>
      </c>
      <c r="FG15" s="166">
        <f>'Semi-trailer truck (Hydrogen)'!AC406</f>
        <v>1.4436279549892572E-3</v>
      </c>
      <c r="FH15" s="166">
        <f>'Semi-trailer truck (Diesel)'!AC511</f>
        <v>0</v>
      </c>
      <c r="FI15" s="166">
        <f>'Semi-trailer truck (Battery)'!AC511</f>
        <v>2.9884071138805771E-3</v>
      </c>
      <c r="FJ15" s="166">
        <f>'Semi-trailer truck (Hydrogen)'!AC511</f>
        <v>1.2769191029350091E-3</v>
      </c>
      <c r="FK15" s="166"/>
      <c r="FL15" s="166"/>
      <c r="FM15" s="166"/>
      <c r="FN15" s="166"/>
      <c r="FP15" s="166"/>
      <c r="FQ15" s="166"/>
      <c r="FR15" s="166"/>
    </row>
    <row r="16" spans="1:174" x14ac:dyDescent="0.25">
      <c r="A16" s="164" t="s">
        <v>206</v>
      </c>
      <c r="B16" s="167">
        <f>'Short-sea (HFO)'!B84</f>
        <v>1.9330162494961441E-3</v>
      </c>
      <c r="C16" s="166">
        <f>'Short-sea (MGO)'!B84</f>
        <v>1.8343688133195604E-3</v>
      </c>
      <c r="D16" s="166">
        <f>'Short-sea (Hydrogen)'!B84</f>
        <v>2.5815196033431064E-4</v>
      </c>
      <c r="E16" s="166">
        <f>'Short-sea (Ammonia)'!B84</f>
        <v>2.6311642110997044E-4</v>
      </c>
      <c r="F16" s="166">
        <f>'Short-sea (Methanol)'!B84</f>
        <v>3.3398562051778328E-4</v>
      </c>
      <c r="G16" s="164">
        <f>'Short-sea (HFO)'!B190</f>
        <v>1.9330162494961441E-3</v>
      </c>
      <c r="H16" s="166">
        <f>'Short-sea (MGO)'!B190</f>
        <v>1.8343688133195604E-3</v>
      </c>
      <c r="I16" s="166">
        <f>'Short-sea (Hydrogen)'!B190</f>
        <v>2.5815196033431064E-4</v>
      </c>
      <c r="J16" s="166">
        <f>'Short-sea (Ammonia)'!B190</f>
        <v>2.6311642110997044E-4</v>
      </c>
      <c r="K16" s="166">
        <f>'Short-sea (Methanol)'!B190</f>
        <v>3.3398562051778328E-4</v>
      </c>
      <c r="L16" s="166">
        <f>'Short-sea (HFO)'!B298</f>
        <v>1.9330162494961441E-3</v>
      </c>
      <c r="M16" s="166">
        <f>'Short-sea (MGO)'!B298</f>
        <v>1.8343688133195604E-3</v>
      </c>
      <c r="N16" s="166">
        <f>'Short-sea (Hydrogen)'!B298</f>
        <v>2.5815196033431064E-4</v>
      </c>
      <c r="O16" s="166">
        <f>'Short-sea (Ammonia)'!B298</f>
        <v>2.6311642110997044E-4</v>
      </c>
      <c r="P16" s="166">
        <f>'Short-sea (Methanol)'!B298</f>
        <v>3.3398562051778328E-4</v>
      </c>
      <c r="Q16" s="166">
        <f>'Short-sea (HFO)'!B407</f>
        <v>1.9330162494961441E-3</v>
      </c>
      <c r="R16" s="166">
        <f>'Short-sea (MGO)'!B407</f>
        <v>1.8343688133195604E-3</v>
      </c>
      <c r="S16" s="166">
        <f>'Short-sea (Hydrogen)'!B407</f>
        <v>2.5815196033431064E-4</v>
      </c>
      <c r="T16" s="166">
        <f>'Short-sea (Ammonia)'!B407</f>
        <v>2.6311642110997044E-4</v>
      </c>
      <c r="U16" s="166">
        <f>'Short-sea (Methanol)'!B407</f>
        <v>3.3398562051778328E-4</v>
      </c>
      <c r="V16" s="166">
        <f>'Railway (Diesel)'!B84</f>
        <v>9.1884435637488678E-4</v>
      </c>
      <c r="W16" s="166">
        <f>'Railway (Catenary)'!B84</f>
        <v>3.2612180545682326E-5</v>
      </c>
      <c r="X16" s="166">
        <f>'Railway (Battery)'!B84</f>
        <v>3.465044182978748E-5</v>
      </c>
      <c r="Y16" s="166">
        <f>'Railway (Hydrogen)'!B84</f>
        <v>7.8492804144973097E-5</v>
      </c>
      <c r="Z16" s="166">
        <f>'Railway (Diesel)'!B190</f>
        <v>9.1884435637488678E-4</v>
      </c>
      <c r="AA16" s="166">
        <f>'Railway (Catenary)'!B190</f>
        <v>3.2612180545682326E-5</v>
      </c>
      <c r="AB16" s="166">
        <f>'Railway (Battery)'!B190</f>
        <v>3.465044182978748E-5</v>
      </c>
      <c r="AC16" s="166">
        <f>'Railway (Hydrogen)'!B190</f>
        <v>7.8492804144973097E-5</v>
      </c>
      <c r="AD16" s="166">
        <f>'Railway (Diesel)'!B298</f>
        <v>9.1884435637488678E-4</v>
      </c>
      <c r="AE16" s="166">
        <f>'Railway (Catenary)'!B298</f>
        <v>3.2612180545682326E-5</v>
      </c>
      <c r="AF16" s="166">
        <f>'Railway (Battery)'!B298</f>
        <v>3.465044182978748E-5</v>
      </c>
      <c r="AG16" s="166">
        <f>'Railway (Hydrogen)'!B298</f>
        <v>7.8492804144973097E-5</v>
      </c>
      <c r="AH16" s="166">
        <f>'Railway (Diesel)'!B407</f>
        <v>9.1884435637488678E-4</v>
      </c>
      <c r="AI16" s="166">
        <f>'Railway (Catenary)'!B407</f>
        <v>3.2612180545682326E-5</v>
      </c>
      <c r="AJ16" s="166">
        <f>'Railway (Battery)'!B407</f>
        <v>3.465044182978748E-5</v>
      </c>
      <c r="AK16" s="166">
        <f>'Railway (Hydrogen)'!B407</f>
        <v>7.8492804144973097E-5</v>
      </c>
      <c r="AL16" s="166">
        <f>'Railway (Diesel)'!B512</f>
        <v>7.3507548509990943E-4</v>
      </c>
      <c r="AM16" s="166">
        <f>'Railway (Catenary)'!B512</f>
        <v>2.6089744436545862E-5</v>
      </c>
      <c r="AN16" s="166">
        <f>'Railway (Battery)'!B512</f>
        <v>2.7720353463829981E-5</v>
      </c>
      <c r="AO16" s="166">
        <f>'Railway (Hydrogen)'!B512</f>
        <v>6.2794243315978485E-5</v>
      </c>
      <c r="AP16" s="166">
        <f>'Semi-trailer truck (Diesel)'!B84</f>
        <v>3.105564911133563E-3</v>
      </c>
      <c r="AQ16" s="166">
        <f>'Semi-trailer truck (Battery)'!B84</f>
        <v>1.4049076735721778E-4</v>
      </c>
      <c r="AR16" s="166">
        <f>'Semi-trailer truck (Hydrogen)'!B84</f>
        <v>3.6418200964524684E-4</v>
      </c>
      <c r="AS16" s="166">
        <f>'Semi-trailer truck (Diesel)'!B190</f>
        <v>3.105564911133563E-3</v>
      </c>
      <c r="AT16" s="166">
        <f>'Semi-trailer truck (Battery)'!B190</f>
        <v>1.4049076735721778E-4</v>
      </c>
      <c r="AU16" s="166">
        <f>'Semi-trailer truck (Hydrogen)'!B190</f>
        <v>3.6418200964524684E-4</v>
      </c>
      <c r="AV16" s="166">
        <f>'Semi-trailer truck (Diesel)'!B298</f>
        <v>3.1055649111335639E-3</v>
      </c>
      <c r="AW16" s="166">
        <f>'Semi-trailer truck (Battery)'!B298</f>
        <v>1.4049076735721778E-4</v>
      </c>
      <c r="AX16" s="166">
        <f>'Semi-trailer truck (Hydrogen)'!B298</f>
        <v>3.6418200964524684E-4</v>
      </c>
      <c r="AY16" s="166">
        <f>'Semi-trailer truck (Diesel)'!B407</f>
        <v>3.1055649111335639E-3</v>
      </c>
      <c r="AZ16" s="166">
        <f>'Semi-trailer truck (Battery)'!B407</f>
        <v>1.4049076735721778E-4</v>
      </c>
      <c r="BA16" s="166">
        <f>'Semi-trailer truck (Hydrogen)'!B407</f>
        <v>3.6418200964524684E-4</v>
      </c>
      <c r="BB16" s="166">
        <f>'Semi-trailer truck (Diesel)'!B512</f>
        <v>3.1055649111335639E-3</v>
      </c>
      <c r="BC16" s="166">
        <f>'Semi-trailer truck (Battery)'!B512</f>
        <v>1.4049076735721778E-4</v>
      </c>
      <c r="BD16" s="166">
        <f>'Semi-trailer truck (Hydrogen)'!B512</f>
        <v>3.6418200964524684E-4</v>
      </c>
      <c r="BE16" s="167">
        <f>'Short-sea (HFO)'!M84</f>
        <v>2.3842549920408719E-3</v>
      </c>
      <c r="BF16" s="166">
        <f>'Short-sea (MGO)'!M84</f>
        <v>2.2625795316212503E-3</v>
      </c>
      <c r="BG16" s="166">
        <f>'Short-sea (Hydrogen)'!M84</f>
        <v>2.3112628110406671E-4</v>
      </c>
      <c r="BH16" s="166">
        <f>'Short-sea (Ammonia)'!M84</f>
        <v>2.3557101727914492E-4</v>
      </c>
      <c r="BI16" s="166">
        <f>'Short-sea (Methanol)'!M84</f>
        <v>2.9902098869419172E-4</v>
      </c>
      <c r="BJ16" s="164">
        <f>'Short-sea (HFO)'!M190</f>
        <v>2.3842549920408719E-3</v>
      </c>
      <c r="BK16" s="166">
        <f>'Short-sea (MGO)'!M190</f>
        <v>2.2625795316212503E-3</v>
      </c>
      <c r="BL16" s="166">
        <f>'Short-sea (Hydrogen)'!M190</f>
        <v>2.3112628110406671E-4</v>
      </c>
      <c r="BM16" s="166">
        <f>'Short-sea (Ammonia)'!M190</f>
        <v>2.3557101727914492E-4</v>
      </c>
      <c r="BN16" s="166">
        <f>'Short-sea (Methanol)'!M190</f>
        <v>2.9902098869419172E-4</v>
      </c>
      <c r="BO16" s="166">
        <f>'Short-sea (HFO)'!M298</f>
        <v>2.3842549920408719E-3</v>
      </c>
      <c r="BP16" s="166">
        <f>'Short-sea (MGO)'!M298</f>
        <v>2.2625795316212503E-3</v>
      </c>
      <c r="BQ16" s="166">
        <f>'Short-sea (Hydrogen)'!M298</f>
        <v>2.3112628110406671E-4</v>
      </c>
      <c r="BR16" s="166">
        <f>'Short-sea (Ammonia)'!M298</f>
        <v>2.3557101727914492E-4</v>
      </c>
      <c r="BS16" s="166">
        <f>'Short-sea (Methanol)'!M298</f>
        <v>2.9902098869419172E-4</v>
      </c>
      <c r="BT16" s="166">
        <f>'Short-sea (HFO)'!M407</f>
        <v>2.3842549920408719E-3</v>
      </c>
      <c r="BU16" s="166">
        <f>'Short-sea (MGO)'!M407</f>
        <v>2.2625795316212503E-3</v>
      </c>
      <c r="BV16" s="166">
        <f>'Short-sea (Hydrogen)'!M407</f>
        <v>2.3112628110406671E-4</v>
      </c>
      <c r="BW16" s="166">
        <f>'Short-sea (Ammonia)'!M407</f>
        <v>2.3557101727914492E-4</v>
      </c>
      <c r="BX16" s="166">
        <f>'Short-sea (Methanol)'!M407</f>
        <v>2.9902098869419172E-4</v>
      </c>
      <c r="BY16" s="166">
        <f>'Railway (Diesel)'!M84</f>
        <v>1.1574882084341917E-3</v>
      </c>
      <c r="BZ16" s="166">
        <f>'Railway (Catenary)'!M84</f>
        <v>2.9198042883179091E-5</v>
      </c>
      <c r="CA16" s="166">
        <f>'Railway (Battery)'!M84</f>
        <v>3.1022920563377787E-5</v>
      </c>
      <c r="CB16" s="166">
        <f>'Railway (Hydrogen)'!M84</f>
        <v>7.027546834028947E-5</v>
      </c>
      <c r="CC16" s="166">
        <f>'Railway (Diesel)'!M190</f>
        <v>1.1574882084341917E-3</v>
      </c>
      <c r="CD16" s="166">
        <f>'Railway (Catenary)'!M190</f>
        <v>2.9198042883179091E-5</v>
      </c>
      <c r="CE16" s="166">
        <f>'Railway (Battery)'!M190</f>
        <v>3.1022920563377787E-5</v>
      </c>
      <c r="CF16" s="166">
        <f>'Railway (Hydrogen)'!M190</f>
        <v>7.027546834028947E-5</v>
      </c>
      <c r="CG16" s="166">
        <f>'Railway (Diesel)'!M298</f>
        <v>1.1574882084341917E-3</v>
      </c>
      <c r="CH16" s="166">
        <f>'Railway (Catenary)'!M298</f>
        <v>2.9198042883179091E-5</v>
      </c>
      <c r="CI16" s="166">
        <f>'Railway (Battery)'!M298</f>
        <v>3.1022920563377787E-5</v>
      </c>
      <c r="CJ16" s="166">
        <f>'Railway (Hydrogen)'!M298</f>
        <v>7.027546834028947E-5</v>
      </c>
      <c r="CK16" s="166">
        <f>'Railway (Diesel)'!M407</f>
        <v>1.1574882084341917E-3</v>
      </c>
      <c r="CL16" s="166">
        <f>'Railway (Catenary)'!M407</f>
        <v>2.9198042883179091E-5</v>
      </c>
      <c r="CM16" s="166">
        <f>'Railway (Battery)'!M407</f>
        <v>3.1022920563377787E-5</v>
      </c>
      <c r="CN16" s="166">
        <f>'Railway (Hydrogen)'!M407</f>
        <v>7.027546834028947E-5</v>
      </c>
      <c r="CO16" s="166">
        <f>'Railway (Diesel)'!M512</f>
        <v>9.2599056674735338E-4</v>
      </c>
      <c r="CP16" s="166">
        <f>'Railway (Catenary)'!M512</f>
        <v>2.3358434306543273E-5</v>
      </c>
      <c r="CQ16" s="166">
        <f>'Railway (Battery)'!M512</f>
        <v>2.4818336450702231E-5</v>
      </c>
      <c r="CR16" s="166">
        <f>'Railway (Hydrogen)'!M512</f>
        <v>5.6220374672231575E-5</v>
      </c>
      <c r="CS16" s="166">
        <f>'Semi-trailer truck (Diesel)'!M84</f>
        <v>3.7182628349802355E-3</v>
      </c>
      <c r="CT16" s="166">
        <f>'Semi-trailer truck (Battery)'!M84</f>
        <v>1.2578292470326314E-4</v>
      </c>
      <c r="CU16" s="166">
        <f>'Semi-trailer truck (Hydrogen)'!M84</f>
        <v>3.2605614702792577E-4</v>
      </c>
      <c r="CV16" s="166">
        <f>'Semi-trailer truck (Diesel)'!M190</f>
        <v>3.7182628349802355E-3</v>
      </c>
      <c r="CW16" s="166">
        <f>'Semi-trailer truck (Battery)'!M190</f>
        <v>1.2578292470326314E-4</v>
      </c>
      <c r="CX16" s="166">
        <f>'Semi-trailer truck (Hydrogen)'!M190</f>
        <v>3.2605614702792577E-4</v>
      </c>
      <c r="CY16" s="166">
        <f>'Semi-trailer truck (Diesel)'!M298</f>
        <v>3.7182628349802355E-3</v>
      </c>
      <c r="CZ16" s="166">
        <f>'Semi-trailer truck (Battery)'!M298</f>
        <v>1.2578292470326314E-4</v>
      </c>
      <c r="DA16" s="166">
        <f>'Semi-trailer truck (Hydrogen)'!M298</f>
        <v>3.2605614702792577E-4</v>
      </c>
      <c r="DB16" s="166">
        <f>'Semi-trailer truck (Diesel)'!M407</f>
        <v>3.7182628349802355E-3</v>
      </c>
      <c r="DC16" s="166">
        <f>'Semi-trailer truck (Battery)'!M407</f>
        <v>1.2578292470326314E-4</v>
      </c>
      <c r="DD16" s="166">
        <f>'Semi-trailer truck (Hydrogen)'!M407</f>
        <v>3.2605614702792577E-4</v>
      </c>
      <c r="DE16" s="166">
        <f>'Semi-trailer truck (Diesel)'!M512</f>
        <v>3.718262834980236E-3</v>
      </c>
      <c r="DF16" s="166">
        <f>'Semi-trailer truck (Battery)'!M512</f>
        <v>1.2578292470326314E-4</v>
      </c>
      <c r="DG16" s="166">
        <f>'Semi-trailer truck (Hydrogen)'!M512</f>
        <v>3.2605614702792577E-4</v>
      </c>
      <c r="DH16" s="167">
        <f>'Short-sea (HFO)'!AC84</f>
        <v>6.1733034624737292E-3</v>
      </c>
      <c r="DI16" s="166">
        <f>'Short-sea (MGO)'!AC84</f>
        <v>5.8582618483787648E-3</v>
      </c>
      <c r="DJ16" s="166">
        <f>'Short-sea (Hydrogen)'!AC84</f>
        <v>4.1918473001819709E-6</v>
      </c>
      <c r="DK16" s="166">
        <f>'Short-sea (Ammonia)'!AC84</f>
        <v>4.2724597482624145E-6</v>
      </c>
      <c r="DL16" s="166">
        <f>'Short-sea (Methanol)'!AC84</f>
        <v>5.4232271560286516E-6</v>
      </c>
      <c r="DM16" s="164">
        <f>'Short-sea (HFO)'!AC190</f>
        <v>6.1733034624737292E-3</v>
      </c>
      <c r="DN16" s="166">
        <f>'Short-sea (MGO)'!AC190</f>
        <v>5.8582618483787648E-3</v>
      </c>
      <c r="DO16" s="166">
        <f>'Short-sea (Hydrogen)'!AC190</f>
        <v>4.1918473001819709E-6</v>
      </c>
      <c r="DP16" s="166">
        <f>'Short-sea (Ammonia)'!AC190</f>
        <v>4.2724597482624145E-6</v>
      </c>
      <c r="DQ16" s="166">
        <f>'Short-sea (Methanol)'!AC190</f>
        <v>5.4232271560286516E-6</v>
      </c>
      <c r="DR16" s="166">
        <f>'Short-sea (HFO)'!AC298</f>
        <v>6.1733034624737292E-3</v>
      </c>
      <c r="DS16" s="166">
        <f>'Short-sea (MGO)'!AC298</f>
        <v>5.8582618483787648E-3</v>
      </c>
      <c r="DT16" s="166">
        <f>'Short-sea (Hydrogen)'!AC298</f>
        <v>4.1918473001819709E-6</v>
      </c>
      <c r="DU16" s="166">
        <f>'Short-sea (Ammonia)'!AC298</f>
        <v>4.2724597482624145E-6</v>
      </c>
      <c r="DV16" s="166">
        <f>'Short-sea (Methanol)'!AC298</f>
        <v>5.4232271560286516E-6</v>
      </c>
      <c r="DW16" s="166">
        <f>'Short-sea (HFO)'!AC407</f>
        <v>6.1733034624737292E-3</v>
      </c>
      <c r="DX16" s="166">
        <f>'Short-sea (MGO)'!AC407</f>
        <v>5.8582618483787648E-3</v>
      </c>
      <c r="DY16" s="166">
        <f>'Short-sea (Hydrogen)'!AC407</f>
        <v>4.1918473001819709E-6</v>
      </c>
      <c r="DZ16" s="166">
        <f>'Short-sea (Ammonia)'!AC407</f>
        <v>4.2724597482624145E-6</v>
      </c>
      <c r="EA16" s="166">
        <f>'Short-sea (Methanol)'!AC407</f>
        <v>5.4232271560286516E-6</v>
      </c>
      <c r="EB16" s="166">
        <f>'Railway (Diesel)'!AC84</f>
        <v>3.1613789149904556E-3</v>
      </c>
      <c r="EC16" s="166">
        <f>'Railway (Catenary)'!AC84</f>
        <v>5.295535265214743E-7</v>
      </c>
      <c r="ED16" s="166">
        <f>'Railway (Battery)'!AC84</f>
        <v>5.6265062192906486E-7</v>
      </c>
      <c r="EE16" s="166">
        <f>'Railway (Hydrogen)'!AC84</f>
        <v>1.2745587858899847E-6</v>
      </c>
      <c r="EF16" s="166">
        <f>'Railway (Diesel)'!AC190</f>
        <v>3.1613789149904556E-3</v>
      </c>
      <c r="EG16" s="166">
        <f>'Railway (Catenary)'!AC190</f>
        <v>5.295535265214743E-7</v>
      </c>
      <c r="EH16" s="166">
        <f>'Railway (Battery)'!AC190</f>
        <v>5.6265062192906486E-7</v>
      </c>
      <c r="EI16" s="166">
        <f>'Railway (Hydrogen)'!AC190</f>
        <v>1.2745587858899847E-6</v>
      </c>
      <c r="EJ16" s="166">
        <f>'Railway (Diesel)'!AC298</f>
        <v>3.1613789149904556E-3</v>
      </c>
      <c r="EK16" s="166">
        <f>'Railway (Catenary)'!AC298</f>
        <v>5.295535265214743E-7</v>
      </c>
      <c r="EL16" s="166">
        <f>'Railway (Battery)'!AC298</f>
        <v>5.6265062192906486E-7</v>
      </c>
      <c r="EM16" s="166">
        <f>'Railway (Hydrogen)'!AC298</f>
        <v>1.2745587858899847E-6</v>
      </c>
      <c r="EN16" s="166">
        <f>'Railway (Diesel)'!AC407</f>
        <v>3.1613789149904556E-3</v>
      </c>
      <c r="EO16" s="166">
        <f>'Railway (Catenary)'!AC407</f>
        <v>5.295535265214743E-7</v>
      </c>
      <c r="EP16" s="166">
        <f>'Railway (Battery)'!AC407</f>
        <v>5.6265062192906486E-7</v>
      </c>
      <c r="EQ16" s="166">
        <f>'Railway (Hydrogen)'!AC407</f>
        <v>1.2745587858899847E-6</v>
      </c>
      <c r="ER16" s="166">
        <f>'Railway (Diesel)'!AC512</f>
        <v>2.5291031319923645E-3</v>
      </c>
      <c r="ES16" s="166">
        <f>'Railway (Catenary)'!AC512</f>
        <v>4.2364282121717942E-7</v>
      </c>
      <c r="ET16" s="166">
        <f>'Railway (Battery)'!AC512</f>
        <v>4.501204975432519E-7</v>
      </c>
      <c r="EU16" s="166">
        <f>'Railway (Hydrogen)'!AC512</f>
        <v>1.0196470287119876E-6</v>
      </c>
      <c r="EV16" s="166">
        <f>'Semi-trailer truck (Diesel)'!AC84</f>
        <v>8.8630828876566804E-3</v>
      </c>
      <c r="EW16" s="166">
        <f>'Semi-trailer truck (Battery)'!AC84</f>
        <v>2.2812758930212777E-6</v>
      </c>
      <c r="EX16" s="166">
        <f>'Semi-trailer truck (Hydrogen)'!AC84</f>
        <v>5.9135532882621105E-6</v>
      </c>
      <c r="EY16" s="166">
        <f>'Semi-trailer truck (Diesel)'!AC190</f>
        <v>8.8630828876566804E-3</v>
      </c>
      <c r="EZ16" s="166">
        <f>'Semi-trailer truck (Battery)'!AC190</f>
        <v>2.2812758930212777E-6</v>
      </c>
      <c r="FA16" s="166">
        <f>'Semi-trailer truck (Hydrogen)'!AC190</f>
        <v>5.9135532882621105E-6</v>
      </c>
      <c r="FB16" s="166">
        <f>'Semi-trailer truck (Diesel)'!AC298</f>
        <v>8.8630828876566786E-3</v>
      </c>
      <c r="FC16" s="166">
        <f>'Semi-trailer truck (Battery)'!AC298</f>
        <v>2.2812758930212777E-6</v>
      </c>
      <c r="FD16" s="166">
        <f>'Semi-trailer truck (Hydrogen)'!AC298</f>
        <v>5.9135532882621105E-6</v>
      </c>
      <c r="FE16" s="166">
        <f>'Semi-trailer truck (Diesel)'!AC407</f>
        <v>8.8630828876566786E-3</v>
      </c>
      <c r="FF16" s="166">
        <f>'Semi-trailer truck (Battery)'!AC407</f>
        <v>2.2812758930212777E-6</v>
      </c>
      <c r="FG16" s="166">
        <f>'Semi-trailer truck (Hydrogen)'!AC407</f>
        <v>5.9135532882621105E-6</v>
      </c>
      <c r="FH16" s="166">
        <f>'Semi-trailer truck (Diesel)'!AC512</f>
        <v>8.8630828876566786E-3</v>
      </c>
      <c r="FI16" s="166">
        <f>'Semi-trailer truck (Battery)'!AC512</f>
        <v>2.2812758930212777E-6</v>
      </c>
      <c r="FJ16" s="166">
        <f>'Semi-trailer truck (Hydrogen)'!AC512</f>
        <v>5.9135532882621105E-6</v>
      </c>
      <c r="FK16" s="166"/>
      <c r="FL16" s="166"/>
      <c r="FM16" s="166"/>
      <c r="FN16" s="166"/>
      <c r="FP16" s="166"/>
      <c r="FQ16" s="166"/>
      <c r="FR16" s="166"/>
    </row>
    <row r="17" spans="1:166" x14ac:dyDescent="0.25">
      <c r="A17" s="168" t="s">
        <v>392</v>
      </c>
      <c r="B17" s="169">
        <f>SUM(B6:B16)</f>
        <v>9.8027731057717341E-3</v>
      </c>
      <c r="C17" s="169">
        <f t="shared" ref="C17:BN17" si="0">SUM(C6:C16)</f>
        <v>1.2536826875262043E-2</v>
      </c>
      <c r="D17" s="169">
        <f t="shared" si="0"/>
        <v>3.0810093230027879E-2</v>
      </c>
      <c r="E17" s="169">
        <f t="shared" si="0"/>
        <v>2.902835818114894E-2</v>
      </c>
      <c r="F17" s="169">
        <f t="shared" si="0"/>
        <v>5.256198907442549E-2</v>
      </c>
      <c r="G17" s="169">
        <f t="shared" si="0"/>
        <v>1.2258901301375238E-2</v>
      </c>
      <c r="H17" s="169">
        <f t="shared" si="0"/>
        <v>1.5501616237282348E-2</v>
      </c>
      <c r="I17" s="169">
        <f t="shared" si="0"/>
        <v>3.6815507844405446E-2</v>
      </c>
      <c r="J17" s="169">
        <f t="shared" si="0"/>
        <v>3.4793907727129626E-2</v>
      </c>
      <c r="K17" s="169">
        <f t="shared" si="0"/>
        <v>6.2720175930539093E-2</v>
      </c>
      <c r="L17" s="169">
        <f t="shared" si="0"/>
        <v>1.2816541364345116E-2</v>
      </c>
      <c r="M17" s="169">
        <f t="shared" si="0"/>
        <v>1.639184244752475E-2</v>
      </c>
      <c r="N17" s="169">
        <f t="shared" si="0"/>
        <v>3.9621316206197396E-2</v>
      </c>
      <c r="O17" s="169">
        <f t="shared" si="0"/>
        <v>3.7458635463234573E-2</v>
      </c>
      <c r="P17" s="169">
        <f t="shared" si="0"/>
        <v>6.8286569531415708E-2</v>
      </c>
      <c r="Q17" s="169">
        <f t="shared" si="0"/>
        <v>9.7976383140681526E-3</v>
      </c>
      <c r="R17" s="169">
        <f t="shared" si="0"/>
        <v>1.2531692083558459E-2</v>
      </c>
      <c r="S17" s="169">
        <f t="shared" si="0"/>
        <v>3.0804570665622654E-2</v>
      </c>
      <c r="T17" s="169">
        <f t="shared" si="0"/>
        <v>2.902291985757945E-2</v>
      </c>
      <c r="U17" s="169">
        <f t="shared" si="0"/>
        <v>5.2556708796956973E-2</v>
      </c>
      <c r="V17" s="169">
        <f t="shared" si="0"/>
        <v>1.8360865731558488E-2</v>
      </c>
      <c r="W17" s="169">
        <f t="shared" si="0"/>
        <v>1.3425445445853938E-2</v>
      </c>
      <c r="X17" s="169">
        <f t="shared" si="0"/>
        <v>1.8319967731408395E-2</v>
      </c>
      <c r="Y17" s="169">
        <f t="shared" si="0"/>
        <v>2.4077933552663213E-2</v>
      </c>
      <c r="Z17" s="169">
        <f t="shared" si="0"/>
        <v>2.7711075574809615E-2</v>
      </c>
      <c r="AA17" s="169">
        <f t="shared" si="0"/>
        <v>2.0307945146252789E-2</v>
      </c>
      <c r="AB17" s="169">
        <f t="shared" si="0"/>
        <v>2.744063606332638E-2</v>
      </c>
      <c r="AC17" s="169">
        <f t="shared" si="0"/>
        <v>3.6148978398956422E-2</v>
      </c>
      <c r="AD17" s="169">
        <f t="shared" si="0"/>
        <v>2.6451341154744356E-2</v>
      </c>
      <c r="AE17" s="169">
        <f t="shared" si="0"/>
        <v>1.904821072618753E-2</v>
      </c>
      <c r="AF17" s="169">
        <f t="shared" si="0"/>
        <v>2.6160332527494345E-2</v>
      </c>
      <c r="AG17" s="169">
        <f t="shared" si="0"/>
        <v>3.4879076830223489E-2</v>
      </c>
      <c r="AH17" s="169">
        <f t="shared" si="0"/>
        <v>2.2217430274894662E-2</v>
      </c>
      <c r="AI17" s="169">
        <f t="shared" si="0"/>
        <v>1.7830390020935068E-2</v>
      </c>
      <c r="AJ17" s="169">
        <f t="shared" si="0"/>
        <v>2.2384481947338539E-2</v>
      </c>
      <c r="AK17" s="169">
        <f t="shared" si="0"/>
        <v>2.7407442497810533E-2</v>
      </c>
      <c r="AL17" s="169">
        <f t="shared" si="0"/>
        <v>2.7291893879419288E-2</v>
      </c>
      <c r="AM17" s="169">
        <f t="shared" si="0"/>
        <v>1.9888763450862466E-2</v>
      </c>
      <c r="AN17" s="169">
        <f t="shared" si="0"/>
        <v>2.6861569584288928E-2</v>
      </c>
      <c r="AO17" s="169">
        <f t="shared" si="0"/>
        <v>3.5626365244930909E-2</v>
      </c>
      <c r="AP17" s="169">
        <f t="shared" si="0"/>
        <v>0.17432142531422026</v>
      </c>
      <c r="AQ17" s="169">
        <f t="shared" si="0"/>
        <v>0.22106743170492713</v>
      </c>
      <c r="AR17" s="169">
        <f t="shared" si="0"/>
        <v>0.25980204112182903</v>
      </c>
      <c r="AS17" s="169">
        <f t="shared" si="0"/>
        <v>9.2483578780588382E-2</v>
      </c>
      <c r="AT17" s="169">
        <f t="shared" si="0"/>
        <v>0.10945358734318615</v>
      </c>
      <c r="AU17" s="169">
        <f t="shared" si="0"/>
        <v>0.13975407510140722</v>
      </c>
      <c r="AV17" s="169">
        <f t="shared" si="0"/>
        <v>9.729803398974507E-2</v>
      </c>
      <c r="AW17" s="169">
        <f t="shared" si="0"/>
        <v>0.11574481056879866</v>
      </c>
      <c r="AX17" s="169">
        <f t="shared" si="0"/>
        <v>0.14773805189213415</v>
      </c>
      <c r="AY17" s="169">
        <f t="shared" si="0"/>
        <v>0.12128184701886342</v>
      </c>
      <c r="AZ17" s="169">
        <f t="shared" si="0"/>
        <v>0.1494301224340594</v>
      </c>
      <c r="BA17" s="169">
        <f t="shared" si="0"/>
        <v>0.18250100408731876</v>
      </c>
      <c r="BB17" s="169">
        <f t="shared" si="0"/>
        <v>0.10247019495142487</v>
      </c>
      <c r="BC17" s="169">
        <f t="shared" si="0"/>
        <v>0.12671830500569514</v>
      </c>
      <c r="BD17" s="169">
        <f t="shared" si="0"/>
        <v>0.15774090818787748</v>
      </c>
      <c r="BE17" s="169">
        <f t="shared" si="0"/>
        <v>1.045031702053442E-2</v>
      </c>
      <c r="BF17" s="169">
        <f t="shared" si="0"/>
        <v>1.3128655140408532E-2</v>
      </c>
      <c r="BG17" s="169">
        <f t="shared" si="0"/>
        <v>2.4276447531910151E-2</v>
      </c>
      <c r="BH17" s="169">
        <f t="shared" si="0"/>
        <v>2.5394305808418977E-2</v>
      </c>
      <c r="BI17" s="169">
        <f t="shared" si="0"/>
        <v>4.8674626273940889E-2</v>
      </c>
      <c r="BJ17" s="169">
        <f t="shared" si="0"/>
        <v>1.30269185026054E-2</v>
      </c>
      <c r="BK17" s="169">
        <f t="shared" si="0"/>
        <v>1.6203552086642141E-2</v>
      </c>
      <c r="BL17" s="169">
        <f t="shared" si="0"/>
        <v>2.9157488262562616E-2</v>
      </c>
      <c r="BM17" s="169">
        <f t="shared" si="0"/>
        <v>3.0524539385806074E-2</v>
      </c>
      <c r="BN17" s="169">
        <f t="shared" si="0"/>
        <v>5.8129509770123607E-2</v>
      </c>
      <c r="BO17" s="169">
        <f t="shared" ref="BO17:DZ17" si="1">SUM(BO6:BO16)</f>
        <v>1.3663329560573244E-2</v>
      </c>
      <c r="BP17" s="169">
        <f t="shared" si="1"/>
        <v>1.7165771717331697E-2</v>
      </c>
      <c r="BQ17" s="169">
        <f t="shared" si="1"/>
        <v>3.1229809235388841E-2</v>
      </c>
      <c r="BR17" s="169">
        <f t="shared" si="1"/>
        <v>3.2774673158946381E-2</v>
      </c>
      <c r="BS17" s="169">
        <f t="shared" si="1"/>
        <v>6.3236051174122357E-2</v>
      </c>
      <c r="BT17" s="169">
        <f t="shared" si="1"/>
        <v>1.0445182228830839E-2</v>
      </c>
      <c r="BU17" s="169">
        <f t="shared" si="1"/>
        <v>1.312352034870495E-2</v>
      </c>
      <c r="BV17" s="169">
        <f t="shared" si="1"/>
        <v>2.427093395158746E-2</v>
      </c>
      <c r="BW17" s="169">
        <f t="shared" si="1"/>
        <v>2.5388871789013941E-2</v>
      </c>
      <c r="BX17" s="169">
        <f t="shared" si="1"/>
        <v>4.8669345996472373E-2</v>
      </c>
      <c r="BY17" s="169">
        <f t="shared" si="1"/>
        <v>1.878460195012872E-2</v>
      </c>
      <c r="BZ17" s="169">
        <f t="shared" si="1"/>
        <v>1.2986311373201933E-2</v>
      </c>
      <c r="CA17" s="169">
        <f t="shared" si="1"/>
        <v>1.630443136417466E-2</v>
      </c>
      <c r="CB17" s="169">
        <f t="shared" si="1"/>
        <v>1.9193421283154901E-2</v>
      </c>
      <c r="CC17" s="169">
        <f t="shared" si="1"/>
        <v>2.8346679902664967E-2</v>
      </c>
      <c r="CD17" s="169">
        <f t="shared" si="1"/>
        <v>1.9649244037274784E-2</v>
      </c>
      <c r="CE17" s="169">
        <f t="shared" si="1"/>
        <v>2.4480812016437991E-2</v>
      </c>
      <c r="CF17" s="169">
        <f t="shared" si="1"/>
        <v>2.8850302085388465E-2</v>
      </c>
      <c r="CG17" s="169">
        <f t="shared" si="1"/>
        <v>2.7086945482599704E-2</v>
      </c>
      <c r="CH17" s="169">
        <f t="shared" si="1"/>
        <v>1.8389509617209521E-2</v>
      </c>
      <c r="CI17" s="169">
        <f t="shared" si="1"/>
        <v>2.3205050284614743E-2</v>
      </c>
      <c r="CJ17" s="169">
        <f t="shared" si="1"/>
        <v>2.7580400516655525E-2</v>
      </c>
      <c r="CK17" s="169">
        <f t="shared" si="1"/>
        <v>2.2594084691401537E-2</v>
      </c>
      <c r="CL17" s="169">
        <f t="shared" si="1"/>
        <v>1.7440048623022172E-2</v>
      </c>
      <c r="CM17" s="169">
        <f t="shared" si="1"/>
        <v>2.0544133742843699E-2</v>
      </c>
      <c r="CN17" s="169">
        <f t="shared" si="1"/>
        <v>2.3059411126982135E-2</v>
      </c>
      <c r="CO17" s="169">
        <f t="shared" si="1"/>
        <v>2.7927498207274644E-2</v>
      </c>
      <c r="CP17" s="169">
        <f t="shared" si="1"/>
        <v>1.9230062341884457E-2</v>
      </c>
      <c r="CQ17" s="169">
        <f t="shared" si="1"/>
        <v>2.394997411206903E-2</v>
      </c>
      <c r="CR17" s="169">
        <f t="shared" si="1"/>
        <v>2.8348045518822744E-2</v>
      </c>
      <c r="CS17" s="169">
        <f t="shared" si="1"/>
        <v>0.17558705100643024</v>
      </c>
      <c r="CT17" s="169">
        <f t="shared" si="1"/>
        <v>0.17627926299689411</v>
      </c>
      <c r="CU17" s="169">
        <f t="shared" si="1"/>
        <v>0.20111812973022083</v>
      </c>
      <c r="CV17" s="169">
        <f t="shared" si="1"/>
        <v>9.2849592488363095E-2</v>
      </c>
      <c r="CW17" s="169">
        <f t="shared" si="1"/>
        <v>8.7359178326391104E-2</v>
      </c>
      <c r="CX17" s="169">
        <f t="shared" si="1"/>
        <v>0.10560935594682873</v>
      </c>
      <c r="CY17" s="169">
        <f t="shared" si="1"/>
        <v>9.771680152446198E-2</v>
      </c>
      <c r="CZ17" s="169">
        <f t="shared" si="1"/>
        <v>9.198070487243501E-2</v>
      </c>
      <c r="DA17" s="169">
        <f t="shared" si="1"/>
        <v>0.11134942784596601</v>
      </c>
      <c r="DB17" s="169">
        <f t="shared" si="1"/>
        <v>0.12198116675049578</v>
      </c>
      <c r="DC17" s="169">
        <f t="shared" si="1"/>
        <v>0.11897077716953737</v>
      </c>
      <c r="DD17" s="169">
        <f t="shared" si="1"/>
        <v>0.13945522266947516</v>
      </c>
      <c r="DE17" s="169">
        <f t="shared" si="1"/>
        <v>0.10265632358212673</v>
      </c>
      <c r="DF17" s="169">
        <f t="shared" si="1"/>
        <v>0.10072291268986294</v>
      </c>
      <c r="DG17" s="169">
        <f t="shared" si="1"/>
        <v>0.11970355148787055</v>
      </c>
      <c r="DH17" s="169">
        <f t="shared" si="1"/>
        <v>1.5887738607902789E-2</v>
      </c>
      <c r="DI17" s="169">
        <f t="shared" si="1"/>
        <v>1.809823281932417E-2</v>
      </c>
      <c r="DJ17" s="169">
        <f t="shared" si="1"/>
        <v>1.3697339192702274E-2</v>
      </c>
      <c r="DK17" s="169">
        <f t="shared" si="1"/>
        <v>1.3884215565991918E-2</v>
      </c>
      <c r="DL17" s="169">
        <f t="shared" si="1"/>
        <v>1.8095171411782698E-2</v>
      </c>
      <c r="DM17" s="169">
        <f t="shared" si="1"/>
        <v>1.9475953408553938E-2</v>
      </c>
      <c r="DN17" s="169">
        <f t="shared" si="1"/>
        <v>2.2097702356983946E-2</v>
      </c>
      <c r="DO17" s="169">
        <f t="shared" si="1"/>
        <v>1.6769330398974394E-2</v>
      </c>
      <c r="DP17" s="169">
        <f t="shared" si="1"/>
        <v>1.700311858405153E-2</v>
      </c>
      <c r="DQ17" s="169">
        <f t="shared" si="1"/>
        <v>2.2017606702531806E-2</v>
      </c>
      <c r="DR17" s="169">
        <f t="shared" si="1"/>
        <v>2.077380394405496E-2</v>
      </c>
      <c r="DS17" s="169">
        <f t="shared" si="1"/>
        <v>2.3664450220529071E-2</v>
      </c>
      <c r="DT17" s="169">
        <f t="shared" si="1"/>
        <v>1.7672618345426837E-2</v>
      </c>
      <c r="DU17" s="169">
        <f t="shared" si="1"/>
        <v>1.7944839325241123E-2</v>
      </c>
      <c r="DV17" s="169">
        <f t="shared" si="1"/>
        <v>2.3506778126054714E-2</v>
      </c>
      <c r="DW17" s="169">
        <f t="shared" si="1"/>
        <v>1.5882603816199208E-2</v>
      </c>
      <c r="DX17" s="169">
        <f t="shared" si="1"/>
        <v>1.8093098027620588E-2</v>
      </c>
      <c r="DY17" s="169">
        <f t="shared" si="1"/>
        <v>1.3691899441277723E-2</v>
      </c>
      <c r="DZ17" s="169">
        <f t="shared" si="1"/>
        <v>1.3878817307084377E-2</v>
      </c>
      <c r="EA17" s="169">
        <f t="shared" ref="EA17:FJ17" si="2">SUM(EA6:EA16)</f>
        <v>1.8089891134314182E-2</v>
      </c>
      <c r="EB17" s="169">
        <f t="shared" si="2"/>
        <v>2.1982231623871498E-2</v>
      </c>
      <c r="EC17" s="169">
        <f t="shared" si="2"/>
        <v>1.2373835507405413E-2</v>
      </c>
      <c r="ED17" s="169">
        <f t="shared" si="2"/>
        <v>1.36575018337667E-2</v>
      </c>
      <c r="EE17" s="169">
        <f t="shared" si="2"/>
        <v>1.3131869146125583E-2</v>
      </c>
      <c r="EF17" s="169">
        <f t="shared" si="2"/>
        <v>3.3143124413279129E-2</v>
      </c>
      <c r="EG17" s="169">
        <f t="shared" si="2"/>
        <v>1.8730530238579998E-2</v>
      </c>
      <c r="EH17" s="169">
        <f t="shared" si="2"/>
        <v>2.0578087238273764E-2</v>
      </c>
      <c r="EI17" s="169">
        <f t="shared" si="2"/>
        <v>1.979283543059664E-2</v>
      </c>
      <c r="EJ17" s="169">
        <f t="shared" si="2"/>
        <v>3.188338999321387E-2</v>
      </c>
      <c r="EK17" s="169">
        <f t="shared" si="2"/>
        <v>1.7470795818514739E-2</v>
      </c>
      <c r="EL17" s="169">
        <f t="shared" si="2"/>
        <v>1.9308162628809186E-2</v>
      </c>
      <c r="EM17" s="169">
        <f t="shared" si="2"/>
        <v>1.8522933861863697E-2</v>
      </c>
      <c r="EN17" s="169">
        <f t="shared" si="2"/>
        <v>2.5436422179172895E-2</v>
      </c>
      <c r="EO17" s="169">
        <f t="shared" si="2"/>
        <v>1.6895625631203039E-2</v>
      </c>
      <c r="EP17" s="169">
        <f t="shared" si="2"/>
        <v>1.8131733120181098E-2</v>
      </c>
      <c r="EQ17" s="169">
        <f t="shared" si="2"/>
        <v>1.7663617771677825E-2</v>
      </c>
      <c r="ER17" s="169">
        <f t="shared" si="2"/>
        <v>3.272394271788881E-2</v>
      </c>
      <c r="ES17" s="169">
        <f t="shared" si="2"/>
        <v>1.8311348543189675E-2</v>
      </c>
      <c r="ET17" s="169">
        <f t="shared" si="2"/>
        <v>2.009876674914381E-2</v>
      </c>
      <c r="EU17" s="169">
        <f t="shared" si="2"/>
        <v>1.9315840857329569E-2</v>
      </c>
      <c r="EV17" s="169">
        <f t="shared" si="2"/>
        <v>0.18499868818419896</v>
      </c>
      <c r="EW17" s="169">
        <f t="shared" si="2"/>
        <v>0.15970608243330964</v>
      </c>
      <c r="EX17" s="169">
        <f t="shared" si="2"/>
        <v>0.16933568679708047</v>
      </c>
      <c r="EY17" s="169">
        <f t="shared" si="2"/>
        <v>0.10011454810323749</v>
      </c>
      <c r="EZ17" s="169">
        <f t="shared" si="2"/>
        <v>7.8352448159788146E-2</v>
      </c>
      <c r="FA17" s="169">
        <f t="shared" si="2"/>
        <v>8.5255520725185358E-2</v>
      </c>
      <c r="FB17" s="169">
        <f t="shared" si="2"/>
        <v>0.10534583480784264</v>
      </c>
      <c r="FC17" s="169">
        <f t="shared" si="2"/>
        <v>8.2434277616860396E-2</v>
      </c>
      <c r="FD17" s="169">
        <f t="shared" si="2"/>
        <v>8.9822342279627529E-2</v>
      </c>
      <c r="FE17" s="169">
        <f t="shared" si="2"/>
        <v>0.12997733797807764</v>
      </c>
      <c r="FF17" s="169">
        <f t="shared" si="2"/>
        <v>0.10717134855549974</v>
      </c>
      <c r="FG17" s="169">
        <f t="shared" si="2"/>
        <v>0.11499184516318911</v>
      </c>
      <c r="FH17" s="169">
        <f t="shared" si="2"/>
        <v>0.10724292389863135</v>
      </c>
      <c r="FI17" s="169">
        <f t="shared" si="2"/>
        <v>9.0442606989026342E-2</v>
      </c>
      <c r="FJ17" s="169">
        <f t="shared" si="2"/>
        <v>9.7652353398197764E-2</v>
      </c>
    </row>
    <row r="18" spans="1:166" x14ac:dyDescent="0.25">
      <c r="A18" s="164" t="s">
        <v>335</v>
      </c>
    </row>
    <row r="19" spans="1:166" x14ac:dyDescent="0.25">
      <c r="A19" s="164" t="s">
        <v>336</v>
      </c>
      <c r="AF19" s="202"/>
      <c r="AG19" s="202"/>
      <c r="AH19" s="202"/>
      <c r="AI19" s="202"/>
      <c r="AJ19" s="202"/>
      <c r="AK19" s="202"/>
      <c r="AL19" s="202"/>
      <c r="AM19" s="202"/>
      <c r="AN19" s="202"/>
    </row>
    <row r="22" spans="1:166" x14ac:dyDescent="0.25">
      <c r="A22" s="171" t="s">
        <v>408</v>
      </c>
    </row>
    <row r="49" spans="2:13" x14ac:dyDescent="0.25">
      <c r="B49" s="202"/>
      <c r="C49" s="202"/>
      <c r="D49" s="202"/>
      <c r="E49" s="202"/>
      <c r="F49" s="202"/>
      <c r="G49" s="202"/>
      <c r="H49" s="202"/>
      <c r="I49" s="202"/>
      <c r="J49" s="202"/>
      <c r="K49" s="202"/>
      <c r="L49" s="202"/>
      <c r="M49" s="165"/>
    </row>
    <row r="200" spans="1:166" x14ac:dyDescent="0.25">
      <c r="A200" s="171" t="s">
        <v>409</v>
      </c>
    </row>
    <row r="202" spans="1:166" x14ac:dyDescent="0.25">
      <c r="B202" s="164">
        <v>2023</v>
      </c>
      <c r="BE202" s="164">
        <v>2034</v>
      </c>
      <c r="DH202" s="164">
        <v>2050</v>
      </c>
    </row>
    <row r="203" spans="1:166" x14ac:dyDescent="0.25">
      <c r="B203" s="164" t="s">
        <v>388</v>
      </c>
      <c r="C203" s="164" t="s">
        <v>384</v>
      </c>
      <c r="D203" s="164" t="s">
        <v>337</v>
      </c>
      <c r="E203" s="164" t="s">
        <v>338</v>
      </c>
      <c r="F203" s="164" t="s">
        <v>339</v>
      </c>
      <c r="G203" s="164" t="s">
        <v>389</v>
      </c>
      <c r="H203" s="164" t="s">
        <v>385</v>
      </c>
      <c r="I203" s="164" t="s">
        <v>340</v>
      </c>
      <c r="J203" s="164" t="s">
        <v>341</v>
      </c>
      <c r="K203" s="164" t="s">
        <v>342</v>
      </c>
      <c r="L203" s="164" t="s">
        <v>390</v>
      </c>
      <c r="M203" s="164" t="s">
        <v>386</v>
      </c>
      <c r="N203" s="164" t="s">
        <v>343</v>
      </c>
      <c r="O203" s="164" t="s">
        <v>344</v>
      </c>
      <c r="P203" s="164" t="s">
        <v>345</v>
      </c>
      <c r="Q203" s="164" t="s">
        <v>391</v>
      </c>
      <c r="R203" s="164" t="s">
        <v>387</v>
      </c>
      <c r="S203" s="164" t="s">
        <v>346</v>
      </c>
      <c r="T203" s="164" t="s">
        <v>347</v>
      </c>
      <c r="U203" s="164" t="s">
        <v>348</v>
      </c>
      <c r="V203" s="164" t="s">
        <v>349</v>
      </c>
      <c r="W203" s="164" t="s">
        <v>350</v>
      </c>
      <c r="X203" s="164" t="s">
        <v>351</v>
      </c>
      <c r="Y203" s="164" t="s">
        <v>352</v>
      </c>
      <c r="Z203" s="164" t="s">
        <v>353</v>
      </c>
      <c r="AA203" s="164" t="s">
        <v>354</v>
      </c>
      <c r="AB203" s="164" t="s">
        <v>355</v>
      </c>
      <c r="AC203" s="164" t="s">
        <v>356</v>
      </c>
      <c r="AD203" s="164" t="s">
        <v>357</v>
      </c>
      <c r="AE203" s="164" t="s">
        <v>358</v>
      </c>
      <c r="AF203" s="164" t="s">
        <v>359</v>
      </c>
      <c r="AG203" s="164" t="s">
        <v>360</v>
      </c>
      <c r="AH203" s="164" t="s">
        <v>361</v>
      </c>
      <c r="AI203" s="164" t="s">
        <v>362</v>
      </c>
      <c r="AJ203" s="164" t="s">
        <v>363</v>
      </c>
      <c r="AK203" s="164" t="s">
        <v>364</v>
      </c>
      <c r="AL203" s="164" t="s">
        <v>365</v>
      </c>
      <c r="AM203" s="164" t="s">
        <v>366</v>
      </c>
      <c r="AN203" s="164" t="s">
        <v>367</v>
      </c>
      <c r="AO203" s="164" t="s">
        <v>368</v>
      </c>
      <c r="AP203" s="164" t="s">
        <v>369</v>
      </c>
      <c r="AQ203" s="164" t="s">
        <v>370</v>
      </c>
      <c r="AR203" s="164" t="s">
        <v>371</v>
      </c>
      <c r="AS203" s="164" t="s">
        <v>372</v>
      </c>
      <c r="AT203" s="164" t="s">
        <v>373</v>
      </c>
      <c r="AU203" s="164" t="s">
        <v>374</v>
      </c>
      <c r="AV203" s="164" t="s">
        <v>375</v>
      </c>
      <c r="AW203" s="164" t="s">
        <v>376</v>
      </c>
      <c r="AX203" s="164" t="s">
        <v>377</v>
      </c>
      <c r="AY203" s="164" t="s">
        <v>378</v>
      </c>
      <c r="AZ203" s="164" t="s">
        <v>379</v>
      </c>
      <c r="BA203" s="164" t="s">
        <v>380</v>
      </c>
      <c r="BB203" s="164" t="s">
        <v>381</v>
      </c>
      <c r="BC203" s="164" t="s">
        <v>382</v>
      </c>
      <c r="BD203" s="164" t="s">
        <v>383</v>
      </c>
      <c r="BE203" s="164" t="s">
        <v>388</v>
      </c>
      <c r="BF203" s="164" t="s">
        <v>384</v>
      </c>
      <c r="BG203" s="164" t="s">
        <v>337</v>
      </c>
      <c r="BH203" s="164" t="s">
        <v>338</v>
      </c>
      <c r="BI203" s="164" t="s">
        <v>339</v>
      </c>
      <c r="BJ203" s="164" t="s">
        <v>389</v>
      </c>
      <c r="BK203" s="164" t="s">
        <v>385</v>
      </c>
      <c r="BL203" s="164" t="s">
        <v>340</v>
      </c>
      <c r="BM203" s="164" t="s">
        <v>341</v>
      </c>
      <c r="BN203" s="164" t="s">
        <v>342</v>
      </c>
      <c r="BO203" s="164" t="s">
        <v>390</v>
      </c>
      <c r="BP203" s="164" t="s">
        <v>386</v>
      </c>
      <c r="BQ203" s="164" t="s">
        <v>343</v>
      </c>
      <c r="BR203" s="164" t="s">
        <v>344</v>
      </c>
      <c r="BS203" s="164" t="s">
        <v>345</v>
      </c>
      <c r="BT203" s="164" t="s">
        <v>391</v>
      </c>
      <c r="BU203" s="164" t="s">
        <v>387</v>
      </c>
      <c r="BV203" s="164" t="s">
        <v>346</v>
      </c>
      <c r="BW203" s="164" t="s">
        <v>347</v>
      </c>
      <c r="BX203" s="164" t="s">
        <v>348</v>
      </c>
      <c r="BY203" s="164" t="s">
        <v>349</v>
      </c>
      <c r="BZ203" s="164" t="s">
        <v>350</v>
      </c>
      <c r="CA203" s="164" t="s">
        <v>351</v>
      </c>
      <c r="CB203" s="164" t="s">
        <v>352</v>
      </c>
      <c r="CC203" s="164" t="s">
        <v>353</v>
      </c>
      <c r="CD203" s="164" t="s">
        <v>354</v>
      </c>
      <c r="CE203" s="164" t="s">
        <v>355</v>
      </c>
      <c r="CF203" s="164" t="s">
        <v>356</v>
      </c>
      <c r="CG203" s="164" t="s">
        <v>357</v>
      </c>
      <c r="CH203" s="164" t="s">
        <v>358</v>
      </c>
      <c r="CI203" s="164" t="s">
        <v>359</v>
      </c>
      <c r="CJ203" s="164" t="s">
        <v>360</v>
      </c>
      <c r="CK203" s="164" t="s">
        <v>361</v>
      </c>
      <c r="CL203" s="164" t="s">
        <v>362</v>
      </c>
      <c r="CM203" s="164" t="s">
        <v>363</v>
      </c>
      <c r="CN203" s="164" t="s">
        <v>364</v>
      </c>
      <c r="CO203" s="164" t="s">
        <v>365</v>
      </c>
      <c r="CP203" s="164" t="s">
        <v>366</v>
      </c>
      <c r="CQ203" s="164" t="s">
        <v>367</v>
      </c>
      <c r="CR203" s="164" t="s">
        <v>368</v>
      </c>
      <c r="CS203" s="164" t="s">
        <v>369</v>
      </c>
      <c r="CT203" s="164" t="s">
        <v>370</v>
      </c>
      <c r="CU203" s="164" t="s">
        <v>371</v>
      </c>
      <c r="CV203" s="164" t="s">
        <v>372</v>
      </c>
      <c r="CW203" s="164" t="s">
        <v>373</v>
      </c>
      <c r="CX203" s="164" t="s">
        <v>374</v>
      </c>
      <c r="CY203" s="164" t="s">
        <v>375</v>
      </c>
      <c r="CZ203" s="164" t="s">
        <v>376</v>
      </c>
      <c r="DA203" s="164" t="s">
        <v>377</v>
      </c>
      <c r="DB203" s="164" t="s">
        <v>378</v>
      </c>
      <c r="DC203" s="164" t="s">
        <v>379</v>
      </c>
      <c r="DD203" s="164" t="s">
        <v>380</v>
      </c>
      <c r="DE203" s="164" t="s">
        <v>381</v>
      </c>
      <c r="DF203" s="164" t="s">
        <v>382</v>
      </c>
      <c r="DG203" s="164" t="s">
        <v>383</v>
      </c>
      <c r="DH203" s="164" t="s">
        <v>388</v>
      </c>
      <c r="DI203" s="164" t="s">
        <v>384</v>
      </c>
      <c r="DJ203" s="164" t="s">
        <v>337</v>
      </c>
      <c r="DK203" s="164" t="s">
        <v>338</v>
      </c>
      <c r="DL203" s="164" t="s">
        <v>339</v>
      </c>
      <c r="DM203" s="164" t="s">
        <v>389</v>
      </c>
      <c r="DN203" s="164" t="s">
        <v>385</v>
      </c>
      <c r="DO203" s="164" t="s">
        <v>340</v>
      </c>
      <c r="DP203" s="164" t="s">
        <v>341</v>
      </c>
      <c r="DQ203" s="164" t="s">
        <v>342</v>
      </c>
      <c r="DR203" s="164" t="s">
        <v>390</v>
      </c>
      <c r="DS203" s="164" t="s">
        <v>386</v>
      </c>
      <c r="DT203" s="164" t="s">
        <v>343</v>
      </c>
      <c r="DU203" s="164" t="s">
        <v>344</v>
      </c>
      <c r="DV203" s="164" t="s">
        <v>345</v>
      </c>
      <c r="DW203" s="164" t="s">
        <v>391</v>
      </c>
      <c r="DX203" s="164" t="s">
        <v>387</v>
      </c>
      <c r="DY203" s="164" t="s">
        <v>346</v>
      </c>
      <c r="DZ203" s="164" t="s">
        <v>347</v>
      </c>
      <c r="EA203" s="164" t="s">
        <v>348</v>
      </c>
      <c r="EB203" s="164" t="s">
        <v>349</v>
      </c>
      <c r="EC203" s="164" t="s">
        <v>350</v>
      </c>
      <c r="ED203" s="164" t="s">
        <v>351</v>
      </c>
      <c r="EE203" s="164" t="s">
        <v>352</v>
      </c>
      <c r="EF203" s="164" t="s">
        <v>353</v>
      </c>
      <c r="EG203" s="164" t="s">
        <v>354</v>
      </c>
      <c r="EH203" s="164" t="s">
        <v>355</v>
      </c>
      <c r="EI203" s="164" t="s">
        <v>356</v>
      </c>
      <c r="EJ203" s="164" t="s">
        <v>357</v>
      </c>
      <c r="EK203" s="164" t="s">
        <v>358</v>
      </c>
      <c r="EL203" s="164" t="s">
        <v>359</v>
      </c>
      <c r="EM203" s="164" t="s">
        <v>360</v>
      </c>
      <c r="EN203" s="164" t="s">
        <v>361</v>
      </c>
      <c r="EO203" s="164" t="s">
        <v>362</v>
      </c>
      <c r="EP203" s="164" t="s">
        <v>363</v>
      </c>
      <c r="EQ203" s="164" t="s">
        <v>364</v>
      </c>
      <c r="ER203" s="164" t="s">
        <v>365</v>
      </c>
      <c r="ES203" s="164" t="s">
        <v>366</v>
      </c>
      <c r="ET203" s="164" t="s">
        <v>367</v>
      </c>
      <c r="EU203" s="164" t="s">
        <v>368</v>
      </c>
      <c r="EV203" s="164" t="s">
        <v>369</v>
      </c>
      <c r="EW203" s="164" t="s">
        <v>370</v>
      </c>
      <c r="EX203" s="164" t="s">
        <v>371</v>
      </c>
      <c r="EY203" s="164" t="s">
        <v>372</v>
      </c>
      <c r="EZ203" s="164" t="s">
        <v>373</v>
      </c>
      <c r="FA203" s="164" t="s">
        <v>374</v>
      </c>
      <c r="FB203" s="164" t="s">
        <v>375</v>
      </c>
      <c r="FC203" s="164" t="s">
        <v>376</v>
      </c>
      <c r="FD203" s="164" t="s">
        <v>377</v>
      </c>
      <c r="FE203" s="164" t="s">
        <v>378</v>
      </c>
      <c r="FF203" s="164" t="s">
        <v>379</v>
      </c>
      <c r="FG203" s="164" t="s">
        <v>380</v>
      </c>
      <c r="FH203" s="164" t="s">
        <v>381</v>
      </c>
      <c r="FI203" s="164" t="s">
        <v>382</v>
      </c>
      <c r="FJ203" s="164" t="s">
        <v>383</v>
      </c>
    </row>
    <row r="204" spans="1:166" x14ac:dyDescent="0.25">
      <c r="A204" s="164" t="s">
        <v>18</v>
      </c>
      <c r="B204" s="164">
        <v>1.0347449498978036E-3</v>
      </c>
      <c r="C204" s="164">
        <v>1.0347449498978036E-3</v>
      </c>
      <c r="D204" s="164">
        <v>2.0678991054715748E-3</v>
      </c>
      <c r="E204" s="164">
        <v>2.0676718491395704E-3</v>
      </c>
      <c r="F204" s="164">
        <v>1.3444866658711308E-3</v>
      </c>
      <c r="G204" s="164">
        <v>1.0347449498978036E-3</v>
      </c>
      <c r="H204" s="164">
        <v>1.0347449498978036E-3</v>
      </c>
      <c r="I204" s="164">
        <v>2.0678991054715748E-3</v>
      </c>
      <c r="J204" s="164">
        <v>2.0676718491395704E-3</v>
      </c>
      <c r="K204" s="164">
        <v>1.3444866658711308E-3</v>
      </c>
      <c r="L204" s="164">
        <v>1.0347449498978036E-3</v>
      </c>
      <c r="M204" s="164">
        <v>1.0347449498978036E-3</v>
      </c>
      <c r="N204" s="164">
        <v>2.0678991054715748E-3</v>
      </c>
      <c r="O204" s="164">
        <v>2.0676718491395704E-3</v>
      </c>
      <c r="P204" s="164">
        <v>1.3444866658711308E-3</v>
      </c>
      <c r="Q204" s="164">
        <v>1.0347449498978036E-3</v>
      </c>
      <c r="R204" s="164">
        <v>1.0347449498978036E-3</v>
      </c>
      <c r="S204" s="164">
        <v>2.0678991054715748E-3</v>
      </c>
      <c r="T204" s="164">
        <v>2.0676718491395704E-3</v>
      </c>
      <c r="U204" s="164">
        <v>1.3444866658711308E-3</v>
      </c>
      <c r="V204" s="164">
        <v>7.6317014160409149E-4</v>
      </c>
      <c r="W204" s="164">
        <v>1.0902430594344164E-3</v>
      </c>
      <c r="X204" s="164">
        <v>2.1696909640280381E-3</v>
      </c>
      <c r="Y204" s="164">
        <v>2.1632138711235615E-3</v>
      </c>
      <c r="Z204" s="164">
        <v>7.6317014160409149E-4</v>
      </c>
      <c r="AA204" s="164">
        <v>1.0902430594344164E-3</v>
      </c>
      <c r="AB204" s="164">
        <v>2.1696909640280381E-3</v>
      </c>
      <c r="AC204" s="164">
        <v>2.1632138711235615E-3</v>
      </c>
      <c r="AD204" s="164">
        <v>7.6317014160409149E-4</v>
      </c>
      <c r="AE204" s="164">
        <v>1.0902430594344164E-3</v>
      </c>
      <c r="AF204" s="164">
        <v>2.1696909640280381E-3</v>
      </c>
      <c r="AG204" s="164">
        <v>2.1632138711235615E-3</v>
      </c>
      <c r="AH204" s="164">
        <v>7.6317014160409149E-4</v>
      </c>
      <c r="AI204" s="164">
        <v>1.0902430594344164E-3</v>
      </c>
      <c r="AJ204" s="164">
        <v>2.1696909640280381E-3</v>
      </c>
      <c r="AK204" s="164">
        <v>2.1632138711235615E-3</v>
      </c>
      <c r="AL204" s="164">
        <v>6.1053611328327313E-4</v>
      </c>
      <c r="AM204" s="164">
        <v>8.7219444754753307E-4</v>
      </c>
      <c r="AN204" s="164">
        <v>1.7357527712224307E-3</v>
      </c>
      <c r="AO204" s="164">
        <v>1.7305710968988492E-3</v>
      </c>
      <c r="AP204" s="164">
        <v>1.2312752120811793E-2</v>
      </c>
      <c r="AQ204" s="164">
        <v>4.5229574619176545E-2</v>
      </c>
      <c r="AR204" s="164">
        <v>4.4623597015022408E-2</v>
      </c>
      <c r="AS204" s="164">
        <v>6.1563760604058963E-3</v>
      </c>
      <c r="AT204" s="164">
        <v>2.2614787309588272E-2</v>
      </c>
      <c r="AU204" s="164">
        <v>2.2311798507511204E-2</v>
      </c>
      <c r="AV204" s="164">
        <v>6.4495368251871292E-3</v>
      </c>
      <c r="AW204" s="164">
        <v>2.3691681943378187E-2</v>
      </c>
      <c r="AX204" s="164">
        <v>2.3374265103106976E-2</v>
      </c>
      <c r="AY204" s="164">
        <v>8.6820688031365185E-3</v>
      </c>
      <c r="AZ204" s="164">
        <v>3.1892648769932176E-2</v>
      </c>
      <c r="BA204" s="164">
        <v>3.1465356869567078E-2</v>
      </c>
      <c r="BB204" s="164">
        <v>7.5244596293849832E-3</v>
      </c>
      <c r="BC204" s="164">
        <v>2.7640295600607889E-2</v>
      </c>
      <c r="BD204" s="164">
        <v>2.7269975953624806E-2</v>
      </c>
      <c r="BE204" s="164">
        <v>1.0347449498978036E-3</v>
      </c>
      <c r="BF204" s="164">
        <v>1.0347449498978036E-3</v>
      </c>
      <c r="BG204" s="164">
        <v>1.9922371300663917E-3</v>
      </c>
      <c r="BH204" s="164">
        <v>1.9812010201050753E-3</v>
      </c>
      <c r="BI204" s="164">
        <v>1.3120601049831952E-3</v>
      </c>
      <c r="BJ204" s="164">
        <v>1.0347449498978036E-3</v>
      </c>
      <c r="BK204" s="164">
        <v>1.0347449498978036E-3</v>
      </c>
      <c r="BL204" s="164">
        <v>1.9922371300663917E-3</v>
      </c>
      <c r="BM204" s="164">
        <v>1.9812010201050753E-3</v>
      </c>
      <c r="BN204" s="164">
        <v>1.3120601049831952E-3</v>
      </c>
      <c r="BO204" s="164">
        <v>1.0347449498978036E-3</v>
      </c>
      <c r="BP204" s="164">
        <v>1.0347449498978036E-3</v>
      </c>
      <c r="BQ204" s="164">
        <v>1.9922371300663917E-3</v>
      </c>
      <c r="BR204" s="164">
        <v>1.9812010201050753E-3</v>
      </c>
      <c r="BS204" s="164">
        <v>1.3120601049831952E-3</v>
      </c>
      <c r="BT204" s="164">
        <v>1.0347449498978036E-3</v>
      </c>
      <c r="BU204" s="164">
        <v>1.0347449498978036E-3</v>
      </c>
      <c r="BV204" s="164">
        <v>1.9922371300663917E-3</v>
      </c>
      <c r="BW204" s="164">
        <v>1.9812010201050753E-3</v>
      </c>
      <c r="BX204" s="164">
        <v>1.3120601049831952E-3</v>
      </c>
      <c r="BY204" s="164">
        <v>7.6317014160409149E-4</v>
      </c>
      <c r="BZ204" s="164">
        <v>1.0902430594344164E-3</v>
      </c>
      <c r="CA204" s="164">
        <v>1.8209695944675583E-3</v>
      </c>
      <c r="CB204" s="164">
        <v>1.6052596798267933E-3</v>
      </c>
      <c r="CC204" s="164">
        <v>7.6317014160409149E-4</v>
      </c>
      <c r="CD204" s="164">
        <v>1.0902430594344164E-3</v>
      </c>
      <c r="CE204" s="164">
        <v>1.8209695944675583E-3</v>
      </c>
      <c r="CF204" s="164">
        <v>1.6052596798267933E-3</v>
      </c>
      <c r="CG204" s="164">
        <v>7.6317014160409149E-4</v>
      </c>
      <c r="CH204" s="164">
        <v>1.0902430594344164E-3</v>
      </c>
      <c r="CI204" s="164">
        <v>1.8209695944675583E-3</v>
      </c>
      <c r="CJ204" s="164">
        <v>1.6052596798267933E-3</v>
      </c>
      <c r="CK204" s="164">
        <v>7.6317014160409149E-4</v>
      </c>
      <c r="CL204" s="164">
        <v>1.0902430594344164E-3</v>
      </c>
      <c r="CM204" s="164">
        <v>1.8209695944675583E-3</v>
      </c>
      <c r="CN204" s="164">
        <v>1.6052596798267933E-3</v>
      </c>
      <c r="CO204" s="164">
        <v>6.1053611328327313E-4</v>
      </c>
      <c r="CP204" s="164">
        <v>8.7219444754753307E-4</v>
      </c>
      <c r="CQ204" s="164">
        <v>1.4567756755740466E-3</v>
      </c>
      <c r="CR204" s="164">
        <v>1.2842077438614348E-3</v>
      </c>
      <c r="CS204" s="164">
        <v>1.2812227504666332E-2</v>
      </c>
      <c r="CT204" s="164">
        <v>2.3282636418581814E-2</v>
      </c>
      <c r="CU204" s="164">
        <v>2.5967869002591151E-2</v>
      </c>
      <c r="CV204" s="164">
        <v>6.406113752333166E-3</v>
      </c>
      <c r="CW204" s="164">
        <v>1.1641318209290907E-2</v>
      </c>
      <c r="CX204" s="164">
        <v>1.2983934501295575E-2</v>
      </c>
      <c r="CY204" s="164">
        <v>6.7111667881585542E-3</v>
      </c>
      <c r="CZ204" s="164">
        <v>1.2195666695447615E-2</v>
      </c>
      <c r="DA204" s="164">
        <v>1.3602217096595365E-2</v>
      </c>
      <c r="DB204" s="164">
        <v>9.034262984059592E-3</v>
      </c>
      <c r="DC204" s="164">
        <v>1.6417243628487177E-2</v>
      </c>
      <c r="DD204" s="164">
        <v>1.8310676860801452E-2</v>
      </c>
      <c r="DE204" s="164">
        <v>7.8296945861849807E-3</v>
      </c>
      <c r="DF204" s="164">
        <v>1.4228277811355551E-2</v>
      </c>
      <c r="DG204" s="164">
        <v>1.586925327936126E-2</v>
      </c>
      <c r="DH204" s="164">
        <v>1.0347449498978036E-3</v>
      </c>
      <c r="DI204" s="164">
        <v>1.0347449498978036E-3</v>
      </c>
      <c r="DJ204" s="164">
        <v>1.3569040676564852E-3</v>
      </c>
      <c r="DK204" s="164">
        <v>1.2551060916366106E-3</v>
      </c>
      <c r="DL204" s="164">
        <v>1.0397745068075209E-3</v>
      </c>
      <c r="DM204" s="164">
        <v>1.0347449498978036E-3</v>
      </c>
      <c r="DN204" s="164">
        <v>1.0347449498978036E-3</v>
      </c>
      <c r="DO204" s="164">
        <v>1.3569040676564852E-3</v>
      </c>
      <c r="DP204" s="164">
        <v>1.2551060916366106E-3</v>
      </c>
      <c r="DQ204" s="164">
        <v>1.0397745068075209E-3</v>
      </c>
      <c r="DR204" s="164">
        <v>1.0347449498978036E-3</v>
      </c>
      <c r="DS204" s="164">
        <v>1.0347449498978036E-3</v>
      </c>
      <c r="DT204" s="164">
        <v>1.3569040676564852E-3</v>
      </c>
      <c r="DU204" s="164">
        <v>1.2551060916366106E-3</v>
      </c>
      <c r="DV204" s="164">
        <v>1.0397745068075209E-3</v>
      </c>
      <c r="DW204" s="164">
        <v>1.0347449498978036E-3</v>
      </c>
      <c r="DX204" s="164">
        <v>1.0347449498978036E-3</v>
      </c>
      <c r="DY204" s="164">
        <v>1.3569040676564852E-3</v>
      </c>
      <c r="DZ204" s="164">
        <v>1.2551060916366106E-3</v>
      </c>
      <c r="EA204" s="164">
        <v>1.0397745068075209E-3</v>
      </c>
      <c r="EB204" s="164">
        <v>7.6317014160409149E-4</v>
      </c>
      <c r="EC204" s="164">
        <v>1.0902430594344164E-3</v>
      </c>
      <c r="ED204" s="164">
        <v>1.364623687619921E-3</v>
      </c>
      <c r="EE204" s="164">
        <v>8.7510622887057403E-4</v>
      </c>
      <c r="EF204" s="164">
        <v>7.6317014160409149E-4</v>
      </c>
      <c r="EG204" s="164">
        <v>1.0902430594344164E-3</v>
      </c>
      <c r="EH204" s="164">
        <v>1.364623687619921E-3</v>
      </c>
      <c r="EI204" s="164">
        <v>8.7510622887057403E-4</v>
      </c>
      <c r="EJ204" s="164">
        <v>7.6317014160409149E-4</v>
      </c>
      <c r="EK204" s="164">
        <v>1.0902430594344164E-3</v>
      </c>
      <c r="EL204" s="164">
        <v>1.364623687619921E-3</v>
      </c>
      <c r="EM204" s="164">
        <v>8.7510622887057403E-4</v>
      </c>
      <c r="EN204" s="164">
        <v>7.6317014160409149E-4</v>
      </c>
      <c r="EO204" s="164">
        <v>1.0902430594344164E-3</v>
      </c>
      <c r="EP204" s="164">
        <v>1.364623687619921E-3</v>
      </c>
      <c r="EQ204" s="164">
        <v>8.7510622887057403E-4</v>
      </c>
      <c r="ER204" s="164">
        <v>6.1053611328327313E-4</v>
      </c>
      <c r="ES204" s="164">
        <v>8.7219444754753307E-4</v>
      </c>
      <c r="ET204" s="164">
        <v>1.0916989500959369E-3</v>
      </c>
      <c r="EU204" s="164">
        <v>7.0008498309645929E-4</v>
      </c>
      <c r="EV204" s="164">
        <v>1.3465854058382996E-2</v>
      </c>
      <c r="EW204" s="164">
        <v>1.6995417056938824E-2</v>
      </c>
      <c r="EX204" s="164">
        <v>1.8171622640410206E-2</v>
      </c>
      <c r="EY204" s="164">
        <v>6.7329270291914978E-3</v>
      </c>
      <c r="EZ204" s="164">
        <v>8.497708528469412E-3</v>
      </c>
      <c r="FA204" s="164">
        <v>9.0858113202051029E-3</v>
      </c>
      <c r="FB204" s="164">
        <v>7.0535426020101408E-3</v>
      </c>
      <c r="FC204" s="164">
        <v>8.9023613155393838E-3</v>
      </c>
      <c r="FD204" s="164">
        <v>9.5184690021196325E-3</v>
      </c>
      <c r="FE204" s="164">
        <v>9.4951535027059594E-3</v>
      </c>
      <c r="FF204" s="164">
        <v>1.1983947924764555E-2</v>
      </c>
      <c r="FG204" s="164">
        <v>1.2813323656699505E-2</v>
      </c>
      <c r="FH204" s="164">
        <v>8.2291330356784979E-3</v>
      </c>
      <c r="FI204" s="164">
        <v>1.0386088201462616E-2</v>
      </c>
      <c r="FJ204" s="164">
        <v>1.1104880502472903E-2</v>
      </c>
    </row>
    <row r="205" spans="1:166" x14ac:dyDescent="0.25">
      <c r="A205" s="164" t="s">
        <v>28</v>
      </c>
      <c r="B205" s="164">
        <v>-1.0336086682377807E-4</v>
      </c>
      <c r="C205" s="164">
        <v>-1.0336086682377807E-4</v>
      </c>
      <c r="D205" s="164">
        <v>-1.0354267188938173E-4</v>
      </c>
      <c r="E205" s="164">
        <v>-1.0351994625618128E-4</v>
      </c>
      <c r="F205" s="164">
        <v>-6.7337961459558828E-5</v>
      </c>
      <c r="G205" s="164">
        <v>-1.0336086682377807E-4</v>
      </c>
      <c r="H205" s="164">
        <v>-1.0336086682377807E-4</v>
      </c>
      <c r="I205" s="164">
        <v>-1.0354267188938173E-4</v>
      </c>
      <c r="J205" s="164">
        <v>-1.0351994625618128E-4</v>
      </c>
      <c r="K205" s="164">
        <v>-6.7337961459558828E-5</v>
      </c>
      <c r="L205" s="164">
        <v>-1.0336086682377807E-4</v>
      </c>
      <c r="M205" s="164">
        <v>-1.0336086682377807E-4</v>
      </c>
      <c r="N205" s="164">
        <v>-1.0354267188938173E-4</v>
      </c>
      <c r="O205" s="164">
        <v>-1.0351994625618128E-4</v>
      </c>
      <c r="P205" s="164">
        <v>-6.7337961459558828E-5</v>
      </c>
      <c r="Q205" s="164">
        <v>-1.0336086682377807E-4</v>
      </c>
      <c r="R205" s="164">
        <v>-1.0336086682377807E-4</v>
      </c>
      <c r="S205" s="164">
        <v>-1.0354267188938173E-4</v>
      </c>
      <c r="T205" s="164">
        <v>-1.0351994625618128E-4</v>
      </c>
      <c r="U205" s="164">
        <v>-6.7337961459558828E-5</v>
      </c>
      <c r="V205" s="164">
        <v>-1.1346797345547289E-4</v>
      </c>
      <c r="W205" s="164">
        <v>-1.6353645891516245E-4</v>
      </c>
      <c r="X205" s="164">
        <v>-1.1028374067486764E-4</v>
      </c>
      <c r="Y205" s="164">
        <v>-1.0931217673919614E-4</v>
      </c>
      <c r="Z205" s="164">
        <v>-1.1346797345547289E-4</v>
      </c>
      <c r="AA205" s="164">
        <v>-1.6353645891516245E-4</v>
      </c>
      <c r="AB205" s="164">
        <v>-1.1028374067486764E-4</v>
      </c>
      <c r="AC205" s="164">
        <v>-1.0931217673919614E-4</v>
      </c>
      <c r="AD205" s="164">
        <v>-1.1346797345547289E-4</v>
      </c>
      <c r="AE205" s="164">
        <v>-1.6353645891516245E-4</v>
      </c>
      <c r="AF205" s="164">
        <v>-1.1028374067486764E-4</v>
      </c>
      <c r="AG205" s="164">
        <v>-1.0931217673919614E-4</v>
      </c>
      <c r="AH205" s="164">
        <v>-1.1346797345547289E-4</v>
      </c>
      <c r="AI205" s="164">
        <v>-1.6353645891516245E-4</v>
      </c>
      <c r="AJ205" s="164">
        <v>-1.1028374067486764E-4</v>
      </c>
      <c r="AK205" s="164">
        <v>-1.0931217673919614E-4</v>
      </c>
      <c r="AL205" s="164">
        <v>-9.0774378764378309E-5</v>
      </c>
      <c r="AM205" s="164">
        <v>-1.3082916713212997E-4</v>
      </c>
      <c r="AN205" s="164">
        <v>-8.822699253989411E-5</v>
      </c>
      <c r="AO205" s="164">
        <v>-8.7449741391356912E-5</v>
      </c>
      <c r="AP205" s="164">
        <v>-3.0604067820050769E-3</v>
      </c>
      <c r="AQ205" s="164">
        <v>-6.8763971865001975E-3</v>
      </c>
      <c r="AR205" s="164">
        <v>-6.7629302274573042E-3</v>
      </c>
      <c r="AS205" s="164">
        <v>-1.5302033910025385E-3</v>
      </c>
      <c r="AT205" s="164">
        <v>-3.4381985932500987E-3</v>
      </c>
      <c r="AU205" s="164">
        <v>-3.3814651137286521E-3</v>
      </c>
      <c r="AV205" s="164">
        <v>-1.6030702191455165E-3</v>
      </c>
      <c r="AW205" s="164">
        <v>-3.6019223357858176E-3</v>
      </c>
      <c r="AX205" s="164">
        <v>-3.5424872620014453E-3</v>
      </c>
      <c r="AY205" s="164">
        <v>-2.157979141157426E-3</v>
      </c>
      <c r="AZ205" s="164">
        <v>-4.8487416058655246E-3</v>
      </c>
      <c r="BA205" s="164">
        <v>-4.7687328526942532E-3</v>
      </c>
      <c r="BB205" s="164">
        <v>-1.8702485890031025E-3</v>
      </c>
      <c r="BC205" s="164">
        <v>-4.2022427250834543E-3</v>
      </c>
      <c r="BD205" s="164">
        <v>-4.1329018056683528E-3</v>
      </c>
      <c r="BE205" s="164">
        <v>-9.7956440009122124E-5</v>
      </c>
      <c r="BF205" s="164">
        <v>-9.7956440009122124E-5</v>
      </c>
      <c r="BG205" s="164">
        <v>-1.067853279781753E-4</v>
      </c>
      <c r="BH205" s="164">
        <v>-1.0568171698204363E-4</v>
      </c>
      <c r="BI205" s="164">
        <v>-7.1121060229817985E-5</v>
      </c>
      <c r="BJ205" s="164">
        <v>-9.7956440009122124E-5</v>
      </c>
      <c r="BK205" s="164">
        <v>-9.7956440009122124E-5</v>
      </c>
      <c r="BL205" s="164">
        <v>-1.067853279781753E-4</v>
      </c>
      <c r="BM205" s="164">
        <v>-1.0568171698204363E-4</v>
      </c>
      <c r="BN205" s="164">
        <v>-7.1121060229817985E-5</v>
      </c>
      <c r="BO205" s="164">
        <v>-9.7956440009122124E-5</v>
      </c>
      <c r="BP205" s="164">
        <v>-9.7956440009122124E-5</v>
      </c>
      <c r="BQ205" s="164">
        <v>-1.067853279781753E-4</v>
      </c>
      <c r="BR205" s="164">
        <v>-1.0568171698204363E-4</v>
      </c>
      <c r="BS205" s="164">
        <v>-7.1121060229817985E-5</v>
      </c>
      <c r="BT205" s="164">
        <v>-9.7956440009122124E-5</v>
      </c>
      <c r="BU205" s="164">
        <v>-9.7956440009122124E-5</v>
      </c>
      <c r="BV205" s="164">
        <v>-1.067853279781753E-4</v>
      </c>
      <c r="BW205" s="164">
        <v>-1.0568171698204363E-4</v>
      </c>
      <c r="BX205" s="164">
        <v>-7.1121060229817985E-5</v>
      </c>
      <c r="BY205" s="164">
        <v>-8.0920645629828101E-5</v>
      </c>
      <c r="BZ205" s="164">
        <v>-1.6353645891516245E-4</v>
      </c>
      <c r="CA205" s="164">
        <v>-1.5096790045692366E-4</v>
      </c>
      <c r="CB205" s="164">
        <v>-1.1861141326080898E-4</v>
      </c>
      <c r="CC205" s="164">
        <v>-8.0920645629828101E-5</v>
      </c>
      <c r="CD205" s="164">
        <v>-1.6353645891516245E-4</v>
      </c>
      <c r="CE205" s="164">
        <v>-1.5096790045692366E-4</v>
      </c>
      <c r="CF205" s="164">
        <v>-1.1861141326080898E-4</v>
      </c>
      <c r="CG205" s="164">
        <v>-8.0920645629828101E-5</v>
      </c>
      <c r="CH205" s="164">
        <v>-1.6353645891516245E-4</v>
      </c>
      <c r="CI205" s="164">
        <v>-1.5096790045692366E-4</v>
      </c>
      <c r="CJ205" s="164">
        <v>-1.1861141326080898E-4</v>
      </c>
      <c r="CK205" s="164">
        <v>-8.0920645629828101E-5</v>
      </c>
      <c r="CL205" s="164">
        <v>-1.6353645891516245E-4</v>
      </c>
      <c r="CM205" s="164">
        <v>-1.5096790045692366E-4</v>
      </c>
      <c r="CN205" s="164">
        <v>-1.1861141326080898E-4</v>
      </c>
      <c r="CO205" s="164">
        <v>-6.4736516503862478E-5</v>
      </c>
      <c r="CP205" s="164">
        <v>-1.3082916713212997E-4</v>
      </c>
      <c r="CQ205" s="164">
        <v>-1.2077432036553891E-4</v>
      </c>
      <c r="CR205" s="164">
        <v>-9.4889130608647181E-5</v>
      </c>
      <c r="CS205" s="164">
        <v>-2.6108789365359899E-3</v>
      </c>
      <c r="CT205" s="164">
        <v>-4.8323196089938266E-3</v>
      </c>
      <c r="CU205" s="164">
        <v>-5.1950552136465931E-3</v>
      </c>
      <c r="CV205" s="164">
        <v>-1.3054394682679949E-3</v>
      </c>
      <c r="CW205" s="164">
        <v>-2.4161598044969133E-3</v>
      </c>
      <c r="CX205" s="164">
        <v>-2.5975276068232966E-3</v>
      </c>
      <c r="CY205" s="164">
        <v>-1.3676032524712327E-3</v>
      </c>
      <c r="CZ205" s="164">
        <v>-2.5312150332824808E-3</v>
      </c>
      <c r="DA205" s="164">
        <v>-2.721219397624406E-3</v>
      </c>
      <c r="DB205" s="164">
        <v>-1.8410043783266593E-3</v>
      </c>
      <c r="DC205" s="164">
        <v>-3.4074048524956467E-3</v>
      </c>
      <c r="DD205" s="164">
        <v>-3.6631799583405462E-3</v>
      </c>
      <c r="DE205" s="164">
        <v>-1.5955371278831049E-3</v>
      </c>
      <c r="DF205" s="164">
        <v>-2.9530842054962272E-3</v>
      </c>
      <c r="DG205" s="164">
        <v>-3.1747559638951399E-3</v>
      </c>
      <c r="DH205" s="164">
        <v>-5.2575506979843073E-5</v>
      </c>
      <c r="DI205" s="164">
        <v>-5.2575506979843073E-5</v>
      </c>
      <c r="DJ205" s="164">
        <v>-1.3401388779574273E-4</v>
      </c>
      <c r="DK205" s="164">
        <v>-1.2383409019375524E-4</v>
      </c>
      <c r="DL205" s="164">
        <v>-1.0288771335031333E-4</v>
      </c>
      <c r="DM205" s="164">
        <v>-5.2575506979843073E-5</v>
      </c>
      <c r="DN205" s="164">
        <v>-5.2575506979843073E-5</v>
      </c>
      <c r="DO205" s="164">
        <v>-1.3401388779574273E-4</v>
      </c>
      <c r="DP205" s="164">
        <v>-1.2383409019375524E-4</v>
      </c>
      <c r="DQ205" s="164">
        <v>-1.0288771335031333E-4</v>
      </c>
      <c r="DR205" s="164">
        <v>-5.2575506979843073E-5</v>
      </c>
      <c r="DS205" s="164">
        <v>-5.2575506979843073E-5</v>
      </c>
      <c r="DT205" s="164">
        <v>-1.3401388779574273E-4</v>
      </c>
      <c r="DU205" s="164">
        <v>-1.2383409019375524E-4</v>
      </c>
      <c r="DV205" s="164">
        <v>-1.0288771335031333E-4</v>
      </c>
      <c r="DW205" s="164">
        <v>-5.2575506979843073E-5</v>
      </c>
      <c r="DX205" s="164">
        <v>-5.2575506979843073E-5</v>
      </c>
      <c r="DY205" s="164">
        <v>-1.3401388779574273E-4</v>
      </c>
      <c r="DZ205" s="164">
        <v>-1.2383409019375524E-4</v>
      </c>
      <c r="EA205" s="164">
        <v>-1.0288771335031333E-4</v>
      </c>
      <c r="EB205" s="164">
        <v>-3.832836099071531E-5</v>
      </c>
      <c r="EC205" s="164">
        <v>-1.6353645891516245E-4</v>
      </c>
      <c r="ED205" s="164">
        <v>-2.0420825625581466E-4</v>
      </c>
      <c r="EE205" s="164">
        <v>-1.3078063744341263E-4</v>
      </c>
      <c r="EF205" s="164">
        <v>-3.832836099071531E-5</v>
      </c>
      <c r="EG205" s="164">
        <v>-1.6353645891516245E-4</v>
      </c>
      <c r="EH205" s="164">
        <v>-2.0420825625581466E-4</v>
      </c>
      <c r="EI205" s="164">
        <v>-1.3078063744341263E-4</v>
      </c>
      <c r="EJ205" s="164">
        <v>-3.832836099071531E-5</v>
      </c>
      <c r="EK205" s="164">
        <v>-1.6353645891516245E-4</v>
      </c>
      <c r="EL205" s="164">
        <v>-2.0420825625581466E-4</v>
      </c>
      <c r="EM205" s="164">
        <v>-1.3078063744341263E-4</v>
      </c>
      <c r="EN205" s="164">
        <v>-3.832836099071531E-5</v>
      </c>
      <c r="EO205" s="164">
        <v>-1.6353645891516245E-4</v>
      </c>
      <c r="EP205" s="164">
        <v>-2.0420825625581466E-4</v>
      </c>
      <c r="EQ205" s="164">
        <v>-1.3078063744341263E-4</v>
      </c>
      <c r="ER205" s="164">
        <v>-3.0662688792572247E-5</v>
      </c>
      <c r="ES205" s="164">
        <v>-1.3082916713212997E-4</v>
      </c>
      <c r="ET205" s="164">
        <v>-1.6336660500465173E-4</v>
      </c>
      <c r="EU205" s="164">
        <v>-1.046245099547301E-4</v>
      </c>
      <c r="EV205" s="164">
        <v>-2.0226150381909905E-3</v>
      </c>
      <c r="EW205" s="164">
        <v>-4.2467452566839394E-3</v>
      </c>
      <c r="EX205" s="164">
        <v>-4.5398387640590461E-3</v>
      </c>
      <c r="EY205" s="164">
        <v>-1.0113075190954952E-3</v>
      </c>
      <c r="EZ205" s="164">
        <v>-2.1233726283419697E-3</v>
      </c>
      <c r="FA205" s="164">
        <v>-2.2699193820295231E-3</v>
      </c>
      <c r="FB205" s="164">
        <v>-1.0594650200048046E-3</v>
      </c>
      <c r="FC205" s="164">
        <v>-2.2244856106439686E-3</v>
      </c>
      <c r="FD205" s="164">
        <v>-2.3780107811737857E-3</v>
      </c>
      <c r="FE205" s="164">
        <v>-1.4262029115449293E-3</v>
      </c>
      <c r="FF205" s="164">
        <v>-2.9944998604822652E-3</v>
      </c>
      <c r="FG205" s="164">
        <v>-3.2011683592724038E-3</v>
      </c>
      <c r="FH205" s="164">
        <v>-1.2360425233389387E-3</v>
      </c>
      <c r="FI205" s="164">
        <v>-2.5952332124179632E-3</v>
      </c>
      <c r="FJ205" s="164">
        <v>-2.7743459113694167E-3</v>
      </c>
    </row>
    <row r="206" spans="1:166" x14ac:dyDescent="0.25">
      <c r="A206" s="164" t="s">
        <v>14</v>
      </c>
      <c r="B206" s="164">
        <v>6.8982996659853576E-5</v>
      </c>
      <c r="C206" s="164">
        <v>6.8982996659853576E-5</v>
      </c>
      <c r="D206" s="164">
        <v>6.8982996659853576E-5</v>
      </c>
      <c r="E206" s="164">
        <v>6.8982996659853576E-5</v>
      </c>
      <c r="F206" s="164">
        <v>6.8982996659853576E-5</v>
      </c>
      <c r="G206" s="164">
        <v>3.4491498329926784E-4</v>
      </c>
      <c r="H206" s="164">
        <v>3.4491498329926784E-4</v>
      </c>
      <c r="I206" s="164">
        <v>3.4491498329926784E-4</v>
      </c>
      <c r="J206" s="164">
        <v>3.4491498329926784E-4</v>
      </c>
      <c r="K206" s="164">
        <v>3.4491498329926784E-4</v>
      </c>
      <c r="L206" s="164">
        <v>6.8982996659853576E-5</v>
      </c>
      <c r="M206" s="164">
        <v>6.8982996659853576E-5</v>
      </c>
      <c r="N206" s="164">
        <v>6.8982996659853576E-5</v>
      </c>
      <c r="O206" s="164">
        <v>6.8982996659853576E-5</v>
      </c>
      <c r="P206" s="164">
        <v>6.8982996659853576E-5</v>
      </c>
      <c r="Q206" s="164">
        <v>6.8982996659853576E-5</v>
      </c>
      <c r="R206" s="164">
        <v>6.8982996659853576E-5</v>
      </c>
      <c r="S206" s="164">
        <v>6.8982996659853576E-5</v>
      </c>
      <c r="T206" s="164">
        <v>6.8982996659853576E-5</v>
      </c>
      <c r="U206" s="164">
        <v>6.8982996659853576E-5</v>
      </c>
      <c r="V206" s="164">
        <v>7.6311881817276459E-4</v>
      </c>
      <c r="W206" s="164">
        <v>7.6311881817276459E-4</v>
      </c>
      <c r="X206" s="164">
        <v>7.6311881817276459E-4</v>
      </c>
      <c r="Y206" s="164">
        <v>7.6311881817276459E-4</v>
      </c>
      <c r="Z206" s="164">
        <v>1.0174917575636864E-3</v>
      </c>
      <c r="AA206" s="164">
        <v>1.0174917575636864E-3</v>
      </c>
      <c r="AB206" s="164">
        <v>1.0174917575636864E-3</v>
      </c>
      <c r="AC206" s="164">
        <v>1.0174917575636864E-3</v>
      </c>
      <c r="AD206" s="164">
        <v>5.087458787818432E-4</v>
      </c>
      <c r="AE206" s="164">
        <v>5.087458787818432E-4</v>
      </c>
      <c r="AF206" s="164">
        <v>5.087458787818432E-4</v>
      </c>
      <c r="AG206" s="164">
        <v>5.087458787818432E-4</v>
      </c>
      <c r="AH206" s="164">
        <v>7.6311881817276459E-4</v>
      </c>
      <c r="AI206" s="164">
        <v>7.6311881817276459E-4</v>
      </c>
      <c r="AJ206" s="164">
        <v>7.6311881817276459E-4</v>
      </c>
      <c r="AK206" s="164">
        <v>7.6311881817276459E-4</v>
      </c>
      <c r="AL206" s="164">
        <v>5.0874587878184309E-4</v>
      </c>
      <c r="AM206" s="164">
        <v>5.0874587878184309E-4</v>
      </c>
      <c r="AN206" s="164">
        <v>5.0874587878184309E-4</v>
      </c>
      <c r="AO206" s="164">
        <v>5.0874587878184309E-4</v>
      </c>
      <c r="AP206" s="164">
        <v>3.9525224209566176E-3</v>
      </c>
      <c r="AQ206" s="164">
        <v>3.9525224209566176E-3</v>
      </c>
      <c r="AR206" s="164">
        <v>3.9525224209566176E-3</v>
      </c>
      <c r="AS206" s="164">
        <v>2.964391815717463E-3</v>
      </c>
      <c r="AT206" s="164">
        <v>2.964391815717463E-3</v>
      </c>
      <c r="AU206" s="164">
        <v>2.964391815717463E-3</v>
      </c>
      <c r="AV206" s="164">
        <v>1.552776665375814E-3</v>
      </c>
      <c r="AW206" s="164">
        <v>1.552776665375814E-3</v>
      </c>
      <c r="AX206" s="164">
        <v>1.552776665375814E-3</v>
      </c>
      <c r="AY206" s="164">
        <v>2.7870350404181278E-3</v>
      </c>
      <c r="AZ206" s="164">
        <v>2.7870350404181278E-3</v>
      </c>
      <c r="BA206" s="164">
        <v>2.7870350404181278E-3</v>
      </c>
      <c r="BB206" s="164">
        <v>2.1135015723170798E-3</v>
      </c>
      <c r="BC206" s="164">
        <v>2.1135015723170798E-3</v>
      </c>
      <c r="BD206" s="164">
        <v>2.1135015723170798E-3</v>
      </c>
      <c r="BE206" s="164">
        <v>6.8982996659853576E-5</v>
      </c>
      <c r="BF206" s="164">
        <v>6.8982996659853576E-5</v>
      </c>
      <c r="BG206" s="164">
        <v>6.8982996659853576E-5</v>
      </c>
      <c r="BH206" s="164">
        <v>6.8982996659853576E-5</v>
      </c>
      <c r="BI206" s="164">
        <v>6.8982996659853576E-5</v>
      </c>
      <c r="BJ206" s="164">
        <v>3.4491498329926784E-4</v>
      </c>
      <c r="BK206" s="164">
        <v>3.4491498329926784E-4</v>
      </c>
      <c r="BL206" s="164">
        <v>3.4491498329926784E-4</v>
      </c>
      <c r="BM206" s="164">
        <v>3.4491498329926784E-4</v>
      </c>
      <c r="BN206" s="164">
        <v>3.4491498329926784E-4</v>
      </c>
      <c r="BO206" s="164">
        <v>6.8982996659853576E-5</v>
      </c>
      <c r="BP206" s="164">
        <v>6.8982996659853576E-5</v>
      </c>
      <c r="BQ206" s="164">
        <v>6.8982996659853576E-5</v>
      </c>
      <c r="BR206" s="164">
        <v>6.8982996659853576E-5</v>
      </c>
      <c r="BS206" s="164">
        <v>6.8982996659853576E-5</v>
      </c>
      <c r="BT206" s="164">
        <v>6.8982996659853576E-5</v>
      </c>
      <c r="BU206" s="164">
        <v>6.8982996659853576E-5</v>
      </c>
      <c r="BV206" s="164">
        <v>6.8982996659853576E-5</v>
      </c>
      <c r="BW206" s="164">
        <v>6.8982996659853576E-5</v>
      </c>
      <c r="BX206" s="164">
        <v>6.8982996659853576E-5</v>
      </c>
      <c r="BY206" s="164">
        <v>7.6311881817276459E-4</v>
      </c>
      <c r="BZ206" s="164">
        <v>7.6311881817276459E-4</v>
      </c>
      <c r="CA206" s="164">
        <v>7.6311881817276459E-4</v>
      </c>
      <c r="CB206" s="164">
        <v>7.6311881817276459E-4</v>
      </c>
      <c r="CC206" s="164">
        <v>1.0174917575636864E-3</v>
      </c>
      <c r="CD206" s="164">
        <v>1.0174917575636864E-3</v>
      </c>
      <c r="CE206" s="164">
        <v>1.0174917575636864E-3</v>
      </c>
      <c r="CF206" s="164">
        <v>1.0174917575636864E-3</v>
      </c>
      <c r="CG206" s="164">
        <v>5.087458787818432E-4</v>
      </c>
      <c r="CH206" s="164">
        <v>5.087458787818432E-4</v>
      </c>
      <c r="CI206" s="164">
        <v>5.087458787818432E-4</v>
      </c>
      <c r="CJ206" s="164">
        <v>5.087458787818432E-4</v>
      </c>
      <c r="CK206" s="164">
        <v>7.6311881817276459E-4</v>
      </c>
      <c r="CL206" s="164">
        <v>7.6311881817276459E-4</v>
      </c>
      <c r="CM206" s="164">
        <v>7.6311881817276459E-4</v>
      </c>
      <c r="CN206" s="164">
        <v>7.6311881817276459E-4</v>
      </c>
      <c r="CO206" s="164">
        <v>5.0874587878184309E-4</v>
      </c>
      <c r="CP206" s="164">
        <v>5.0874587878184309E-4</v>
      </c>
      <c r="CQ206" s="164">
        <v>5.0874587878184309E-4</v>
      </c>
      <c r="CR206" s="164">
        <v>5.0874587878184309E-4</v>
      </c>
      <c r="CS206" s="164">
        <v>3.9525224209566176E-3</v>
      </c>
      <c r="CT206" s="164">
        <v>3.9525224209566176E-3</v>
      </c>
      <c r="CU206" s="164">
        <v>3.9525224209566176E-3</v>
      </c>
      <c r="CV206" s="164">
        <v>2.964391815717463E-3</v>
      </c>
      <c r="CW206" s="164">
        <v>2.964391815717463E-3</v>
      </c>
      <c r="CX206" s="164">
        <v>2.964391815717463E-3</v>
      </c>
      <c r="CY206" s="164">
        <v>1.552776665375814E-3</v>
      </c>
      <c r="CZ206" s="164">
        <v>1.552776665375814E-3</v>
      </c>
      <c r="DA206" s="164">
        <v>1.552776665375814E-3</v>
      </c>
      <c r="DB206" s="164">
        <v>2.7870350404181278E-3</v>
      </c>
      <c r="DC206" s="164">
        <v>2.7870350404181278E-3</v>
      </c>
      <c r="DD206" s="164">
        <v>2.7870350404181278E-3</v>
      </c>
      <c r="DE206" s="164">
        <v>2.1135015723170798E-3</v>
      </c>
      <c r="DF206" s="164">
        <v>2.1135015723170798E-3</v>
      </c>
      <c r="DG206" s="164">
        <v>2.1135015723170798E-3</v>
      </c>
      <c r="DH206" s="164">
        <v>6.8982996659853576E-5</v>
      </c>
      <c r="DI206" s="164">
        <v>6.8982996659853576E-5</v>
      </c>
      <c r="DJ206" s="164">
        <v>6.8982996659853576E-5</v>
      </c>
      <c r="DK206" s="164">
        <v>6.8982996659853576E-5</v>
      </c>
      <c r="DL206" s="164">
        <v>6.8982996659853576E-5</v>
      </c>
      <c r="DM206" s="164">
        <v>3.4491498329926784E-4</v>
      </c>
      <c r="DN206" s="164">
        <v>3.4491498329926784E-4</v>
      </c>
      <c r="DO206" s="164">
        <v>3.4491498329926784E-4</v>
      </c>
      <c r="DP206" s="164">
        <v>3.4491498329926784E-4</v>
      </c>
      <c r="DQ206" s="164">
        <v>3.4491498329926784E-4</v>
      </c>
      <c r="DR206" s="164">
        <v>6.8982996659853576E-5</v>
      </c>
      <c r="DS206" s="164">
        <v>6.8982996659853576E-5</v>
      </c>
      <c r="DT206" s="164">
        <v>6.8982996659853576E-5</v>
      </c>
      <c r="DU206" s="164">
        <v>6.8982996659853576E-5</v>
      </c>
      <c r="DV206" s="164">
        <v>6.8982996659853576E-5</v>
      </c>
      <c r="DW206" s="164">
        <v>6.8982996659853576E-5</v>
      </c>
      <c r="DX206" s="164">
        <v>6.8982996659853576E-5</v>
      </c>
      <c r="DY206" s="164">
        <v>6.8982996659853576E-5</v>
      </c>
      <c r="DZ206" s="164">
        <v>6.8982996659853576E-5</v>
      </c>
      <c r="EA206" s="164">
        <v>6.8982996659853576E-5</v>
      </c>
      <c r="EB206" s="164">
        <v>7.6311881817276459E-4</v>
      </c>
      <c r="EC206" s="164">
        <v>7.6311881817276459E-4</v>
      </c>
      <c r="ED206" s="164">
        <v>7.6311881817276459E-4</v>
      </c>
      <c r="EE206" s="164">
        <v>7.6311881817276459E-4</v>
      </c>
      <c r="EF206" s="164">
        <v>1.0174917575636864E-3</v>
      </c>
      <c r="EG206" s="164">
        <v>1.0174917575636864E-3</v>
      </c>
      <c r="EH206" s="164">
        <v>1.0174917575636864E-3</v>
      </c>
      <c r="EI206" s="164">
        <v>1.0174917575636864E-3</v>
      </c>
      <c r="EJ206" s="164">
        <v>5.087458787818432E-4</v>
      </c>
      <c r="EK206" s="164">
        <v>5.087458787818432E-4</v>
      </c>
      <c r="EL206" s="164">
        <v>5.087458787818432E-4</v>
      </c>
      <c r="EM206" s="164">
        <v>5.087458787818432E-4</v>
      </c>
      <c r="EN206" s="164">
        <v>7.6311881817276459E-4</v>
      </c>
      <c r="EO206" s="164">
        <v>7.6311881817276459E-4</v>
      </c>
      <c r="EP206" s="164">
        <v>7.6311881817276459E-4</v>
      </c>
      <c r="EQ206" s="164">
        <v>7.6311881817276459E-4</v>
      </c>
      <c r="ER206" s="164">
        <v>5.0874587878184309E-4</v>
      </c>
      <c r="ES206" s="164">
        <v>5.0874587878184309E-4</v>
      </c>
      <c r="ET206" s="164">
        <v>5.0874587878184309E-4</v>
      </c>
      <c r="EU206" s="164">
        <v>5.0874587878184309E-4</v>
      </c>
      <c r="EV206" s="164">
        <v>3.9525224209566176E-3</v>
      </c>
      <c r="EW206" s="164">
        <v>3.9525224209566176E-3</v>
      </c>
      <c r="EX206" s="164">
        <v>3.9525224209566176E-3</v>
      </c>
      <c r="EY206" s="164">
        <v>2.964391815717463E-3</v>
      </c>
      <c r="EZ206" s="164">
        <v>2.964391815717463E-3</v>
      </c>
      <c r="FA206" s="164">
        <v>2.964391815717463E-3</v>
      </c>
      <c r="FB206" s="164">
        <v>1.552776665375814E-3</v>
      </c>
      <c r="FC206" s="164">
        <v>1.552776665375814E-3</v>
      </c>
      <c r="FD206" s="164">
        <v>1.552776665375814E-3</v>
      </c>
      <c r="FE206" s="164">
        <v>2.7870350404181278E-3</v>
      </c>
      <c r="FF206" s="164">
        <v>2.7870350404181278E-3</v>
      </c>
      <c r="FG206" s="164">
        <v>2.7870350404181278E-3</v>
      </c>
      <c r="FH206" s="164">
        <v>2.1135015723170798E-3</v>
      </c>
      <c r="FI206" s="164">
        <v>2.1135015723170798E-3</v>
      </c>
      <c r="FJ206" s="164">
        <v>2.1135015723170798E-3</v>
      </c>
    </row>
    <row r="207" spans="1:166" x14ac:dyDescent="0.25">
      <c r="A207" s="164" t="s">
        <v>25</v>
      </c>
      <c r="B207" s="164">
        <v>-6.8982996659853564E-6</v>
      </c>
      <c r="C207" s="164">
        <v>-6.8982996659853564E-6</v>
      </c>
      <c r="D207" s="164">
        <v>-6.8982996659853564E-6</v>
      </c>
      <c r="E207" s="164">
        <v>-6.8982996659853564E-6</v>
      </c>
      <c r="F207" s="164">
        <v>-6.8982996659853564E-6</v>
      </c>
      <c r="G207" s="164">
        <v>-3.4491498329926788E-5</v>
      </c>
      <c r="H207" s="164">
        <v>-3.4491498329926788E-5</v>
      </c>
      <c r="I207" s="164">
        <v>-3.4491498329926788E-5</v>
      </c>
      <c r="J207" s="164">
        <v>-3.4491498329926788E-5</v>
      </c>
      <c r="K207" s="164">
        <v>-3.4491498329926788E-5</v>
      </c>
      <c r="L207" s="164">
        <v>-6.8982996659853564E-6</v>
      </c>
      <c r="M207" s="164">
        <v>-6.8982996659853564E-6</v>
      </c>
      <c r="N207" s="164">
        <v>-6.8982996659853564E-6</v>
      </c>
      <c r="O207" s="164">
        <v>-6.8982996659853564E-6</v>
      </c>
      <c r="P207" s="164">
        <v>-6.8982996659853564E-6</v>
      </c>
      <c r="Q207" s="164">
        <v>-6.8982996659853564E-6</v>
      </c>
      <c r="R207" s="164">
        <v>-6.8982996659853564E-6</v>
      </c>
      <c r="S207" s="164">
        <v>-6.8982996659853564E-6</v>
      </c>
      <c r="T207" s="164">
        <v>-6.8982996659853564E-6</v>
      </c>
      <c r="U207" s="164">
        <v>-6.8982996659853564E-6</v>
      </c>
      <c r="V207" s="164">
        <v>-3.8155940908638231E-5</v>
      </c>
      <c r="W207" s="164">
        <v>-3.8155940908638231E-5</v>
      </c>
      <c r="X207" s="164">
        <v>-3.8155940908638231E-5</v>
      </c>
      <c r="Y207" s="164">
        <v>-3.8155940908638231E-5</v>
      </c>
      <c r="Z207" s="164">
        <v>-5.0874587878184312E-5</v>
      </c>
      <c r="AA207" s="164">
        <v>-5.0874587878184312E-5</v>
      </c>
      <c r="AB207" s="164">
        <v>-5.0874587878184312E-5</v>
      </c>
      <c r="AC207" s="164">
        <v>-5.0874587878184312E-5</v>
      </c>
      <c r="AD207" s="164">
        <v>-2.5437293939092156E-5</v>
      </c>
      <c r="AE207" s="164">
        <v>-2.5437293939092156E-5</v>
      </c>
      <c r="AF207" s="164">
        <v>-2.5437293939092156E-5</v>
      </c>
      <c r="AG207" s="164">
        <v>-2.5437293939092156E-5</v>
      </c>
      <c r="AH207" s="164">
        <v>-3.8155940908638231E-5</v>
      </c>
      <c r="AI207" s="164">
        <v>-3.8155940908638231E-5</v>
      </c>
      <c r="AJ207" s="164">
        <v>-3.8155940908638231E-5</v>
      </c>
      <c r="AK207" s="164">
        <v>-3.8155940908638231E-5</v>
      </c>
      <c r="AL207" s="164">
        <v>-2.5437293939092159E-5</v>
      </c>
      <c r="AM207" s="164">
        <v>-2.5437293939092159E-5</v>
      </c>
      <c r="AN207" s="164">
        <v>-2.5437293939092159E-5</v>
      </c>
      <c r="AO207" s="164">
        <v>-2.5437293939092159E-5</v>
      </c>
      <c r="AP207" s="164">
        <v>-9.8813060523915441E-4</v>
      </c>
      <c r="AQ207" s="164">
        <v>-9.8813060523915441E-4</v>
      </c>
      <c r="AR207" s="164">
        <v>-9.8813060523915441E-4</v>
      </c>
      <c r="AS207" s="164">
        <v>-7.4109795392936575E-4</v>
      </c>
      <c r="AT207" s="164">
        <v>-7.4109795392936575E-4</v>
      </c>
      <c r="AU207" s="164">
        <v>-7.4109795392936575E-4</v>
      </c>
      <c r="AV207" s="164">
        <v>-3.8819416634395349E-4</v>
      </c>
      <c r="AW207" s="164">
        <v>-3.8819416634395349E-4</v>
      </c>
      <c r="AX207" s="164">
        <v>-3.8819416634395349E-4</v>
      </c>
      <c r="AY207" s="164">
        <v>-6.9675876010453195E-4</v>
      </c>
      <c r="AZ207" s="164">
        <v>-6.9675876010453195E-4</v>
      </c>
      <c r="BA207" s="164">
        <v>-6.9675876010453195E-4</v>
      </c>
      <c r="BB207" s="164">
        <v>-5.2837539307926996E-4</v>
      </c>
      <c r="BC207" s="164">
        <v>-5.2837539307926996E-4</v>
      </c>
      <c r="BD207" s="164">
        <v>-5.2837539307926996E-4</v>
      </c>
      <c r="BE207" s="164">
        <v>-6.8982996659853564E-6</v>
      </c>
      <c r="BF207" s="164">
        <v>-6.8982996659853564E-6</v>
      </c>
      <c r="BG207" s="164">
        <v>-6.8982996659853564E-6</v>
      </c>
      <c r="BH207" s="164">
        <v>-6.8982996659853564E-6</v>
      </c>
      <c r="BI207" s="164">
        <v>-6.8982996659853564E-6</v>
      </c>
      <c r="BJ207" s="164">
        <v>-3.4491498329926788E-5</v>
      </c>
      <c r="BK207" s="164">
        <v>-3.4491498329926788E-5</v>
      </c>
      <c r="BL207" s="164">
        <v>-3.4491498329926788E-5</v>
      </c>
      <c r="BM207" s="164">
        <v>-3.4491498329926788E-5</v>
      </c>
      <c r="BN207" s="164">
        <v>-3.4491498329926788E-5</v>
      </c>
      <c r="BO207" s="164">
        <v>-6.8982996659853564E-6</v>
      </c>
      <c r="BP207" s="164">
        <v>-6.8982996659853564E-6</v>
      </c>
      <c r="BQ207" s="164">
        <v>-6.8982996659853564E-6</v>
      </c>
      <c r="BR207" s="164">
        <v>-6.8982996659853564E-6</v>
      </c>
      <c r="BS207" s="164">
        <v>-6.8982996659853564E-6</v>
      </c>
      <c r="BT207" s="164">
        <v>-6.8982996659853564E-6</v>
      </c>
      <c r="BU207" s="164">
        <v>-6.8982996659853564E-6</v>
      </c>
      <c r="BV207" s="164">
        <v>-6.8982996659853564E-6</v>
      </c>
      <c r="BW207" s="164">
        <v>-6.8982996659853564E-6</v>
      </c>
      <c r="BX207" s="164">
        <v>-6.8982996659853564E-6</v>
      </c>
      <c r="BY207" s="164">
        <v>-3.8155940908638231E-5</v>
      </c>
      <c r="BZ207" s="164">
        <v>-3.8155940908638231E-5</v>
      </c>
      <c r="CA207" s="164">
        <v>-3.8155940908638231E-5</v>
      </c>
      <c r="CB207" s="164">
        <v>-3.8155940908638231E-5</v>
      </c>
      <c r="CC207" s="164">
        <v>-5.0874587878184312E-5</v>
      </c>
      <c r="CD207" s="164">
        <v>-5.0874587878184312E-5</v>
      </c>
      <c r="CE207" s="164">
        <v>-5.0874587878184312E-5</v>
      </c>
      <c r="CF207" s="164">
        <v>-5.0874587878184312E-5</v>
      </c>
      <c r="CG207" s="164">
        <v>-2.5437293939092156E-5</v>
      </c>
      <c r="CH207" s="164">
        <v>-2.5437293939092156E-5</v>
      </c>
      <c r="CI207" s="164">
        <v>-2.5437293939092156E-5</v>
      </c>
      <c r="CJ207" s="164">
        <v>-2.5437293939092156E-5</v>
      </c>
      <c r="CK207" s="164">
        <v>-3.8155940908638231E-5</v>
      </c>
      <c r="CL207" s="164">
        <v>-3.8155940908638231E-5</v>
      </c>
      <c r="CM207" s="164">
        <v>-3.8155940908638231E-5</v>
      </c>
      <c r="CN207" s="164">
        <v>-3.8155940908638231E-5</v>
      </c>
      <c r="CO207" s="164">
        <v>-2.5437293939092159E-5</v>
      </c>
      <c r="CP207" s="164">
        <v>-2.5437293939092159E-5</v>
      </c>
      <c r="CQ207" s="164">
        <v>-2.5437293939092159E-5</v>
      </c>
      <c r="CR207" s="164">
        <v>-2.5437293939092159E-5</v>
      </c>
      <c r="CS207" s="164">
        <v>-9.8813060523915441E-4</v>
      </c>
      <c r="CT207" s="164">
        <v>-9.8813060523915441E-4</v>
      </c>
      <c r="CU207" s="164">
        <v>-9.8813060523915441E-4</v>
      </c>
      <c r="CV207" s="164">
        <v>-7.4109795392936575E-4</v>
      </c>
      <c r="CW207" s="164">
        <v>-7.4109795392936575E-4</v>
      </c>
      <c r="CX207" s="164">
        <v>-7.4109795392936575E-4</v>
      </c>
      <c r="CY207" s="164">
        <v>-3.8819416634395349E-4</v>
      </c>
      <c r="CZ207" s="164">
        <v>-3.8819416634395349E-4</v>
      </c>
      <c r="DA207" s="164">
        <v>-3.8819416634395349E-4</v>
      </c>
      <c r="DB207" s="164">
        <v>-6.9675876010453195E-4</v>
      </c>
      <c r="DC207" s="164">
        <v>-6.9675876010453195E-4</v>
      </c>
      <c r="DD207" s="164">
        <v>-6.9675876010453195E-4</v>
      </c>
      <c r="DE207" s="164">
        <v>-5.2837539307926996E-4</v>
      </c>
      <c r="DF207" s="164">
        <v>-5.2837539307926996E-4</v>
      </c>
      <c r="DG207" s="164">
        <v>-5.2837539307926996E-4</v>
      </c>
      <c r="DH207" s="164">
        <v>-6.8982996659853564E-6</v>
      </c>
      <c r="DI207" s="164">
        <v>-6.8982996659853564E-6</v>
      </c>
      <c r="DJ207" s="164">
        <v>-6.8982996659853564E-6</v>
      </c>
      <c r="DK207" s="164">
        <v>-6.8982996659853564E-6</v>
      </c>
      <c r="DL207" s="164">
        <v>-6.8982996659853564E-6</v>
      </c>
      <c r="DM207" s="164">
        <v>-3.4491498329926788E-5</v>
      </c>
      <c r="DN207" s="164">
        <v>-3.4491498329926788E-5</v>
      </c>
      <c r="DO207" s="164">
        <v>-3.4491498329926788E-5</v>
      </c>
      <c r="DP207" s="164">
        <v>-3.4491498329926788E-5</v>
      </c>
      <c r="DQ207" s="164">
        <v>-3.4491498329926788E-5</v>
      </c>
      <c r="DR207" s="164">
        <v>-6.8982996659853564E-6</v>
      </c>
      <c r="DS207" s="164">
        <v>-6.8982996659853564E-6</v>
      </c>
      <c r="DT207" s="164">
        <v>-6.8982996659853564E-6</v>
      </c>
      <c r="DU207" s="164">
        <v>-6.8982996659853564E-6</v>
      </c>
      <c r="DV207" s="164">
        <v>-6.8982996659853564E-6</v>
      </c>
      <c r="DW207" s="164">
        <v>-6.8982996659853564E-6</v>
      </c>
      <c r="DX207" s="164">
        <v>-6.8982996659853564E-6</v>
      </c>
      <c r="DY207" s="164">
        <v>-6.8982996659853564E-6</v>
      </c>
      <c r="DZ207" s="164">
        <v>-6.8982996659853564E-6</v>
      </c>
      <c r="EA207" s="164">
        <v>-6.8982996659853564E-6</v>
      </c>
      <c r="EB207" s="164">
        <v>-3.8155940908638231E-5</v>
      </c>
      <c r="EC207" s="164">
        <v>-3.8155940908638231E-5</v>
      </c>
      <c r="ED207" s="164">
        <v>-3.8155940908638231E-5</v>
      </c>
      <c r="EE207" s="164">
        <v>-3.8155940908638231E-5</v>
      </c>
      <c r="EF207" s="164">
        <v>-5.0874587878184312E-5</v>
      </c>
      <c r="EG207" s="164">
        <v>-5.0874587878184312E-5</v>
      </c>
      <c r="EH207" s="164">
        <v>-5.0874587878184312E-5</v>
      </c>
      <c r="EI207" s="164">
        <v>-5.0874587878184312E-5</v>
      </c>
      <c r="EJ207" s="164">
        <v>-2.5437293939092156E-5</v>
      </c>
      <c r="EK207" s="164">
        <v>-2.5437293939092156E-5</v>
      </c>
      <c r="EL207" s="164">
        <v>-2.5437293939092156E-5</v>
      </c>
      <c r="EM207" s="164">
        <v>-2.5437293939092156E-5</v>
      </c>
      <c r="EN207" s="164">
        <v>-3.8155940908638231E-5</v>
      </c>
      <c r="EO207" s="164">
        <v>-3.8155940908638231E-5</v>
      </c>
      <c r="EP207" s="164">
        <v>-3.8155940908638231E-5</v>
      </c>
      <c r="EQ207" s="164">
        <v>-3.8155940908638231E-5</v>
      </c>
      <c r="ER207" s="164">
        <v>-2.5437293939092159E-5</v>
      </c>
      <c r="ES207" s="164">
        <v>-2.5437293939092159E-5</v>
      </c>
      <c r="ET207" s="164">
        <v>-2.5437293939092159E-5</v>
      </c>
      <c r="EU207" s="164">
        <v>-2.5437293939092159E-5</v>
      </c>
      <c r="EV207" s="164">
        <v>-9.8813060523915441E-4</v>
      </c>
      <c r="EW207" s="164">
        <v>-9.8813060523915441E-4</v>
      </c>
      <c r="EX207" s="164">
        <v>-9.8813060523915441E-4</v>
      </c>
      <c r="EY207" s="164">
        <v>-7.4109795392936575E-4</v>
      </c>
      <c r="EZ207" s="164">
        <v>-7.4109795392936575E-4</v>
      </c>
      <c r="FA207" s="164">
        <v>-7.4109795392936575E-4</v>
      </c>
      <c r="FB207" s="164">
        <v>-3.8819416634395349E-4</v>
      </c>
      <c r="FC207" s="164">
        <v>-3.8819416634395349E-4</v>
      </c>
      <c r="FD207" s="164">
        <v>-3.8819416634395349E-4</v>
      </c>
      <c r="FE207" s="164">
        <v>-6.9675876010453195E-4</v>
      </c>
      <c r="FF207" s="164">
        <v>-6.9675876010453195E-4</v>
      </c>
      <c r="FG207" s="164">
        <v>-6.9675876010453195E-4</v>
      </c>
      <c r="FH207" s="164">
        <v>-5.2837539307926996E-4</v>
      </c>
      <c r="FI207" s="164">
        <v>-5.2837539307926996E-4</v>
      </c>
      <c r="FJ207" s="164">
        <v>-5.2837539307926996E-4</v>
      </c>
    </row>
    <row r="208" spans="1:166" x14ac:dyDescent="0.25">
      <c r="A208" s="164" t="s">
        <v>37</v>
      </c>
      <c r="B208" s="164">
        <v>1.0654632223259673E-3</v>
      </c>
      <c r="C208" s="164">
        <v>1.0654632223259673E-3</v>
      </c>
      <c r="D208" s="164">
        <v>1.0654632223259673E-3</v>
      </c>
      <c r="E208" s="164">
        <v>1.0654632223259673E-3</v>
      </c>
      <c r="F208" s="164">
        <v>1.0654632223259673E-3</v>
      </c>
      <c r="G208" s="164">
        <v>1.0654632223259673E-3</v>
      </c>
      <c r="H208" s="164">
        <v>1.0654632223259673E-3</v>
      </c>
      <c r="I208" s="164">
        <v>1.0654632223259673E-3</v>
      </c>
      <c r="J208" s="164">
        <v>1.0654632223259673E-3</v>
      </c>
      <c r="K208" s="164">
        <v>1.0654632223259673E-3</v>
      </c>
      <c r="L208" s="164">
        <v>1.0654632223259673E-3</v>
      </c>
      <c r="M208" s="164">
        <v>1.0654632223259673E-3</v>
      </c>
      <c r="N208" s="164">
        <v>1.0654632223259673E-3</v>
      </c>
      <c r="O208" s="164">
        <v>1.0654632223259673E-3</v>
      </c>
      <c r="P208" s="164">
        <v>1.0654632223259673E-3</v>
      </c>
      <c r="Q208" s="164">
        <v>1.0654632223259673E-3</v>
      </c>
      <c r="R208" s="164">
        <v>1.0654632223259673E-3</v>
      </c>
      <c r="S208" s="164">
        <v>1.0654632223259673E-3</v>
      </c>
      <c r="T208" s="164">
        <v>1.0654632223259673E-3</v>
      </c>
      <c r="U208" s="164">
        <v>1.0654632223259673E-3</v>
      </c>
      <c r="V208" s="164">
        <v>1.6256502601040416E-3</v>
      </c>
      <c r="W208" s="164">
        <v>1.6256502601040416E-3</v>
      </c>
      <c r="X208" s="164">
        <v>1.6256502601040416E-3</v>
      </c>
      <c r="Y208" s="164">
        <v>1.6256502601040416E-3</v>
      </c>
      <c r="Z208" s="164">
        <v>1.5506202480992397E-3</v>
      </c>
      <c r="AA208" s="164">
        <v>1.5506202480992397E-3</v>
      </c>
      <c r="AB208" s="164">
        <v>1.5506202480992397E-3</v>
      </c>
      <c r="AC208" s="164">
        <v>1.5506202480992397E-3</v>
      </c>
      <c r="AD208" s="164">
        <v>1.525610244097639E-3</v>
      </c>
      <c r="AE208" s="164">
        <v>1.525610244097639E-3</v>
      </c>
      <c r="AF208" s="164">
        <v>1.525610244097639E-3</v>
      </c>
      <c r="AG208" s="164">
        <v>1.525610244097639E-3</v>
      </c>
      <c r="AH208" s="164">
        <v>3.6264505802320927E-3</v>
      </c>
      <c r="AI208" s="164">
        <v>3.6264505802320927E-3</v>
      </c>
      <c r="AJ208" s="164">
        <v>3.6264505802320927E-3</v>
      </c>
      <c r="AK208" s="164">
        <v>3.6264505802320927E-3</v>
      </c>
      <c r="AL208" s="164">
        <v>1.3005202080832333E-3</v>
      </c>
      <c r="AM208" s="164">
        <v>1.3005202080832333E-3</v>
      </c>
      <c r="AN208" s="164">
        <v>1.3005202080832333E-3</v>
      </c>
      <c r="AO208" s="164">
        <v>1.3005202080832333E-3</v>
      </c>
      <c r="AP208" s="164">
        <v>5.0909090909090911E-2</v>
      </c>
      <c r="AQ208" s="164">
        <v>5.0909090909090911E-2</v>
      </c>
      <c r="AR208" s="164">
        <v>5.0909090909090911E-2</v>
      </c>
      <c r="AS208" s="164">
        <v>2.5454545454545455E-2</v>
      </c>
      <c r="AT208" s="164">
        <v>2.5454545454545455E-2</v>
      </c>
      <c r="AU208" s="164">
        <v>2.5454545454545455E-2</v>
      </c>
      <c r="AV208" s="164">
        <v>2.6666666666666665E-2</v>
      </c>
      <c r="AW208" s="164">
        <v>2.6666666666666665E-2</v>
      </c>
      <c r="AX208" s="164">
        <v>2.6666666666666665E-2</v>
      </c>
      <c r="AY208" s="164">
        <v>3.5897435897435902E-2</v>
      </c>
      <c r="AZ208" s="164">
        <v>3.5897435897435902E-2</v>
      </c>
      <c r="BA208" s="164">
        <v>3.5897435897435902E-2</v>
      </c>
      <c r="BB208" s="164">
        <v>3.111111111111111E-2</v>
      </c>
      <c r="BC208" s="164">
        <v>3.111111111111111E-2</v>
      </c>
      <c r="BD208" s="164">
        <v>3.111111111111111E-2</v>
      </c>
      <c r="BE208" s="164">
        <v>1.0654632223259673E-3</v>
      </c>
      <c r="BF208" s="164">
        <v>1.0654632223259673E-3</v>
      </c>
      <c r="BG208" s="164">
        <v>1.0654632223259673E-3</v>
      </c>
      <c r="BH208" s="164">
        <v>1.0654632223259673E-3</v>
      </c>
      <c r="BI208" s="164">
        <v>1.0654632223259673E-3</v>
      </c>
      <c r="BJ208" s="164">
        <v>1.0654632223259673E-3</v>
      </c>
      <c r="BK208" s="164">
        <v>1.0654632223259673E-3</v>
      </c>
      <c r="BL208" s="164">
        <v>1.0654632223259673E-3</v>
      </c>
      <c r="BM208" s="164">
        <v>1.0654632223259673E-3</v>
      </c>
      <c r="BN208" s="164">
        <v>1.0654632223259673E-3</v>
      </c>
      <c r="BO208" s="164">
        <v>1.0654632223259673E-3</v>
      </c>
      <c r="BP208" s="164">
        <v>1.0654632223259673E-3</v>
      </c>
      <c r="BQ208" s="164">
        <v>1.0654632223259673E-3</v>
      </c>
      <c r="BR208" s="164">
        <v>1.0654632223259673E-3</v>
      </c>
      <c r="BS208" s="164">
        <v>1.0654632223259673E-3</v>
      </c>
      <c r="BT208" s="164">
        <v>1.0654632223259673E-3</v>
      </c>
      <c r="BU208" s="164">
        <v>1.0654632223259673E-3</v>
      </c>
      <c r="BV208" s="164">
        <v>1.0654632223259673E-3</v>
      </c>
      <c r="BW208" s="164">
        <v>1.0654632223259673E-3</v>
      </c>
      <c r="BX208" s="164">
        <v>1.0654632223259673E-3</v>
      </c>
      <c r="BY208" s="164">
        <v>1.6256502601040416E-3</v>
      </c>
      <c r="BZ208" s="164">
        <v>1.6256502601040416E-3</v>
      </c>
      <c r="CA208" s="164">
        <v>1.6256502601040416E-3</v>
      </c>
      <c r="CB208" s="164">
        <v>1.6256502601040416E-3</v>
      </c>
      <c r="CC208" s="164">
        <v>1.5506202480992397E-3</v>
      </c>
      <c r="CD208" s="164">
        <v>1.5506202480992397E-3</v>
      </c>
      <c r="CE208" s="164">
        <v>1.5506202480992397E-3</v>
      </c>
      <c r="CF208" s="164">
        <v>1.5506202480992397E-3</v>
      </c>
      <c r="CG208" s="164">
        <v>1.525610244097639E-3</v>
      </c>
      <c r="CH208" s="164">
        <v>1.525610244097639E-3</v>
      </c>
      <c r="CI208" s="164">
        <v>1.525610244097639E-3</v>
      </c>
      <c r="CJ208" s="164">
        <v>1.525610244097639E-3</v>
      </c>
      <c r="CK208" s="164">
        <v>3.6264505802320927E-3</v>
      </c>
      <c r="CL208" s="164">
        <v>3.6264505802320927E-3</v>
      </c>
      <c r="CM208" s="164">
        <v>3.6264505802320927E-3</v>
      </c>
      <c r="CN208" s="164">
        <v>3.6264505802320927E-3</v>
      </c>
      <c r="CO208" s="164">
        <v>1.3005202080832333E-3</v>
      </c>
      <c r="CP208" s="164">
        <v>1.3005202080832333E-3</v>
      </c>
      <c r="CQ208" s="164">
        <v>1.3005202080832333E-3</v>
      </c>
      <c r="CR208" s="164">
        <v>1.3005202080832333E-3</v>
      </c>
      <c r="CS208" s="164">
        <v>5.0909090909090911E-2</v>
      </c>
      <c r="CT208" s="164">
        <v>5.0909090909090911E-2</v>
      </c>
      <c r="CU208" s="164">
        <v>5.0909090909090911E-2</v>
      </c>
      <c r="CV208" s="164">
        <v>2.5454545454545455E-2</v>
      </c>
      <c r="CW208" s="164">
        <v>2.5454545454545455E-2</v>
      </c>
      <c r="CX208" s="164">
        <v>2.5454545454545455E-2</v>
      </c>
      <c r="CY208" s="164">
        <v>2.6666666666666665E-2</v>
      </c>
      <c r="CZ208" s="164">
        <v>2.6666666666666665E-2</v>
      </c>
      <c r="DA208" s="164">
        <v>2.6666666666666665E-2</v>
      </c>
      <c r="DB208" s="164">
        <v>3.5897435897435902E-2</v>
      </c>
      <c r="DC208" s="164">
        <v>3.5897435897435902E-2</v>
      </c>
      <c r="DD208" s="164">
        <v>3.5897435897435902E-2</v>
      </c>
      <c r="DE208" s="164">
        <v>3.111111111111111E-2</v>
      </c>
      <c r="DF208" s="164">
        <v>3.111111111111111E-2</v>
      </c>
      <c r="DG208" s="164">
        <v>3.111111111111111E-2</v>
      </c>
      <c r="DH208" s="164">
        <v>1.0654632223259673E-3</v>
      </c>
      <c r="DI208" s="164">
        <v>1.0654632223259673E-3</v>
      </c>
      <c r="DJ208" s="164">
        <v>1.0654632223259673E-3</v>
      </c>
      <c r="DK208" s="164">
        <v>1.0654632223259673E-3</v>
      </c>
      <c r="DL208" s="164">
        <v>1.0654632223259673E-3</v>
      </c>
      <c r="DM208" s="164">
        <v>1.0654632223259673E-3</v>
      </c>
      <c r="DN208" s="164">
        <v>1.0654632223259673E-3</v>
      </c>
      <c r="DO208" s="164">
        <v>1.0654632223259673E-3</v>
      </c>
      <c r="DP208" s="164">
        <v>1.0654632223259673E-3</v>
      </c>
      <c r="DQ208" s="164">
        <v>1.0654632223259673E-3</v>
      </c>
      <c r="DR208" s="164">
        <v>1.0654632223259673E-3</v>
      </c>
      <c r="DS208" s="164">
        <v>1.0654632223259673E-3</v>
      </c>
      <c r="DT208" s="164">
        <v>1.0654632223259673E-3</v>
      </c>
      <c r="DU208" s="164">
        <v>1.0654632223259673E-3</v>
      </c>
      <c r="DV208" s="164">
        <v>1.0654632223259673E-3</v>
      </c>
      <c r="DW208" s="164">
        <v>1.0654632223259673E-3</v>
      </c>
      <c r="DX208" s="164">
        <v>1.0654632223259673E-3</v>
      </c>
      <c r="DY208" s="164">
        <v>1.0654632223259673E-3</v>
      </c>
      <c r="DZ208" s="164">
        <v>1.0654632223259673E-3</v>
      </c>
      <c r="EA208" s="164">
        <v>1.0654632223259673E-3</v>
      </c>
      <c r="EB208" s="164">
        <v>1.6256502601040416E-3</v>
      </c>
      <c r="EC208" s="164">
        <v>1.6256502601040416E-3</v>
      </c>
      <c r="ED208" s="164">
        <v>1.6256502601040416E-3</v>
      </c>
      <c r="EE208" s="164">
        <v>1.6256502601040416E-3</v>
      </c>
      <c r="EF208" s="164">
        <v>1.5506202480992397E-3</v>
      </c>
      <c r="EG208" s="164">
        <v>1.5506202480992397E-3</v>
      </c>
      <c r="EH208" s="164">
        <v>1.5506202480992397E-3</v>
      </c>
      <c r="EI208" s="164">
        <v>1.5506202480992397E-3</v>
      </c>
      <c r="EJ208" s="164">
        <v>1.525610244097639E-3</v>
      </c>
      <c r="EK208" s="164">
        <v>1.525610244097639E-3</v>
      </c>
      <c r="EL208" s="164">
        <v>1.525610244097639E-3</v>
      </c>
      <c r="EM208" s="164">
        <v>1.525610244097639E-3</v>
      </c>
      <c r="EN208" s="164">
        <v>3.6264505802320927E-3</v>
      </c>
      <c r="EO208" s="164">
        <v>3.6264505802320927E-3</v>
      </c>
      <c r="EP208" s="164">
        <v>3.6264505802320927E-3</v>
      </c>
      <c r="EQ208" s="164">
        <v>3.6264505802320927E-3</v>
      </c>
      <c r="ER208" s="164">
        <v>1.3005202080832333E-3</v>
      </c>
      <c r="ES208" s="164">
        <v>1.3005202080832333E-3</v>
      </c>
      <c r="ET208" s="164">
        <v>1.3005202080832333E-3</v>
      </c>
      <c r="EU208" s="164">
        <v>1.3005202080832333E-3</v>
      </c>
      <c r="EV208" s="164">
        <v>5.0909090909090911E-2</v>
      </c>
      <c r="EW208" s="164">
        <v>5.0909090909090911E-2</v>
      </c>
      <c r="EX208" s="164">
        <v>5.0909090909090911E-2</v>
      </c>
      <c r="EY208" s="164">
        <v>2.5454545454545455E-2</v>
      </c>
      <c r="EZ208" s="164">
        <v>2.5454545454545455E-2</v>
      </c>
      <c r="FA208" s="164">
        <v>2.5454545454545455E-2</v>
      </c>
      <c r="FB208" s="164">
        <v>2.6666666666666665E-2</v>
      </c>
      <c r="FC208" s="164">
        <v>2.6666666666666665E-2</v>
      </c>
      <c r="FD208" s="164">
        <v>2.6666666666666665E-2</v>
      </c>
      <c r="FE208" s="164">
        <v>3.5897435897435902E-2</v>
      </c>
      <c r="FF208" s="164">
        <v>3.5897435897435902E-2</v>
      </c>
      <c r="FG208" s="164">
        <v>3.5897435897435902E-2</v>
      </c>
      <c r="FH208" s="164">
        <v>3.111111111111111E-2</v>
      </c>
      <c r="FI208" s="164">
        <v>3.111111111111111E-2</v>
      </c>
      <c r="FJ208" s="164">
        <v>3.111111111111111E-2</v>
      </c>
    </row>
    <row r="209" spans="1:166" x14ac:dyDescent="0.25">
      <c r="A209" s="164" t="s">
        <v>52</v>
      </c>
      <c r="B209" s="164">
        <v>4.305425874053325E-4</v>
      </c>
      <c r="C209" s="164">
        <v>4.305425874053325E-4</v>
      </c>
      <c r="D209" s="164">
        <v>2.9878618113912231E-4</v>
      </c>
      <c r="E209" s="164">
        <v>2.9878618113912231E-4</v>
      </c>
      <c r="F209" s="164">
        <v>4.305425874053325E-4</v>
      </c>
      <c r="G209" s="164">
        <v>4.305425874053325E-4</v>
      </c>
      <c r="H209" s="164">
        <v>4.305425874053325E-4</v>
      </c>
      <c r="I209" s="164">
        <v>2.9878618113912231E-4</v>
      </c>
      <c r="J209" s="164">
        <v>2.9878618113912231E-4</v>
      </c>
      <c r="K209" s="164">
        <v>4.305425874053325E-4</v>
      </c>
      <c r="L209" s="164">
        <v>4.305425874053325E-4</v>
      </c>
      <c r="M209" s="164">
        <v>4.305425874053325E-4</v>
      </c>
      <c r="N209" s="164">
        <v>2.9878618113912231E-4</v>
      </c>
      <c r="O209" s="164">
        <v>2.9878618113912231E-4</v>
      </c>
      <c r="P209" s="164">
        <v>4.305425874053325E-4</v>
      </c>
      <c r="Q209" s="164">
        <v>4.305425874053325E-4</v>
      </c>
      <c r="R209" s="164">
        <v>4.305425874053325E-4</v>
      </c>
      <c r="S209" s="164">
        <v>2.9878618113912231E-4</v>
      </c>
      <c r="T209" s="164">
        <v>2.9878618113912231E-4</v>
      </c>
      <c r="U209" s="164">
        <v>4.305425874053325E-4</v>
      </c>
      <c r="V209" s="164">
        <v>2.6260504201680674E-3</v>
      </c>
      <c r="W209" s="164">
        <v>1.6256502601040416E-3</v>
      </c>
      <c r="X209" s="164">
        <v>3.235203975384487E-3</v>
      </c>
      <c r="Y209" s="164">
        <v>3.4736649752972778E-3</v>
      </c>
      <c r="Z209" s="164">
        <v>2.6260504201680674E-3</v>
      </c>
      <c r="AA209" s="164">
        <v>1.6256502601040416E-3</v>
      </c>
      <c r="AB209" s="164">
        <v>3.235203975384487E-3</v>
      </c>
      <c r="AC209" s="164">
        <v>3.4736649752972778E-3</v>
      </c>
      <c r="AD209" s="164">
        <v>2.6260504201680674E-3</v>
      </c>
      <c r="AE209" s="164">
        <v>1.6256502601040416E-3</v>
      </c>
      <c r="AF209" s="164">
        <v>3.235203975384487E-3</v>
      </c>
      <c r="AG209" s="164">
        <v>3.4736649752972778E-3</v>
      </c>
      <c r="AH209" s="164">
        <v>2.6260504201680674E-3</v>
      </c>
      <c r="AI209" s="164">
        <v>1.6256502601040416E-3</v>
      </c>
      <c r="AJ209" s="164">
        <v>3.235203975384487E-3</v>
      </c>
      <c r="AK209" s="164">
        <v>3.4736649752972778E-3</v>
      </c>
      <c r="AL209" s="164">
        <v>2.1008403361344541E-3</v>
      </c>
      <c r="AM209" s="164">
        <v>1.3005202080832333E-3</v>
      </c>
      <c r="AN209" s="164">
        <v>2.5881631803075897E-3</v>
      </c>
      <c r="AO209" s="164">
        <v>2.7789319802378224E-3</v>
      </c>
      <c r="AP209" s="164">
        <v>1.4545454545454545E-2</v>
      </c>
      <c r="AQ209" s="164">
        <v>1.0909090909090908E-2</v>
      </c>
      <c r="AR209" s="164">
        <v>1.868668998758358E-2</v>
      </c>
      <c r="AS209" s="164">
        <v>7.2727272727272727E-3</v>
      </c>
      <c r="AT209" s="164">
        <v>5.4545454545454541E-3</v>
      </c>
      <c r="AU209" s="164">
        <v>9.3433449937917901E-3</v>
      </c>
      <c r="AV209" s="164">
        <v>7.619047619047619E-3</v>
      </c>
      <c r="AW209" s="164">
        <v>5.7142857142857143E-3</v>
      </c>
      <c r="AX209" s="164">
        <v>9.7882661839723516E-3</v>
      </c>
      <c r="AY209" s="164">
        <v>1.0256410256410255E-2</v>
      </c>
      <c r="AZ209" s="164">
        <v>7.6923076923076927E-3</v>
      </c>
      <c r="BA209" s="164">
        <v>1.3176512170732011E-2</v>
      </c>
      <c r="BB209" s="164">
        <v>8.8888888888888889E-3</v>
      </c>
      <c r="BC209" s="164">
        <v>6.6666666666666662E-3</v>
      </c>
      <c r="BD209" s="164">
        <v>1.1419643881301077E-2</v>
      </c>
      <c r="BE209" s="164">
        <v>4.305425874053325E-4</v>
      </c>
      <c r="BF209" s="164">
        <v>4.305425874053325E-4</v>
      </c>
      <c r="BG209" s="164">
        <v>2.9878618113912231E-4</v>
      </c>
      <c r="BH209" s="164">
        <v>2.9878618113912231E-4</v>
      </c>
      <c r="BI209" s="164">
        <v>4.305425874053325E-4</v>
      </c>
      <c r="BJ209" s="164">
        <v>4.305425874053325E-4</v>
      </c>
      <c r="BK209" s="164">
        <v>4.305425874053325E-4</v>
      </c>
      <c r="BL209" s="164">
        <v>2.9878618113912231E-4</v>
      </c>
      <c r="BM209" s="164">
        <v>2.9878618113912231E-4</v>
      </c>
      <c r="BN209" s="164">
        <v>4.305425874053325E-4</v>
      </c>
      <c r="BO209" s="164">
        <v>4.305425874053325E-4</v>
      </c>
      <c r="BP209" s="164">
        <v>4.305425874053325E-4</v>
      </c>
      <c r="BQ209" s="164">
        <v>2.9878618113912231E-4</v>
      </c>
      <c r="BR209" s="164">
        <v>2.9878618113912231E-4</v>
      </c>
      <c r="BS209" s="164">
        <v>4.305425874053325E-4</v>
      </c>
      <c r="BT209" s="164">
        <v>4.305425874053325E-4</v>
      </c>
      <c r="BU209" s="164">
        <v>4.305425874053325E-4</v>
      </c>
      <c r="BV209" s="164">
        <v>2.9878618113912231E-4</v>
      </c>
      <c r="BW209" s="164">
        <v>2.9878618113912231E-4</v>
      </c>
      <c r="BX209" s="164">
        <v>4.305425874053325E-4</v>
      </c>
      <c r="BY209" s="164">
        <v>2.6260504201680674E-3</v>
      </c>
      <c r="BZ209" s="164">
        <v>1.6256502601040416E-3</v>
      </c>
      <c r="CA209" s="164">
        <v>2.7152291126929309E-3</v>
      </c>
      <c r="CB209" s="164">
        <v>2.5777082888133671E-3</v>
      </c>
      <c r="CC209" s="164">
        <v>2.6260504201680674E-3</v>
      </c>
      <c r="CD209" s="164">
        <v>1.6256502601040416E-3</v>
      </c>
      <c r="CE209" s="164">
        <v>2.7152291126929309E-3</v>
      </c>
      <c r="CF209" s="164">
        <v>2.5777082888133671E-3</v>
      </c>
      <c r="CG209" s="164">
        <v>2.6260504201680674E-3</v>
      </c>
      <c r="CH209" s="164">
        <v>1.6256502601040416E-3</v>
      </c>
      <c r="CI209" s="164">
        <v>2.7152291126929309E-3</v>
      </c>
      <c r="CJ209" s="164">
        <v>2.5777082888133671E-3</v>
      </c>
      <c r="CK209" s="164">
        <v>2.6260504201680674E-3</v>
      </c>
      <c r="CL209" s="164">
        <v>1.6256502601040416E-3</v>
      </c>
      <c r="CM209" s="164">
        <v>2.7152291126929309E-3</v>
      </c>
      <c r="CN209" s="164">
        <v>2.5777082888133671E-3</v>
      </c>
      <c r="CO209" s="164">
        <v>2.1008403361344541E-3</v>
      </c>
      <c r="CP209" s="164">
        <v>1.3005202080832333E-3</v>
      </c>
      <c r="CQ209" s="164">
        <v>2.1721832901543448E-3</v>
      </c>
      <c r="CR209" s="164">
        <v>2.0621666310506933E-3</v>
      </c>
      <c r="CS209" s="164">
        <v>1.4545454545454545E-2</v>
      </c>
      <c r="CT209" s="164">
        <v>1.0909090909090908E-2</v>
      </c>
      <c r="CU209" s="164">
        <v>1.474292064798436E-2</v>
      </c>
      <c r="CV209" s="164">
        <v>7.2727272727272727E-3</v>
      </c>
      <c r="CW209" s="164">
        <v>5.4545454545454541E-3</v>
      </c>
      <c r="CX209" s="164">
        <v>7.3714603239921801E-3</v>
      </c>
      <c r="CY209" s="164">
        <v>7.619047619047619E-3</v>
      </c>
      <c r="CZ209" s="164">
        <v>5.7142857142857143E-3</v>
      </c>
      <c r="DA209" s="164">
        <v>7.7224822441822839E-3</v>
      </c>
      <c r="DB209" s="164">
        <v>1.0256410256410255E-2</v>
      </c>
      <c r="DC209" s="164">
        <v>7.6923076923076927E-3</v>
      </c>
      <c r="DD209" s="164">
        <v>1.0395649174860766E-2</v>
      </c>
      <c r="DE209" s="164">
        <v>8.8888888888888889E-3</v>
      </c>
      <c r="DF209" s="164">
        <v>6.6666666666666662E-3</v>
      </c>
      <c r="DG209" s="164">
        <v>9.0095626182126638E-3</v>
      </c>
      <c r="DH209" s="164">
        <v>4.305425874053325E-4</v>
      </c>
      <c r="DI209" s="164">
        <v>4.305425874053325E-4</v>
      </c>
      <c r="DJ209" s="164">
        <v>2.9878618113912231E-4</v>
      </c>
      <c r="DK209" s="164">
        <v>2.9878618113912231E-4</v>
      </c>
      <c r="DL209" s="164">
        <v>4.305425874053325E-4</v>
      </c>
      <c r="DM209" s="164">
        <v>4.305425874053325E-4</v>
      </c>
      <c r="DN209" s="164">
        <v>4.305425874053325E-4</v>
      </c>
      <c r="DO209" s="164">
        <v>2.9878618113912231E-4</v>
      </c>
      <c r="DP209" s="164">
        <v>2.9878618113912231E-4</v>
      </c>
      <c r="DQ209" s="164">
        <v>4.305425874053325E-4</v>
      </c>
      <c r="DR209" s="164">
        <v>4.305425874053325E-4</v>
      </c>
      <c r="DS209" s="164">
        <v>4.305425874053325E-4</v>
      </c>
      <c r="DT209" s="164">
        <v>2.9878618113912231E-4</v>
      </c>
      <c r="DU209" s="164">
        <v>2.9878618113912231E-4</v>
      </c>
      <c r="DV209" s="164">
        <v>4.305425874053325E-4</v>
      </c>
      <c r="DW209" s="164">
        <v>4.305425874053325E-4</v>
      </c>
      <c r="DX209" s="164">
        <v>4.305425874053325E-4</v>
      </c>
      <c r="DY209" s="164">
        <v>2.9878618113912231E-4</v>
      </c>
      <c r="DZ209" s="164">
        <v>2.9878618113912231E-4</v>
      </c>
      <c r="EA209" s="164">
        <v>4.305425874053325E-4</v>
      </c>
      <c r="EB209" s="164">
        <v>2.6260504201680674E-3</v>
      </c>
      <c r="EC209" s="164">
        <v>1.6256502601040416E-3</v>
      </c>
      <c r="ED209" s="164">
        <v>2.0347764046985059E-3</v>
      </c>
      <c r="EE209" s="164">
        <v>1.4052359304229719E-3</v>
      </c>
      <c r="EF209" s="164">
        <v>2.6260504201680674E-3</v>
      </c>
      <c r="EG209" s="164">
        <v>1.6256502601040416E-3</v>
      </c>
      <c r="EH209" s="164">
        <v>2.0347764046985059E-3</v>
      </c>
      <c r="EI209" s="164">
        <v>1.4052359304229719E-3</v>
      </c>
      <c r="EJ209" s="164">
        <v>2.6260504201680674E-3</v>
      </c>
      <c r="EK209" s="164">
        <v>1.6256502601040416E-3</v>
      </c>
      <c r="EL209" s="164">
        <v>2.0347764046985059E-3</v>
      </c>
      <c r="EM209" s="164">
        <v>1.4052359304229719E-3</v>
      </c>
      <c r="EN209" s="164">
        <v>2.6260504201680674E-3</v>
      </c>
      <c r="EO209" s="164">
        <v>1.6256502601040416E-3</v>
      </c>
      <c r="EP209" s="164">
        <v>2.0347764046985059E-3</v>
      </c>
      <c r="EQ209" s="164">
        <v>1.4052359304229719E-3</v>
      </c>
      <c r="ER209" s="164">
        <v>2.1008403361344541E-3</v>
      </c>
      <c r="ES209" s="164">
        <v>1.3005202080832333E-3</v>
      </c>
      <c r="ET209" s="164">
        <v>1.6278211237588046E-3</v>
      </c>
      <c r="EU209" s="164">
        <v>1.1241887443383775E-3</v>
      </c>
      <c r="EV209" s="164">
        <v>1.4545454545454545E-2</v>
      </c>
      <c r="EW209" s="164">
        <v>1.0909090909090908E-2</v>
      </c>
      <c r="EX209" s="164">
        <v>1.3094815714923418E-2</v>
      </c>
      <c r="EY209" s="164">
        <v>7.2727272727272727E-3</v>
      </c>
      <c r="EZ209" s="164">
        <v>5.4545454545454541E-3</v>
      </c>
      <c r="FA209" s="164">
        <v>6.5474078574617092E-3</v>
      </c>
      <c r="FB209" s="164">
        <v>7.619047619047619E-3</v>
      </c>
      <c r="FC209" s="164">
        <v>5.7142857142857143E-3</v>
      </c>
      <c r="FD209" s="164">
        <v>6.8591891840075045E-3</v>
      </c>
      <c r="FE209" s="164">
        <v>1.0256410256410255E-2</v>
      </c>
      <c r="FF209" s="164">
        <v>7.6923076923076927E-3</v>
      </c>
      <c r="FG209" s="164">
        <v>9.2335239015485654E-3</v>
      </c>
      <c r="FH209" s="164">
        <v>8.8888888888888889E-3</v>
      </c>
      <c r="FI209" s="164">
        <v>6.6666666666666662E-3</v>
      </c>
      <c r="FJ209" s="164">
        <v>8.0023873813420895E-3</v>
      </c>
    </row>
    <row r="210" spans="1:166" x14ac:dyDescent="0.25">
      <c r="A210" s="164" t="s">
        <v>272</v>
      </c>
      <c r="B210" s="164">
        <v>8.9502842587904882E-5</v>
      </c>
      <c r="C210" s="164">
        <v>8.9502842587904882E-5</v>
      </c>
      <c r="D210" s="164">
        <v>8.9502842587904882E-5</v>
      </c>
      <c r="E210" s="164">
        <v>8.9502842587904882E-5</v>
      </c>
      <c r="F210" s="164">
        <v>8.9502842587904882E-5</v>
      </c>
      <c r="G210" s="164">
        <v>1.7869725535414797E-4</v>
      </c>
      <c r="H210" s="164">
        <v>1.7869725535414797E-4</v>
      </c>
      <c r="I210" s="164">
        <v>1.7869725535414797E-4</v>
      </c>
      <c r="J210" s="164">
        <v>1.7869725535414797E-4</v>
      </c>
      <c r="K210" s="164">
        <v>1.7869725535414797E-4</v>
      </c>
      <c r="L210" s="164">
        <v>8.6011184229469056E-5</v>
      </c>
      <c r="M210" s="164">
        <v>8.6011184229469056E-5</v>
      </c>
      <c r="N210" s="164">
        <v>8.6011184229469056E-5</v>
      </c>
      <c r="O210" s="164">
        <v>8.6011184229469056E-5</v>
      </c>
      <c r="P210" s="164">
        <v>8.6011184229469056E-5</v>
      </c>
      <c r="Q210" s="164">
        <v>8.6011184229469056E-5</v>
      </c>
      <c r="R210" s="164">
        <v>8.6011184229469056E-5</v>
      </c>
      <c r="S210" s="164">
        <v>8.6011184229469056E-5</v>
      </c>
      <c r="T210" s="164">
        <v>8.6011184229469056E-5</v>
      </c>
      <c r="U210" s="164">
        <v>8.6011184229469056E-5</v>
      </c>
      <c r="V210" s="164">
        <v>1.7507002801120447E-3</v>
      </c>
      <c r="W210" s="164">
        <v>1.7507002801120447E-3</v>
      </c>
      <c r="X210" s="164">
        <v>1.7507002801120447E-3</v>
      </c>
      <c r="Y210" s="164">
        <v>1.7507002801120447E-3</v>
      </c>
      <c r="Z210" s="164">
        <v>1.6256502601040416E-3</v>
      </c>
      <c r="AA210" s="164">
        <v>1.6256502601040416E-3</v>
      </c>
      <c r="AB210" s="164">
        <v>1.6256502601040416E-3</v>
      </c>
      <c r="AC210" s="164">
        <v>1.6256502601040416E-3</v>
      </c>
      <c r="AD210" s="164">
        <v>1.6256502601040416E-3</v>
      </c>
      <c r="AE210" s="164">
        <v>1.6256502601040416E-3</v>
      </c>
      <c r="AF210" s="164">
        <v>1.6256502601040416E-3</v>
      </c>
      <c r="AG210" s="164">
        <v>1.6256502601040416E-3</v>
      </c>
      <c r="AH210" s="164">
        <v>4.0016006402561026E-3</v>
      </c>
      <c r="AI210" s="164">
        <v>4.0016006402561026E-3</v>
      </c>
      <c r="AJ210" s="164">
        <v>4.0016006402561026E-3</v>
      </c>
      <c r="AK210" s="164">
        <v>4.0016006402561026E-3</v>
      </c>
      <c r="AL210" s="164">
        <v>1.4005602240896359E-3</v>
      </c>
      <c r="AM210" s="164">
        <v>1.4005602240896359E-3</v>
      </c>
      <c r="AN210" s="164">
        <v>1.4005602240896359E-3</v>
      </c>
      <c r="AO210" s="164">
        <v>1.4005602240896359E-3</v>
      </c>
      <c r="AP210" s="164">
        <v>4.4000000000000003E-3</v>
      </c>
      <c r="AQ210" s="164">
        <v>4.4000000000000003E-3</v>
      </c>
      <c r="AR210" s="164">
        <v>4.4000000000000003E-3</v>
      </c>
      <c r="AS210" s="164">
        <v>4.4000000000000003E-3</v>
      </c>
      <c r="AT210" s="164">
        <v>4.4000000000000003E-3</v>
      </c>
      <c r="AU210" s="164">
        <v>4.4000000000000003E-3</v>
      </c>
      <c r="AV210" s="164">
        <v>4.4000000000000003E-3</v>
      </c>
      <c r="AW210" s="164">
        <v>4.4000000000000003E-3</v>
      </c>
      <c r="AX210" s="164">
        <v>4.4000000000000003E-3</v>
      </c>
      <c r="AY210" s="164">
        <v>4.4000000000000003E-3</v>
      </c>
      <c r="AZ210" s="164">
        <v>4.4000000000000003E-3</v>
      </c>
      <c r="BA210" s="164">
        <v>4.4000000000000003E-3</v>
      </c>
      <c r="BB210" s="164">
        <v>4.4000000000000003E-3</v>
      </c>
      <c r="BC210" s="164">
        <v>4.4000000000000003E-3</v>
      </c>
      <c r="BD210" s="164">
        <v>4.4000000000000003E-3</v>
      </c>
      <c r="BE210" s="164">
        <v>8.9502842587904882E-5</v>
      </c>
      <c r="BF210" s="164">
        <v>8.9502842587904882E-5</v>
      </c>
      <c r="BG210" s="164">
        <v>8.9502842587904882E-5</v>
      </c>
      <c r="BH210" s="164">
        <v>8.9502842587904882E-5</v>
      </c>
      <c r="BI210" s="164">
        <v>8.9502842587904882E-5</v>
      </c>
      <c r="BJ210" s="164">
        <v>1.7869725535414797E-4</v>
      </c>
      <c r="BK210" s="164">
        <v>1.7869725535414797E-4</v>
      </c>
      <c r="BL210" s="164">
        <v>1.7869725535414797E-4</v>
      </c>
      <c r="BM210" s="164">
        <v>1.7869725535414797E-4</v>
      </c>
      <c r="BN210" s="164">
        <v>1.7869725535414797E-4</v>
      </c>
      <c r="BO210" s="164">
        <v>8.6011184229469056E-5</v>
      </c>
      <c r="BP210" s="164">
        <v>8.6011184229469056E-5</v>
      </c>
      <c r="BQ210" s="164">
        <v>8.6011184229469056E-5</v>
      </c>
      <c r="BR210" s="164">
        <v>8.6011184229469056E-5</v>
      </c>
      <c r="BS210" s="164">
        <v>8.6011184229469056E-5</v>
      </c>
      <c r="BT210" s="164">
        <v>8.6011184229469056E-5</v>
      </c>
      <c r="BU210" s="164">
        <v>8.6011184229469056E-5</v>
      </c>
      <c r="BV210" s="164">
        <v>8.6011184229469056E-5</v>
      </c>
      <c r="BW210" s="164">
        <v>8.6011184229469056E-5</v>
      </c>
      <c r="BX210" s="164">
        <v>8.6011184229469056E-5</v>
      </c>
      <c r="BY210" s="164">
        <v>1.7507002801120447E-3</v>
      </c>
      <c r="BZ210" s="164">
        <v>1.7507002801120447E-3</v>
      </c>
      <c r="CA210" s="164">
        <v>1.7507002801120447E-3</v>
      </c>
      <c r="CB210" s="164">
        <v>1.7507002801120447E-3</v>
      </c>
      <c r="CC210" s="164">
        <v>1.6256502601040416E-3</v>
      </c>
      <c r="CD210" s="164">
        <v>1.6256502601040416E-3</v>
      </c>
      <c r="CE210" s="164">
        <v>1.6256502601040416E-3</v>
      </c>
      <c r="CF210" s="164">
        <v>1.6256502601040416E-3</v>
      </c>
      <c r="CG210" s="164">
        <v>1.6256502601040416E-3</v>
      </c>
      <c r="CH210" s="164">
        <v>1.6256502601040416E-3</v>
      </c>
      <c r="CI210" s="164">
        <v>1.6256502601040416E-3</v>
      </c>
      <c r="CJ210" s="164">
        <v>1.6256502601040416E-3</v>
      </c>
      <c r="CK210" s="164">
        <v>4.0016006402561026E-3</v>
      </c>
      <c r="CL210" s="164">
        <v>4.0016006402561026E-3</v>
      </c>
      <c r="CM210" s="164">
        <v>4.0016006402561026E-3</v>
      </c>
      <c r="CN210" s="164">
        <v>4.0016006402561026E-3</v>
      </c>
      <c r="CO210" s="164">
        <v>1.4005602240896359E-3</v>
      </c>
      <c r="CP210" s="164">
        <v>1.4005602240896359E-3</v>
      </c>
      <c r="CQ210" s="164">
        <v>1.4005602240896359E-3</v>
      </c>
      <c r="CR210" s="164">
        <v>1.4005602240896359E-3</v>
      </c>
      <c r="CS210" s="164">
        <v>4.4000000000000003E-3</v>
      </c>
      <c r="CT210" s="164">
        <v>4.4000000000000003E-3</v>
      </c>
      <c r="CU210" s="164">
        <v>4.4000000000000003E-3</v>
      </c>
      <c r="CV210" s="164">
        <v>4.4000000000000003E-3</v>
      </c>
      <c r="CW210" s="164">
        <v>4.4000000000000003E-3</v>
      </c>
      <c r="CX210" s="164">
        <v>4.4000000000000003E-3</v>
      </c>
      <c r="CY210" s="164">
        <v>4.4000000000000003E-3</v>
      </c>
      <c r="CZ210" s="164">
        <v>4.4000000000000003E-3</v>
      </c>
      <c r="DA210" s="164">
        <v>4.4000000000000003E-3</v>
      </c>
      <c r="DB210" s="164">
        <v>4.4000000000000003E-3</v>
      </c>
      <c r="DC210" s="164">
        <v>4.4000000000000003E-3</v>
      </c>
      <c r="DD210" s="164">
        <v>4.4000000000000003E-3</v>
      </c>
      <c r="DE210" s="164">
        <v>4.4000000000000003E-3</v>
      </c>
      <c r="DF210" s="164">
        <v>4.4000000000000003E-3</v>
      </c>
      <c r="DG210" s="164">
        <v>4.4000000000000003E-3</v>
      </c>
      <c r="DH210" s="164">
        <v>8.9502842587904882E-5</v>
      </c>
      <c r="DI210" s="164">
        <v>8.9502842587904882E-5</v>
      </c>
      <c r="DJ210" s="164">
        <v>8.9502842587904882E-5</v>
      </c>
      <c r="DK210" s="164">
        <v>8.9502842587904882E-5</v>
      </c>
      <c r="DL210" s="164">
        <v>8.9502842587904882E-5</v>
      </c>
      <c r="DM210" s="164">
        <v>1.7869725535414797E-4</v>
      </c>
      <c r="DN210" s="164">
        <v>1.7869725535414797E-4</v>
      </c>
      <c r="DO210" s="164">
        <v>1.7869725535414797E-4</v>
      </c>
      <c r="DP210" s="164">
        <v>1.7869725535414797E-4</v>
      </c>
      <c r="DQ210" s="164">
        <v>1.7869725535414797E-4</v>
      </c>
      <c r="DR210" s="164">
        <v>8.6011184229469056E-5</v>
      </c>
      <c r="DS210" s="164">
        <v>8.6011184229469056E-5</v>
      </c>
      <c r="DT210" s="164">
        <v>8.6011184229469056E-5</v>
      </c>
      <c r="DU210" s="164">
        <v>8.6011184229469056E-5</v>
      </c>
      <c r="DV210" s="164">
        <v>8.6011184229469056E-5</v>
      </c>
      <c r="DW210" s="164">
        <v>8.6011184229469056E-5</v>
      </c>
      <c r="DX210" s="164">
        <v>8.6011184229469056E-5</v>
      </c>
      <c r="DY210" s="164">
        <v>8.6011184229469056E-5</v>
      </c>
      <c r="DZ210" s="164">
        <v>8.6011184229469056E-5</v>
      </c>
      <c r="EA210" s="164">
        <v>8.6011184229469056E-5</v>
      </c>
      <c r="EB210" s="164">
        <v>1.7507002801120447E-3</v>
      </c>
      <c r="EC210" s="164">
        <v>1.7507002801120447E-3</v>
      </c>
      <c r="ED210" s="164">
        <v>1.7507002801120447E-3</v>
      </c>
      <c r="EE210" s="164">
        <v>1.7507002801120447E-3</v>
      </c>
      <c r="EF210" s="164">
        <v>1.6256502601040416E-3</v>
      </c>
      <c r="EG210" s="164">
        <v>1.6256502601040416E-3</v>
      </c>
      <c r="EH210" s="164">
        <v>1.6256502601040416E-3</v>
      </c>
      <c r="EI210" s="164">
        <v>1.6256502601040416E-3</v>
      </c>
      <c r="EJ210" s="164">
        <v>1.6256502601040416E-3</v>
      </c>
      <c r="EK210" s="164">
        <v>1.6256502601040416E-3</v>
      </c>
      <c r="EL210" s="164">
        <v>1.6256502601040416E-3</v>
      </c>
      <c r="EM210" s="164">
        <v>1.6256502601040416E-3</v>
      </c>
      <c r="EN210" s="164">
        <v>4.0016006402561026E-3</v>
      </c>
      <c r="EO210" s="164">
        <v>4.0016006402561026E-3</v>
      </c>
      <c r="EP210" s="164">
        <v>4.0016006402561026E-3</v>
      </c>
      <c r="EQ210" s="164">
        <v>4.0016006402561026E-3</v>
      </c>
      <c r="ER210" s="164">
        <v>1.4005602240896359E-3</v>
      </c>
      <c r="ES210" s="164">
        <v>1.4005602240896359E-3</v>
      </c>
      <c r="ET210" s="164">
        <v>1.4005602240896359E-3</v>
      </c>
      <c r="EU210" s="164">
        <v>1.4005602240896359E-3</v>
      </c>
      <c r="EV210" s="164">
        <v>4.4000000000000003E-3</v>
      </c>
      <c r="EW210" s="164">
        <v>4.4000000000000003E-3</v>
      </c>
      <c r="EX210" s="164">
        <v>4.4000000000000003E-3</v>
      </c>
      <c r="EY210" s="164">
        <v>4.4000000000000003E-3</v>
      </c>
      <c r="EZ210" s="164">
        <v>4.4000000000000003E-3</v>
      </c>
      <c r="FA210" s="164">
        <v>4.4000000000000003E-3</v>
      </c>
      <c r="FB210" s="164">
        <v>4.4000000000000003E-3</v>
      </c>
      <c r="FC210" s="164">
        <v>4.4000000000000003E-3</v>
      </c>
      <c r="FD210" s="164">
        <v>4.4000000000000003E-3</v>
      </c>
      <c r="FE210" s="164">
        <v>4.4000000000000003E-3</v>
      </c>
      <c r="FF210" s="164">
        <v>4.4000000000000003E-3</v>
      </c>
      <c r="FG210" s="164">
        <v>4.4000000000000003E-3</v>
      </c>
      <c r="FH210" s="164">
        <v>4.4000000000000003E-3</v>
      </c>
      <c r="FI210" s="164">
        <v>4.4000000000000003E-3</v>
      </c>
      <c r="FJ210" s="164">
        <v>4.4000000000000003E-3</v>
      </c>
    </row>
    <row r="211" spans="1:166" x14ac:dyDescent="0.25">
      <c r="A211" s="164" t="s">
        <v>67</v>
      </c>
      <c r="B211" s="164">
        <v>2.1494771182553069E-3</v>
      </c>
      <c r="C211" s="164">
        <v>4.1072811176853007E-3</v>
      </c>
      <c r="D211" s="164">
        <v>1.3060247322593066E-2</v>
      </c>
      <c r="E211" s="164">
        <v>1.1790342951953749E-2</v>
      </c>
      <c r="F211" s="164">
        <v>2.6447470892304818E-2</v>
      </c>
      <c r="G211" s="164">
        <v>2.1494771182553069E-3</v>
      </c>
      <c r="H211" s="164">
        <v>4.1072811176853007E-3</v>
      </c>
      <c r="I211" s="164">
        <v>1.3060247322593066E-2</v>
      </c>
      <c r="J211" s="164">
        <v>1.1790342951953749E-2</v>
      </c>
      <c r="K211" s="164">
        <v>2.6447470892304818E-2</v>
      </c>
      <c r="L211" s="164">
        <v>2.1494771182553069E-3</v>
      </c>
      <c r="M211" s="164">
        <v>4.1072811176853007E-3</v>
      </c>
      <c r="N211" s="164">
        <v>1.3060247322593066E-2</v>
      </c>
      <c r="O211" s="164">
        <v>1.1790342951953749E-2</v>
      </c>
      <c r="P211" s="164">
        <v>2.6447470892304818E-2</v>
      </c>
      <c r="Q211" s="164">
        <v>2.1494771182553069E-3</v>
      </c>
      <c r="R211" s="164">
        <v>4.1072811176853007E-3</v>
      </c>
      <c r="S211" s="164">
        <v>1.3060247322593066E-2</v>
      </c>
      <c r="T211" s="164">
        <v>1.1790342951953749E-2</v>
      </c>
      <c r="U211" s="164">
        <v>2.6447470892304818E-2</v>
      </c>
      <c r="V211" s="164">
        <v>2.7715714285714288E-3</v>
      </c>
      <c r="W211" s="164">
        <v>1.0537248141199494E-3</v>
      </c>
      <c r="X211" s="164">
        <v>1.1195826150024461E-3</v>
      </c>
      <c r="Y211" s="164">
        <v>3.7811888058906298E-3</v>
      </c>
      <c r="Z211" s="164">
        <v>2.7715714285714288E-3</v>
      </c>
      <c r="AA211" s="164">
        <v>1.0537248141199494E-3</v>
      </c>
      <c r="AB211" s="164">
        <v>1.1195826150024461E-3</v>
      </c>
      <c r="AC211" s="164">
        <v>3.7811888058906298E-3</v>
      </c>
      <c r="AD211" s="164">
        <v>2.7715714285714288E-3</v>
      </c>
      <c r="AE211" s="164">
        <v>1.0537248141199494E-3</v>
      </c>
      <c r="AF211" s="164">
        <v>1.1195826150024461E-3</v>
      </c>
      <c r="AG211" s="164">
        <v>3.7811888058906298E-3</v>
      </c>
      <c r="AH211" s="164">
        <v>2.7715714285714288E-3</v>
      </c>
      <c r="AI211" s="164">
        <v>1.0537248141199494E-3</v>
      </c>
      <c r="AJ211" s="164">
        <v>1.1195826150024461E-3</v>
      </c>
      <c r="AK211" s="164">
        <v>3.7811888058906298E-3</v>
      </c>
      <c r="AL211" s="164">
        <v>2.217257142857143E-3</v>
      </c>
      <c r="AM211" s="164">
        <v>8.429798512959595E-4</v>
      </c>
      <c r="AN211" s="164">
        <v>8.9566609200195687E-4</v>
      </c>
      <c r="AO211" s="164">
        <v>3.0249510447125042E-3</v>
      </c>
      <c r="AP211" s="164">
        <v>1.1573595723149675E-2</v>
      </c>
      <c r="AQ211" s="164">
        <v>5.5397830482865063E-3</v>
      </c>
      <c r="AR211" s="164">
        <v>2.149698076693125E-2</v>
      </c>
      <c r="AS211" s="164">
        <v>1.1573595723149675E-2</v>
      </c>
      <c r="AT211" s="164">
        <v>5.5397830482865063E-3</v>
      </c>
      <c r="AU211" s="164">
        <v>2.149698076693125E-2</v>
      </c>
      <c r="AV211" s="164">
        <v>1.1573595723149675E-2</v>
      </c>
      <c r="AW211" s="164">
        <v>5.5397830482865063E-3</v>
      </c>
      <c r="AX211" s="164">
        <v>2.149698076693125E-2</v>
      </c>
      <c r="AY211" s="164">
        <v>1.1573595723149675E-2</v>
      </c>
      <c r="AZ211" s="164">
        <v>5.5397830482865063E-3</v>
      </c>
      <c r="BA211" s="164">
        <v>2.149698076693125E-2</v>
      </c>
      <c r="BB211" s="164">
        <v>1.1573595723149675E-2</v>
      </c>
      <c r="BC211" s="164">
        <v>5.5397830482865063E-3</v>
      </c>
      <c r="BD211" s="164">
        <v>2.149698076693125E-2</v>
      </c>
      <c r="BE211" s="164">
        <v>2.1331638109345504E-3</v>
      </c>
      <c r="BF211" s="164">
        <v>4.076109192868568E-3</v>
      </c>
      <c r="BG211" s="164">
        <v>1.2176327875562188E-2</v>
      </c>
      <c r="BH211" s="164">
        <v>1.1074472868176938E-2</v>
      </c>
      <c r="BI211" s="164">
        <v>2.4202354741507264E-2</v>
      </c>
      <c r="BJ211" s="164">
        <v>2.1331638109345504E-3</v>
      </c>
      <c r="BK211" s="164">
        <v>4.076109192868568E-3</v>
      </c>
      <c r="BL211" s="164">
        <v>1.2176327875562188E-2</v>
      </c>
      <c r="BM211" s="164">
        <v>1.1074472868176938E-2</v>
      </c>
      <c r="BN211" s="164">
        <v>2.4202354741507264E-2</v>
      </c>
      <c r="BO211" s="164">
        <v>2.1331638109345504E-3</v>
      </c>
      <c r="BP211" s="164">
        <v>4.076109192868568E-3</v>
      </c>
      <c r="BQ211" s="164">
        <v>1.2176327875562188E-2</v>
      </c>
      <c r="BR211" s="164">
        <v>1.1074472868176938E-2</v>
      </c>
      <c r="BS211" s="164">
        <v>2.4202354741507264E-2</v>
      </c>
      <c r="BT211" s="164">
        <v>2.1331638109345504E-3</v>
      </c>
      <c r="BU211" s="164">
        <v>4.076109192868568E-3</v>
      </c>
      <c r="BV211" s="164">
        <v>1.2176327875562188E-2</v>
      </c>
      <c r="BW211" s="164">
        <v>1.1074472868176938E-2</v>
      </c>
      <c r="BX211" s="164">
        <v>2.4202354741507264E-2</v>
      </c>
      <c r="BY211" s="164">
        <v>2.7715714285714288E-3</v>
      </c>
      <c r="BZ211" s="164">
        <v>9.5987899046131133E-4</v>
      </c>
      <c r="CA211" s="164">
        <v>1.0198714273651432E-3</v>
      </c>
      <c r="CB211" s="164">
        <v>2.7294594720870869E-3</v>
      </c>
      <c r="CC211" s="164">
        <v>2.7715714285714288E-3</v>
      </c>
      <c r="CD211" s="164">
        <v>9.5987899046131133E-4</v>
      </c>
      <c r="CE211" s="164">
        <v>1.0198714273651432E-3</v>
      </c>
      <c r="CF211" s="164">
        <v>2.7294594720870869E-3</v>
      </c>
      <c r="CG211" s="164">
        <v>2.7715714285714288E-3</v>
      </c>
      <c r="CH211" s="164">
        <v>9.5987899046131133E-4</v>
      </c>
      <c r="CI211" s="164">
        <v>1.0198714273651432E-3</v>
      </c>
      <c r="CJ211" s="164">
        <v>2.7294594720870869E-3</v>
      </c>
      <c r="CK211" s="164">
        <v>2.7715714285714288E-3</v>
      </c>
      <c r="CL211" s="164">
        <v>9.5987899046131133E-4</v>
      </c>
      <c r="CM211" s="164">
        <v>1.0198714273651432E-3</v>
      </c>
      <c r="CN211" s="164">
        <v>2.7294594720870869E-3</v>
      </c>
      <c r="CO211" s="164">
        <v>2.217257142857143E-3</v>
      </c>
      <c r="CP211" s="164">
        <v>7.6790319236904909E-4</v>
      </c>
      <c r="CQ211" s="164">
        <v>8.1589714189211459E-4</v>
      </c>
      <c r="CR211" s="164">
        <v>2.1835675776696695E-3</v>
      </c>
      <c r="CS211" s="164">
        <v>1.0720644957616992E-2</v>
      </c>
      <c r="CT211" s="164">
        <v>4.13162426244334E-3</v>
      </c>
      <c r="CU211" s="164">
        <v>1.3279381505411613E-2</v>
      </c>
      <c r="CV211" s="164">
        <v>1.0720644957616992E-2</v>
      </c>
      <c r="CW211" s="164">
        <v>4.13162426244334E-3</v>
      </c>
      <c r="CX211" s="164">
        <v>1.3279381505411613E-2</v>
      </c>
      <c r="CY211" s="164">
        <v>1.0720644957616992E-2</v>
      </c>
      <c r="CZ211" s="164">
        <v>4.13162426244334E-3</v>
      </c>
      <c r="DA211" s="164">
        <v>1.3279381505411613E-2</v>
      </c>
      <c r="DB211" s="164">
        <v>1.0720644957616992E-2</v>
      </c>
      <c r="DC211" s="164">
        <v>4.13162426244334E-3</v>
      </c>
      <c r="DD211" s="164">
        <v>1.3279381505411613E-2</v>
      </c>
      <c r="DE211" s="164">
        <v>1.0720644957616992E-2</v>
      </c>
      <c r="DF211" s="164">
        <v>4.13162426244334E-3</v>
      </c>
      <c r="DG211" s="164">
        <v>1.3279381505411613E-2</v>
      </c>
      <c r="DH211" s="164">
        <v>1.9961810868829068E-3</v>
      </c>
      <c r="DI211" s="164">
        <v>3.8143587647444083E-3</v>
      </c>
      <c r="DJ211" s="164">
        <v>5.4701451293849941E-3</v>
      </c>
      <c r="DK211" s="164">
        <v>5.6283132239921011E-3</v>
      </c>
      <c r="DL211" s="164">
        <v>6.5837900060073855E-3</v>
      </c>
      <c r="DM211" s="164">
        <v>1.9961810868829068E-3</v>
      </c>
      <c r="DN211" s="164">
        <v>3.8143587647444083E-3</v>
      </c>
      <c r="DO211" s="164">
        <v>5.4701451293849941E-3</v>
      </c>
      <c r="DP211" s="164">
        <v>5.6283132239921011E-3</v>
      </c>
      <c r="DQ211" s="164">
        <v>6.5837900060073855E-3</v>
      </c>
      <c r="DR211" s="164">
        <v>1.9961810868829068E-3</v>
      </c>
      <c r="DS211" s="164">
        <v>3.8143587647444083E-3</v>
      </c>
      <c r="DT211" s="164">
        <v>5.4701451293849941E-3</v>
      </c>
      <c r="DU211" s="164">
        <v>5.6283132239921011E-3</v>
      </c>
      <c r="DV211" s="164">
        <v>6.5837900060073855E-3</v>
      </c>
      <c r="DW211" s="164">
        <v>1.9961810868829068E-3</v>
      </c>
      <c r="DX211" s="164">
        <v>3.8143587647444083E-3</v>
      </c>
      <c r="DY211" s="164">
        <v>5.4701451293849941E-3</v>
      </c>
      <c r="DZ211" s="164">
        <v>5.6283132239921011E-3</v>
      </c>
      <c r="EA211" s="164">
        <v>6.5837900060073855E-3</v>
      </c>
      <c r="EB211" s="164">
        <v>2.7715714285714288E-3</v>
      </c>
      <c r="EC211" s="164">
        <v>8.3706989059071399E-4</v>
      </c>
      <c r="ED211" s="164">
        <v>8.8938675875263335E-4</v>
      </c>
      <c r="EE211" s="164">
        <v>1.5238870080703825E-3</v>
      </c>
      <c r="EF211" s="164">
        <v>2.7715714285714288E-3</v>
      </c>
      <c r="EG211" s="164">
        <v>8.3706989059071399E-4</v>
      </c>
      <c r="EH211" s="164">
        <v>8.8938675875263335E-4</v>
      </c>
      <c r="EI211" s="164">
        <v>1.5238870080703825E-3</v>
      </c>
      <c r="EJ211" s="164">
        <v>2.7715714285714288E-3</v>
      </c>
      <c r="EK211" s="164">
        <v>8.3706989059071399E-4</v>
      </c>
      <c r="EL211" s="164">
        <v>8.8938675875263335E-4</v>
      </c>
      <c r="EM211" s="164">
        <v>1.5238870080703825E-3</v>
      </c>
      <c r="EN211" s="164">
        <v>2.7715714285714288E-3</v>
      </c>
      <c r="EO211" s="164">
        <v>8.3706989059071399E-4</v>
      </c>
      <c r="EP211" s="164">
        <v>8.8938675875263335E-4</v>
      </c>
      <c r="EQ211" s="164">
        <v>1.5238870080703825E-3</v>
      </c>
      <c r="ER211" s="164">
        <v>2.217257142857143E-3</v>
      </c>
      <c r="ES211" s="164">
        <v>6.6965591247257115E-4</v>
      </c>
      <c r="ET211" s="164">
        <v>7.1150940700210675E-4</v>
      </c>
      <c r="EU211" s="164">
        <v>1.2191096064563059E-3</v>
      </c>
      <c r="EV211" s="164">
        <v>9.604451272429336E-3</v>
      </c>
      <c r="EW211" s="164">
        <v>3.3744831090442885E-3</v>
      </c>
      <c r="EX211" s="164">
        <v>7.3102100315233995E-3</v>
      </c>
      <c r="EY211" s="164">
        <v>9.604451272429336E-3</v>
      </c>
      <c r="EZ211" s="164">
        <v>3.3744831090442885E-3</v>
      </c>
      <c r="FA211" s="164">
        <v>7.3102100315233995E-3</v>
      </c>
      <c r="FB211" s="164">
        <v>9.604451272429336E-3</v>
      </c>
      <c r="FC211" s="164">
        <v>3.3744831090442877E-3</v>
      </c>
      <c r="FD211" s="164">
        <v>7.3102100315233995E-3</v>
      </c>
      <c r="FE211" s="164">
        <v>9.604451272429336E-3</v>
      </c>
      <c r="FF211" s="164">
        <v>3.3744831090442877E-3</v>
      </c>
      <c r="FG211" s="164">
        <v>7.3102100315233995E-3</v>
      </c>
      <c r="FH211" s="164">
        <v>9.604451272429336E-3</v>
      </c>
      <c r="FI211" s="164">
        <v>3.3744831090442877E-3</v>
      </c>
      <c r="FJ211" s="164">
        <v>7.3102100315233995E-3</v>
      </c>
    </row>
    <row r="212" spans="1:166" x14ac:dyDescent="0.25">
      <c r="A212" s="164" t="s">
        <v>56</v>
      </c>
      <c r="B212" s="164">
        <v>6.4134922073344211E-3</v>
      </c>
      <c r="C212" s="164">
        <v>8.1997406700680883E-3</v>
      </c>
      <c r="D212" s="164">
        <v>1.6153079876186895E-2</v>
      </c>
      <c r="E212" s="164">
        <v>1.4937548943097472E-2</v>
      </c>
      <c r="F212" s="164">
        <v>2.855450515937415E-2</v>
      </c>
      <c r="G212" s="164">
        <v>9.3691920665066718E-3</v>
      </c>
      <c r="H212" s="164">
        <v>1.1833655417796072E-2</v>
      </c>
      <c r="I212" s="164">
        <v>2.2806772205735022E-2</v>
      </c>
      <c r="J212" s="164">
        <v>2.1129720272896415E-2</v>
      </c>
      <c r="K212" s="164">
        <v>3.9916854454536799E-2</v>
      </c>
      <c r="L212" s="164">
        <v>1.0435341543790697E-2</v>
      </c>
      <c r="M212" s="164">
        <v>1.3343253091443465E-2</v>
      </c>
      <c r="N212" s="164">
        <v>2.6290839836726355E-2</v>
      </c>
      <c r="O212" s="164">
        <v>2.4312024173282508E-2</v>
      </c>
      <c r="P212" s="164">
        <v>4.6479659332276088E-2</v>
      </c>
      <c r="Q212" s="164">
        <v>6.4101374767547474E-3</v>
      </c>
      <c r="R212" s="164">
        <v>8.1963859394884164E-3</v>
      </c>
      <c r="S212" s="164">
        <v>1.6149725145607221E-2</v>
      </c>
      <c r="T212" s="164">
        <v>1.4934194212517798E-2</v>
      </c>
      <c r="U212" s="164">
        <v>2.8551150428794473E-2</v>
      </c>
      <c r="V212" s="164">
        <v>1.1881931563082686E-2</v>
      </c>
      <c r="W212" s="164">
        <v>8.4609173316454768E-3</v>
      </c>
      <c r="X212" s="164">
        <v>1.1504824322419243E-2</v>
      </c>
      <c r="Y212" s="164">
        <v>1.4679005149837691E-2</v>
      </c>
      <c r="Z212" s="164">
        <v>2.3449265311343285E-2</v>
      </c>
      <c r="AA212" s="164">
        <v>1.6738814318908755E-2</v>
      </c>
      <c r="AB212" s="164">
        <v>2.2709554954657294E-2</v>
      </c>
      <c r="AC212" s="164">
        <v>2.8935832731516557E-2</v>
      </c>
      <c r="AD212" s="164">
        <v>2.2260979810807893E-2</v>
      </c>
      <c r="AE212" s="164">
        <v>1.5550528818373367E-2</v>
      </c>
      <c r="AF212" s="164">
        <v>2.1521269454121909E-2</v>
      </c>
      <c r="AG212" s="164">
        <v>2.7747547230981169E-2</v>
      </c>
      <c r="AH212" s="164">
        <v>1.2964876395476299E-2</v>
      </c>
      <c r="AI212" s="164">
        <v>1.0274848110927385E-2</v>
      </c>
      <c r="AJ212" s="164">
        <v>1.2668347625040086E-2</v>
      </c>
      <c r="AK212" s="164">
        <v>1.5164284685916136E-2</v>
      </c>
      <c r="AL212" s="164">
        <v>2.5189959154702641E-2</v>
      </c>
      <c r="AM212" s="164">
        <v>1.7847936304156639E-2</v>
      </c>
      <c r="AN212" s="164">
        <v>2.4380628999740327E-2</v>
      </c>
      <c r="AO212" s="164">
        <v>3.1192909390892233E-2</v>
      </c>
      <c r="AP212" s="164">
        <v>0.13633687757910018</v>
      </c>
      <c r="AQ212" s="164">
        <v>0.15907506174705863</v>
      </c>
      <c r="AR212" s="164">
        <v>0.19148045910111161</v>
      </c>
      <c r="AS212" s="164">
        <v>6.5149603783989984E-2</v>
      </c>
      <c r="AT212" s="164">
        <v>6.9194063478279583E-2</v>
      </c>
      <c r="AU212" s="164">
        <v>9.0669449420705039E-2</v>
      </c>
      <c r="AV212" s="164">
        <v>7.061358407215175E-2</v>
      </c>
      <c r="AW212" s="164">
        <v>7.5707949094327057E-2</v>
      </c>
      <c r="AX212" s="164">
        <v>9.9182556352221826E-2</v>
      </c>
      <c r="AY212" s="164">
        <v>8.8326262468132202E-2</v>
      </c>
      <c r="AZ212" s="164">
        <v>9.8840799825624742E-2</v>
      </c>
      <c r="BA212" s="164">
        <v>0.12386605538599031</v>
      </c>
      <c r="BB212" s="164">
        <v>6.9625490706338555E-2</v>
      </c>
      <c r="BC212" s="164">
        <v>8.0099479887204131E-2</v>
      </c>
      <c r="BD212" s="164">
        <v>0.1024517746225366</v>
      </c>
      <c r="BE212" s="164">
        <v>6.8365542316460425E-3</v>
      </c>
      <c r="BF212" s="164">
        <v>8.5864018032971289E-3</v>
      </c>
      <c r="BG212" s="164">
        <v>1.5202047755990818E-2</v>
      </c>
      <c r="BH212" s="164">
        <v>1.413813019248901E-2</v>
      </c>
      <c r="BI212" s="164">
        <v>2.6329049636399881E-2</v>
      </c>
      <c r="BJ212" s="164">
        <v>9.9528851394415953E-3</v>
      </c>
      <c r="BK212" s="164">
        <v>1.2367126663309516E-2</v>
      </c>
      <c r="BL212" s="164">
        <v>2.1494645782664312E-2</v>
      </c>
      <c r="BM212" s="164">
        <v>2.0026772808245816E-2</v>
      </c>
      <c r="BN212" s="164">
        <v>3.6846422938026986E-2</v>
      </c>
      <c r="BO212" s="164">
        <v>1.112406261005624E-2</v>
      </c>
      <c r="BP212" s="164">
        <v>1.3972715564219782E-2</v>
      </c>
      <c r="BQ212" s="164">
        <v>2.4742613292545308E-2</v>
      </c>
      <c r="BR212" s="164">
        <v>2.3010615626373594E-2</v>
      </c>
      <c r="BS212" s="164">
        <v>4.2856743512300705E-2</v>
      </c>
      <c r="BT212" s="164">
        <v>6.8331995010663706E-3</v>
      </c>
      <c r="BU212" s="164">
        <v>8.583047072717457E-3</v>
      </c>
      <c r="BV212" s="164">
        <v>1.5198693025411145E-2</v>
      </c>
      <c r="BW212" s="164">
        <v>1.4134775461909336E-2</v>
      </c>
      <c r="BX212" s="164">
        <v>2.6325694905820204E-2</v>
      </c>
      <c r="BY212" s="164">
        <v>1.2126242008956489E-2</v>
      </c>
      <c r="BZ212" s="164">
        <v>8.3562602548806764E-3</v>
      </c>
      <c r="CA212" s="164">
        <v>1.040846408698637E-2</v>
      </c>
      <c r="CB212" s="164">
        <v>1.1947289068638487E-2</v>
      </c>
      <c r="CC212" s="164">
        <v>2.3928489647480365E-2</v>
      </c>
      <c r="CD212" s="164">
        <v>1.6533525437562417E-2</v>
      </c>
      <c r="CE212" s="164">
        <v>2.0559002185154357E-2</v>
      </c>
      <c r="CF212" s="164">
        <v>2.3577466572241201E-2</v>
      </c>
      <c r="CG212" s="164">
        <v>2.2740204146944967E-2</v>
      </c>
      <c r="CH212" s="164">
        <v>1.5345239937027022E-2</v>
      </c>
      <c r="CI212" s="164">
        <v>1.9370716684618969E-2</v>
      </c>
      <c r="CJ212" s="164">
        <v>2.2389181071705816E-2</v>
      </c>
      <c r="CK212" s="164">
        <v>1.3156983754624931E-2</v>
      </c>
      <c r="CL212" s="164">
        <v>1.0192553657402922E-2</v>
      </c>
      <c r="CM212" s="164">
        <v>1.1806252397178342E-2</v>
      </c>
      <c r="CN212" s="164">
        <v>1.3016268622067189E-2</v>
      </c>
      <c r="CO212" s="164">
        <v>2.5714286957770269E-2</v>
      </c>
      <c r="CP212" s="164">
        <v>1.7623326116330634E-2</v>
      </c>
      <c r="CQ212" s="164">
        <v>2.2027671263695939E-2</v>
      </c>
      <c r="CR212" s="164">
        <v>2.5330226416626245E-2</v>
      </c>
      <c r="CS212" s="164">
        <v>0.13731562811440928</v>
      </c>
      <c r="CT212" s="164">
        <v>0.12962524792344063</v>
      </c>
      <c r="CU212" s="164">
        <v>0.15103602689119042</v>
      </c>
      <c r="CV212" s="164">
        <v>6.5403373288047129E-2</v>
      </c>
      <c r="CW212" s="164">
        <v>5.6871908459901539E-2</v>
      </c>
      <c r="CX212" s="164">
        <v>7.03336184363543E-2</v>
      </c>
      <c r="CY212" s="164">
        <v>7.091509669714792E-2</v>
      </c>
      <c r="CZ212" s="164">
        <v>6.1799222420589786E-2</v>
      </c>
      <c r="DA212" s="164">
        <v>7.6558564675540813E-2</v>
      </c>
      <c r="DB212" s="164">
        <v>8.8829772674907492E-2</v>
      </c>
      <c r="DC212" s="164">
        <v>8.0695702197474711E-2</v>
      </c>
      <c r="DD212" s="164">
        <v>9.6765433154279712E-2</v>
      </c>
      <c r="DE212" s="164">
        <v>6.9329735996424835E-2</v>
      </c>
      <c r="DF212" s="164">
        <v>6.5381610164195081E-2</v>
      </c>
      <c r="DG212" s="164">
        <v>7.9584359467844631E-2</v>
      </c>
      <c r="DH212" s="164">
        <v>1.0389003002060049E-2</v>
      </c>
      <c r="DI212" s="164">
        <v>1.1833192553522012E-2</v>
      </c>
      <c r="DJ212" s="164">
        <v>7.9042387107316255E-3</v>
      </c>
      <c r="DK212" s="164">
        <v>7.968256277461578E-3</v>
      </c>
      <c r="DL212" s="164">
        <v>8.8271962507454425E-3</v>
      </c>
      <c r="DM212" s="164">
        <v>1.4854151667962478E-2</v>
      </c>
      <c r="DN212" s="164">
        <v>1.6846680868769288E-2</v>
      </c>
      <c r="DO212" s="164">
        <v>1.1425955277411116E-2</v>
      </c>
      <c r="DP212" s="164">
        <v>1.151427946653498E-2</v>
      </c>
      <c r="DQ212" s="164">
        <v>1.2699347573956049E-2</v>
      </c>
      <c r="DR212" s="164">
        <v>1.6907248441954705E-2</v>
      </c>
      <c r="DS212" s="164">
        <v>1.925830741348698E-2</v>
      </c>
      <c r="DT212" s="164">
        <v>1.2862192601911418E-2</v>
      </c>
      <c r="DU212" s="164">
        <v>1.2966409582600527E-2</v>
      </c>
      <c r="DV212" s="164">
        <v>1.4364715316188228E-2</v>
      </c>
      <c r="DW212" s="164">
        <v>1.0385648271480374E-2</v>
      </c>
      <c r="DX212" s="164">
        <v>1.1829837822942339E-2</v>
      </c>
      <c r="DY212" s="164">
        <v>7.9008839801519501E-3</v>
      </c>
      <c r="DZ212" s="164">
        <v>7.9649015468819025E-3</v>
      </c>
      <c r="EA212" s="164">
        <v>8.823841520165767E-3</v>
      </c>
      <c r="EB212" s="164">
        <v>1.3927782054255036E-2</v>
      </c>
      <c r="EC212" s="164">
        <v>8.1981036076722927E-3</v>
      </c>
      <c r="ED212" s="164">
        <v>8.9512137644664324E-3</v>
      </c>
      <c r="EE212" s="164">
        <v>8.5064464888808689E-3</v>
      </c>
      <c r="EF212" s="164">
        <v>2.7462279736335207E-2</v>
      </c>
      <c r="EG212" s="164">
        <v>1.6223295091115197E-2</v>
      </c>
      <c r="EH212" s="164">
        <v>1.7700549629442175E-2</v>
      </c>
      <c r="EI212" s="164">
        <v>1.682812151194741E-2</v>
      </c>
      <c r="EJ212" s="164">
        <v>2.6273994235799812E-2</v>
      </c>
      <c r="EK212" s="164">
        <v>1.5035009590579808E-2</v>
      </c>
      <c r="EL212" s="164">
        <v>1.651226412890678E-2</v>
      </c>
      <c r="EM212" s="164">
        <v>1.5639836011412018E-2</v>
      </c>
      <c r="EN212" s="164">
        <v>1.4573579345799854E-2</v>
      </c>
      <c r="EO212" s="164">
        <v>1.0068191165580947E-2</v>
      </c>
      <c r="EP212" s="164">
        <v>1.0660380348701126E-2</v>
      </c>
      <c r="EQ212" s="164">
        <v>1.0310648815762049E-2</v>
      </c>
      <c r="ER212" s="164">
        <v>2.9580669054987924E-2</v>
      </c>
      <c r="ES212" s="164">
        <v>1.7283897619629562E-2</v>
      </c>
      <c r="ET212" s="164">
        <v>1.8900187879210835E-2</v>
      </c>
      <c r="EU212" s="164">
        <v>1.7945648880069512E-2</v>
      </c>
      <c r="EV212" s="164">
        <v>0.14459396086521706</v>
      </c>
      <c r="EW212" s="164">
        <v>0.12053542189797735</v>
      </c>
      <c r="EX212" s="164">
        <v>0.13021340696332451</v>
      </c>
      <c r="EY212" s="164">
        <v>7.0440409181026703E-2</v>
      </c>
      <c r="EZ212" s="164">
        <v>5.2829487710786029E-2</v>
      </c>
      <c r="FA212" s="164">
        <v>5.8759413488361334E-2</v>
      </c>
      <c r="FB212" s="164">
        <v>7.6408000661182016E-2</v>
      </c>
      <c r="FC212" s="164">
        <v>5.7259443876853541E-2</v>
      </c>
      <c r="FD212" s="164">
        <v>6.3770957790438648E-2</v>
      </c>
      <c r="FE212" s="164">
        <v>9.4587015958766452E-2</v>
      </c>
      <c r="FF212" s="164">
        <v>7.4942315028961634E-2</v>
      </c>
      <c r="FG212" s="164">
        <v>8.2107038130745158E-2</v>
      </c>
      <c r="FH212" s="164">
        <v>6.8942703646012363E-2</v>
      </c>
      <c r="FI212" s="164">
        <v>6.0652880293585773E-2</v>
      </c>
      <c r="FJ212" s="164">
        <v>6.6952203103245081E-2</v>
      </c>
    </row>
    <row r="213" spans="1:166" x14ac:dyDescent="0.25">
      <c r="A213" s="164" t="s">
        <v>73</v>
      </c>
      <c r="B213" s="164">
        <v>0</v>
      </c>
      <c r="C213" s="164">
        <v>0</v>
      </c>
      <c r="D213" s="164">
        <v>1.8671315847002927E-3</v>
      </c>
      <c r="E213" s="164">
        <v>1.3515309188396555E-3</v>
      </c>
      <c r="F213" s="164">
        <v>1.2383331319116356E-3</v>
      </c>
      <c r="G213" s="164">
        <v>0</v>
      </c>
      <c r="H213" s="164">
        <v>0</v>
      </c>
      <c r="I213" s="164">
        <v>1.9107458000384783E-3</v>
      </c>
      <c r="J213" s="164">
        <v>1.3856702589881906E-3</v>
      </c>
      <c r="K213" s="164">
        <v>1.2546964484978669E-3</v>
      </c>
      <c r="L213" s="164">
        <v>0</v>
      </c>
      <c r="M213" s="164">
        <v>0</v>
      </c>
      <c r="N213" s="164">
        <v>1.8667438119986494E-3</v>
      </c>
      <c r="O213" s="164">
        <v>1.3512273869737464E-3</v>
      </c>
      <c r="P213" s="164">
        <v>1.2381876461467003E-3</v>
      </c>
      <c r="Q213" s="164">
        <v>0</v>
      </c>
      <c r="R213" s="164">
        <v>0</v>
      </c>
      <c r="S213" s="164">
        <v>1.8667438119986494E-3</v>
      </c>
      <c r="T213" s="164">
        <v>1.3512273869737464E-3</v>
      </c>
      <c r="U213" s="164">
        <v>1.2381876461467003E-3</v>
      </c>
      <c r="V213" s="164">
        <v>0</v>
      </c>
      <c r="W213" s="164">
        <v>0</v>
      </c>
      <c r="X213" s="164">
        <v>3.9063544221873935E-4</v>
      </c>
      <c r="Y213" s="164">
        <v>2.4636092559168071E-4</v>
      </c>
      <c r="Z213" s="164">
        <v>0</v>
      </c>
      <c r="AA213" s="164">
        <v>0</v>
      </c>
      <c r="AB213" s="164">
        <v>3.9310036574868694E-4</v>
      </c>
      <c r="AC213" s="164">
        <v>2.475793174889114E-4</v>
      </c>
      <c r="AD213" s="164">
        <v>0</v>
      </c>
      <c r="AE213" s="164">
        <v>0</v>
      </c>
      <c r="AF213" s="164">
        <v>3.7253124998190904E-4</v>
      </c>
      <c r="AG213" s="164">
        <v>2.3741216882122891E-4</v>
      </c>
      <c r="AH213" s="164">
        <v>0</v>
      </c>
      <c r="AI213" s="164">
        <v>0</v>
      </c>
      <c r="AJ213" s="164">
        <v>5.4702812928758213E-4</v>
      </c>
      <c r="AK213" s="164">
        <v>3.2366457432390222E-4</v>
      </c>
      <c r="AL213" s="164">
        <v>0</v>
      </c>
      <c r="AM213" s="164">
        <v>0</v>
      </c>
      <c r="AN213" s="164">
        <v>2.4505998190501796E-4</v>
      </c>
      <c r="AO213" s="164">
        <v>1.5555136364477952E-4</v>
      </c>
      <c r="AP213" s="164">
        <v>0</v>
      </c>
      <c r="AQ213" s="164">
        <v>1.2705336115153232E-2</v>
      </c>
      <c r="AR213" s="164">
        <v>7.2369782095337842E-3</v>
      </c>
      <c r="AS213" s="164">
        <v>0</v>
      </c>
      <c r="AT213" s="164">
        <v>7.0448133436563226E-3</v>
      </c>
      <c r="AU213" s="164">
        <v>4.3682791161508971E-3</v>
      </c>
      <c r="AV213" s="164">
        <v>0</v>
      </c>
      <c r="AW213" s="164">
        <v>7.1132539649722548E-3</v>
      </c>
      <c r="AX213" s="164">
        <v>4.409718611580335E-3</v>
      </c>
      <c r="AY213" s="164">
        <v>0</v>
      </c>
      <c r="AZ213" s="164">
        <v>9.2867356687296315E-3</v>
      </c>
      <c r="BA213" s="164">
        <v>5.5071624473854025E-3</v>
      </c>
      <c r="BB213" s="164">
        <v>0</v>
      </c>
      <c r="BC213" s="164">
        <v>8.1551199100547145E-3</v>
      </c>
      <c r="BD213" s="164">
        <v>4.9359288090485148E-3</v>
      </c>
      <c r="BE213" s="164">
        <v>0</v>
      </c>
      <c r="BF213" s="164">
        <v>0</v>
      </c>
      <c r="BG213" s="164">
        <v>1.7164903530375655E-3</v>
      </c>
      <c r="BH213" s="164">
        <v>1.2610610896660879E-3</v>
      </c>
      <c r="BI213" s="164">
        <v>1.1418210301499948E-3</v>
      </c>
      <c r="BJ213" s="164">
        <v>0</v>
      </c>
      <c r="BK213" s="164">
        <v>0</v>
      </c>
      <c r="BL213" s="164">
        <v>1.7590940957229288E-3</v>
      </c>
      <c r="BM213" s="164">
        <v>1.2947163246812589E-3</v>
      </c>
      <c r="BN213" s="164">
        <v>1.1581843467362296E-3</v>
      </c>
      <c r="BO213" s="164">
        <v>0</v>
      </c>
      <c r="BP213" s="164">
        <v>0</v>
      </c>
      <c r="BQ213" s="164">
        <v>1.7161115644184627E-3</v>
      </c>
      <c r="BR213" s="164">
        <v>1.2607618619646342E-3</v>
      </c>
      <c r="BS213" s="164">
        <v>1.1416755443850596E-3</v>
      </c>
      <c r="BT213" s="164">
        <v>0</v>
      </c>
      <c r="BU213" s="164">
        <v>0</v>
      </c>
      <c r="BV213" s="164">
        <v>1.7161115644184627E-3</v>
      </c>
      <c r="BW213" s="164">
        <v>1.2607618619646342E-3</v>
      </c>
      <c r="BX213" s="164">
        <v>1.1416755443850596E-3</v>
      </c>
      <c r="BY213" s="164">
        <v>0</v>
      </c>
      <c r="BZ213" s="164">
        <v>0</v>
      </c>
      <c r="CA213" s="164">
        <v>2.7537427266196256E-4</v>
      </c>
      <c r="CB213" s="164">
        <v>2.0051394241071656E-4</v>
      </c>
      <c r="CC213" s="164">
        <v>0</v>
      </c>
      <c r="CD213" s="164">
        <v>0</v>
      </c>
      <c r="CE213" s="164">
        <v>2.7729492391027032E-4</v>
      </c>
      <c r="CF213" s="164">
        <v>2.0173233430794725E-4</v>
      </c>
      <c r="CG213" s="164">
        <v>0</v>
      </c>
      <c r="CH213" s="164">
        <v>0</v>
      </c>
      <c r="CI213" s="164">
        <v>2.6126761215228105E-4</v>
      </c>
      <c r="CJ213" s="164">
        <v>1.9156518564026476E-4</v>
      </c>
      <c r="CK213" s="164">
        <v>0</v>
      </c>
      <c r="CL213" s="164">
        <v>0</v>
      </c>
      <c r="CM213" s="164">
        <v>3.9723436527569315E-4</v>
      </c>
      <c r="CN213" s="164">
        <v>2.7781759114293633E-4</v>
      </c>
      <c r="CO213" s="164">
        <v>0</v>
      </c>
      <c r="CP213" s="164">
        <v>0</v>
      </c>
      <c r="CQ213" s="164">
        <v>1.7279931915194311E-4</v>
      </c>
      <c r="CR213" s="164">
        <v>1.2631560625401932E-4</v>
      </c>
      <c r="CS213" s="164">
        <v>0</v>
      </c>
      <c r="CT213" s="164">
        <v>7.9427691509175447E-3</v>
      </c>
      <c r="CU213" s="164">
        <v>4.1797635385618787E-3</v>
      </c>
      <c r="CV213" s="164">
        <v>0</v>
      </c>
      <c r="CW213" s="164">
        <v>4.4421860038116392E-3</v>
      </c>
      <c r="CX213" s="164">
        <v>2.4811368469288692E-3</v>
      </c>
      <c r="CY213" s="164">
        <v>0</v>
      </c>
      <c r="CZ213" s="164">
        <v>4.4545939822651093E-3</v>
      </c>
      <c r="DA213" s="164">
        <v>2.4923424709268893E-3</v>
      </c>
      <c r="DB213" s="164">
        <v>0</v>
      </c>
      <c r="DC213" s="164">
        <v>5.8166846656595439E-3</v>
      </c>
      <c r="DD213" s="164">
        <v>3.1501713725975572E-3</v>
      </c>
      <c r="DE213" s="164">
        <v>0</v>
      </c>
      <c r="DF213" s="164">
        <v>5.1068670182368367E-3</v>
      </c>
      <c r="DG213" s="164">
        <v>2.8074723170056493E-3</v>
      </c>
      <c r="DH213" s="164">
        <v>0</v>
      </c>
      <c r="DI213" s="164">
        <v>0</v>
      </c>
      <c r="DJ213" s="164">
        <v>7.1852996073677906E-4</v>
      </c>
      <c r="DK213" s="164">
        <v>6.2579517251134739E-4</v>
      </c>
      <c r="DL213" s="164">
        <v>3.8281208230273554E-4</v>
      </c>
      <c r="DM213" s="164">
        <v>0</v>
      </c>
      <c r="DN213" s="164">
        <v>0</v>
      </c>
      <c r="DO213" s="164">
        <v>7.528298969710686E-4</v>
      </c>
      <c r="DP213" s="164">
        <v>6.5542829345874992E-4</v>
      </c>
      <c r="DQ213" s="164">
        <v>3.9917539888897034E-4</v>
      </c>
      <c r="DR213" s="164">
        <v>0</v>
      </c>
      <c r="DS213" s="164">
        <v>0</v>
      </c>
      <c r="DT213" s="164">
        <v>7.1822500101581012E-4</v>
      </c>
      <c r="DU213" s="164">
        <v>6.2553170530739097E-4</v>
      </c>
      <c r="DV213" s="164">
        <v>3.8266659653780032E-4</v>
      </c>
      <c r="DW213" s="164">
        <v>0</v>
      </c>
      <c r="DX213" s="164">
        <v>0</v>
      </c>
      <c r="DY213" s="164">
        <v>7.1822500101581012E-4</v>
      </c>
      <c r="DZ213" s="164">
        <v>6.2553170530739097E-4</v>
      </c>
      <c r="EA213" s="164">
        <v>3.8266659653780032E-4</v>
      </c>
      <c r="EB213" s="164">
        <v>0</v>
      </c>
      <c r="EC213" s="164">
        <v>0</v>
      </c>
      <c r="ED213" s="164">
        <v>1.5057061177638394E-4</v>
      </c>
      <c r="EE213" s="164">
        <v>1.4276553547772075E-4</v>
      </c>
      <c r="EF213" s="164">
        <v>0</v>
      </c>
      <c r="EG213" s="164">
        <v>0</v>
      </c>
      <c r="EH213" s="164">
        <v>1.5179176478605921E-4</v>
      </c>
      <c r="EI213" s="164">
        <v>1.4398392737494971E-4</v>
      </c>
      <c r="EJ213" s="164">
        <v>0</v>
      </c>
      <c r="EK213" s="164">
        <v>0</v>
      </c>
      <c r="EL213" s="164">
        <v>1.4160157538674681E-4</v>
      </c>
      <c r="EM213" s="164">
        <v>1.3381677870726895E-4</v>
      </c>
      <c r="EN213" s="164">
        <v>0</v>
      </c>
      <c r="EO213" s="164">
        <v>0</v>
      </c>
      <c r="EP213" s="164">
        <v>2.280494455759903E-4</v>
      </c>
      <c r="EQ213" s="164">
        <v>2.2006918420994052E-4</v>
      </c>
      <c r="ER213" s="164">
        <v>0</v>
      </c>
      <c r="ES213" s="164">
        <v>0</v>
      </c>
      <c r="ET213" s="164">
        <v>9.4463400767744003E-5</v>
      </c>
      <c r="EU213" s="164">
        <v>8.9490535166311669E-5</v>
      </c>
      <c r="EV213" s="164">
        <v>0</v>
      </c>
      <c r="EW213" s="164">
        <v>4.6046727573994528E-3</v>
      </c>
      <c r="EX213" s="164">
        <v>1.9308919265353247E-3</v>
      </c>
      <c r="EY213" s="164">
        <v>0</v>
      </c>
      <c r="EZ213" s="164">
        <v>2.5726284928699536E-3</v>
      </c>
      <c r="FA213" s="164">
        <v>1.1106988281009422E-3</v>
      </c>
      <c r="FB213" s="164">
        <v>0</v>
      </c>
      <c r="FC213" s="164">
        <v>2.5732025895309971E-3</v>
      </c>
      <c r="FD213" s="164">
        <v>1.1124179278049692E-3</v>
      </c>
      <c r="FE213" s="164">
        <v>0</v>
      </c>
      <c r="FF213" s="164">
        <v>3.3678594488747021E-3</v>
      </c>
      <c r="FG213" s="164">
        <v>1.4322717484619857E-3</v>
      </c>
      <c r="FH213" s="164">
        <v>0</v>
      </c>
      <c r="FI213" s="164">
        <v>2.9536028982929466E-3</v>
      </c>
      <c r="FJ213" s="164">
        <v>1.2655628964077376E-3</v>
      </c>
    </row>
    <row r="214" spans="1:166" x14ac:dyDescent="0.25">
      <c r="A214" s="164" t="s">
        <v>206</v>
      </c>
      <c r="B214" s="164">
        <v>1.9330162494961441E-3</v>
      </c>
      <c r="C214" s="164">
        <v>1.8343688133195604E-3</v>
      </c>
      <c r="D214" s="164">
        <v>2.5815196033431064E-4</v>
      </c>
      <c r="E214" s="164">
        <v>2.6311642110997044E-4</v>
      </c>
      <c r="F214" s="164">
        <v>3.3398562051778328E-4</v>
      </c>
      <c r="G214" s="164">
        <v>1.9330162494961441E-3</v>
      </c>
      <c r="H214" s="164">
        <v>1.8343688133195604E-3</v>
      </c>
      <c r="I214" s="164">
        <v>2.5815196033431064E-4</v>
      </c>
      <c r="J214" s="164">
        <v>2.6311642110997044E-4</v>
      </c>
      <c r="K214" s="164">
        <v>3.3398562051778328E-4</v>
      </c>
      <c r="L214" s="164">
        <v>1.9330162494961441E-3</v>
      </c>
      <c r="M214" s="164">
        <v>1.8343688133195604E-3</v>
      </c>
      <c r="N214" s="164">
        <v>2.5815196033431064E-4</v>
      </c>
      <c r="O214" s="164">
        <v>2.6311642110997044E-4</v>
      </c>
      <c r="P214" s="164">
        <v>3.3398562051778328E-4</v>
      </c>
      <c r="Q214" s="164">
        <v>1.9330162494961441E-3</v>
      </c>
      <c r="R214" s="164">
        <v>1.8343688133195604E-3</v>
      </c>
      <c r="S214" s="164">
        <v>2.5815196033431064E-4</v>
      </c>
      <c r="T214" s="164">
        <v>2.6311642110997044E-4</v>
      </c>
      <c r="U214" s="164">
        <v>3.3398562051778328E-4</v>
      </c>
      <c r="V214" s="164">
        <v>7.4298751127533757E-4</v>
      </c>
      <c r="W214" s="164">
        <v>2.6370562862784274E-5</v>
      </c>
      <c r="X214" s="164">
        <v>2.8018723041708291E-5</v>
      </c>
      <c r="Y214" s="164">
        <v>6.3470132672722201E-5</v>
      </c>
      <c r="Z214" s="164">
        <v>7.4298751127533757E-4</v>
      </c>
      <c r="AA214" s="164">
        <v>2.6370562862784274E-5</v>
      </c>
      <c r="AB214" s="164">
        <v>2.8018723041708291E-5</v>
      </c>
      <c r="AC214" s="164">
        <v>6.3470132672722201E-5</v>
      </c>
      <c r="AD214" s="164">
        <v>7.4298751127533757E-4</v>
      </c>
      <c r="AE214" s="164">
        <v>2.6370562862784274E-5</v>
      </c>
      <c r="AF214" s="164">
        <v>2.8018723041708291E-5</v>
      </c>
      <c r="AG214" s="164">
        <v>6.3470132672722201E-5</v>
      </c>
      <c r="AH214" s="164">
        <v>7.4298751127533757E-4</v>
      </c>
      <c r="AI214" s="164">
        <v>2.6370562862784274E-5</v>
      </c>
      <c r="AJ214" s="164">
        <v>2.8018723041708291E-5</v>
      </c>
      <c r="AK214" s="164">
        <v>6.3470132672722201E-5</v>
      </c>
      <c r="AL214" s="164">
        <v>5.9439000902027008E-4</v>
      </c>
      <c r="AM214" s="164">
        <v>2.1096450290227417E-5</v>
      </c>
      <c r="AN214" s="164">
        <v>2.2414978433366635E-5</v>
      </c>
      <c r="AO214" s="164">
        <v>5.0776106138177758E-5</v>
      </c>
      <c r="AP214" s="164">
        <v>3.105564911133563E-3</v>
      </c>
      <c r="AQ214" s="164">
        <v>1.4049076735721778E-4</v>
      </c>
      <c r="AR214" s="164">
        <v>3.6418200964524684E-4</v>
      </c>
      <c r="AS214" s="164">
        <v>3.105564911133563E-3</v>
      </c>
      <c r="AT214" s="164">
        <v>1.4049076735721778E-4</v>
      </c>
      <c r="AU214" s="164">
        <v>3.6418200964524684E-4</v>
      </c>
      <c r="AV214" s="164">
        <v>3.1055649111335639E-3</v>
      </c>
      <c r="AW214" s="164">
        <v>1.4049076735721778E-4</v>
      </c>
      <c r="AX214" s="164">
        <v>3.6418200964524684E-4</v>
      </c>
      <c r="AY214" s="164">
        <v>3.1055649111335639E-3</v>
      </c>
      <c r="AZ214" s="164">
        <v>1.4049076735721778E-4</v>
      </c>
      <c r="BA214" s="164">
        <v>3.6418200964524684E-4</v>
      </c>
      <c r="BB214" s="164">
        <v>3.1055649111335639E-3</v>
      </c>
      <c r="BC214" s="164">
        <v>1.4049076735721778E-4</v>
      </c>
      <c r="BD214" s="164">
        <v>3.6418200964524684E-4</v>
      </c>
      <c r="BE214" s="164">
        <v>2.3842549920408719E-3</v>
      </c>
      <c r="BF214" s="164">
        <v>2.2625795316212503E-3</v>
      </c>
      <c r="BG214" s="164">
        <v>2.3112628110406671E-4</v>
      </c>
      <c r="BH214" s="164">
        <v>2.3557101727914492E-4</v>
      </c>
      <c r="BI214" s="164">
        <v>2.9902098869419172E-4</v>
      </c>
      <c r="BJ214" s="164">
        <v>2.3842549920408719E-3</v>
      </c>
      <c r="BK214" s="164">
        <v>2.2625795316212503E-3</v>
      </c>
      <c r="BL214" s="164">
        <v>2.3112628110406671E-4</v>
      </c>
      <c r="BM214" s="164">
        <v>2.3557101727914492E-4</v>
      </c>
      <c r="BN214" s="164">
        <v>2.9902098869419172E-4</v>
      </c>
      <c r="BO214" s="164">
        <v>2.3842549920408719E-3</v>
      </c>
      <c r="BP214" s="164">
        <v>2.2625795316212503E-3</v>
      </c>
      <c r="BQ214" s="164">
        <v>2.3112628110406671E-4</v>
      </c>
      <c r="BR214" s="164">
        <v>2.3557101727914492E-4</v>
      </c>
      <c r="BS214" s="164">
        <v>2.9902098869419172E-4</v>
      </c>
      <c r="BT214" s="164">
        <v>2.3842549920408719E-3</v>
      </c>
      <c r="BU214" s="164">
        <v>2.2625795316212503E-3</v>
      </c>
      <c r="BV214" s="164">
        <v>2.3112628110406671E-4</v>
      </c>
      <c r="BW214" s="164">
        <v>2.3557101727914492E-4</v>
      </c>
      <c r="BX214" s="164">
        <v>2.9902098869419172E-4</v>
      </c>
      <c r="BY214" s="164">
        <v>9.3595751810243634E-4</v>
      </c>
      <c r="BZ214" s="164">
        <v>2.360985412314249E-5</v>
      </c>
      <c r="CA214" s="164">
        <v>2.5085470005838896E-5</v>
      </c>
      <c r="CB214" s="164">
        <v>5.6825505825447255E-5</v>
      </c>
      <c r="CC214" s="164">
        <v>9.3595751810243634E-4</v>
      </c>
      <c r="CD214" s="164">
        <v>2.360985412314249E-5</v>
      </c>
      <c r="CE214" s="164">
        <v>2.5085470005838896E-5</v>
      </c>
      <c r="CF214" s="164">
        <v>5.6825505825447255E-5</v>
      </c>
      <c r="CG214" s="164">
        <v>9.3595751810243634E-4</v>
      </c>
      <c r="CH214" s="164">
        <v>2.360985412314249E-5</v>
      </c>
      <c r="CI214" s="164">
        <v>2.5085470005838896E-5</v>
      </c>
      <c r="CJ214" s="164">
        <v>5.6825505825447255E-5</v>
      </c>
      <c r="CK214" s="164">
        <v>9.3595751810243634E-4</v>
      </c>
      <c r="CL214" s="164">
        <v>2.360985412314249E-5</v>
      </c>
      <c r="CM214" s="164">
        <v>2.5085470005838896E-5</v>
      </c>
      <c r="CN214" s="164">
        <v>5.6825505825447255E-5</v>
      </c>
      <c r="CO214" s="164">
        <v>7.4876601448194905E-4</v>
      </c>
      <c r="CP214" s="164">
        <v>1.8887883298513993E-5</v>
      </c>
      <c r="CQ214" s="164">
        <v>2.0068376004671116E-5</v>
      </c>
      <c r="CR214" s="164">
        <v>4.5460404660357809E-5</v>
      </c>
      <c r="CS214" s="164">
        <v>3.7182628349802355E-3</v>
      </c>
      <c r="CT214" s="164">
        <v>1.2578292470326314E-4</v>
      </c>
      <c r="CU214" s="164">
        <v>3.2605614702792577E-4</v>
      </c>
      <c r="CV214" s="164">
        <v>3.7182628349802355E-3</v>
      </c>
      <c r="CW214" s="164">
        <v>1.2578292470326314E-4</v>
      </c>
      <c r="CX214" s="164">
        <v>3.2605614702792577E-4</v>
      </c>
      <c r="CY214" s="164">
        <v>3.7182628349802355E-3</v>
      </c>
      <c r="CZ214" s="164">
        <v>1.2578292470326314E-4</v>
      </c>
      <c r="DA214" s="164">
        <v>3.2605614702792577E-4</v>
      </c>
      <c r="DB214" s="164">
        <v>3.7182628349802355E-3</v>
      </c>
      <c r="DC214" s="164">
        <v>1.2578292470326314E-4</v>
      </c>
      <c r="DD214" s="164">
        <v>3.2605614702792577E-4</v>
      </c>
      <c r="DE214" s="164">
        <v>3.718262834980236E-3</v>
      </c>
      <c r="DF214" s="164">
        <v>1.2578292470326314E-4</v>
      </c>
      <c r="DG214" s="164">
        <v>3.2605614702792577E-4</v>
      </c>
      <c r="DH214" s="164">
        <v>6.1733034624737292E-3</v>
      </c>
      <c r="DI214" s="164">
        <v>5.8582618483787648E-3</v>
      </c>
      <c r="DJ214" s="164">
        <v>4.1918473001819709E-6</v>
      </c>
      <c r="DK214" s="164">
        <v>4.2724597482624145E-6</v>
      </c>
      <c r="DL214" s="164">
        <v>5.4232271560286516E-6</v>
      </c>
      <c r="DM214" s="164">
        <v>6.1733034624737292E-3</v>
      </c>
      <c r="DN214" s="164">
        <v>5.8582618483787648E-3</v>
      </c>
      <c r="DO214" s="164">
        <v>4.1918473001819709E-6</v>
      </c>
      <c r="DP214" s="164">
        <v>4.2724597482624145E-6</v>
      </c>
      <c r="DQ214" s="164">
        <v>5.4232271560286516E-6</v>
      </c>
      <c r="DR214" s="164">
        <v>6.1733034624737292E-3</v>
      </c>
      <c r="DS214" s="164">
        <v>5.8582618483787648E-3</v>
      </c>
      <c r="DT214" s="164">
        <v>4.1918473001819709E-6</v>
      </c>
      <c r="DU214" s="164">
        <v>4.2724597482624145E-6</v>
      </c>
      <c r="DV214" s="164">
        <v>5.4232271560286516E-6</v>
      </c>
      <c r="DW214" s="164">
        <v>6.1733034624737292E-3</v>
      </c>
      <c r="DX214" s="164">
        <v>5.8582618483787648E-3</v>
      </c>
      <c r="DY214" s="164">
        <v>4.1918473001819709E-6</v>
      </c>
      <c r="DZ214" s="164">
        <v>4.2724597482624145E-6</v>
      </c>
      <c r="EA214" s="164">
        <v>5.4232271560286516E-6</v>
      </c>
      <c r="EB214" s="164">
        <v>2.5563252752773664E-3</v>
      </c>
      <c r="EC214" s="164">
        <v>4.2820272446309834E-7</v>
      </c>
      <c r="ED214" s="164">
        <v>4.5496539474204176E-7</v>
      </c>
      <c r="EE214" s="164">
        <v>1.0306220566436748E-6</v>
      </c>
      <c r="EF214" s="164">
        <v>2.5563252752773664E-3</v>
      </c>
      <c r="EG214" s="164">
        <v>4.2820272446309834E-7</v>
      </c>
      <c r="EH214" s="164">
        <v>4.5496539474204176E-7</v>
      </c>
      <c r="EI214" s="164">
        <v>1.0306220566436748E-6</v>
      </c>
      <c r="EJ214" s="164">
        <v>2.5563252752773664E-3</v>
      </c>
      <c r="EK214" s="164">
        <v>4.2820272446309834E-7</v>
      </c>
      <c r="EL214" s="164">
        <v>4.5496539474204176E-7</v>
      </c>
      <c r="EM214" s="164">
        <v>1.0306220566436748E-6</v>
      </c>
      <c r="EN214" s="164">
        <v>2.5563252752773664E-3</v>
      </c>
      <c r="EO214" s="164">
        <v>4.2820272446309834E-7</v>
      </c>
      <c r="EP214" s="164">
        <v>4.5496539474204176E-7</v>
      </c>
      <c r="EQ214" s="164">
        <v>1.0306220566436748E-6</v>
      </c>
      <c r="ER214" s="164">
        <v>2.0450602202218928E-3</v>
      </c>
      <c r="ES214" s="164">
        <v>3.4256217957047868E-7</v>
      </c>
      <c r="ET214" s="164">
        <v>3.6397231579363343E-7</v>
      </c>
      <c r="EU214" s="164">
        <v>8.2449764531493981E-7</v>
      </c>
      <c r="EV214" s="164">
        <v>8.8630828876566804E-3</v>
      </c>
      <c r="EW214" s="164">
        <v>2.2812758930212777E-6</v>
      </c>
      <c r="EX214" s="164">
        <v>5.9135532882621105E-6</v>
      </c>
      <c r="EY214" s="164">
        <v>8.8630828876566804E-3</v>
      </c>
      <c r="EZ214" s="164">
        <v>2.2812758930212777E-6</v>
      </c>
      <c r="FA214" s="164">
        <v>5.9135532882621105E-6</v>
      </c>
      <c r="FB214" s="164">
        <v>8.8630828876566786E-3</v>
      </c>
      <c r="FC214" s="164">
        <v>2.2812758930212777E-6</v>
      </c>
      <c r="FD214" s="164">
        <v>5.9135532882621105E-6</v>
      </c>
      <c r="FE214" s="164">
        <v>8.8630828876566786E-3</v>
      </c>
      <c r="FF214" s="164">
        <v>2.2812758930212777E-6</v>
      </c>
      <c r="FG214" s="164">
        <v>5.9135532882621105E-6</v>
      </c>
      <c r="FH214" s="164">
        <v>8.8630828876566786E-3</v>
      </c>
      <c r="FI214" s="164">
        <v>2.2812758930212777E-6</v>
      </c>
      <c r="FJ214" s="164">
        <v>5.9135532882621105E-6</v>
      </c>
    </row>
    <row r="215" spans="1:166" x14ac:dyDescent="0.25">
      <c r="A215" s="164" t="s">
        <v>392</v>
      </c>
      <c r="B215" s="164">
        <v>1.307496300747297E-2</v>
      </c>
      <c r="C215" s="164">
        <v>1.6720368033460047E-2</v>
      </c>
      <c r="D215" s="164">
        <v>3.4818804120443622E-2</v>
      </c>
      <c r="E215" s="164">
        <v>3.1822528080931091E-2</v>
      </c>
      <c r="F215" s="164">
        <v>5.9499036857833032E-2</v>
      </c>
      <c r="G215" s="164">
        <v>1.6368196067386938E-2</v>
      </c>
      <c r="H215" s="164">
        <v>2.0691815981929748E-2</v>
      </c>
      <c r="I215" s="164">
        <v>4.1853643866071648E-2</v>
      </c>
      <c r="J215" s="164">
        <v>3.8386371951620285E-2</v>
      </c>
      <c r="K215" s="164">
        <v>7.1215282670323621E-2</v>
      </c>
      <c r="L215" s="164">
        <v>1.7093320685570811E-2</v>
      </c>
      <c r="M215" s="164">
        <v>2.186038879647699E-2</v>
      </c>
      <c r="N215" s="164">
        <v>4.4952684649922997E-2</v>
      </c>
      <c r="O215" s="164">
        <v>4.1193208120891792E-2</v>
      </c>
      <c r="P215" s="164">
        <v>7.7420553886611593E-2</v>
      </c>
      <c r="Q215" s="164">
        <v>1.3068116618534862E-2</v>
      </c>
      <c r="R215" s="164">
        <v>1.6713521644521938E-2</v>
      </c>
      <c r="S215" s="164">
        <v>3.481156995880387E-2</v>
      </c>
      <c r="T215" s="164">
        <v>3.1815378160127077E-2</v>
      </c>
      <c r="U215" s="164">
        <v>5.9492044983129981E-2</v>
      </c>
      <c r="V215" s="164">
        <v>2.2773556508726353E-2</v>
      </c>
      <c r="W215" s="164">
        <v>1.6194682986731719E-2</v>
      </c>
      <c r="X215" s="164">
        <v>2.2438985718900011E-2</v>
      </c>
      <c r="Y215" s="164">
        <v>2.839890510115458E-2</v>
      </c>
      <c r="Z215" s="164">
        <v>3.4382464517395517E-2</v>
      </c>
      <c r="AA215" s="164">
        <v>2.4514154234403569E-2</v>
      </c>
      <c r="AB215" s="164">
        <v>3.3687755535076573E-2</v>
      </c>
      <c r="AC215" s="164">
        <v>4.2698525335139244E-2</v>
      </c>
      <c r="AD215" s="164">
        <v>3.2685860428015773E-2</v>
      </c>
      <c r="AE215" s="164">
        <v>2.2817550145023829E-2</v>
      </c>
      <c r="AF215" s="164">
        <v>3.197058232993006E-2</v>
      </c>
      <c r="AG215" s="164">
        <v>4.0991754097091826E-2</v>
      </c>
      <c r="AH215" s="164">
        <v>2.8108202021392074E-2</v>
      </c>
      <c r="AI215" s="164">
        <v>2.2260314446285737E-2</v>
      </c>
      <c r="AJ215" s="164">
        <v>2.8010602388861803E-2</v>
      </c>
      <c r="AK215" s="164">
        <v>3.3213188966237359E-2</v>
      </c>
      <c r="AL215" s="164">
        <v>3.3806597394249023E-2</v>
      </c>
      <c r="AM215" s="164">
        <v>2.3938287111257082E-2</v>
      </c>
      <c r="AN215" s="164">
        <v>3.2963848028086419E-2</v>
      </c>
      <c r="AO215" s="164">
        <v>4.2030630258148627E-2</v>
      </c>
      <c r="AP215" s="164">
        <v>0.23308732082245304</v>
      </c>
      <c r="AQ215" s="164">
        <v>0.28499642274443121</v>
      </c>
      <c r="AR215" s="164">
        <v>0.33539943958717888</v>
      </c>
      <c r="AS215" s="164">
        <v>0.1238055036767374</v>
      </c>
      <c r="AT215" s="164">
        <v>0.1386281241247968</v>
      </c>
      <c r="AU215" s="164">
        <v>0.17725040901734032</v>
      </c>
      <c r="AV215" s="164">
        <v>0.12998950809722276</v>
      </c>
      <c r="AW215" s="164">
        <v>0.14653677136251964</v>
      </c>
      <c r="AX215" s="164">
        <v>0.1873047309311551</v>
      </c>
      <c r="AY215" s="164">
        <v>0.16217363519855427</v>
      </c>
      <c r="AZ215" s="164">
        <v>0.19093173634412192</v>
      </c>
      <c r="BA215" s="164">
        <v>0.23349522897530658</v>
      </c>
      <c r="BB215" s="164">
        <v>0.13594398856024148</v>
      </c>
      <c r="BC215" s="164">
        <v>0.16113583044544258</v>
      </c>
      <c r="BD215" s="164">
        <v>0.20090182152776806</v>
      </c>
      <c r="BE215" s="164">
        <v>1.3938354893823219E-2</v>
      </c>
      <c r="BF215" s="164">
        <v>1.7509472386988703E-2</v>
      </c>
      <c r="BG215" s="164">
        <v>3.2727281010829723E-2</v>
      </c>
      <c r="BH215" s="164">
        <v>3.0100591413781075E-2</v>
      </c>
      <c r="BI215" s="164">
        <v>5.4860778790817785E-2</v>
      </c>
      <c r="BJ215" s="164">
        <v>1.7392219002360487E-2</v>
      </c>
      <c r="BK215" s="164">
        <v>2.1627730447742806E-2</v>
      </c>
      <c r="BL215" s="164">
        <v>3.9400015980930292E-2</v>
      </c>
      <c r="BM215" s="164">
        <v>3.6360422465294771E-2</v>
      </c>
      <c r="BN215" s="164">
        <v>6.5732048609772831E-2</v>
      </c>
      <c r="BO215" s="164">
        <v>1.8222371613874983E-2</v>
      </c>
      <c r="BP215" s="164">
        <v>2.289229448955292E-2</v>
      </c>
      <c r="BQ215" s="164">
        <v>4.2263976100406671E-2</v>
      </c>
      <c r="BR215" s="164">
        <v>3.8969285961605767E-2</v>
      </c>
      <c r="BS215" s="164">
        <v>7.1384835522595239E-2</v>
      </c>
      <c r="BT215" s="164">
        <v>1.3931508504885112E-2</v>
      </c>
      <c r="BU215" s="164">
        <v>1.7502625998050594E-2</v>
      </c>
      <c r="BV215" s="164">
        <v>3.2720055833272504E-2</v>
      </c>
      <c r="BW215" s="164">
        <v>3.0093445797141509E-2</v>
      </c>
      <c r="BX215" s="164">
        <v>5.4853786916114734E-2</v>
      </c>
      <c r="BY215" s="164">
        <v>2.3243384289252898E-2</v>
      </c>
      <c r="BZ215" s="164">
        <v>1.5993419377568638E-2</v>
      </c>
      <c r="CA215" s="164">
        <v>2.0215339481203094E-2</v>
      </c>
      <c r="CB215" s="164">
        <v>2.3099757961821302E-2</v>
      </c>
      <c r="CC215" s="164">
        <v>3.5087206188185345E-2</v>
      </c>
      <c r="CD215" s="164">
        <v>2.4212258820658947E-2</v>
      </c>
      <c r="CE215" s="164">
        <v>3.0409372491027955E-2</v>
      </c>
      <c r="CF215" s="164">
        <v>3.4772728117729815E-2</v>
      </c>
      <c r="CG215" s="164">
        <v>3.3390602098805594E-2</v>
      </c>
      <c r="CH215" s="164">
        <v>2.25156547312792E-2</v>
      </c>
      <c r="CI215" s="164">
        <v>2.8696741089890229E-2</v>
      </c>
      <c r="CJ215" s="164">
        <v>3.3065956879682397E-2</v>
      </c>
      <c r="CK215" s="164">
        <v>2.852582671519345E-2</v>
      </c>
      <c r="CL215" s="164">
        <v>2.2081413460362992E-2</v>
      </c>
      <c r="CM215" s="164">
        <v>2.5986688564280904E-2</v>
      </c>
      <c r="CN215" s="164">
        <v>2.849774184425433E-2</v>
      </c>
      <c r="CO215" s="164">
        <v>3.4511339065038844E-2</v>
      </c>
      <c r="CP215" s="164">
        <v>2.3636391697512454E-2</v>
      </c>
      <c r="CQ215" s="164">
        <v>2.9729009763123138E-2</v>
      </c>
      <c r="CR215" s="164">
        <v>3.4121444266529397E-2</v>
      </c>
      <c r="CS215" s="164">
        <v>0.23477482174539976</v>
      </c>
      <c r="CT215" s="164">
        <v>0.22945831470499203</v>
      </c>
      <c r="CU215" s="164">
        <v>0.26261044524392907</v>
      </c>
      <c r="CV215" s="164">
        <v>0.12429352195377036</v>
      </c>
      <c r="CW215" s="164">
        <v>0.11232904482653279</v>
      </c>
      <c r="CX215" s="164">
        <v>0.13625589947052072</v>
      </c>
      <c r="CY215" s="164">
        <v>0.1305478648101786</v>
      </c>
      <c r="CZ215" s="164">
        <v>0.11812121013215086</v>
      </c>
      <c r="DA215" s="164">
        <v>0.14349107390775903</v>
      </c>
      <c r="DB215" s="164">
        <v>0.1631060615073974</v>
      </c>
      <c r="DC215" s="164">
        <v>0.15385965269632956</v>
      </c>
      <c r="DD215" s="164">
        <v>0.180951900434388</v>
      </c>
      <c r="DE215" s="164">
        <v>0.13598792742656174</v>
      </c>
      <c r="DF215" s="164">
        <v>0.12978398193245341</v>
      </c>
      <c r="DG215" s="164">
        <v>0.15479756666131753</v>
      </c>
      <c r="DH215" s="164">
        <v>2.118825034364772E-2</v>
      </c>
      <c r="DI215" s="164">
        <v>2.4135575958876221E-2</v>
      </c>
      <c r="DJ215" s="164">
        <v>1.6835832771061182E-2</v>
      </c>
      <c r="DK215" s="164">
        <v>1.6873746078203009E-2</v>
      </c>
      <c r="DL215" s="164">
        <v>1.8383701708981876E-2</v>
      </c>
      <c r="DM215" s="164">
        <v>2.5990932210291862E-2</v>
      </c>
      <c r="DN215" s="164">
        <v>2.9486597474865213E-2</v>
      </c>
      <c r="DO215" s="164">
        <v>2.072938247471668E-2</v>
      </c>
      <c r="DP215" s="164">
        <v>2.0786935588965529E-2</v>
      </c>
      <c r="DQ215" s="164">
        <v>2.2609749549520428E-2</v>
      </c>
      <c r="DR215" s="164">
        <v>2.7703004125183936E-2</v>
      </c>
      <c r="DS215" s="164">
        <v>3.1557199160482753E-2</v>
      </c>
      <c r="DT215" s="164">
        <v>2.1789990044161572E-2</v>
      </c>
      <c r="DU215" s="164">
        <v>2.1868144257779564E-2</v>
      </c>
      <c r="DV215" s="164">
        <v>2.391758363030129E-2</v>
      </c>
      <c r="DW215" s="164">
        <v>2.1181403954709604E-2</v>
      </c>
      <c r="DX215" s="164">
        <v>2.4128729569938112E-2</v>
      </c>
      <c r="DY215" s="164">
        <v>1.6828681422402104E-2</v>
      </c>
      <c r="DZ215" s="164">
        <v>1.686663622206094E-2</v>
      </c>
      <c r="EA215" s="164">
        <v>1.8376709834278825E-2</v>
      </c>
      <c r="EB215" s="164">
        <v>2.6707884376365485E-2</v>
      </c>
      <c r="EC215" s="164">
        <v>1.5689271979090976E-2</v>
      </c>
      <c r="ED215" s="164">
        <v>1.7288131353933017E-2</v>
      </c>
      <c r="EE215" s="164">
        <v>1.6425004593815962E-2</v>
      </c>
      <c r="EF215" s="164">
        <v>4.028395631885423E-2</v>
      </c>
      <c r="EG215" s="164">
        <v>2.3756037722942453E-2</v>
      </c>
      <c r="EH215" s="164">
        <v>2.6080262632327007E-2</v>
      </c>
      <c r="EI215" s="164">
        <v>2.47894722691883E-2</v>
      </c>
      <c r="EJ215" s="164">
        <v>3.8587352229474486E-2</v>
      </c>
      <c r="EK215" s="164">
        <v>2.2059433633562713E-2</v>
      </c>
      <c r="EL215" s="164">
        <v>2.4373468353547947E-2</v>
      </c>
      <c r="EM215" s="164">
        <v>2.3082701031140882E-2</v>
      </c>
      <c r="EN215" s="164">
        <v>3.1605382348182415E-2</v>
      </c>
      <c r="EO215" s="164">
        <v>2.1811060217271739E-2</v>
      </c>
      <c r="EP215" s="164">
        <v>2.3326477452239425E-2</v>
      </c>
      <c r="EQ215" s="164">
        <v>2.2558211249701473E-2</v>
      </c>
      <c r="ER215" s="164">
        <v>3.9708089195707737E-2</v>
      </c>
      <c r="ES215" s="164">
        <v>2.3180170599795959E-2</v>
      </c>
      <c r="ET215" s="164">
        <v>2.5447067145162188E-2</v>
      </c>
      <c r="EU215" s="164">
        <v>2.415911175383317E-2</v>
      </c>
      <c r="EV215" s="164">
        <v>0.247323671315758</v>
      </c>
      <c r="EW215" s="164">
        <v>0.21044810447446827</v>
      </c>
      <c r="EX215" s="164">
        <v>0.22446050479075447</v>
      </c>
      <c r="EY215" s="164">
        <v>0.13398012944026955</v>
      </c>
      <c r="EZ215" s="164">
        <v>0.10268560125959975</v>
      </c>
      <c r="FA215" s="164">
        <v>0.11262737501324478</v>
      </c>
      <c r="FB215" s="164">
        <v>0.14071990918801952</v>
      </c>
      <c r="FC215" s="164">
        <v>0.10783282143620151</v>
      </c>
      <c r="FD215" s="164">
        <v>0.11843039587370717</v>
      </c>
      <c r="FE215" s="164">
        <v>0.17376762314417327</v>
      </c>
      <c r="FF215" s="164">
        <v>0.1407564067971131</v>
      </c>
      <c r="FG215" s="164">
        <v>0.15208882484074399</v>
      </c>
      <c r="FH215" s="164">
        <v>0.14038845449767579</v>
      </c>
      <c r="FI215" s="164">
        <v>0.11853700652287627</v>
      </c>
      <c r="FJ215" s="164">
        <v>0.12896304884725901</v>
      </c>
    </row>
    <row r="216" spans="1:166" x14ac:dyDescent="0.25">
      <c r="A216" s="164" t="s">
        <v>335</v>
      </c>
    </row>
    <row r="217" spans="1:166" x14ac:dyDescent="0.25">
      <c r="A217" s="164" t="s">
        <v>336</v>
      </c>
    </row>
    <row r="219" spans="1:166" x14ac:dyDescent="0.25">
      <c r="A219" s="171" t="s">
        <v>410</v>
      </c>
    </row>
    <row r="220" spans="1:166" x14ac:dyDescent="0.25">
      <c r="C220" s="164" t="s">
        <v>18</v>
      </c>
      <c r="D220" s="164" t="s">
        <v>28</v>
      </c>
      <c r="E220" s="164" t="s">
        <v>14</v>
      </c>
      <c r="F220" s="164" t="s">
        <v>25</v>
      </c>
      <c r="G220" s="164" t="s">
        <v>37</v>
      </c>
      <c r="H220" s="164" t="s">
        <v>52</v>
      </c>
      <c r="I220" s="164" t="s">
        <v>272</v>
      </c>
      <c r="J220" s="164" t="s">
        <v>67</v>
      </c>
      <c r="K220" s="164" t="s">
        <v>56</v>
      </c>
      <c r="L220" s="164" t="s">
        <v>73</v>
      </c>
      <c r="M220" s="164" t="s">
        <v>206</v>
      </c>
      <c r="N220" s="164" t="s">
        <v>392</v>
      </c>
      <c r="O220" s="164" t="s">
        <v>335</v>
      </c>
      <c r="P220" s="164" t="s">
        <v>336</v>
      </c>
      <c r="AI220" s="164" t="s">
        <v>335</v>
      </c>
      <c r="AJ220" s="164" t="s">
        <v>336</v>
      </c>
    </row>
    <row r="221" spans="1:166" x14ac:dyDescent="0.25">
      <c r="A221" s="165" t="s">
        <v>393</v>
      </c>
      <c r="B221" s="164" t="s">
        <v>394</v>
      </c>
      <c r="C221" s="164" t="s">
        <v>395</v>
      </c>
      <c r="D221" s="164" t="s">
        <v>396</v>
      </c>
      <c r="E221" s="164" t="s">
        <v>397</v>
      </c>
      <c r="F221" s="164" t="s">
        <v>398</v>
      </c>
      <c r="G221" s="164" t="s">
        <v>399</v>
      </c>
      <c r="H221" s="164" t="s">
        <v>400</v>
      </c>
      <c r="I221" s="164" t="s">
        <v>401</v>
      </c>
      <c r="J221" s="164" t="s">
        <v>402</v>
      </c>
      <c r="K221" s="164" t="s">
        <v>403</v>
      </c>
      <c r="L221" s="164" t="s">
        <v>404</v>
      </c>
      <c r="M221" s="164" t="s">
        <v>405</v>
      </c>
      <c r="N221" s="164" t="s">
        <v>406</v>
      </c>
    </row>
    <row r="222" spans="1:166" x14ac:dyDescent="0.25">
      <c r="A222" s="165">
        <v>2023</v>
      </c>
      <c r="B222" s="164" t="s">
        <v>391</v>
      </c>
      <c r="C222" s="164">
        <v>1.0347449498978036E-3</v>
      </c>
      <c r="D222" s="164">
        <v>-1.0336086682377807E-4</v>
      </c>
      <c r="E222" s="164">
        <v>6.8982996659853576E-5</v>
      </c>
      <c r="F222" s="164">
        <v>-6.8982996659853564E-6</v>
      </c>
      <c r="G222" s="164">
        <v>1.0654632223259673E-3</v>
      </c>
      <c r="H222" s="164">
        <v>4.305425874053325E-4</v>
      </c>
      <c r="I222" s="164">
        <v>8.6011184229469056E-5</v>
      </c>
      <c r="J222" s="164">
        <v>2.1494771182553069E-3</v>
      </c>
      <c r="K222" s="164">
        <v>6.4101374767547474E-3</v>
      </c>
      <c r="L222" s="164">
        <v>0</v>
      </c>
      <c r="M222" s="164">
        <v>1.9330162494961441E-3</v>
      </c>
      <c r="N222" s="164">
        <v>1.3068116618534862E-2</v>
      </c>
    </row>
    <row r="223" spans="1:166" x14ac:dyDescent="0.25">
      <c r="A223" s="165"/>
      <c r="B223" s="164" t="s">
        <v>388</v>
      </c>
      <c r="C223" s="164">
        <v>1.0347449498978036E-3</v>
      </c>
      <c r="D223" s="164">
        <v>-1.0336086682377807E-4</v>
      </c>
      <c r="E223" s="164">
        <v>6.8982996659853576E-5</v>
      </c>
      <c r="F223" s="164">
        <v>-6.8982996659853564E-6</v>
      </c>
      <c r="G223" s="164">
        <v>1.0654632223259673E-3</v>
      </c>
      <c r="H223" s="164">
        <v>4.305425874053325E-4</v>
      </c>
      <c r="I223" s="164">
        <v>8.9502842587904882E-5</v>
      </c>
      <c r="J223" s="164">
        <v>2.1494771182553069E-3</v>
      </c>
      <c r="K223" s="164">
        <v>6.4134922073344211E-3</v>
      </c>
      <c r="L223" s="164">
        <v>0</v>
      </c>
      <c r="M223" s="164">
        <v>1.9330162494961441E-3</v>
      </c>
      <c r="N223" s="164">
        <v>1.307496300747297E-2</v>
      </c>
    </row>
    <row r="224" spans="1:166" x14ac:dyDescent="0.25">
      <c r="A224" s="165"/>
      <c r="B224" s="164" t="s">
        <v>350</v>
      </c>
      <c r="C224" s="164">
        <v>1.0902430594344164E-3</v>
      </c>
      <c r="D224" s="164">
        <v>-1.6353645891516245E-4</v>
      </c>
      <c r="E224" s="164">
        <v>7.6311881817276459E-4</v>
      </c>
      <c r="F224" s="164">
        <v>-3.8155940908638231E-5</v>
      </c>
      <c r="G224" s="164">
        <v>1.6256502601040416E-3</v>
      </c>
      <c r="H224" s="164">
        <v>1.6256502601040416E-3</v>
      </c>
      <c r="I224" s="164">
        <v>1.7507002801120447E-3</v>
      </c>
      <c r="J224" s="164">
        <v>1.0537248141199494E-3</v>
      </c>
      <c r="K224" s="164">
        <v>8.4609173316454768E-3</v>
      </c>
      <c r="L224" s="164">
        <v>0</v>
      </c>
      <c r="M224" s="164">
        <v>2.6370562862784274E-5</v>
      </c>
      <c r="N224" s="164">
        <v>1.6194682986731719E-2</v>
      </c>
    </row>
    <row r="225" spans="1:28" x14ac:dyDescent="0.25">
      <c r="A225" s="165"/>
      <c r="B225" s="164" t="s">
        <v>389</v>
      </c>
      <c r="C225" s="164">
        <v>1.0347449498978036E-3</v>
      </c>
      <c r="D225" s="164">
        <v>-1.0336086682377807E-4</v>
      </c>
      <c r="E225" s="164">
        <v>3.4491498329926784E-4</v>
      </c>
      <c r="F225" s="164">
        <v>-3.4491498329926788E-5</v>
      </c>
      <c r="G225" s="164">
        <v>1.0654632223259673E-3</v>
      </c>
      <c r="H225" s="164">
        <v>4.305425874053325E-4</v>
      </c>
      <c r="I225" s="164">
        <v>1.7869725535414797E-4</v>
      </c>
      <c r="J225" s="164">
        <v>2.1494771182553069E-3</v>
      </c>
      <c r="K225" s="164">
        <v>9.3691920665066718E-3</v>
      </c>
      <c r="L225" s="164">
        <v>0</v>
      </c>
      <c r="M225" s="164">
        <v>1.9330162494961441E-3</v>
      </c>
      <c r="N225" s="164">
        <v>1.6368196067386938E-2</v>
      </c>
    </row>
    <row r="226" spans="1:28" x14ac:dyDescent="0.25">
      <c r="A226" s="165"/>
      <c r="B226" s="164" t="s">
        <v>387</v>
      </c>
      <c r="C226" s="164">
        <v>1.0347449498978036E-3</v>
      </c>
      <c r="D226" s="164">
        <v>-1.0336086682377807E-4</v>
      </c>
      <c r="E226" s="164">
        <v>6.8982996659853576E-5</v>
      </c>
      <c r="F226" s="164">
        <v>-6.8982996659853564E-6</v>
      </c>
      <c r="G226" s="164">
        <v>1.0654632223259673E-3</v>
      </c>
      <c r="H226" s="164">
        <v>4.305425874053325E-4</v>
      </c>
      <c r="I226" s="164">
        <v>8.6011184229469056E-5</v>
      </c>
      <c r="J226" s="164">
        <v>4.1072811176853007E-3</v>
      </c>
      <c r="K226" s="164">
        <v>8.1963859394884164E-3</v>
      </c>
      <c r="L226" s="164">
        <v>0</v>
      </c>
      <c r="M226" s="164">
        <v>1.8343688133195604E-3</v>
      </c>
      <c r="N226" s="164">
        <v>1.6713521644521938E-2</v>
      </c>
    </row>
    <row r="227" spans="1:28" x14ac:dyDescent="0.25">
      <c r="A227" s="165"/>
      <c r="B227" s="164" t="s">
        <v>384</v>
      </c>
      <c r="C227" s="164">
        <v>1.0347449498978036E-3</v>
      </c>
      <c r="D227" s="164">
        <v>-1.0336086682377807E-4</v>
      </c>
      <c r="E227" s="164">
        <v>6.8982996659853576E-5</v>
      </c>
      <c r="F227" s="164">
        <v>-6.8982996659853564E-6</v>
      </c>
      <c r="G227" s="164">
        <v>1.0654632223259673E-3</v>
      </c>
      <c r="H227" s="164">
        <v>4.305425874053325E-4</v>
      </c>
      <c r="I227" s="164">
        <v>8.9502842587904882E-5</v>
      </c>
      <c r="J227" s="164">
        <v>4.1072811176853007E-3</v>
      </c>
      <c r="K227" s="164">
        <v>8.1997406700680883E-3</v>
      </c>
      <c r="L227" s="164">
        <v>0</v>
      </c>
      <c r="M227" s="164">
        <v>1.8343688133195604E-3</v>
      </c>
      <c r="N227" s="164">
        <v>1.6720368033460047E-2</v>
      </c>
    </row>
    <row r="228" spans="1:28" x14ac:dyDescent="0.25">
      <c r="A228" s="165"/>
      <c r="B228" s="164" t="s">
        <v>390</v>
      </c>
      <c r="C228" s="164">
        <v>1.0347449498978036E-3</v>
      </c>
      <c r="D228" s="164">
        <v>-1.0336086682377807E-4</v>
      </c>
      <c r="E228" s="164">
        <v>6.8982996659853576E-5</v>
      </c>
      <c r="F228" s="164">
        <v>-6.8982996659853564E-6</v>
      </c>
      <c r="G228" s="164">
        <v>1.0654632223259673E-3</v>
      </c>
      <c r="H228" s="164">
        <v>4.305425874053325E-4</v>
      </c>
      <c r="I228" s="164">
        <v>8.6011184229469056E-5</v>
      </c>
      <c r="J228" s="164">
        <v>2.1494771182553069E-3</v>
      </c>
      <c r="K228" s="164">
        <v>1.0435341543790697E-2</v>
      </c>
      <c r="L228" s="164">
        <v>0</v>
      </c>
      <c r="M228" s="164">
        <v>1.9330162494961441E-3</v>
      </c>
      <c r="N228" s="164">
        <v>1.7093320685570811E-2</v>
      </c>
      <c r="R228" s="164" t="s">
        <v>18</v>
      </c>
      <c r="S228" s="164" t="s">
        <v>28</v>
      </c>
      <c r="T228" s="164" t="s">
        <v>14</v>
      </c>
      <c r="U228" s="164" t="s">
        <v>25</v>
      </c>
      <c r="V228" s="164" t="s">
        <v>37</v>
      </c>
      <c r="W228" s="164" t="s">
        <v>52</v>
      </c>
      <c r="X228" s="164" t="s">
        <v>272</v>
      </c>
      <c r="Y228" s="164" t="s">
        <v>67</v>
      </c>
      <c r="Z228" s="164" t="s">
        <v>56</v>
      </c>
      <c r="AA228" s="164" t="s">
        <v>73</v>
      </c>
      <c r="AB228" s="164" t="s">
        <v>206</v>
      </c>
    </row>
    <row r="229" spans="1:28" x14ac:dyDescent="0.25">
      <c r="A229" s="165"/>
      <c r="B229" s="164" t="s">
        <v>385</v>
      </c>
      <c r="C229" s="164">
        <v>1.0347449498978036E-3</v>
      </c>
      <c r="D229" s="164">
        <v>-1.0336086682377807E-4</v>
      </c>
      <c r="E229" s="164">
        <v>3.4491498329926784E-4</v>
      </c>
      <c r="F229" s="164">
        <v>-3.4491498329926788E-5</v>
      </c>
      <c r="G229" s="164">
        <v>1.0654632223259673E-3</v>
      </c>
      <c r="H229" s="164">
        <v>4.305425874053325E-4</v>
      </c>
      <c r="I229" s="164">
        <v>1.7869725535414797E-4</v>
      </c>
      <c r="J229" s="164">
        <v>4.1072811176853007E-3</v>
      </c>
      <c r="K229" s="164">
        <v>1.1833655417796072E-2</v>
      </c>
      <c r="L229" s="164">
        <v>0</v>
      </c>
      <c r="M229" s="164">
        <v>1.8343688133195604E-3</v>
      </c>
      <c r="N229" s="164">
        <v>2.0691815981929748E-2</v>
      </c>
      <c r="P229" s="202">
        <v>2023</v>
      </c>
      <c r="Q229" s="164" t="s">
        <v>389</v>
      </c>
      <c r="R229" s="164">
        <v>1.0347449498978036E-3</v>
      </c>
      <c r="S229" s="164">
        <v>-1.0336086682377807E-4</v>
      </c>
      <c r="T229" s="164">
        <v>3.4491498329926784E-4</v>
      </c>
      <c r="U229" s="164">
        <v>-3.4491498329926788E-5</v>
      </c>
      <c r="V229" s="164">
        <v>1.0654632223259673E-3</v>
      </c>
      <c r="W229" s="164">
        <v>4.305425874053325E-4</v>
      </c>
      <c r="X229" s="164">
        <v>1.7869725535414797E-4</v>
      </c>
      <c r="Y229" s="164">
        <v>2.1494771182553069E-3</v>
      </c>
      <c r="Z229" s="164">
        <v>9.3691920665066718E-3</v>
      </c>
      <c r="AA229" s="164">
        <v>0</v>
      </c>
      <c r="AB229" s="164">
        <v>1.9330162494961441E-3</v>
      </c>
    </row>
    <row r="230" spans="1:28" x14ac:dyDescent="0.25">
      <c r="A230" s="165"/>
      <c r="B230" s="164" t="s">
        <v>386</v>
      </c>
      <c r="C230" s="164">
        <v>1.0347449498978036E-3</v>
      </c>
      <c r="D230" s="164">
        <v>-1.0336086682377807E-4</v>
      </c>
      <c r="E230" s="164">
        <v>6.8982996659853576E-5</v>
      </c>
      <c r="F230" s="164">
        <v>-6.8982996659853564E-6</v>
      </c>
      <c r="G230" s="164">
        <v>1.0654632223259673E-3</v>
      </c>
      <c r="H230" s="164">
        <v>4.305425874053325E-4</v>
      </c>
      <c r="I230" s="164">
        <v>8.6011184229469056E-5</v>
      </c>
      <c r="J230" s="164">
        <v>4.1072811176853007E-3</v>
      </c>
      <c r="K230" s="164">
        <v>1.3343253091443465E-2</v>
      </c>
      <c r="L230" s="164">
        <v>0</v>
      </c>
      <c r="M230" s="164">
        <v>1.8343688133195604E-3</v>
      </c>
      <c r="N230" s="164">
        <v>2.186038879647699E-2</v>
      </c>
      <c r="P230" s="202"/>
      <c r="Q230" s="164" t="s">
        <v>385</v>
      </c>
      <c r="R230" s="164">
        <v>1.0347449498978036E-3</v>
      </c>
      <c r="S230" s="164">
        <v>-1.0336086682377807E-4</v>
      </c>
      <c r="T230" s="164">
        <v>3.4491498329926784E-4</v>
      </c>
      <c r="U230" s="164">
        <v>-3.4491498329926788E-5</v>
      </c>
      <c r="V230" s="164">
        <v>1.0654632223259673E-3</v>
      </c>
      <c r="W230" s="164">
        <v>4.305425874053325E-4</v>
      </c>
      <c r="X230" s="164">
        <v>1.7869725535414797E-4</v>
      </c>
      <c r="Y230" s="164">
        <v>4.1072811176853007E-3</v>
      </c>
      <c r="Z230" s="164">
        <v>1.1833655417796072E-2</v>
      </c>
      <c r="AA230" s="164">
        <v>0</v>
      </c>
      <c r="AB230" s="164">
        <v>1.8343688133195604E-3</v>
      </c>
    </row>
    <row r="231" spans="1:28" x14ac:dyDescent="0.25">
      <c r="A231" s="165"/>
      <c r="B231" s="164" t="s">
        <v>362</v>
      </c>
      <c r="C231" s="164">
        <v>1.0902430594344164E-3</v>
      </c>
      <c r="D231" s="164">
        <v>-1.6353645891516245E-4</v>
      </c>
      <c r="E231" s="164">
        <v>7.6311881817276459E-4</v>
      </c>
      <c r="F231" s="164">
        <v>-3.8155940908638231E-5</v>
      </c>
      <c r="G231" s="164">
        <v>3.6264505802320927E-3</v>
      </c>
      <c r="H231" s="164">
        <v>1.6256502601040416E-3</v>
      </c>
      <c r="I231" s="164">
        <v>4.0016006402561026E-3</v>
      </c>
      <c r="J231" s="164">
        <v>1.0537248141199494E-3</v>
      </c>
      <c r="K231" s="164">
        <v>1.0274848110927385E-2</v>
      </c>
      <c r="L231" s="164">
        <v>0</v>
      </c>
      <c r="M231" s="164">
        <v>2.6370562862784274E-5</v>
      </c>
      <c r="N231" s="164">
        <v>2.2260314446285737E-2</v>
      </c>
      <c r="P231" s="202"/>
      <c r="Q231" s="164" t="s">
        <v>358</v>
      </c>
      <c r="R231" s="164">
        <v>1.0902430594344164E-3</v>
      </c>
      <c r="S231" s="164">
        <v>-1.6353645891516245E-4</v>
      </c>
      <c r="T231" s="164">
        <v>5.087458787818432E-4</v>
      </c>
      <c r="U231" s="164">
        <v>-2.5437293939092156E-5</v>
      </c>
      <c r="V231" s="164">
        <v>1.525610244097639E-3</v>
      </c>
      <c r="W231" s="164">
        <v>1.6256502601040416E-3</v>
      </c>
      <c r="X231" s="164">
        <v>1.6256502601040416E-3</v>
      </c>
      <c r="Y231" s="164">
        <v>1.0537248141199494E-3</v>
      </c>
      <c r="Z231" s="164">
        <v>1.5550528818373367E-2</v>
      </c>
      <c r="AA231" s="164">
        <v>0</v>
      </c>
      <c r="AB231" s="164">
        <v>2.6370562862784274E-5</v>
      </c>
    </row>
    <row r="232" spans="1:28" x14ac:dyDescent="0.25">
      <c r="A232" s="165"/>
      <c r="B232" s="164" t="s">
        <v>351</v>
      </c>
      <c r="C232" s="164">
        <v>2.1696909640280381E-3</v>
      </c>
      <c r="D232" s="164">
        <v>-1.1028374067486764E-4</v>
      </c>
      <c r="E232" s="164">
        <v>7.6311881817276459E-4</v>
      </c>
      <c r="F232" s="164">
        <v>-3.8155940908638231E-5</v>
      </c>
      <c r="G232" s="164">
        <v>1.6256502601040416E-3</v>
      </c>
      <c r="H232" s="164">
        <v>3.235203975384487E-3</v>
      </c>
      <c r="I232" s="164">
        <v>1.7507002801120447E-3</v>
      </c>
      <c r="J232" s="164">
        <v>1.1195826150024461E-3</v>
      </c>
      <c r="K232" s="164">
        <v>1.1504824322419243E-2</v>
      </c>
      <c r="L232" s="164">
        <v>3.9063544221873935E-4</v>
      </c>
      <c r="M232" s="164">
        <v>2.8018723041708291E-5</v>
      </c>
      <c r="N232" s="164">
        <v>2.2438985718900011E-2</v>
      </c>
      <c r="P232" s="202"/>
      <c r="Q232" s="164" t="s">
        <v>359</v>
      </c>
      <c r="R232" s="164">
        <v>2.1696909640280381E-3</v>
      </c>
      <c r="S232" s="164">
        <v>-1.1028374067486764E-4</v>
      </c>
      <c r="T232" s="164">
        <v>5.087458787818432E-4</v>
      </c>
      <c r="U232" s="164">
        <v>-2.5437293939092156E-5</v>
      </c>
      <c r="V232" s="164">
        <v>1.525610244097639E-3</v>
      </c>
      <c r="W232" s="164">
        <v>3.235203975384487E-3</v>
      </c>
      <c r="X232" s="164">
        <v>1.6256502601040416E-3</v>
      </c>
      <c r="Y232" s="164">
        <v>1.1195826150024461E-3</v>
      </c>
      <c r="Z232" s="164">
        <v>2.1521269454121909E-2</v>
      </c>
      <c r="AA232" s="164">
        <v>3.7253124998190904E-4</v>
      </c>
      <c r="AB232" s="164">
        <v>2.8018723041708291E-5</v>
      </c>
    </row>
    <row r="233" spans="1:28" x14ac:dyDescent="0.25">
      <c r="A233" s="165"/>
      <c r="B233" s="164" t="s">
        <v>349</v>
      </c>
      <c r="C233" s="164">
        <v>7.6317014160409149E-4</v>
      </c>
      <c r="D233" s="164">
        <v>-1.1346797345547289E-4</v>
      </c>
      <c r="E233" s="164">
        <v>7.6311881817276459E-4</v>
      </c>
      <c r="F233" s="164">
        <v>-3.8155940908638231E-5</v>
      </c>
      <c r="G233" s="164">
        <v>1.6256502601040416E-3</v>
      </c>
      <c r="H233" s="164">
        <v>2.6260504201680674E-3</v>
      </c>
      <c r="I233" s="164">
        <v>1.7507002801120447E-3</v>
      </c>
      <c r="J233" s="164">
        <v>2.7715714285714288E-3</v>
      </c>
      <c r="K233" s="164">
        <v>1.1881931563082686E-2</v>
      </c>
      <c r="L233" s="164">
        <v>0</v>
      </c>
      <c r="M233" s="164">
        <v>7.4298751127533757E-4</v>
      </c>
      <c r="N233" s="164">
        <v>2.2773556508726353E-2</v>
      </c>
      <c r="P233" s="202"/>
      <c r="Q233" s="164" t="s">
        <v>357</v>
      </c>
      <c r="R233" s="164">
        <v>7.6317014160409149E-4</v>
      </c>
      <c r="S233" s="164">
        <v>-1.1346797345547289E-4</v>
      </c>
      <c r="T233" s="164">
        <v>5.087458787818432E-4</v>
      </c>
      <c r="U233" s="164">
        <v>-2.5437293939092156E-5</v>
      </c>
      <c r="V233" s="164">
        <v>1.525610244097639E-3</v>
      </c>
      <c r="W233" s="164">
        <v>2.6260504201680674E-3</v>
      </c>
      <c r="X233" s="164">
        <v>1.6256502601040416E-3</v>
      </c>
      <c r="Y233" s="164">
        <v>2.7715714285714288E-3</v>
      </c>
      <c r="Z233" s="164">
        <v>2.2260979810807893E-2</v>
      </c>
      <c r="AA233" s="164">
        <v>0</v>
      </c>
      <c r="AB233" s="164">
        <v>7.4298751127533757E-4</v>
      </c>
    </row>
    <row r="234" spans="1:28" x14ac:dyDescent="0.25">
      <c r="A234" s="165"/>
      <c r="B234" s="164" t="s">
        <v>358</v>
      </c>
      <c r="C234" s="164">
        <v>1.0902430594344164E-3</v>
      </c>
      <c r="D234" s="164">
        <v>-1.6353645891516245E-4</v>
      </c>
      <c r="E234" s="164">
        <v>5.087458787818432E-4</v>
      </c>
      <c r="F234" s="164">
        <v>-2.5437293939092156E-5</v>
      </c>
      <c r="G234" s="164">
        <v>1.525610244097639E-3</v>
      </c>
      <c r="H234" s="164">
        <v>1.6256502601040416E-3</v>
      </c>
      <c r="I234" s="164">
        <v>1.6256502601040416E-3</v>
      </c>
      <c r="J234" s="164">
        <v>1.0537248141199494E-3</v>
      </c>
      <c r="K234" s="164">
        <v>1.5550528818373367E-2</v>
      </c>
      <c r="L234" s="164">
        <v>0</v>
      </c>
      <c r="M234" s="164">
        <v>2.6370562862784274E-5</v>
      </c>
      <c r="N234" s="164">
        <v>2.2817550145023829E-2</v>
      </c>
      <c r="P234" s="202"/>
      <c r="Q234" s="164" t="s">
        <v>341</v>
      </c>
      <c r="R234" s="164">
        <v>2.0676718491395704E-3</v>
      </c>
      <c r="S234" s="164">
        <v>-1.0351994625618128E-4</v>
      </c>
      <c r="T234" s="164">
        <v>3.4491498329926784E-4</v>
      </c>
      <c r="U234" s="164">
        <v>-3.4491498329926788E-5</v>
      </c>
      <c r="V234" s="164">
        <v>1.0654632223259673E-3</v>
      </c>
      <c r="W234" s="164">
        <v>2.9878618113912231E-4</v>
      </c>
      <c r="X234" s="164">
        <v>1.7869725535414797E-4</v>
      </c>
      <c r="Y234" s="164">
        <v>1.1790342951953749E-2</v>
      </c>
      <c r="Z234" s="164">
        <v>2.1129720272896415E-2</v>
      </c>
      <c r="AA234" s="164">
        <v>1.3856702589881906E-3</v>
      </c>
      <c r="AB234" s="164">
        <v>2.6311642110997044E-4</v>
      </c>
    </row>
    <row r="235" spans="1:28" x14ac:dyDescent="0.25">
      <c r="A235" s="165"/>
      <c r="B235" s="164" t="s">
        <v>366</v>
      </c>
      <c r="C235" s="164">
        <v>8.7219444754753307E-4</v>
      </c>
      <c r="D235" s="164">
        <v>-1.3082916713212997E-4</v>
      </c>
      <c r="E235" s="164">
        <v>5.0874587878184309E-4</v>
      </c>
      <c r="F235" s="164">
        <v>-2.5437293939092159E-5</v>
      </c>
      <c r="G235" s="164">
        <v>1.3005202080832333E-3</v>
      </c>
      <c r="H235" s="164">
        <v>1.3005202080832333E-3</v>
      </c>
      <c r="I235" s="164">
        <v>1.4005602240896359E-3</v>
      </c>
      <c r="J235" s="164">
        <v>8.429798512959595E-4</v>
      </c>
      <c r="K235" s="164">
        <v>1.7847936304156639E-2</v>
      </c>
      <c r="L235" s="164">
        <v>0</v>
      </c>
      <c r="M235" s="164">
        <v>2.1096450290227417E-5</v>
      </c>
      <c r="N235" s="164">
        <v>2.3938287111257082E-2</v>
      </c>
      <c r="P235" s="202"/>
      <c r="Q235" s="164" t="s">
        <v>360</v>
      </c>
      <c r="R235" s="164">
        <v>2.1632138711235615E-3</v>
      </c>
      <c r="S235" s="164">
        <v>-1.0931217673919614E-4</v>
      </c>
      <c r="T235" s="164">
        <v>5.087458787818432E-4</v>
      </c>
      <c r="U235" s="164">
        <v>-2.5437293939092156E-5</v>
      </c>
      <c r="V235" s="164">
        <v>1.525610244097639E-3</v>
      </c>
      <c r="W235" s="164">
        <v>3.4736649752972778E-3</v>
      </c>
      <c r="X235" s="164">
        <v>1.6256502601040416E-3</v>
      </c>
      <c r="Y235" s="164">
        <v>3.7811888058906298E-3</v>
      </c>
      <c r="Z235" s="164">
        <v>2.7747547230981169E-2</v>
      </c>
      <c r="AA235" s="164">
        <v>2.3741216882122891E-4</v>
      </c>
      <c r="AB235" s="164">
        <v>6.3470132672722201E-5</v>
      </c>
    </row>
    <row r="236" spans="1:28" x14ac:dyDescent="0.25">
      <c r="A236" s="165"/>
      <c r="B236" s="164" t="s">
        <v>354</v>
      </c>
      <c r="C236" s="164">
        <v>1.0902430594344164E-3</v>
      </c>
      <c r="D236" s="164">
        <v>-1.6353645891516245E-4</v>
      </c>
      <c r="E236" s="164">
        <v>1.0174917575636864E-3</v>
      </c>
      <c r="F236" s="164">
        <v>-5.0874587878184312E-5</v>
      </c>
      <c r="G236" s="164">
        <v>1.5506202480992397E-3</v>
      </c>
      <c r="H236" s="164">
        <v>1.6256502601040416E-3</v>
      </c>
      <c r="I236" s="164">
        <v>1.6256502601040416E-3</v>
      </c>
      <c r="J236" s="164">
        <v>1.0537248141199494E-3</v>
      </c>
      <c r="K236" s="164">
        <v>1.6738814318908755E-2</v>
      </c>
      <c r="L236" s="164">
        <v>0</v>
      </c>
      <c r="M236" s="164">
        <v>2.6370562862784274E-5</v>
      </c>
      <c r="N236" s="164">
        <v>2.4514154234403569E-2</v>
      </c>
      <c r="P236" s="202"/>
      <c r="Q236" s="164" t="s">
        <v>340</v>
      </c>
      <c r="R236" s="164">
        <v>2.0678991054715748E-3</v>
      </c>
      <c r="S236" s="164">
        <v>-1.0354267188938173E-4</v>
      </c>
      <c r="T236" s="164">
        <v>3.4491498329926784E-4</v>
      </c>
      <c r="U236" s="164">
        <v>-3.4491498329926788E-5</v>
      </c>
      <c r="V236" s="164">
        <v>1.0654632223259673E-3</v>
      </c>
      <c r="W236" s="164">
        <v>2.9878618113912231E-4</v>
      </c>
      <c r="X236" s="164">
        <v>1.7869725535414797E-4</v>
      </c>
      <c r="Y236" s="164">
        <v>1.3060247322593066E-2</v>
      </c>
      <c r="Z236" s="164">
        <v>2.2806772205735022E-2</v>
      </c>
      <c r="AA236" s="164">
        <v>1.9107458000384783E-3</v>
      </c>
      <c r="AB236" s="164">
        <v>2.5815196033431064E-4</v>
      </c>
    </row>
    <row r="237" spans="1:28" x14ac:dyDescent="0.25">
      <c r="A237" s="165"/>
      <c r="B237" s="164" t="s">
        <v>363</v>
      </c>
      <c r="C237" s="164">
        <v>2.1696909640280381E-3</v>
      </c>
      <c r="D237" s="164">
        <v>-1.1028374067486764E-4</v>
      </c>
      <c r="E237" s="164">
        <v>7.6311881817276459E-4</v>
      </c>
      <c r="F237" s="164">
        <v>-3.8155940908638231E-5</v>
      </c>
      <c r="G237" s="164">
        <v>3.6264505802320927E-3</v>
      </c>
      <c r="H237" s="164">
        <v>3.235203975384487E-3</v>
      </c>
      <c r="I237" s="164">
        <v>4.0016006402561026E-3</v>
      </c>
      <c r="J237" s="164">
        <v>1.1195826150024461E-3</v>
      </c>
      <c r="K237" s="164">
        <v>1.2668347625040086E-2</v>
      </c>
      <c r="L237" s="164">
        <v>5.4702812928758213E-4</v>
      </c>
      <c r="M237" s="164">
        <v>2.8018723041708291E-5</v>
      </c>
      <c r="N237" s="164">
        <v>2.8010602388861803E-2</v>
      </c>
      <c r="P237" s="202"/>
      <c r="Q237" s="164" t="s">
        <v>342</v>
      </c>
      <c r="R237" s="164">
        <v>1.3444866658711308E-3</v>
      </c>
      <c r="S237" s="164">
        <v>-6.7337961459558828E-5</v>
      </c>
      <c r="T237" s="164">
        <v>3.4491498329926784E-4</v>
      </c>
      <c r="U237" s="164">
        <v>-3.4491498329926788E-5</v>
      </c>
      <c r="V237" s="164">
        <v>1.0654632223259673E-3</v>
      </c>
      <c r="W237" s="164">
        <v>4.305425874053325E-4</v>
      </c>
      <c r="X237" s="164">
        <v>1.7869725535414797E-4</v>
      </c>
      <c r="Y237" s="164">
        <v>2.6447470892304818E-2</v>
      </c>
      <c r="Z237" s="164">
        <v>3.9916854454536799E-2</v>
      </c>
      <c r="AA237" s="164">
        <v>1.2546964484978669E-3</v>
      </c>
      <c r="AB237" s="164">
        <v>3.3398562051778328E-4</v>
      </c>
    </row>
    <row r="238" spans="1:28" x14ac:dyDescent="0.25">
      <c r="A238" s="165"/>
      <c r="B238" s="164" t="s">
        <v>361</v>
      </c>
      <c r="C238" s="164">
        <v>7.6317014160409149E-4</v>
      </c>
      <c r="D238" s="164">
        <v>-1.1346797345547289E-4</v>
      </c>
      <c r="E238" s="164">
        <v>7.6311881817276459E-4</v>
      </c>
      <c r="F238" s="164">
        <v>-3.8155940908638231E-5</v>
      </c>
      <c r="G238" s="164">
        <v>3.6264505802320927E-3</v>
      </c>
      <c r="H238" s="164">
        <v>2.6260504201680674E-3</v>
      </c>
      <c r="I238" s="164">
        <v>4.0016006402561026E-3</v>
      </c>
      <c r="J238" s="164">
        <v>2.7715714285714288E-3</v>
      </c>
      <c r="K238" s="164">
        <v>1.2964876395476299E-2</v>
      </c>
      <c r="L238" s="164">
        <v>0</v>
      </c>
      <c r="M238" s="164">
        <v>7.4298751127533757E-4</v>
      </c>
      <c r="N238" s="164">
        <v>2.8108202021392074E-2</v>
      </c>
      <c r="P238" s="202"/>
      <c r="Q238" s="164" t="s">
        <v>375</v>
      </c>
      <c r="R238" s="164">
        <v>6.4495368251871292E-3</v>
      </c>
      <c r="S238" s="164">
        <v>-1.6030702191455165E-3</v>
      </c>
      <c r="T238" s="164">
        <v>1.552776665375814E-3</v>
      </c>
      <c r="U238" s="164">
        <v>-3.8819416634395349E-4</v>
      </c>
      <c r="V238" s="164">
        <v>2.6666666666666665E-2</v>
      </c>
      <c r="W238" s="164">
        <v>7.619047619047619E-3</v>
      </c>
      <c r="X238" s="164">
        <v>4.4000000000000003E-3</v>
      </c>
      <c r="Y238" s="164">
        <v>1.1573595723149675E-2</v>
      </c>
      <c r="Z238" s="164">
        <v>7.061358407215175E-2</v>
      </c>
      <c r="AA238" s="164">
        <v>0</v>
      </c>
      <c r="AB238" s="164">
        <v>3.1055649111335639E-3</v>
      </c>
    </row>
    <row r="239" spans="1:28" x14ac:dyDescent="0.25">
      <c r="A239" s="165"/>
      <c r="B239" s="164" t="s">
        <v>352</v>
      </c>
      <c r="C239" s="164">
        <v>2.1632138711235615E-3</v>
      </c>
      <c r="D239" s="164">
        <v>-1.0931217673919614E-4</v>
      </c>
      <c r="E239" s="164">
        <v>7.6311881817276459E-4</v>
      </c>
      <c r="F239" s="164">
        <v>-3.8155940908638231E-5</v>
      </c>
      <c r="G239" s="164">
        <v>1.6256502601040416E-3</v>
      </c>
      <c r="H239" s="164">
        <v>3.4736649752972778E-3</v>
      </c>
      <c r="I239" s="164">
        <v>1.7507002801120447E-3</v>
      </c>
      <c r="J239" s="164">
        <v>3.7811888058906298E-3</v>
      </c>
      <c r="K239" s="164">
        <v>1.4679005149837691E-2</v>
      </c>
      <c r="L239" s="164">
        <v>2.4636092559168071E-4</v>
      </c>
      <c r="M239" s="164">
        <v>6.3470132672722201E-5</v>
      </c>
      <c r="N239" s="164">
        <v>2.839890510115458E-2</v>
      </c>
      <c r="P239" s="202"/>
      <c r="Q239" s="164" t="s">
        <v>376</v>
      </c>
      <c r="R239" s="164">
        <v>2.3691681943378187E-2</v>
      </c>
      <c r="S239" s="164">
        <v>-3.6019223357858176E-3</v>
      </c>
      <c r="T239" s="164">
        <v>1.552776665375814E-3</v>
      </c>
      <c r="U239" s="164">
        <v>-3.8819416634395349E-4</v>
      </c>
      <c r="V239" s="164">
        <v>2.6666666666666665E-2</v>
      </c>
      <c r="W239" s="164">
        <v>5.7142857142857143E-3</v>
      </c>
      <c r="X239" s="164">
        <v>4.4000000000000003E-3</v>
      </c>
      <c r="Y239" s="164">
        <v>5.5397830482865063E-3</v>
      </c>
      <c r="Z239" s="164">
        <v>7.5707949094327057E-2</v>
      </c>
      <c r="AA239" s="164">
        <v>7.1132539649722548E-3</v>
      </c>
      <c r="AB239" s="164">
        <v>1.4049076735721778E-4</v>
      </c>
    </row>
    <row r="240" spans="1:28" x14ac:dyDescent="0.25">
      <c r="A240" s="165"/>
      <c r="B240" s="164" t="s">
        <v>347</v>
      </c>
      <c r="C240" s="164">
        <v>2.0676718491395704E-3</v>
      </c>
      <c r="D240" s="164">
        <v>-1.0351994625618128E-4</v>
      </c>
      <c r="E240" s="164">
        <v>6.8982996659853576E-5</v>
      </c>
      <c r="F240" s="164">
        <v>-6.8982996659853564E-6</v>
      </c>
      <c r="G240" s="164">
        <v>1.0654632223259673E-3</v>
      </c>
      <c r="H240" s="164">
        <v>2.9878618113912231E-4</v>
      </c>
      <c r="I240" s="164">
        <v>8.6011184229469056E-5</v>
      </c>
      <c r="J240" s="164">
        <v>1.1790342951953749E-2</v>
      </c>
      <c r="K240" s="164">
        <v>1.4934194212517798E-2</v>
      </c>
      <c r="L240" s="164">
        <v>1.3512273869737464E-3</v>
      </c>
      <c r="M240" s="164">
        <v>2.6311642110997044E-4</v>
      </c>
      <c r="N240" s="164">
        <v>3.1815378160127077E-2</v>
      </c>
      <c r="P240" s="202"/>
      <c r="Q240" s="164" t="s">
        <v>377</v>
      </c>
      <c r="R240" s="164">
        <v>2.3374265103106976E-2</v>
      </c>
      <c r="S240" s="164">
        <v>-3.5424872620014453E-3</v>
      </c>
      <c r="T240" s="164">
        <v>1.552776665375814E-3</v>
      </c>
      <c r="U240" s="164">
        <v>-3.8819416634395349E-4</v>
      </c>
      <c r="V240" s="164">
        <v>2.6666666666666665E-2</v>
      </c>
      <c r="W240" s="164">
        <v>9.7882661839723516E-3</v>
      </c>
      <c r="X240" s="164">
        <v>4.4000000000000003E-3</v>
      </c>
      <c r="Y240" s="164">
        <v>2.149698076693125E-2</v>
      </c>
      <c r="Z240" s="164">
        <v>9.9182556352221826E-2</v>
      </c>
      <c r="AA240" s="164">
        <v>4.409718611580335E-3</v>
      </c>
      <c r="AB240" s="164">
        <v>3.6418200964524684E-4</v>
      </c>
    </row>
    <row r="241" spans="1:28" x14ac:dyDescent="0.25">
      <c r="A241" s="165"/>
      <c r="B241" s="164" t="s">
        <v>338</v>
      </c>
      <c r="C241" s="164">
        <v>2.0676718491395704E-3</v>
      </c>
      <c r="D241" s="164">
        <v>-1.0351994625618128E-4</v>
      </c>
      <c r="E241" s="164">
        <v>6.8982996659853576E-5</v>
      </c>
      <c r="F241" s="164">
        <v>-6.8982996659853564E-6</v>
      </c>
      <c r="G241" s="164">
        <v>1.0654632223259673E-3</v>
      </c>
      <c r="H241" s="164">
        <v>2.9878618113912231E-4</v>
      </c>
      <c r="I241" s="164">
        <v>8.9502842587904882E-5</v>
      </c>
      <c r="J241" s="164">
        <v>1.1790342951953749E-2</v>
      </c>
      <c r="K241" s="164">
        <v>1.4937548943097472E-2</v>
      </c>
      <c r="L241" s="164">
        <v>1.3515309188396555E-3</v>
      </c>
      <c r="M241" s="164">
        <v>2.6311642110997044E-4</v>
      </c>
      <c r="N241" s="164">
        <v>3.1822528080931091E-2</v>
      </c>
      <c r="P241" s="202">
        <v>2034</v>
      </c>
      <c r="Q241" s="164" t="s">
        <v>389</v>
      </c>
      <c r="R241" s="164">
        <v>1.0347449498978036E-3</v>
      </c>
      <c r="S241" s="164">
        <v>-9.7956440009122124E-5</v>
      </c>
      <c r="T241" s="164">
        <v>3.4491498329926784E-4</v>
      </c>
      <c r="U241" s="164">
        <v>-3.4491498329926788E-5</v>
      </c>
      <c r="V241" s="164">
        <v>1.0654632223259673E-3</v>
      </c>
      <c r="W241" s="164">
        <v>4.305425874053325E-4</v>
      </c>
      <c r="X241" s="164">
        <v>1.7869725535414797E-4</v>
      </c>
      <c r="Y241" s="164">
        <v>2.1331638109345504E-3</v>
      </c>
      <c r="Z241" s="164">
        <v>9.9528851394415953E-3</v>
      </c>
      <c r="AA241" s="164">
        <v>0</v>
      </c>
      <c r="AB241" s="164">
        <v>2.3842549920408719E-3</v>
      </c>
    </row>
    <row r="242" spans="1:28" x14ac:dyDescent="0.25">
      <c r="A242" s="165"/>
      <c r="B242" s="164" t="s">
        <v>359</v>
      </c>
      <c r="C242" s="164">
        <v>2.1696909640280381E-3</v>
      </c>
      <c r="D242" s="164">
        <v>-1.1028374067486764E-4</v>
      </c>
      <c r="E242" s="164">
        <v>5.087458787818432E-4</v>
      </c>
      <c r="F242" s="164">
        <v>-2.5437293939092156E-5</v>
      </c>
      <c r="G242" s="164">
        <v>1.525610244097639E-3</v>
      </c>
      <c r="H242" s="164">
        <v>3.235203975384487E-3</v>
      </c>
      <c r="I242" s="164">
        <v>1.6256502601040416E-3</v>
      </c>
      <c r="J242" s="164">
        <v>1.1195826150024461E-3</v>
      </c>
      <c r="K242" s="164">
        <v>2.1521269454121909E-2</v>
      </c>
      <c r="L242" s="164">
        <v>3.7253124998190904E-4</v>
      </c>
      <c r="M242" s="164">
        <v>2.8018723041708291E-5</v>
      </c>
      <c r="N242" s="164">
        <v>3.197058232993006E-2</v>
      </c>
      <c r="P242" s="202"/>
      <c r="Q242" s="164" t="s">
        <v>385</v>
      </c>
      <c r="R242" s="164">
        <v>1.0347449498978036E-3</v>
      </c>
      <c r="S242" s="164">
        <v>-9.7956440009122124E-5</v>
      </c>
      <c r="T242" s="164">
        <v>3.4491498329926784E-4</v>
      </c>
      <c r="U242" s="164">
        <v>-3.4491498329926788E-5</v>
      </c>
      <c r="V242" s="164">
        <v>1.0654632223259673E-3</v>
      </c>
      <c r="W242" s="164">
        <v>4.305425874053325E-4</v>
      </c>
      <c r="X242" s="164">
        <v>1.7869725535414797E-4</v>
      </c>
      <c r="Y242" s="164">
        <v>4.076109192868568E-3</v>
      </c>
      <c r="Z242" s="164">
        <v>1.2367126663309516E-2</v>
      </c>
      <c r="AA242" s="164">
        <v>0</v>
      </c>
      <c r="AB242" s="164">
        <v>2.2625795316212503E-3</v>
      </c>
    </row>
    <row r="243" spans="1:28" x14ac:dyDescent="0.25">
      <c r="A243" s="165"/>
      <c r="B243" s="164" t="s">
        <v>357</v>
      </c>
      <c r="C243" s="164">
        <v>7.6317014160409149E-4</v>
      </c>
      <c r="D243" s="164">
        <v>-1.1346797345547289E-4</v>
      </c>
      <c r="E243" s="164">
        <v>5.087458787818432E-4</v>
      </c>
      <c r="F243" s="164">
        <v>-2.5437293939092156E-5</v>
      </c>
      <c r="G243" s="164">
        <v>1.525610244097639E-3</v>
      </c>
      <c r="H243" s="164">
        <v>2.6260504201680674E-3</v>
      </c>
      <c r="I243" s="164">
        <v>1.6256502601040416E-3</v>
      </c>
      <c r="J243" s="164">
        <v>2.7715714285714288E-3</v>
      </c>
      <c r="K243" s="164">
        <v>2.2260979810807893E-2</v>
      </c>
      <c r="L243" s="164">
        <v>0</v>
      </c>
      <c r="M243" s="164">
        <v>7.4298751127533757E-4</v>
      </c>
      <c r="N243" s="164">
        <v>3.2685860428015773E-2</v>
      </c>
      <c r="P243" s="202"/>
      <c r="Q243" s="164" t="s">
        <v>358</v>
      </c>
      <c r="R243" s="164">
        <v>1.0902430594344164E-3</v>
      </c>
      <c r="S243" s="164">
        <v>-1.6353645891516245E-4</v>
      </c>
      <c r="T243" s="164">
        <v>5.087458787818432E-4</v>
      </c>
      <c r="U243" s="164">
        <v>-2.5437293939092156E-5</v>
      </c>
      <c r="V243" s="164">
        <v>1.525610244097639E-3</v>
      </c>
      <c r="W243" s="164">
        <v>1.6256502601040416E-3</v>
      </c>
      <c r="X243" s="164">
        <v>1.6256502601040416E-3</v>
      </c>
      <c r="Y243" s="164">
        <v>9.5987899046131133E-4</v>
      </c>
      <c r="Z243" s="164">
        <v>1.5345239937027022E-2</v>
      </c>
      <c r="AA243" s="164">
        <v>0</v>
      </c>
      <c r="AB243" s="164">
        <v>2.360985412314249E-5</v>
      </c>
    </row>
    <row r="244" spans="1:28" x14ac:dyDescent="0.25">
      <c r="A244" s="165"/>
      <c r="B244" s="164" t="s">
        <v>367</v>
      </c>
      <c r="C244" s="164">
        <v>1.7357527712224307E-3</v>
      </c>
      <c r="D244" s="164">
        <v>-8.822699253989411E-5</v>
      </c>
      <c r="E244" s="164">
        <v>5.0874587878184309E-4</v>
      </c>
      <c r="F244" s="164">
        <v>-2.5437293939092159E-5</v>
      </c>
      <c r="G244" s="164">
        <v>1.3005202080832333E-3</v>
      </c>
      <c r="H244" s="164">
        <v>2.5881631803075897E-3</v>
      </c>
      <c r="I244" s="164">
        <v>1.4005602240896359E-3</v>
      </c>
      <c r="J244" s="164">
        <v>8.9566609200195687E-4</v>
      </c>
      <c r="K244" s="164">
        <v>2.4380628999740327E-2</v>
      </c>
      <c r="L244" s="164">
        <v>2.4505998190501796E-4</v>
      </c>
      <c r="M244" s="164">
        <v>2.2414978433366635E-5</v>
      </c>
      <c r="N244" s="164">
        <v>3.2963848028086419E-2</v>
      </c>
      <c r="P244" s="202"/>
      <c r="Q244" s="164" t="s">
        <v>359</v>
      </c>
      <c r="R244" s="164">
        <v>1.8209695944675583E-3</v>
      </c>
      <c r="S244" s="164">
        <v>-1.5096790045692366E-4</v>
      </c>
      <c r="T244" s="164">
        <v>5.087458787818432E-4</v>
      </c>
      <c r="U244" s="164">
        <v>-2.5437293939092156E-5</v>
      </c>
      <c r="V244" s="164">
        <v>1.525610244097639E-3</v>
      </c>
      <c r="W244" s="164">
        <v>2.7152291126929309E-3</v>
      </c>
      <c r="X244" s="164">
        <v>1.6256502601040416E-3</v>
      </c>
      <c r="Y244" s="164">
        <v>1.0198714273651432E-3</v>
      </c>
      <c r="Z244" s="164">
        <v>1.9370716684618969E-2</v>
      </c>
      <c r="AA244" s="164">
        <v>2.6126761215228105E-4</v>
      </c>
      <c r="AB244" s="164">
        <v>2.5085470005838896E-5</v>
      </c>
    </row>
    <row r="245" spans="1:28" x14ac:dyDescent="0.25">
      <c r="A245" s="165"/>
      <c r="B245" s="164" t="s">
        <v>364</v>
      </c>
      <c r="C245" s="164">
        <v>2.1632138711235615E-3</v>
      </c>
      <c r="D245" s="164">
        <v>-1.0931217673919614E-4</v>
      </c>
      <c r="E245" s="164">
        <v>7.6311881817276459E-4</v>
      </c>
      <c r="F245" s="164">
        <v>-3.8155940908638231E-5</v>
      </c>
      <c r="G245" s="164">
        <v>3.6264505802320927E-3</v>
      </c>
      <c r="H245" s="164">
        <v>3.4736649752972778E-3</v>
      </c>
      <c r="I245" s="164">
        <v>4.0016006402561026E-3</v>
      </c>
      <c r="J245" s="164">
        <v>3.7811888058906298E-3</v>
      </c>
      <c r="K245" s="164">
        <v>1.5164284685916136E-2</v>
      </c>
      <c r="L245" s="164">
        <v>3.2366457432390222E-4</v>
      </c>
      <c r="M245" s="164">
        <v>6.3470132672722201E-5</v>
      </c>
      <c r="N245" s="164">
        <v>3.3213188966237359E-2</v>
      </c>
      <c r="P245" s="202"/>
      <c r="Q245" s="164" t="s">
        <v>360</v>
      </c>
      <c r="R245" s="164">
        <v>1.6052596798267933E-3</v>
      </c>
      <c r="S245" s="164">
        <v>-1.1861141326080898E-4</v>
      </c>
      <c r="T245" s="164">
        <v>5.087458787818432E-4</v>
      </c>
      <c r="U245" s="164">
        <v>-2.5437293939092156E-5</v>
      </c>
      <c r="V245" s="164">
        <v>1.525610244097639E-3</v>
      </c>
      <c r="W245" s="164">
        <v>2.5777082888133671E-3</v>
      </c>
      <c r="X245" s="164">
        <v>1.6256502601040416E-3</v>
      </c>
      <c r="Y245" s="164">
        <v>2.7294594720870869E-3</v>
      </c>
      <c r="Z245" s="164">
        <v>2.2389181071705816E-2</v>
      </c>
      <c r="AA245" s="164">
        <v>1.9156518564026476E-4</v>
      </c>
      <c r="AB245" s="164">
        <v>5.6825505825447255E-5</v>
      </c>
    </row>
    <row r="246" spans="1:28" x14ac:dyDescent="0.25">
      <c r="A246" s="165"/>
      <c r="B246" s="164" t="s">
        <v>355</v>
      </c>
      <c r="C246" s="164">
        <v>2.1696909640280381E-3</v>
      </c>
      <c r="D246" s="164">
        <v>-1.1028374067486764E-4</v>
      </c>
      <c r="E246" s="164">
        <v>1.0174917575636864E-3</v>
      </c>
      <c r="F246" s="164">
        <v>-5.0874587878184312E-5</v>
      </c>
      <c r="G246" s="164">
        <v>1.5506202480992397E-3</v>
      </c>
      <c r="H246" s="164">
        <v>3.235203975384487E-3</v>
      </c>
      <c r="I246" s="164">
        <v>1.6256502601040416E-3</v>
      </c>
      <c r="J246" s="164">
        <v>1.1195826150024461E-3</v>
      </c>
      <c r="K246" s="164">
        <v>2.2709554954657294E-2</v>
      </c>
      <c r="L246" s="164">
        <v>3.9310036574868694E-4</v>
      </c>
      <c r="M246" s="164">
        <v>2.8018723041708291E-5</v>
      </c>
      <c r="N246" s="164">
        <v>3.3687755535076573E-2</v>
      </c>
      <c r="P246" s="202"/>
      <c r="Q246" s="164" t="s">
        <v>357</v>
      </c>
      <c r="R246" s="164">
        <v>7.6317014160409149E-4</v>
      </c>
      <c r="S246" s="164">
        <v>-8.0920645629828101E-5</v>
      </c>
      <c r="T246" s="164">
        <v>5.087458787818432E-4</v>
      </c>
      <c r="U246" s="164">
        <v>-2.5437293939092156E-5</v>
      </c>
      <c r="V246" s="164">
        <v>1.525610244097639E-3</v>
      </c>
      <c r="W246" s="164">
        <v>2.6260504201680674E-3</v>
      </c>
      <c r="X246" s="164">
        <v>1.6256502601040416E-3</v>
      </c>
      <c r="Y246" s="164">
        <v>2.7715714285714288E-3</v>
      </c>
      <c r="Z246" s="164">
        <v>2.2740204146944967E-2</v>
      </c>
      <c r="AA246" s="164">
        <v>0</v>
      </c>
      <c r="AB246" s="164">
        <v>9.3595751810243634E-4</v>
      </c>
    </row>
    <row r="247" spans="1:28" x14ac:dyDescent="0.25">
      <c r="A247" s="165"/>
      <c r="B247" s="164" t="s">
        <v>365</v>
      </c>
      <c r="C247" s="164">
        <v>6.1053611328327313E-4</v>
      </c>
      <c r="D247" s="164">
        <v>-9.0774378764378309E-5</v>
      </c>
      <c r="E247" s="164">
        <v>5.0874587878184309E-4</v>
      </c>
      <c r="F247" s="164">
        <v>-2.5437293939092159E-5</v>
      </c>
      <c r="G247" s="164">
        <v>1.3005202080832333E-3</v>
      </c>
      <c r="H247" s="164">
        <v>2.1008403361344541E-3</v>
      </c>
      <c r="I247" s="164">
        <v>1.4005602240896359E-3</v>
      </c>
      <c r="J247" s="164">
        <v>2.217257142857143E-3</v>
      </c>
      <c r="K247" s="164">
        <v>2.5189959154702641E-2</v>
      </c>
      <c r="L247" s="164">
        <v>0</v>
      </c>
      <c r="M247" s="164">
        <v>5.9439000902027008E-4</v>
      </c>
      <c r="N247" s="164">
        <v>3.3806597394249023E-2</v>
      </c>
      <c r="P247" s="202"/>
      <c r="Q247" s="164" t="s">
        <v>341</v>
      </c>
      <c r="R247" s="164">
        <v>1.9812010201050753E-3</v>
      </c>
      <c r="S247" s="164">
        <v>-1.0568171698204363E-4</v>
      </c>
      <c r="T247" s="164">
        <v>3.4491498329926784E-4</v>
      </c>
      <c r="U247" s="164">
        <v>-3.4491498329926788E-5</v>
      </c>
      <c r="V247" s="164">
        <v>1.0654632223259673E-3</v>
      </c>
      <c r="W247" s="164">
        <v>2.9878618113912231E-4</v>
      </c>
      <c r="X247" s="164">
        <v>1.7869725535414797E-4</v>
      </c>
      <c r="Y247" s="164">
        <v>1.1074472868176938E-2</v>
      </c>
      <c r="Z247" s="164">
        <v>2.0026772808245816E-2</v>
      </c>
      <c r="AA247" s="164">
        <v>1.2947163246812589E-3</v>
      </c>
      <c r="AB247" s="164">
        <v>2.3557101727914492E-4</v>
      </c>
    </row>
    <row r="248" spans="1:28" x14ac:dyDescent="0.25">
      <c r="A248" s="165"/>
      <c r="B248" s="164" t="s">
        <v>353</v>
      </c>
      <c r="C248" s="164">
        <v>7.6317014160409149E-4</v>
      </c>
      <c r="D248" s="164">
        <v>-1.1346797345547289E-4</v>
      </c>
      <c r="E248" s="164">
        <v>1.0174917575636864E-3</v>
      </c>
      <c r="F248" s="164">
        <v>-5.0874587878184312E-5</v>
      </c>
      <c r="G248" s="164">
        <v>1.5506202480992397E-3</v>
      </c>
      <c r="H248" s="164">
        <v>2.6260504201680674E-3</v>
      </c>
      <c r="I248" s="164">
        <v>1.6256502601040416E-3</v>
      </c>
      <c r="J248" s="164">
        <v>2.7715714285714288E-3</v>
      </c>
      <c r="K248" s="164">
        <v>2.3449265311343285E-2</v>
      </c>
      <c r="L248" s="164">
        <v>0</v>
      </c>
      <c r="M248" s="164">
        <v>7.4298751127533757E-4</v>
      </c>
      <c r="N248" s="164">
        <v>3.4382464517395517E-2</v>
      </c>
      <c r="P248" s="202"/>
      <c r="Q248" s="164" t="s">
        <v>340</v>
      </c>
      <c r="R248" s="164">
        <v>1.9922371300663917E-3</v>
      </c>
      <c r="S248" s="164">
        <v>-1.067853279781753E-4</v>
      </c>
      <c r="T248" s="164">
        <v>3.4491498329926784E-4</v>
      </c>
      <c r="U248" s="164">
        <v>-3.4491498329926788E-5</v>
      </c>
      <c r="V248" s="164">
        <v>1.0654632223259673E-3</v>
      </c>
      <c r="W248" s="164">
        <v>2.9878618113912231E-4</v>
      </c>
      <c r="X248" s="164">
        <v>1.7869725535414797E-4</v>
      </c>
      <c r="Y248" s="164">
        <v>1.2176327875562188E-2</v>
      </c>
      <c r="Z248" s="164">
        <v>2.1494645782664312E-2</v>
      </c>
      <c r="AA248" s="164">
        <v>1.7590940957229288E-3</v>
      </c>
      <c r="AB248" s="164">
        <v>2.3112628110406671E-4</v>
      </c>
    </row>
    <row r="249" spans="1:28" x14ac:dyDescent="0.25">
      <c r="A249" s="165"/>
      <c r="B249" s="164" t="s">
        <v>346</v>
      </c>
      <c r="C249" s="164">
        <v>2.0678991054715748E-3</v>
      </c>
      <c r="D249" s="164">
        <v>-1.0354267188938173E-4</v>
      </c>
      <c r="E249" s="164">
        <v>6.8982996659853576E-5</v>
      </c>
      <c r="F249" s="164">
        <v>-6.8982996659853564E-6</v>
      </c>
      <c r="G249" s="164">
        <v>1.0654632223259673E-3</v>
      </c>
      <c r="H249" s="164">
        <v>2.9878618113912231E-4</v>
      </c>
      <c r="I249" s="164">
        <v>8.6011184229469056E-5</v>
      </c>
      <c r="J249" s="164">
        <v>1.3060247322593066E-2</v>
      </c>
      <c r="K249" s="164">
        <v>1.6149725145607221E-2</v>
      </c>
      <c r="L249" s="164">
        <v>1.8667438119986494E-3</v>
      </c>
      <c r="M249" s="164">
        <v>2.5815196033431064E-4</v>
      </c>
      <c r="N249" s="164">
        <v>3.481156995880387E-2</v>
      </c>
      <c r="P249" s="202"/>
      <c r="Q249" s="164" t="s">
        <v>342</v>
      </c>
      <c r="R249" s="164">
        <v>1.3120601049831952E-3</v>
      </c>
      <c r="S249" s="164">
        <v>-7.1121060229817985E-5</v>
      </c>
      <c r="T249" s="164">
        <v>3.4491498329926784E-4</v>
      </c>
      <c r="U249" s="164">
        <v>-3.4491498329926788E-5</v>
      </c>
      <c r="V249" s="164">
        <v>1.0654632223259673E-3</v>
      </c>
      <c r="W249" s="164">
        <v>4.305425874053325E-4</v>
      </c>
      <c r="X249" s="164">
        <v>1.7869725535414797E-4</v>
      </c>
      <c r="Y249" s="164">
        <v>2.4202354741507264E-2</v>
      </c>
      <c r="Z249" s="164">
        <v>3.6846422938026986E-2</v>
      </c>
      <c r="AA249" s="164">
        <v>1.1581843467362296E-3</v>
      </c>
      <c r="AB249" s="164">
        <v>2.9902098869419172E-4</v>
      </c>
    </row>
    <row r="250" spans="1:28" x14ac:dyDescent="0.25">
      <c r="A250" s="165"/>
      <c r="B250" s="164" t="s">
        <v>337</v>
      </c>
      <c r="C250" s="164">
        <v>2.0678991054715748E-3</v>
      </c>
      <c r="D250" s="164">
        <v>-1.0354267188938173E-4</v>
      </c>
      <c r="E250" s="164">
        <v>6.8982996659853576E-5</v>
      </c>
      <c r="F250" s="164">
        <v>-6.8982996659853564E-6</v>
      </c>
      <c r="G250" s="164">
        <v>1.0654632223259673E-3</v>
      </c>
      <c r="H250" s="164">
        <v>2.9878618113912231E-4</v>
      </c>
      <c r="I250" s="164">
        <v>8.9502842587904882E-5</v>
      </c>
      <c r="J250" s="164">
        <v>1.3060247322593066E-2</v>
      </c>
      <c r="K250" s="164">
        <v>1.6153079876186895E-2</v>
      </c>
      <c r="L250" s="164">
        <v>1.8671315847002927E-3</v>
      </c>
      <c r="M250" s="164">
        <v>2.5815196033431064E-4</v>
      </c>
      <c r="N250" s="164">
        <v>3.4818804120443622E-2</v>
      </c>
      <c r="P250" s="202"/>
      <c r="Q250" s="164" t="s">
        <v>376</v>
      </c>
      <c r="R250" s="164">
        <v>1.2195666695447615E-2</v>
      </c>
      <c r="S250" s="164">
        <v>-2.5312150332824808E-3</v>
      </c>
      <c r="T250" s="164">
        <v>1.552776665375814E-3</v>
      </c>
      <c r="U250" s="164">
        <v>-3.8819416634395349E-4</v>
      </c>
      <c r="V250" s="164">
        <v>2.6666666666666665E-2</v>
      </c>
      <c r="W250" s="164">
        <v>5.7142857142857143E-3</v>
      </c>
      <c r="X250" s="164">
        <v>4.4000000000000003E-3</v>
      </c>
      <c r="Y250" s="164">
        <v>4.13162426244334E-3</v>
      </c>
      <c r="Z250" s="164">
        <v>6.1799222420589786E-2</v>
      </c>
      <c r="AA250" s="164">
        <v>4.4545939822651093E-3</v>
      </c>
      <c r="AB250" s="164">
        <v>1.2578292470326314E-4</v>
      </c>
    </row>
    <row r="251" spans="1:28" x14ac:dyDescent="0.25">
      <c r="A251" s="165"/>
      <c r="B251" s="164" t="s">
        <v>341</v>
      </c>
      <c r="C251" s="164">
        <v>2.0676718491395704E-3</v>
      </c>
      <c r="D251" s="164">
        <v>-1.0351994625618128E-4</v>
      </c>
      <c r="E251" s="164">
        <v>3.4491498329926784E-4</v>
      </c>
      <c r="F251" s="164">
        <v>-3.4491498329926788E-5</v>
      </c>
      <c r="G251" s="164">
        <v>1.0654632223259673E-3</v>
      </c>
      <c r="H251" s="164">
        <v>2.9878618113912231E-4</v>
      </c>
      <c r="I251" s="164">
        <v>1.7869725535414797E-4</v>
      </c>
      <c r="J251" s="164">
        <v>1.1790342951953749E-2</v>
      </c>
      <c r="K251" s="164">
        <v>2.1129720272896415E-2</v>
      </c>
      <c r="L251" s="164">
        <v>1.3856702589881906E-3</v>
      </c>
      <c r="M251" s="164">
        <v>2.6311642110997044E-4</v>
      </c>
      <c r="N251" s="164">
        <v>3.8386371951620285E-2</v>
      </c>
      <c r="P251" s="202"/>
      <c r="Q251" s="164" t="s">
        <v>375</v>
      </c>
      <c r="R251" s="164">
        <v>6.7111667881585542E-3</v>
      </c>
      <c r="S251" s="164">
        <v>-1.3676032524712327E-3</v>
      </c>
      <c r="T251" s="164">
        <v>1.552776665375814E-3</v>
      </c>
      <c r="U251" s="164">
        <v>-3.8819416634395349E-4</v>
      </c>
      <c r="V251" s="164">
        <v>2.6666666666666665E-2</v>
      </c>
      <c r="W251" s="164">
        <v>7.619047619047619E-3</v>
      </c>
      <c r="X251" s="164">
        <v>4.4000000000000003E-3</v>
      </c>
      <c r="Y251" s="164">
        <v>1.0720644957616992E-2</v>
      </c>
      <c r="Z251" s="164">
        <v>7.091509669714792E-2</v>
      </c>
      <c r="AA251" s="164">
        <v>0</v>
      </c>
      <c r="AB251" s="164">
        <v>3.7182628349802355E-3</v>
      </c>
    </row>
    <row r="252" spans="1:28" x14ac:dyDescent="0.25">
      <c r="A252" s="165"/>
      <c r="B252" s="164" t="s">
        <v>360</v>
      </c>
      <c r="C252" s="164">
        <v>2.1632138711235615E-3</v>
      </c>
      <c r="D252" s="164">
        <v>-1.0931217673919614E-4</v>
      </c>
      <c r="E252" s="164">
        <v>5.087458787818432E-4</v>
      </c>
      <c r="F252" s="164">
        <v>-2.5437293939092156E-5</v>
      </c>
      <c r="G252" s="164">
        <v>1.525610244097639E-3</v>
      </c>
      <c r="H252" s="164">
        <v>3.4736649752972778E-3</v>
      </c>
      <c r="I252" s="164">
        <v>1.6256502601040416E-3</v>
      </c>
      <c r="J252" s="164">
        <v>3.7811888058906298E-3</v>
      </c>
      <c r="K252" s="164">
        <v>2.7747547230981169E-2</v>
      </c>
      <c r="L252" s="164">
        <v>2.3741216882122891E-4</v>
      </c>
      <c r="M252" s="164">
        <v>6.3470132672722201E-5</v>
      </c>
      <c r="N252" s="164">
        <v>4.0991754097091826E-2</v>
      </c>
      <c r="P252" s="202"/>
      <c r="Q252" s="164" t="s">
        <v>377</v>
      </c>
      <c r="R252" s="164">
        <v>1.3602217096595365E-2</v>
      </c>
      <c r="S252" s="164">
        <v>-2.721219397624406E-3</v>
      </c>
      <c r="T252" s="164">
        <v>1.552776665375814E-3</v>
      </c>
      <c r="U252" s="164">
        <v>-3.8819416634395349E-4</v>
      </c>
      <c r="V252" s="164">
        <v>2.6666666666666665E-2</v>
      </c>
      <c r="W252" s="164">
        <v>7.7224822441822839E-3</v>
      </c>
      <c r="X252" s="164">
        <v>4.4000000000000003E-3</v>
      </c>
      <c r="Y252" s="164">
        <v>1.3279381505411613E-2</v>
      </c>
      <c r="Z252" s="164">
        <v>7.6558564675540813E-2</v>
      </c>
      <c r="AA252" s="164">
        <v>2.4923424709268893E-3</v>
      </c>
      <c r="AB252" s="164">
        <v>3.2605614702792577E-4</v>
      </c>
    </row>
    <row r="253" spans="1:28" x14ac:dyDescent="0.25">
      <c r="A253" s="165"/>
      <c r="B253" s="164" t="s">
        <v>344</v>
      </c>
      <c r="C253" s="164">
        <v>2.0676718491395704E-3</v>
      </c>
      <c r="D253" s="164">
        <v>-1.0351994625618128E-4</v>
      </c>
      <c r="E253" s="164">
        <v>6.8982996659853576E-5</v>
      </c>
      <c r="F253" s="164">
        <v>-6.8982996659853564E-6</v>
      </c>
      <c r="G253" s="164">
        <v>1.0654632223259673E-3</v>
      </c>
      <c r="H253" s="164">
        <v>2.9878618113912231E-4</v>
      </c>
      <c r="I253" s="164">
        <v>8.6011184229469056E-5</v>
      </c>
      <c r="J253" s="164">
        <v>1.1790342951953749E-2</v>
      </c>
      <c r="K253" s="164">
        <v>2.4312024173282508E-2</v>
      </c>
      <c r="L253" s="164">
        <v>1.3512273869737464E-3</v>
      </c>
      <c r="M253" s="164">
        <v>2.6311642110997044E-4</v>
      </c>
      <c r="N253" s="164">
        <v>4.1193208120891792E-2</v>
      </c>
      <c r="P253" s="202">
        <v>2050</v>
      </c>
      <c r="Q253" s="164" t="s">
        <v>340</v>
      </c>
      <c r="R253" s="164">
        <v>1.3569040676564852E-3</v>
      </c>
      <c r="S253" s="164">
        <v>-1.3401388779574273E-4</v>
      </c>
      <c r="T253" s="164">
        <v>3.4491498329926784E-4</v>
      </c>
      <c r="U253" s="164">
        <v>-3.4491498329926788E-5</v>
      </c>
      <c r="V253" s="164">
        <v>1.0654632223259673E-3</v>
      </c>
      <c r="W253" s="164">
        <v>2.9878618113912231E-4</v>
      </c>
      <c r="X253" s="164">
        <v>1.7869725535414797E-4</v>
      </c>
      <c r="Y253" s="164">
        <v>5.4701451293849941E-3</v>
      </c>
      <c r="Z253" s="164">
        <v>1.1425955277411116E-2</v>
      </c>
      <c r="AA253" s="164">
        <v>7.528298969710686E-4</v>
      </c>
      <c r="AB253" s="164">
        <v>4.1918473001819709E-6</v>
      </c>
    </row>
    <row r="254" spans="1:28" x14ac:dyDescent="0.25">
      <c r="A254" s="165"/>
      <c r="B254" s="164" t="s">
        <v>340</v>
      </c>
      <c r="C254" s="164">
        <v>2.0678991054715748E-3</v>
      </c>
      <c r="D254" s="164">
        <v>-1.0354267188938173E-4</v>
      </c>
      <c r="E254" s="164">
        <v>3.4491498329926784E-4</v>
      </c>
      <c r="F254" s="164">
        <v>-3.4491498329926788E-5</v>
      </c>
      <c r="G254" s="164">
        <v>1.0654632223259673E-3</v>
      </c>
      <c r="H254" s="164">
        <v>2.9878618113912231E-4</v>
      </c>
      <c r="I254" s="164">
        <v>1.7869725535414797E-4</v>
      </c>
      <c r="J254" s="164">
        <v>1.3060247322593066E-2</v>
      </c>
      <c r="K254" s="164">
        <v>2.2806772205735022E-2</v>
      </c>
      <c r="L254" s="164">
        <v>1.9107458000384783E-3</v>
      </c>
      <c r="M254" s="164">
        <v>2.5815196033431064E-4</v>
      </c>
      <c r="N254" s="164">
        <v>4.1853643866071648E-2</v>
      </c>
      <c r="P254" s="202"/>
      <c r="Q254" s="164" t="s">
        <v>341</v>
      </c>
      <c r="R254" s="164">
        <v>1.2551060916366106E-3</v>
      </c>
      <c r="S254" s="164">
        <v>-1.2383409019375524E-4</v>
      </c>
      <c r="T254" s="164">
        <v>3.4491498329926784E-4</v>
      </c>
      <c r="U254" s="164">
        <v>-3.4491498329926788E-5</v>
      </c>
      <c r="V254" s="164">
        <v>1.0654632223259673E-3</v>
      </c>
      <c r="W254" s="164">
        <v>2.9878618113912231E-4</v>
      </c>
      <c r="X254" s="164">
        <v>1.7869725535414797E-4</v>
      </c>
      <c r="Y254" s="164">
        <v>5.6283132239921011E-3</v>
      </c>
      <c r="Z254" s="164">
        <v>1.151427946653498E-2</v>
      </c>
      <c r="AA254" s="164">
        <v>6.5542829345874992E-4</v>
      </c>
      <c r="AB254" s="164">
        <v>4.2724597482624145E-6</v>
      </c>
    </row>
    <row r="255" spans="1:28" x14ac:dyDescent="0.25">
      <c r="A255" s="165"/>
      <c r="B255" s="164" t="s">
        <v>368</v>
      </c>
      <c r="C255" s="164">
        <v>1.7305710968988492E-3</v>
      </c>
      <c r="D255" s="164">
        <v>-8.7449741391356912E-5</v>
      </c>
      <c r="E255" s="164">
        <v>5.0874587878184309E-4</v>
      </c>
      <c r="F255" s="164">
        <v>-2.5437293939092159E-5</v>
      </c>
      <c r="G255" s="164">
        <v>1.3005202080832333E-3</v>
      </c>
      <c r="H255" s="164">
        <v>2.7789319802378224E-3</v>
      </c>
      <c r="I255" s="164">
        <v>1.4005602240896359E-3</v>
      </c>
      <c r="J255" s="164">
        <v>3.0249510447125042E-3</v>
      </c>
      <c r="K255" s="164">
        <v>3.1192909390892233E-2</v>
      </c>
      <c r="L255" s="164">
        <v>1.5555136364477952E-4</v>
      </c>
      <c r="M255" s="164">
        <v>5.0776106138177758E-5</v>
      </c>
      <c r="N255" s="164">
        <v>4.2030630258148627E-2</v>
      </c>
      <c r="P255" s="202"/>
      <c r="Q255" s="164" t="s">
        <v>358</v>
      </c>
      <c r="R255" s="164">
        <v>1.0902430594344164E-3</v>
      </c>
      <c r="S255" s="164">
        <v>-1.6353645891516245E-4</v>
      </c>
      <c r="T255" s="164">
        <v>5.087458787818432E-4</v>
      </c>
      <c r="U255" s="164">
        <v>-2.5437293939092156E-5</v>
      </c>
      <c r="V255" s="164">
        <v>1.525610244097639E-3</v>
      </c>
      <c r="W255" s="164">
        <v>1.6256502601040416E-3</v>
      </c>
      <c r="X255" s="164">
        <v>1.6256502601040416E-3</v>
      </c>
      <c r="Y255" s="164">
        <v>8.3706989059071399E-4</v>
      </c>
      <c r="Z255" s="164">
        <v>1.5035009590579808E-2</v>
      </c>
      <c r="AA255" s="164">
        <v>0</v>
      </c>
      <c r="AB255" s="164">
        <v>4.2820272446309834E-7</v>
      </c>
    </row>
    <row r="256" spans="1:28" x14ac:dyDescent="0.25">
      <c r="A256" s="165"/>
      <c r="B256" s="164" t="s">
        <v>356</v>
      </c>
      <c r="C256" s="164">
        <v>2.1632138711235615E-3</v>
      </c>
      <c r="D256" s="164">
        <v>-1.0931217673919614E-4</v>
      </c>
      <c r="E256" s="164">
        <v>1.0174917575636864E-3</v>
      </c>
      <c r="F256" s="164">
        <v>-5.0874587878184312E-5</v>
      </c>
      <c r="G256" s="164">
        <v>1.5506202480992397E-3</v>
      </c>
      <c r="H256" s="164">
        <v>3.4736649752972778E-3</v>
      </c>
      <c r="I256" s="164">
        <v>1.6256502601040416E-3</v>
      </c>
      <c r="J256" s="164">
        <v>3.7811888058906298E-3</v>
      </c>
      <c r="K256" s="164">
        <v>2.8935832731516557E-2</v>
      </c>
      <c r="L256" s="164">
        <v>2.475793174889114E-4</v>
      </c>
      <c r="M256" s="164">
        <v>6.3470132672722201E-5</v>
      </c>
      <c r="N256" s="164">
        <v>4.2698525335139244E-2</v>
      </c>
      <c r="P256" s="202"/>
      <c r="Q256" s="164" t="s">
        <v>342</v>
      </c>
      <c r="R256" s="164">
        <v>1.0397745068075209E-3</v>
      </c>
      <c r="S256" s="164">
        <v>-1.0288771335031333E-4</v>
      </c>
      <c r="T256" s="164">
        <v>3.4491498329926784E-4</v>
      </c>
      <c r="U256" s="164">
        <v>-3.4491498329926788E-5</v>
      </c>
      <c r="V256" s="164">
        <v>1.0654632223259673E-3</v>
      </c>
      <c r="W256" s="164">
        <v>4.305425874053325E-4</v>
      </c>
      <c r="X256" s="164">
        <v>1.7869725535414797E-4</v>
      </c>
      <c r="Y256" s="164">
        <v>6.5837900060073855E-3</v>
      </c>
      <c r="Z256" s="164">
        <v>1.2699347573956049E-2</v>
      </c>
      <c r="AA256" s="164">
        <v>3.9917539888897034E-4</v>
      </c>
      <c r="AB256" s="164">
        <v>5.4232271560286516E-6</v>
      </c>
    </row>
    <row r="257" spans="1:28" x14ac:dyDescent="0.25">
      <c r="A257" s="165"/>
      <c r="B257" s="164" t="s">
        <v>343</v>
      </c>
      <c r="C257" s="164">
        <v>2.0678991054715748E-3</v>
      </c>
      <c r="D257" s="164">
        <v>-1.0354267188938173E-4</v>
      </c>
      <c r="E257" s="164">
        <v>6.8982996659853576E-5</v>
      </c>
      <c r="F257" s="164">
        <v>-6.8982996659853564E-6</v>
      </c>
      <c r="G257" s="164">
        <v>1.0654632223259673E-3</v>
      </c>
      <c r="H257" s="164">
        <v>2.9878618113912231E-4</v>
      </c>
      <c r="I257" s="164">
        <v>8.6011184229469056E-5</v>
      </c>
      <c r="J257" s="164">
        <v>1.3060247322593066E-2</v>
      </c>
      <c r="K257" s="164">
        <v>2.6290839836726355E-2</v>
      </c>
      <c r="L257" s="164">
        <v>1.8667438119986494E-3</v>
      </c>
      <c r="M257" s="164">
        <v>2.5815196033431064E-4</v>
      </c>
      <c r="N257" s="164">
        <v>4.4952684649922997E-2</v>
      </c>
      <c r="P257" s="202"/>
      <c r="Q257" s="164" t="s">
        <v>360</v>
      </c>
      <c r="R257" s="164">
        <v>8.7510622887057403E-4</v>
      </c>
      <c r="S257" s="164">
        <v>-1.3078063744341263E-4</v>
      </c>
      <c r="T257" s="164">
        <v>5.087458787818432E-4</v>
      </c>
      <c r="U257" s="164">
        <v>-2.5437293939092156E-5</v>
      </c>
      <c r="V257" s="164">
        <v>1.525610244097639E-3</v>
      </c>
      <c r="W257" s="164">
        <v>1.4052359304229719E-3</v>
      </c>
      <c r="X257" s="164">
        <v>1.6256502601040416E-3</v>
      </c>
      <c r="Y257" s="164">
        <v>1.5238870080703825E-3</v>
      </c>
      <c r="Z257" s="164">
        <v>1.5639836011412018E-2</v>
      </c>
      <c r="AA257" s="164">
        <v>1.3381677870726895E-4</v>
      </c>
      <c r="AB257" s="164">
        <v>1.0306220566436748E-6</v>
      </c>
    </row>
    <row r="258" spans="1:28" x14ac:dyDescent="0.25">
      <c r="A258" s="165"/>
      <c r="B258" s="164" t="s">
        <v>348</v>
      </c>
      <c r="C258" s="164">
        <v>1.3444866658711308E-3</v>
      </c>
      <c r="D258" s="164">
        <v>-6.7337961459558828E-5</v>
      </c>
      <c r="E258" s="164">
        <v>6.8982996659853576E-5</v>
      </c>
      <c r="F258" s="164">
        <v>-6.8982996659853564E-6</v>
      </c>
      <c r="G258" s="164">
        <v>1.0654632223259673E-3</v>
      </c>
      <c r="H258" s="164">
        <v>4.305425874053325E-4</v>
      </c>
      <c r="I258" s="164">
        <v>8.6011184229469056E-5</v>
      </c>
      <c r="J258" s="164">
        <v>2.6447470892304818E-2</v>
      </c>
      <c r="K258" s="164">
        <v>2.8551150428794473E-2</v>
      </c>
      <c r="L258" s="164">
        <v>1.2381876461467003E-3</v>
      </c>
      <c r="M258" s="164">
        <v>3.3398562051778328E-4</v>
      </c>
      <c r="N258" s="164">
        <v>5.9492044983129981E-2</v>
      </c>
      <c r="P258" s="202"/>
      <c r="Q258" s="164" t="s">
        <v>359</v>
      </c>
      <c r="R258" s="164">
        <v>1.364623687619921E-3</v>
      </c>
      <c r="S258" s="164">
        <v>-2.0420825625581466E-4</v>
      </c>
      <c r="T258" s="164">
        <v>5.087458787818432E-4</v>
      </c>
      <c r="U258" s="164">
        <v>-2.5437293939092156E-5</v>
      </c>
      <c r="V258" s="164">
        <v>1.525610244097639E-3</v>
      </c>
      <c r="W258" s="164">
        <v>2.0347764046985059E-3</v>
      </c>
      <c r="X258" s="164">
        <v>1.6256502601040416E-3</v>
      </c>
      <c r="Y258" s="164">
        <v>8.8938675875263335E-4</v>
      </c>
      <c r="Z258" s="164">
        <v>1.651226412890678E-2</v>
      </c>
      <c r="AA258" s="164">
        <v>1.4160157538674681E-4</v>
      </c>
      <c r="AB258" s="164">
        <v>4.5496539474204176E-7</v>
      </c>
    </row>
    <row r="259" spans="1:28" x14ac:dyDescent="0.25">
      <c r="A259" s="165"/>
      <c r="B259" s="164" t="s">
        <v>339</v>
      </c>
      <c r="C259" s="164">
        <v>1.3444866658711308E-3</v>
      </c>
      <c r="D259" s="164">
        <v>-6.7337961459558828E-5</v>
      </c>
      <c r="E259" s="164">
        <v>6.8982996659853576E-5</v>
      </c>
      <c r="F259" s="164">
        <v>-6.8982996659853564E-6</v>
      </c>
      <c r="G259" s="164">
        <v>1.0654632223259673E-3</v>
      </c>
      <c r="H259" s="164">
        <v>4.305425874053325E-4</v>
      </c>
      <c r="I259" s="164">
        <v>8.9502842587904882E-5</v>
      </c>
      <c r="J259" s="164">
        <v>2.6447470892304818E-2</v>
      </c>
      <c r="K259" s="164">
        <v>2.855450515937415E-2</v>
      </c>
      <c r="L259" s="164">
        <v>1.2383331319116356E-3</v>
      </c>
      <c r="M259" s="164">
        <v>3.3398562051778328E-4</v>
      </c>
      <c r="N259" s="164">
        <v>5.9499036857833032E-2</v>
      </c>
      <c r="P259" s="202"/>
      <c r="Q259" s="164" t="s">
        <v>389</v>
      </c>
      <c r="R259" s="164">
        <v>1.0347449498978036E-3</v>
      </c>
      <c r="S259" s="164">
        <v>-5.2575506979843073E-5</v>
      </c>
      <c r="T259" s="164">
        <v>3.4491498329926784E-4</v>
      </c>
      <c r="U259" s="164">
        <v>-3.4491498329926788E-5</v>
      </c>
      <c r="V259" s="164">
        <v>1.0654632223259673E-3</v>
      </c>
      <c r="W259" s="164">
        <v>4.305425874053325E-4</v>
      </c>
      <c r="X259" s="164">
        <v>1.7869725535414797E-4</v>
      </c>
      <c r="Y259" s="164">
        <v>1.9961810868829068E-3</v>
      </c>
      <c r="Z259" s="164">
        <v>1.4854151667962478E-2</v>
      </c>
      <c r="AA259" s="164">
        <v>0</v>
      </c>
      <c r="AB259" s="164">
        <v>6.1733034624737292E-3</v>
      </c>
    </row>
    <row r="260" spans="1:28" x14ac:dyDescent="0.25">
      <c r="A260" s="165"/>
      <c r="B260" s="164" t="s">
        <v>342</v>
      </c>
      <c r="C260" s="164">
        <v>1.3444866658711308E-3</v>
      </c>
      <c r="D260" s="164">
        <v>-6.7337961459558828E-5</v>
      </c>
      <c r="E260" s="164">
        <v>3.4491498329926784E-4</v>
      </c>
      <c r="F260" s="164">
        <v>-3.4491498329926788E-5</v>
      </c>
      <c r="G260" s="164">
        <v>1.0654632223259673E-3</v>
      </c>
      <c r="H260" s="164">
        <v>4.305425874053325E-4</v>
      </c>
      <c r="I260" s="164">
        <v>1.7869725535414797E-4</v>
      </c>
      <c r="J260" s="164">
        <v>2.6447470892304818E-2</v>
      </c>
      <c r="K260" s="164">
        <v>3.9916854454536799E-2</v>
      </c>
      <c r="L260" s="164">
        <v>1.2546964484978669E-3</v>
      </c>
      <c r="M260" s="164">
        <v>3.3398562051778328E-4</v>
      </c>
      <c r="N260" s="164">
        <v>7.1215282670323621E-2</v>
      </c>
      <c r="P260" s="202"/>
      <c r="Q260" s="164" t="s">
        <v>385</v>
      </c>
      <c r="R260" s="164">
        <v>1.0347449498978036E-3</v>
      </c>
      <c r="S260" s="164">
        <v>-5.2575506979843073E-5</v>
      </c>
      <c r="T260" s="164">
        <v>3.4491498329926784E-4</v>
      </c>
      <c r="U260" s="164">
        <v>-3.4491498329926788E-5</v>
      </c>
      <c r="V260" s="164">
        <v>1.0654632223259673E-3</v>
      </c>
      <c r="W260" s="164">
        <v>4.305425874053325E-4</v>
      </c>
      <c r="X260" s="164">
        <v>1.7869725535414797E-4</v>
      </c>
      <c r="Y260" s="164">
        <v>3.8143587647444083E-3</v>
      </c>
      <c r="Z260" s="164">
        <v>1.6846680868769288E-2</v>
      </c>
      <c r="AA260" s="164">
        <v>0</v>
      </c>
      <c r="AB260" s="164">
        <v>5.8582618483787648E-3</v>
      </c>
    </row>
    <row r="261" spans="1:28" x14ac:dyDescent="0.25">
      <c r="A261" s="165"/>
      <c r="B261" s="164" t="s">
        <v>345</v>
      </c>
      <c r="C261" s="164">
        <v>1.3444866658711308E-3</v>
      </c>
      <c r="D261" s="164">
        <v>-6.7337961459558828E-5</v>
      </c>
      <c r="E261" s="164">
        <v>6.8982996659853576E-5</v>
      </c>
      <c r="F261" s="164">
        <v>-6.8982996659853564E-6</v>
      </c>
      <c r="G261" s="164">
        <v>1.0654632223259673E-3</v>
      </c>
      <c r="H261" s="164">
        <v>4.305425874053325E-4</v>
      </c>
      <c r="I261" s="164">
        <v>8.6011184229469056E-5</v>
      </c>
      <c r="J261" s="164">
        <v>2.6447470892304818E-2</v>
      </c>
      <c r="K261" s="164">
        <v>4.6479659332276088E-2</v>
      </c>
      <c r="L261" s="164">
        <v>1.2381876461467003E-3</v>
      </c>
      <c r="M261" s="164">
        <v>3.3398562051778328E-4</v>
      </c>
      <c r="N261" s="164">
        <v>7.7420553886611593E-2</v>
      </c>
      <c r="P261" s="202"/>
      <c r="Q261" s="164" t="s">
        <v>357</v>
      </c>
      <c r="R261" s="164">
        <v>7.6317014160409149E-4</v>
      </c>
      <c r="S261" s="164">
        <v>-3.832836099071531E-5</v>
      </c>
      <c r="T261" s="164">
        <v>5.087458787818432E-4</v>
      </c>
      <c r="U261" s="164">
        <v>-2.5437293939092156E-5</v>
      </c>
      <c r="V261" s="164">
        <v>1.525610244097639E-3</v>
      </c>
      <c r="W261" s="164">
        <v>2.6260504201680674E-3</v>
      </c>
      <c r="X261" s="164">
        <v>1.6256502601040416E-3</v>
      </c>
      <c r="Y261" s="164">
        <v>2.7715714285714288E-3</v>
      </c>
      <c r="Z261" s="164">
        <v>2.6273994235799812E-2</v>
      </c>
      <c r="AA261" s="164">
        <v>0</v>
      </c>
      <c r="AB261" s="164">
        <v>2.5563252752773664E-3</v>
      </c>
    </row>
    <row r="262" spans="1:28" x14ac:dyDescent="0.25">
      <c r="A262" s="165"/>
      <c r="B262" s="164" t="s">
        <v>372</v>
      </c>
      <c r="C262" s="164">
        <v>6.1563760604058963E-3</v>
      </c>
      <c r="D262" s="164">
        <v>-1.5302033910025385E-3</v>
      </c>
      <c r="E262" s="164">
        <v>2.964391815717463E-3</v>
      </c>
      <c r="F262" s="164">
        <v>-7.4109795392936575E-4</v>
      </c>
      <c r="G262" s="164">
        <v>2.5454545454545455E-2</v>
      </c>
      <c r="H262" s="164">
        <v>7.2727272727272727E-3</v>
      </c>
      <c r="I262" s="164">
        <v>4.4000000000000003E-3</v>
      </c>
      <c r="J262" s="164">
        <v>1.1573595723149675E-2</v>
      </c>
      <c r="K262" s="164">
        <v>6.5149603783989984E-2</v>
      </c>
      <c r="L262" s="164">
        <v>0</v>
      </c>
      <c r="M262" s="164">
        <v>3.105564911133563E-3</v>
      </c>
      <c r="N262" s="164">
        <v>0.1238055036767374</v>
      </c>
      <c r="P262" s="202"/>
      <c r="Q262" s="164" t="s">
        <v>376</v>
      </c>
      <c r="R262" s="164">
        <v>8.9023613155393838E-3</v>
      </c>
      <c r="S262" s="164">
        <v>-2.2244856106439686E-3</v>
      </c>
      <c r="T262" s="164">
        <v>1.552776665375814E-3</v>
      </c>
      <c r="U262" s="164">
        <v>-3.8819416634395349E-4</v>
      </c>
      <c r="V262" s="164">
        <v>2.6666666666666665E-2</v>
      </c>
      <c r="W262" s="164">
        <v>5.7142857142857143E-3</v>
      </c>
      <c r="X262" s="164">
        <v>4.4000000000000003E-3</v>
      </c>
      <c r="Y262" s="164">
        <v>3.3744831090442877E-3</v>
      </c>
      <c r="Z262" s="164">
        <v>5.7259443876853541E-2</v>
      </c>
      <c r="AA262" s="164">
        <v>2.5732025895309971E-3</v>
      </c>
      <c r="AB262" s="164">
        <v>2.2812758930212777E-6</v>
      </c>
    </row>
    <row r="263" spans="1:28" x14ac:dyDescent="0.25">
      <c r="A263" s="165"/>
      <c r="B263" s="164" t="s">
        <v>375</v>
      </c>
      <c r="C263" s="164">
        <v>6.4495368251871292E-3</v>
      </c>
      <c r="D263" s="164">
        <v>-1.6030702191455165E-3</v>
      </c>
      <c r="E263" s="164">
        <v>1.552776665375814E-3</v>
      </c>
      <c r="F263" s="164">
        <v>-3.8819416634395349E-4</v>
      </c>
      <c r="G263" s="164">
        <v>2.6666666666666665E-2</v>
      </c>
      <c r="H263" s="164">
        <v>7.619047619047619E-3</v>
      </c>
      <c r="I263" s="164">
        <v>4.4000000000000003E-3</v>
      </c>
      <c r="J263" s="164">
        <v>1.1573595723149675E-2</v>
      </c>
      <c r="K263" s="164">
        <v>7.061358407215175E-2</v>
      </c>
      <c r="L263" s="164">
        <v>0</v>
      </c>
      <c r="M263" s="164">
        <v>3.1055649111335639E-3</v>
      </c>
      <c r="N263" s="164">
        <v>0.12998950809722276</v>
      </c>
      <c r="P263" s="202"/>
      <c r="Q263" s="164" t="s">
        <v>377</v>
      </c>
      <c r="R263" s="164">
        <v>9.5184690021196325E-3</v>
      </c>
      <c r="S263" s="164">
        <v>-2.3780107811737857E-3</v>
      </c>
      <c r="T263" s="164">
        <v>1.552776665375814E-3</v>
      </c>
      <c r="U263" s="164">
        <v>-3.8819416634395349E-4</v>
      </c>
      <c r="V263" s="164">
        <v>2.6666666666666665E-2</v>
      </c>
      <c r="W263" s="164">
        <v>6.8591891840075045E-3</v>
      </c>
      <c r="X263" s="164">
        <v>4.4000000000000003E-3</v>
      </c>
      <c r="Y263" s="164">
        <v>7.3102100315233995E-3</v>
      </c>
      <c r="Z263" s="164">
        <v>6.3770957790438648E-2</v>
      </c>
      <c r="AA263" s="164">
        <v>1.1124179278049692E-3</v>
      </c>
      <c r="AB263" s="164">
        <v>5.9135532882621105E-6</v>
      </c>
    </row>
    <row r="264" spans="1:28" x14ac:dyDescent="0.25">
      <c r="A264" s="165"/>
      <c r="B264" s="164" t="s">
        <v>381</v>
      </c>
      <c r="C264" s="164">
        <v>7.5244596293849832E-3</v>
      </c>
      <c r="D264" s="164">
        <v>-1.8702485890031025E-3</v>
      </c>
      <c r="E264" s="164">
        <v>2.1135015723170798E-3</v>
      </c>
      <c r="F264" s="164">
        <v>-5.2837539307926996E-4</v>
      </c>
      <c r="G264" s="164">
        <v>3.111111111111111E-2</v>
      </c>
      <c r="H264" s="164">
        <v>8.8888888888888889E-3</v>
      </c>
      <c r="I264" s="164">
        <v>4.4000000000000003E-3</v>
      </c>
      <c r="J264" s="164">
        <v>1.1573595723149675E-2</v>
      </c>
      <c r="K264" s="164">
        <v>6.9625490706338555E-2</v>
      </c>
      <c r="L264" s="164">
        <v>0</v>
      </c>
      <c r="M264" s="164">
        <v>3.1055649111335639E-3</v>
      </c>
      <c r="N264" s="164">
        <v>0.13594398856024148</v>
      </c>
      <c r="P264" s="202"/>
      <c r="Q264" s="164" t="s">
        <v>375</v>
      </c>
      <c r="R264" s="164">
        <v>7.0535426020101408E-3</v>
      </c>
      <c r="S264" s="164">
        <v>-1.0594650200048046E-3</v>
      </c>
      <c r="T264" s="164">
        <v>1.552776665375814E-3</v>
      </c>
      <c r="U264" s="164">
        <v>-3.8819416634395349E-4</v>
      </c>
      <c r="V264" s="164">
        <v>2.6666666666666665E-2</v>
      </c>
      <c r="W264" s="164">
        <v>7.619047619047619E-3</v>
      </c>
      <c r="X264" s="164">
        <v>4.4000000000000003E-3</v>
      </c>
      <c r="Y264" s="164">
        <v>9.604451272429336E-3</v>
      </c>
      <c r="Z264" s="164">
        <v>7.6408000661182016E-2</v>
      </c>
      <c r="AA264" s="164">
        <v>0</v>
      </c>
      <c r="AB264" s="164">
        <v>8.8630828876566786E-3</v>
      </c>
    </row>
    <row r="265" spans="1:28" x14ac:dyDescent="0.25">
      <c r="A265" s="165"/>
      <c r="B265" s="164" t="s">
        <v>373</v>
      </c>
      <c r="C265" s="164">
        <v>2.2614787309588272E-2</v>
      </c>
      <c r="D265" s="164">
        <v>-3.4381985932500987E-3</v>
      </c>
      <c r="E265" s="164">
        <v>2.964391815717463E-3</v>
      </c>
      <c r="F265" s="164">
        <v>-7.4109795392936575E-4</v>
      </c>
      <c r="G265" s="164">
        <v>2.5454545454545455E-2</v>
      </c>
      <c r="H265" s="164">
        <v>5.4545454545454541E-3</v>
      </c>
      <c r="I265" s="164">
        <v>4.4000000000000003E-3</v>
      </c>
      <c r="J265" s="164">
        <v>5.5397830482865063E-3</v>
      </c>
      <c r="K265" s="164">
        <v>6.9194063478279583E-2</v>
      </c>
      <c r="L265" s="164">
        <v>7.0448133436563226E-3</v>
      </c>
      <c r="M265" s="164">
        <v>1.4049076735721778E-4</v>
      </c>
      <c r="N265" s="164">
        <v>0.1386281241247968</v>
      </c>
    </row>
    <row r="266" spans="1:28" x14ac:dyDescent="0.25">
      <c r="A266" s="165"/>
      <c r="B266" s="164" t="s">
        <v>376</v>
      </c>
      <c r="C266" s="164">
        <v>2.3691681943378187E-2</v>
      </c>
      <c r="D266" s="164">
        <v>-3.6019223357858176E-3</v>
      </c>
      <c r="E266" s="164">
        <v>1.552776665375814E-3</v>
      </c>
      <c r="F266" s="164">
        <v>-3.8819416634395349E-4</v>
      </c>
      <c r="G266" s="164">
        <v>2.6666666666666665E-2</v>
      </c>
      <c r="H266" s="164">
        <v>5.7142857142857143E-3</v>
      </c>
      <c r="I266" s="164">
        <v>4.4000000000000003E-3</v>
      </c>
      <c r="J266" s="164">
        <v>5.5397830482865063E-3</v>
      </c>
      <c r="K266" s="164">
        <v>7.5707949094327057E-2</v>
      </c>
      <c r="L266" s="164">
        <v>7.1132539649722548E-3</v>
      </c>
      <c r="M266" s="164">
        <v>1.4049076735721778E-4</v>
      </c>
      <c r="N266" s="164">
        <v>0.14653677136251964</v>
      </c>
    </row>
    <row r="267" spans="1:28" x14ac:dyDescent="0.25">
      <c r="A267" s="165"/>
      <c r="B267" s="164" t="s">
        <v>382</v>
      </c>
      <c r="C267" s="164">
        <v>2.7640295600607889E-2</v>
      </c>
      <c r="D267" s="164">
        <v>-4.2022427250834543E-3</v>
      </c>
      <c r="E267" s="164">
        <v>2.1135015723170798E-3</v>
      </c>
      <c r="F267" s="164">
        <v>-5.2837539307926996E-4</v>
      </c>
      <c r="G267" s="164">
        <v>3.111111111111111E-2</v>
      </c>
      <c r="H267" s="164">
        <v>6.6666666666666662E-3</v>
      </c>
      <c r="I267" s="164">
        <v>4.4000000000000003E-3</v>
      </c>
      <c r="J267" s="164">
        <v>5.5397830482865063E-3</v>
      </c>
      <c r="K267" s="164">
        <v>8.0099479887204131E-2</v>
      </c>
      <c r="L267" s="164">
        <v>8.1551199100547145E-3</v>
      </c>
      <c r="M267" s="164">
        <v>1.4049076735721778E-4</v>
      </c>
      <c r="N267" s="164">
        <v>0.16113583044544258</v>
      </c>
    </row>
    <row r="268" spans="1:28" x14ac:dyDescent="0.25">
      <c r="A268" s="165"/>
      <c r="B268" s="164" t="s">
        <v>378</v>
      </c>
      <c r="C268" s="164">
        <v>8.6820688031365185E-3</v>
      </c>
      <c r="D268" s="164">
        <v>-2.157979141157426E-3</v>
      </c>
      <c r="E268" s="164">
        <v>2.7870350404181278E-3</v>
      </c>
      <c r="F268" s="164">
        <v>-6.9675876010453195E-4</v>
      </c>
      <c r="G268" s="164">
        <v>3.5897435897435902E-2</v>
      </c>
      <c r="H268" s="164">
        <v>1.0256410256410255E-2</v>
      </c>
      <c r="I268" s="164">
        <v>4.4000000000000003E-3</v>
      </c>
      <c r="J268" s="164">
        <v>1.1573595723149675E-2</v>
      </c>
      <c r="K268" s="164">
        <v>8.8326262468132202E-2</v>
      </c>
      <c r="L268" s="164">
        <v>0</v>
      </c>
      <c r="M268" s="164">
        <v>3.1055649111335639E-3</v>
      </c>
      <c r="N268" s="164">
        <v>0.16217363519855427</v>
      </c>
    </row>
    <row r="269" spans="1:28" x14ac:dyDescent="0.25">
      <c r="A269" s="165"/>
      <c r="B269" s="164" t="s">
        <v>374</v>
      </c>
      <c r="C269" s="164">
        <v>2.2311798507511204E-2</v>
      </c>
      <c r="D269" s="164">
        <v>-3.3814651137286521E-3</v>
      </c>
      <c r="E269" s="164">
        <v>2.964391815717463E-3</v>
      </c>
      <c r="F269" s="164">
        <v>-7.4109795392936575E-4</v>
      </c>
      <c r="G269" s="164">
        <v>2.5454545454545455E-2</v>
      </c>
      <c r="H269" s="164">
        <v>9.3433449937917901E-3</v>
      </c>
      <c r="I269" s="164">
        <v>4.4000000000000003E-3</v>
      </c>
      <c r="J269" s="164">
        <v>2.149698076693125E-2</v>
      </c>
      <c r="K269" s="164">
        <v>9.0669449420705039E-2</v>
      </c>
      <c r="L269" s="164">
        <v>4.3682791161508971E-3</v>
      </c>
      <c r="M269" s="164">
        <v>3.6418200964524684E-4</v>
      </c>
      <c r="N269" s="164">
        <v>0.17725040901734032</v>
      </c>
    </row>
    <row r="270" spans="1:28" x14ac:dyDescent="0.25">
      <c r="A270" s="165"/>
      <c r="B270" s="164" t="s">
        <v>377</v>
      </c>
      <c r="C270" s="164">
        <v>2.3374265103106976E-2</v>
      </c>
      <c r="D270" s="164">
        <v>-3.5424872620014453E-3</v>
      </c>
      <c r="E270" s="164">
        <v>1.552776665375814E-3</v>
      </c>
      <c r="F270" s="164">
        <v>-3.8819416634395349E-4</v>
      </c>
      <c r="G270" s="164">
        <v>2.6666666666666665E-2</v>
      </c>
      <c r="H270" s="164">
        <v>9.7882661839723516E-3</v>
      </c>
      <c r="I270" s="164">
        <v>4.4000000000000003E-3</v>
      </c>
      <c r="J270" s="164">
        <v>2.149698076693125E-2</v>
      </c>
      <c r="K270" s="164">
        <v>9.9182556352221826E-2</v>
      </c>
      <c r="L270" s="164">
        <v>4.409718611580335E-3</v>
      </c>
      <c r="M270" s="164">
        <v>3.6418200964524684E-4</v>
      </c>
      <c r="N270" s="164">
        <v>0.1873047309311551</v>
      </c>
    </row>
    <row r="271" spans="1:28" x14ac:dyDescent="0.25">
      <c r="A271" s="165"/>
      <c r="B271" s="164" t="s">
        <v>379</v>
      </c>
      <c r="C271" s="164">
        <v>3.1892648769932176E-2</v>
      </c>
      <c r="D271" s="164">
        <v>-4.8487416058655246E-3</v>
      </c>
      <c r="E271" s="164">
        <v>2.7870350404181278E-3</v>
      </c>
      <c r="F271" s="164">
        <v>-6.9675876010453195E-4</v>
      </c>
      <c r="G271" s="164">
        <v>3.5897435897435902E-2</v>
      </c>
      <c r="H271" s="164">
        <v>7.6923076923076927E-3</v>
      </c>
      <c r="I271" s="164">
        <v>4.4000000000000003E-3</v>
      </c>
      <c r="J271" s="164">
        <v>5.5397830482865063E-3</v>
      </c>
      <c r="K271" s="164">
        <v>9.8840799825624742E-2</v>
      </c>
      <c r="L271" s="164">
        <v>9.2867356687296315E-3</v>
      </c>
      <c r="M271" s="164">
        <v>1.4049076735721778E-4</v>
      </c>
      <c r="N271" s="164">
        <v>0.19093173634412192</v>
      </c>
    </row>
    <row r="272" spans="1:28" x14ac:dyDescent="0.25">
      <c r="A272" s="165"/>
      <c r="B272" s="164" t="s">
        <v>383</v>
      </c>
      <c r="C272" s="164">
        <v>2.7269975953624806E-2</v>
      </c>
      <c r="D272" s="164">
        <v>-4.1329018056683528E-3</v>
      </c>
      <c r="E272" s="164">
        <v>2.1135015723170798E-3</v>
      </c>
      <c r="F272" s="164">
        <v>-5.2837539307926996E-4</v>
      </c>
      <c r="G272" s="164">
        <v>3.111111111111111E-2</v>
      </c>
      <c r="H272" s="164">
        <v>1.1419643881301077E-2</v>
      </c>
      <c r="I272" s="164">
        <v>4.4000000000000003E-3</v>
      </c>
      <c r="J272" s="164">
        <v>2.149698076693125E-2</v>
      </c>
      <c r="K272" s="164">
        <v>0.1024517746225366</v>
      </c>
      <c r="L272" s="164">
        <v>4.9359288090485148E-3</v>
      </c>
      <c r="M272" s="164">
        <v>3.6418200964524684E-4</v>
      </c>
      <c r="N272" s="164">
        <v>0.20090182152776806</v>
      </c>
    </row>
    <row r="273" spans="1:28" x14ac:dyDescent="0.25">
      <c r="A273" s="165"/>
      <c r="B273" s="164" t="s">
        <v>369</v>
      </c>
      <c r="C273" s="164">
        <v>1.2312752120811793E-2</v>
      </c>
      <c r="D273" s="164">
        <v>-3.0604067820050769E-3</v>
      </c>
      <c r="E273" s="164">
        <v>3.9525224209566176E-3</v>
      </c>
      <c r="F273" s="164">
        <v>-9.8813060523915441E-4</v>
      </c>
      <c r="G273" s="164">
        <v>5.0909090909090911E-2</v>
      </c>
      <c r="H273" s="164">
        <v>1.4545454545454545E-2</v>
      </c>
      <c r="I273" s="164">
        <v>4.4000000000000003E-3</v>
      </c>
      <c r="J273" s="164">
        <v>1.1573595723149675E-2</v>
      </c>
      <c r="K273" s="164">
        <v>0.13633687757910018</v>
      </c>
      <c r="L273" s="164">
        <v>0</v>
      </c>
      <c r="M273" s="164">
        <v>3.105564911133563E-3</v>
      </c>
      <c r="N273" s="164">
        <v>0.23308732082245304</v>
      </c>
    </row>
    <row r="274" spans="1:28" x14ac:dyDescent="0.25">
      <c r="A274" s="165"/>
      <c r="B274" s="164" t="s">
        <v>380</v>
      </c>
      <c r="C274" s="164">
        <v>3.1465356869567078E-2</v>
      </c>
      <c r="D274" s="164">
        <v>-4.7687328526942532E-3</v>
      </c>
      <c r="E274" s="164">
        <v>2.7870350404181278E-3</v>
      </c>
      <c r="F274" s="164">
        <v>-6.9675876010453195E-4</v>
      </c>
      <c r="G274" s="164">
        <v>3.5897435897435902E-2</v>
      </c>
      <c r="H274" s="164">
        <v>1.3176512170732011E-2</v>
      </c>
      <c r="I274" s="164">
        <v>4.4000000000000003E-3</v>
      </c>
      <c r="J274" s="164">
        <v>2.149698076693125E-2</v>
      </c>
      <c r="K274" s="164">
        <v>0.12386605538599031</v>
      </c>
      <c r="L274" s="164">
        <v>5.5071624473854025E-3</v>
      </c>
      <c r="M274" s="164">
        <v>3.6418200964524684E-4</v>
      </c>
      <c r="N274" s="164">
        <v>0.23349522897530658</v>
      </c>
    </row>
    <row r="275" spans="1:28" x14ac:dyDescent="0.25">
      <c r="A275" s="165"/>
      <c r="B275" s="164" t="s">
        <v>370</v>
      </c>
      <c r="C275" s="164">
        <v>4.5229574619176545E-2</v>
      </c>
      <c r="D275" s="164">
        <v>-6.8763971865001975E-3</v>
      </c>
      <c r="E275" s="164">
        <v>3.9525224209566176E-3</v>
      </c>
      <c r="F275" s="164">
        <v>-9.8813060523915441E-4</v>
      </c>
      <c r="G275" s="164">
        <v>5.0909090909090911E-2</v>
      </c>
      <c r="H275" s="164">
        <v>1.0909090909090908E-2</v>
      </c>
      <c r="I275" s="164">
        <v>4.4000000000000003E-3</v>
      </c>
      <c r="J275" s="164">
        <v>5.5397830482865063E-3</v>
      </c>
      <c r="K275" s="164">
        <v>0.15907506174705863</v>
      </c>
      <c r="L275" s="164">
        <v>1.2705336115153232E-2</v>
      </c>
      <c r="M275" s="164">
        <v>1.4049076735721778E-4</v>
      </c>
      <c r="N275" s="164">
        <v>0.28499642274443121</v>
      </c>
    </row>
    <row r="276" spans="1:28" x14ac:dyDescent="0.25">
      <c r="A276" s="165"/>
      <c r="B276" s="164" t="s">
        <v>371</v>
      </c>
      <c r="C276" s="164">
        <v>4.4623597015022408E-2</v>
      </c>
      <c r="D276" s="164">
        <v>-6.7629302274573042E-3</v>
      </c>
      <c r="E276" s="164">
        <v>3.9525224209566176E-3</v>
      </c>
      <c r="F276" s="164">
        <v>-9.8813060523915441E-4</v>
      </c>
      <c r="G276" s="164">
        <v>5.0909090909090911E-2</v>
      </c>
      <c r="H276" s="164">
        <v>1.868668998758358E-2</v>
      </c>
      <c r="I276" s="164">
        <v>4.4000000000000003E-3</v>
      </c>
      <c r="J276" s="164">
        <v>2.149698076693125E-2</v>
      </c>
      <c r="K276" s="164">
        <v>0.19148045910111161</v>
      </c>
      <c r="L276" s="164">
        <v>7.2369782095337842E-3</v>
      </c>
      <c r="M276" s="164">
        <v>3.6418200964524684E-4</v>
      </c>
      <c r="N276" s="164">
        <v>0.33539943958717888</v>
      </c>
    </row>
    <row r="277" spans="1:28" x14ac:dyDescent="0.25">
      <c r="A277" s="165" t="s">
        <v>393</v>
      </c>
      <c r="B277" s="164" t="s">
        <v>394</v>
      </c>
      <c r="C277" s="164" t="s">
        <v>395</v>
      </c>
      <c r="D277" s="164" t="s">
        <v>396</v>
      </c>
      <c r="E277" s="164" t="s">
        <v>397</v>
      </c>
      <c r="F277" s="164" t="s">
        <v>398</v>
      </c>
      <c r="G277" s="164" t="s">
        <v>399</v>
      </c>
      <c r="H277" s="164" t="s">
        <v>400</v>
      </c>
      <c r="I277" s="164" t="s">
        <v>401</v>
      </c>
      <c r="J277" s="164" t="s">
        <v>402</v>
      </c>
      <c r="K277" s="164" t="s">
        <v>403</v>
      </c>
      <c r="L277" s="164" t="s">
        <v>404</v>
      </c>
      <c r="M277" s="164" t="s">
        <v>405</v>
      </c>
      <c r="N277" s="164" t="s">
        <v>406</v>
      </c>
    </row>
    <row r="278" spans="1:28" x14ac:dyDescent="0.25">
      <c r="A278" s="165">
        <v>2034</v>
      </c>
      <c r="B278" s="164" t="s">
        <v>391</v>
      </c>
      <c r="C278" s="164">
        <v>1.0347449498978036E-3</v>
      </c>
      <c r="D278" s="164">
        <v>-9.7956440009122124E-5</v>
      </c>
      <c r="E278" s="164">
        <v>6.8982996659853576E-5</v>
      </c>
      <c r="F278" s="164">
        <v>-6.8982996659853564E-6</v>
      </c>
      <c r="G278" s="164">
        <v>1.0654632223259673E-3</v>
      </c>
      <c r="H278" s="164">
        <v>4.305425874053325E-4</v>
      </c>
      <c r="I278" s="164">
        <v>8.6011184229469056E-5</v>
      </c>
      <c r="J278" s="164">
        <v>2.1331638109345504E-3</v>
      </c>
      <c r="K278" s="164">
        <v>6.8331995010663706E-3</v>
      </c>
      <c r="L278" s="164">
        <v>0</v>
      </c>
      <c r="M278" s="164">
        <v>2.3842549920408719E-3</v>
      </c>
      <c r="N278" s="164">
        <v>1.3931508504885112E-2</v>
      </c>
    </row>
    <row r="279" spans="1:28" x14ac:dyDescent="0.25">
      <c r="A279" s="165"/>
      <c r="B279" s="164" t="s">
        <v>388</v>
      </c>
      <c r="C279" s="164">
        <v>1.0347449498978036E-3</v>
      </c>
      <c r="D279" s="164">
        <v>-9.7956440009122124E-5</v>
      </c>
      <c r="E279" s="164">
        <v>6.8982996659853576E-5</v>
      </c>
      <c r="F279" s="164">
        <v>-6.8982996659853564E-6</v>
      </c>
      <c r="G279" s="164">
        <v>1.0654632223259673E-3</v>
      </c>
      <c r="H279" s="164">
        <v>4.305425874053325E-4</v>
      </c>
      <c r="I279" s="164">
        <v>8.9502842587904882E-5</v>
      </c>
      <c r="J279" s="164">
        <v>2.1331638109345504E-3</v>
      </c>
      <c r="K279" s="164">
        <v>6.8365542316460425E-3</v>
      </c>
      <c r="L279" s="164">
        <v>0</v>
      </c>
      <c r="M279" s="164">
        <v>2.3842549920408719E-3</v>
      </c>
      <c r="N279" s="164">
        <v>1.3938354893823219E-2</v>
      </c>
      <c r="R279" s="164" t="s">
        <v>18</v>
      </c>
      <c r="S279" s="164" t="s">
        <v>28</v>
      </c>
      <c r="T279" s="164" t="s">
        <v>14</v>
      </c>
      <c r="U279" s="164" t="s">
        <v>25</v>
      </c>
      <c r="V279" s="164" t="s">
        <v>37</v>
      </c>
      <c r="W279" s="164" t="s">
        <v>52</v>
      </c>
      <c r="X279" s="164" t="s">
        <v>272</v>
      </c>
      <c r="Y279" s="164" t="s">
        <v>67</v>
      </c>
      <c r="Z279" s="164" t="s">
        <v>56</v>
      </c>
      <c r="AA279" s="164" t="s">
        <v>73</v>
      </c>
      <c r="AB279" s="164" t="s">
        <v>206</v>
      </c>
    </row>
    <row r="280" spans="1:28" x14ac:dyDescent="0.25">
      <c r="A280" s="165"/>
      <c r="B280" s="164" t="s">
        <v>350</v>
      </c>
      <c r="C280" s="164">
        <v>1.0902430594344164E-3</v>
      </c>
      <c r="D280" s="164">
        <v>-1.6353645891516245E-4</v>
      </c>
      <c r="E280" s="164">
        <v>7.6311881817276459E-4</v>
      </c>
      <c r="F280" s="164">
        <v>-3.8155940908638231E-5</v>
      </c>
      <c r="G280" s="164">
        <v>1.6256502601040416E-3</v>
      </c>
      <c r="H280" s="164">
        <v>1.6256502601040416E-3</v>
      </c>
      <c r="I280" s="164">
        <v>1.7507002801120447E-3</v>
      </c>
      <c r="J280" s="164">
        <v>9.5987899046131133E-4</v>
      </c>
      <c r="K280" s="164">
        <v>8.3562602548806764E-3</v>
      </c>
      <c r="L280" s="164">
        <v>0</v>
      </c>
      <c r="M280" s="164">
        <v>2.360985412314249E-5</v>
      </c>
      <c r="N280" s="164">
        <v>1.5993419377568638E-2</v>
      </c>
      <c r="P280" s="202">
        <v>2023</v>
      </c>
      <c r="Q280" s="164" t="s">
        <v>385</v>
      </c>
      <c r="R280" s="164">
        <v>1.0347449498978036E-3</v>
      </c>
      <c r="S280" s="164">
        <v>-1.0336086682377807E-4</v>
      </c>
      <c r="T280" s="164">
        <v>3.4491498329926784E-4</v>
      </c>
      <c r="U280" s="164">
        <v>-3.4491498329926788E-5</v>
      </c>
      <c r="V280" s="164">
        <v>1.0654632223259673E-3</v>
      </c>
      <c r="W280" s="164">
        <v>4.305425874053325E-4</v>
      </c>
      <c r="X280" s="164">
        <v>1.7869725535414797E-4</v>
      </c>
      <c r="Y280" s="164">
        <v>4.1072811176853007E-3</v>
      </c>
      <c r="Z280" s="164">
        <v>1.1833655417796072E-2</v>
      </c>
      <c r="AA280" s="164">
        <v>0</v>
      </c>
      <c r="AB280" s="164">
        <v>1.8343688133195604E-3</v>
      </c>
    </row>
    <row r="281" spans="1:28" x14ac:dyDescent="0.25">
      <c r="A281" s="165"/>
      <c r="B281" s="164" t="s">
        <v>389</v>
      </c>
      <c r="C281" s="164">
        <v>1.0347449498978036E-3</v>
      </c>
      <c r="D281" s="164">
        <v>-9.7956440009122124E-5</v>
      </c>
      <c r="E281" s="164">
        <v>3.4491498329926784E-4</v>
      </c>
      <c r="F281" s="164">
        <v>-3.4491498329926788E-5</v>
      </c>
      <c r="G281" s="164">
        <v>1.0654632223259673E-3</v>
      </c>
      <c r="H281" s="164">
        <v>4.305425874053325E-4</v>
      </c>
      <c r="I281" s="164">
        <v>1.7869725535414797E-4</v>
      </c>
      <c r="J281" s="164">
        <v>2.1331638109345504E-3</v>
      </c>
      <c r="K281" s="164">
        <v>9.9528851394415953E-3</v>
      </c>
      <c r="L281" s="164">
        <v>0</v>
      </c>
      <c r="M281" s="164">
        <v>2.3842549920408719E-3</v>
      </c>
      <c r="N281" s="164">
        <v>1.7392219002360487E-2</v>
      </c>
      <c r="P281" s="202"/>
      <c r="Q281" s="164" t="s">
        <v>341</v>
      </c>
      <c r="R281" s="164">
        <v>2.0676718491395704E-3</v>
      </c>
      <c r="S281" s="164">
        <v>-1.0351994625618128E-4</v>
      </c>
      <c r="T281" s="164">
        <v>3.4491498329926784E-4</v>
      </c>
      <c r="U281" s="164">
        <v>-3.4491498329926788E-5</v>
      </c>
      <c r="V281" s="164">
        <v>1.0654632223259673E-3</v>
      </c>
      <c r="W281" s="164">
        <v>2.9878618113912231E-4</v>
      </c>
      <c r="X281" s="164">
        <v>1.7869725535414797E-4</v>
      </c>
      <c r="Y281" s="164">
        <v>1.1790342951953749E-2</v>
      </c>
      <c r="Z281" s="164">
        <v>2.1129720272896415E-2</v>
      </c>
      <c r="AA281" s="164">
        <v>1.3856702589881906E-3</v>
      </c>
      <c r="AB281" s="164">
        <v>2.6311642110997044E-4</v>
      </c>
    </row>
    <row r="282" spans="1:28" x14ac:dyDescent="0.25">
      <c r="A282" s="165"/>
      <c r="B282" s="164" t="s">
        <v>387</v>
      </c>
      <c r="C282" s="164">
        <v>1.0347449498978036E-3</v>
      </c>
      <c r="D282" s="164">
        <v>-9.7956440009122124E-5</v>
      </c>
      <c r="E282" s="164">
        <v>6.8982996659853576E-5</v>
      </c>
      <c r="F282" s="164">
        <v>-6.8982996659853564E-6</v>
      </c>
      <c r="G282" s="164">
        <v>1.0654632223259673E-3</v>
      </c>
      <c r="H282" s="164">
        <v>4.305425874053325E-4</v>
      </c>
      <c r="I282" s="164">
        <v>8.6011184229469056E-5</v>
      </c>
      <c r="J282" s="164">
        <v>4.076109192868568E-3</v>
      </c>
      <c r="K282" s="164">
        <v>8.583047072717457E-3</v>
      </c>
      <c r="L282" s="164">
        <v>0</v>
      </c>
      <c r="M282" s="164">
        <v>2.2625795316212503E-3</v>
      </c>
      <c r="N282" s="164">
        <v>1.7502625998050594E-2</v>
      </c>
      <c r="P282" s="202"/>
      <c r="Q282" s="164" t="s">
        <v>340</v>
      </c>
      <c r="R282" s="164">
        <v>2.0678991054715748E-3</v>
      </c>
      <c r="S282" s="164">
        <v>-1.0354267188938173E-4</v>
      </c>
      <c r="T282" s="164">
        <v>3.4491498329926784E-4</v>
      </c>
      <c r="U282" s="164">
        <v>-3.4491498329926788E-5</v>
      </c>
      <c r="V282" s="164">
        <v>1.0654632223259673E-3</v>
      </c>
      <c r="W282" s="164">
        <v>2.9878618113912231E-4</v>
      </c>
      <c r="X282" s="164">
        <v>1.7869725535414797E-4</v>
      </c>
      <c r="Y282" s="164">
        <v>1.3060247322593066E-2</v>
      </c>
      <c r="Z282" s="164">
        <v>2.2806772205735022E-2</v>
      </c>
      <c r="AA282" s="164">
        <v>1.9107458000384783E-3</v>
      </c>
      <c r="AB282" s="164">
        <v>2.5815196033431064E-4</v>
      </c>
    </row>
    <row r="283" spans="1:28" x14ac:dyDescent="0.25">
      <c r="A283" s="165"/>
      <c r="B283" s="164" t="s">
        <v>384</v>
      </c>
      <c r="C283" s="164">
        <v>1.0347449498978036E-3</v>
      </c>
      <c r="D283" s="164">
        <v>-9.7956440009122124E-5</v>
      </c>
      <c r="E283" s="164">
        <v>6.8982996659853576E-5</v>
      </c>
      <c r="F283" s="164">
        <v>-6.8982996659853564E-6</v>
      </c>
      <c r="G283" s="164">
        <v>1.0654632223259673E-3</v>
      </c>
      <c r="H283" s="164">
        <v>4.305425874053325E-4</v>
      </c>
      <c r="I283" s="164">
        <v>8.9502842587904882E-5</v>
      </c>
      <c r="J283" s="164">
        <v>4.076109192868568E-3</v>
      </c>
      <c r="K283" s="164">
        <v>8.5864018032971289E-3</v>
      </c>
      <c r="L283" s="164">
        <v>0</v>
      </c>
      <c r="M283" s="164">
        <v>2.2625795316212503E-3</v>
      </c>
      <c r="N283" s="164">
        <v>1.7509472386988703E-2</v>
      </c>
      <c r="P283" s="202"/>
      <c r="Q283" s="164" t="s">
        <v>342</v>
      </c>
      <c r="R283" s="164">
        <v>1.3444866658711308E-3</v>
      </c>
      <c r="S283" s="164">
        <v>-6.7337961459558828E-5</v>
      </c>
      <c r="T283" s="164">
        <v>3.4491498329926784E-4</v>
      </c>
      <c r="U283" s="164">
        <v>-3.4491498329926788E-5</v>
      </c>
      <c r="V283" s="164">
        <v>1.0654632223259673E-3</v>
      </c>
      <c r="W283" s="164">
        <v>4.305425874053325E-4</v>
      </c>
      <c r="X283" s="164">
        <v>1.7869725535414797E-4</v>
      </c>
      <c r="Y283" s="164">
        <v>2.6447470892304818E-2</v>
      </c>
      <c r="Z283" s="164">
        <v>3.9916854454536799E-2</v>
      </c>
      <c r="AA283" s="164">
        <v>1.2546964484978669E-3</v>
      </c>
      <c r="AB283" s="164">
        <v>3.3398562051778328E-4</v>
      </c>
    </row>
    <row r="284" spans="1:28" x14ac:dyDescent="0.25">
      <c r="A284" s="165"/>
      <c r="B284" s="164" t="s">
        <v>390</v>
      </c>
      <c r="C284" s="164">
        <v>1.0347449498978036E-3</v>
      </c>
      <c r="D284" s="164">
        <v>-9.7956440009122124E-5</v>
      </c>
      <c r="E284" s="164">
        <v>6.8982996659853576E-5</v>
      </c>
      <c r="F284" s="164">
        <v>-6.8982996659853564E-6</v>
      </c>
      <c r="G284" s="164">
        <v>1.0654632223259673E-3</v>
      </c>
      <c r="H284" s="164">
        <v>4.305425874053325E-4</v>
      </c>
      <c r="I284" s="164">
        <v>8.6011184229469056E-5</v>
      </c>
      <c r="J284" s="164">
        <v>2.1331638109345504E-3</v>
      </c>
      <c r="K284" s="164">
        <v>1.112406261005624E-2</v>
      </c>
      <c r="L284" s="164">
        <v>0</v>
      </c>
      <c r="M284" s="164">
        <v>2.3842549920408719E-3</v>
      </c>
      <c r="N284" s="164">
        <v>1.8222371613874983E-2</v>
      </c>
      <c r="P284" s="202">
        <v>2034</v>
      </c>
      <c r="Q284" s="164" t="s">
        <v>385</v>
      </c>
      <c r="R284" s="164">
        <v>1.0347449498978036E-3</v>
      </c>
      <c r="S284" s="164">
        <v>-9.7956440009122124E-5</v>
      </c>
      <c r="T284" s="164">
        <v>3.4491498329926784E-4</v>
      </c>
      <c r="U284" s="164">
        <v>-3.4491498329926788E-5</v>
      </c>
      <c r="V284" s="164">
        <v>1.0654632223259673E-3</v>
      </c>
      <c r="W284" s="164">
        <v>4.305425874053325E-4</v>
      </c>
      <c r="X284" s="164">
        <v>1.7869725535414797E-4</v>
      </c>
      <c r="Y284" s="164">
        <v>4.076109192868568E-3</v>
      </c>
      <c r="Z284" s="164">
        <v>1.2367126663309516E-2</v>
      </c>
      <c r="AA284" s="164">
        <v>0</v>
      </c>
      <c r="AB284" s="164">
        <v>2.2625795316212503E-3</v>
      </c>
    </row>
    <row r="285" spans="1:28" x14ac:dyDescent="0.25">
      <c r="A285" s="165"/>
      <c r="B285" s="164" t="s">
        <v>351</v>
      </c>
      <c r="C285" s="164">
        <v>1.8209695944675583E-3</v>
      </c>
      <c r="D285" s="164">
        <v>-1.5096790045692366E-4</v>
      </c>
      <c r="E285" s="164">
        <v>7.6311881817276459E-4</v>
      </c>
      <c r="F285" s="164">
        <v>-3.8155940908638231E-5</v>
      </c>
      <c r="G285" s="164">
        <v>1.6256502601040416E-3</v>
      </c>
      <c r="H285" s="164">
        <v>2.7152291126929309E-3</v>
      </c>
      <c r="I285" s="164">
        <v>1.7507002801120447E-3</v>
      </c>
      <c r="J285" s="164">
        <v>1.0198714273651432E-3</v>
      </c>
      <c r="K285" s="164">
        <v>1.040846408698637E-2</v>
      </c>
      <c r="L285" s="164">
        <v>2.7537427266196256E-4</v>
      </c>
      <c r="M285" s="164">
        <v>2.5085470005838896E-5</v>
      </c>
      <c r="N285" s="164">
        <v>2.0215339481203094E-2</v>
      </c>
      <c r="P285" s="202"/>
      <c r="Q285" s="164" t="s">
        <v>341</v>
      </c>
      <c r="R285" s="164">
        <v>1.9812010201050753E-3</v>
      </c>
      <c r="S285" s="164">
        <v>-1.0568171698204363E-4</v>
      </c>
      <c r="T285" s="164">
        <v>3.4491498329926784E-4</v>
      </c>
      <c r="U285" s="164">
        <v>-3.4491498329926788E-5</v>
      </c>
      <c r="V285" s="164">
        <v>1.0654632223259673E-3</v>
      </c>
      <c r="W285" s="164">
        <v>2.9878618113912231E-4</v>
      </c>
      <c r="X285" s="164">
        <v>1.7869725535414797E-4</v>
      </c>
      <c r="Y285" s="164">
        <v>1.1074472868176938E-2</v>
      </c>
      <c r="Z285" s="164">
        <v>2.0026772808245816E-2</v>
      </c>
      <c r="AA285" s="164">
        <v>1.2947163246812589E-3</v>
      </c>
      <c r="AB285" s="164">
        <v>2.3557101727914492E-4</v>
      </c>
    </row>
    <row r="286" spans="1:28" x14ac:dyDescent="0.25">
      <c r="A286" s="165"/>
      <c r="B286" s="164" t="s">
        <v>385</v>
      </c>
      <c r="C286" s="164">
        <v>1.0347449498978036E-3</v>
      </c>
      <c r="D286" s="164">
        <v>-9.7956440009122124E-5</v>
      </c>
      <c r="E286" s="164">
        <v>3.4491498329926784E-4</v>
      </c>
      <c r="F286" s="164">
        <v>-3.4491498329926788E-5</v>
      </c>
      <c r="G286" s="164">
        <v>1.0654632223259673E-3</v>
      </c>
      <c r="H286" s="164">
        <v>4.305425874053325E-4</v>
      </c>
      <c r="I286" s="164">
        <v>1.7869725535414797E-4</v>
      </c>
      <c r="J286" s="164">
        <v>4.076109192868568E-3</v>
      </c>
      <c r="K286" s="164">
        <v>1.2367126663309516E-2</v>
      </c>
      <c r="L286" s="164">
        <v>0</v>
      </c>
      <c r="M286" s="164">
        <v>2.2625795316212503E-3</v>
      </c>
      <c r="N286" s="164">
        <v>2.1627730447742806E-2</v>
      </c>
      <c r="P286" s="202"/>
      <c r="Q286" s="164" t="s">
        <v>340</v>
      </c>
      <c r="R286" s="164">
        <v>1.9922371300663917E-3</v>
      </c>
      <c r="S286" s="164">
        <v>-1.067853279781753E-4</v>
      </c>
      <c r="T286" s="164">
        <v>3.4491498329926784E-4</v>
      </c>
      <c r="U286" s="164">
        <v>-3.4491498329926788E-5</v>
      </c>
      <c r="V286" s="164">
        <v>1.0654632223259673E-3</v>
      </c>
      <c r="W286" s="164">
        <v>2.9878618113912231E-4</v>
      </c>
      <c r="X286" s="164">
        <v>1.7869725535414797E-4</v>
      </c>
      <c r="Y286" s="164">
        <v>1.2176327875562188E-2</v>
      </c>
      <c r="Z286" s="164">
        <v>2.1494645782664312E-2</v>
      </c>
      <c r="AA286" s="164">
        <v>1.7590940957229288E-3</v>
      </c>
      <c r="AB286" s="164">
        <v>2.3112628110406671E-4</v>
      </c>
    </row>
    <row r="287" spans="1:28" x14ac:dyDescent="0.25">
      <c r="A287" s="165"/>
      <c r="B287" s="164" t="s">
        <v>362</v>
      </c>
      <c r="C287" s="164">
        <v>1.0902430594344164E-3</v>
      </c>
      <c r="D287" s="164">
        <v>-1.6353645891516245E-4</v>
      </c>
      <c r="E287" s="164">
        <v>7.6311881817276459E-4</v>
      </c>
      <c r="F287" s="164">
        <v>-3.8155940908638231E-5</v>
      </c>
      <c r="G287" s="164">
        <v>3.6264505802320927E-3</v>
      </c>
      <c r="H287" s="164">
        <v>1.6256502601040416E-3</v>
      </c>
      <c r="I287" s="164">
        <v>4.0016006402561026E-3</v>
      </c>
      <c r="J287" s="164">
        <v>9.5987899046131133E-4</v>
      </c>
      <c r="K287" s="164">
        <v>1.0192553657402922E-2</v>
      </c>
      <c r="L287" s="164">
        <v>0</v>
      </c>
      <c r="M287" s="164">
        <v>2.360985412314249E-5</v>
      </c>
      <c r="N287" s="164">
        <v>2.2081413460362992E-2</v>
      </c>
      <c r="P287" s="202"/>
      <c r="Q287" s="164" t="s">
        <v>342</v>
      </c>
      <c r="R287" s="164">
        <v>1.3120601049831952E-3</v>
      </c>
      <c r="S287" s="164">
        <v>-7.1121060229817985E-5</v>
      </c>
      <c r="T287" s="164">
        <v>3.4491498329926784E-4</v>
      </c>
      <c r="U287" s="164">
        <v>-3.4491498329926788E-5</v>
      </c>
      <c r="V287" s="164">
        <v>1.0654632223259673E-3</v>
      </c>
      <c r="W287" s="164">
        <v>4.305425874053325E-4</v>
      </c>
      <c r="X287" s="164">
        <v>1.7869725535414797E-4</v>
      </c>
      <c r="Y287" s="164">
        <v>2.4202354741507264E-2</v>
      </c>
      <c r="Z287" s="164">
        <v>3.6846422938026986E-2</v>
      </c>
      <c r="AA287" s="164">
        <v>1.1581843467362296E-3</v>
      </c>
      <c r="AB287" s="164">
        <v>2.9902098869419172E-4</v>
      </c>
    </row>
    <row r="288" spans="1:28" x14ac:dyDescent="0.25">
      <c r="A288" s="165"/>
      <c r="B288" s="164" t="s">
        <v>358</v>
      </c>
      <c r="C288" s="164">
        <v>1.0902430594344164E-3</v>
      </c>
      <c r="D288" s="164">
        <v>-1.6353645891516245E-4</v>
      </c>
      <c r="E288" s="164">
        <v>5.087458787818432E-4</v>
      </c>
      <c r="F288" s="164">
        <v>-2.5437293939092156E-5</v>
      </c>
      <c r="G288" s="164">
        <v>1.525610244097639E-3</v>
      </c>
      <c r="H288" s="164">
        <v>1.6256502601040416E-3</v>
      </c>
      <c r="I288" s="164">
        <v>1.6256502601040416E-3</v>
      </c>
      <c r="J288" s="164">
        <v>9.5987899046131133E-4</v>
      </c>
      <c r="K288" s="164">
        <v>1.5345239937027022E-2</v>
      </c>
      <c r="L288" s="164">
        <v>0</v>
      </c>
      <c r="M288" s="164">
        <v>2.360985412314249E-5</v>
      </c>
      <c r="N288" s="164">
        <v>2.25156547312792E-2</v>
      </c>
      <c r="P288" s="202">
        <v>2050</v>
      </c>
      <c r="Q288" s="164" t="s">
        <v>340</v>
      </c>
      <c r="R288" s="164">
        <v>1.3569040676564852E-3</v>
      </c>
      <c r="S288" s="164">
        <v>-1.3401388779574273E-4</v>
      </c>
      <c r="T288" s="164">
        <v>3.4491498329926784E-4</v>
      </c>
      <c r="U288" s="164">
        <v>-3.4491498329926788E-5</v>
      </c>
      <c r="V288" s="164">
        <v>1.0654632223259673E-3</v>
      </c>
      <c r="W288" s="164">
        <v>2.9878618113912231E-4</v>
      </c>
      <c r="X288" s="164">
        <v>1.7869725535414797E-4</v>
      </c>
      <c r="Y288" s="164">
        <v>5.4701451293849941E-3</v>
      </c>
      <c r="Z288" s="164">
        <v>1.1425955277411116E-2</v>
      </c>
      <c r="AA288" s="164">
        <v>7.528298969710686E-4</v>
      </c>
      <c r="AB288" s="164">
        <v>4.1918473001819709E-6</v>
      </c>
    </row>
    <row r="289" spans="1:28" x14ac:dyDescent="0.25">
      <c r="A289" s="165"/>
      <c r="B289" s="164" t="s">
        <v>386</v>
      </c>
      <c r="C289" s="164">
        <v>1.0347449498978036E-3</v>
      </c>
      <c r="D289" s="164">
        <v>-9.7956440009122124E-5</v>
      </c>
      <c r="E289" s="164">
        <v>6.8982996659853576E-5</v>
      </c>
      <c r="F289" s="164">
        <v>-6.8982996659853564E-6</v>
      </c>
      <c r="G289" s="164">
        <v>1.0654632223259673E-3</v>
      </c>
      <c r="H289" s="164">
        <v>4.305425874053325E-4</v>
      </c>
      <c r="I289" s="164">
        <v>8.6011184229469056E-5</v>
      </c>
      <c r="J289" s="164">
        <v>4.076109192868568E-3</v>
      </c>
      <c r="K289" s="164">
        <v>1.3972715564219782E-2</v>
      </c>
      <c r="L289" s="164">
        <v>0</v>
      </c>
      <c r="M289" s="164">
        <v>2.2625795316212503E-3</v>
      </c>
      <c r="N289" s="164">
        <v>2.289229448955292E-2</v>
      </c>
      <c r="P289" s="202"/>
      <c r="Q289" s="164" t="s">
        <v>341</v>
      </c>
      <c r="R289" s="164">
        <v>1.2551060916366106E-3</v>
      </c>
      <c r="S289" s="164">
        <v>-1.2383409019375524E-4</v>
      </c>
      <c r="T289" s="164">
        <v>3.4491498329926784E-4</v>
      </c>
      <c r="U289" s="164">
        <v>-3.4491498329926788E-5</v>
      </c>
      <c r="V289" s="164">
        <v>1.0654632223259673E-3</v>
      </c>
      <c r="W289" s="164">
        <v>2.9878618113912231E-4</v>
      </c>
      <c r="X289" s="164">
        <v>1.7869725535414797E-4</v>
      </c>
      <c r="Y289" s="164">
        <v>5.6283132239921011E-3</v>
      </c>
      <c r="Z289" s="164">
        <v>1.151427946653498E-2</v>
      </c>
      <c r="AA289" s="164">
        <v>6.5542829345874992E-4</v>
      </c>
      <c r="AB289" s="164">
        <v>4.2724597482624145E-6</v>
      </c>
    </row>
    <row r="290" spans="1:28" x14ac:dyDescent="0.25">
      <c r="A290" s="165"/>
      <c r="B290" s="164" t="s">
        <v>352</v>
      </c>
      <c r="C290" s="164">
        <v>1.6052596798267933E-3</v>
      </c>
      <c r="D290" s="164">
        <v>-1.1861141326080898E-4</v>
      </c>
      <c r="E290" s="164">
        <v>7.6311881817276459E-4</v>
      </c>
      <c r="F290" s="164">
        <v>-3.8155940908638231E-5</v>
      </c>
      <c r="G290" s="164">
        <v>1.6256502601040416E-3</v>
      </c>
      <c r="H290" s="164">
        <v>2.5777082888133671E-3</v>
      </c>
      <c r="I290" s="164">
        <v>1.7507002801120447E-3</v>
      </c>
      <c r="J290" s="164">
        <v>2.7294594720870869E-3</v>
      </c>
      <c r="K290" s="164">
        <v>1.1947289068638487E-2</v>
      </c>
      <c r="L290" s="164">
        <v>2.0051394241071656E-4</v>
      </c>
      <c r="M290" s="164">
        <v>5.6825505825447255E-5</v>
      </c>
      <c r="N290" s="164">
        <v>2.3099757961821302E-2</v>
      </c>
      <c r="P290" s="202"/>
      <c r="Q290" s="164" t="s">
        <v>342</v>
      </c>
      <c r="R290" s="164">
        <v>1.0397745068075209E-3</v>
      </c>
      <c r="S290" s="164">
        <v>-1.0288771335031333E-4</v>
      </c>
      <c r="T290" s="164">
        <v>3.4491498329926784E-4</v>
      </c>
      <c r="U290" s="164">
        <v>-3.4491498329926788E-5</v>
      </c>
      <c r="V290" s="164">
        <v>1.0654632223259673E-3</v>
      </c>
      <c r="W290" s="164">
        <v>4.305425874053325E-4</v>
      </c>
      <c r="X290" s="164">
        <v>1.7869725535414797E-4</v>
      </c>
      <c r="Y290" s="164">
        <v>6.5837900060073855E-3</v>
      </c>
      <c r="Z290" s="164">
        <v>1.2699347573956049E-2</v>
      </c>
      <c r="AA290" s="164">
        <v>3.9917539888897034E-4</v>
      </c>
      <c r="AB290" s="164">
        <v>5.4232271560286516E-6</v>
      </c>
    </row>
    <row r="291" spans="1:28" x14ac:dyDescent="0.25">
      <c r="A291" s="165"/>
      <c r="B291" s="164" t="s">
        <v>349</v>
      </c>
      <c r="C291" s="164">
        <v>7.6317014160409149E-4</v>
      </c>
      <c r="D291" s="164">
        <v>-8.0920645629828101E-5</v>
      </c>
      <c r="E291" s="164">
        <v>7.6311881817276459E-4</v>
      </c>
      <c r="F291" s="164">
        <v>-3.8155940908638231E-5</v>
      </c>
      <c r="G291" s="164">
        <v>1.6256502601040416E-3</v>
      </c>
      <c r="H291" s="164">
        <v>2.6260504201680674E-3</v>
      </c>
      <c r="I291" s="164">
        <v>1.7507002801120447E-3</v>
      </c>
      <c r="J291" s="164">
        <v>2.7715714285714288E-3</v>
      </c>
      <c r="K291" s="164">
        <v>1.2126242008956489E-2</v>
      </c>
      <c r="L291" s="164">
        <v>0</v>
      </c>
      <c r="M291" s="164">
        <v>9.3595751810243634E-4</v>
      </c>
      <c r="N291" s="164">
        <v>2.3243384289252898E-2</v>
      </c>
      <c r="P291" s="202"/>
      <c r="Q291" s="164" t="s">
        <v>385</v>
      </c>
      <c r="R291" s="164">
        <v>1.0347449498978036E-3</v>
      </c>
      <c r="S291" s="164">
        <v>-5.2575506979843073E-5</v>
      </c>
      <c r="T291" s="164">
        <v>3.4491498329926784E-4</v>
      </c>
      <c r="U291" s="164">
        <v>-3.4491498329926788E-5</v>
      </c>
      <c r="V291" s="164">
        <v>1.0654632223259673E-3</v>
      </c>
      <c r="W291" s="164">
        <v>4.305425874053325E-4</v>
      </c>
      <c r="X291" s="164">
        <v>1.7869725535414797E-4</v>
      </c>
      <c r="Y291" s="164">
        <v>3.8143587647444083E-3</v>
      </c>
      <c r="Z291" s="164">
        <v>1.6846680868769288E-2</v>
      </c>
      <c r="AA291" s="164">
        <v>0</v>
      </c>
      <c r="AB291" s="164">
        <v>5.8582618483787648E-3</v>
      </c>
    </row>
    <row r="292" spans="1:28" x14ac:dyDescent="0.25">
      <c r="A292" s="165"/>
      <c r="B292" s="164" t="s">
        <v>366</v>
      </c>
      <c r="C292" s="164">
        <v>8.7219444754753307E-4</v>
      </c>
      <c r="D292" s="164">
        <v>-1.3082916713212997E-4</v>
      </c>
      <c r="E292" s="164">
        <v>5.0874587878184309E-4</v>
      </c>
      <c r="F292" s="164">
        <v>-2.5437293939092159E-5</v>
      </c>
      <c r="G292" s="164">
        <v>1.3005202080832333E-3</v>
      </c>
      <c r="H292" s="164">
        <v>1.3005202080832333E-3</v>
      </c>
      <c r="I292" s="164">
        <v>1.4005602240896359E-3</v>
      </c>
      <c r="J292" s="164">
        <v>7.6790319236904909E-4</v>
      </c>
      <c r="K292" s="164">
        <v>1.7623326116330634E-2</v>
      </c>
      <c r="L292" s="164">
        <v>0</v>
      </c>
      <c r="M292" s="164">
        <v>1.8887883298513993E-5</v>
      </c>
      <c r="N292" s="164">
        <v>2.3636391697512454E-2</v>
      </c>
    </row>
    <row r="293" spans="1:28" x14ac:dyDescent="0.25">
      <c r="A293" s="165"/>
      <c r="B293" s="164" t="s">
        <v>354</v>
      </c>
      <c r="C293" s="164">
        <v>1.0902430594344164E-3</v>
      </c>
      <c r="D293" s="164">
        <v>-1.6353645891516245E-4</v>
      </c>
      <c r="E293" s="164">
        <v>1.0174917575636864E-3</v>
      </c>
      <c r="F293" s="164">
        <v>-5.0874587878184312E-5</v>
      </c>
      <c r="G293" s="164">
        <v>1.5506202480992397E-3</v>
      </c>
      <c r="H293" s="164">
        <v>1.6256502601040416E-3</v>
      </c>
      <c r="I293" s="164">
        <v>1.6256502601040416E-3</v>
      </c>
      <c r="J293" s="164">
        <v>9.5987899046131133E-4</v>
      </c>
      <c r="K293" s="164">
        <v>1.6533525437562417E-2</v>
      </c>
      <c r="L293" s="164">
        <v>0</v>
      </c>
      <c r="M293" s="164">
        <v>2.360985412314249E-5</v>
      </c>
      <c r="N293" s="164">
        <v>2.4212258820658947E-2</v>
      </c>
    </row>
    <row r="294" spans="1:28" x14ac:dyDescent="0.25">
      <c r="A294" s="165"/>
      <c r="B294" s="164" t="s">
        <v>363</v>
      </c>
      <c r="C294" s="164">
        <v>1.8209695944675583E-3</v>
      </c>
      <c r="D294" s="164">
        <v>-1.5096790045692366E-4</v>
      </c>
      <c r="E294" s="164">
        <v>7.6311881817276459E-4</v>
      </c>
      <c r="F294" s="164">
        <v>-3.8155940908638231E-5</v>
      </c>
      <c r="G294" s="164">
        <v>3.6264505802320927E-3</v>
      </c>
      <c r="H294" s="164">
        <v>2.7152291126929309E-3</v>
      </c>
      <c r="I294" s="164">
        <v>4.0016006402561026E-3</v>
      </c>
      <c r="J294" s="164">
        <v>1.0198714273651432E-3</v>
      </c>
      <c r="K294" s="164">
        <v>1.1806252397178342E-2</v>
      </c>
      <c r="L294" s="164">
        <v>3.9723436527569315E-4</v>
      </c>
      <c r="M294" s="164">
        <v>2.5085470005838896E-5</v>
      </c>
      <c r="N294" s="164">
        <v>2.5986688564280904E-2</v>
      </c>
    </row>
    <row r="295" spans="1:28" x14ac:dyDescent="0.25">
      <c r="A295" s="165"/>
      <c r="B295" s="164" t="s">
        <v>364</v>
      </c>
      <c r="C295" s="164">
        <v>1.6052596798267933E-3</v>
      </c>
      <c r="D295" s="164">
        <v>-1.1861141326080898E-4</v>
      </c>
      <c r="E295" s="164">
        <v>7.6311881817276459E-4</v>
      </c>
      <c r="F295" s="164">
        <v>-3.8155940908638231E-5</v>
      </c>
      <c r="G295" s="164">
        <v>3.6264505802320927E-3</v>
      </c>
      <c r="H295" s="164">
        <v>2.5777082888133671E-3</v>
      </c>
      <c r="I295" s="164">
        <v>4.0016006402561026E-3</v>
      </c>
      <c r="J295" s="164">
        <v>2.7294594720870869E-3</v>
      </c>
      <c r="K295" s="164">
        <v>1.3016268622067189E-2</v>
      </c>
      <c r="L295" s="164">
        <v>2.7781759114293633E-4</v>
      </c>
      <c r="M295" s="164">
        <v>5.6825505825447255E-5</v>
      </c>
      <c r="N295" s="164">
        <v>2.849774184425433E-2</v>
      </c>
    </row>
    <row r="296" spans="1:28" x14ac:dyDescent="0.25">
      <c r="A296" s="165"/>
      <c r="B296" s="164" t="s">
        <v>361</v>
      </c>
      <c r="C296" s="164">
        <v>7.6317014160409149E-4</v>
      </c>
      <c r="D296" s="164">
        <v>-8.0920645629828101E-5</v>
      </c>
      <c r="E296" s="164">
        <v>7.6311881817276459E-4</v>
      </c>
      <c r="F296" s="164">
        <v>-3.8155940908638231E-5</v>
      </c>
      <c r="G296" s="164">
        <v>3.6264505802320927E-3</v>
      </c>
      <c r="H296" s="164">
        <v>2.6260504201680674E-3</v>
      </c>
      <c r="I296" s="164">
        <v>4.0016006402561026E-3</v>
      </c>
      <c r="J296" s="164">
        <v>2.7715714285714288E-3</v>
      </c>
      <c r="K296" s="164">
        <v>1.3156983754624931E-2</v>
      </c>
      <c r="L296" s="164">
        <v>0</v>
      </c>
      <c r="M296" s="164">
        <v>9.3595751810243634E-4</v>
      </c>
      <c r="N296" s="164">
        <v>2.852582671519345E-2</v>
      </c>
    </row>
    <row r="297" spans="1:28" x14ac:dyDescent="0.25">
      <c r="A297" s="165"/>
      <c r="B297" s="164" t="s">
        <v>359</v>
      </c>
      <c r="C297" s="164">
        <v>1.8209695944675583E-3</v>
      </c>
      <c r="D297" s="164">
        <v>-1.5096790045692366E-4</v>
      </c>
      <c r="E297" s="164">
        <v>5.087458787818432E-4</v>
      </c>
      <c r="F297" s="164">
        <v>-2.5437293939092156E-5</v>
      </c>
      <c r="G297" s="164">
        <v>1.525610244097639E-3</v>
      </c>
      <c r="H297" s="164">
        <v>2.7152291126929309E-3</v>
      </c>
      <c r="I297" s="164">
        <v>1.6256502601040416E-3</v>
      </c>
      <c r="J297" s="164">
        <v>1.0198714273651432E-3</v>
      </c>
      <c r="K297" s="164">
        <v>1.9370716684618969E-2</v>
      </c>
      <c r="L297" s="164">
        <v>2.6126761215228105E-4</v>
      </c>
      <c r="M297" s="164">
        <v>2.5085470005838896E-5</v>
      </c>
      <c r="N297" s="164">
        <v>2.8696741089890229E-2</v>
      </c>
    </row>
    <row r="298" spans="1:28" x14ac:dyDescent="0.25">
      <c r="A298" s="165"/>
      <c r="B298" s="164" t="s">
        <v>367</v>
      </c>
      <c r="C298" s="164">
        <v>1.4567756755740466E-3</v>
      </c>
      <c r="D298" s="164">
        <v>-1.2077432036553891E-4</v>
      </c>
      <c r="E298" s="164">
        <v>5.0874587878184309E-4</v>
      </c>
      <c r="F298" s="164">
        <v>-2.5437293939092159E-5</v>
      </c>
      <c r="G298" s="164">
        <v>1.3005202080832333E-3</v>
      </c>
      <c r="H298" s="164">
        <v>2.1721832901543448E-3</v>
      </c>
      <c r="I298" s="164">
        <v>1.4005602240896359E-3</v>
      </c>
      <c r="J298" s="164">
        <v>8.1589714189211459E-4</v>
      </c>
      <c r="K298" s="164">
        <v>2.2027671263695939E-2</v>
      </c>
      <c r="L298" s="164">
        <v>1.7279931915194311E-4</v>
      </c>
      <c r="M298" s="164">
        <v>2.0068376004671116E-5</v>
      </c>
      <c r="N298" s="164">
        <v>2.9729009763123138E-2</v>
      </c>
    </row>
    <row r="299" spans="1:28" x14ac:dyDescent="0.25">
      <c r="A299" s="165"/>
      <c r="B299" s="164" t="s">
        <v>347</v>
      </c>
      <c r="C299" s="164">
        <v>1.9812010201050753E-3</v>
      </c>
      <c r="D299" s="164">
        <v>-1.0568171698204363E-4</v>
      </c>
      <c r="E299" s="164">
        <v>6.8982996659853576E-5</v>
      </c>
      <c r="F299" s="164">
        <v>-6.8982996659853564E-6</v>
      </c>
      <c r="G299" s="164">
        <v>1.0654632223259673E-3</v>
      </c>
      <c r="H299" s="164">
        <v>2.9878618113912231E-4</v>
      </c>
      <c r="I299" s="164">
        <v>8.6011184229469056E-5</v>
      </c>
      <c r="J299" s="164">
        <v>1.1074472868176938E-2</v>
      </c>
      <c r="K299" s="164">
        <v>1.4134775461909336E-2</v>
      </c>
      <c r="L299" s="164">
        <v>1.2607618619646342E-3</v>
      </c>
      <c r="M299" s="164">
        <v>2.3557101727914492E-4</v>
      </c>
      <c r="N299" s="164">
        <v>3.0093445797141509E-2</v>
      </c>
    </row>
    <row r="300" spans="1:28" x14ac:dyDescent="0.25">
      <c r="A300" s="165"/>
      <c r="B300" s="164" t="s">
        <v>338</v>
      </c>
      <c r="C300" s="164">
        <v>1.9812010201050753E-3</v>
      </c>
      <c r="D300" s="164">
        <v>-1.0568171698204363E-4</v>
      </c>
      <c r="E300" s="164">
        <v>6.8982996659853576E-5</v>
      </c>
      <c r="F300" s="164">
        <v>-6.8982996659853564E-6</v>
      </c>
      <c r="G300" s="164">
        <v>1.0654632223259673E-3</v>
      </c>
      <c r="H300" s="164">
        <v>2.9878618113912231E-4</v>
      </c>
      <c r="I300" s="164">
        <v>8.9502842587904882E-5</v>
      </c>
      <c r="J300" s="164">
        <v>1.1074472868176938E-2</v>
      </c>
      <c r="K300" s="164">
        <v>1.413813019248901E-2</v>
      </c>
      <c r="L300" s="164">
        <v>1.2610610896660879E-3</v>
      </c>
      <c r="M300" s="164">
        <v>2.3557101727914492E-4</v>
      </c>
      <c r="N300" s="164">
        <v>3.0100591413781075E-2</v>
      </c>
    </row>
    <row r="301" spans="1:28" x14ac:dyDescent="0.25">
      <c r="A301" s="165"/>
      <c r="B301" s="164" t="s">
        <v>355</v>
      </c>
      <c r="C301" s="164">
        <v>1.8209695944675583E-3</v>
      </c>
      <c r="D301" s="164">
        <v>-1.5096790045692366E-4</v>
      </c>
      <c r="E301" s="164">
        <v>1.0174917575636864E-3</v>
      </c>
      <c r="F301" s="164">
        <v>-5.0874587878184312E-5</v>
      </c>
      <c r="G301" s="164">
        <v>1.5506202480992397E-3</v>
      </c>
      <c r="H301" s="164">
        <v>2.7152291126929309E-3</v>
      </c>
      <c r="I301" s="164">
        <v>1.6256502601040416E-3</v>
      </c>
      <c r="J301" s="164">
        <v>1.0198714273651432E-3</v>
      </c>
      <c r="K301" s="164">
        <v>2.0559002185154357E-2</v>
      </c>
      <c r="L301" s="164">
        <v>2.7729492391027032E-4</v>
      </c>
      <c r="M301" s="164">
        <v>2.5085470005838896E-5</v>
      </c>
      <c r="N301" s="164">
        <v>3.0409372491027955E-2</v>
      </c>
      <c r="R301" s="164" t="s">
        <v>18</v>
      </c>
      <c r="S301" s="164" t="s">
        <v>28</v>
      </c>
      <c r="T301" s="164" t="s">
        <v>14</v>
      </c>
      <c r="U301" s="164" t="s">
        <v>25</v>
      </c>
      <c r="V301" s="164" t="s">
        <v>37</v>
      </c>
      <c r="W301" s="164" t="s">
        <v>52</v>
      </c>
      <c r="X301" s="164" t="s">
        <v>272</v>
      </c>
      <c r="Y301" s="164" t="s">
        <v>67</v>
      </c>
      <c r="Z301" s="164" t="s">
        <v>56</v>
      </c>
      <c r="AA301" s="164" t="s">
        <v>73</v>
      </c>
      <c r="AB301" s="164" t="s">
        <v>206</v>
      </c>
    </row>
    <row r="302" spans="1:28" x14ac:dyDescent="0.25">
      <c r="A302" s="165"/>
      <c r="B302" s="164" t="s">
        <v>346</v>
      </c>
      <c r="C302" s="164">
        <v>1.9922371300663917E-3</v>
      </c>
      <c r="D302" s="164">
        <v>-1.067853279781753E-4</v>
      </c>
      <c r="E302" s="164">
        <v>6.8982996659853576E-5</v>
      </c>
      <c r="F302" s="164">
        <v>-6.8982996659853564E-6</v>
      </c>
      <c r="G302" s="164">
        <v>1.0654632223259673E-3</v>
      </c>
      <c r="H302" s="164">
        <v>2.9878618113912231E-4</v>
      </c>
      <c r="I302" s="164">
        <v>8.6011184229469056E-5</v>
      </c>
      <c r="J302" s="164">
        <v>1.2176327875562188E-2</v>
      </c>
      <c r="K302" s="164">
        <v>1.5198693025411145E-2</v>
      </c>
      <c r="L302" s="164">
        <v>1.7161115644184627E-3</v>
      </c>
      <c r="M302" s="164">
        <v>2.3112628110406671E-4</v>
      </c>
      <c r="N302" s="164">
        <v>3.2720055833272504E-2</v>
      </c>
      <c r="P302" s="202">
        <v>2023</v>
      </c>
      <c r="Q302" s="164" t="s">
        <v>389</v>
      </c>
      <c r="R302" s="164">
        <v>1.0347449498978036E-3</v>
      </c>
      <c r="S302" s="164">
        <v>-1.0336086682377807E-4</v>
      </c>
      <c r="T302" s="164">
        <v>3.4491498329926784E-4</v>
      </c>
      <c r="U302" s="164">
        <v>-3.4491498329926788E-5</v>
      </c>
      <c r="V302" s="164">
        <v>1.0654632223259673E-3</v>
      </c>
      <c r="W302" s="164">
        <v>4.305425874053325E-4</v>
      </c>
      <c r="X302" s="164">
        <v>1.7869725535414797E-4</v>
      </c>
      <c r="Y302" s="164">
        <v>2.1494771182553069E-3</v>
      </c>
      <c r="Z302" s="164">
        <v>9.3691920665066718E-3</v>
      </c>
      <c r="AA302" s="164">
        <v>0</v>
      </c>
      <c r="AB302" s="164">
        <v>1.9330162494961441E-3</v>
      </c>
    </row>
    <row r="303" spans="1:28" x14ac:dyDescent="0.25">
      <c r="A303" s="165"/>
      <c r="B303" s="164" t="s">
        <v>337</v>
      </c>
      <c r="C303" s="164">
        <v>1.9922371300663917E-3</v>
      </c>
      <c r="D303" s="164">
        <v>-1.067853279781753E-4</v>
      </c>
      <c r="E303" s="164">
        <v>6.8982996659853576E-5</v>
      </c>
      <c r="F303" s="164">
        <v>-6.8982996659853564E-6</v>
      </c>
      <c r="G303" s="164">
        <v>1.0654632223259673E-3</v>
      </c>
      <c r="H303" s="164">
        <v>2.9878618113912231E-4</v>
      </c>
      <c r="I303" s="164">
        <v>8.9502842587904882E-5</v>
      </c>
      <c r="J303" s="164">
        <v>1.2176327875562188E-2</v>
      </c>
      <c r="K303" s="164">
        <v>1.5202047755990818E-2</v>
      </c>
      <c r="L303" s="164">
        <v>1.7164903530375655E-3</v>
      </c>
      <c r="M303" s="164">
        <v>2.3112628110406671E-4</v>
      </c>
      <c r="N303" s="164">
        <v>3.2727281010829723E-2</v>
      </c>
      <c r="P303" s="202"/>
      <c r="Q303" s="164" t="s">
        <v>385</v>
      </c>
      <c r="R303" s="164">
        <v>1.0347449498978036E-3</v>
      </c>
      <c r="S303" s="164">
        <v>-1.0336086682377807E-4</v>
      </c>
      <c r="T303" s="164">
        <v>3.4491498329926784E-4</v>
      </c>
      <c r="U303" s="164">
        <v>-3.4491498329926788E-5</v>
      </c>
      <c r="V303" s="164">
        <v>1.0654632223259673E-3</v>
      </c>
      <c r="W303" s="164">
        <v>4.305425874053325E-4</v>
      </c>
      <c r="X303" s="164">
        <v>1.7869725535414797E-4</v>
      </c>
      <c r="Y303" s="164">
        <v>4.1072811176853007E-3</v>
      </c>
      <c r="Z303" s="164">
        <v>1.1833655417796072E-2</v>
      </c>
      <c r="AA303" s="164">
        <v>0</v>
      </c>
      <c r="AB303" s="164">
        <v>1.8343688133195604E-3</v>
      </c>
    </row>
    <row r="304" spans="1:28" x14ac:dyDescent="0.25">
      <c r="A304" s="165"/>
      <c r="B304" s="164" t="s">
        <v>360</v>
      </c>
      <c r="C304" s="164">
        <v>1.6052596798267933E-3</v>
      </c>
      <c r="D304" s="164">
        <v>-1.1861141326080898E-4</v>
      </c>
      <c r="E304" s="164">
        <v>5.087458787818432E-4</v>
      </c>
      <c r="F304" s="164">
        <v>-2.5437293939092156E-5</v>
      </c>
      <c r="G304" s="164">
        <v>1.525610244097639E-3</v>
      </c>
      <c r="H304" s="164">
        <v>2.5777082888133671E-3</v>
      </c>
      <c r="I304" s="164">
        <v>1.6256502601040416E-3</v>
      </c>
      <c r="J304" s="164">
        <v>2.7294594720870869E-3</v>
      </c>
      <c r="K304" s="164">
        <v>2.2389181071705816E-2</v>
      </c>
      <c r="L304" s="164">
        <v>1.9156518564026476E-4</v>
      </c>
      <c r="M304" s="164">
        <v>5.6825505825447255E-5</v>
      </c>
      <c r="N304" s="164">
        <v>3.3065956879682397E-2</v>
      </c>
      <c r="P304" s="202"/>
      <c r="Q304" s="164" t="s">
        <v>357</v>
      </c>
      <c r="R304" s="164">
        <v>7.6317014160409149E-4</v>
      </c>
      <c r="S304" s="164">
        <v>-1.1346797345547289E-4</v>
      </c>
      <c r="T304" s="164">
        <v>5.087458787818432E-4</v>
      </c>
      <c r="U304" s="164">
        <v>-2.5437293939092156E-5</v>
      </c>
      <c r="V304" s="164">
        <v>1.525610244097639E-3</v>
      </c>
      <c r="W304" s="164">
        <v>2.6260504201680674E-3</v>
      </c>
      <c r="X304" s="164">
        <v>1.6256502601040416E-3</v>
      </c>
      <c r="Y304" s="164">
        <v>2.7715714285714288E-3</v>
      </c>
      <c r="Z304" s="164">
        <v>2.2260979810807893E-2</v>
      </c>
      <c r="AA304" s="164">
        <v>0</v>
      </c>
      <c r="AB304" s="164">
        <v>7.4298751127533757E-4</v>
      </c>
    </row>
    <row r="305" spans="1:28" x14ac:dyDescent="0.25">
      <c r="A305" s="165"/>
      <c r="B305" s="164" t="s">
        <v>357</v>
      </c>
      <c r="C305" s="164">
        <v>7.6317014160409149E-4</v>
      </c>
      <c r="D305" s="164">
        <v>-8.0920645629828101E-5</v>
      </c>
      <c r="E305" s="164">
        <v>5.087458787818432E-4</v>
      </c>
      <c r="F305" s="164">
        <v>-2.5437293939092156E-5</v>
      </c>
      <c r="G305" s="164">
        <v>1.525610244097639E-3</v>
      </c>
      <c r="H305" s="164">
        <v>2.6260504201680674E-3</v>
      </c>
      <c r="I305" s="164">
        <v>1.6256502601040416E-3</v>
      </c>
      <c r="J305" s="164">
        <v>2.7715714285714288E-3</v>
      </c>
      <c r="K305" s="164">
        <v>2.2740204146944967E-2</v>
      </c>
      <c r="L305" s="164">
        <v>0</v>
      </c>
      <c r="M305" s="164">
        <v>9.3595751810243634E-4</v>
      </c>
      <c r="N305" s="164">
        <v>3.3390602098805594E-2</v>
      </c>
      <c r="P305" s="202"/>
      <c r="Q305" s="164" t="s">
        <v>375</v>
      </c>
      <c r="R305" s="164">
        <v>6.4495368251871292E-3</v>
      </c>
      <c r="S305" s="164">
        <v>-1.6030702191455165E-3</v>
      </c>
      <c r="T305" s="164">
        <v>1.552776665375814E-3</v>
      </c>
      <c r="U305" s="164">
        <v>-3.8819416634395349E-4</v>
      </c>
      <c r="V305" s="164">
        <v>2.6666666666666665E-2</v>
      </c>
      <c r="W305" s="164">
        <v>7.619047619047619E-3</v>
      </c>
      <c r="X305" s="164">
        <v>4.4000000000000003E-3</v>
      </c>
      <c r="Y305" s="164">
        <v>1.1573595723149675E-2</v>
      </c>
      <c r="Z305" s="164">
        <v>7.061358407215175E-2</v>
      </c>
      <c r="AA305" s="164">
        <v>0</v>
      </c>
      <c r="AB305" s="164">
        <v>3.1055649111335639E-3</v>
      </c>
    </row>
    <row r="306" spans="1:28" x14ac:dyDescent="0.25">
      <c r="A306" s="165"/>
      <c r="B306" s="164" t="s">
        <v>368</v>
      </c>
      <c r="C306" s="164">
        <v>1.2842077438614348E-3</v>
      </c>
      <c r="D306" s="164">
        <v>-9.4889130608647181E-5</v>
      </c>
      <c r="E306" s="164">
        <v>5.0874587878184309E-4</v>
      </c>
      <c r="F306" s="164">
        <v>-2.5437293939092159E-5</v>
      </c>
      <c r="G306" s="164">
        <v>1.3005202080832333E-3</v>
      </c>
      <c r="H306" s="164">
        <v>2.0621666310506933E-3</v>
      </c>
      <c r="I306" s="164">
        <v>1.4005602240896359E-3</v>
      </c>
      <c r="J306" s="164">
        <v>2.1835675776696695E-3</v>
      </c>
      <c r="K306" s="164">
        <v>2.5330226416626245E-2</v>
      </c>
      <c r="L306" s="164">
        <v>1.2631560625401932E-4</v>
      </c>
      <c r="M306" s="164">
        <v>4.5460404660357809E-5</v>
      </c>
      <c r="N306" s="164">
        <v>3.4121444266529397E-2</v>
      </c>
      <c r="P306" s="202"/>
    </row>
    <row r="307" spans="1:28" x14ac:dyDescent="0.25">
      <c r="A307" s="165"/>
      <c r="B307" s="164" t="s">
        <v>365</v>
      </c>
      <c r="C307" s="164">
        <v>6.1053611328327313E-4</v>
      </c>
      <c r="D307" s="164">
        <v>-6.4736516503862478E-5</v>
      </c>
      <c r="E307" s="164">
        <v>5.0874587878184309E-4</v>
      </c>
      <c r="F307" s="164">
        <v>-2.5437293939092159E-5</v>
      </c>
      <c r="G307" s="164">
        <v>1.3005202080832333E-3</v>
      </c>
      <c r="H307" s="164">
        <v>2.1008403361344541E-3</v>
      </c>
      <c r="I307" s="164">
        <v>1.4005602240896359E-3</v>
      </c>
      <c r="J307" s="164">
        <v>2.217257142857143E-3</v>
      </c>
      <c r="K307" s="164">
        <v>2.5714286957770269E-2</v>
      </c>
      <c r="L307" s="164">
        <v>0</v>
      </c>
      <c r="M307" s="164">
        <v>7.4876601448194905E-4</v>
      </c>
      <c r="N307" s="164">
        <v>3.4511339065038844E-2</v>
      </c>
      <c r="P307" s="202"/>
    </row>
    <row r="308" spans="1:28" x14ac:dyDescent="0.25">
      <c r="A308" s="165"/>
      <c r="B308" s="164" t="s">
        <v>356</v>
      </c>
      <c r="C308" s="164">
        <v>1.6052596798267933E-3</v>
      </c>
      <c r="D308" s="164">
        <v>-1.1861141326080898E-4</v>
      </c>
      <c r="E308" s="164">
        <v>1.0174917575636864E-3</v>
      </c>
      <c r="F308" s="164">
        <v>-5.0874587878184312E-5</v>
      </c>
      <c r="G308" s="164">
        <v>1.5506202480992397E-3</v>
      </c>
      <c r="H308" s="164">
        <v>2.5777082888133671E-3</v>
      </c>
      <c r="I308" s="164">
        <v>1.6256502601040416E-3</v>
      </c>
      <c r="J308" s="164">
        <v>2.7294594720870869E-3</v>
      </c>
      <c r="K308" s="164">
        <v>2.3577466572241201E-2</v>
      </c>
      <c r="L308" s="164">
        <v>2.0173233430794725E-4</v>
      </c>
      <c r="M308" s="164">
        <v>5.6825505825447255E-5</v>
      </c>
      <c r="N308" s="164">
        <v>3.4772728117729815E-2</v>
      </c>
      <c r="P308" s="202"/>
    </row>
    <row r="309" spans="1:28" x14ac:dyDescent="0.25">
      <c r="A309" s="165"/>
      <c r="B309" s="164" t="s">
        <v>353</v>
      </c>
      <c r="C309" s="164">
        <v>7.6317014160409149E-4</v>
      </c>
      <c r="D309" s="164">
        <v>-8.0920645629828101E-5</v>
      </c>
      <c r="E309" s="164">
        <v>1.0174917575636864E-3</v>
      </c>
      <c r="F309" s="164">
        <v>-5.0874587878184312E-5</v>
      </c>
      <c r="G309" s="164">
        <v>1.5506202480992397E-3</v>
      </c>
      <c r="H309" s="164">
        <v>2.6260504201680674E-3</v>
      </c>
      <c r="I309" s="164">
        <v>1.6256502601040416E-3</v>
      </c>
      <c r="J309" s="164">
        <v>2.7715714285714288E-3</v>
      </c>
      <c r="K309" s="164">
        <v>2.3928489647480365E-2</v>
      </c>
      <c r="L309" s="164">
        <v>0</v>
      </c>
      <c r="M309" s="164">
        <v>9.3595751810243634E-4</v>
      </c>
      <c r="N309" s="164">
        <v>3.5087206188185345E-2</v>
      </c>
      <c r="P309" s="202"/>
    </row>
    <row r="310" spans="1:28" x14ac:dyDescent="0.25">
      <c r="A310" s="165"/>
      <c r="B310" s="164" t="s">
        <v>341</v>
      </c>
      <c r="C310" s="164">
        <v>1.9812010201050753E-3</v>
      </c>
      <c r="D310" s="164">
        <v>-1.0568171698204363E-4</v>
      </c>
      <c r="E310" s="164">
        <v>3.4491498329926784E-4</v>
      </c>
      <c r="F310" s="164">
        <v>-3.4491498329926788E-5</v>
      </c>
      <c r="G310" s="164">
        <v>1.0654632223259673E-3</v>
      </c>
      <c r="H310" s="164">
        <v>2.9878618113912231E-4</v>
      </c>
      <c r="I310" s="164">
        <v>1.7869725535414797E-4</v>
      </c>
      <c r="J310" s="164">
        <v>1.1074472868176938E-2</v>
      </c>
      <c r="K310" s="164">
        <v>2.0026772808245816E-2</v>
      </c>
      <c r="L310" s="164">
        <v>1.2947163246812589E-3</v>
      </c>
      <c r="M310" s="164">
        <v>2.3557101727914492E-4</v>
      </c>
      <c r="N310" s="164">
        <v>3.6360422465294771E-2</v>
      </c>
      <c r="P310" s="202"/>
    </row>
    <row r="311" spans="1:28" x14ac:dyDescent="0.25">
      <c r="A311" s="165"/>
      <c r="B311" s="164" t="s">
        <v>344</v>
      </c>
      <c r="C311" s="164">
        <v>1.9812010201050753E-3</v>
      </c>
      <c r="D311" s="164">
        <v>-1.0568171698204363E-4</v>
      </c>
      <c r="E311" s="164">
        <v>6.8982996659853576E-5</v>
      </c>
      <c r="F311" s="164">
        <v>-6.8982996659853564E-6</v>
      </c>
      <c r="G311" s="164">
        <v>1.0654632223259673E-3</v>
      </c>
      <c r="H311" s="164">
        <v>2.9878618113912231E-4</v>
      </c>
      <c r="I311" s="164">
        <v>8.6011184229469056E-5</v>
      </c>
      <c r="J311" s="164">
        <v>1.1074472868176938E-2</v>
      </c>
      <c r="K311" s="164">
        <v>2.3010615626373594E-2</v>
      </c>
      <c r="L311" s="164">
        <v>1.2607618619646342E-3</v>
      </c>
      <c r="M311" s="164">
        <v>2.3557101727914492E-4</v>
      </c>
      <c r="N311" s="164">
        <v>3.8969285961605767E-2</v>
      </c>
      <c r="P311" s="202"/>
    </row>
    <row r="312" spans="1:28" x14ac:dyDescent="0.25">
      <c r="A312" s="165"/>
      <c r="B312" s="164" t="s">
        <v>340</v>
      </c>
      <c r="C312" s="164">
        <v>1.9922371300663917E-3</v>
      </c>
      <c r="D312" s="164">
        <v>-1.067853279781753E-4</v>
      </c>
      <c r="E312" s="164">
        <v>3.4491498329926784E-4</v>
      </c>
      <c r="F312" s="164">
        <v>-3.4491498329926788E-5</v>
      </c>
      <c r="G312" s="164">
        <v>1.0654632223259673E-3</v>
      </c>
      <c r="H312" s="164">
        <v>2.9878618113912231E-4</v>
      </c>
      <c r="I312" s="164">
        <v>1.7869725535414797E-4</v>
      </c>
      <c r="J312" s="164">
        <v>1.2176327875562188E-2</v>
      </c>
      <c r="K312" s="164">
        <v>2.1494645782664312E-2</v>
      </c>
      <c r="L312" s="164">
        <v>1.7590940957229288E-3</v>
      </c>
      <c r="M312" s="164">
        <v>2.3112628110406671E-4</v>
      </c>
      <c r="N312" s="164">
        <v>3.9400015980930292E-2</v>
      </c>
      <c r="P312" s="202"/>
    </row>
    <row r="313" spans="1:28" x14ac:dyDescent="0.25">
      <c r="A313" s="165"/>
      <c r="B313" s="164" t="s">
        <v>343</v>
      </c>
      <c r="C313" s="164">
        <v>1.9922371300663917E-3</v>
      </c>
      <c r="D313" s="164">
        <v>-1.067853279781753E-4</v>
      </c>
      <c r="E313" s="164">
        <v>6.8982996659853576E-5</v>
      </c>
      <c r="F313" s="164">
        <v>-6.8982996659853564E-6</v>
      </c>
      <c r="G313" s="164">
        <v>1.0654632223259673E-3</v>
      </c>
      <c r="H313" s="164">
        <v>2.9878618113912231E-4</v>
      </c>
      <c r="I313" s="164">
        <v>8.6011184229469056E-5</v>
      </c>
      <c r="J313" s="164">
        <v>1.2176327875562188E-2</v>
      </c>
      <c r="K313" s="164">
        <v>2.4742613292545308E-2</v>
      </c>
      <c r="L313" s="164">
        <v>1.7161115644184627E-3</v>
      </c>
      <c r="M313" s="164">
        <v>2.3112628110406671E-4</v>
      </c>
      <c r="N313" s="164">
        <v>4.2263976100406671E-2</v>
      </c>
      <c r="P313" s="202"/>
    </row>
    <row r="314" spans="1:28" x14ac:dyDescent="0.25">
      <c r="A314" s="165"/>
      <c r="B314" s="164" t="s">
        <v>348</v>
      </c>
      <c r="C314" s="164">
        <v>1.3120601049831952E-3</v>
      </c>
      <c r="D314" s="164">
        <v>-7.1121060229817985E-5</v>
      </c>
      <c r="E314" s="164">
        <v>6.8982996659853576E-5</v>
      </c>
      <c r="F314" s="164">
        <v>-6.8982996659853564E-6</v>
      </c>
      <c r="G314" s="164">
        <v>1.0654632223259673E-3</v>
      </c>
      <c r="H314" s="164">
        <v>4.305425874053325E-4</v>
      </c>
      <c r="I314" s="164">
        <v>8.6011184229469056E-5</v>
      </c>
      <c r="J314" s="164">
        <v>2.4202354741507264E-2</v>
      </c>
      <c r="K314" s="164">
        <v>2.6325694905820204E-2</v>
      </c>
      <c r="L314" s="164">
        <v>1.1416755443850596E-3</v>
      </c>
      <c r="M314" s="164">
        <v>2.9902098869419172E-4</v>
      </c>
      <c r="N314" s="164">
        <v>5.4853786916114734E-2</v>
      </c>
    </row>
    <row r="315" spans="1:28" x14ac:dyDescent="0.25">
      <c r="A315" s="165"/>
      <c r="B315" s="164" t="s">
        <v>339</v>
      </c>
      <c r="C315" s="164">
        <v>1.3120601049831952E-3</v>
      </c>
      <c r="D315" s="164">
        <v>-7.1121060229817985E-5</v>
      </c>
      <c r="E315" s="164">
        <v>6.8982996659853576E-5</v>
      </c>
      <c r="F315" s="164">
        <v>-6.8982996659853564E-6</v>
      </c>
      <c r="G315" s="164">
        <v>1.0654632223259673E-3</v>
      </c>
      <c r="H315" s="164">
        <v>4.305425874053325E-4</v>
      </c>
      <c r="I315" s="164">
        <v>8.9502842587904882E-5</v>
      </c>
      <c r="J315" s="164">
        <v>2.4202354741507264E-2</v>
      </c>
      <c r="K315" s="164">
        <v>2.6329049636399881E-2</v>
      </c>
      <c r="L315" s="164">
        <v>1.1418210301499948E-3</v>
      </c>
      <c r="M315" s="164">
        <v>2.9902098869419172E-4</v>
      </c>
      <c r="N315" s="164">
        <v>5.4860778790817785E-2</v>
      </c>
    </row>
    <row r="316" spans="1:28" x14ac:dyDescent="0.25">
      <c r="A316" s="165"/>
      <c r="B316" s="164" t="s">
        <v>342</v>
      </c>
      <c r="C316" s="164">
        <v>1.3120601049831952E-3</v>
      </c>
      <c r="D316" s="164">
        <v>-7.1121060229817985E-5</v>
      </c>
      <c r="E316" s="164">
        <v>3.4491498329926784E-4</v>
      </c>
      <c r="F316" s="164">
        <v>-3.4491498329926788E-5</v>
      </c>
      <c r="G316" s="164">
        <v>1.0654632223259673E-3</v>
      </c>
      <c r="H316" s="164">
        <v>4.305425874053325E-4</v>
      </c>
      <c r="I316" s="164">
        <v>1.7869725535414797E-4</v>
      </c>
      <c r="J316" s="164">
        <v>2.4202354741507264E-2</v>
      </c>
      <c r="K316" s="164">
        <v>3.6846422938026986E-2</v>
      </c>
      <c r="L316" s="164">
        <v>1.1581843467362296E-3</v>
      </c>
      <c r="M316" s="164">
        <v>2.9902098869419172E-4</v>
      </c>
      <c r="N316" s="164">
        <v>6.5732048609772831E-2</v>
      </c>
    </row>
    <row r="317" spans="1:28" x14ac:dyDescent="0.25">
      <c r="A317" s="165"/>
      <c r="B317" s="164" t="s">
        <v>345</v>
      </c>
      <c r="C317" s="164">
        <v>1.3120601049831952E-3</v>
      </c>
      <c r="D317" s="164">
        <v>-7.1121060229817985E-5</v>
      </c>
      <c r="E317" s="164">
        <v>6.8982996659853576E-5</v>
      </c>
      <c r="F317" s="164">
        <v>-6.8982996659853564E-6</v>
      </c>
      <c r="G317" s="164">
        <v>1.0654632223259673E-3</v>
      </c>
      <c r="H317" s="164">
        <v>4.305425874053325E-4</v>
      </c>
      <c r="I317" s="164">
        <v>8.6011184229469056E-5</v>
      </c>
      <c r="J317" s="164">
        <v>2.4202354741507264E-2</v>
      </c>
      <c r="K317" s="164">
        <v>4.2856743512300705E-2</v>
      </c>
      <c r="L317" s="164">
        <v>1.1416755443850596E-3</v>
      </c>
      <c r="M317" s="164">
        <v>2.9902098869419172E-4</v>
      </c>
      <c r="N317" s="164">
        <v>7.1384835522595239E-2</v>
      </c>
    </row>
    <row r="318" spans="1:28" x14ac:dyDescent="0.25">
      <c r="A318" s="165"/>
      <c r="B318" s="164" t="s">
        <v>373</v>
      </c>
      <c r="C318" s="164">
        <v>1.1641318209290907E-2</v>
      </c>
      <c r="D318" s="164">
        <v>-2.4161598044969133E-3</v>
      </c>
      <c r="E318" s="164">
        <v>2.964391815717463E-3</v>
      </c>
      <c r="F318" s="164">
        <v>-7.4109795392936575E-4</v>
      </c>
      <c r="G318" s="164">
        <v>2.5454545454545455E-2</v>
      </c>
      <c r="H318" s="164">
        <v>5.4545454545454541E-3</v>
      </c>
      <c r="I318" s="164">
        <v>4.4000000000000003E-3</v>
      </c>
      <c r="J318" s="164">
        <v>4.13162426244334E-3</v>
      </c>
      <c r="K318" s="164">
        <v>5.6871908459901539E-2</v>
      </c>
      <c r="L318" s="164">
        <v>4.4421860038116392E-3</v>
      </c>
      <c r="M318" s="164">
        <v>1.2578292470326314E-4</v>
      </c>
      <c r="N318" s="164">
        <v>0.11232904482653279</v>
      </c>
    </row>
    <row r="319" spans="1:28" x14ac:dyDescent="0.25">
      <c r="A319" s="165"/>
      <c r="B319" s="164" t="s">
        <v>376</v>
      </c>
      <c r="C319" s="164">
        <v>1.2195666695447615E-2</v>
      </c>
      <c r="D319" s="164">
        <v>-2.5312150332824808E-3</v>
      </c>
      <c r="E319" s="164">
        <v>1.552776665375814E-3</v>
      </c>
      <c r="F319" s="164">
        <v>-3.8819416634395349E-4</v>
      </c>
      <c r="G319" s="164">
        <v>2.6666666666666665E-2</v>
      </c>
      <c r="H319" s="164">
        <v>5.7142857142857143E-3</v>
      </c>
      <c r="I319" s="164">
        <v>4.4000000000000003E-3</v>
      </c>
      <c r="J319" s="164">
        <v>4.13162426244334E-3</v>
      </c>
      <c r="K319" s="164">
        <v>6.1799222420589786E-2</v>
      </c>
      <c r="L319" s="164">
        <v>4.4545939822651093E-3</v>
      </c>
      <c r="M319" s="164">
        <v>1.2578292470326314E-4</v>
      </c>
      <c r="N319" s="164">
        <v>0.11812121013215086</v>
      </c>
    </row>
    <row r="320" spans="1:28" x14ac:dyDescent="0.25">
      <c r="A320" s="165"/>
      <c r="B320" s="164" t="s">
        <v>372</v>
      </c>
      <c r="C320" s="164">
        <v>6.406113752333166E-3</v>
      </c>
      <c r="D320" s="164">
        <v>-1.3054394682679949E-3</v>
      </c>
      <c r="E320" s="164">
        <v>2.964391815717463E-3</v>
      </c>
      <c r="F320" s="164">
        <v>-7.4109795392936575E-4</v>
      </c>
      <c r="G320" s="164">
        <v>2.5454545454545455E-2</v>
      </c>
      <c r="H320" s="164">
        <v>7.2727272727272727E-3</v>
      </c>
      <c r="I320" s="164">
        <v>4.4000000000000003E-3</v>
      </c>
      <c r="J320" s="164">
        <v>1.0720644957616992E-2</v>
      </c>
      <c r="K320" s="164">
        <v>6.5403373288047129E-2</v>
      </c>
      <c r="L320" s="164">
        <v>0</v>
      </c>
      <c r="M320" s="164">
        <v>3.7182628349802355E-3</v>
      </c>
      <c r="N320" s="164">
        <v>0.12429352195377036</v>
      </c>
    </row>
    <row r="321" spans="1:14" x14ac:dyDescent="0.25">
      <c r="A321" s="165"/>
      <c r="B321" s="164" t="s">
        <v>382</v>
      </c>
      <c r="C321" s="164">
        <v>1.4228277811355551E-2</v>
      </c>
      <c r="D321" s="164">
        <v>-2.9530842054962272E-3</v>
      </c>
      <c r="E321" s="164">
        <v>2.1135015723170798E-3</v>
      </c>
      <c r="F321" s="164">
        <v>-5.2837539307926996E-4</v>
      </c>
      <c r="G321" s="164">
        <v>3.111111111111111E-2</v>
      </c>
      <c r="H321" s="164">
        <v>6.6666666666666662E-3</v>
      </c>
      <c r="I321" s="164">
        <v>4.4000000000000003E-3</v>
      </c>
      <c r="J321" s="164">
        <v>4.13162426244334E-3</v>
      </c>
      <c r="K321" s="164">
        <v>6.5381610164195081E-2</v>
      </c>
      <c r="L321" s="164">
        <v>5.1068670182368367E-3</v>
      </c>
      <c r="M321" s="164">
        <v>1.2578292470326314E-4</v>
      </c>
      <c r="N321" s="164">
        <v>0.12978398193245341</v>
      </c>
    </row>
    <row r="322" spans="1:14" x14ac:dyDescent="0.25">
      <c r="A322" s="165"/>
      <c r="B322" s="164" t="s">
        <v>375</v>
      </c>
      <c r="C322" s="164">
        <v>6.7111667881585542E-3</v>
      </c>
      <c r="D322" s="164">
        <v>-1.3676032524712327E-3</v>
      </c>
      <c r="E322" s="164">
        <v>1.552776665375814E-3</v>
      </c>
      <c r="F322" s="164">
        <v>-3.8819416634395349E-4</v>
      </c>
      <c r="G322" s="164">
        <v>2.6666666666666665E-2</v>
      </c>
      <c r="H322" s="164">
        <v>7.619047619047619E-3</v>
      </c>
      <c r="I322" s="164">
        <v>4.4000000000000003E-3</v>
      </c>
      <c r="J322" s="164">
        <v>1.0720644957616992E-2</v>
      </c>
      <c r="K322" s="164">
        <v>7.091509669714792E-2</v>
      </c>
      <c r="L322" s="164">
        <v>0</v>
      </c>
      <c r="M322" s="164">
        <v>3.7182628349802355E-3</v>
      </c>
      <c r="N322" s="164">
        <v>0.1305478648101786</v>
      </c>
    </row>
    <row r="323" spans="1:14" x14ac:dyDescent="0.25">
      <c r="A323" s="165"/>
      <c r="B323" s="164" t="s">
        <v>381</v>
      </c>
      <c r="C323" s="164">
        <v>7.8296945861849807E-3</v>
      </c>
      <c r="D323" s="164">
        <v>-1.5955371278831049E-3</v>
      </c>
      <c r="E323" s="164">
        <v>2.1135015723170798E-3</v>
      </c>
      <c r="F323" s="164">
        <v>-5.2837539307926996E-4</v>
      </c>
      <c r="G323" s="164">
        <v>3.111111111111111E-2</v>
      </c>
      <c r="H323" s="164">
        <v>8.8888888888888889E-3</v>
      </c>
      <c r="I323" s="164">
        <v>4.4000000000000003E-3</v>
      </c>
      <c r="J323" s="164">
        <v>1.0720644957616992E-2</v>
      </c>
      <c r="K323" s="164">
        <v>6.9329735996424835E-2</v>
      </c>
      <c r="L323" s="164">
        <v>0</v>
      </c>
      <c r="M323" s="164">
        <v>3.718262834980236E-3</v>
      </c>
      <c r="N323" s="164">
        <v>0.13598792742656174</v>
      </c>
    </row>
    <row r="324" spans="1:14" x14ac:dyDescent="0.25">
      <c r="A324" s="165"/>
      <c r="B324" s="164" t="s">
        <v>374</v>
      </c>
      <c r="C324" s="164">
        <v>1.2983934501295575E-2</v>
      </c>
      <c r="D324" s="164">
        <v>-2.5975276068232966E-3</v>
      </c>
      <c r="E324" s="164">
        <v>2.964391815717463E-3</v>
      </c>
      <c r="F324" s="164">
        <v>-7.4109795392936575E-4</v>
      </c>
      <c r="G324" s="164">
        <v>2.5454545454545455E-2</v>
      </c>
      <c r="H324" s="164">
        <v>7.3714603239921801E-3</v>
      </c>
      <c r="I324" s="164">
        <v>4.4000000000000003E-3</v>
      </c>
      <c r="J324" s="164">
        <v>1.3279381505411613E-2</v>
      </c>
      <c r="K324" s="164">
        <v>7.03336184363543E-2</v>
      </c>
      <c r="L324" s="164">
        <v>2.4811368469288692E-3</v>
      </c>
      <c r="M324" s="164">
        <v>3.2605614702792577E-4</v>
      </c>
      <c r="N324" s="164">
        <v>0.13625589947052072</v>
      </c>
    </row>
    <row r="325" spans="1:14" x14ac:dyDescent="0.25">
      <c r="A325" s="165"/>
      <c r="B325" s="164" t="s">
        <v>377</v>
      </c>
      <c r="C325" s="164">
        <v>1.3602217096595365E-2</v>
      </c>
      <c r="D325" s="164">
        <v>-2.721219397624406E-3</v>
      </c>
      <c r="E325" s="164">
        <v>1.552776665375814E-3</v>
      </c>
      <c r="F325" s="164">
        <v>-3.8819416634395349E-4</v>
      </c>
      <c r="G325" s="164">
        <v>2.6666666666666665E-2</v>
      </c>
      <c r="H325" s="164">
        <v>7.7224822441822839E-3</v>
      </c>
      <c r="I325" s="164">
        <v>4.4000000000000003E-3</v>
      </c>
      <c r="J325" s="164">
        <v>1.3279381505411613E-2</v>
      </c>
      <c r="K325" s="164">
        <v>7.6558564675540813E-2</v>
      </c>
      <c r="L325" s="164">
        <v>2.4923424709268893E-3</v>
      </c>
      <c r="M325" s="164">
        <v>3.2605614702792577E-4</v>
      </c>
      <c r="N325" s="164">
        <v>0.14349107390775903</v>
      </c>
    </row>
    <row r="326" spans="1:14" x14ac:dyDescent="0.25">
      <c r="A326" s="165"/>
      <c r="B326" s="164" t="s">
        <v>379</v>
      </c>
      <c r="C326" s="164">
        <v>1.6417243628487177E-2</v>
      </c>
      <c r="D326" s="164">
        <v>-3.4074048524956467E-3</v>
      </c>
      <c r="E326" s="164">
        <v>2.7870350404181278E-3</v>
      </c>
      <c r="F326" s="164">
        <v>-6.9675876010453195E-4</v>
      </c>
      <c r="G326" s="164">
        <v>3.5897435897435902E-2</v>
      </c>
      <c r="H326" s="164">
        <v>7.6923076923076927E-3</v>
      </c>
      <c r="I326" s="164">
        <v>4.4000000000000003E-3</v>
      </c>
      <c r="J326" s="164">
        <v>4.13162426244334E-3</v>
      </c>
      <c r="K326" s="164">
        <v>8.0695702197474711E-2</v>
      </c>
      <c r="L326" s="164">
        <v>5.8166846656595439E-3</v>
      </c>
      <c r="M326" s="164">
        <v>1.2578292470326314E-4</v>
      </c>
      <c r="N326" s="164">
        <v>0.15385965269632956</v>
      </c>
    </row>
    <row r="327" spans="1:14" x14ac:dyDescent="0.25">
      <c r="A327" s="165"/>
      <c r="B327" s="164" t="s">
        <v>383</v>
      </c>
      <c r="C327" s="164">
        <v>1.586925327936126E-2</v>
      </c>
      <c r="D327" s="164">
        <v>-3.1747559638951399E-3</v>
      </c>
      <c r="E327" s="164">
        <v>2.1135015723170798E-3</v>
      </c>
      <c r="F327" s="164">
        <v>-5.2837539307926996E-4</v>
      </c>
      <c r="G327" s="164">
        <v>3.111111111111111E-2</v>
      </c>
      <c r="H327" s="164">
        <v>9.0095626182126638E-3</v>
      </c>
      <c r="I327" s="164">
        <v>4.4000000000000003E-3</v>
      </c>
      <c r="J327" s="164">
        <v>1.3279381505411613E-2</v>
      </c>
      <c r="K327" s="164">
        <v>7.9584359467844631E-2</v>
      </c>
      <c r="L327" s="164">
        <v>2.8074723170056493E-3</v>
      </c>
      <c r="M327" s="164">
        <v>3.2605614702792577E-4</v>
      </c>
      <c r="N327" s="164">
        <v>0.15479756666131753</v>
      </c>
    </row>
    <row r="328" spans="1:14" x14ac:dyDescent="0.25">
      <c r="A328" s="165"/>
      <c r="B328" s="164" t="s">
        <v>378</v>
      </c>
      <c r="C328" s="164">
        <v>9.034262984059592E-3</v>
      </c>
      <c r="D328" s="164">
        <v>-1.8410043783266593E-3</v>
      </c>
      <c r="E328" s="164">
        <v>2.7870350404181278E-3</v>
      </c>
      <c r="F328" s="164">
        <v>-6.9675876010453195E-4</v>
      </c>
      <c r="G328" s="164">
        <v>3.5897435897435902E-2</v>
      </c>
      <c r="H328" s="164">
        <v>1.0256410256410255E-2</v>
      </c>
      <c r="I328" s="164">
        <v>4.4000000000000003E-3</v>
      </c>
      <c r="J328" s="164">
        <v>1.0720644957616992E-2</v>
      </c>
      <c r="K328" s="164">
        <v>8.8829772674907492E-2</v>
      </c>
      <c r="L328" s="164">
        <v>0</v>
      </c>
      <c r="M328" s="164">
        <v>3.7182628349802355E-3</v>
      </c>
      <c r="N328" s="164">
        <v>0.1631060615073974</v>
      </c>
    </row>
    <row r="329" spans="1:14" x14ac:dyDescent="0.25">
      <c r="A329" s="165"/>
      <c r="B329" s="164" t="s">
        <v>380</v>
      </c>
      <c r="C329" s="164">
        <v>1.8310676860801452E-2</v>
      </c>
      <c r="D329" s="164">
        <v>-3.6631799583405462E-3</v>
      </c>
      <c r="E329" s="164">
        <v>2.7870350404181278E-3</v>
      </c>
      <c r="F329" s="164">
        <v>-6.9675876010453195E-4</v>
      </c>
      <c r="G329" s="164">
        <v>3.5897435897435902E-2</v>
      </c>
      <c r="H329" s="164">
        <v>1.0395649174860766E-2</v>
      </c>
      <c r="I329" s="164">
        <v>4.4000000000000003E-3</v>
      </c>
      <c r="J329" s="164">
        <v>1.3279381505411613E-2</v>
      </c>
      <c r="K329" s="164">
        <v>9.6765433154279712E-2</v>
      </c>
      <c r="L329" s="164">
        <v>3.1501713725975572E-3</v>
      </c>
      <c r="M329" s="164">
        <v>3.2605614702792577E-4</v>
      </c>
      <c r="N329" s="164">
        <v>0.180951900434388</v>
      </c>
    </row>
    <row r="330" spans="1:14" x14ac:dyDescent="0.25">
      <c r="A330" s="165"/>
      <c r="B330" s="164" t="s">
        <v>370</v>
      </c>
      <c r="C330" s="164">
        <v>2.3282636418581814E-2</v>
      </c>
      <c r="D330" s="164">
        <v>-4.8323196089938266E-3</v>
      </c>
      <c r="E330" s="164">
        <v>3.9525224209566176E-3</v>
      </c>
      <c r="F330" s="164">
        <v>-9.8813060523915441E-4</v>
      </c>
      <c r="G330" s="164">
        <v>5.0909090909090911E-2</v>
      </c>
      <c r="H330" s="164">
        <v>1.0909090909090908E-2</v>
      </c>
      <c r="I330" s="164">
        <v>4.4000000000000003E-3</v>
      </c>
      <c r="J330" s="164">
        <v>4.13162426244334E-3</v>
      </c>
      <c r="K330" s="164">
        <v>0.12962524792344063</v>
      </c>
      <c r="L330" s="164">
        <v>7.9427691509175447E-3</v>
      </c>
      <c r="M330" s="164">
        <v>1.2578292470326314E-4</v>
      </c>
      <c r="N330" s="164">
        <v>0.22945831470499203</v>
      </c>
    </row>
    <row r="331" spans="1:14" x14ac:dyDescent="0.25">
      <c r="A331" s="165"/>
      <c r="B331" s="164" t="s">
        <v>369</v>
      </c>
      <c r="C331" s="164">
        <v>1.2812227504666332E-2</v>
      </c>
      <c r="D331" s="164">
        <v>-2.6108789365359899E-3</v>
      </c>
      <c r="E331" s="164">
        <v>3.9525224209566176E-3</v>
      </c>
      <c r="F331" s="164">
        <v>-9.8813060523915441E-4</v>
      </c>
      <c r="G331" s="164">
        <v>5.0909090909090911E-2</v>
      </c>
      <c r="H331" s="164">
        <v>1.4545454545454545E-2</v>
      </c>
      <c r="I331" s="164">
        <v>4.4000000000000003E-3</v>
      </c>
      <c r="J331" s="164">
        <v>1.0720644957616992E-2</v>
      </c>
      <c r="K331" s="164">
        <v>0.13731562811440928</v>
      </c>
      <c r="L331" s="164">
        <v>0</v>
      </c>
      <c r="M331" s="164">
        <v>3.7182628349802355E-3</v>
      </c>
      <c r="N331" s="164">
        <v>0.23477482174539976</v>
      </c>
    </row>
    <row r="332" spans="1:14" x14ac:dyDescent="0.25">
      <c r="A332" s="165"/>
      <c r="B332" s="164" t="s">
        <v>371</v>
      </c>
      <c r="C332" s="164">
        <v>2.5967869002591151E-2</v>
      </c>
      <c r="D332" s="164">
        <v>-5.1950552136465931E-3</v>
      </c>
      <c r="E332" s="164">
        <v>3.9525224209566176E-3</v>
      </c>
      <c r="F332" s="164">
        <v>-9.8813060523915441E-4</v>
      </c>
      <c r="G332" s="164">
        <v>5.0909090909090911E-2</v>
      </c>
      <c r="H332" s="164">
        <v>1.474292064798436E-2</v>
      </c>
      <c r="I332" s="164">
        <v>4.4000000000000003E-3</v>
      </c>
      <c r="J332" s="164">
        <v>1.3279381505411613E-2</v>
      </c>
      <c r="K332" s="164">
        <v>0.15103602689119042</v>
      </c>
      <c r="L332" s="164">
        <v>4.1797635385618787E-3</v>
      </c>
      <c r="M332" s="164">
        <v>3.2605614702792577E-4</v>
      </c>
      <c r="N332" s="164">
        <v>0.26261044524392907</v>
      </c>
    </row>
    <row r="333" spans="1:14" x14ac:dyDescent="0.25">
      <c r="A333" s="165" t="s">
        <v>393</v>
      </c>
      <c r="B333" s="164" t="s">
        <v>394</v>
      </c>
      <c r="C333" s="164" t="s">
        <v>395</v>
      </c>
      <c r="D333" s="164" t="s">
        <v>396</v>
      </c>
      <c r="E333" s="164" t="s">
        <v>397</v>
      </c>
      <c r="F333" s="164" t="s">
        <v>398</v>
      </c>
      <c r="G333" s="164" t="s">
        <v>399</v>
      </c>
      <c r="H333" s="164" t="s">
        <v>400</v>
      </c>
      <c r="I333" s="164" t="s">
        <v>401</v>
      </c>
      <c r="J333" s="164" t="s">
        <v>402</v>
      </c>
      <c r="K333" s="164" t="s">
        <v>403</v>
      </c>
      <c r="L333" s="164" t="s">
        <v>404</v>
      </c>
      <c r="M333" s="164" t="s">
        <v>405</v>
      </c>
      <c r="N333" s="164" t="s">
        <v>406</v>
      </c>
    </row>
    <row r="334" spans="1:14" x14ac:dyDescent="0.25">
      <c r="A334" s="165">
        <v>2050</v>
      </c>
      <c r="B334" s="164" t="s">
        <v>350</v>
      </c>
      <c r="C334" s="164">
        <v>1.0902430594344164E-3</v>
      </c>
      <c r="D334" s="164">
        <v>-1.6353645891516245E-4</v>
      </c>
      <c r="E334" s="164">
        <v>7.6311881817276459E-4</v>
      </c>
      <c r="F334" s="164">
        <v>-3.8155940908638231E-5</v>
      </c>
      <c r="G334" s="164">
        <v>1.6256502601040416E-3</v>
      </c>
      <c r="H334" s="164">
        <v>1.6256502601040416E-3</v>
      </c>
      <c r="I334" s="164">
        <v>1.7507002801120447E-3</v>
      </c>
      <c r="J334" s="164">
        <v>8.3706989059071399E-4</v>
      </c>
      <c r="K334" s="164">
        <v>8.1981036076722927E-3</v>
      </c>
      <c r="L334" s="164">
        <v>0</v>
      </c>
      <c r="M334" s="164">
        <v>4.2820272446309834E-7</v>
      </c>
      <c r="N334" s="164">
        <v>1.5689271979090976E-2</v>
      </c>
    </row>
    <row r="335" spans="1:14" x14ac:dyDescent="0.25">
      <c r="A335" s="165"/>
      <c r="B335" s="164" t="s">
        <v>352</v>
      </c>
      <c r="C335" s="164">
        <v>8.7510622887057403E-4</v>
      </c>
      <c r="D335" s="164">
        <v>-1.3078063744341263E-4</v>
      </c>
      <c r="E335" s="164">
        <v>7.6311881817276459E-4</v>
      </c>
      <c r="F335" s="164">
        <v>-3.8155940908638231E-5</v>
      </c>
      <c r="G335" s="164">
        <v>1.6256502601040416E-3</v>
      </c>
      <c r="H335" s="164">
        <v>1.4052359304229719E-3</v>
      </c>
      <c r="I335" s="164">
        <v>1.7507002801120447E-3</v>
      </c>
      <c r="J335" s="164">
        <v>1.5238870080703825E-3</v>
      </c>
      <c r="K335" s="164">
        <v>8.5064464888808689E-3</v>
      </c>
      <c r="L335" s="164">
        <v>1.4276553547772075E-4</v>
      </c>
      <c r="M335" s="164">
        <v>1.0306220566436748E-6</v>
      </c>
      <c r="N335" s="164">
        <v>1.6425004593815962E-2</v>
      </c>
    </row>
    <row r="336" spans="1:14" x14ac:dyDescent="0.25">
      <c r="A336" s="165"/>
      <c r="B336" s="164" t="s">
        <v>346</v>
      </c>
      <c r="C336" s="164">
        <v>1.3569040676564852E-3</v>
      </c>
      <c r="D336" s="164">
        <v>-1.3401388779574273E-4</v>
      </c>
      <c r="E336" s="164">
        <v>6.8982996659853576E-5</v>
      </c>
      <c r="F336" s="164">
        <v>-6.8982996659853564E-6</v>
      </c>
      <c r="G336" s="164">
        <v>1.0654632223259673E-3</v>
      </c>
      <c r="H336" s="164">
        <v>2.9878618113912231E-4</v>
      </c>
      <c r="I336" s="164">
        <v>8.6011184229469056E-5</v>
      </c>
      <c r="J336" s="164">
        <v>5.4701451293849941E-3</v>
      </c>
      <c r="K336" s="164">
        <v>7.9008839801519501E-3</v>
      </c>
      <c r="L336" s="164">
        <v>7.1822500101581012E-4</v>
      </c>
      <c r="M336" s="164">
        <v>4.1918473001819709E-6</v>
      </c>
      <c r="N336" s="164">
        <v>1.6828681422402104E-2</v>
      </c>
    </row>
    <row r="337" spans="1:14" x14ac:dyDescent="0.25">
      <c r="A337" s="165"/>
      <c r="B337" s="164" t="s">
        <v>337</v>
      </c>
      <c r="C337" s="164">
        <v>1.3569040676564852E-3</v>
      </c>
      <c r="D337" s="164">
        <v>-1.3401388779574273E-4</v>
      </c>
      <c r="E337" s="164">
        <v>6.8982996659853576E-5</v>
      </c>
      <c r="F337" s="164">
        <v>-6.8982996659853564E-6</v>
      </c>
      <c r="G337" s="164">
        <v>1.0654632223259673E-3</v>
      </c>
      <c r="H337" s="164">
        <v>2.9878618113912231E-4</v>
      </c>
      <c r="I337" s="164">
        <v>8.9502842587904882E-5</v>
      </c>
      <c r="J337" s="164">
        <v>5.4701451293849941E-3</v>
      </c>
      <c r="K337" s="164">
        <v>7.9042387107316255E-3</v>
      </c>
      <c r="L337" s="164">
        <v>7.1852996073677906E-4</v>
      </c>
      <c r="M337" s="164">
        <v>4.1918473001819709E-6</v>
      </c>
      <c r="N337" s="164">
        <v>1.6835832771061182E-2</v>
      </c>
    </row>
    <row r="338" spans="1:14" x14ac:dyDescent="0.25">
      <c r="A338" s="165"/>
      <c r="B338" s="164" t="s">
        <v>347</v>
      </c>
      <c r="C338" s="164">
        <v>1.2551060916366106E-3</v>
      </c>
      <c r="D338" s="164">
        <v>-1.2383409019375524E-4</v>
      </c>
      <c r="E338" s="164">
        <v>6.8982996659853576E-5</v>
      </c>
      <c r="F338" s="164">
        <v>-6.8982996659853564E-6</v>
      </c>
      <c r="G338" s="164">
        <v>1.0654632223259673E-3</v>
      </c>
      <c r="H338" s="164">
        <v>2.9878618113912231E-4</v>
      </c>
      <c r="I338" s="164">
        <v>8.6011184229469056E-5</v>
      </c>
      <c r="J338" s="164">
        <v>5.6283132239921011E-3</v>
      </c>
      <c r="K338" s="164">
        <v>7.9649015468819025E-3</v>
      </c>
      <c r="L338" s="164">
        <v>6.2553170530739097E-4</v>
      </c>
      <c r="M338" s="164">
        <v>4.2724597482624145E-6</v>
      </c>
      <c r="N338" s="164">
        <v>1.686663622206094E-2</v>
      </c>
    </row>
    <row r="339" spans="1:14" x14ac:dyDescent="0.25">
      <c r="A339" s="165"/>
      <c r="B339" s="164" t="s">
        <v>338</v>
      </c>
      <c r="C339" s="164">
        <v>1.2551060916366106E-3</v>
      </c>
      <c r="D339" s="164">
        <v>-1.2383409019375524E-4</v>
      </c>
      <c r="E339" s="164">
        <v>6.8982996659853576E-5</v>
      </c>
      <c r="F339" s="164">
        <v>-6.8982996659853564E-6</v>
      </c>
      <c r="G339" s="164">
        <v>1.0654632223259673E-3</v>
      </c>
      <c r="H339" s="164">
        <v>2.9878618113912231E-4</v>
      </c>
      <c r="I339" s="164">
        <v>8.9502842587904882E-5</v>
      </c>
      <c r="J339" s="164">
        <v>5.6283132239921011E-3</v>
      </c>
      <c r="K339" s="164">
        <v>7.968256277461578E-3</v>
      </c>
      <c r="L339" s="164">
        <v>6.2579517251134739E-4</v>
      </c>
      <c r="M339" s="164">
        <v>4.2724597482624145E-6</v>
      </c>
      <c r="N339" s="164">
        <v>1.6873746078203009E-2</v>
      </c>
    </row>
    <row r="340" spans="1:14" x14ac:dyDescent="0.25">
      <c r="A340" s="165"/>
      <c r="B340" s="164" t="s">
        <v>351</v>
      </c>
      <c r="C340" s="164">
        <v>1.364623687619921E-3</v>
      </c>
      <c r="D340" s="164">
        <v>-2.0420825625581466E-4</v>
      </c>
      <c r="E340" s="164">
        <v>7.6311881817276459E-4</v>
      </c>
      <c r="F340" s="164">
        <v>-3.8155940908638231E-5</v>
      </c>
      <c r="G340" s="164">
        <v>1.6256502601040416E-3</v>
      </c>
      <c r="H340" s="164">
        <v>2.0347764046985059E-3</v>
      </c>
      <c r="I340" s="164">
        <v>1.7507002801120447E-3</v>
      </c>
      <c r="J340" s="164">
        <v>8.8938675875263335E-4</v>
      </c>
      <c r="K340" s="164">
        <v>8.9512137644664324E-3</v>
      </c>
      <c r="L340" s="164">
        <v>1.5057061177638394E-4</v>
      </c>
      <c r="M340" s="164">
        <v>4.5496539474204176E-7</v>
      </c>
      <c r="N340" s="164">
        <v>1.7288131353933017E-2</v>
      </c>
    </row>
    <row r="341" spans="1:14" x14ac:dyDescent="0.25">
      <c r="A341" s="165"/>
      <c r="B341" s="164" t="s">
        <v>348</v>
      </c>
      <c r="C341" s="164">
        <v>1.0397745068075209E-3</v>
      </c>
      <c r="D341" s="164">
        <v>-1.0288771335031333E-4</v>
      </c>
      <c r="E341" s="164">
        <v>6.8982996659853576E-5</v>
      </c>
      <c r="F341" s="164">
        <v>-6.8982996659853564E-6</v>
      </c>
      <c r="G341" s="164">
        <v>1.0654632223259673E-3</v>
      </c>
      <c r="H341" s="164">
        <v>4.305425874053325E-4</v>
      </c>
      <c r="I341" s="164">
        <v>8.6011184229469056E-5</v>
      </c>
      <c r="J341" s="164">
        <v>6.5837900060073855E-3</v>
      </c>
      <c r="K341" s="164">
        <v>8.823841520165767E-3</v>
      </c>
      <c r="L341" s="164">
        <v>3.8266659653780032E-4</v>
      </c>
      <c r="M341" s="164">
        <v>5.4232271560286516E-6</v>
      </c>
      <c r="N341" s="164">
        <v>1.8376709834278825E-2</v>
      </c>
    </row>
    <row r="342" spans="1:14" x14ac:dyDescent="0.25">
      <c r="A342" s="165"/>
      <c r="B342" s="164" t="s">
        <v>339</v>
      </c>
      <c r="C342" s="164">
        <v>1.0397745068075209E-3</v>
      </c>
      <c r="D342" s="164">
        <v>-1.0288771335031333E-4</v>
      </c>
      <c r="E342" s="164">
        <v>6.8982996659853576E-5</v>
      </c>
      <c r="F342" s="164">
        <v>-6.8982996659853564E-6</v>
      </c>
      <c r="G342" s="164">
        <v>1.0654632223259673E-3</v>
      </c>
      <c r="H342" s="164">
        <v>4.305425874053325E-4</v>
      </c>
      <c r="I342" s="164">
        <v>8.9502842587904882E-5</v>
      </c>
      <c r="J342" s="164">
        <v>6.5837900060073855E-3</v>
      </c>
      <c r="K342" s="164">
        <v>8.8271962507454425E-3</v>
      </c>
      <c r="L342" s="164">
        <v>3.8281208230273554E-4</v>
      </c>
      <c r="M342" s="164">
        <v>5.4232271560286516E-6</v>
      </c>
      <c r="N342" s="164">
        <v>1.8383701708981876E-2</v>
      </c>
    </row>
    <row r="343" spans="1:14" x14ac:dyDescent="0.25">
      <c r="A343" s="165"/>
      <c r="B343" s="164" t="s">
        <v>340</v>
      </c>
      <c r="C343" s="164">
        <v>1.3569040676564852E-3</v>
      </c>
      <c r="D343" s="164">
        <v>-1.3401388779574273E-4</v>
      </c>
      <c r="E343" s="164">
        <v>3.4491498329926784E-4</v>
      </c>
      <c r="F343" s="164">
        <v>-3.4491498329926788E-5</v>
      </c>
      <c r="G343" s="164">
        <v>1.0654632223259673E-3</v>
      </c>
      <c r="H343" s="164">
        <v>2.9878618113912231E-4</v>
      </c>
      <c r="I343" s="164">
        <v>1.7869725535414797E-4</v>
      </c>
      <c r="J343" s="164">
        <v>5.4701451293849941E-3</v>
      </c>
      <c r="K343" s="164">
        <v>1.1425955277411116E-2</v>
      </c>
      <c r="L343" s="164">
        <v>7.528298969710686E-4</v>
      </c>
      <c r="M343" s="164">
        <v>4.1918473001819709E-6</v>
      </c>
      <c r="N343" s="164">
        <v>2.072938247471668E-2</v>
      </c>
    </row>
    <row r="344" spans="1:14" x14ac:dyDescent="0.25">
      <c r="A344" s="165"/>
      <c r="B344" s="164" t="s">
        <v>341</v>
      </c>
      <c r="C344" s="164">
        <v>1.2551060916366106E-3</v>
      </c>
      <c r="D344" s="164">
        <v>-1.2383409019375524E-4</v>
      </c>
      <c r="E344" s="164">
        <v>3.4491498329926784E-4</v>
      </c>
      <c r="F344" s="164">
        <v>-3.4491498329926788E-5</v>
      </c>
      <c r="G344" s="164">
        <v>1.0654632223259673E-3</v>
      </c>
      <c r="H344" s="164">
        <v>2.9878618113912231E-4</v>
      </c>
      <c r="I344" s="164">
        <v>1.7869725535414797E-4</v>
      </c>
      <c r="J344" s="164">
        <v>5.6283132239921011E-3</v>
      </c>
      <c r="K344" s="164">
        <v>1.151427946653498E-2</v>
      </c>
      <c r="L344" s="164">
        <v>6.5542829345874992E-4</v>
      </c>
      <c r="M344" s="164">
        <v>4.2724597482624145E-6</v>
      </c>
      <c r="N344" s="164">
        <v>2.0786935588965529E-2</v>
      </c>
    </row>
    <row r="345" spans="1:14" x14ac:dyDescent="0.25">
      <c r="A345" s="165"/>
      <c r="B345" s="164" t="s">
        <v>391</v>
      </c>
      <c r="C345" s="164">
        <v>1.0347449498978036E-3</v>
      </c>
      <c r="D345" s="164">
        <v>-5.2575506979843073E-5</v>
      </c>
      <c r="E345" s="164">
        <v>6.8982996659853576E-5</v>
      </c>
      <c r="F345" s="164">
        <v>-6.8982996659853564E-6</v>
      </c>
      <c r="G345" s="164">
        <v>1.0654632223259673E-3</v>
      </c>
      <c r="H345" s="164">
        <v>4.305425874053325E-4</v>
      </c>
      <c r="I345" s="164">
        <v>8.6011184229469056E-5</v>
      </c>
      <c r="J345" s="164">
        <v>1.9961810868829068E-3</v>
      </c>
      <c r="K345" s="164">
        <v>1.0385648271480374E-2</v>
      </c>
      <c r="L345" s="164">
        <v>0</v>
      </c>
      <c r="M345" s="164">
        <v>6.1733034624737292E-3</v>
      </c>
      <c r="N345" s="164">
        <v>2.1181403954709604E-2</v>
      </c>
    </row>
    <row r="346" spans="1:14" x14ac:dyDescent="0.25">
      <c r="A346" s="165"/>
      <c r="B346" s="164" t="s">
        <v>388</v>
      </c>
      <c r="C346" s="164">
        <v>1.0347449498978036E-3</v>
      </c>
      <c r="D346" s="164">
        <v>-5.2575506979843073E-5</v>
      </c>
      <c r="E346" s="164">
        <v>6.8982996659853576E-5</v>
      </c>
      <c r="F346" s="164">
        <v>-6.8982996659853564E-6</v>
      </c>
      <c r="G346" s="164">
        <v>1.0654632223259673E-3</v>
      </c>
      <c r="H346" s="164">
        <v>4.305425874053325E-4</v>
      </c>
      <c r="I346" s="164">
        <v>8.9502842587904882E-5</v>
      </c>
      <c r="J346" s="164">
        <v>1.9961810868829068E-3</v>
      </c>
      <c r="K346" s="164">
        <v>1.0389003002060049E-2</v>
      </c>
      <c r="L346" s="164">
        <v>0</v>
      </c>
      <c r="M346" s="164">
        <v>6.1733034624737292E-3</v>
      </c>
      <c r="N346" s="164">
        <v>2.118825034364772E-2</v>
      </c>
    </row>
    <row r="347" spans="1:14" x14ac:dyDescent="0.25">
      <c r="A347" s="165"/>
      <c r="B347" s="164" t="s">
        <v>343</v>
      </c>
      <c r="C347" s="164">
        <v>1.3569040676564852E-3</v>
      </c>
      <c r="D347" s="164">
        <v>-1.3401388779574273E-4</v>
      </c>
      <c r="E347" s="164">
        <v>6.8982996659853576E-5</v>
      </c>
      <c r="F347" s="164">
        <v>-6.8982996659853564E-6</v>
      </c>
      <c r="G347" s="164">
        <v>1.0654632223259673E-3</v>
      </c>
      <c r="H347" s="164">
        <v>2.9878618113912231E-4</v>
      </c>
      <c r="I347" s="164">
        <v>8.6011184229469056E-5</v>
      </c>
      <c r="J347" s="164">
        <v>5.4701451293849941E-3</v>
      </c>
      <c r="K347" s="164">
        <v>1.2862192601911418E-2</v>
      </c>
      <c r="L347" s="164">
        <v>7.1822500101581012E-4</v>
      </c>
      <c r="M347" s="164">
        <v>4.1918473001819709E-6</v>
      </c>
      <c r="N347" s="164">
        <v>2.1789990044161572E-2</v>
      </c>
    </row>
    <row r="348" spans="1:14" x14ac:dyDescent="0.25">
      <c r="A348" s="165"/>
      <c r="B348" s="164" t="s">
        <v>362</v>
      </c>
      <c r="C348" s="164">
        <v>1.0902430594344164E-3</v>
      </c>
      <c r="D348" s="164">
        <v>-1.6353645891516245E-4</v>
      </c>
      <c r="E348" s="164">
        <v>7.6311881817276459E-4</v>
      </c>
      <c r="F348" s="164">
        <v>-3.8155940908638231E-5</v>
      </c>
      <c r="G348" s="164">
        <v>3.6264505802320927E-3</v>
      </c>
      <c r="H348" s="164">
        <v>1.6256502601040416E-3</v>
      </c>
      <c r="I348" s="164">
        <v>4.0016006402561026E-3</v>
      </c>
      <c r="J348" s="164">
        <v>8.3706989059071399E-4</v>
      </c>
      <c r="K348" s="164">
        <v>1.0068191165580947E-2</v>
      </c>
      <c r="L348" s="164">
        <v>0</v>
      </c>
      <c r="M348" s="164">
        <v>4.2820272446309834E-7</v>
      </c>
      <c r="N348" s="164">
        <v>2.1811060217271739E-2</v>
      </c>
    </row>
    <row r="349" spans="1:14" x14ac:dyDescent="0.25">
      <c r="A349" s="165"/>
      <c r="B349" s="164" t="s">
        <v>344</v>
      </c>
      <c r="C349" s="164">
        <v>1.2551060916366106E-3</v>
      </c>
      <c r="D349" s="164">
        <v>-1.2383409019375524E-4</v>
      </c>
      <c r="E349" s="164">
        <v>6.8982996659853576E-5</v>
      </c>
      <c r="F349" s="164">
        <v>-6.8982996659853564E-6</v>
      </c>
      <c r="G349" s="164">
        <v>1.0654632223259673E-3</v>
      </c>
      <c r="H349" s="164">
        <v>2.9878618113912231E-4</v>
      </c>
      <c r="I349" s="164">
        <v>8.6011184229469056E-5</v>
      </c>
      <c r="J349" s="164">
        <v>5.6283132239921011E-3</v>
      </c>
      <c r="K349" s="164">
        <v>1.2966409582600527E-2</v>
      </c>
      <c r="L349" s="164">
        <v>6.2553170530739097E-4</v>
      </c>
      <c r="M349" s="164">
        <v>4.2724597482624145E-6</v>
      </c>
      <c r="N349" s="164">
        <v>2.1868144257779564E-2</v>
      </c>
    </row>
    <row r="350" spans="1:14" x14ac:dyDescent="0.25">
      <c r="A350" s="165"/>
      <c r="B350" s="164" t="s">
        <v>358</v>
      </c>
      <c r="C350" s="164">
        <v>1.0902430594344164E-3</v>
      </c>
      <c r="D350" s="164">
        <v>-1.6353645891516245E-4</v>
      </c>
      <c r="E350" s="164">
        <v>5.087458787818432E-4</v>
      </c>
      <c r="F350" s="164">
        <v>-2.5437293939092156E-5</v>
      </c>
      <c r="G350" s="164">
        <v>1.525610244097639E-3</v>
      </c>
      <c r="H350" s="164">
        <v>1.6256502601040416E-3</v>
      </c>
      <c r="I350" s="164">
        <v>1.6256502601040416E-3</v>
      </c>
      <c r="J350" s="164">
        <v>8.3706989059071399E-4</v>
      </c>
      <c r="K350" s="164">
        <v>1.5035009590579808E-2</v>
      </c>
      <c r="L350" s="164">
        <v>0</v>
      </c>
      <c r="M350" s="164">
        <v>4.2820272446309834E-7</v>
      </c>
      <c r="N350" s="164">
        <v>2.2059433633562713E-2</v>
      </c>
    </row>
    <row r="351" spans="1:14" x14ac:dyDescent="0.25">
      <c r="A351" s="165"/>
      <c r="B351" s="164" t="s">
        <v>364</v>
      </c>
      <c r="C351" s="164">
        <v>8.7510622887057403E-4</v>
      </c>
      <c r="D351" s="164">
        <v>-1.3078063744341263E-4</v>
      </c>
      <c r="E351" s="164">
        <v>7.6311881817276459E-4</v>
      </c>
      <c r="F351" s="164">
        <v>-3.8155940908638231E-5</v>
      </c>
      <c r="G351" s="164">
        <v>3.6264505802320927E-3</v>
      </c>
      <c r="H351" s="164">
        <v>1.4052359304229719E-3</v>
      </c>
      <c r="I351" s="164">
        <v>4.0016006402561026E-3</v>
      </c>
      <c r="J351" s="164">
        <v>1.5238870080703825E-3</v>
      </c>
      <c r="K351" s="164">
        <v>1.0310648815762049E-2</v>
      </c>
      <c r="L351" s="164">
        <v>2.2006918420994052E-4</v>
      </c>
      <c r="M351" s="164">
        <v>1.0306220566436748E-6</v>
      </c>
      <c r="N351" s="164">
        <v>2.2558211249701473E-2</v>
      </c>
    </row>
    <row r="352" spans="1:14" x14ac:dyDescent="0.25">
      <c r="A352" s="165"/>
      <c r="B352" s="164" t="s">
        <v>342</v>
      </c>
      <c r="C352" s="164">
        <v>1.0397745068075209E-3</v>
      </c>
      <c r="D352" s="164">
        <v>-1.0288771335031333E-4</v>
      </c>
      <c r="E352" s="164">
        <v>3.4491498329926784E-4</v>
      </c>
      <c r="F352" s="164">
        <v>-3.4491498329926788E-5</v>
      </c>
      <c r="G352" s="164">
        <v>1.0654632223259673E-3</v>
      </c>
      <c r="H352" s="164">
        <v>4.305425874053325E-4</v>
      </c>
      <c r="I352" s="164">
        <v>1.7869725535414797E-4</v>
      </c>
      <c r="J352" s="164">
        <v>6.5837900060073855E-3</v>
      </c>
      <c r="K352" s="164">
        <v>1.2699347573956049E-2</v>
      </c>
      <c r="L352" s="164">
        <v>3.9917539888897034E-4</v>
      </c>
      <c r="M352" s="164">
        <v>5.4232271560286516E-6</v>
      </c>
      <c r="N352" s="164">
        <v>2.2609749549520428E-2</v>
      </c>
    </row>
    <row r="353" spans="1:14" x14ac:dyDescent="0.25">
      <c r="A353" s="165"/>
      <c r="B353" s="164" t="s">
        <v>360</v>
      </c>
      <c r="C353" s="164">
        <v>8.7510622887057403E-4</v>
      </c>
      <c r="D353" s="164">
        <v>-1.3078063744341263E-4</v>
      </c>
      <c r="E353" s="164">
        <v>5.087458787818432E-4</v>
      </c>
      <c r="F353" s="164">
        <v>-2.5437293939092156E-5</v>
      </c>
      <c r="G353" s="164">
        <v>1.525610244097639E-3</v>
      </c>
      <c r="H353" s="164">
        <v>1.4052359304229719E-3</v>
      </c>
      <c r="I353" s="164">
        <v>1.6256502601040416E-3</v>
      </c>
      <c r="J353" s="164">
        <v>1.5238870080703825E-3</v>
      </c>
      <c r="K353" s="164">
        <v>1.5639836011412018E-2</v>
      </c>
      <c r="L353" s="164">
        <v>1.3381677870726895E-4</v>
      </c>
      <c r="M353" s="164">
        <v>1.0306220566436748E-6</v>
      </c>
      <c r="N353" s="164">
        <v>2.3082701031140882E-2</v>
      </c>
    </row>
    <row r="354" spans="1:14" x14ac:dyDescent="0.25">
      <c r="A354" s="165"/>
      <c r="B354" s="164" t="s">
        <v>366</v>
      </c>
      <c r="C354" s="164">
        <v>8.7219444754753307E-4</v>
      </c>
      <c r="D354" s="164">
        <v>-1.3082916713212997E-4</v>
      </c>
      <c r="E354" s="164">
        <v>5.0874587878184309E-4</v>
      </c>
      <c r="F354" s="164">
        <v>-2.5437293939092159E-5</v>
      </c>
      <c r="G354" s="164">
        <v>1.3005202080832333E-3</v>
      </c>
      <c r="H354" s="164">
        <v>1.3005202080832333E-3</v>
      </c>
      <c r="I354" s="164">
        <v>1.4005602240896359E-3</v>
      </c>
      <c r="J354" s="164">
        <v>6.6965591247257115E-4</v>
      </c>
      <c r="K354" s="164">
        <v>1.7283897619629562E-2</v>
      </c>
      <c r="L354" s="164">
        <v>0</v>
      </c>
      <c r="M354" s="164">
        <v>3.4256217957047868E-7</v>
      </c>
      <c r="N354" s="164">
        <v>2.3180170599795959E-2</v>
      </c>
    </row>
    <row r="355" spans="1:14" x14ac:dyDescent="0.25">
      <c r="A355" s="165"/>
      <c r="B355" s="164" t="s">
        <v>363</v>
      </c>
      <c r="C355" s="164">
        <v>1.364623687619921E-3</v>
      </c>
      <c r="D355" s="164">
        <v>-2.0420825625581466E-4</v>
      </c>
      <c r="E355" s="164">
        <v>7.6311881817276459E-4</v>
      </c>
      <c r="F355" s="164">
        <v>-3.8155940908638231E-5</v>
      </c>
      <c r="G355" s="164">
        <v>3.6264505802320927E-3</v>
      </c>
      <c r="H355" s="164">
        <v>2.0347764046985059E-3</v>
      </c>
      <c r="I355" s="164">
        <v>4.0016006402561026E-3</v>
      </c>
      <c r="J355" s="164">
        <v>8.8938675875263335E-4</v>
      </c>
      <c r="K355" s="164">
        <v>1.0660380348701126E-2</v>
      </c>
      <c r="L355" s="164">
        <v>2.280494455759903E-4</v>
      </c>
      <c r="M355" s="164">
        <v>4.5496539474204176E-7</v>
      </c>
      <c r="N355" s="164">
        <v>2.3326477452239425E-2</v>
      </c>
    </row>
    <row r="356" spans="1:14" x14ac:dyDescent="0.25">
      <c r="A356" s="165"/>
      <c r="B356" s="164" t="s">
        <v>354</v>
      </c>
      <c r="C356" s="164">
        <v>1.0902430594344164E-3</v>
      </c>
      <c r="D356" s="164">
        <v>-1.6353645891516245E-4</v>
      </c>
      <c r="E356" s="164">
        <v>1.0174917575636864E-3</v>
      </c>
      <c r="F356" s="164">
        <v>-5.0874587878184312E-5</v>
      </c>
      <c r="G356" s="164">
        <v>1.5506202480992397E-3</v>
      </c>
      <c r="H356" s="164">
        <v>1.6256502601040416E-3</v>
      </c>
      <c r="I356" s="164">
        <v>1.6256502601040416E-3</v>
      </c>
      <c r="J356" s="164">
        <v>8.3706989059071399E-4</v>
      </c>
      <c r="K356" s="164">
        <v>1.6223295091115197E-2</v>
      </c>
      <c r="L356" s="164">
        <v>0</v>
      </c>
      <c r="M356" s="164">
        <v>4.2820272446309834E-7</v>
      </c>
      <c r="N356" s="164">
        <v>2.3756037722942453E-2</v>
      </c>
    </row>
    <row r="357" spans="1:14" x14ac:dyDescent="0.25">
      <c r="A357" s="165"/>
      <c r="B357" s="164" t="s">
        <v>345</v>
      </c>
      <c r="C357" s="164">
        <v>1.0397745068075209E-3</v>
      </c>
      <c r="D357" s="164">
        <v>-1.0288771335031333E-4</v>
      </c>
      <c r="E357" s="164">
        <v>6.8982996659853576E-5</v>
      </c>
      <c r="F357" s="164">
        <v>-6.8982996659853564E-6</v>
      </c>
      <c r="G357" s="164">
        <v>1.0654632223259673E-3</v>
      </c>
      <c r="H357" s="164">
        <v>4.305425874053325E-4</v>
      </c>
      <c r="I357" s="164">
        <v>8.6011184229469056E-5</v>
      </c>
      <c r="J357" s="164">
        <v>6.5837900060073855E-3</v>
      </c>
      <c r="K357" s="164">
        <v>1.4364715316188228E-2</v>
      </c>
      <c r="L357" s="164">
        <v>3.8266659653780032E-4</v>
      </c>
      <c r="M357" s="164">
        <v>5.4232271560286516E-6</v>
      </c>
      <c r="N357" s="164">
        <v>2.391758363030129E-2</v>
      </c>
    </row>
    <row r="358" spans="1:14" x14ac:dyDescent="0.25">
      <c r="A358" s="165"/>
      <c r="B358" s="164" t="s">
        <v>387</v>
      </c>
      <c r="C358" s="164">
        <v>1.0347449498978036E-3</v>
      </c>
      <c r="D358" s="164">
        <v>-5.2575506979843073E-5</v>
      </c>
      <c r="E358" s="164">
        <v>6.8982996659853576E-5</v>
      </c>
      <c r="F358" s="164">
        <v>-6.8982996659853564E-6</v>
      </c>
      <c r="G358" s="164">
        <v>1.0654632223259673E-3</v>
      </c>
      <c r="H358" s="164">
        <v>4.305425874053325E-4</v>
      </c>
      <c r="I358" s="164">
        <v>8.6011184229469056E-5</v>
      </c>
      <c r="J358" s="164">
        <v>3.8143587647444083E-3</v>
      </c>
      <c r="K358" s="164">
        <v>1.1829837822942339E-2</v>
      </c>
      <c r="L358" s="164">
        <v>0</v>
      </c>
      <c r="M358" s="164">
        <v>5.8582618483787648E-3</v>
      </c>
      <c r="N358" s="164">
        <v>2.4128729569938112E-2</v>
      </c>
    </row>
    <row r="359" spans="1:14" x14ac:dyDescent="0.25">
      <c r="A359" s="165"/>
      <c r="B359" s="164" t="s">
        <v>384</v>
      </c>
      <c r="C359" s="164">
        <v>1.0347449498978036E-3</v>
      </c>
      <c r="D359" s="164">
        <v>-5.2575506979843073E-5</v>
      </c>
      <c r="E359" s="164">
        <v>6.8982996659853576E-5</v>
      </c>
      <c r="F359" s="164">
        <v>-6.8982996659853564E-6</v>
      </c>
      <c r="G359" s="164">
        <v>1.0654632223259673E-3</v>
      </c>
      <c r="H359" s="164">
        <v>4.305425874053325E-4</v>
      </c>
      <c r="I359" s="164">
        <v>8.9502842587904882E-5</v>
      </c>
      <c r="J359" s="164">
        <v>3.8143587647444083E-3</v>
      </c>
      <c r="K359" s="164">
        <v>1.1833192553522012E-2</v>
      </c>
      <c r="L359" s="164">
        <v>0</v>
      </c>
      <c r="M359" s="164">
        <v>5.8582618483787648E-3</v>
      </c>
      <c r="N359" s="164">
        <v>2.4135575958876221E-2</v>
      </c>
    </row>
    <row r="360" spans="1:14" x14ac:dyDescent="0.25">
      <c r="A360" s="165"/>
      <c r="B360" s="164" t="s">
        <v>368</v>
      </c>
      <c r="C360" s="164">
        <v>7.0008498309645929E-4</v>
      </c>
      <c r="D360" s="164">
        <v>-1.046245099547301E-4</v>
      </c>
      <c r="E360" s="164">
        <v>5.0874587878184309E-4</v>
      </c>
      <c r="F360" s="164">
        <v>-2.5437293939092159E-5</v>
      </c>
      <c r="G360" s="164">
        <v>1.3005202080832333E-3</v>
      </c>
      <c r="H360" s="164">
        <v>1.1241887443383775E-3</v>
      </c>
      <c r="I360" s="164">
        <v>1.4005602240896359E-3</v>
      </c>
      <c r="J360" s="164">
        <v>1.2191096064563059E-3</v>
      </c>
      <c r="K360" s="164">
        <v>1.7945648880069512E-2</v>
      </c>
      <c r="L360" s="164">
        <v>8.9490535166311669E-5</v>
      </c>
      <c r="M360" s="164">
        <v>8.2449764531493981E-7</v>
      </c>
      <c r="N360" s="164">
        <v>2.415911175383317E-2</v>
      </c>
    </row>
    <row r="361" spans="1:14" x14ac:dyDescent="0.25">
      <c r="A361" s="165"/>
      <c r="B361" s="164" t="s">
        <v>359</v>
      </c>
      <c r="C361" s="164">
        <v>1.364623687619921E-3</v>
      </c>
      <c r="D361" s="164">
        <v>-2.0420825625581466E-4</v>
      </c>
      <c r="E361" s="164">
        <v>5.087458787818432E-4</v>
      </c>
      <c r="F361" s="164">
        <v>-2.5437293939092156E-5</v>
      </c>
      <c r="G361" s="164">
        <v>1.525610244097639E-3</v>
      </c>
      <c r="H361" s="164">
        <v>2.0347764046985059E-3</v>
      </c>
      <c r="I361" s="164">
        <v>1.6256502601040416E-3</v>
      </c>
      <c r="J361" s="164">
        <v>8.8938675875263335E-4</v>
      </c>
      <c r="K361" s="164">
        <v>1.651226412890678E-2</v>
      </c>
      <c r="L361" s="164">
        <v>1.4160157538674681E-4</v>
      </c>
      <c r="M361" s="164">
        <v>4.5496539474204176E-7</v>
      </c>
      <c r="N361" s="164">
        <v>2.4373468353547947E-2</v>
      </c>
    </row>
    <row r="362" spans="1:14" x14ac:dyDescent="0.25">
      <c r="A362" s="165"/>
      <c r="B362" s="164" t="s">
        <v>356</v>
      </c>
      <c r="C362" s="164">
        <v>8.7510622887057403E-4</v>
      </c>
      <c r="D362" s="164">
        <v>-1.3078063744341263E-4</v>
      </c>
      <c r="E362" s="164">
        <v>1.0174917575636864E-3</v>
      </c>
      <c r="F362" s="164">
        <v>-5.0874587878184312E-5</v>
      </c>
      <c r="G362" s="164">
        <v>1.5506202480992397E-3</v>
      </c>
      <c r="H362" s="164">
        <v>1.4052359304229719E-3</v>
      </c>
      <c r="I362" s="164">
        <v>1.6256502601040416E-3</v>
      </c>
      <c r="J362" s="164">
        <v>1.5238870080703825E-3</v>
      </c>
      <c r="K362" s="164">
        <v>1.682812151194741E-2</v>
      </c>
      <c r="L362" s="164">
        <v>1.4398392737494971E-4</v>
      </c>
      <c r="M362" s="164">
        <v>1.0306220566436748E-6</v>
      </c>
      <c r="N362" s="164">
        <v>2.47894722691883E-2</v>
      </c>
    </row>
    <row r="363" spans="1:14" x14ac:dyDescent="0.25">
      <c r="A363" s="165"/>
      <c r="B363" s="164" t="s">
        <v>367</v>
      </c>
      <c r="C363" s="164">
        <v>1.0916989500959369E-3</v>
      </c>
      <c r="D363" s="164">
        <v>-1.6336660500465173E-4</v>
      </c>
      <c r="E363" s="164">
        <v>5.0874587878184309E-4</v>
      </c>
      <c r="F363" s="164">
        <v>-2.5437293939092159E-5</v>
      </c>
      <c r="G363" s="164">
        <v>1.3005202080832333E-3</v>
      </c>
      <c r="H363" s="164">
        <v>1.6278211237588046E-3</v>
      </c>
      <c r="I363" s="164">
        <v>1.4005602240896359E-3</v>
      </c>
      <c r="J363" s="164">
        <v>7.1150940700210675E-4</v>
      </c>
      <c r="K363" s="164">
        <v>1.8900187879210835E-2</v>
      </c>
      <c r="L363" s="164">
        <v>9.4463400767744003E-5</v>
      </c>
      <c r="M363" s="164">
        <v>3.6397231579363343E-7</v>
      </c>
      <c r="N363" s="164">
        <v>2.5447067145162188E-2</v>
      </c>
    </row>
    <row r="364" spans="1:14" x14ac:dyDescent="0.25">
      <c r="A364" s="165"/>
      <c r="B364" s="164" t="s">
        <v>389</v>
      </c>
      <c r="C364" s="164">
        <v>1.0347449498978036E-3</v>
      </c>
      <c r="D364" s="164">
        <v>-5.2575506979843073E-5</v>
      </c>
      <c r="E364" s="164">
        <v>3.4491498329926784E-4</v>
      </c>
      <c r="F364" s="164">
        <v>-3.4491498329926788E-5</v>
      </c>
      <c r="G364" s="164">
        <v>1.0654632223259673E-3</v>
      </c>
      <c r="H364" s="164">
        <v>4.305425874053325E-4</v>
      </c>
      <c r="I364" s="164">
        <v>1.7869725535414797E-4</v>
      </c>
      <c r="J364" s="164">
        <v>1.9961810868829068E-3</v>
      </c>
      <c r="K364" s="164">
        <v>1.4854151667962478E-2</v>
      </c>
      <c r="L364" s="164">
        <v>0</v>
      </c>
      <c r="M364" s="164">
        <v>6.1733034624737292E-3</v>
      </c>
      <c r="N364" s="164">
        <v>2.5990932210291862E-2</v>
      </c>
    </row>
    <row r="365" spans="1:14" x14ac:dyDescent="0.25">
      <c r="A365" s="165"/>
      <c r="B365" s="164" t="s">
        <v>355</v>
      </c>
      <c r="C365" s="164">
        <v>1.364623687619921E-3</v>
      </c>
      <c r="D365" s="164">
        <v>-2.0420825625581466E-4</v>
      </c>
      <c r="E365" s="164">
        <v>1.0174917575636864E-3</v>
      </c>
      <c r="F365" s="164">
        <v>-5.0874587878184312E-5</v>
      </c>
      <c r="G365" s="164">
        <v>1.5506202480992397E-3</v>
      </c>
      <c r="H365" s="164">
        <v>2.0347764046985059E-3</v>
      </c>
      <c r="I365" s="164">
        <v>1.6256502601040416E-3</v>
      </c>
      <c r="J365" s="164">
        <v>8.8938675875263335E-4</v>
      </c>
      <c r="K365" s="164">
        <v>1.7700549629442175E-2</v>
      </c>
      <c r="L365" s="164">
        <v>1.5179176478605921E-4</v>
      </c>
      <c r="M365" s="164">
        <v>4.5496539474204176E-7</v>
      </c>
      <c r="N365" s="164">
        <v>2.6080262632327007E-2</v>
      </c>
    </row>
    <row r="366" spans="1:14" x14ac:dyDescent="0.25">
      <c r="A366" s="165"/>
      <c r="B366" s="164" t="s">
        <v>349</v>
      </c>
      <c r="C366" s="164">
        <v>7.6317014160409149E-4</v>
      </c>
      <c r="D366" s="164">
        <v>-3.832836099071531E-5</v>
      </c>
      <c r="E366" s="164">
        <v>7.6311881817276459E-4</v>
      </c>
      <c r="F366" s="164">
        <v>-3.8155940908638231E-5</v>
      </c>
      <c r="G366" s="164">
        <v>1.6256502601040416E-3</v>
      </c>
      <c r="H366" s="164">
        <v>2.6260504201680674E-3</v>
      </c>
      <c r="I366" s="164">
        <v>1.7507002801120447E-3</v>
      </c>
      <c r="J366" s="164">
        <v>2.7715714285714288E-3</v>
      </c>
      <c r="K366" s="164">
        <v>1.3927782054255036E-2</v>
      </c>
      <c r="L366" s="164">
        <v>0</v>
      </c>
      <c r="M366" s="164">
        <v>2.5563252752773664E-3</v>
      </c>
      <c r="N366" s="164">
        <v>2.6707884376365485E-2</v>
      </c>
    </row>
    <row r="367" spans="1:14" x14ac:dyDescent="0.25">
      <c r="A367" s="165"/>
      <c r="B367" s="164" t="s">
        <v>390</v>
      </c>
      <c r="C367" s="164">
        <v>1.0347449498978036E-3</v>
      </c>
      <c r="D367" s="164">
        <v>-5.2575506979843073E-5</v>
      </c>
      <c r="E367" s="164">
        <v>6.8982996659853576E-5</v>
      </c>
      <c r="F367" s="164">
        <v>-6.8982996659853564E-6</v>
      </c>
      <c r="G367" s="164">
        <v>1.0654632223259673E-3</v>
      </c>
      <c r="H367" s="164">
        <v>4.305425874053325E-4</v>
      </c>
      <c r="I367" s="164">
        <v>8.6011184229469056E-5</v>
      </c>
      <c r="J367" s="164">
        <v>1.9961810868829068E-3</v>
      </c>
      <c r="K367" s="164">
        <v>1.6907248441954705E-2</v>
      </c>
      <c r="L367" s="164">
        <v>0</v>
      </c>
      <c r="M367" s="164">
        <v>6.1733034624737292E-3</v>
      </c>
      <c r="N367" s="164">
        <v>2.7703004125183936E-2</v>
      </c>
    </row>
    <row r="368" spans="1:14" x14ac:dyDescent="0.25">
      <c r="A368" s="165"/>
      <c r="B368" s="164" t="s">
        <v>385</v>
      </c>
      <c r="C368" s="164">
        <v>1.0347449498978036E-3</v>
      </c>
      <c r="D368" s="164">
        <v>-5.2575506979843073E-5</v>
      </c>
      <c r="E368" s="164">
        <v>3.4491498329926784E-4</v>
      </c>
      <c r="F368" s="164">
        <v>-3.4491498329926788E-5</v>
      </c>
      <c r="G368" s="164">
        <v>1.0654632223259673E-3</v>
      </c>
      <c r="H368" s="164">
        <v>4.305425874053325E-4</v>
      </c>
      <c r="I368" s="164">
        <v>1.7869725535414797E-4</v>
      </c>
      <c r="J368" s="164">
        <v>3.8143587647444083E-3</v>
      </c>
      <c r="K368" s="164">
        <v>1.6846680868769288E-2</v>
      </c>
      <c r="L368" s="164">
        <v>0</v>
      </c>
      <c r="M368" s="164">
        <v>5.8582618483787648E-3</v>
      </c>
      <c r="N368" s="164">
        <v>2.9486597474865213E-2</v>
      </c>
    </row>
    <row r="369" spans="1:14" x14ac:dyDescent="0.25">
      <c r="A369" s="165"/>
      <c r="B369" s="164" t="s">
        <v>386</v>
      </c>
      <c r="C369" s="164">
        <v>1.0347449498978036E-3</v>
      </c>
      <c r="D369" s="164">
        <v>-5.2575506979843073E-5</v>
      </c>
      <c r="E369" s="164">
        <v>6.8982996659853576E-5</v>
      </c>
      <c r="F369" s="164">
        <v>-6.8982996659853564E-6</v>
      </c>
      <c r="G369" s="164">
        <v>1.0654632223259673E-3</v>
      </c>
      <c r="H369" s="164">
        <v>4.305425874053325E-4</v>
      </c>
      <c r="I369" s="164">
        <v>8.6011184229469056E-5</v>
      </c>
      <c r="J369" s="164">
        <v>3.8143587647444083E-3</v>
      </c>
      <c r="K369" s="164">
        <v>1.925830741348698E-2</v>
      </c>
      <c r="L369" s="164">
        <v>0</v>
      </c>
      <c r="M369" s="164">
        <v>5.8582618483787648E-3</v>
      </c>
      <c r="N369" s="164">
        <v>3.1557199160482753E-2</v>
      </c>
    </row>
    <row r="370" spans="1:14" x14ac:dyDescent="0.25">
      <c r="A370" s="165"/>
      <c r="B370" s="164" t="s">
        <v>361</v>
      </c>
      <c r="C370" s="164">
        <v>7.6317014160409149E-4</v>
      </c>
      <c r="D370" s="164">
        <v>-3.832836099071531E-5</v>
      </c>
      <c r="E370" s="164">
        <v>7.6311881817276459E-4</v>
      </c>
      <c r="F370" s="164">
        <v>-3.8155940908638231E-5</v>
      </c>
      <c r="G370" s="164">
        <v>3.6264505802320927E-3</v>
      </c>
      <c r="H370" s="164">
        <v>2.6260504201680674E-3</v>
      </c>
      <c r="I370" s="164">
        <v>4.0016006402561026E-3</v>
      </c>
      <c r="J370" s="164">
        <v>2.7715714285714288E-3</v>
      </c>
      <c r="K370" s="164">
        <v>1.4573579345799854E-2</v>
      </c>
      <c r="L370" s="164">
        <v>0</v>
      </c>
      <c r="M370" s="164">
        <v>2.5563252752773664E-3</v>
      </c>
      <c r="N370" s="164">
        <v>3.1605382348182415E-2</v>
      </c>
    </row>
    <row r="371" spans="1:14" x14ac:dyDescent="0.25">
      <c r="A371" s="165"/>
      <c r="B371" s="164" t="s">
        <v>357</v>
      </c>
      <c r="C371" s="164">
        <v>7.6317014160409149E-4</v>
      </c>
      <c r="D371" s="164">
        <v>-3.832836099071531E-5</v>
      </c>
      <c r="E371" s="164">
        <v>5.087458787818432E-4</v>
      </c>
      <c r="F371" s="164">
        <v>-2.5437293939092156E-5</v>
      </c>
      <c r="G371" s="164">
        <v>1.525610244097639E-3</v>
      </c>
      <c r="H371" s="164">
        <v>2.6260504201680674E-3</v>
      </c>
      <c r="I371" s="164">
        <v>1.6256502601040416E-3</v>
      </c>
      <c r="J371" s="164">
        <v>2.7715714285714288E-3</v>
      </c>
      <c r="K371" s="164">
        <v>2.6273994235799812E-2</v>
      </c>
      <c r="L371" s="164">
        <v>0</v>
      </c>
      <c r="M371" s="164">
        <v>2.5563252752773664E-3</v>
      </c>
      <c r="N371" s="164">
        <v>3.8587352229474486E-2</v>
      </c>
    </row>
    <row r="372" spans="1:14" x14ac:dyDescent="0.25">
      <c r="A372" s="165"/>
      <c r="B372" s="164" t="s">
        <v>365</v>
      </c>
      <c r="C372" s="164">
        <v>6.1053611328327313E-4</v>
      </c>
      <c r="D372" s="164">
        <v>-3.0662688792572247E-5</v>
      </c>
      <c r="E372" s="164">
        <v>5.0874587878184309E-4</v>
      </c>
      <c r="F372" s="164">
        <v>-2.5437293939092159E-5</v>
      </c>
      <c r="G372" s="164">
        <v>1.3005202080832333E-3</v>
      </c>
      <c r="H372" s="164">
        <v>2.1008403361344541E-3</v>
      </c>
      <c r="I372" s="164">
        <v>1.4005602240896359E-3</v>
      </c>
      <c r="J372" s="164">
        <v>2.217257142857143E-3</v>
      </c>
      <c r="K372" s="164">
        <v>2.9580669054987924E-2</v>
      </c>
      <c r="L372" s="164">
        <v>0</v>
      </c>
      <c r="M372" s="164">
        <v>2.0450602202218928E-3</v>
      </c>
      <c r="N372" s="164">
        <v>3.9708089195707737E-2</v>
      </c>
    </row>
    <row r="373" spans="1:14" x14ac:dyDescent="0.25">
      <c r="A373" s="165"/>
      <c r="B373" s="164" t="s">
        <v>353</v>
      </c>
      <c r="C373" s="164">
        <v>7.6317014160409149E-4</v>
      </c>
      <c r="D373" s="164">
        <v>-3.832836099071531E-5</v>
      </c>
      <c r="E373" s="164">
        <v>1.0174917575636864E-3</v>
      </c>
      <c r="F373" s="164">
        <v>-5.0874587878184312E-5</v>
      </c>
      <c r="G373" s="164">
        <v>1.5506202480992397E-3</v>
      </c>
      <c r="H373" s="164">
        <v>2.6260504201680674E-3</v>
      </c>
      <c r="I373" s="164">
        <v>1.6256502601040416E-3</v>
      </c>
      <c r="J373" s="164">
        <v>2.7715714285714288E-3</v>
      </c>
      <c r="K373" s="164">
        <v>2.7462279736335207E-2</v>
      </c>
      <c r="L373" s="164">
        <v>0</v>
      </c>
      <c r="M373" s="164">
        <v>2.5563252752773664E-3</v>
      </c>
      <c r="N373" s="164">
        <v>4.028395631885423E-2</v>
      </c>
    </row>
    <row r="374" spans="1:14" x14ac:dyDescent="0.25">
      <c r="A374" s="165"/>
      <c r="B374" s="164" t="s">
        <v>373</v>
      </c>
      <c r="C374" s="164">
        <v>8.497708528469412E-3</v>
      </c>
      <c r="D374" s="164">
        <v>-2.1233726283419697E-3</v>
      </c>
      <c r="E374" s="164">
        <v>2.964391815717463E-3</v>
      </c>
      <c r="F374" s="164">
        <v>-7.4109795392936575E-4</v>
      </c>
      <c r="G374" s="164">
        <v>2.5454545454545455E-2</v>
      </c>
      <c r="H374" s="164">
        <v>5.4545454545454541E-3</v>
      </c>
      <c r="I374" s="164">
        <v>4.4000000000000003E-3</v>
      </c>
      <c r="J374" s="164">
        <v>3.3744831090442885E-3</v>
      </c>
      <c r="K374" s="164">
        <v>5.2829487710786029E-2</v>
      </c>
      <c r="L374" s="164">
        <v>2.5726284928699536E-3</v>
      </c>
      <c r="M374" s="164">
        <v>2.2812758930212777E-6</v>
      </c>
      <c r="N374" s="164">
        <v>0.10268560125959975</v>
      </c>
    </row>
    <row r="375" spans="1:14" x14ac:dyDescent="0.25">
      <c r="A375" s="165"/>
      <c r="B375" s="164" t="s">
        <v>376</v>
      </c>
      <c r="C375" s="164">
        <v>8.9023613155393838E-3</v>
      </c>
      <c r="D375" s="164">
        <v>-2.2244856106439686E-3</v>
      </c>
      <c r="E375" s="164">
        <v>1.552776665375814E-3</v>
      </c>
      <c r="F375" s="164">
        <v>-3.8819416634395349E-4</v>
      </c>
      <c r="G375" s="164">
        <v>2.6666666666666665E-2</v>
      </c>
      <c r="H375" s="164">
        <v>5.7142857142857143E-3</v>
      </c>
      <c r="I375" s="164">
        <v>4.4000000000000003E-3</v>
      </c>
      <c r="J375" s="164">
        <v>3.3744831090442877E-3</v>
      </c>
      <c r="K375" s="164">
        <v>5.7259443876853541E-2</v>
      </c>
      <c r="L375" s="164">
        <v>2.5732025895309971E-3</v>
      </c>
      <c r="M375" s="164">
        <v>2.2812758930212777E-6</v>
      </c>
      <c r="N375" s="164">
        <v>0.10783282143620151</v>
      </c>
    </row>
    <row r="376" spans="1:14" x14ac:dyDescent="0.25">
      <c r="A376" s="165"/>
      <c r="B376" s="164" t="s">
        <v>374</v>
      </c>
      <c r="C376" s="164">
        <v>9.0858113202051029E-3</v>
      </c>
      <c r="D376" s="164">
        <v>-2.2699193820295231E-3</v>
      </c>
      <c r="E376" s="164">
        <v>2.964391815717463E-3</v>
      </c>
      <c r="F376" s="164">
        <v>-7.4109795392936575E-4</v>
      </c>
      <c r="G376" s="164">
        <v>2.5454545454545455E-2</v>
      </c>
      <c r="H376" s="164">
        <v>6.5474078574617092E-3</v>
      </c>
      <c r="I376" s="164">
        <v>4.4000000000000003E-3</v>
      </c>
      <c r="J376" s="164">
        <v>7.3102100315233995E-3</v>
      </c>
      <c r="K376" s="164">
        <v>5.8759413488361334E-2</v>
      </c>
      <c r="L376" s="164">
        <v>1.1106988281009422E-3</v>
      </c>
      <c r="M376" s="164">
        <v>5.9135532882621105E-6</v>
      </c>
      <c r="N376" s="164">
        <v>0.11262737501324478</v>
      </c>
    </row>
    <row r="377" spans="1:14" x14ac:dyDescent="0.25">
      <c r="A377" s="165"/>
      <c r="B377" s="164" t="s">
        <v>377</v>
      </c>
      <c r="C377" s="164">
        <v>9.5184690021196325E-3</v>
      </c>
      <c r="D377" s="164">
        <v>-2.3780107811737857E-3</v>
      </c>
      <c r="E377" s="164">
        <v>1.552776665375814E-3</v>
      </c>
      <c r="F377" s="164">
        <v>-3.8819416634395349E-4</v>
      </c>
      <c r="G377" s="164">
        <v>2.6666666666666665E-2</v>
      </c>
      <c r="H377" s="164">
        <v>6.8591891840075045E-3</v>
      </c>
      <c r="I377" s="164">
        <v>4.4000000000000003E-3</v>
      </c>
      <c r="J377" s="164">
        <v>7.3102100315233995E-3</v>
      </c>
      <c r="K377" s="164">
        <v>6.3770957790438648E-2</v>
      </c>
      <c r="L377" s="164">
        <v>1.1124179278049692E-3</v>
      </c>
      <c r="M377" s="164">
        <v>5.9135532882621105E-6</v>
      </c>
      <c r="N377" s="164">
        <v>0.11843039587370717</v>
      </c>
    </row>
    <row r="378" spans="1:14" x14ac:dyDescent="0.25">
      <c r="A378" s="165"/>
      <c r="B378" s="164" t="s">
        <v>382</v>
      </c>
      <c r="C378" s="164">
        <v>1.0386088201462616E-2</v>
      </c>
      <c r="D378" s="164">
        <v>-2.5952332124179632E-3</v>
      </c>
      <c r="E378" s="164">
        <v>2.1135015723170798E-3</v>
      </c>
      <c r="F378" s="164">
        <v>-5.2837539307926996E-4</v>
      </c>
      <c r="G378" s="164">
        <v>3.111111111111111E-2</v>
      </c>
      <c r="H378" s="164">
        <v>6.6666666666666662E-3</v>
      </c>
      <c r="I378" s="164">
        <v>4.4000000000000003E-3</v>
      </c>
      <c r="J378" s="164">
        <v>3.3744831090442877E-3</v>
      </c>
      <c r="K378" s="164">
        <v>6.0652880293585773E-2</v>
      </c>
      <c r="L378" s="164">
        <v>2.9536028982929466E-3</v>
      </c>
      <c r="M378" s="164">
        <v>2.2812758930212777E-6</v>
      </c>
      <c r="N378" s="164">
        <v>0.11853700652287627</v>
      </c>
    </row>
    <row r="379" spans="1:14" x14ac:dyDescent="0.25">
      <c r="A379" s="165"/>
      <c r="B379" s="164" t="s">
        <v>383</v>
      </c>
      <c r="C379" s="164">
        <v>1.1104880502472903E-2</v>
      </c>
      <c r="D379" s="164">
        <v>-2.7743459113694167E-3</v>
      </c>
      <c r="E379" s="164">
        <v>2.1135015723170798E-3</v>
      </c>
      <c r="F379" s="164">
        <v>-5.2837539307926996E-4</v>
      </c>
      <c r="G379" s="164">
        <v>3.111111111111111E-2</v>
      </c>
      <c r="H379" s="164">
        <v>8.0023873813420895E-3</v>
      </c>
      <c r="I379" s="164">
        <v>4.4000000000000003E-3</v>
      </c>
      <c r="J379" s="164">
        <v>7.3102100315233995E-3</v>
      </c>
      <c r="K379" s="164">
        <v>6.6952203103245081E-2</v>
      </c>
      <c r="L379" s="164">
        <v>1.2655628964077376E-3</v>
      </c>
      <c r="M379" s="164">
        <v>5.9135532882621105E-6</v>
      </c>
      <c r="N379" s="164">
        <v>0.12896304884725901</v>
      </c>
    </row>
    <row r="380" spans="1:14" x14ac:dyDescent="0.25">
      <c r="A380" s="165"/>
      <c r="B380" s="164" t="s">
        <v>372</v>
      </c>
      <c r="C380" s="164">
        <v>6.7329270291914978E-3</v>
      </c>
      <c r="D380" s="164">
        <v>-1.0113075190954952E-3</v>
      </c>
      <c r="E380" s="164">
        <v>2.964391815717463E-3</v>
      </c>
      <c r="F380" s="164">
        <v>-7.4109795392936575E-4</v>
      </c>
      <c r="G380" s="164">
        <v>2.5454545454545455E-2</v>
      </c>
      <c r="H380" s="164">
        <v>7.2727272727272727E-3</v>
      </c>
      <c r="I380" s="164">
        <v>4.4000000000000003E-3</v>
      </c>
      <c r="J380" s="164">
        <v>9.604451272429336E-3</v>
      </c>
      <c r="K380" s="164">
        <v>7.0440409181026703E-2</v>
      </c>
      <c r="L380" s="164">
        <v>0</v>
      </c>
      <c r="M380" s="164">
        <v>8.8630828876566804E-3</v>
      </c>
      <c r="N380" s="164">
        <v>0.13398012944026955</v>
      </c>
    </row>
    <row r="381" spans="1:14" x14ac:dyDescent="0.25">
      <c r="A381" s="165"/>
      <c r="B381" s="164" t="s">
        <v>381</v>
      </c>
      <c r="C381" s="164">
        <v>8.2291330356784979E-3</v>
      </c>
      <c r="D381" s="164">
        <v>-1.2360425233389387E-3</v>
      </c>
      <c r="E381" s="164">
        <v>2.1135015723170798E-3</v>
      </c>
      <c r="F381" s="164">
        <v>-5.2837539307926996E-4</v>
      </c>
      <c r="G381" s="164">
        <v>3.111111111111111E-2</v>
      </c>
      <c r="H381" s="164">
        <v>8.8888888888888889E-3</v>
      </c>
      <c r="I381" s="164">
        <v>4.4000000000000003E-3</v>
      </c>
      <c r="J381" s="164">
        <v>9.604451272429336E-3</v>
      </c>
      <c r="K381" s="164">
        <v>6.8942703646012363E-2</v>
      </c>
      <c r="L381" s="164">
        <v>0</v>
      </c>
      <c r="M381" s="164">
        <v>8.8630828876566786E-3</v>
      </c>
      <c r="N381" s="164">
        <v>0.14038845449767579</v>
      </c>
    </row>
    <row r="382" spans="1:14" x14ac:dyDescent="0.25">
      <c r="A382" s="165"/>
      <c r="B382" s="164" t="s">
        <v>375</v>
      </c>
      <c r="C382" s="164">
        <v>7.0535426020101408E-3</v>
      </c>
      <c r="D382" s="164">
        <v>-1.0594650200048046E-3</v>
      </c>
      <c r="E382" s="164">
        <v>1.552776665375814E-3</v>
      </c>
      <c r="F382" s="164">
        <v>-3.8819416634395349E-4</v>
      </c>
      <c r="G382" s="164">
        <v>2.6666666666666665E-2</v>
      </c>
      <c r="H382" s="164">
        <v>7.619047619047619E-3</v>
      </c>
      <c r="I382" s="164">
        <v>4.4000000000000003E-3</v>
      </c>
      <c r="J382" s="164">
        <v>9.604451272429336E-3</v>
      </c>
      <c r="K382" s="164">
        <v>7.6408000661182016E-2</v>
      </c>
      <c r="L382" s="164">
        <v>0</v>
      </c>
      <c r="M382" s="164">
        <v>8.8630828876566786E-3</v>
      </c>
      <c r="N382" s="164">
        <v>0.14071990918801952</v>
      </c>
    </row>
    <row r="383" spans="1:14" x14ac:dyDescent="0.25">
      <c r="A383" s="165"/>
      <c r="B383" s="164" t="s">
        <v>379</v>
      </c>
      <c r="C383" s="164">
        <v>1.1983947924764555E-2</v>
      </c>
      <c r="D383" s="164">
        <v>-2.9944998604822652E-3</v>
      </c>
      <c r="E383" s="164">
        <v>2.7870350404181278E-3</v>
      </c>
      <c r="F383" s="164">
        <v>-6.9675876010453195E-4</v>
      </c>
      <c r="G383" s="164">
        <v>3.5897435897435902E-2</v>
      </c>
      <c r="H383" s="164">
        <v>7.6923076923076927E-3</v>
      </c>
      <c r="I383" s="164">
        <v>4.4000000000000003E-3</v>
      </c>
      <c r="J383" s="164">
        <v>3.3744831090442877E-3</v>
      </c>
      <c r="K383" s="164">
        <v>7.4942315028961634E-2</v>
      </c>
      <c r="L383" s="164">
        <v>3.3678594488747021E-3</v>
      </c>
      <c r="M383" s="164">
        <v>2.2812758930212777E-6</v>
      </c>
      <c r="N383" s="164">
        <v>0.1407564067971131</v>
      </c>
    </row>
    <row r="384" spans="1:14" x14ac:dyDescent="0.25">
      <c r="A384" s="165"/>
      <c r="B384" s="164" t="s">
        <v>380</v>
      </c>
      <c r="C384" s="164">
        <v>1.2813323656699505E-2</v>
      </c>
      <c r="D384" s="164">
        <v>-3.2011683592724038E-3</v>
      </c>
      <c r="E384" s="164">
        <v>2.7870350404181278E-3</v>
      </c>
      <c r="F384" s="164">
        <v>-6.9675876010453195E-4</v>
      </c>
      <c r="G384" s="164">
        <v>3.5897435897435902E-2</v>
      </c>
      <c r="H384" s="164">
        <v>9.2335239015485654E-3</v>
      </c>
      <c r="I384" s="164">
        <v>4.4000000000000003E-3</v>
      </c>
      <c r="J384" s="164">
        <v>7.3102100315233995E-3</v>
      </c>
      <c r="K384" s="164">
        <v>8.2107038130745158E-2</v>
      </c>
      <c r="L384" s="164">
        <v>1.4322717484619857E-3</v>
      </c>
      <c r="M384" s="164">
        <v>5.9135532882621105E-6</v>
      </c>
      <c r="N384" s="164">
        <v>0.15208882484074399</v>
      </c>
    </row>
    <row r="385" spans="1:14" x14ac:dyDescent="0.25">
      <c r="A385" s="165"/>
      <c r="B385" s="164" t="s">
        <v>378</v>
      </c>
      <c r="C385" s="164">
        <v>9.4951535027059594E-3</v>
      </c>
      <c r="D385" s="164">
        <v>-1.4262029115449293E-3</v>
      </c>
      <c r="E385" s="164">
        <v>2.7870350404181278E-3</v>
      </c>
      <c r="F385" s="164">
        <v>-6.9675876010453195E-4</v>
      </c>
      <c r="G385" s="164">
        <v>3.5897435897435902E-2</v>
      </c>
      <c r="H385" s="164">
        <v>1.0256410256410255E-2</v>
      </c>
      <c r="I385" s="164">
        <v>4.4000000000000003E-3</v>
      </c>
      <c r="J385" s="164">
        <v>9.604451272429336E-3</v>
      </c>
      <c r="K385" s="164">
        <v>9.4587015958766452E-2</v>
      </c>
      <c r="L385" s="164">
        <v>0</v>
      </c>
      <c r="M385" s="164">
        <v>8.8630828876566786E-3</v>
      </c>
      <c r="N385" s="164">
        <v>0.17376762314417327</v>
      </c>
    </row>
    <row r="386" spans="1:14" x14ac:dyDescent="0.25">
      <c r="A386" s="165"/>
      <c r="B386" s="164" t="s">
        <v>370</v>
      </c>
      <c r="C386" s="164">
        <v>1.6995417056938824E-2</v>
      </c>
      <c r="D386" s="164">
        <v>-4.2467452566839394E-3</v>
      </c>
      <c r="E386" s="164">
        <v>3.9525224209566176E-3</v>
      </c>
      <c r="F386" s="164">
        <v>-9.8813060523915441E-4</v>
      </c>
      <c r="G386" s="164">
        <v>5.0909090909090911E-2</v>
      </c>
      <c r="H386" s="164">
        <v>1.0909090909090908E-2</v>
      </c>
      <c r="I386" s="164">
        <v>4.4000000000000003E-3</v>
      </c>
      <c r="J386" s="164">
        <v>3.3744831090442885E-3</v>
      </c>
      <c r="K386" s="164">
        <v>0.12053542189797735</v>
      </c>
      <c r="L386" s="164">
        <v>4.6046727573994528E-3</v>
      </c>
      <c r="M386" s="164">
        <v>2.2812758930212777E-6</v>
      </c>
      <c r="N386" s="164">
        <v>0.21044810447446827</v>
      </c>
    </row>
    <row r="387" spans="1:14" x14ac:dyDescent="0.25">
      <c r="A387" s="165"/>
      <c r="B387" s="164" t="s">
        <v>371</v>
      </c>
      <c r="C387" s="164">
        <v>1.8171622640410206E-2</v>
      </c>
      <c r="D387" s="164">
        <v>-4.5398387640590461E-3</v>
      </c>
      <c r="E387" s="164">
        <v>3.9525224209566176E-3</v>
      </c>
      <c r="F387" s="164">
        <v>-9.8813060523915441E-4</v>
      </c>
      <c r="G387" s="164">
        <v>5.0909090909090911E-2</v>
      </c>
      <c r="H387" s="164">
        <v>1.3094815714923418E-2</v>
      </c>
      <c r="I387" s="164">
        <v>4.4000000000000003E-3</v>
      </c>
      <c r="J387" s="164">
        <v>7.3102100315233995E-3</v>
      </c>
      <c r="K387" s="164">
        <v>0.13021340696332451</v>
      </c>
      <c r="L387" s="164">
        <v>1.9308919265353247E-3</v>
      </c>
      <c r="M387" s="164">
        <v>5.9135532882621105E-6</v>
      </c>
      <c r="N387" s="164">
        <v>0.22446050479075447</v>
      </c>
    </row>
    <row r="388" spans="1:14" x14ac:dyDescent="0.25">
      <c r="A388" s="165"/>
      <c r="B388" s="164" t="s">
        <v>369</v>
      </c>
      <c r="C388" s="164">
        <v>1.3465854058382996E-2</v>
      </c>
      <c r="D388" s="164">
        <v>-2.0226150381909905E-3</v>
      </c>
      <c r="E388" s="164">
        <v>3.9525224209566176E-3</v>
      </c>
      <c r="F388" s="164">
        <v>-9.8813060523915441E-4</v>
      </c>
      <c r="G388" s="164">
        <v>5.0909090909090911E-2</v>
      </c>
      <c r="H388" s="164">
        <v>1.4545454545454545E-2</v>
      </c>
      <c r="I388" s="164">
        <v>4.4000000000000003E-3</v>
      </c>
      <c r="J388" s="164">
        <v>9.604451272429336E-3</v>
      </c>
      <c r="K388" s="164">
        <v>0.14459396086521706</v>
      </c>
      <c r="L388" s="164">
        <v>0</v>
      </c>
      <c r="M388" s="164">
        <v>8.8630828876566804E-3</v>
      </c>
      <c r="N388" s="164">
        <v>0.247323671315758</v>
      </c>
    </row>
    <row r="393" spans="1:14" x14ac:dyDescent="0.25">
      <c r="A393" s="171" t="s">
        <v>411</v>
      </c>
    </row>
    <row r="397" spans="1:14" x14ac:dyDescent="0.25">
      <c r="C397" s="164" t="s">
        <v>18</v>
      </c>
      <c r="D397" s="164" t="s">
        <v>28</v>
      </c>
      <c r="E397" s="164" t="s">
        <v>14</v>
      </c>
      <c r="F397" s="164" t="s">
        <v>25</v>
      </c>
      <c r="G397" s="164" t="s">
        <v>37</v>
      </c>
      <c r="H397" s="164" t="s">
        <v>52</v>
      </c>
      <c r="I397" s="164" t="s">
        <v>272</v>
      </c>
      <c r="J397" s="164" t="s">
        <v>67</v>
      </c>
      <c r="K397" s="164" t="s">
        <v>56</v>
      </c>
      <c r="L397" s="164" t="s">
        <v>73</v>
      </c>
      <c r="M397" s="164" t="s">
        <v>206</v>
      </c>
      <c r="N397" s="164" t="s">
        <v>392</v>
      </c>
    </row>
    <row r="398" spans="1:14" x14ac:dyDescent="0.25">
      <c r="A398" s="202">
        <v>2023</v>
      </c>
      <c r="B398" s="164" t="s">
        <v>391</v>
      </c>
      <c r="C398" s="164">
        <v>1.0347449498978036E-3</v>
      </c>
      <c r="D398" s="164">
        <v>-1.0336086682377807E-4</v>
      </c>
      <c r="E398" s="164">
        <v>6.8982996659853576E-5</v>
      </c>
      <c r="F398" s="164">
        <v>-6.8982996659853564E-6</v>
      </c>
      <c r="G398" s="164">
        <v>1.0654632223259673E-3</v>
      </c>
      <c r="H398" s="164">
        <v>4.305425874053325E-4</v>
      </c>
      <c r="I398" s="164">
        <v>8.6011184229469056E-5</v>
      </c>
      <c r="J398" s="164">
        <v>2.1494771182553069E-3</v>
      </c>
      <c r="K398" s="164">
        <v>6.4101374767547474E-3</v>
      </c>
      <c r="L398" s="164">
        <v>0</v>
      </c>
      <c r="M398" s="164">
        <v>1.9330162494961441E-3</v>
      </c>
    </row>
    <row r="399" spans="1:14" x14ac:dyDescent="0.25">
      <c r="A399" s="202"/>
      <c r="B399" s="164" t="s">
        <v>388</v>
      </c>
      <c r="C399" s="164">
        <v>1.0347449498978036E-3</v>
      </c>
      <c r="D399" s="164">
        <v>-1.0336086682377807E-4</v>
      </c>
      <c r="E399" s="164">
        <v>6.8982996659853576E-5</v>
      </c>
      <c r="F399" s="164">
        <v>-6.8982996659853564E-6</v>
      </c>
      <c r="G399" s="164">
        <v>1.0654632223259673E-3</v>
      </c>
      <c r="H399" s="164">
        <v>4.305425874053325E-4</v>
      </c>
      <c r="I399" s="164">
        <v>8.9502842587904882E-5</v>
      </c>
      <c r="J399" s="164">
        <v>2.1494771182553069E-3</v>
      </c>
      <c r="K399" s="164">
        <v>6.4134922073344211E-3</v>
      </c>
      <c r="L399" s="164">
        <v>0</v>
      </c>
      <c r="M399" s="164">
        <v>1.9330162494961441E-3</v>
      </c>
    </row>
    <row r="400" spans="1:14" x14ac:dyDescent="0.25">
      <c r="A400" s="202"/>
      <c r="B400" s="164" t="s">
        <v>350</v>
      </c>
      <c r="C400" s="164">
        <v>1.0902430594344164E-3</v>
      </c>
      <c r="D400" s="164">
        <v>-1.6353645891516245E-4</v>
      </c>
      <c r="E400" s="164">
        <v>7.6311881817276459E-4</v>
      </c>
      <c r="F400" s="164">
        <v>-3.8155940908638231E-5</v>
      </c>
      <c r="G400" s="164">
        <v>1.6256502601040416E-3</v>
      </c>
      <c r="H400" s="164">
        <v>1.6256502601040416E-3</v>
      </c>
      <c r="I400" s="164">
        <v>1.7507002801120447E-3</v>
      </c>
      <c r="J400" s="164">
        <v>1.0537248141199494E-3</v>
      </c>
      <c r="K400" s="164">
        <v>8.4609173316454768E-3</v>
      </c>
      <c r="L400" s="164">
        <v>0</v>
      </c>
      <c r="M400" s="164">
        <v>2.6370562862784274E-5</v>
      </c>
    </row>
    <row r="401" spans="1:13" x14ac:dyDescent="0.25">
      <c r="A401" s="202"/>
      <c r="B401" s="164" t="s">
        <v>389</v>
      </c>
      <c r="C401" s="164">
        <v>1.0347449498978036E-3</v>
      </c>
      <c r="D401" s="164">
        <v>-1.0336086682377807E-4</v>
      </c>
      <c r="E401" s="164">
        <v>3.4491498329926784E-4</v>
      </c>
      <c r="F401" s="164">
        <v>-3.4491498329926788E-5</v>
      </c>
      <c r="G401" s="164">
        <v>1.0654632223259673E-3</v>
      </c>
      <c r="H401" s="164">
        <v>4.305425874053325E-4</v>
      </c>
      <c r="I401" s="164">
        <v>1.7869725535414797E-4</v>
      </c>
      <c r="J401" s="164">
        <v>2.1494771182553069E-3</v>
      </c>
      <c r="K401" s="164">
        <v>9.3691920665066718E-3</v>
      </c>
      <c r="L401" s="164">
        <v>0</v>
      </c>
      <c r="M401" s="164">
        <v>1.9330162494961441E-3</v>
      </c>
    </row>
    <row r="402" spans="1:13" x14ac:dyDescent="0.25">
      <c r="A402" s="202"/>
      <c r="B402" s="164" t="s">
        <v>387</v>
      </c>
      <c r="C402" s="164">
        <v>1.0347449498978036E-3</v>
      </c>
      <c r="D402" s="164">
        <v>-1.0336086682377807E-4</v>
      </c>
      <c r="E402" s="164">
        <v>6.8982996659853576E-5</v>
      </c>
      <c r="F402" s="164">
        <v>-6.8982996659853564E-6</v>
      </c>
      <c r="G402" s="164">
        <v>1.0654632223259673E-3</v>
      </c>
      <c r="H402" s="164">
        <v>4.305425874053325E-4</v>
      </c>
      <c r="I402" s="164">
        <v>8.6011184229469056E-5</v>
      </c>
      <c r="J402" s="164">
        <v>4.1072811176853007E-3</v>
      </c>
      <c r="K402" s="164">
        <v>8.1963859394884164E-3</v>
      </c>
      <c r="L402" s="164">
        <v>0</v>
      </c>
      <c r="M402" s="164">
        <v>1.8343688133195604E-3</v>
      </c>
    </row>
    <row r="403" spans="1:13" x14ac:dyDescent="0.25">
      <c r="A403" s="202"/>
      <c r="B403" s="164" t="s">
        <v>384</v>
      </c>
      <c r="C403" s="164">
        <v>1.0347449498978036E-3</v>
      </c>
      <c r="D403" s="164">
        <v>-1.0336086682377807E-4</v>
      </c>
      <c r="E403" s="164">
        <v>6.8982996659853576E-5</v>
      </c>
      <c r="F403" s="164">
        <v>-6.8982996659853564E-6</v>
      </c>
      <c r="G403" s="164">
        <v>1.0654632223259673E-3</v>
      </c>
      <c r="H403" s="164">
        <v>4.305425874053325E-4</v>
      </c>
      <c r="I403" s="164">
        <v>8.9502842587904882E-5</v>
      </c>
      <c r="J403" s="164">
        <v>4.1072811176853007E-3</v>
      </c>
      <c r="K403" s="164">
        <v>8.1997406700680883E-3</v>
      </c>
      <c r="L403" s="164">
        <v>0</v>
      </c>
      <c r="M403" s="164">
        <v>1.8343688133195604E-3</v>
      </c>
    </row>
    <row r="404" spans="1:13" x14ac:dyDescent="0.25">
      <c r="A404" s="202"/>
      <c r="B404" s="164" t="s">
        <v>390</v>
      </c>
      <c r="C404" s="164">
        <v>1.0347449498978036E-3</v>
      </c>
      <c r="D404" s="164">
        <v>-1.0336086682377807E-4</v>
      </c>
      <c r="E404" s="164">
        <v>6.8982996659853576E-5</v>
      </c>
      <c r="F404" s="164">
        <v>-6.8982996659853564E-6</v>
      </c>
      <c r="G404" s="164">
        <v>1.0654632223259673E-3</v>
      </c>
      <c r="H404" s="164">
        <v>4.305425874053325E-4</v>
      </c>
      <c r="I404" s="164">
        <v>8.6011184229469056E-5</v>
      </c>
      <c r="J404" s="164">
        <v>2.1494771182553069E-3</v>
      </c>
      <c r="K404" s="164">
        <v>1.0435341543790697E-2</v>
      </c>
      <c r="L404" s="164">
        <v>0</v>
      </c>
      <c r="M404" s="164">
        <v>1.9330162494961441E-3</v>
      </c>
    </row>
    <row r="405" spans="1:13" x14ac:dyDescent="0.25">
      <c r="A405" s="202"/>
      <c r="B405" s="164" t="s">
        <v>385</v>
      </c>
      <c r="C405" s="164">
        <v>1.0347449498978036E-3</v>
      </c>
      <c r="D405" s="164">
        <v>-1.0336086682377807E-4</v>
      </c>
      <c r="E405" s="164">
        <v>3.4491498329926784E-4</v>
      </c>
      <c r="F405" s="164">
        <v>-3.4491498329926788E-5</v>
      </c>
      <c r="G405" s="164">
        <v>1.0654632223259673E-3</v>
      </c>
      <c r="H405" s="164">
        <v>4.305425874053325E-4</v>
      </c>
      <c r="I405" s="164">
        <v>1.7869725535414797E-4</v>
      </c>
      <c r="J405" s="164">
        <v>4.1072811176853007E-3</v>
      </c>
      <c r="K405" s="164">
        <v>1.1833655417796072E-2</v>
      </c>
      <c r="L405" s="164">
        <v>0</v>
      </c>
      <c r="M405" s="164">
        <v>1.8343688133195604E-3</v>
      </c>
    </row>
    <row r="406" spans="1:13" x14ac:dyDescent="0.25">
      <c r="A406" s="202"/>
      <c r="B406" s="164" t="s">
        <v>386</v>
      </c>
      <c r="C406" s="164">
        <v>1.0347449498978036E-3</v>
      </c>
      <c r="D406" s="164">
        <v>-1.0336086682377807E-4</v>
      </c>
      <c r="E406" s="164">
        <v>6.8982996659853576E-5</v>
      </c>
      <c r="F406" s="164">
        <v>-6.8982996659853564E-6</v>
      </c>
      <c r="G406" s="164">
        <v>1.0654632223259673E-3</v>
      </c>
      <c r="H406" s="164">
        <v>4.305425874053325E-4</v>
      </c>
      <c r="I406" s="164">
        <v>8.6011184229469056E-5</v>
      </c>
      <c r="J406" s="164">
        <v>4.1072811176853007E-3</v>
      </c>
      <c r="K406" s="164">
        <v>1.3343253091443465E-2</v>
      </c>
      <c r="L406" s="164">
        <v>0</v>
      </c>
      <c r="M406" s="164">
        <v>1.8343688133195604E-3</v>
      </c>
    </row>
    <row r="407" spans="1:13" x14ac:dyDescent="0.25">
      <c r="A407" s="202"/>
      <c r="B407" s="164" t="s">
        <v>362</v>
      </c>
      <c r="C407" s="164">
        <v>1.0902430594344164E-3</v>
      </c>
      <c r="D407" s="164">
        <v>-1.6353645891516245E-4</v>
      </c>
      <c r="E407" s="164">
        <v>7.6311881817276459E-4</v>
      </c>
      <c r="F407" s="164">
        <v>-3.8155940908638231E-5</v>
      </c>
      <c r="G407" s="164">
        <v>3.6264505802320927E-3</v>
      </c>
      <c r="H407" s="164">
        <v>1.6256502601040416E-3</v>
      </c>
      <c r="I407" s="164">
        <v>4.0016006402561026E-3</v>
      </c>
      <c r="J407" s="164">
        <v>1.0537248141199494E-3</v>
      </c>
      <c r="K407" s="164">
        <v>1.0274848110927385E-2</v>
      </c>
      <c r="L407" s="164">
        <v>0</v>
      </c>
      <c r="M407" s="164">
        <v>2.6370562862784274E-5</v>
      </c>
    </row>
    <row r="408" spans="1:13" x14ac:dyDescent="0.25">
      <c r="A408" s="202"/>
      <c r="B408" s="164" t="s">
        <v>351</v>
      </c>
      <c r="C408" s="164">
        <v>2.1696909640280381E-3</v>
      </c>
      <c r="D408" s="164">
        <v>-1.1028374067486764E-4</v>
      </c>
      <c r="E408" s="164">
        <v>7.6311881817276459E-4</v>
      </c>
      <c r="F408" s="164">
        <v>-3.8155940908638231E-5</v>
      </c>
      <c r="G408" s="164">
        <v>1.6256502601040416E-3</v>
      </c>
      <c r="H408" s="164">
        <v>3.235203975384487E-3</v>
      </c>
      <c r="I408" s="164">
        <v>1.7507002801120447E-3</v>
      </c>
      <c r="J408" s="164">
        <v>1.1195826150024461E-3</v>
      </c>
      <c r="K408" s="164">
        <v>1.1504824322419243E-2</v>
      </c>
      <c r="L408" s="164">
        <v>3.9063544221873935E-4</v>
      </c>
      <c r="M408" s="164">
        <v>2.8018723041708291E-5</v>
      </c>
    </row>
    <row r="409" spans="1:13" x14ac:dyDescent="0.25">
      <c r="A409" s="202"/>
      <c r="B409" s="164" t="s">
        <v>349</v>
      </c>
      <c r="C409" s="164">
        <v>7.6317014160409149E-4</v>
      </c>
      <c r="D409" s="164">
        <v>-1.1346797345547289E-4</v>
      </c>
      <c r="E409" s="164">
        <v>7.6311881817276459E-4</v>
      </c>
      <c r="F409" s="164">
        <v>-3.8155940908638231E-5</v>
      </c>
      <c r="G409" s="164">
        <v>1.6256502601040416E-3</v>
      </c>
      <c r="H409" s="164">
        <v>2.6260504201680674E-3</v>
      </c>
      <c r="I409" s="164">
        <v>1.7507002801120447E-3</v>
      </c>
      <c r="J409" s="164">
        <v>2.7715714285714288E-3</v>
      </c>
      <c r="K409" s="164">
        <v>1.1881931563082686E-2</v>
      </c>
      <c r="L409" s="164">
        <v>0</v>
      </c>
      <c r="M409" s="164">
        <v>7.4298751127533757E-4</v>
      </c>
    </row>
    <row r="410" spans="1:13" x14ac:dyDescent="0.25">
      <c r="A410" s="202"/>
      <c r="B410" s="164" t="s">
        <v>358</v>
      </c>
      <c r="C410" s="164">
        <v>1.0902430594344164E-3</v>
      </c>
      <c r="D410" s="164">
        <v>-1.6353645891516245E-4</v>
      </c>
      <c r="E410" s="164">
        <v>5.087458787818432E-4</v>
      </c>
      <c r="F410" s="164">
        <v>-2.5437293939092156E-5</v>
      </c>
      <c r="G410" s="164">
        <v>1.525610244097639E-3</v>
      </c>
      <c r="H410" s="164">
        <v>1.6256502601040416E-3</v>
      </c>
      <c r="I410" s="164">
        <v>1.6256502601040416E-3</v>
      </c>
      <c r="J410" s="164">
        <v>1.0537248141199494E-3</v>
      </c>
      <c r="K410" s="164">
        <v>1.5550528818373367E-2</v>
      </c>
      <c r="L410" s="164">
        <v>0</v>
      </c>
      <c r="M410" s="164">
        <v>2.6370562862784274E-5</v>
      </c>
    </row>
    <row r="411" spans="1:13" x14ac:dyDescent="0.25">
      <c r="A411" s="202"/>
      <c r="B411" s="164" t="s">
        <v>366</v>
      </c>
      <c r="C411" s="164">
        <v>8.7219444754753307E-4</v>
      </c>
      <c r="D411" s="164">
        <v>-1.3082916713212997E-4</v>
      </c>
      <c r="E411" s="164">
        <v>5.0874587878184309E-4</v>
      </c>
      <c r="F411" s="164">
        <v>-2.5437293939092159E-5</v>
      </c>
      <c r="G411" s="164">
        <v>1.3005202080832333E-3</v>
      </c>
      <c r="H411" s="164">
        <v>1.3005202080832333E-3</v>
      </c>
      <c r="I411" s="164">
        <v>1.4005602240896359E-3</v>
      </c>
      <c r="J411" s="164">
        <v>8.429798512959595E-4</v>
      </c>
      <c r="K411" s="164">
        <v>1.7847936304156639E-2</v>
      </c>
      <c r="L411" s="164">
        <v>0</v>
      </c>
      <c r="M411" s="164">
        <v>2.1096450290227417E-5</v>
      </c>
    </row>
    <row r="412" spans="1:13" x14ac:dyDescent="0.25">
      <c r="A412" s="202"/>
      <c r="B412" s="164" t="s">
        <v>354</v>
      </c>
      <c r="C412" s="164">
        <v>1.0902430594344164E-3</v>
      </c>
      <c r="D412" s="164">
        <v>-1.6353645891516245E-4</v>
      </c>
      <c r="E412" s="164">
        <v>1.0174917575636864E-3</v>
      </c>
      <c r="F412" s="164">
        <v>-5.0874587878184312E-5</v>
      </c>
      <c r="G412" s="164">
        <v>1.5506202480992397E-3</v>
      </c>
      <c r="H412" s="164">
        <v>1.6256502601040416E-3</v>
      </c>
      <c r="I412" s="164">
        <v>1.6256502601040416E-3</v>
      </c>
      <c r="J412" s="164">
        <v>1.0537248141199494E-3</v>
      </c>
      <c r="K412" s="164">
        <v>1.6738814318908755E-2</v>
      </c>
      <c r="L412" s="164">
        <v>0</v>
      </c>
      <c r="M412" s="164">
        <v>2.6370562862784274E-5</v>
      </c>
    </row>
    <row r="413" spans="1:13" x14ac:dyDescent="0.25">
      <c r="A413" s="202"/>
      <c r="B413" s="164" t="s">
        <v>363</v>
      </c>
      <c r="C413" s="164">
        <v>2.1696909640280381E-3</v>
      </c>
      <c r="D413" s="164">
        <v>-1.1028374067486764E-4</v>
      </c>
      <c r="E413" s="164">
        <v>7.6311881817276459E-4</v>
      </c>
      <c r="F413" s="164">
        <v>-3.8155940908638231E-5</v>
      </c>
      <c r="G413" s="164">
        <v>3.6264505802320927E-3</v>
      </c>
      <c r="H413" s="164">
        <v>3.235203975384487E-3</v>
      </c>
      <c r="I413" s="164">
        <v>4.0016006402561026E-3</v>
      </c>
      <c r="J413" s="164">
        <v>1.1195826150024461E-3</v>
      </c>
      <c r="K413" s="164">
        <v>1.2668347625040086E-2</v>
      </c>
      <c r="L413" s="164">
        <v>5.4702812928758213E-4</v>
      </c>
      <c r="M413" s="164">
        <v>2.8018723041708291E-5</v>
      </c>
    </row>
    <row r="414" spans="1:13" x14ac:dyDescent="0.25">
      <c r="A414" s="202"/>
      <c r="B414" s="164" t="s">
        <v>361</v>
      </c>
      <c r="C414" s="164">
        <v>7.6317014160409149E-4</v>
      </c>
      <c r="D414" s="164">
        <v>-1.1346797345547289E-4</v>
      </c>
      <c r="E414" s="164">
        <v>7.6311881817276459E-4</v>
      </c>
      <c r="F414" s="164">
        <v>-3.8155940908638231E-5</v>
      </c>
      <c r="G414" s="164">
        <v>3.6264505802320927E-3</v>
      </c>
      <c r="H414" s="164">
        <v>2.6260504201680674E-3</v>
      </c>
      <c r="I414" s="164">
        <v>4.0016006402561026E-3</v>
      </c>
      <c r="J414" s="164">
        <v>2.7715714285714288E-3</v>
      </c>
      <c r="K414" s="164">
        <v>1.2964876395476299E-2</v>
      </c>
      <c r="L414" s="164">
        <v>0</v>
      </c>
      <c r="M414" s="164">
        <v>7.4298751127533757E-4</v>
      </c>
    </row>
    <row r="415" spans="1:13" x14ac:dyDescent="0.25">
      <c r="A415" s="202"/>
      <c r="B415" s="164" t="s">
        <v>352</v>
      </c>
      <c r="C415" s="164">
        <v>2.1632138711235615E-3</v>
      </c>
      <c r="D415" s="164">
        <v>-1.0931217673919614E-4</v>
      </c>
      <c r="E415" s="164">
        <v>7.6311881817276459E-4</v>
      </c>
      <c r="F415" s="164">
        <v>-3.8155940908638231E-5</v>
      </c>
      <c r="G415" s="164">
        <v>1.6256502601040416E-3</v>
      </c>
      <c r="H415" s="164">
        <v>3.4736649752972778E-3</v>
      </c>
      <c r="I415" s="164">
        <v>1.7507002801120447E-3</v>
      </c>
      <c r="J415" s="164">
        <v>3.7811888058906298E-3</v>
      </c>
      <c r="K415" s="164">
        <v>1.4679005149837691E-2</v>
      </c>
      <c r="L415" s="164">
        <v>2.4636092559168071E-4</v>
      </c>
      <c r="M415" s="164">
        <v>6.3470132672722201E-5</v>
      </c>
    </row>
    <row r="416" spans="1:13" x14ac:dyDescent="0.25">
      <c r="A416" s="202"/>
      <c r="B416" s="164" t="s">
        <v>347</v>
      </c>
      <c r="C416" s="164">
        <v>2.0676718491395704E-3</v>
      </c>
      <c r="D416" s="164">
        <v>-1.0351994625618128E-4</v>
      </c>
      <c r="E416" s="164">
        <v>6.8982996659853576E-5</v>
      </c>
      <c r="F416" s="164">
        <v>-6.8982996659853564E-6</v>
      </c>
      <c r="G416" s="164">
        <v>1.0654632223259673E-3</v>
      </c>
      <c r="H416" s="164">
        <v>2.9878618113912231E-4</v>
      </c>
      <c r="I416" s="164">
        <v>8.6011184229469056E-5</v>
      </c>
      <c r="J416" s="164">
        <v>1.1790342951953749E-2</v>
      </c>
      <c r="K416" s="164">
        <v>1.4934194212517798E-2</v>
      </c>
      <c r="L416" s="164">
        <v>1.3512273869737464E-3</v>
      </c>
      <c r="M416" s="164">
        <v>2.6311642110997044E-4</v>
      </c>
    </row>
    <row r="417" spans="1:13" x14ac:dyDescent="0.25">
      <c r="A417" s="202"/>
      <c r="B417" s="164" t="s">
        <v>338</v>
      </c>
      <c r="C417" s="164">
        <v>2.0676718491395704E-3</v>
      </c>
      <c r="D417" s="164">
        <v>-1.0351994625618128E-4</v>
      </c>
      <c r="E417" s="164">
        <v>6.8982996659853576E-5</v>
      </c>
      <c r="F417" s="164">
        <v>-6.8982996659853564E-6</v>
      </c>
      <c r="G417" s="164">
        <v>1.0654632223259673E-3</v>
      </c>
      <c r="H417" s="164">
        <v>2.9878618113912231E-4</v>
      </c>
      <c r="I417" s="164">
        <v>8.9502842587904882E-5</v>
      </c>
      <c r="J417" s="164">
        <v>1.1790342951953749E-2</v>
      </c>
      <c r="K417" s="164">
        <v>1.4937548943097472E-2</v>
      </c>
      <c r="L417" s="164">
        <v>1.3515309188396555E-3</v>
      </c>
      <c r="M417" s="164">
        <v>2.6311642110997044E-4</v>
      </c>
    </row>
    <row r="418" spans="1:13" x14ac:dyDescent="0.25">
      <c r="A418" s="202"/>
      <c r="B418" s="164" t="s">
        <v>359</v>
      </c>
      <c r="C418" s="164">
        <v>2.1696909640280381E-3</v>
      </c>
      <c r="D418" s="164">
        <v>-1.1028374067486764E-4</v>
      </c>
      <c r="E418" s="164">
        <v>5.087458787818432E-4</v>
      </c>
      <c r="F418" s="164">
        <v>-2.5437293939092156E-5</v>
      </c>
      <c r="G418" s="164">
        <v>1.525610244097639E-3</v>
      </c>
      <c r="H418" s="164">
        <v>3.235203975384487E-3</v>
      </c>
      <c r="I418" s="164">
        <v>1.6256502601040416E-3</v>
      </c>
      <c r="J418" s="164">
        <v>1.1195826150024461E-3</v>
      </c>
      <c r="K418" s="164">
        <v>2.1521269454121909E-2</v>
      </c>
      <c r="L418" s="164">
        <v>3.7253124998190904E-4</v>
      </c>
      <c r="M418" s="164">
        <v>2.8018723041708291E-5</v>
      </c>
    </row>
    <row r="419" spans="1:13" x14ac:dyDescent="0.25">
      <c r="A419" s="202"/>
      <c r="B419" s="164" t="s">
        <v>357</v>
      </c>
      <c r="C419" s="164">
        <v>7.6317014160409149E-4</v>
      </c>
      <c r="D419" s="164">
        <v>-1.1346797345547289E-4</v>
      </c>
      <c r="E419" s="164">
        <v>5.087458787818432E-4</v>
      </c>
      <c r="F419" s="164">
        <v>-2.5437293939092156E-5</v>
      </c>
      <c r="G419" s="164">
        <v>1.525610244097639E-3</v>
      </c>
      <c r="H419" s="164">
        <v>2.6260504201680674E-3</v>
      </c>
      <c r="I419" s="164">
        <v>1.6256502601040416E-3</v>
      </c>
      <c r="J419" s="164">
        <v>2.7715714285714288E-3</v>
      </c>
      <c r="K419" s="164">
        <v>2.2260979810807893E-2</v>
      </c>
      <c r="L419" s="164">
        <v>0</v>
      </c>
      <c r="M419" s="164">
        <v>7.4298751127533757E-4</v>
      </c>
    </row>
    <row r="420" spans="1:13" x14ac:dyDescent="0.25">
      <c r="A420" s="202"/>
      <c r="B420" s="164" t="s">
        <v>367</v>
      </c>
      <c r="C420" s="164">
        <v>1.7357527712224307E-3</v>
      </c>
      <c r="D420" s="164">
        <v>-8.822699253989411E-5</v>
      </c>
      <c r="E420" s="164">
        <v>5.0874587878184309E-4</v>
      </c>
      <c r="F420" s="164">
        <v>-2.5437293939092159E-5</v>
      </c>
      <c r="G420" s="164">
        <v>1.3005202080832333E-3</v>
      </c>
      <c r="H420" s="164">
        <v>2.5881631803075897E-3</v>
      </c>
      <c r="I420" s="164">
        <v>1.4005602240896359E-3</v>
      </c>
      <c r="J420" s="164">
        <v>8.9566609200195687E-4</v>
      </c>
      <c r="K420" s="164">
        <v>2.4380628999740327E-2</v>
      </c>
      <c r="L420" s="164">
        <v>2.4505998190501796E-4</v>
      </c>
      <c r="M420" s="164">
        <v>2.2414978433366635E-5</v>
      </c>
    </row>
    <row r="421" spans="1:13" x14ac:dyDescent="0.25">
      <c r="A421" s="202"/>
      <c r="B421" s="164" t="s">
        <v>364</v>
      </c>
      <c r="C421" s="164">
        <v>2.1632138711235615E-3</v>
      </c>
      <c r="D421" s="164">
        <v>-1.0931217673919614E-4</v>
      </c>
      <c r="E421" s="164">
        <v>7.6311881817276459E-4</v>
      </c>
      <c r="F421" s="164">
        <v>-3.8155940908638231E-5</v>
      </c>
      <c r="G421" s="164">
        <v>3.6264505802320927E-3</v>
      </c>
      <c r="H421" s="164">
        <v>3.4736649752972778E-3</v>
      </c>
      <c r="I421" s="164">
        <v>4.0016006402561026E-3</v>
      </c>
      <c r="J421" s="164">
        <v>3.7811888058906298E-3</v>
      </c>
      <c r="K421" s="164">
        <v>1.5164284685916136E-2</v>
      </c>
      <c r="L421" s="164">
        <v>3.2366457432390222E-4</v>
      </c>
      <c r="M421" s="164">
        <v>6.3470132672722201E-5</v>
      </c>
    </row>
    <row r="422" spans="1:13" x14ac:dyDescent="0.25">
      <c r="A422" s="202"/>
      <c r="B422" s="164" t="s">
        <v>355</v>
      </c>
      <c r="C422" s="164">
        <v>2.1696909640280381E-3</v>
      </c>
      <c r="D422" s="164">
        <v>-1.1028374067486764E-4</v>
      </c>
      <c r="E422" s="164">
        <v>1.0174917575636864E-3</v>
      </c>
      <c r="F422" s="164">
        <v>-5.0874587878184312E-5</v>
      </c>
      <c r="G422" s="164">
        <v>1.5506202480992397E-3</v>
      </c>
      <c r="H422" s="164">
        <v>3.235203975384487E-3</v>
      </c>
      <c r="I422" s="164">
        <v>1.6256502601040416E-3</v>
      </c>
      <c r="J422" s="164">
        <v>1.1195826150024461E-3</v>
      </c>
      <c r="K422" s="164">
        <v>2.2709554954657294E-2</v>
      </c>
      <c r="L422" s="164">
        <v>3.9310036574868694E-4</v>
      </c>
      <c r="M422" s="164">
        <v>2.8018723041708291E-5</v>
      </c>
    </row>
    <row r="423" spans="1:13" x14ac:dyDescent="0.25">
      <c r="A423" s="202"/>
      <c r="B423" s="164" t="s">
        <v>365</v>
      </c>
      <c r="C423" s="164">
        <v>6.1053611328327313E-4</v>
      </c>
      <c r="D423" s="164">
        <v>-9.0774378764378309E-5</v>
      </c>
      <c r="E423" s="164">
        <v>5.0874587878184309E-4</v>
      </c>
      <c r="F423" s="164">
        <v>-2.5437293939092159E-5</v>
      </c>
      <c r="G423" s="164">
        <v>1.3005202080832333E-3</v>
      </c>
      <c r="H423" s="164">
        <v>2.1008403361344541E-3</v>
      </c>
      <c r="I423" s="164">
        <v>1.4005602240896359E-3</v>
      </c>
      <c r="J423" s="164">
        <v>2.217257142857143E-3</v>
      </c>
      <c r="K423" s="164">
        <v>2.5189959154702641E-2</v>
      </c>
      <c r="L423" s="164">
        <v>0</v>
      </c>
      <c r="M423" s="164">
        <v>5.9439000902027008E-4</v>
      </c>
    </row>
    <row r="424" spans="1:13" x14ac:dyDescent="0.25">
      <c r="A424" s="202"/>
      <c r="B424" s="164" t="s">
        <v>353</v>
      </c>
      <c r="C424" s="164">
        <v>7.6317014160409149E-4</v>
      </c>
      <c r="D424" s="164">
        <v>-1.1346797345547289E-4</v>
      </c>
      <c r="E424" s="164">
        <v>1.0174917575636864E-3</v>
      </c>
      <c r="F424" s="164">
        <v>-5.0874587878184312E-5</v>
      </c>
      <c r="G424" s="164">
        <v>1.5506202480992397E-3</v>
      </c>
      <c r="H424" s="164">
        <v>2.6260504201680674E-3</v>
      </c>
      <c r="I424" s="164">
        <v>1.6256502601040416E-3</v>
      </c>
      <c r="J424" s="164">
        <v>2.7715714285714288E-3</v>
      </c>
      <c r="K424" s="164">
        <v>2.3449265311343285E-2</v>
      </c>
      <c r="L424" s="164">
        <v>0</v>
      </c>
      <c r="M424" s="164">
        <v>7.4298751127533757E-4</v>
      </c>
    </row>
    <row r="425" spans="1:13" x14ac:dyDescent="0.25">
      <c r="A425" s="202"/>
      <c r="B425" s="164" t="s">
        <v>346</v>
      </c>
      <c r="C425" s="164">
        <v>2.0678991054715748E-3</v>
      </c>
      <c r="D425" s="164">
        <v>-1.0354267188938173E-4</v>
      </c>
      <c r="E425" s="164">
        <v>6.8982996659853576E-5</v>
      </c>
      <c r="F425" s="164">
        <v>-6.8982996659853564E-6</v>
      </c>
      <c r="G425" s="164">
        <v>1.0654632223259673E-3</v>
      </c>
      <c r="H425" s="164">
        <v>2.9878618113912231E-4</v>
      </c>
      <c r="I425" s="164">
        <v>8.6011184229469056E-5</v>
      </c>
      <c r="J425" s="164">
        <v>1.3060247322593066E-2</v>
      </c>
      <c r="K425" s="164">
        <v>1.6149725145607221E-2</v>
      </c>
      <c r="L425" s="164">
        <v>1.8667438119986494E-3</v>
      </c>
      <c r="M425" s="164">
        <v>2.5815196033431064E-4</v>
      </c>
    </row>
    <row r="426" spans="1:13" x14ac:dyDescent="0.25">
      <c r="A426" s="202"/>
      <c r="B426" s="164" t="s">
        <v>337</v>
      </c>
      <c r="C426" s="164">
        <v>2.0678991054715748E-3</v>
      </c>
      <c r="D426" s="164">
        <v>-1.0354267188938173E-4</v>
      </c>
      <c r="E426" s="164">
        <v>6.8982996659853576E-5</v>
      </c>
      <c r="F426" s="164">
        <v>-6.8982996659853564E-6</v>
      </c>
      <c r="G426" s="164">
        <v>1.0654632223259673E-3</v>
      </c>
      <c r="H426" s="164">
        <v>2.9878618113912231E-4</v>
      </c>
      <c r="I426" s="164">
        <v>8.9502842587904882E-5</v>
      </c>
      <c r="J426" s="164">
        <v>1.3060247322593066E-2</v>
      </c>
      <c r="K426" s="164">
        <v>1.6153079876186895E-2</v>
      </c>
      <c r="L426" s="164">
        <v>1.8671315847002927E-3</v>
      </c>
      <c r="M426" s="164">
        <v>2.5815196033431064E-4</v>
      </c>
    </row>
    <row r="427" spans="1:13" x14ac:dyDescent="0.25">
      <c r="A427" s="202"/>
      <c r="B427" s="164" t="s">
        <v>341</v>
      </c>
      <c r="C427" s="164">
        <v>2.0676718491395704E-3</v>
      </c>
      <c r="D427" s="164">
        <v>-1.0351994625618128E-4</v>
      </c>
      <c r="E427" s="164">
        <v>3.4491498329926784E-4</v>
      </c>
      <c r="F427" s="164">
        <v>-3.4491498329926788E-5</v>
      </c>
      <c r="G427" s="164">
        <v>1.0654632223259673E-3</v>
      </c>
      <c r="H427" s="164">
        <v>2.9878618113912231E-4</v>
      </c>
      <c r="I427" s="164">
        <v>1.7869725535414797E-4</v>
      </c>
      <c r="J427" s="164">
        <v>1.1790342951953749E-2</v>
      </c>
      <c r="K427" s="164">
        <v>2.1129720272896415E-2</v>
      </c>
      <c r="L427" s="164">
        <v>1.3856702589881906E-3</v>
      </c>
      <c r="M427" s="164">
        <v>2.6311642110997044E-4</v>
      </c>
    </row>
    <row r="428" spans="1:13" x14ac:dyDescent="0.25">
      <c r="A428" s="202"/>
      <c r="B428" s="164" t="s">
        <v>360</v>
      </c>
      <c r="C428" s="164">
        <v>2.1632138711235615E-3</v>
      </c>
      <c r="D428" s="164">
        <v>-1.0931217673919614E-4</v>
      </c>
      <c r="E428" s="164">
        <v>5.087458787818432E-4</v>
      </c>
      <c r="F428" s="164">
        <v>-2.5437293939092156E-5</v>
      </c>
      <c r="G428" s="164">
        <v>1.525610244097639E-3</v>
      </c>
      <c r="H428" s="164">
        <v>3.4736649752972778E-3</v>
      </c>
      <c r="I428" s="164">
        <v>1.6256502601040416E-3</v>
      </c>
      <c r="J428" s="164">
        <v>3.7811888058906298E-3</v>
      </c>
      <c r="K428" s="164">
        <v>2.7747547230981169E-2</v>
      </c>
      <c r="L428" s="164">
        <v>2.3741216882122891E-4</v>
      </c>
      <c r="M428" s="164">
        <v>6.3470132672722201E-5</v>
      </c>
    </row>
    <row r="429" spans="1:13" x14ac:dyDescent="0.25">
      <c r="A429" s="202"/>
      <c r="B429" s="164" t="s">
        <v>344</v>
      </c>
      <c r="C429" s="164">
        <v>2.0676718491395704E-3</v>
      </c>
      <c r="D429" s="164">
        <v>-1.0351994625618128E-4</v>
      </c>
      <c r="E429" s="164">
        <v>6.8982996659853576E-5</v>
      </c>
      <c r="F429" s="164">
        <v>-6.8982996659853564E-6</v>
      </c>
      <c r="G429" s="164">
        <v>1.0654632223259673E-3</v>
      </c>
      <c r="H429" s="164">
        <v>2.9878618113912231E-4</v>
      </c>
      <c r="I429" s="164">
        <v>8.6011184229469056E-5</v>
      </c>
      <c r="J429" s="164">
        <v>1.1790342951953749E-2</v>
      </c>
      <c r="K429" s="164">
        <v>2.4312024173282508E-2</v>
      </c>
      <c r="L429" s="164">
        <v>1.3512273869737464E-3</v>
      </c>
      <c r="M429" s="164">
        <v>2.6311642110997044E-4</v>
      </c>
    </row>
    <row r="430" spans="1:13" x14ac:dyDescent="0.25">
      <c r="A430" s="202"/>
      <c r="B430" s="164" t="s">
        <v>340</v>
      </c>
      <c r="C430" s="164">
        <v>2.0678991054715748E-3</v>
      </c>
      <c r="D430" s="164">
        <v>-1.0354267188938173E-4</v>
      </c>
      <c r="E430" s="164">
        <v>3.4491498329926784E-4</v>
      </c>
      <c r="F430" s="164">
        <v>-3.4491498329926788E-5</v>
      </c>
      <c r="G430" s="164">
        <v>1.0654632223259673E-3</v>
      </c>
      <c r="H430" s="164">
        <v>2.9878618113912231E-4</v>
      </c>
      <c r="I430" s="164">
        <v>1.7869725535414797E-4</v>
      </c>
      <c r="J430" s="164">
        <v>1.3060247322593066E-2</v>
      </c>
      <c r="K430" s="164">
        <v>2.2806772205735022E-2</v>
      </c>
      <c r="L430" s="164">
        <v>1.9107458000384783E-3</v>
      </c>
      <c r="M430" s="164">
        <v>2.5815196033431064E-4</v>
      </c>
    </row>
    <row r="431" spans="1:13" x14ac:dyDescent="0.25">
      <c r="A431" s="202"/>
      <c r="B431" s="164" t="s">
        <v>368</v>
      </c>
      <c r="C431" s="164">
        <v>1.7305710968988492E-3</v>
      </c>
      <c r="D431" s="164">
        <v>-8.7449741391356912E-5</v>
      </c>
      <c r="E431" s="164">
        <v>5.0874587878184309E-4</v>
      </c>
      <c r="F431" s="164">
        <v>-2.5437293939092159E-5</v>
      </c>
      <c r="G431" s="164">
        <v>1.3005202080832333E-3</v>
      </c>
      <c r="H431" s="164">
        <v>2.7789319802378224E-3</v>
      </c>
      <c r="I431" s="164">
        <v>1.4005602240896359E-3</v>
      </c>
      <c r="J431" s="164">
        <v>3.0249510447125042E-3</v>
      </c>
      <c r="K431" s="164">
        <v>3.1192909390892233E-2</v>
      </c>
      <c r="L431" s="164">
        <v>1.5555136364477952E-4</v>
      </c>
      <c r="M431" s="164">
        <v>5.0776106138177758E-5</v>
      </c>
    </row>
    <row r="432" spans="1:13" x14ac:dyDescent="0.25">
      <c r="A432" s="202"/>
      <c r="B432" s="164" t="s">
        <v>356</v>
      </c>
      <c r="C432" s="164">
        <v>2.1632138711235615E-3</v>
      </c>
      <c r="D432" s="164">
        <v>-1.0931217673919614E-4</v>
      </c>
      <c r="E432" s="164">
        <v>1.0174917575636864E-3</v>
      </c>
      <c r="F432" s="164">
        <v>-5.0874587878184312E-5</v>
      </c>
      <c r="G432" s="164">
        <v>1.5506202480992397E-3</v>
      </c>
      <c r="H432" s="164">
        <v>3.4736649752972778E-3</v>
      </c>
      <c r="I432" s="164">
        <v>1.6256502601040416E-3</v>
      </c>
      <c r="J432" s="164">
        <v>3.7811888058906298E-3</v>
      </c>
      <c r="K432" s="164">
        <v>2.8935832731516557E-2</v>
      </c>
      <c r="L432" s="164">
        <v>2.475793174889114E-4</v>
      </c>
      <c r="M432" s="164">
        <v>6.3470132672722201E-5</v>
      </c>
    </row>
    <row r="433" spans="1:13" x14ac:dyDescent="0.25">
      <c r="A433" s="202"/>
      <c r="B433" s="164" t="s">
        <v>343</v>
      </c>
      <c r="C433" s="164">
        <v>2.0678991054715748E-3</v>
      </c>
      <c r="D433" s="164">
        <v>-1.0354267188938173E-4</v>
      </c>
      <c r="E433" s="164">
        <v>6.8982996659853576E-5</v>
      </c>
      <c r="F433" s="164">
        <v>-6.8982996659853564E-6</v>
      </c>
      <c r="G433" s="164">
        <v>1.0654632223259673E-3</v>
      </c>
      <c r="H433" s="164">
        <v>2.9878618113912231E-4</v>
      </c>
      <c r="I433" s="164">
        <v>8.6011184229469056E-5</v>
      </c>
      <c r="J433" s="164">
        <v>1.3060247322593066E-2</v>
      </c>
      <c r="K433" s="164">
        <v>2.6290839836726355E-2</v>
      </c>
      <c r="L433" s="164">
        <v>1.8667438119986494E-3</v>
      </c>
      <c r="M433" s="164">
        <v>2.5815196033431064E-4</v>
      </c>
    </row>
    <row r="434" spans="1:13" x14ac:dyDescent="0.25">
      <c r="A434" s="202"/>
      <c r="B434" s="164" t="s">
        <v>348</v>
      </c>
      <c r="C434" s="164">
        <v>1.3444866658711308E-3</v>
      </c>
      <c r="D434" s="164">
        <v>-6.7337961459558828E-5</v>
      </c>
      <c r="E434" s="164">
        <v>6.8982996659853576E-5</v>
      </c>
      <c r="F434" s="164">
        <v>-6.8982996659853564E-6</v>
      </c>
      <c r="G434" s="164">
        <v>1.0654632223259673E-3</v>
      </c>
      <c r="H434" s="164">
        <v>4.305425874053325E-4</v>
      </c>
      <c r="I434" s="164">
        <v>8.6011184229469056E-5</v>
      </c>
      <c r="J434" s="164">
        <v>2.6447470892304818E-2</v>
      </c>
      <c r="K434" s="164">
        <v>2.8551150428794473E-2</v>
      </c>
      <c r="L434" s="164">
        <v>1.2381876461467003E-3</v>
      </c>
      <c r="M434" s="164">
        <v>3.3398562051778328E-4</v>
      </c>
    </row>
    <row r="435" spans="1:13" x14ac:dyDescent="0.25">
      <c r="A435" s="202"/>
      <c r="B435" s="164" t="s">
        <v>339</v>
      </c>
      <c r="C435" s="164">
        <v>1.3444866658711308E-3</v>
      </c>
      <c r="D435" s="164">
        <v>-6.7337961459558828E-5</v>
      </c>
      <c r="E435" s="164">
        <v>6.8982996659853576E-5</v>
      </c>
      <c r="F435" s="164">
        <v>-6.8982996659853564E-6</v>
      </c>
      <c r="G435" s="164">
        <v>1.0654632223259673E-3</v>
      </c>
      <c r="H435" s="164">
        <v>4.305425874053325E-4</v>
      </c>
      <c r="I435" s="164">
        <v>8.9502842587904882E-5</v>
      </c>
      <c r="J435" s="164">
        <v>2.6447470892304818E-2</v>
      </c>
      <c r="K435" s="164">
        <v>2.855450515937415E-2</v>
      </c>
      <c r="L435" s="164">
        <v>1.2383331319116356E-3</v>
      </c>
      <c r="M435" s="164">
        <v>3.3398562051778328E-4</v>
      </c>
    </row>
    <row r="436" spans="1:13" x14ac:dyDescent="0.25">
      <c r="A436" s="202"/>
      <c r="B436" s="164" t="s">
        <v>342</v>
      </c>
      <c r="C436" s="164">
        <v>1.3444866658711308E-3</v>
      </c>
      <c r="D436" s="164">
        <v>-6.7337961459558828E-5</v>
      </c>
      <c r="E436" s="164">
        <v>3.4491498329926784E-4</v>
      </c>
      <c r="F436" s="164">
        <v>-3.4491498329926788E-5</v>
      </c>
      <c r="G436" s="164">
        <v>1.0654632223259673E-3</v>
      </c>
      <c r="H436" s="164">
        <v>4.305425874053325E-4</v>
      </c>
      <c r="I436" s="164">
        <v>1.7869725535414797E-4</v>
      </c>
      <c r="J436" s="164">
        <v>2.6447470892304818E-2</v>
      </c>
      <c r="K436" s="164">
        <v>3.9916854454536799E-2</v>
      </c>
      <c r="L436" s="164">
        <v>1.2546964484978669E-3</v>
      </c>
      <c r="M436" s="164">
        <v>3.3398562051778328E-4</v>
      </c>
    </row>
    <row r="437" spans="1:13" x14ac:dyDescent="0.25">
      <c r="A437" s="202"/>
      <c r="B437" s="164" t="s">
        <v>345</v>
      </c>
      <c r="C437" s="164">
        <v>1.3444866658711308E-3</v>
      </c>
      <c r="D437" s="164">
        <v>-6.7337961459558828E-5</v>
      </c>
      <c r="E437" s="164">
        <v>6.8982996659853576E-5</v>
      </c>
      <c r="F437" s="164">
        <v>-6.8982996659853564E-6</v>
      </c>
      <c r="G437" s="164">
        <v>1.0654632223259673E-3</v>
      </c>
      <c r="H437" s="164">
        <v>4.305425874053325E-4</v>
      </c>
      <c r="I437" s="164">
        <v>8.6011184229469056E-5</v>
      </c>
      <c r="J437" s="164">
        <v>2.6447470892304818E-2</v>
      </c>
      <c r="K437" s="164">
        <v>4.6479659332276088E-2</v>
      </c>
      <c r="L437" s="164">
        <v>1.2381876461467003E-3</v>
      </c>
      <c r="M437" s="164">
        <v>3.3398562051778328E-4</v>
      </c>
    </row>
    <row r="438" spans="1:13" x14ac:dyDescent="0.25">
      <c r="A438" s="202"/>
      <c r="B438" s="164" t="s">
        <v>372</v>
      </c>
      <c r="C438" s="164">
        <v>6.1563760604058963E-3</v>
      </c>
      <c r="D438" s="164">
        <v>-1.5302033910025385E-3</v>
      </c>
      <c r="E438" s="164">
        <v>2.964391815717463E-3</v>
      </c>
      <c r="F438" s="164">
        <v>-7.4109795392936575E-4</v>
      </c>
      <c r="G438" s="164">
        <v>2.5454545454545455E-2</v>
      </c>
      <c r="H438" s="164">
        <v>7.2727272727272727E-3</v>
      </c>
      <c r="I438" s="164">
        <v>4.4000000000000003E-3</v>
      </c>
      <c r="J438" s="164">
        <v>1.1573595723149675E-2</v>
      </c>
      <c r="K438" s="164">
        <v>6.5149603783989984E-2</v>
      </c>
      <c r="L438" s="164">
        <v>0</v>
      </c>
      <c r="M438" s="164">
        <v>3.105564911133563E-3</v>
      </c>
    </row>
    <row r="439" spans="1:13" x14ac:dyDescent="0.25">
      <c r="A439" s="202"/>
      <c r="B439" s="164" t="s">
        <v>375</v>
      </c>
      <c r="C439" s="164">
        <v>6.4495368251871292E-3</v>
      </c>
      <c r="D439" s="164">
        <v>-1.6030702191455165E-3</v>
      </c>
      <c r="E439" s="164">
        <v>1.552776665375814E-3</v>
      </c>
      <c r="F439" s="164">
        <v>-3.8819416634395349E-4</v>
      </c>
      <c r="G439" s="164">
        <v>2.6666666666666665E-2</v>
      </c>
      <c r="H439" s="164">
        <v>7.619047619047619E-3</v>
      </c>
      <c r="I439" s="164">
        <v>4.4000000000000003E-3</v>
      </c>
      <c r="J439" s="164">
        <v>1.1573595723149675E-2</v>
      </c>
      <c r="K439" s="164">
        <v>7.061358407215175E-2</v>
      </c>
      <c r="L439" s="164">
        <v>0</v>
      </c>
      <c r="M439" s="164">
        <v>3.1055649111335639E-3</v>
      </c>
    </row>
    <row r="440" spans="1:13" x14ac:dyDescent="0.25">
      <c r="A440" s="202"/>
      <c r="B440" s="164" t="s">
        <v>381</v>
      </c>
      <c r="C440" s="164">
        <v>7.5244596293849832E-3</v>
      </c>
      <c r="D440" s="164">
        <v>-1.8702485890031025E-3</v>
      </c>
      <c r="E440" s="164">
        <v>2.1135015723170798E-3</v>
      </c>
      <c r="F440" s="164">
        <v>-5.2837539307926996E-4</v>
      </c>
      <c r="G440" s="164">
        <v>3.111111111111111E-2</v>
      </c>
      <c r="H440" s="164">
        <v>8.8888888888888889E-3</v>
      </c>
      <c r="I440" s="164">
        <v>4.4000000000000003E-3</v>
      </c>
      <c r="J440" s="164">
        <v>1.1573595723149675E-2</v>
      </c>
      <c r="K440" s="164">
        <v>6.9625490706338555E-2</v>
      </c>
      <c r="L440" s="164">
        <v>0</v>
      </c>
      <c r="M440" s="164">
        <v>3.1055649111335639E-3</v>
      </c>
    </row>
    <row r="441" spans="1:13" x14ac:dyDescent="0.25">
      <c r="A441" s="202"/>
      <c r="B441" s="164" t="s">
        <v>373</v>
      </c>
      <c r="C441" s="164">
        <v>2.2614787309588272E-2</v>
      </c>
      <c r="D441" s="164">
        <v>-3.4381985932500987E-3</v>
      </c>
      <c r="E441" s="164">
        <v>2.964391815717463E-3</v>
      </c>
      <c r="F441" s="164">
        <v>-7.4109795392936575E-4</v>
      </c>
      <c r="G441" s="164">
        <v>2.5454545454545455E-2</v>
      </c>
      <c r="H441" s="164">
        <v>5.4545454545454541E-3</v>
      </c>
      <c r="I441" s="164">
        <v>4.4000000000000003E-3</v>
      </c>
      <c r="J441" s="164">
        <v>5.5397830482865063E-3</v>
      </c>
      <c r="K441" s="164">
        <v>6.9194063478279583E-2</v>
      </c>
      <c r="L441" s="164">
        <v>7.0448133436563226E-3</v>
      </c>
      <c r="M441" s="164">
        <v>1.4049076735721778E-4</v>
      </c>
    </row>
    <row r="442" spans="1:13" x14ac:dyDescent="0.25">
      <c r="A442" s="202"/>
      <c r="B442" s="164" t="s">
        <v>376</v>
      </c>
      <c r="C442" s="164">
        <v>2.3691681943378187E-2</v>
      </c>
      <c r="D442" s="164">
        <v>-3.6019223357858176E-3</v>
      </c>
      <c r="E442" s="164">
        <v>1.552776665375814E-3</v>
      </c>
      <c r="F442" s="164">
        <v>-3.8819416634395349E-4</v>
      </c>
      <c r="G442" s="164">
        <v>2.6666666666666665E-2</v>
      </c>
      <c r="H442" s="164">
        <v>5.7142857142857143E-3</v>
      </c>
      <c r="I442" s="164">
        <v>4.4000000000000003E-3</v>
      </c>
      <c r="J442" s="164">
        <v>5.5397830482865063E-3</v>
      </c>
      <c r="K442" s="164">
        <v>7.5707949094327057E-2</v>
      </c>
      <c r="L442" s="164">
        <v>7.1132539649722548E-3</v>
      </c>
      <c r="M442" s="164">
        <v>1.4049076735721778E-4</v>
      </c>
    </row>
    <row r="443" spans="1:13" x14ac:dyDescent="0.25">
      <c r="A443" s="202"/>
      <c r="B443" s="164" t="s">
        <v>382</v>
      </c>
      <c r="C443" s="164">
        <v>2.7640295600607889E-2</v>
      </c>
      <c r="D443" s="164">
        <v>-4.2022427250834543E-3</v>
      </c>
      <c r="E443" s="164">
        <v>2.1135015723170798E-3</v>
      </c>
      <c r="F443" s="164">
        <v>-5.2837539307926996E-4</v>
      </c>
      <c r="G443" s="164">
        <v>3.111111111111111E-2</v>
      </c>
      <c r="H443" s="164">
        <v>6.6666666666666662E-3</v>
      </c>
      <c r="I443" s="164">
        <v>4.4000000000000003E-3</v>
      </c>
      <c r="J443" s="164">
        <v>5.5397830482865063E-3</v>
      </c>
      <c r="K443" s="164">
        <v>8.0099479887204131E-2</v>
      </c>
      <c r="L443" s="164">
        <v>8.1551199100547145E-3</v>
      </c>
      <c r="M443" s="164">
        <v>1.4049076735721778E-4</v>
      </c>
    </row>
    <row r="444" spans="1:13" x14ac:dyDescent="0.25">
      <c r="A444" s="202"/>
      <c r="B444" s="164" t="s">
        <v>378</v>
      </c>
      <c r="C444" s="164">
        <v>8.6820688031365185E-3</v>
      </c>
      <c r="D444" s="164">
        <v>-2.157979141157426E-3</v>
      </c>
      <c r="E444" s="164">
        <v>2.7870350404181278E-3</v>
      </c>
      <c r="F444" s="164">
        <v>-6.9675876010453195E-4</v>
      </c>
      <c r="G444" s="164">
        <v>3.5897435897435902E-2</v>
      </c>
      <c r="H444" s="164">
        <v>1.0256410256410255E-2</v>
      </c>
      <c r="I444" s="164">
        <v>4.4000000000000003E-3</v>
      </c>
      <c r="J444" s="164">
        <v>1.1573595723149675E-2</v>
      </c>
      <c r="K444" s="164">
        <v>8.8326262468132202E-2</v>
      </c>
      <c r="L444" s="164">
        <v>0</v>
      </c>
      <c r="M444" s="164">
        <v>3.1055649111335639E-3</v>
      </c>
    </row>
    <row r="445" spans="1:13" x14ac:dyDescent="0.25">
      <c r="A445" s="202"/>
      <c r="B445" s="164" t="s">
        <v>374</v>
      </c>
      <c r="C445" s="164">
        <v>2.2311798507511204E-2</v>
      </c>
      <c r="D445" s="164">
        <v>-3.3814651137286521E-3</v>
      </c>
      <c r="E445" s="164">
        <v>2.964391815717463E-3</v>
      </c>
      <c r="F445" s="164">
        <v>-7.4109795392936575E-4</v>
      </c>
      <c r="G445" s="164">
        <v>2.5454545454545455E-2</v>
      </c>
      <c r="H445" s="164">
        <v>9.3433449937917901E-3</v>
      </c>
      <c r="I445" s="164">
        <v>4.4000000000000003E-3</v>
      </c>
      <c r="J445" s="164">
        <v>2.149698076693125E-2</v>
      </c>
      <c r="K445" s="164">
        <v>9.0669449420705039E-2</v>
      </c>
      <c r="L445" s="164">
        <v>4.3682791161508971E-3</v>
      </c>
      <c r="M445" s="164">
        <v>3.6418200964524684E-4</v>
      </c>
    </row>
    <row r="446" spans="1:13" x14ac:dyDescent="0.25">
      <c r="A446" s="202"/>
      <c r="B446" s="164" t="s">
        <v>377</v>
      </c>
      <c r="C446" s="164">
        <v>2.3374265103106976E-2</v>
      </c>
      <c r="D446" s="164">
        <v>-3.5424872620014453E-3</v>
      </c>
      <c r="E446" s="164">
        <v>1.552776665375814E-3</v>
      </c>
      <c r="F446" s="164">
        <v>-3.8819416634395349E-4</v>
      </c>
      <c r="G446" s="164">
        <v>2.6666666666666665E-2</v>
      </c>
      <c r="H446" s="164">
        <v>9.7882661839723516E-3</v>
      </c>
      <c r="I446" s="164">
        <v>4.4000000000000003E-3</v>
      </c>
      <c r="J446" s="164">
        <v>2.149698076693125E-2</v>
      </c>
      <c r="K446" s="164">
        <v>9.9182556352221826E-2</v>
      </c>
      <c r="L446" s="164">
        <v>4.409718611580335E-3</v>
      </c>
      <c r="M446" s="164">
        <v>3.6418200964524684E-4</v>
      </c>
    </row>
    <row r="447" spans="1:13" x14ac:dyDescent="0.25">
      <c r="A447" s="202"/>
      <c r="B447" s="164" t="s">
        <v>379</v>
      </c>
      <c r="C447" s="164">
        <v>3.1892648769932176E-2</v>
      </c>
      <c r="D447" s="164">
        <v>-4.8487416058655246E-3</v>
      </c>
      <c r="E447" s="164">
        <v>2.7870350404181278E-3</v>
      </c>
      <c r="F447" s="164">
        <v>-6.9675876010453195E-4</v>
      </c>
      <c r="G447" s="164">
        <v>3.5897435897435902E-2</v>
      </c>
      <c r="H447" s="164">
        <v>7.6923076923076927E-3</v>
      </c>
      <c r="I447" s="164">
        <v>4.4000000000000003E-3</v>
      </c>
      <c r="J447" s="164">
        <v>5.5397830482865063E-3</v>
      </c>
      <c r="K447" s="164">
        <v>9.8840799825624742E-2</v>
      </c>
      <c r="L447" s="164">
        <v>9.2867356687296315E-3</v>
      </c>
      <c r="M447" s="164">
        <v>1.4049076735721778E-4</v>
      </c>
    </row>
    <row r="448" spans="1:13" x14ac:dyDescent="0.25">
      <c r="A448" s="202"/>
      <c r="B448" s="164" t="s">
        <v>383</v>
      </c>
      <c r="C448" s="164">
        <v>2.7269975953624806E-2</v>
      </c>
      <c r="D448" s="164">
        <v>-4.1329018056683528E-3</v>
      </c>
      <c r="E448" s="164">
        <v>2.1135015723170798E-3</v>
      </c>
      <c r="F448" s="164">
        <v>-5.2837539307926996E-4</v>
      </c>
      <c r="G448" s="164">
        <v>3.111111111111111E-2</v>
      </c>
      <c r="H448" s="164">
        <v>1.1419643881301077E-2</v>
      </c>
      <c r="I448" s="164">
        <v>4.4000000000000003E-3</v>
      </c>
      <c r="J448" s="164">
        <v>2.149698076693125E-2</v>
      </c>
      <c r="K448" s="164">
        <v>0.1024517746225366</v>
      </c>
      <c r="L448" s="164">
        <v>4.9359288090485148E-3</v>
      </c>
      <c r="M448" s="164">
        <v>3.6418200964524684E-4</v>
      </c>
    </row>
    <row r="449" spans="1:13" x14ac:dyDescent="0.25">
      <c r="A449" s="202"/>
      <c r="B449" s="164" t="s">
        <v>369</v>
      </c>
      <c r="C449" s="164">
        <v>1.2312752120811793E-2</v>
      </c>
      <c r="D449" s="164">
        <v>-3.0604067820050769E-3</v>
      </c>
      <c r="E449" s="164">
        <v>3.9525224209566176E-3</v>
      </c>
      <c r="F449" s="164">
        <v>-9.8813060523915441E-4</v>
      </c>
      <c r="G449" s="164">
        <v>5.0909090909090911E-2</v>
      </c>
      <c r="H449" s="164">
        <v>1.4545454545454545E-2</v>
      </c>
      <c r="I449" s="164">
        <v>4.4000000000000003E-3</v>
      </c>
      <c r="J449" s="164">
        <v>1.1573595723149675E-2</v>
      </c>
      <c r="K449" s="164">
        <v>0.13633687757910018</v>
      </c>
      <c r="L449" s="164">
        <v>0</v>
      </c>
      <c r="M449" s="164">
        <v>3.105564911133563E-3</v>
      </c>
    </row>
    <row r="450" spans="1:13" x14ac:dyDescent="0.25">
      <c r="A450" s="202"/>
      <c r="B450" s="164" t="s">
        <v>380</v>
      </c>
      <c r="C450" s="164">
        <v>3.1465356869567078E-2</v>
      </c>
      <c r="D450" s="164">
        <v>-4.7687328526942532E-3</v>
      </c>
      <c r="E450" s="164">
        <v>2.7870350404181278E-3</v>
      </c>
      <c r="F450" s="164">
        <v>-6.9675876010453195E-4</v>
      </c>
      <c r="G450" s="164">
        <v>3.5897435897435902E-2</v>
      </c>
      <c r="H450" s="164">
        <v>1.3176512170732011E-2</v>
      </c>
      <c r="I450" s="164">
        <v>4.4000000000000003E-3</v>
      </c>
      <c r="J450" s="164">
        <v>2.149698076693125E-2</v>
      </c>
      <c r="K450" s="164">
        <v>0.12386605538599031</v>
      </c>
      <c r="L450" s="164">
        <v>5.5071624473854025E-3</v>
      </c>
      <c r="M450" s="164">
        <v>3.6418200964524684E-4</v>
      </c>
    </row>
    <row r="451" spans="1:13" x14ac:dyDescent="0.25">
      <c r="A451" s="202"/>
      <c r="B451" s="164" t="s">
        <v>370</v>
      </c>
      <c r="C451" s="164">
        <v>4.5229574619176545E-2</v>
      </c>
      <c r="D451" s="164">
        <v>-6.8763971865001975E-3</v>
      </c>
      <c r="E451" s="164">
        <v>3.9525224209566176E-3</v>
      </c>
      <c r="F451" s="164">
        <v>-9.8813060523915441E-4</v>
      </c>
      <c r="G451" s="164">
        <v>5.0909090909090911E-2</v>
      </c>
      <c r="H451" s="164">
        <v>1.0909090909090908E-2</v>
      </c>
      <c r="I451" s="164">
        <v>4.4000000000000003E-3</v>
      </c>
      <c r="J451" s="164">
        <v>5.5397830482865063E-3</v>
      </c>
      <c r="K451" s="164">
        <v>0.15907506174705863</v>
      </c>
      <c r="L451" s="164">
        <v>1.2705336115153232E-2</v>
      </c>
      <c r="M451" s="164">
        <v>1.4049076735721778E-4</v>
      </c>
    </row>
    <row r="452" spans="1:13" x14ac:dyDescent="0.25">
      <c r="A452" s="202"/>
      <c r="B452" s="164" t="s">
        <v>371</v>
      </c>
      <c r="C452" s="164">
        <v>4.4623597015022408E-2</v>
      </c>
      <c r="D452" s="164">
        <v>-6.7629302274573042E-3</v>
      </c>
      <c r="E452" s="164">
        <v>3.9525224209566176E-3</v>
      </c>
      <c r="F452" s="164">
        <v>-9.8813060523915441E-4</v>
      </c>
      <c r="G452" s="164">
        <v>5.0909090909090911E-2</v>
      </c>
      <c r="H452" s="164">
        <v>1.868668998758358E-2</v>
      </c>
      <c r="I452" s="164">
        <v>4.4000000000000003E-3</v>
      </c>
      <c r="J452" s="164">
        <v>2.149698076693125E-2</v>
      </c>
      <c r="K452" s="164">
        <v>0.19148045910111161</v>
      </c>
      <c r="L452" s="164">
        <v>7.2369782095337842E-3</v>
      </c>
      <c r="M452" s="164">
        <v>3.6418200964524684E-4</v>
      </c>
    </row>
    <row r="453" spans="1:13" x14ac:dyDescent="0.25">
      <c r="A453" s="202">
        <v>2034</v>
      </c>
      <c r="B453" s="164" t="s">
        <v>391</v>
      </c>
      <c r="C453" s="164">
        <v>1.0347449498978036E-3</v>
      </c>
      <c r="D453" s="164">
        <v>-9.7956440009122124E-5</v>
      </c>
      <c r="E453" s="164">
        <v>6.8982996659853576E-5</v>
      </c>
      <c r="F453" s="164">
        <v>-6.8982996659853564E-6</v>
      </c>
      <c r="G453" s="164">
        <v>1.0654632223259673E-3</v>
      </c>
      <c r="H453" s="164">
        <v>4.305425874053325E-4</v>
      </c>
      <c r="I453" s="164">
        <v>8.6011184229469056E-5</v>
      </c>
      <c r="J453" s="164">
        <v>2.1331638109345504E-3</v>
      </c>
      <c r="K453" s="164">
        <v>6.8331995010663706E-3</v>
      </c>
      <c r="L453" s="164">
        <v>0</v>
      </c>
      <c r="M453" s="164">
        <v>2.3842549920408719E-3</v>
      </c>
    </row>
    <row r="454" spans="1:13" x14ac:dyDescent="0.25">
      <c r="A454" s="202"/>
      <c r="B454" s="164" t="s">
        <v>388</v>
      </c>
      <c r="C454" s="164">
        <v>1.0347449498978036E-3</v>
      </c>
      <c r="D454" s="164">
        <v>-9.7956440009122124E-5</v>
      </c>
      <c r="E454" s="164">
        <v>6.8982996659853576E-5</v>
      </c>
      <c r="F454" s="164">
        <v>-6.8982996659853564E-6</v>
      </c>
      <c r="G454" s="164">
        <v>1.0654632223259673E-3</v>
      </c>
      <c r="H454" s="164">
        <v>4.305425874053325E-4</v>
      </c>
      <c r="I454" s="164">
        <v>8.9502842587904882E-5</v>
      </c>
      <c r="J454" s="164">
        <v>2.1331638109345504E-3</v>
      </c>
      <c r="K454" s="164">
        <v>6.8365542316460425E-3</v>
      </c>
      <c r="L454" s="164">
        <v>0</v>
      </c>
      <c r="M454" s="164">
        <v>2.3842549920408719E-3</v>
      </c>
    </row>
    <row r="455" spans="1:13" x14ac:dyDescent="0.25">
      <c r="A455" s="202"/>
      <c r="B455" s="164" t="s">
        <v>350</v>
      </c>
      <c r="C455" s="164">
        <v>1.0902430594344164E-3</v>
      </c>
      <c r="D455" s="164">
        <v>-1.6353645891516245E-4</v>
      </c>
      <c r="E455" s="164">
        <v>7.6311881817276459E-4</v>
      </c>
      <c r="F455" s="164">
        <v>-3.8155940908638231E-5</v>
      </c>
      <c r="G455" s="164">
        <v>1.6256502601040416E-3</v>
      </c>
      <c r="H455" s="164">
        <v>1.6256502601040416E-3</v>
      </c>
      <c r="I455" s="164">
        <v>1.7507002801120447E-3</v>
      </c>
      <c r="J455" s="164">
        <v>9.5987899046131133E-4</v>
      </c>
      <c r="K455" s="164">
        <v>8.3562602548806764E-3</v>
      </c>
      <c r="L455" s="164">
        <v>0</v>
      </c>
      <c r="M455" s="164">
        <v>2.360985412314249E-5</v>
      </c>
    </row>
    <row r="456" spans="1:13" x14ac:dyDescent="0.25">
      <c r="A456" s="202"/>
      <c r="B456" s="164" t="s">
        <v>389</v>
      </c>
      <c r="C456" s="164">
        <v>1.0347449498978036E-3</v>
      </c>
      <c r="D456" s="164">
        <v>-9.7956440009122124E-5</v>
      </c>
      <c r="E456" s="164">
        <v>3.4491498329926784E-4</v>
      </c>
      <c r="F456" s="164">
        <v>-3.4491498329926788E-5</v>
      </c>
      <c r="G456" s="164">
        <v>1.0654632223259673E-3</v>
      </c>
      <c r="H456" s="164">
        <v>4.305425874053325E-4</v>
      </c>
      <c r="I456" s="164">
        <v>1.7869725535414797E-4</v>
      </c>
      <c r="J456" s="164">
        <v>2.1331638109345504E-3</v>
      </c>
      <c r="K456" s="164">
        <v>9.9528851394415953E-3</v>
      </c>
      <c r="L456" s="164">
        <v>0</v>
      </c>
      <c r="M456" s="164">
        <v>2.3842549920408719E-3</v>
      </c>
    </row>
    <row r="457" spans="1:13" x14ac:dyDescent="0.25">
      <c r="A457" s="202"/>
      <c r="B457" s="164" t="s">
        <v>387</v>
      </c>
      <c r="C457" s="164">
        <v>1.0347449498978036E-3</v>
      </c>
      <c r="D457" s="164">
        <v>-9.7956440009122124E-5</v>
      </c>
      <c r="E457" s="164">
        <v>6.8982996659853576E-5</v>
      </c>
      <c r="F457" s="164">
        <v>-6.8982996659853564E-6</v>
      </c>
      <c r="G457" s="164">
        <v>1.0654632223259673E-3</v>
      </c>
      <c r="H457" s="164">
        <v>4.305425874053325E-4</v>
      </c>
      <c r="I457" s="164">
        <v>8.6011184229469056E-5</v>
      </c>
      <c r="J457" s="164">
        <v>4.076109192868568E-3</v>
      </c>
      <c r="K457" s="164">
        <v>8.583047072717457E-3</v>
      </c>
      <c r="L457" s="164">
        <v>0</v>
      </c>
      <c r="M457" s="164">
        <v>2.2625795316212503E-3</v>
      </c>
    </row>
    <row r="458" spans="1:13" x14ac:dyDescent="0.25">
      <c r="A458" s="202"/>
      <c r="B458" s="164" t="s">
        <v>384</v>
      </c>
      <c r="C458" s="164">
        <v>1.0347449498978036E-3</v>
      </c>
      <c r="D458" s="164">
        <v>-9.7956440009122124E-5</v>
      </c>
      <c r="E458" s="164">
        <v>6.8982996659853576E-5</v>
      </c>
      <c r="F458" s="164">
        <v>-6.8982996659853564E-6</v>
      </c>
      <c r="G458" s="164">
        <v>1.0654632223259673E-3</v>
      </c>
      <c r="H458" s="164">
        <v>4.305425874053325E-4</v>
      </c>
      <c r="I458" s="164">
        <v>8.9502842587904882E-5</v>
      </c>
      <c r="J458" s="164">
        <v>4.076109192868568E-3</v>
      </c>
      <c r="K458" s="164">
        <v>8.5864018032971289E-3</v>
      </c>
      <c r="L458" s="164">
        <v>0</v>
      </c>
      <c r="M458" s="164">
        <v>2.2625795316212503E-3</v>
      </c>
    </row>
    <row r="459" spans="1:13" x14ac:dyDescent="0.25">
      <c r="A459" s="202"/>
      <c r="B459" s="164" t="s">
        <v>390</v>
      </c>
      <c r="C459" s="164">
        <v>1.0347449498978036E-3</v>
      </c>
      <c r="D459" s="164">
        <v>-9.7956440009122124E-5</v>
      </c>
      <c r="E459" s="164">
        <v>6.8982996659853576E-5</v>
      </c>
      <c r="F459" s="164">
        <v>-6.8982996659853564E-6</v>
      </c>
      <c r="G459" s="164">
        <v>1.0654632223259673E-3</v>
      </c>
      <c r="H459" s="164">
        <v>4.305425874053325E-4</v>
      </c>
      <c r="I459" s="164">
        <v>8.6011184229469056E-5</v>
      </c>
      <c r="J459" s="164">
        <v>2.1331638109345504E-3</v>
      </c>
      <c r="K459" s="164">
        <v>1.112406261005624E-2</v>
      </c>
      <c r="L459" s="164">
        <v>0</v>
      </c>
      <c r="M459" s="164">
        <v>2.3842549920408719E-3</v>
      </c>
    </row>
    <row r="460" spans="1:13" x14ac:dyDescent="0.25">
      <c r="A460" s="202"/>
      <c r="B460" s="164" t="s">
        <v>351</v>
      </c>
      <c r="C460" s="164">
        <v>1.8209695944675583E-3</v>
      </c>
      <c r="D460" s="164">
        <v>-1.5096790045692366E-4</v>
      </c>
      <c r="E460" s="164">
        <v>7.6311881817276459E-4</v>
      </c>
      <c r="F460" s="164">
        <v>-3.8155940908638231E-5</v>
      </c>
      <c r="G460" s="164">
        <v>1.6256502601040416E-3</v>
      </c>
      <c r="H460" s="164">
        <v>2.7152291126929309E-3</v>
      </c>
      <c r="I460" s="164">
        <v>1.7507002801120447E-3</v>
      </c>
      <c r="J460" s="164">
        <v>1.0198714273651432E-3</v>
      </c>
      <c r="K460" s="164">
        <v>1.040846408698637E-2</v>
      </c>
      <c r="L460" s="164">
        <v>2.7537427266196256E-4</v>
      </c>
      <c r="M460" s="164">
        <v>2.5085470005838896E-5</v>
      </c>
    </row>
    <row r="461" spans="1:13" x14ac:dyDescent="0.25">
      <c r="A461" s="202"/>
      <c r="B461" s="164" t="s">
        <v>385</v>
      </c>
      <c r="C461" s="164">
        <v>1.0347449498978036E-3</v>
      </c>
      <c r="D461" s="164">
        <v>-9.7956440009122124E-5</v>
      </c>
      <c r="E461" s="164">
        <v>3.4491498329926784E-4</v>
      </c>
      <c r="F461" s="164">
        <v>-3.4491498329926788E-5</v>
      </c>
      <c r="G461" s="164">
        <v>1.0654632223259673E-3</v>
      </c>
      <c r="H461" s="164">
        <v>4.305425874053325E-4</v>
      </c>
      <c r="I461" s="164">
        <v>1.7869725535414797E-4</v>
      </c>
      <c r="J461" s="164">
        <v>4.076109192868568E-3</v>
      </c>
      <c r="K461" s="164">
        <v>1.2367126663309516E-2</v>
      </c>
      <c r="L461" s="164">
        <v>0</v>
      </c>
      <c r="M461" s="164">
        <v>2.2625795316212503E-3</v>
      </c>
    </row>
    <row r="462" spans="1:13" x14ac:dyDescent="0.25">
      <c r="A462" s="202"/>
      <c r="B462" s="164" t="s">
        <v>362</v>
      </c>
      <c r="C462" s="164">
        <v>1.0902430594344164E-3</v>
      </c>
      <c r="D462" s="164">
        <v>-1.6353645891516245E-4</v>
      </c>
      <c r="E462" s="164">
        <v>7.6311881817276459E-4</v>
      </c>
      <c r="F462" s="164">
        <v>-3.8155940908638231E-5</v>
      </c>
      <c r="G462" s="164">
        <v>3.6264505802320927E-3</v>
      </c>
      <c r="H462" s="164">
        <v>1.6256502601040416E-3</v>
      </c>
      <c r="I462" s="164">
        <v>4.0016006402561026E-3</v>
      </c>
      <c r="J462" s="164">
        <v>9.5987899046131133E-4</v>
      </c>
      <c r="K462" s="164">
        <v>1.0192553657402922E-2</v>
      </c>
      <c r="L462" s="164">
        <v>0</v>
      </c>
      <c r="M462" s="164">
        <v>2.360985412314249E-5</v>
      </c>
    </row>
    <row r="463" spans="1:13" x14ac:dyDescent="0.25">
      <c r="A463" s="202"/>
      <c r="B463" s="164" t="s">
        <v>358</v>
      </c>
      <c r="C463" s="164">
        <v>1.0902430594344164E-3</v>
      </c>
      <c r="D463" s="164">
        <v>-1.6353645891516245E-4</v>
      </c>
      <c r="E463" s="164">
        <v>5.087458787818432E-4</v>
      </c>
      <c r="F463" s="164">
        <v>-2.5437293939092156E-5</v>
      </c>
      <c r="G463" s="164">
        <v>1.525610244097639E-3</v>
      </c>
      <c r="H463" s="164">
        <v>1.6256502601040416E-3</v>
      </c>
      <c r="I463" s="164">
        <v>1.6256502601040416E-3</v>
      </c>
      <c r="J463" s="164">
        <v>9.5987899046131133E-4</v>
      </c>
      <c r="K463" s="164">
        <v>1.5345239937027022E-2</v>
      </c>
      <c r="L463" s="164">
        <v>0</v>
      </c>
      <c r="M463" s="164">
        <v>2.360985412314249E-5</v>
      </c>
    </row>
    <row r="464" spans="1:13" x14ac:dyDescent="0.25">
      <c r="A464" s="202"/>
      <c r="B464" s="164" t="s">
        <v>386</v>
      </c>
      <c r="C464" s="164">
        <v>1.0347449498978036E-3</v>
      </c>
      <c r="D464" s="164">
        <v>-9.7956440009122124E-5</v>
      </c>
      <c r="E464" s="164">
        <v>6.8982996659853576E-5</v>
      </c>
      <c r="F464" s="164">
        <v>-6.8982996659853564E-6</v>
      </c>
      <c r="G464" s="164">
        <v>1.0654632223259673E-3</v>
      </c>
      <c r="H464" s="164">
        <v>4.305425874053325E-4</v>
      </c>
      <c r="I464" s="164">
        <v>8.6011184229469056E-5</v>
      </c>
      <c r="J464" s="164">
        <v>4.076109192868568E-3</v>
      </c>
      <c r="K464" s="164">
        <v>1.3972715564219782E-2</v>
      </c>
      <c r="L464" s="164">
        <v>0</v>
      </c>
      <c r="M464" s="164">
        <v>2.2625795316212503E-3</v>
      </c>
    </row>
    <row r="465" spans="1:13" x14ac:dyDescent="0.25">
      <c r="A465" s="202"/>
      <c r="B465" s="164" t="s">
        <v>352</v>
      </c>
      <c r="C465" s="164">
        <v>1.6052596798267933E-3</v>
      </c>
      <c r="D465" s="164">
        <v>-1.1861141326080898E-4</v>
      </c>
      <c r="E465" s="164">
        <v>7.6311881817276459E-4</v>
      </c>
      <c r="F465" s="164">
        <v>-3.8155940908638231E-5</v>
      </c>
      <c r="G465" s="164">
        <v>1.6256502601040416E-3</v>
      </c>
      <c r="H465" s="164">
        <v>2.5777082888133671E-3</v>
      </c>
      <c r="I465" s="164">
        <v>1.7507002801120447E-3</v>
      </c>
      <c r="J465" s="164">
        <v>2.7294594720870869E-3</v>
      </c>
      <c r="K465" s="164">
        <v>1.1947289068638487E-2</v>
      </c>
      <c r="L465" s="164">
        <v>2.0051394241071656E-4</v>
      </c>
      <c r="M465" s="164">
        <v>5.6825505825447255E-5</v>
      </c>
    </row>
    <row r="466" spans="1:13" x14ac:dyDescent="0.25">
      <c r="A466" s="202"/>
      <c r="B466" s="164" t="s">
        <v>349</v>
      </c>
      <c r="C466" s="164">
        <v>7.6317014160409149E-4</v>
      </c>
      <c r="D466" s="164">
        <v>-8.0920645629828101E-5</v>
      </c>
      <c r="E466" s="164">
        <v>7.6311881817276459E-4</v>
      </c>
      <c r="F466" s="164">
        <v>-3.8155940908638231E-5</v>
      </c>
      <c r="G466" s="164">
        <v>1.6256502601040416E-3</v>
      </c>
      <c r="H466" s="164">
        <v>2.6260504201680674E-3</v>
      </c>
      <c r="I466" s="164">
        <v>1.7507002801120447E-3</v>
      </c>
      <c r="J466" s="164">
        <v>2.7715714285714288E-3</v>
      </c>
      <c r="K466" s="164">
        <v>1.2126242008956489E-2</v>
      </c>
      <c r="L466" s="164">
        <v>0</v>
      </c>
      <c r="M466" s="164">
        <v>9.3595751810243634E-4</v>
      </c>
    </row>
    <row r="467" spans="1:13" x14ac:dyDescent="0.25">
      <c r="A467" s="202"/>
      <c r="B467" s="164" t="s">
        <v>366</v>
      </c>
      <c r="C467" s="164">
        <v>8.7219444754753307E-4</v>
      </c>
      <c r="D467" s="164">
        <v>-1.3082916713212997E-4</v>
      </c>
      <c r="E467" s="164">
        <v>5.0874587878184309E-4</v>
      </c>
      <c r="F467" s="164">
        <v>-2.5437293939092159E-5</v>
      </c>
      <c r="G467" s="164">
        <v>1.3005202080832333E-3</v>
      </c>
      <c r="H467" s="164">
        <v>1.3005202080832333E-3</v>
      </c>
      <c r="I467" s="164">
        <v>1.4005602240896359E-3</v>
      </c>
      <c r="J467" s="164">
        <v>7.6790319236904909E-4</v>
      </c>
      <c r="K467" s="164">
        <v>1.7623326116330634E-2</v>
      </c>
      <c r="L467" s="164">
        <v>0</v>
      </c>
      <c r="M467" s="164">
        <v>1.8887883298513993E-5</v>
      </c>
    </row>
    <row r="468" spans="1:13" x14ac:dyDescent="0.25">
      <c r="A468" s="202"/>
      <c r="B468" s="164" t="s">
        <v>354</v>
      </c>
      <c r="C468" s="164">
        <v>1.0902430594344164E-3</v>
      </c>
      <c r="D468" s="164">
        <v>-1.6353645891516245E-4</v>
      </c>
      <c r="E468" s="164">
        <v>1.0174917575636864E-3</v>
      </c>
      <c r="F468" s="164">
        <v>-5.0874587878184312E-5</v>
      </c>
      <c r="G468" s="164">
        <v>1.5506202480992397E-3</v>
      </c>
      <c r="H468" s="164">
        <v>1.6256502601040416E-3</v>
      </c>
      <c r="I468" s="164">
        <v>1.6256502601040416E-3</v>
      </c>
      <c r="J468" s="164">
        <v>9.5987899046131133E-4</v>
      </c>
      <c r="K468" s="164">
        <v>1.6533525437562417E-2</v>
      </c>
      <c r="L468" s="164">
        <v>0</v>
      </c>
      <c r="M468" s="164">
        <v>2.360985412314249E-5</v>
      </c>
    </row>
    <row r="469" spans="1:13" x14ac:dyDescent="0.25">
      <c r="A469" s="202"/>
      <c r="B469" s="164" t="s">
        <v>363</v>
      </c>
      <c r="C469" s="164">
        <v>1.8209695944675583E-3</v>
      </c>
      <c r="D469" s="164">
        <v>-1.5096790045692366E-4</v>
      </c>
      <c r="E469" s="164">
        <v>7.6311881817276459E-4</v>
      </c>
      <c r="F469" s="164">
        <v>-3.8155940908638231E-5</v>
      </c>
      <c r="G469" s="164">
        <v>3.6264505802320927E-3</v>
      </c>
      <c r="H469" s="164">
        <v>2.7152291126929309E-3</v>
      </c>
      <c r="I469" s="164">
        <v>4.0016006402561026E-3</v>
      </c>
      <c r="J469" s="164">
        <v>1.0198714273651432E-3</v>
      </c>
      <c r="K469" s="164">
        <v>1.1806252397178342E-2</v>
      </c>
      <c r="L469" s="164">
        <v>3.9723436527569315E-4</v>
      </c>
      <c r="M469" s="164">
        <v>2.5085470005838896E-5</v>
      </c>
    </row>
    <row r="470" spans="1:13" x14ac:dyDescent="0.25">
      <c r="A470" s="202"/>
      <c r="B470" s="164" t="s">
        <v>364</v>
      </c>
      <c r="C470" s="164">
        <v>1.6052596798267933E-3</v>
      </c>
      <c r="D470" s="164">
        <v>-1.1861141326080898E-4</v>
      </c>
      <c r="E470" s="164">
        <v>7.6311881817276459E-4</v>
      </c>
      <c r="F470" s="164">
        <v>-3.8155940908638231E-5</v>
      </c>
      <c r="G470" s="164">
        <v>3.6264505802320927E-3</v>
      </c>
      <c r="H470" s="164">
        <v>2.5777082888133671E-3</v>
      </c>
      <c r="I470" s="164">
        <v>4.0016006402561026E-3</v>
      </c>
      <c r="J470" s="164">
        <v>2.7294594720870869E-3</v>
      </c>
      <c r="K470" s="164">
        <v>1.3016268622067189E-2</v>
      </c>
      <c r="L470" s="164">
        <v>2.7781759114293633E-4</v>
      </c>
      <c r="M470" s="164">
        <v>5.6825505825447255E-5</v>
      </c>
    </row>
    <row r="471" spans="1:13" x14ac:dyDescent="0.25">
      <c r="A471" s="202"/>
      <c r="B471" s="164" t="s">
        <v>361</v>
      </c>
      <c r="C471" s="164">
        <v>7.6317014160409149E-4</v>
      </c>
      <c r="D471" s="164">
        <v>-8.0920645629828101E-5</v>
      </c>
      <c r="E471" s="164">
        <v>7.6311881817276459E-4</v>
      </c>
      <c r="F471" s="164">
        <v>-3.8155940908638231E-5</v>
      </c>
      <c r="G471" s="164">
        <v>3.6264505802320927E-3</v>
      </c>
      <c r="H471" s="164">
        <v>2.6260504201680674E-3</v>
      </c>
      <c r="I471" s="164">
        <v>4.0016006402561026E-3</v>
      </c>
      <c r="J471" s="164">
        <v>2.7715714285714288E-3</v>
      </c>
      <c r="K471" s="164">
        <v>1.3156983754624931E-2</v>
      </c>
      <c r="L471" s="164">
        <v>0</v>
      </c>
      <c r="M471" s="164">
        <v>9.3595751810243634E-4</v>
      </c>
    </row>
    <row r="472" spans="1:13" x14ac:dyDescent="0.25">
      <c r="A472" s="202"/>
      <c r="B472" s="164" t="s">
        <v>359</v>
      </c>
      <c r="C472" s="164">
        <v>1.8209695944675583E-3</v>
      </c>
      <c r="D472" s="164">
        <v>-1.5096790045692366E-4</v>
      </c>
      <c r="E472" s="164">
        <v>5.087458787818432E-4</v>
      </c>
      <c r="F472" s="164">
        <v>-2.5437293939092156E-5</v>
      </c>
      <c r="G472" s="164">
        <v>1.525610244097639E-3</v>
      </c>
      <c r="H472" s="164">
        <v>2.7152291126929309E-3</v>
      </c>
      <c r="I472" s="164">
        <v>1.6256502601040416E-3</v>
      </c>
      <c r="J472" s="164">
        <v>1.0198714273651432E-3</v>
      </c>
      <c r="K472" s="164">
        <v>1.9370716684618969E-2</v>
      </c>
      <c r="L472" s="164">
        <v>2.6126761215228105E-4</v>
      </c>
      <c r="M472" s="164">
        <v>2.5085470005838896E-5</v>
      </c>
    </row>
    <row r="473" spans="1:13" x14ac:dyDescent="0.25">
      <c r="A473" s="202"/>
      <c r="B473" s="164" t="s">
        <v>367</v>
      </c>
      <c r="C473" s="164">
        <v>1.4567756755740466E-3</v>
      </c>
      <c r="D473" s="164">
        <v>-1.2077432036553891E-4</v>
      </c>
      <c r="E473" s="164">
        <v>5.0874587878184309E-4</v>
      </c>
      <c r="F473" s="164">
        <v>-2.5437293939092159E-5</v>
      </c>
      <c r="G473" s="164">
        <v>1.3005202080832333E-3</v>
      </c>
      <c r="H473" s="164">
        <v>2.1721832901543448E-3</v>
      </c>
      <c r="I473" s="164">
        <v>1.4005602240896359E-3</v>
      </c>
      <c r="J473" s="164">
        <v>8.1589714189211459E-4</v>
      </c>
      <c r="K473" s="164">
        <v>2.2027671263695939E-2</v>
      </c>
      <c r="L473" s="164">
        <v>1.7279931915194311E-4</v>
      </c>
      <c r="M473" s="164">
        <v>2.0068376004671116E-5</v>
      </c>
    </row>
    <row r="474" spans="1:13" x14ac:dyDescent="0.25">
      <c r="A474" s="202"/>
      <c r="B474" s="164" t="s">
        <v>347</v>
      </c>
      <c r="C474" s="164">
        <v>1.9812010201050753E-3</v>
      </c>
      <c r="D474" s="164">
        <v>-1.0568171698204363E-4</v>
      </c>
      <c r="E474" s="164">
        <v>6.8982996659853576E-5</v>
      </c>
      <c r="F474" s="164">
        <v>-6.8982996659853564E-6</v>
      </c>
      <c r="G474" s="164">
        <v>1.0654632223259673E-3</v>
      </c>
      <c r="H474" s="164">
        <v>2.9878618113912231E-4</v>
      </c>
      <c r="I474" s="164">
        <v>8.6011184229469056E-5</v>
      </c>
      <c r="J474" s="164">
        <v>1.1074472868176938E-2</v>
      </c>
      <c r="K474" s="164">
        <v>1.4134775461909336E-2</v>
      </c>
      <c r="L474" s="164">
        <v>1.2607618619646342E-3</v>
      </c>
      <c r="M474" s="164">
        <v>2.3557101727914492E-4</v>
      </c>
    </row>
    <row r="475" spans="1:13" x14ac:dyDescent="0.25">
      <c r="A475" s="202"/>
      <c r="B475" s="164" t="s">
        <v>338</v>
      </c>
      <c r="C475" s="164">
        <v>1.9812010201050753E-3</v>
      </c>
      <c r="D475" s="164">
        <v>-1.0568171698204363E-4</v>
      </c>
      <c r="E475" s="164">
        <v>6.8982996659853576E-5</v>
      </c>
      <c r="F475" s="164">
        <v>-6.8982996659853564E-6</v>
      </c>
      <c r="G475" s="164">
        <v>1.0654632223259673E-3</v>
      </c>
      <c r="H475" s="164">
        <v>2.9878618113912231E-4</v>
      </c>
      <c r="I475" s="164">
        <v>8.9502842587904882E-5</v>
      </c>
      <c r="J475" s="164">
        <v>1.1074472868176938E-2</v>
      </c>
      <c r="K475" s="164">
        <v>1.413813019248901E-2</v>
      </c>
      <c r="L475" s="164">
        <v>1.2610610896660879E-3</v>
      </c>
      <c r="M475" s="164">
        <v>2.3557101727914492E-4</v>
      </c>
    </row>
    <row r="476" spans="1:13" x14ac:dyDescent="0.25">
      <c r="A476" s="202"/>
      <c r="B476" s="164" t="s">
        <v>355</v>
      </c>
      <c r="C476" s="164">
        <v>1.8209695944675583E-3</v>
      </c>
      <c r="D476" s="164">
        <v>-1.5096790045692366E-4</v>
      </c>
      <c r="E476" s="164">
        <v>1.0174917575636864E-3</v>
      </c>
      <c r="F476" s="164">
        <v>-5.0874587878184312E-5</v>
      </c>
      <c r="G476" s="164">
        <v>1.5506202480992397E-3</v>
      </c>
      <c r="H476" s="164">
        <v>2.7152291126929309E-3</v>
      </c>
      <c r="I476" s="164">
        <v>1.6256502601040416E-3</v>
      </c>
      <c r="J476" s="164">
        <v>1.0198714273651432E-3</v>
      </c>
      <c r="K476" s="164">
        <v>2.0559002185154357E-2</v>
      </c>
      <c r="L476" s="164">
        <v>2.7729492391027032E-4</v>
      </c>
      <c r="M476" s="164">
        <v>2.5085470005838896E-5</v>
      </c>
    </row>
    <row r="477" spans="1:13" x14ac:dyDescent="0.25">
      <c r="A477" s="202"/>
      <c r="B477" s="164" t="s">
        <v>346</v>
      </c>
      <c r="C477" s="164">
        <v>1.9922371300663917E-3</v>
      </c>
      <c r="D477" s="164">
        <v>-1.067853279781753E-4</v>
      </c>
      <c r="E477" s="164">
        <v>6.8982996659853576E-5</v>
      </c>
      <c r="F477" s="164">
        <v>-6.8982996659853564E-6</v>
      </c>
      <c r="G477" s="164">
        <v>1.0654632223259673E-3</v>
      </c>
      <c r="H477" s="164">
        <v>2.9878618113912231E-4</v>
      </c>
      <c r="I477" s="164">
        <v>8.6011184229469056E-5</v>
      </c>
      <c r="J477" s="164">
        <v>1.2176327875562188E-2</v>
      </c>
      <c r="K477" s="164">
        <v>1.5198693025411145E-2</v>
      </c>
      <c r="L477" s="164">
        <v>1.7161115644184627E-3</v>
      </c>
      <c r="M477" s="164">
        <v>2.3112628110406671E-4</v>
      </c>
    </row>
    <row r="478" spans="1:13" x14ac:dyDescent="0.25">
      <c r="A478" s="202"/>
      <c r="B478" s="164" t="s">
        <v>337</v>
      </c>
      <c r="C478" s="164">
        <v>1.9922371300663917E-3</v>
      </c>
      <c r="D478" s="164">
        <v>-1.067853279781753E-4</v>
      </c>
      <c r="E478" s="164">
        <v>6.8982996659853576E-5</v>
      </c>
      <c r="F478" s="164">
        <v>-6.8982996659853564E-6</v>
      </c>
      <c r="G478" s="164">
        <v>1.0654632223259673E-3</v>
      </c>
      <c r="H478" s="164">
        <v>2.9878618113912231E-4</v>
      </c>
      <c r="I478" s="164">
        <v>8.9502842587904882E-5</v>
      </c>
      <c r="J478" s="164">
        <v>1.2176327875562188E-2</v>
      </c>
      <c r="K478" s="164">
        <v>1.5202047755990818E-2</v>
      </c>
      <c r="L478" s="164">
        <v>1.7164903530375655E-3</v>
      </c>
      <c r="M478" s="164">
        <v>2.3112628110406671E-4</v>
      </c>
    </row>
    <row r="479" spans="1:13" x14ac:dyDescent="0.25">
      <c r="A479" s="202"/>
      <c r="B479" s="164" t="s">
        <v>360</v>
      </c>
      <c r="C479" s="164">
        <v>1.6052596798267933E-3</v>
      </c>
      <c r="D479" s="164">
        <v>-1.1861141326080898E-4</v>
      </c>
      <c r="E479" s="164">
        <v>5.087458787818432E-4</v>
      </c>
      <c r="F479" s="164">
        <v>-2.5437293939092156E-5</v>
      </c>
      <c r="G479" s="164">
        <v>1.525610244097639E-3</v>
      </c>
      <c r="H479" s="164">
        <v>2.5777082888133671E-3</v>
      </c>
      <c r="I479" s="164">
        <v>1.6256502601040416E-3</v>
      </c>
      <c r="J479" s="164">
        <v>2.7294594720870869E-3</v>
      </c>
      <c r="K479" s="164">
        <v>2.2389181071705816E-2</v>
      </c>
      <c r="L479" s="164">
        <v>1.9156518564026476E-4</v>
      </c>
      <c r="M479" s="164">
        <v>5.6825505825447255E-5</v>
      </c>
    </row>
    <row r="480" spans="1:13" x14ac:dyDescent="0.25">
      <c r="A480" s="202"/>
      <c r="B480" s="164" t="s">
        <v>357</v>
      </c>
      <c r="C480" s="164">
        <v>7.6317014160409149E-4</v>
      </c>
      <c r="D480" s="164">
        <v>-8.0920645629828101E-5</v>
      </c>
      <c r="E480" s="164">
        <v>5.087458787818432E-4</v>
      </c>
      <c r="F480" s="164">
        <v>-2.5437293939092156E-5</v>
      </c>
      <c r="G480" s="164">
        <v>1.525610244097639E-3</v>
      </c>
      <c r="H480" s="164">
        <v>2.6260504201680674E-3</v>
      </c>
      <c r="I480" s="164">
        <v>1.6256502601040416E-3</v>
      </c>
      <c r="J480" s="164">
        <v>2.7715714285714288E-3</v>
      </c>
      <c r="K480" s="164">
        <v>2.2740204146944967E-2</v>
      </c>
      <c r="L480" s="164">
        <v>0</v>
      </c>
      <c r="M480" s="164">
        <v>9.3595751810243634E-4</v>
      </c>
    </row>
    <row r="481" spans="1:13" x14ac:dyDescent="0.25">
      <c r="A481" s="202"/>
      <c r="B481" s="164" t="s">
        <v>368</v>
      </c>
      <c r="C481" s="164">
        <v>1.2842077438614348E-3</v>
      </c>
      <c r="D481" s="164">
        <v>-9.4889130608647181E-5</v>
      </c>
      <c r="E481" s="164">
        <v>5.0874587878184309E-4</v>
      </c>
      <c r="F481" s="164">
        <v>-2.5437293939092159E-5</v>
      </c>
      <c r="G481" s="164">
        <v>1.3005202080832333E-3</v>
      </c>
      <c r="H481" s="164">
        <v>2.0621666310506933E-3</v>
      </c>
      <c r="I481" s="164">
        <v>1.4005602240896359E-3</v>
      </c>
      <c r="J481" s="164">
        <v>2.1835675776696695E-3</v>
      </c>
      <c r="K481" s="164">
        <v>2.5330226416626245E-2</v>
      </c>
      <c r="L481" s="164">
        <v>1.2631560625401932E-4</v>
      </c>
      <c r="M481" s="164">
        <v>4.5460404660357809E-5</v>
      </c>
    </row>
    <row r="482" spans="1:13" x14ac:dyDescent="0.25">
      <c r="A482" s="202"/>
      <c r="B482" s="164" t="s">
        <v>365</v>
      </c>
      <c r="C482" s="164">
        <v>6.1053611328327313E-4</v>
      </c>
      <c r="D482" s="164">
        <v>-6.4736516503862478E-5</v>
      </c>
      <c r="E482" s="164">
        <v>5.0874587878184309E-4</v>
      </c>
      <c r="F482" s="164">
        <v>-2.5437293939092159E-5</v>
      </c>
      <c r="G482" s="164">
        <v>1.3005202080832333E-3</v>
      </c>
      <c r="H482" s="164">
        <v>2.1008403361344541E-3</v>
      </c>
      <c r="I482" s="164">
        <v>1.4005602240896359E-3</v>
      </c>
      <c r="J482" s="164">
        <v>2.217257142857143E-3</v>
      </c>
      <c r="K482" s="164">
        <v>2.5714286957770269E-2</v>
      </c>
      <c r="L482" s="164">
        <v>0</v>
      </c>
      <c r="M482" s="164">
        <v>7.4876601448194905E-4</v>
      </c>
    </row>
    <row r="483" spans="1:13" x14ac:dyDescent="0.25">
      <c r="A483" s="202"/>
      <c r="B483" s="164" t="s">
        <v>356</v>
      </c>
      <c r="C483" s="164">
        <v>1.6052596798267933E-3</v>
      </c>
      <c r="D483" s="164">
        <v>-1.1861141326080898E-4</v>
      </c>
      <c r="E483" s="164">
        <v>1.0174917575636864E-3</v>
      </c>
      <c r="F483" s="164">
        <v>-5.0874587878184312E-5</v>
      </c>
      <c r="G483" s="164">
        <v>1.5506202480992397E-3</v>
      </c>
      <c r="H483" s="164">
        <v>2.5777082888133671E-3</v>
      </c>
      <c r="I483" s="164">
        <v>1.6256502601040416E-3</v>
      </c>
      <c r="J483" s="164">
        <v>2.7294594720870869E-3</v>
      </c>
      <c r="K483" s="164">
        <v>2.3577466572241201E-2</v>
      </c>
      <c r="L483" s="164">
        <v>2.0173233430794725E-4</v>
      </c>
      <c r="M483" s="164">
        <v>5.6825505825447255E-5</v>
      </c>
    </row>
    <row r="484" spans="1:13" x14ac:dyDescent="0.25">
      <c r="A484" s="202"/>
      <c r="B484" s="164" t="s">
        <v>353</v>
      </c>
      <c r="C484" s="164">
        <v>7.6317014160409149E-4</v>
      </c>
      <c r="D484" s="164">
        <v>-8.0920645629828101E-5</v>
      </c>
      <c r="E484" s="164">
        <v>1.0174917575636864E-3</v>
      </c>
      <c r="F484" s="164">
        <v>-5.0874587878184312E-5</v>
      </c>
      <c r="G484" s="164">
        <v>1.5506202480992397E-3</v>
      </c>
      <c r="H484" s="164">
        <v>2.6260504201680674E-3</v>
      </c>
      <c r="I484" s="164">
        <v>1.6256502601040416E-3</v>
      </c>
      <c r="J484" s="164">
        <v>2.7715714285714288E-3</v>
      </c>
      <c r="K484" s="164">
        <v>2.3928489647480365E-2</v>
      </c>
      <c r="L484" s="164">
        <v>0</v>
      </c>
      <c r="M484" s="164">
        <v>9.3595751810243634E-4</v>
      </c>
    </row>
    <row r="485" spans="1:13" x14ac:dyDescent="0.25">
      <c r="A485" s="202"/>
      <c r="B485" s="164" t="s">
        <v>341</v>
      </c>
      <c r="C485" s="164">
        <v>1.9812010201050753E-3</v>
      </c>
      <c r="D485" s="164">
        <v>-1.0568171698204363E-4</v>
      </c>
      <c r="E485" s="164">
        <v>3.4491498329926784E-4</v>
      </c>
      <c r="F485" s="164">
        <v>-3.4491498329926788E-5</v>
      </c>
      <c r="G485" s="164">
        <v>1.0654632223259673E-3</v>
      </c>
      <c r="H485" s="164">
        <v>2.9878618113912231E-4</v>
      </c>
      <c r="I485" s="164">
        <v>1.7869725535414797E-4</v>
      </c>
      <c r="J485" s="164">
        <v>1.1074472868176938E-2</v>
      </c>
      <c r="K485" s="164">
        <v>2.0026772808245816E-2</v>
      </c>
      <c r="L485" s="164">
        <v>1.2947163246812589E-3</v>
      </c>
      <c r="M485" s="164">
        <v>2.3557101727914492E-4</v>
      </c>
    </row>
    <row r="486" spans="1:13" x14ac:dyDescent="0.25">
      <c r="A486" s="202"/>
      <c r="B486" s="164" t="s">
        <v>344</v>
      </c>
      <c r="C486" s="164">
        <v>1.9812010201050753E-3</v>
      </c>
      <c r="D486" s="164">
        <v>-1.0568171698204363E-4</v>
      </c>
      <c r="E486" s="164">
        <v>6.8982996659853576E-5</v>
      </c>
      <c r="F486" s="164">
        <v>-6.8982996659853564E-6</v>
      </c>
      <c r="G486" s="164">
        <v>1.0654632223259673E-3</v>
      </c>
      <c r="H486" s="164">
        <v>2.9878618113912231E-4</v>
      </c>
      <c r="I486" s="164">
        <v>8.6011184229469056E-5</v>
      </c>
      <c r="J486" s="164">
        <v>1.1074472868176938E-2</v>
      </c>
      <c r="K486" s="164">
        <v>2.3010615626373594E-2</v>
      </c>
      <c r="L486" s="164">
        <v>1.2607618619646342E-3</v>
      </c>
      <c r="M486" s="164">
        <v>2.3557101727914492E-4</v>
      </c>
    </row>
    <row r="487" spans="1:13" x14ac:dyDescent="0.25">
      <c r="A487" s="202"/>
      <c r="B487" s="164" t="s">
        <v>340</v>
      </c>
      <c r="C487" s="164">
        <v>1.9922371300663917E-3</v>
      </c>
      <c r="D487" s="164">
        <v>-1.067853279781753E-4</v>
      </c>
      <c r="E487" s="164">
        <v>3.4491498329926784E-4</v>
      </c>
      <c r="F487" s="164">
        <v>-3.4491498329926788E-5</v>
      </c>
      <c r="G487" s="164">
        <v>1.0654632223259673E-3</v>
      </c>
      <c r="H487" s="164">
        <v>2.9878618113912231E-4</v>
      </c>
      <c r="I487" s="164">
        <v>1.7869725535414797E-4</v>
      </c>
      <c r="J487" s="164">
        <v>1.2176327875562188E-2</v>
      </c>
      <c r="K487" s="164">
        <v>2.1494645782664312E-2</v>
      </c>
      <c r="L487" s="164">
        <v>1.7590940957229288E-3</v>
      </c>
      <c r="M487" s="164">
        <v>2.3112628110406671E-4</v>
      </c>
    </row>
    <row r="488" spans="1:13" x14ac:dyDescent="0.25">
      <c r="A488" s="202"/>
      <c r="B488" s="164" t="s">
        <v>343</v>
      </c>
      <c r="C488" s="164">
        <v>1.9922371300663917E-3</v>
      </c>
      <c r="D488" s="164">
        <v>-1.067853279781753E-4</v>
      </c>
      <c r="E488" s="164">
        <v>6.8982996659853576E-5</v>
      </c>
      <c r="F488" s="164">
        <v>-6.8982996659853564E-6</v>
      </c>
      <c r="G488" s="164">
        <v>1.0654632223259673E-3</v>
      </c>
      <c r="H488" s="164">
        <v>2.9878618113912231E-4</v>
      </c>
      <c r="I488" s="164">
        <v>8.6011184229469056E-5</v>
      </c>
      <c r="J488" s="164">
        <v>1.2176327875562188E-2</v>
      </c>
      <c r="K488" s="164">
        <v>2.4742613292545308E-2</v>
      </c>
      <c r="L488" s="164">
        <v>1.7161115644184627E-3</v>
      </c>
      <c r="M488" s="164">
        <v>2.3112628110406671E-4</v>
      </c>
    </row>
    <row r="489" spans="1:13" x14ac:dyDescent="0.25">
      <c r="A489" s="202"/>
      <c r="B489" s="164" t="s">
        <v>348</v>
      </c>
      <c r="C489" s="164">
        <v>1.3120601049831952E-3</v>
      </c>
      <c r="D489" s="164">
        <v>-7.1121060229817985E-5</v>
      </c>
      <c r="E489" s="164">
        <v>6.8982996659853576E-5</v>
      </c>
      <c r="F489" s="164">
        <v>-6.8982996659853564E-6</v>
      </c>
      <c r="G489" s="164">
        <v>1.0654632223259673E-3</v>
      </c>
      <c r="H489" s="164">
        <v>4.305425874053325E-4</v>
      </c>
      <c r="I489" s="164">
        <v>8.6011184229469056E-5</v>
      </c>
      <c r="J489" s="164">
        <v>2.4202354741507264E-2</v>
      </c>
      <c r="K489" s="164">
        <v>2.6325694905820204E-2</v>
      </c>
      <c r="L489" s="164">
        <v>1.1416755443850596E-3</v>
      </c>
      <c r="M489" s="164">
        <v>2.9902098869419172E-4</v>
      </c>
    </row>
    <row r="490" spans="1:13" x14ac:dyDescent="0.25">
      <c r="A490" s="202"/>
      <c r="B490" s="164" t="s">
        <v>339</v>
      </c>
      <c r="C490" s="164">
        <v>1.3120601049831952E-3</v>
      </c>
      <c r="D490" s="164">
        <v>-7.1121060229817985E-5</v>
      </c>
      <c r="E490" s="164">
        <v>6.8982996659853576E-5</v>
      </c>
      <c r="F490" s="164">
        <v>-6.8982996659853564E-6</v>
      </c>
      <c r="G490" s="164">
        <v>1.0654632223259673E-3</v>
      </c>
      <c r="H490" s="164">
        <v>4.305425874053325E-4</v>
      </c>
      <c r="I490" s="164">
        <v>8.9502842587904882E-5</v>
      </c>
      <c r="J490" s="164">
        <v>2.4202354741507264E-2</v>
      </c>
      <c r="K490" s="164">
        <v>2.6329049636399881E-2</v>
      </c>
      <c r="L490" s="164">
        <v>1.1418210301499948E-3</v>
      </c>
      <c r="M490" s="164">
        <v>2.9902098869419172E-4</v>
      </c>
    </row>
    <row r="491" spans="1:13" x14ac:dyDescent="0.25">
      <c r="A491" s="202"/>
      <c r="B491" s="164" t="s">
        <v>342</v>
      </c>
      <c r="C491" s="164">
        <v>1.3120601049831952E-3</v>
      </c>
      <c r="D491" s="164">
        <v>-7.1121060229817985E-5</v>
      </c>
      <c r="E491" s="164">
        <v>3.4491498329926784E-4</v>
      </c>
      <c r="F491" s="164">
        <v>-3.4491498329926788E-5</v>
      </c>
      <c r="G491" s="164">
        <v>1.0654632223259673E-3</v>
      </c>
      <c r="H491" s="164">
        <v>4.305425874053325E-4</v>
      </c>
      <c r="I491" s="164">
        <v>1.7869725535414797E-4</v>
      </c>
      <c r="J491" s="164">
        <v>2.4202354741507264E-2</v>
      </c>
      <c r="K491" s="164">
        <v>3.6846422938026986E-2</v>
      </c>
      <c r="L491" s="164">
        <v>1.1581843467362296E-3</v>
      </c>
      <c r="M491" s="164">
        <v>2.9902098869419172E-4</v>
      </c>
    </row>
    <row r="492" spans="1:13" x14ac:dyDescent="0.25">
      <c r="A492" s="202"/>
      <c r="B492" s="164" t="s">
        <v>345</v>
      </c>
      <c r="C492" s="164">
        <v>1.3120601049831952E-3</v>
      </c>
      <c r="D492" s="164">
        <v>-7.1121060229817985E-5</v>
      </c>
      <c r="E492" s="164">
        <v>6.8982996659853576E-5</v>
      </c>
      <c r="F492" s="164">
        <v>-6.8982996659853564E-6</v>
      </c>
      <c r="G492" s="164">
        <v>1.0654632223259673E-3</v>
      </c>
      <c r="H492" s="164">
        <v>4.305425874053325E-4</v>
      </c>
      <c r="I492" s="164">
        <v>8.6011184229469056E-5</v>
      </c>
      <c r="J492" s="164">
        <v>2.4202354741507264E-2</v>
      </c>
      <c r="K492" s="164">
        <v>4.2856743512300705E-2</v>
      </c>
      <c r="L492" s="164">
        <v>1.1416755443850596E-3</v>
      </c>
      <c r="M492" s="164">
        <v>2.9902098869419172E-4</v>
      </c>
    </row>
    <row r="493" spans="1:13" x14ac:dyDescent="0.25">
      <c r="A493" s="202"/>
      <c r="B493" s="164" t="s">
        <v>373</v>
      </c>
      <c r="C493" s="164">
        <v>1.1641318209290907E-2</v>
      </c>
      <c r="D493" s="164">
        <v>-2.4161598044969133E-3</v>
      </c>
      <c r="E493" s="164">
        <v>2.964391815717463E-3</v>
      </c>
      <c r="F493" s="164">
        <v>-7.4109795392936575E-4</v>
      </c>
      <c r="G493" s="164">
        <v>2.5454545454545455E-2</v>
      </c>
      <c r="H493" s="164">
        <v>5.4545454545454541E-3</v>
      </c>
      <c r="I493" s="164">
        <v>4.4000000000000003E-3</v>
      </c>
      <c r="J493" s="164">
        <v>4.13162426244334E-3</v>
      </c>
      <c r="K493" s="164">
        <v>5.6871908459901539E-2</v>
      </c>
      <c r="L493" s="164">
        <v>4.4421860038116392E-3</v>
      </c>
      <c r="M493" s="164">
        <v>1.2578292470326314E-4</v>
      </c>
    </row>
    <row r="494" spans="1:13" x14ac:dyDescent="0.25">
      <c r="A494" s="202"/>
      <c r="B494" s="164" t="s">
        <v>376</v>
      </c>
      <c r="C494" s="164">
        <v>1.2195666695447615E-2</v>
      </c>
      <c r="D494" s="164">
        <v>-2.5312150332824808E-3</v>
      </c>
      <c r="E494" s="164">
        <v>1.552776665375814E-3</v>
      </c>
      <c r="F494" s="164">
        <v>-3.8819416634395349E-4</v>
      </c>
      <c r="G494" s="164">
        <v>2.6666666666666665E-2</v>
      </c>
      <c r="H494" s="164">
        <v>5.7142857142857143E-3</v>
      </c>
      <c r="I494" s="164">
        <v>4.4000000000000003E-3</v>
      </c>
      <c r="J494" s="164">
        <v>4.13162426244334E-3</v>
      </c>
      <c r="K494" s="164">
        <v>6.1799222420589786E-2</v>
      </c>
      <c r="L494" s="164">
        <v>4.4545939822651093E-3</v>
      </c>
      <c r="M494" s="164">
        <v>1.2578292470326314E-4</v>
      </c>
    </row>
    <row r="495" spans="1:13" x14ac:dyDescent="0.25">
      <c r="A495" s="202"/>
      <c r="B495" s="164" t="s">
        <v>372</v>
      </c>
      <c r="C495" s="164">
        <v>6.406113752333166E-3</v>
      </c>
      <c r="D495" s="164">
        <v>-1.3054394682679949E-3</v>
      </c>
      <c r="E495" s="164">
        <v>2.964391815717463E-3</v>
      </c>
      <c r="F495" s="164">
        <v>-7.4109795392936575E-4</v>
      </c>
      <c r="G495" s="164">
        <v>2.5454545454545455E-2</v>
      </c>
      <c r="H495" s="164">
        <v>7.2727272727272727E-3</v>
      </c>
      <c r="I495" s="164">
        <v>4.4000000000000003E-3</v>
      </c>
      <c r="J495" s="164">
        <v>1.0720644957616992E-2</v>
      </c>
      <c r="K495" s="164">
        <v>6.5403373288047129E-2</v>
      </c>
      <c r="L495" s="164">
        <v>0</v>
      </c>
      <c r="M495" s="164">
        <v>3.7182628349802355E-3</v>
      </c>
    </row>
    <row r="496" spans="1:13" x14ac:dyDescent="0.25">
      <c r="A496" s="202"/>
      <c r="B496" s="164" t="s">
        <v>382</v>
      </c>
      <c r="C496" s="164">
        <v>1.4228277811355551E-2</v>
      </c>
      <c r="D496" s="164">
        <v>-2.9530842054962272E-3</v>
      </c>
      <c r="E496" s="164">
        <v>2.1135015723170798E-3</v>
      </c>
      <c r="F496" s="164">
        <v>-5.2837539307926996E-4</v>
      </c>
      <c r="G496" s="164">
        <v>3.111111111111111E-2</v>
      </c>
      <c r="H496" s="164">
        <v>6.6666666666666662E-3</v>
      </c>
      <c r="I496" s="164">
        <v>4.4000000000000003E-3</v>
      </c>
      <c r="J496" s="164">
        <v>4.13162426244334E-3</v>
      </c>
      <c r="K496" s="164">
        <v>6.5381610164195081E-2</v>
      </c>
      <c r="L496" s="164">
        <v>5.1068670182368367E-3</v>
      </c>
      <c r="M496" s="164">
        <v>1.2578292470326314E-4</v>
      </c>
    </row>
    <row r="497" spans="1:14" x14ac:dyDescent="0.25">
      <c r="A497" s="202"/>
      <c r="B497" s="164" t="s">
        <v>375</v>
      </c>
      <c r="C497" s="164">
        <v>6.7111667881585542E-3</v>
      </c>
      <c r="D497" s="164">
        <v>-1.3676032524712327E-3</v>
      </c>
      <c r="E497" s="164">
        <v>1.552776665375814E-3</v>
      </c>
      <c r="F497" s="164">
        <v>-3.8819416634395349E-4</v>
      </c>
      <c r="G497" s="164">
        <v>2.6666666666666665E-2</v>
      </c>
      <c r="H497" s="164">
        <v>7.619047619047619E-3</v>
      </c>
      <c r="I497" s="164">
        <v>4.4000000000000003E-3</v>
      </c>
      <c r="J497" s="164">
        <v>1.0720644957616992E-2</v>
      </c>
      <c r="K497" s="164">
        <v>7.091509669714792E-2</v>
      </c>
      <c r="L497" s="164">
        <v>0</v>
      </c>
      <c r="M497" s="164">
        <v>3.7182628349802355E-3</v>
      </c>
    </row>
    <row r="498" spans="1:14" x14ac:dyDescent="0.25">
      <c r="A498" s="202"/>
      <c r="B498" s="164" t="s">
        <v>381</v>
      </c>
      <c r="C498" s="164">
        <v>7.8296945861849807E-3</v>
      </c>
      <c r="D498" s="164">
        <v>-1.5955371278831049E-3</v>
      </c>
      <c r="E498" s="164">
        <v>2.1135015723170798E-3</v>
      </c>
      <c r="F498" s="164">
        <v>-5.2837539307926996E-4</v>
      </c>
      <c r="G498" s="164">
        <v>3.111111111111111E-2</v>
      </c>
      <c r="H498" s="164">
        <v>8.8888888888888889E-3</v>
      </c>
      <c r="I498" s="164">
        <v>4.4000000000000003E-3</v>
      </c>
      <c r="J498" s="164">
        <v>1.0720644957616992E-2</v>
      </c>
      <c r="K498" s="164">
        <v>6.9329735996424835E-2</v>
      </c>
      <c r="L498" s="164">
        <v>0</v>
      </c>
      <c r="M498" s="164">
        <v>3.718262834980236E-3</v>
      </c>
    </row>
    <row r="499" spans="1:14" x14ac:dyDescent="0.25">
      <c r="A499" s="202"/>
      <c r="B499" s="164" t="s">
        <v>374</v>
      </c>
      <c r="C499" s="164">
        <v>1.2983934501295575E-2</v>
      </c>
      <c r="D499" s="164">
        <v>-2.5975276068232966E-3</v>
      </c>
      <c r="E499" s="164">
        <v>2.964391815717463E-3</v>
      </c>
      <c r="F499" s="164">
        <v>-7.4109795392936575E-4</v>
      </c>
      <c r="G499" s="164">
        <v>2.5454545454545455E-2</v>
      </c>
      <c r="H499" s="164">
        <v>7.3714603239921801E-3</v>
      </c>
      <c r="I499" s="164">
        <v>4.4000000000000003E-3</v>
      </c>
      <c r="J499" s="164">
        <v>1.3279381505411613E-2</v>
      </c>
      <c r="K499" s="164">
        <v>7.03336184363543E-2</v>
      </c>
      <c r="L499" s="164">
        <v>2.4811368469288692E-3</v>
      </c>
      <c r="M499" s="164">
        <v>3.2605614702792577E-4</v>
      </c>
    </row>
    <row r="500" spans="1:14" x14ac:dyDescent="0.25">
      <c r="A500" s="202"/>
      <c r="B500" s="164" t="s">
        <v>377</v>
      </c>
      <c r="C500" s="164">
        <v>1.3602217096595365E-2</v>
      </c>
      <c r="D500" s="164">
        <v>-2.721219397624406E-3</v>
      </c>
      <c r="E500" s="164">
        <v>1.552776665375814E-3</v>
      </c>
      <c r="F500" s="164">
        <v>-3.8819416634395349E-4</v>
      </c>
      <c r="G500" s="164">
        <v>2.6666666666666665E-2</v>
      </c>
      <c r="H500" s="164">
        <v>7.7224822441822839E-3</v>
      </c>
      <c r="I500" s="164">
        <v>4.4000000000000003E-3</v>
      </c>
      <c r="J500" s="164">
        <v>1.3279381505411613E-2</v>
      </c>
      <c r="K500" s="164">
        <v>7.6558564675540813E-2</v>
      </c>
      <c r="L500" s="164">
        <v>2.4923424709268893E-3</v>
      </c>
      <c r="M500" s="164">
        <v>3.2605614702792577E-4</v>
      </c>
    </row>
    <row r="501" spans="1:14" x14ac:dyDescent="0.25">
      <c r="A501" s="202"/>
      <c r="B501" s="164" t="s">
        <v>379</v>
      </c>
      <c r="C501" s="164">
        <v>1.6417243628487177E-2</v>
      </c>
      <c r="D501" s="164">
        <v>-3.4074048524956467E-3</v>
      </c>
      <c r="E501" s="164">
        <v>2.7870350404181278E-3</v>
      </c>
      <c r="F501" s="164">
        <v>-6.9675876010453195E-4</v>
      </c>
      <c r="G501" s="164">
        <v>3.5897435897435902E-2</v>
      </c>
      <c r="H501" s="164">
        <v>7.6923076923076927E-3</v>
      </c>
      <c r="I501" s="164">
        <v>4.4000000000000003E-3</v>
      </c>
      <c r="J501" s="164">
        <v>4.13162426244334E-3</v>
      </c>
      <c r="K501" s="164">
        <v>8.0695702197474711E-2</v>
      </c>
      <c r="L501" s="164">
        <v>5.8166846656595439E-3</v>
      </c>
      <c r="M501" s="164">
        <v>1.2578292470326314E-4</v>
      </c>
    </row>
    <row r="502" spans="1:14" x14ac:dyDescent="0.25">
      <c r="A502" s="202"/>
      <c r="B502" s="164" t="s">
        <v>383</v>
      </c>
      <c r="C502" s="164">
        <v>1.586925327936126E-2</v>
      </c>
      <c r="D502" s="164">
        <v>-3.1747559638951399E-3</v>
      </c>
      <c r="E502" s="164">
        <v>2.1135015723170798E-3</v>
      </c>
      <c r="F502" s="164">
        <v>-5.2837539307926996E-4</v>
      </c>
      <c r="G502" s="164">
        <v>3.111111111111111E-2</v>
      </c>
      <c r="H502" s="164">
        <v>9.0095626182126638E-3</v>
      </c>
      <c r="I502" s="164">
        <v>4.4000000000000003E-3</v>
      </c>
      <c r="J502" s="164">
        <v>1.3279381505411613E-2</v>
      </c>
      <c r="K502" s="164">
        <v>7.9584359467844631E-2</v>
      </c>
      <c r="L502" s="164">
        <v>2.8074723170056493E-3</v>
      </c>
      <c r="M502" s="164">
        <v>3.2605614702792577E-4</v>
      </c>
    </row>
    <row r="503" spans="1:14" x14ac:dyDescent="0.25">
      <c r="A503" s="202"/>
      <c r="B503" s="164" t="s">
        <v>378</v>
      </c>
      <c r="C503" s="164">
        <v>9.034262984059592E-3</v>
      </c>
      <c r="D503" s="164">
        <v>-1.8410043783266593E-3</v>
      </c>
      <c r="E503" s="164">
        <v>2.7870350404181278E-3</v>
      </c>
      <c r="F503" s="164">
        <v>-6.9675876010453195E-4</v>
      </c>
      <c r="G503" s="164">
        <v>3.5897435897435902E-2</v>
      </c>
      <c r="H503" s="164">
        <v>1.0256410256410255E-2</v>
      </c>
      <c r="I503" s="164">
        <v>4.4000000000000003E-3</v>
      </c>
      <c r="J503" s="164">
        <v>1.0720644957616992E-2</v>
      </c>
      <c r="K503" s="164">
        <v>8.8829772674907492E-2</v>
      </c>
      <c r="L503" s="164">
        <v>0</v>
      </c>
      <c r="M503" s="164">
        <v>3.7182628349802355E-3</v>
      </c>
    </row>
    <row r="504" spans="1:14" x14ac:dyDescent="0.25">
      <c r="A504" s="202"/>
      <c r="B504" s="164" t="s">
        <v>380</v>
      </c>
      <c r="C504" s="164">
        <v>1.8310676860801452E-2</v>
      </c>
      <c r="D504" s="164">
        <v>-3.6631799583405462E-3</v>
      </c>
      <c r="E504" s="164">
        <v>2.7870350404181278E-3</v>
      </c>
      <c r="F504" s="164">
        <v>-6.9675876010453195E-4</v>
      </c>
      <c r="G504" s="164">
        <v>3.5897435897435902E-2</v>
      </c>
      <c r="H504" s="164">
        <v>1.0395649174860766E-2</v>
      </c>
      <c r="I504" s="164">
        <v>4.4000000000000003E-3</v>
      </c>
      <c r="J504" s="164">
        <v>1.3279381505411613E-2</v>
      </c>
      <c r="K504" s="164">
        <v>9.6765433154279712E-2</v>
      </c>
      <c r="L504" s="164">
        <v>3.1501713725975572E-3</v>
      </c>
      <c r="M504" s="164">
        <v>3.2605614702792577E-4</v>
      </c>
    </row>
    <row r="505" spans="1:14" x14ac:dyDescent="0.25">
      <c r="A505" s="202"/>
      <c r="B505" s="164" t="s">
        <v>370</v>
      </c>
      <c r="C505" s="164">
        <v>2.3282636418581814E-2</v>
      </c>
      <c r="D505" s="164">
        <v>-4.8323196089938266E-3</v>
      </c>
      <c r="E505" s="164">
        <v>3.9525224209566176E-3</v>
      </c>
      <c r="F505" s="164">
        <v>-9.8813060523915441E-4</v>
      </c>
      <c r="G505" s="164">
        <v>5.0909090909090911E-2</v>
      </c>
      <c r="H505" s="164">
        <v>1.0909090909090908E-2</v>
      </c>
      <c r="I505" s="164">
        <v>4.4000000000000003E-3</v>
      </c>
      <c r="J505" s="164">
        <v>4.13162426244334E-3</v>
      </c>
      <c r="K505" s="164">
        <v>0.12962524792344063</v>
      </c>
      <c r="L505" s="164">
        <v>7.9427691509175447E-3</v>
      </c>
      <c r="M505" s="164">
        <v>1.2578292470326314E-4</v>
      </c>
    </row>
    <row r="506" spans="1:14" x14ac:dyDescent="0.25">
      <c r="A506" s="202"/>
      <c r="B506" s="164" t="s">
        <v>369</v>
      </c>
      <c r="C506" s="164">
        <v>1.2812227504666332E-2</v>
      </c>
      <c r="D506" s="164">
        <v>-2.6108789365359899E-3</v>
      </c>
      <c r="E506" s="164">
        <v>3.9525224209566176E-3</v>
      </c>
      <c r="F506" s="164">
        <v>-9.8813060523915441E-4</v>
      </c>
      <c r="G506" s="164">
        <v>5.0909090909090911E-2</v>
      </c>
      <c r="H506" s="164">
        <v>1.4545454545454545E-2</v>
      </c>
      <c r="I506" s="164">
        <v>4.4000000000000003E-3</v>
      </c>
      <c r="J506" s="164">
        <v>1.0720644957616992E-2</v>
      </c>
      <c r="K506" s="164">
        <v>0.13731562811440928</v>
      </c>
      <c r="L506" s="164">
        <v>0</v>
      </c>
      <c r="M506" s="164">
        <v>3.7182628349802355E-3</v>
      </c>
    </row>
    <row r="507" spans="1:14" x14ac:dyDescent="0.25">
      <c r="A507" s="203"/>
      <c r="B507" s="170" t="s">
        <v>371</v>
      </c>
      <c r="C507" s="170">
        <v>2.5967869002591151E-2</v>
      </c>
      <c r="D507" s="170">
        <v>-5.1950552136465931E-3</v>
      </c>
      <c r="E507" s="170">
        <v>3.9525224209566176E-3</v>
      </c>
      <c r="F507" s="170">
        <v>-9.8813060523915441E-4</v>
      </c>
      <c r="G507" s="170">
        <v>5.0909090909090911E-2</v>
      </c>
      <c r="H507" s="170">
        <v>1.474292064798436E-2</v>
      </c>
      <c r="I507" s="170">
        <v>4.4000000000000003E-3</v>
      </c>
      <c r="J507" s="170">
        <v>1.3279381505411613E-2</v>
      </c>
      <c r="K507" s="170">
        <v>0.15103602689119042</v>
      </c>
      <c r="L507" s="170">
        <v>4.1797635385618787E-3</v>
      </c>
      <c r="M507" s="170">
        <v>3.2605614702792577E-4</v>
      </c>
      <c r="N507" s="170"/>
    </row>
    <row r="508" spans="1:14" x14ac:dyDescent="0.25">
      <c r="A508" s="204">
        <v>2050</v>
      </c>
      <c r="B508" s="164" t="s">
        <v>350</v>
      </c>
      <c r="C508" s="164">
        <v>1.0902430594344164E-3</v>
      </c>
      <c r="D508" s="164">
        <v>-1.6353645891516245E-4</v>
      </c>
      <c r="E508" s="164">
        <v>7.6311881817276459E-4</v>
      </c>
      <c r="F508" s="164">
        <v>-3.8155940908638231E-5</v>
      </c>
      <c r="G508" s="164">
        <v>1.6256502601040416E-3</v>
      </c>
      <c r="H508" s="164">
        <v>1.6256502601040416E-3</v>
      </c>
      <c r="I508" s="164">
        <v>1.7507002801120447E-3</v>
      </c>
      <c r="J508" s="164">
        <v>8.3706989059071399E-4</v>
      </c>
      <c r="K508" s="164">
        <v>8.1981036076722927E-3</v>
      </c>
      <c r="L508" s="164">
        <v>0</v>
      </c>
      <c r="M508" s="164">
        <v>4.2820272446309834E-7</v>
      </c>
    </row>
    <row r="509" spans="1:14" x14ac:dyDescent="0.25">
      <c r="A509" s="202"/>
      <c r="B509" s="164" t="s">
        <v>352</v>
      </c>
      <c r="C509" s="164">
        <v>8.7510622887057403E-4</v>
      </c>
      <c r="D509" s="164">
        <v>-1.3078063744341263E-4</v>
      </c>
      <c r="E509" s="164">
        <v>7.6311881817276459E-4</v>
      </c>
      <c r="F509" s="164">
        <v>-3.8155940908638231E-5</v>
      </c>
      <c r="G509" s="164">
        <v>1.6256502601040416E-3</v>
      </c>
      <c r="H509" s="164">
        <v>1.4052359304229719E-3</v>
      </c>
      <c r="I509" s="164">
        <v>1.7507002801120447E-3</v>
      </c>
      <c r="J509" s="164">
        <v>1.5238870080703825E-3</v>
      </c>
      <c r="K509" s="164">
        <v>8.5064464888808689E-3</v>
      </c>
      <c r="L509" s="164">
        <v>1.4276553547772075E-4</v>
      </c>
      <c r="M509" s="164">
        <v>1.0306220566436748E-6</v>
      </c>
    </row>
    <row r="510" spans="1:14" x14ac:dyDescent="0.25">
      <c r="A510" s="202"/>
      <c r="B510" s="164" t="s">
        <v>346</v>
      </c>
      <c r="C510" s="164">
        <v>1.3569040676564852E-3</v>
      </c>
      <c r="D510" s="164">
        <v>-1.3401388779574273E-4</v>
      </c>
      <c r="E510" s="164">
        <v>6.8982996659853576E-5</v>
      </c>
      <c r="F510" s="164">
        <v>-6.8982996659853564E-6</v>
      </c>
      <c r="G510" s="164">
        <v>1.0654632223259673E-3</v>
      </c>
      <c r="H510" s="164">
        <v>2.9878618113912231E-4</v>
      </c>
      <c r="I510" s="164">
        <v>8.6011184229469056E-5</v>
      </c>
      <c r="J510" s="164">
        <v>5.4701451293849941E-3</v>
      </c>
      <c r="K510" s="164">
        <v>7.9008839801519501E-3</v>
      </c>
      <c r="L510" s="164">
        <v>7.1822500101581012E-4</v>
      </c>
      <c r="M510" s="164">
        <v>4.1918473001819709E-6</v>
      </c>
    </row>
    <row r="511" spans="1:14" x14ac:dyDescent="0.25">
      <c r="A511" s="202"/>
      <c r="B511" s="164" t="s">
        <v>337</v>
      </c>
      <c r="C511" s="164">
        <v>1.3569040676564852E-3</v>
      </c>
      <c r="D511" s="164">
        <v>-1.3401388779574273E-4</v>
      </c>
      <c r="E511" s="164">
        <v>6.8982996659853576E-5</v>
      </c>
      <c r="F511" s="164">
        <v>-6.8982996659853564E-6</v>
      </c>
      <c r="G511" s="164">
        <v>1.0654632223259673E-3</v>
      </c>
      <c r="H511" s="164">
        <v>2.9878618113912231E-4</v>
      </c>
      <c r="I511" s="164">
        <v>8.9502842587904882E-5</v>
      </c>
      <c r="J511" s="164">
        <v>5.4701451293849941E-3</v>
      </c>
      <c r="K511" s="164">
        <v>7.9042387107316255E-3</v>
      </c>
      <c r="L511" s="164">
        <v>7.1852996073677906E-4</v>
      </c>
      <c r="M511" s="164">
        <v>4.1918473001819709E-6</v>
      </c>
    </row>
    <row r="512" spans="1:14" x14ac:dyDescent="0.25">
      <c r="A512" s="202"/>
      <c r="B512" s="164" t="s">
        <v>347</v>
      </c>
      <c r="C512" s="164">
        <v>1.2551060916366106E-3</v>
      </c>
      <c r="D512" s="164">
        <v>-1.2383409019375524E-4</v>
      </c>
      <c r="E512" s="164">
        <v>6.8982996659853576E-5</v>
      </c>
      <c r="F512" s="164">
        <v>-6.8982996659853564E-6</v>
      </c>
      <c r="G512" s="164">
        <v>1.0654632223259673E-3</v>
      </c>
      <c r="H512" s="164">
        <v>2.9878618113912231E-4</v>
      </c>
      <c r="I512" s="164">
        <v>8.6011184229469056E-5</v>
      </c>
      <c r="J512" s="164">
        <v>5.6283132239921011E-3</v>
      </c>
      <c r="K512" s="164">
        <v>7.9649015468819025E-3</v>
      </c>
      <c r="L512" s="164">
        <v>6.2553170530739097E-4</v>
      </c>
      <c r="M512" s="164">
        <v>4.2724597482624145E-6</v>
      </c>
    </row>
    <row r="513" spans="1:13" x14ac:dyDescent="0.25">
      <c r="A513" s="202"/>
      <c r="B513" s="164" t="s">
        <v>338</v>
      </c>
      <c r="C513" s="164">
        <v>1.2551060916366106E-3</v>
      </c>
      <c r="D513" s="164">
        <v>-1.2383409019375524E-4</v>
      </c>
      <c r="E513" s="164">
        <v>6.8982996659853576E-5</v>
      </c>
      <c r="F513" s="164">
        <v>-6.8982996659853564E-6</v>
      </c>
      <c r="G513" s="164">
        <v>1.0654632223259673E-3</v>
      </c>
      <c r="H513" s="164">
        <v>2.9878618113912231E-4</v>
      </c>
      <c r="I513" s="164">
        <v>8.9502842587904882E-5</v>
      </c>
      <c r="J513" s="164">
        <v>5.6283132239921011E-3</v>
      </c>
      <c r="K513" s="164">
        <v>7.968256277461578E-3</v>
      </c>
      <c r="L513" s="164">
        <v>6.2579517251134739E-4</v>
      </c>
      <c r="M513" s="164">
        <v>4.2724597482624145E-6</v>
      </c>
    </row>
    <row r="514" spans="1:13" x14ac:dyDescent="0.25">
      <c r="A514" s="202"/>
      <c r="B514" s="164" t="s">
        <v>351</v>
      </c>
      <c r="C514" s="164">
        <v>1.364623687619921E-3</v>
      </c>
      <c r="D514" s="164">
        <v>-2.0420825625581466E-4</v>
      </c>
      <c r="E514" s="164">
        <v>7.6311881817276459E-4</v>
      </c>
      <c r="F514" s="164">
        <v>-3.8155940908638231E-5</v>
      </c>
      <c r="G514" s="164">
        <v>1.6256502601040416E-3</v>
      </c>
      <c r="H514" s="164">
        <v>2.0347764046985059E-3</v>
      </c>
      <c r="I514" s="164">
        <v>1.7507002801120447E-3</v>
      </c>
      <c r="J514" s="164">
        <v>8.8938675875263335E-4</v>
      </c>
      <c r="K514" s="164">
        <v>8.9512137644664324E-3</v>
      </c>
      <c r="L514" s="164">
        <v>1.5057061177638394E-4</v>
      </c>
      <c r="M514" s="164">
        <v>4.5496539474204176E-7</v>
      </c>
    </row>
    <row r="515" spans="1:13" x14ac:dyDescent="0.25">
      <c r="A515" s="202"/>
      <c r="B515" s="164" t="s">
        <v>348</v>
      </c>
      <c r="C515" s="164">
        <v>1.0397745068075209E-3</v>
      </c>
      <c r="D515" s="164">
        <v>-1.0288771335031333E-4</v>
      </c>
      <c r="E515" s="164">
        <v>6.8982996659853576E-5</v>
      </c>
      <c r="F515" s="164">
        <v>-6.8982996659853564E-6</v>
      </c>
      <c r="G515" s="164">
        <v>1.0654632223259673E-3</v>
      </c>
      <c r="H515" s="164">
        <v>4.305425874053325E-4</v>
      </c>
      <c r="I515" s="164">
        <v>8.6011184229469056E-5</v>
      </c>
      <c r="J515" s="164">
        <v>6.5837900060073855E-3</v>
      </c>
      <c r="K515" s="164">
        <v>8.823841520165767E-3</v>
      </c>
      <c r="L515" s="164">
        <v>3.8266659653780032E-4</v>
      </c>
      <c r="M515" s="164">
        <v>5.4232271560286516E-6</v>
      </c>
    </row>
    <row r="516" spans="1:13" x14ac:dyDescent="0.25">
      <c r="A516" s="202"/>
      <c r="B516" s="164" t="s">
        <v>339</v>
      </c>
      <c r="C516" s="164">
        <v>1.0397745068075209E-3</v>
      </c>
      <c r="D516" s="164">
        <v>-1.0288771335031333E-4</v>
      </c>
      <c r="E516" s="164">
        <v>6.8982996659853576E-5</v>
      </c>
      <c r="F516" s="164">
        <v>-6.8982996659853564E-6</v>
      </c>
      <c r="G516" s="164">
        <v>1.0654632223259673E-3</v>
      </c>
      <c r="H516" s="164">
        <v>4.305425874053325E-4</v>
      </c>
      <c r="I516" s="164">
        <v>8.9502842587904882E-5</v>
      </c>
      <c r="J516" s="164">
        <v>6.5837900060073855E-3</v>
      </c>
      <c r="K516" s="164">
        <v>8.8271962507454425E-3</v>
      </c>
      <c r="L516" s="164">
        <v>3.8281208230273554E-4</v>
      </c>
      <c r="M516" s="164">
        <v>5.4232271560286516E-6</v>
      </c>
    </row>
    <row r="517" spans="1:13" x14ac:dyDescent="0.25">
      <c r="A517" s="202"/>
      <c r="B517" s="164" t="s">
        <v>340</v>
      </c>
      <c r="C517" s="164">
        <v>1.3569040676564852E-3</v>
      </c>
      <c r="D517" s="164">
        <v>-1.3401388779574273E-4</v>
      </c>
      <c r="E517" s="164">
        <v>3.4491498329926784E-4</v>
      </c>
      <c r="F517" s="164">
        <v>-3.4491498329926788E-5</v>
      </c>
      <c r="G517" s="164">
        <v>1.0654632223259673E-3</v>
      </c>
      <c r="H517" s="164">
        <v>2.9878618113912231E-4</v>
      </c>
      <c r="I517" s="164">
        <v>1.7869725535414797E-4</v>
      </c>
      <c r="J517" s="164">
        <v>5.4701451293849941E-3</v>
      </c>
      <c r="K517" s="164">
        <v>1.1425955277411116E-2</v>
      </c>
      <c r="L517" s="164">
        <v>7.528298969710686E-4</v>
      </c>
      <c r="M517" s="164">
        <v>4.1918473001819709E-6</v>
      </c>
    </row>
    <row r="518" spans="1:13" x14ac:dyDescent="0.25">
      <c r="A518" s="202"/>
      <c r="B518" s="164" t="s">
        <v>341</v>
      </c>
      <c r="C518" s="164">
        <v>1.2551060916366106E-3</v>
      </c>
      <c r="D518" s="164">
        <v>-1.2383409019375524E-4</v>
      </c>
      <c r="E518" s="164">
        <v>3.4491498329926784E-4</v>
      </c>
      <c r="F518" s="164">
        <v>-3.4491498329926788E-5</v>
      </c>
      <c r="G518" s="164">
        <v>1.0654632223259673E-3</v>
      </c>
      <c r="H518" s="164">
        <v>2.9878618113912231E-4</v>
      </c>
      <c r="I518" s="164">
        <v>1.7869725535414797E-4</v>
      </c>
      <c r="J518" s="164">
        <v>5.6283132239921011E-3</v>
      </c>
      <c r="K518" s="164">
        <v>1.151427946653498E-2</v>
      </c>
      <c r="L518" s="164">
        <v>6.5542829345874992E-4</v>
      </c>
      <c r="M518" s="164">
        <v>4.2724597482624145E-6</v>
      </c>
    </row>
    <row r="519" spans="1:13" x14ac:dyDescent="0.25">
      <c r="A519" s="202"/>
      <c r="B519" s="164" t="s">
        <v>391</v>
      </c>
      <c r="C519" s="164">
        <v>1.0347449498978036E-3</v>
      </c>
      <c r="D519" s="164">
        <v>-5.2575506979843073E-5</v>
      </c>
      <c r="E519" s="164">
        <v>6.8982996659853576E-5</v>
      </c>
      <c r="F519" s="164">
        <v>-6.8982996659853564E-6</v>
      </c>
      <c r="G519" s="164">
        <v>1.0654632223259673E-3</v>
      </c>
      <c r="H519" s="164">
        <v>4.305425874053325E-4</v>
      </c>
      <c r="I519" s="164">
        <v>8.6011184229469056E-5</v>
      </c>
      <c r="J519" s="164">
        <v>1.9961810868829068E-3</v>
      </c>
      <c r="K519" s="164">
        <v>1.0385648271480374E-2</v>
      </c>
      <c r="L519" s="164">
        <v>0</v>
      </c>
      <c r="M519" s="164">
        <v>6.1733034624737292E-3</v>
      </c>
    </row>
    <row r="520" spans="1:13" x14ac:dyDescent="0.25">
      <c r="A520" s="202"/>
      <c r="B520" s="164" t="s">
        <v>388</v>
      </c>
      <c r="C520" s="164">
        <v>1.0347449498978036E-3</v>
      </c>
      <c r="D520" s="164">
        <v>-5.2575506979843073E-5</v>
      </c>
      <c r="E520" s="164">
        <v>6.8982996659853576E-5</v>
      </c>
      <c r="F520" s="164">
        <v>-6.8982996659853564E-6</v>
      </c>
      <c r="G520" s="164">
        <v>1.0654632223259673E-3</v>
      </c>
      <c r="H520" s="164">
        <v>4.305425874053325E-4</v>
      </c>
      <c r="I520" s="164">
        <v>8.9502842587904882E-5</v>
      </c>
      <c r="J520" s="164">
        <v>1.9961810868829068E-3</v>
      </c>
      <c r="K520" s="164">
        <v>1.0389003002060049E-2</v>
      </c>
      <c r="L520" s="164">
        <v>0</v>
      </c>
      <c r="M520" s="164">
        <v>6.1733034624737292E-3</v>
      </c>
    </row>
    <row r="521" spans="1:13" x14ac:dyDescent="0.25">
      <c r="A521" s="202"/>
      <c r="B521" s="164" t="s">
        <v>343</v>
      </c>
      <c r="C521" s="164">
        <v>1.3569040676564852E-3</v>
      </c>
      <c r="D521" s="164">
        <v>-1.3401388779574273E-4</v>
      </c>
      <c r="E521" s="164">
        <v>6.8982996659853576E-5</v>
      </c>
      <c r="F521" s="164">
        <v>-6.8982996659853564E-6</v>
      </c>
      <c r="G521" s="164">
        <v>1.0654632223259673E-3</v>
      </c>
      <c r="H521" s="164">
        <v>2.9878618113912231E-4</v>
      </c>
      <c r="I521" s="164">
        <v>8.6011184229469056E-5</v>
      </c>
      <c r="J521" s="164">
        <v>5.4701451293849941E-3</v>
      </c>
      <c r="K521" s="164">
        <v>1.2862192601911418E-2</v>
      </c>
      <c r="L521" s="164">
        <v>7.1822500101581012E-4</v>
      </c>
      <c r="M521" s="164">
        <v>4.1918473001819709E-6</v>
      </c>
    </row>
    <row r="522" spans="1:13" x14ac:dyDescent="0.25">
      <c r="A522" s="202"/>
      <c r="B522" s="164" t="s">
        <v>362</v>
      </c>
      <c r="C522" s="164">
        <v>1.0902430594344164E-3</v>
      </c>
      <c r="D522" s="164">
        <v>-1.6353645891516245E-4</v>
      </c>
      <c r="E522" s="164">
        <v>7.6311881817276459E-4</v>
      </c>
      <c r="F522" s="164">
        <v>-3.8155940908638231E-5</v>
      </c>
      <c r="G522" s="164">
        <v>3.6264505802320927E-3</v>
      </c>
      <c r="H522" s="164">
        <v>1.6256502601040416E-3</v>
      </c>
      <c r="I522" s="164">
        <v>4.0016006402561026E-3</v>
      </c>
      <c r="J522" s="164">
        <v>8.3706989059071399E-4</v>
      </c>
      <c r="K522" s="164">
        <v>1.0068191165580947E-2</v>
      </c>
      <c r="L522" s="164">
        <v>0</v>
      </c>
      <c r="M522" s="164">
        <v>4.2820272446309834E-7</v>
      </c>
    </row>
    <row r="523" spans="1:13" x14ac:dyDescent="0.25">
      <c r="A523" s="202"/>
      <c r="B523" s="164" t="s">
        <v>344</v>
      </c>
      <c r="C523" s="164">
        <v>1.2551060916366106E-3</v>
      </c>
      <c r="D523" s="164">
        <v>-1.2383409019375524E-4</v>
      </c>
      <c r="E523" s="164">
        <v>6.8982996659853576E-5</v>
      </c>
      <c r="F523" s="164">
        <v>-6.8982996659853564E-6</v>
      </c>
      <c r="G523" s="164">
        <v>1.0654632223259673E-3</v>
      </c>
      <c r="H523" s="164">
        <v>2.9878618113912231E-4</v>
      </c>
      <c r="I523" s="164">
        <v>8.6011184229469056E-5</v>
      </c>
      <c r="J523" s="164">
        <v>5.6283132239921011E-3</v>
      </c>
      <c r="K523" s="164">
        <v>1.2966409582600527E-2</v>
      </c>
      <c r="L523" s="164">
        <v>6.2553170530739097E-4</v>
      </c>
      <c r="M523" s="164">
        <v>4.2724597482624145E-6</v>
      </c>
    </row>
    <row r="524" spans="1:13" x14ac:dyDescent="0.25">
      <c r="A524" s="202"/>
      <c r="B524" s="164" t="s">
        <v>358</v>
      </c>
      <c r="C524" s="164">
        <v>1.0902430594344164E-3</v>
      </c>
      <c r="D524" s="164">
        <v>-1.6353645891516245E-4</v>
      </c>
      <c r="E524" s="164">
        <v>5.087458787818432E-4</v>
      </c>
      <c r="F524" s="164">
        <v>-2.5437293939092156E-5</v>
      </c>
      <c r="G524" s="164">
        <v>1.525610244097639E-3</v>
      </c>
      <c r="H524" s="164">
        <v>1.6256502601040416E-3</v>
      </c>
      <c r="I524" s="164">
        <v>1.6256502601040416E-3</v>
      </c>
      <c r="J524" s="164">
        <v>8.3706989059071399E-4</v>
      </c>
      <c r="K524" s="164">
        <v>1.5035009590579808E-2</v>
      </c>
      <c r="L524" s="164">
        <v>0</v>
      </c>
      <c r="M524" s="164">
        <v>4.2820272446309834E-7</v>
      </c>
    </row>
    <row r="525" spans="1:13" x14ac:dyDescent="0.25">
      <c r="A525" s="202"/>
      <c r="B525" s="164" t="s">
        <v>364</v>
      </c>
      <c r="C525" s="164">
        <v>8.7510622887057403E-4</v>
      </c>
      <c r="D525" s="164">
        <v>-1.3078063744341263E-4</v>
      </c>
      <c r="E525" s="164">
        <v>7.6311881817276459E-4</v>
      </c>
      <c r="F525" s="164">
        <v>-3.8155940908638231E-5</v>
      </c>
      <c r="G525" s="164">
        <v>3.6264505802320927E-3</v>
      </c>
      <c r="H525" s="164">
        <v>1.4052359304229719E-3</v>
      </c>
      <c r="I525" s="164">
        <v>4.0016006402561026E-3</v>
      </c>
      <c r="J525" s="164">
        <v>1.5238870080703825E-3</v>
      </c>
      <c r="K525" s="164">
        <v>1.0310648815762049E-2</v>
      </c>
      <c r="L525" s="164">
        <v>2.2006918420994052E-4</v>
      </c>
      <c r="M525" s="164">
        <v>1.0306220566436748E-6</v>
      </c>
    </row>
    <row r="526" spans="1:13" x14ac:dyDescent="0.25">
      <c r="A526" s="202"/>
      <c r="B526" s="164" t="s">
        <v>342</v>
      </c>
      <c r="C526" s="164">
        <v>1.0397745068075209E-3</v>
      </c>
      <c r="D526" s="164">
        <v>-1.0288771335031333E-4</v>
      </c>
      <c r="E526" s="164">
        <v>3.4491498329926784E-4</v>
      </c>
      <c r="F526" s="164">
        <v>-3.4491498329926788E-5</v>
      </c>
      <c r="G526" s="164">
        <v>1.0654632223259673E-3</v>
      </c>
      <c r="H526" s="164">
        <v>4.305425874053325E-4</v>
      </c>
      <c r="I526" s="164">
        <v>1.7869725535414797E-4</v>
      </c>
      <c r="J526" s="164">
        <v>6.5837900060073855E-3</v>
      </c>
      <c r="K526" s="164">
        <v>1.2699347573956049E-2</v>
      </c>
      <c r="L526" s="164">
        <v>3.9917539888897034E-4</v>
      </c>
      <c r="M526" s="164">
        <v>5.4232271560286516E-6</v>
      </c>
    </row>
    <row r="527" spans="1:13" x14ac:dyDescent="0.25">
      <c r="A527" s="202"/>
      <c r="B527" s="164" t="s">
        <v>360</v>
      </c>
      <c r="C527" s="164">
        <v>8.7510622887057403E-4</v>
      </c>
      <c r="D527" s="164">
        <v>-1.3078063744341263E-4</v>
      </c>
      <c r="E527" s="164">
        <v>5.087458787818432E-4</v>
      </c>
      <c r="F527" s="164">
        <v>-2.5437293939092156E-5</v>
      </c>
      <c r="G527" s="164">
        <v>1.525610244097639E-3</v>
      </c>
      <c r="H527" s="164">
        <v>1.4052359304229719E-3</v>
      </c>
      <c r="I527" s="164">
        <v>1.6256502601040416E-3</v>
      </c>
      <c r="J527" s="164">
        <v>1.5238870080703825E-3</v>
      </c>
      <c r="K527" s="164">
        <v>1.5639836011412018E-2</v>
      </c>
      <c r="L527" s="164">
        <v>1.3381677870726895E-4</v>
      </c>
      <c r="M527" s="164">
        <v>1.0306220566436748E-6</v>
      </c>
    </row>
    <row r="528" spans="1:13" x14ac:dyDescent="0.25">
      <c r="A528" s="202"/>
      <c r="B528" s="164" t="s">
        <v>366</v>
      </c>
      <c r="C528" s="164">
        <v>8.7219444754753307E-4</v>
      </c>
      <c r="D528" s="164">
        <v>-1.3082916713212997E-4</v>
      </c>
      <c r="E528" s="164">
        <v>5.0874587878184309E-4</v>
      </c>
      <c r="F528" s="164">
        <v>-2.5437293939092159E-5</v>
      </c>
      <c r="G528" s="164">
        <v>1.3005202080832333E-3</v>
      </c>
      <c r="H528" s="164">
        <v>1.3005202080832333E-3</v>
      </c>
      <c r="I528" s="164">
        <v>1.4005602240896359E-3</v>
      </c>
      <c r="J528" s="164">
        <v>6.6965591247257115E-4</v>
      </c>
      <c r="K528" s="164">
        <v>1.7283897619629562E-2</v>
      </c>
      <c r="L528" s="164">
        <v>0</v>
      </c>
      <c r="M528" s="164">
        <v>3.4256217957047868E-7</v>
      </c>
    </row>
    <row r="529" spans="1:13" x14ac:dyDescent="0.25">
      <c r="A529" s="202"/>
      <c r="B529" s="164" t="s">
        <v>363</v>
      </c>
      <c r="C529" s="164">
        <v>1.364623687619921E-3</v>
      </c>
      <c r="D529" s="164">
        <v>-2.0420825625581466E-4</v>
      </c>
      <c r="E529" s="164">
        <v>7.6311881817276459E-4</v>
      </c>
      <c r="F529" s="164">
        <v>-3.8155940908638231E-5</v>
      </c>
      <c r="G529" s="164">
        <v>3.6264505802320927E-3</v>
      </c>
      <c r="H529" s="164">
        <v>2.0347764046985059E-3</v>
      </c>
      <c r="I529" s="164">
        <v>4.0016006402561026E-3</v>
      </c>
      <c r="J529" s="164">
        <v>8.8938675875263335E-4</v>
      </c>
      <c r="K529" s="164">
        <v>1.0660380348701126E-2</v>
      </c>
      <c r="L529" s="164">
        <v>2.280494455759903E-4</v>
      </c>
      <c r="M529" s="164">
        <v>4.5496539474204176E-7</v>
      </c>
    </row>
    <row r="530" spans="1:13" x14ac:dyDescent="0.25">
      <c r="A530" s="202"/>
      <c r="B530" s="164" t="s">
        <v>354</v>
      </c>
      <c r="C530" s="164">
        <v>1.0902430594344164E-3</v>
      </c>
      <c r="D530" s="164">
        <v>-1.6353645891516245E-4</v>
      </c>
      <c r="E530" s="164">
        <v>1.0174917575636864E-3</v>
      </c>
      <c r="F530" s="164">
        <v>-5.0874587878184312E-5</v>
      </c>
      <c r="G530" s="164">
        <v>1.5506202480992397E-3</v>
      </c>
      <c r="H530" s="164">
        <v>1.6256502601040416E-3</v>
      </c>
      <c r="I530" s="164">
        <v>1.6256502601040416E-3</v>
      </c>
      <c r="J530" s="164">
        <v>8.3706989059071399E-4</v>
      </c>
      <c r="K530" s="164">
        <v>1.6223295091115197E-2</v>
      </c>
      <c r="L530" s="164">
        <v>0</v>
      </c>
      <c r="M530" s="164">
        <v>4.2820272446309834E-7</v>
      </c>
    </row>
    <row r="531" spans="1:13" x14ac:dyDescent="0.25">
      <c r="A531" s="202"/>
      <c r="B531" s="164" t="s">
        <v>345</v>
      </c>
      <c r="C531" s="164">
        <v>1.0397745068075209E-3</v>
      </c>
      <c r="D531" s="164">
        <v>-1.0288771335031333E-4</v>
      </c>
      <c r="E531" s="164">
        <v>6.8982996659853576E-5</v>
      </c>
      <c r="F531" s="164">
        <v>-6.8982996659853564E-6</v>
      </c>
      <c r="G531" s="164">
        <v>1.0654632223259673E-3</v>
      </c>
      <c r="H531" s="164">
        <v>4.305425874053325E-4</v>
      </c>
      <c r="I531" s="164">
        <v>8.6011184229469056E-5</v>
      </c>
      <c r="J531" s="164">
        <v>6.5837900060073855E-3</v>
      </c>
      <c r="K531" s="164">
        <v>1.4364715316188228E-2</v>
      </c>
      <c r="L531" s="164">
        <v>3.8266659653780032E-4</v>
      </c>
      <c r="M531" s="164">
        <v>5.4232271560286516E-6</v>
      </c>
    </row>
    <row r="532" spans="1:13" x14ac:dyDescent="0.25">
      <c r="A532" s="202"/>
      <c r="B532" s="164" t="s">
        <v>387</v>
      </c>
      <c r="C532" s="164">
        <v>1.0347449498978036E-3</v>
      </c>
      <c r="D532" s="164">
        <v>-5.2575506979843073E-5</v>
      </c>
      <c r="E532" s="164">
        <v>6.8982996659853576E-5</v>
      </c>
      <c r="F532" s="164">
        <v>-6.8982996659853564E-6</v>
      </c>
      <c r="G532" s="164">
        <v>1.0654632223259673E-3</v>
      </c>
      <c r="H532" s="164">
        <v>4.305425874053325E-4</v>
      </c>
      <c r="I532" s="164">
        <v>8.6011184229469056E-5</v>
      </c>
      <c r="J532" s="164">
        <v>3.8143587647444083E-3</v>
      </c>
      <c r="K532" s="164">
        <v>1.1829837822942339E-2</v>
      </c>
      <c r="L532" s="164">
        <v>0</v>
      </c>
      <c r="M532" s="164">
        <v>5.8582618483787648E-3</v>
      </c>
    </row>
    <row r="533" spans="1:13" x14ac:dyDescent="0.25">
      <c r="A533" s="202"/>
      <c r="B533" s="164" t="s">
        <v>384</v>
      </c>
      <c r="C533" s="164">
        <v>1.0347449498978036E-3</v>
      </c>
      <c r="D533" s="164">
        <v>-5.2575506979843073E-5</v>
      </c>
      <c r="E533" s="164">
        <v>6.8982996659853576E-5</v>
      </c>
      <c r="F533" s="164">
        <v>-6.8982996659853564E-6</v>
      </c>
      <c r="G533" s="164">
        <v>1.0654632223259673E-3</v>
      </c>
      <c r="H533" s="164">
        <v>4.305425874053325E-4</v>
      </c>
      <c r="I533" s="164">
        <v>8.9502842587904882E-5</v>
      </c>
      <c r="J533" s="164">
        <v>3.8143587647444083E-3</v>
      </c>
      <c r="K533" s="164">
        <v>1.1833192553522012E-2</v>
      </c>
      <c r="L533" s="164">
        <v>0</v>
      </c>
      <c r="M533" s="164">
        <v>5.8582618483787648E-3</v>
      </c>
    </row>
    <row r="534" spans="1:13" x14ac:dyDescent="0.25">
      <c r="A534" s="202"/>
      <c r="B534" s="164" t="s">
        <v>368</v>
      </c>
      <c r="C534" s="164">
        <v>7.0008498309645929E-4</v>
      </c>
      <c r="D534" s="164">
        <v>-1.046245099547301E-4</v>
      </c>
      <c r="E534" s="164">
        <v>5.0874587878184309E-4</v>
      </c>
      <c r="F534" s="164">
        <v>-2.5437293939092159E-5</v>
      </c>
      <c r="G534" s="164">
        <v>1.3005202080832333E-3</v>
      </c>
      <c r="H534" s="164">
        <v>1.1241887443383775E-3</v>
      </c>
      <c r="I534" s="164">
        <v>1.4005602240896359E-3</v>
      </c>
      <c r="J534" s="164">
        <v>1.2191096064563059E-3</v>
      </c>
      <c r="K534" s="164">
        <v>1.7945648880069512E-2</v>
      </c>
      <c r="L534" s="164">
        <v>8.9490535166311669E-5</v>
      </c>
      <c r="M534" s="164">
        <v>8.2449764531493981E-7</v>
      </c>
    </row>
    <row r="535" spans="1:13" x14ac:dyDescent="0.25">
      <c r="A535" s="202"/>
      <c r="B535" s="164" t="s">
        <v>359</v>
      </c>
      <c r="C535" s="164">
        <v>1.364623687619921E-3</v>
      </c>
      <c r="D535" s="164">
        <v>-2.0420825625581466E-4</v>
      </c>
      <c r="E535" s="164">
        <v>5.087458787818432E-4</v>
      </c>
      <c r="F535" s="164">
        <v>-2.5437293939092156E-5</v>
      </c>
      <c r="G535" s="164">
        <v>1.525610244097639E-3</v>
      </c>
      <c r="H535" s="164">
        <v>2.0347764046985059E-3</v>
      </c>
      <c r="I535" s="164">
        <v>1.6256502601040416E-3</v>
      </c>
      <c r="J535" s="164">
        <v>8.8938675875263335E-4</v>
      </c>
      <c r="K535" s="164">
        <v>1.651226412890678E-2</v>
      </c>
      <c r="L535" s="164">
        <v>1.4160157538674681E-4</v>
      </c>
      <c r="M535" s="164">
        <v>4.5496539474204176E-7</v>
      </c>
    </row>
    <row r="536" spans="1:13" x14ac:dyDescent="0.25">
      <c r="A536" s="202"/>
      <c r="B536" s="164" t="s">
        <v>356</v>
      </c>
      <c r="C536" s="164">
        <v>8.7510622887057403E-4</v>
      </c>
      <c r="D536" s="164">
        <v>-1.3078063744341263E-4</v>
      </c>
      <c r="E536" s="164">
        <v>1.0174917575636864E-3</v>
      </c>
      <c r="F536" s="164">
        <v>-5.0874587878184312E-5</v>
      </c>
      <c r="G536" s="164">
        <v>1.5506202480992397E-3</v>
      </c>
      <c r="H536" s="164">
        <v>1.4052359304229719E-3</v>
      </c>
      <c r="I536" s="164">
        <v>1.6256502601040416E-3</v>
      </c>
      <c r="J536" s="164">
        <v>1.5238870080703825E-3</v>
      </c>
      <c r="K536" s="164">
        <v>1.682812151194741E-2</v>
      </c>
      <c r="L536" s="164">
        <v>1.4398392737494971E-4</v>
      </c>
      <c r="M536" s="164">
        <v>1.0306220566436748E-6</v>
      </c>
    </row>
    <row r="537" spans="1:13" x14ac:dyDescent="0.25">
      <c r="A537" s="202"/>
      <c r="B537" s="164" t="s">
        <v>367</v>
      </c>
      <c r="C537" s="164">
        <v>1.0916989500959369E-3</v>
      </c>
      <c r="D537" s="164">
        <v>-1.6336660500465173E-4</v>
      </c>
      <c r="E537" s="164">
        <v>5.0874587878184309E-4</v>
      </c>
      <c r="F537" s="164">
        <v>-2.5437293939092159E-5</v>
      </c>
      <c r="G537" s="164">
        <v>1.3005202080832333E-3</v>
      </c>
      <c r="H537" s="164">
        <v>1.6278211237588046E-3</v>
      </c>
      <c r="I537" s="164">
        <v>1.4005602240896359E-3</v>
      </c>
      <c r="J537" s="164">
        <v>7.1150940700210675E-4</v>
      </c>
      <c r="K537" s="164">
        <v>1.8900187879210835E-2</v>
      </c>
      <c r="L537" s="164">
        <v>9.4463400767744003E-5</v>
      </c>
      <c r="M537" s="164">
        <v>3.6397231579363343E-7</v>
      </c>
    </row>
    <row r="538" spans="1:13" x14ac:dyDescent="0.25">
      <c r="A538" s="202"/>
      <c r="B538" s="164" t="s">
        <v>389</v>
      </c>
      <c r="C538" s="164">
        <v>1.0347449498978036E-3</v>
      </c>
      <c r="D538" s="164">
        <v>-5.2575506979843073E-5</v>
      </c>
      <c r="E538" s="164">
        <v>3.4491498329926784E-4</v>
      </c>
      <c r="F538" s="164">
        <v>-3.4491498329926788E-5</v>
      </c>
      <c r="G538" s="164">
        <v>1.0654632223259673E-3</v>
      </c>
      <c r="H538" s="164">
        <v>4.305425874053325E-4</v>
      </c>
      <c r="I538" s="164">
        <v>1.7869725535414797E-4</v>
      </c>
      <c r="J538" s="164">
        <v>1.9961810868829068E-3</v>
      </c>
      <c r="K538" s="164">
        <v>1.4854151667962478E-2</v>
      </c>
      <c r="L538" s="164">
        <v>0</v>
      </c>
      <c r="M538" s="164">
        <v>6.1733034624737292E-3</v>
      </c>
    </row>
    <row r="539" spans="1:13" x14ac:dyDescent="0.25">
      <c r="A539" s="202"/>
      <c r="B539" s="164" t="s">
        <v>355</v>
      </c>
      <c r="C539" s="164">
        <v>1.364623687619921E-3</v>
      </c>
      <c r="D539" s="164">
        <v>-2.0420825625581466E-4</v>
      </c>
      <c r="E539" s="164">
        <v>1.0174917575636864E-3</v>
      </c>
      <c r="F539" s="164">
        <v>-5.0874587878184312E-5</v>
      </c>
      <c r="G539" s="164">
        <v>1.5506202480992397E-3</v>
      </c>
      <c r="H539" s="164">
        <v>2.0347764046985059E-3</v>
      </c>
      <c r="I539" s="164">
        <v>1.6256502601040416E-3</v>
      </c>
      <c r="J539" s="164">
        <v>8.8938675875263335E-4</v>
      </c>
      <c r="K539" s="164">
        <v>1.7700549629442175E-2</v>
      </c>
      <c r="L539" s="164">
        <v>1.5179176478605921E-4</v>
      </c>
      <c r="M539" s="164">
        <v>4.5496539474204176E-7</v>
      </c>
    </row>
    <row r="540" spans="1:13" x14ac:dyDescent="0.25">
      <c r="A540" s="202"/>
      <c r="B540" s="164" t="s">
        <v>349</v>
      </c>
      <c r="C540" s="164">
        <v>7.6317014160409149E-4</v>
      </c>
      <c r="D540" s="164">
        <v>-3.832836099071531E-5</v>
      </c>
      <c r="E540" s="164">
        <v>7.6311881817276459E-4</v>
      </c>
      <c r="F540" s="164">
        <v>-3.8155940908638231E-5</v>
      </c>
      <c r="G540" s="164">
        <v>1.6256502601040416E-3</v>
      </c>
      <c r="H540" s="164">
        <v>2.6260504201680674E-3</v>
      </c>
      <c r="I540" s="164">
        <v>1.7507002801120447E-3</v>
      </c>
      <c r="J540" s="164">
        <v>2.7715714285714288E-3</v>
      </c>
      <c r="K540" s="164">
        <v>1.3927782054255036E-2</v>
      </c>
      <c r="L540" s="164">
        <v>0</v>
      </c>
      <c r="M540" s="164">
        <v>2.5563252752773664E-3</v>
      </c>
    </row>
    <row r="541" spans="1:13" x14ac:dyDescent="0.25">
      <c r="A541" s="202"/>
      <c r="B541" s="164" t="s">
        <v>390</v>
      </c>
      <c r="C541" s="164">
        <v>1.0347449498978036E-3</v>
      </c>
      <c r="D541" s="164">
        <v>-5.2575506979843073E-5</v>
      </c>
      <c r="E541" s="164">
        <v>6.8982996659853576E-5</v>
      </c>
      <c r="F541" s="164">
        <v>-6.8982996659853564E-6</v>
      </c>
      <c r="G541" s="164">
        <v>1.0654632223259673E-3</v>
      </c>
      <c r="H541" s="164">
        <v>4.305425874053325E-4</v>
      </c>
      <c r="I541" s="164">
        <v>8.6011184229469056E-5</v>
      </c>
      <c r="J541" s="164">
        <v>1.9961810868829068E-3</v>
      </c>
      <c r="K541" s="164">
        <v>1.6907248441954705E-2</v>
      </c>
      <c r="L541" s="164">
        <v>0</v>
      </c>
      <c r="M541" s="164">
        <v>6.1733034624737292E-3</v>
      </c>
    </row>
    <row r="542" spans="1:13" x14ac:dyDescent="0.25">
      <c r="A542" s="202"/>
      <c r="B542" s="164" t="s">
        <v>385</v>
      </c>
      <c r="C542" s="164">
        <v>1.0347449498978036E-3</v>
      </c>
      <c r="D542" s="164">
        <v>-5.2575506979843073E-5</v>
      </c>
      <c r="E542" s="164">
        <v>3.4491498329926784E-4</v>
      </c>
      <c r="F542" s="164">
        <v>-3.4491498329926788E-5</v>
      </c>
      <c r="G542" s="164">
        <v>1.0654632223259673E-3</v>
      </c>
      <c r="H542" s="164">
        <v>4.305425874053325E-4</v>
      </c>
      <c r="I542" s="164">
        <v>1.7869725535414797E-4</v>
      </c>
      <c r="J542" s="164">
        <v>3.8143587647444083E-3</v>
      </c>
      <c r="K542" s="164">
        <v>1.6846680868769288E-2</v>
      </c>
      <c r="L542" s="164">
        <v>0</v>
      </c>
      <c r="M542" s="164">
        <v>5.8582618483787648E-3</v>
      </c>
    </row>
    <row r="543" spans="1:13" x14ac:dyDescent="0.25">
      <c r="A543" s="202"/>
      <c r="B543" s="164" t="s">
        <v>386</v>
      </c>
      <c r="C543" s="164">
        <v>1.0347449498978036E-3</v>
      </c>
      <c r="D543" s="164">
        <v>-5.2575506979843073E-5</v>
      </c>
      <c r="E543" s="164">
        <v>6.8982996659853576E-5</v>
      </c>
      <c r="F543" s="164">
        <v>-6.8982996659853564E-6</v>
      </c>
      <c r="G543" s="164">
        <v>1.0654632223259673E-3</v>
      </c>
      <c r="H543" s="164">
        <v>4.305425874053325E-4</v>
      </c>
      <c r="I543" s="164">
        <v>8.6011184229469056E-5</v>
      </c>
      <c r="J543" s="164">
        <v>3.8143587647444083E-3</v>
      </c>
      <c r="K543" s="164">
        <v>1.925830741348698E-2</v>
      </c>
      <c r="L543" s="164">
        <v>0</v>
      </c>
      <c r="M543" s="164">
        <v>5.8582618483787648E-3</v>
      </c>
    </row>
    <row r="544" spans="1:13" x14ac:dyDescent="0.25">
      <c r="A544" s="202"/>
      <c r="B544" s="164" t="s">
        <v>361</v>
      </c>
      <c r="C544" s="164">
        <v>7.6317014160409149E-4</v>
      </c>
      <c r="D544" s="164">
        <v>-3.832836099071531E-5</v>
      </c>
      <c r="E544" s="164">
        <v>7.6311881817276459E-4</v>
      </c>
      <c r="F544" s="164">
        <v>-3.8155940908638231E-5</v>
      </c>
      <c r="G544" s="164">
        <v>3.6264505802320927E-3</v>
      </c>
      <c r="H544" s="164">
        <v>2.6260504201680674E-3</v>
      </c>
      <c r="I544" s="164">
        <v>4.0016006402561026E-3</v>
      </c>
      <c r="J544" s="164">
        <v>2.7715714285714288E-3</v>
      </c>
      <c r="K544" s="164">
        <v>1.4573579345799854E-2</v>
      </c>
      <c r="L544" s="164">
        <v>0</v>
      </c>
      <c r="M544" s="164">
        <v>2.5563252752773664E-3</v>
      </c>
    </row>
    <row r="545" spans="1:13" x14ac:dyDescent="0.25">
      <c r="A545" s="202"/>
      <c r="B545" s="164" t="s">
        <v>357</v>
      </c>
      <c r="C545" s="164">
        <v>7.6317014160409149E-4</v>
      </c>
      <c r="D545" s="164">
        <v>-3.832836099071531E-5</v>
      </c>
      <c r="E545" s="164">
        <v>5.087458787818432E-4</v>
      </c>
      <c r="F545" s="164">
        <v>-2.5437293939092156E-5</v>
      </c>
      <c r="G545" s="164">
        <v>1.525610244097639E-3</v>
      </c>
      <c r="H545" s="164">
        <v>2.6260504201680674E-3</v>
      </c>
      <c r="I545" s="164">
        <v>1.6256502601040416E-3</v>
      </c>
      <c r="J545" s="164">
        <v>2.7715714285714288E-3</v>
      </c>
      <c r="K545" s="164">
        <v>2.6273994235799812E-2</v>
      </c>
      <c r="L545" s="164">
        <v>0</v>
      </c>
      <c r="M545" s="164">
        <v>2.5563252752773664E-3</v>
      </c>
    </row>
    <row r="546" spans="1:13" x14ac:dyDescent="0.25">
      <c r="A546" s="202"/>
      <c r="B546" s="164" t="s">
        <v>365</v>
      </c>
      <c r="C546" s="164">
        <v>6.1053611328327313E-4</v>
      </c>
      <c r="D546" s="164">
        <v>-3.0662688792572247E-5</v>
      </c>
      <c r="E546" s="164">
        <v>5.0874587878184309E-4</v>
      </c>
      <c r="F546" s="164">
        <v>-2.5437293939092159E-5</v>
      </c>
      <c r="G546" s="164">
        <v>1.3005202080832333E-3</v>
      </c>
      <c r="H546" s="164">
        <v>2.1008403361344541E-3</v>
      </c>
      <c r="I546" s="164">
        <v>1.4005602240896359E-3</v>
      </c>
      <c r="J546" s="164">
        <v>2.217257142857143E-3</v>
      </c>
      <c r="K546" s="164">
        <v>2.9580669054987924E-2</v>
      </c>
      <c r="L546" s="164">
        <v>0</v>
      </c>
      <c r="M546" s="164">
        <v>2.0450602202218928E-3</v>
      </c>
    </row>
    <row r="547" spans="1:13" x14ac:dyDescent="0.25">
      <c r="A547" s="202"/>
      <c r="B547" s="164" t="s">
        <v>353</v>
      </c>
      <c r="C547" s="164">
        <v>7.6317014160409149E-4</v>
      </c>
      <c r="D547" s="164">
        <v>-3.832836099071531E-5</v>
      </c>
      <c r="E547" s="164">
        <v>1.0174917575636864E-3</v>
      </c>
      <c r="F547" s="164">
        <v>-5.0874587878184312E-5</v>
      </c>
      <c r="G547" s="164">
        <v>1.5506202480992397E-3</v>
      </c>
      <c r="H547" s="164">
        <v>2.6260504201680674E-3</v>
      </c>
      <c r="I547" s="164">
        <v>1.6256502601040416E-3</v>
      </c>
      <c r="J547" s="164">
        <v>2.7715714285714288E-3</v>
      </c>
      <c r="K547" s="164">
        <v>2.7462279736335207E-2</v>
      </c>
      <c r="L547" s="164">
        <v>0</v>
      </c>
      <c r="M547" s="164">
        <v>2.5563252752773664E-3</v>
      </c>
    </row>
    <row r="548" spans="1:13" x14ac:dyDescent="0.25">
      <c r="A548" s="202"/>
      <c r="B548" s="164" t="s">
        <v>373</v>
      </c>
      <c r="C548" s="164">
        <v>8.497708528469412E-3</v>
      </c>
      <c r="D548" s="164">
        <v>-2.1233726283419697E-3</v>
      </c>
      <c r="E548" s="164">
        <v>2.964391815717463E-3</v>
      </c>
      <c r="F548" s="164">
        <v>-7.4109795392936575E-4</v>
      </c>
      <c r="G548" s="164">
        <v>2.5454545454545455E-2</v>
      </c>
      <c r="H548" s="164">
        <v>5.4545454545454541E-3</v>
      </c>
      <c r="I548" s="164">
        <v>4.4000000000000003E-3</v>
      </c>
      <c r="J548" s="164">
        <v>3.3744831090442885E-3</v>
      </c>
      <c r="K548" s="164">
        <v>5.2829487710786029E-2</v>
      </c>
      <c r="L548" s="164">
        <v>2.5726284928699536E-3</v>
      </c>
      <c r="M548" s="164">
        <v>2.2812758930212777E-6</v>
      </c>
    </row>
    <row r="549" spans="1:13" x14ac:dyDescent="0.25">
      <c r="A549" s="202"/>
      <c r="B549" s="164" t="s">
        <v>376</v>
      </c>
      <c r="C549" s="164">
        <v>8.9023613155393838E-3</v>
      </c>
      <c r="D549" s="164">
        <v>-2.2244856106439686E-3</v>
      </c>
      <c r="E549" s="164">
        <v>1.552776665375814E-3</v>
      </c>
      <c r="F549" s="164">
        <v>-3.8819416634395349E-4</v>
      </c>
      <c r="G549" s="164">
        <v>2.6666666666666665E-2</v>
      </c>
      <c r="H549" s="164">
        <v>5.7142857142857143E-3</v>
      </c>
      <c r="I549" s="164">
        <v>4.4000000000000003E-3</v>
      </c>
      <c r="J549" s="164">
        <v>3.3744831090442877E-3</v>
      </c>
      <c r="K549" s="164">
        <v>5.7259443876853541E-2</v>
      </c>
      <c r="L549" s="164">
        <v>2.5732025895309971E-3</v>
      </c>
      <c r="M549" s="164">
        <v>2.2812758930212777E-6</v>
      </c>
    </row>
    <row r="550" spans="1:13" x14ac:dyDescent="0.25">
      <c r="A550" s="202"/>
      <c r="B550" s="164" t="s">
        <v>374</v>
      </c>
      <c r="C550" s="164">
        <v>9.0858113202051029E-3</v>
      </c>
      <c r="D550" s="164">
        <v>-2.2699193820295231E-3</v>
      </c>
      <c r="E550" s="164">
        <v>2.964391815717463E-3</v>
      </c>
      <c r="F550" s="164">
        <v>-7.4109795392936575E-4</v>
      </c>
      <c r="G550" s="164">
        <v>2.5454545454545455E-2</v>
      </c>
      <c r="H550" s="164">
        <v>6.5474078574617092E-3</v>
      </c>
      <c r="I550" s="164">
        <v>4.4000000000000003E-3</v>
      </c>
      <c r="J550" s="164">
        <v>7.3102100315233995E-3</v>
      </c>
      <c r="K550" s="164">
        <v>5.8759413488361334E-2</v>
      </c>
      <c r="L550" s="164">
        <v>1.1106988281009422E-3</v>
      </c>
      <c r="M550" s="164">
        <v>5.9135532882621105E-6</v>
      </c>
    </row>
    <row r="551" spans="1:13" x14ac:dyDescent="0.25">
      <c r="A551" s="202"/>
      <c r="B551" s="164" t="s">
        <v>377</v>
      </c>
      <c r="C551" s="164">
        <v>9.5184690021196325E-3</v>
      </c>
      <c r="D551" s="164">
        <v>-2.3780107811737857E-3</v>
      </c>
      <c r="E551" s="164">
        <v>1.552776665375814E-3</v>
      </c>
      <c r="F551" s="164">
        <v>-3.8819416634395349E-4</v>
      </c>
      <c r="G551" s="164">
        <v>2.6666666666666665E-2</v>
      </c>
      <c r="H551" s="164">
        <v>6.8591891840075045E-3</v>
      </c>
      <c r="I551" s="164">
        <v>4.4000000000000003E-3</v>
      </c>
      <c r="J551" s="164">
        <v>7.3102100315233995E-3</v>
      </c>
      <c r="K551" s="164">
        <v>6.3770957790438648E-2</v>
      </c>
      <c r="L551" s="164">
        <v>1.1124179278049692E-3</v>
      </c>
      <c r="M551" s="164">
        <v>5.9135532882621105E-6</v>
      </c>
    </row>
    <row r="552" spans="1:13" x14ac:dyDescent="0.25">
      <c r="A552" s="202"/>
      <c r="B552" s="164" t="s">
        <v>382</v>
      </c>
      <c r="C552" s="164">
        <v>1.0386088201462616E-2</v>
      </c>
      <c r="D552" s="164">
        <v>-2.5952332124179632E-3</v>
      </c>
      <c r="E552" s="164">
        <v>2.1135015723170798E-3</v>
      </c>
      <c r="F552" s="164">
        <v>-5.2837539307926996E-4</v>
      </c>
      <c r="G552" s="164">
        <v>3.111111111111111E-2</v>
      </c>
      <c r="H552" s="164">
        <v>6.6666666666666662E-3</v>
      </c>
      <c r="I552" s="164">
        <v>4.4000000000000003E-3</v>
      </c>
      <c r="J552" s="164">
        <v>3.3744831090442877E-3</v>
      </c>
      <c r="K552" s="164">
        <v>6.0652880293585773E-2</v>
      </c>
      <c r="L552" s="164">
        <v>2.9536028982929466E-3</v>
      </c>
      <c r="M552" s="164">
        <v>2.2812758930212777E-6</v>
      </c>
    </row>
    <row r="553" spans="1:13" x14ac:dyDescent="0.25">
      <c r="A553" s="202"/>
      <c r="B553" s="164" t="s">
        <v>383</v>
      </c>
      <c r="C553" s="164">
        <v>1.1104880502472903E-2</v>
      </c>
      <c r="D553" s="164">
        <v>-2.7743459113694167E-3</v>
      </c>
      <c r="E553" s="164">
        <v>2.1135015723170798E-3</v>
      </c>
      <c r="F553" s="164">
        <v>-5.2837539307926996E-4</v>
      </c>
      <c r="G553" s="164">
        <v>3.111111111111111E-2</v>
      </c>
      <c r="H553" s="164">
        <v>8.0023873813420895E-3</v>
      </c>
      <c r="I553" s="164">
        <v>4.4000000000000003E-3</v>
      </c>
      <c r="J553" s="164">
        <v>7.3102100315233995E-3</v>
      </c>
      <c r="K553" s="164">
        <v>6.6952203103245081E-2</v>
      </c>
      <c r="L553" s="164">
        <v>1.2655628964077376E-3</v>
      </c>
      <c r="M553" s="164">
        <v>5.9135532882621105E-6</v>
      </c>
    </row>
    <row r="554" spans="1:13" x14ac:dyDescent="0.25">
      <c r="A554" s="202"/>
      <c r="B554" s="164" t="s">
        <v>372</v>
      </c>
      <c r="C554" s="164">
        <v>6.7329270291914978E-3</v>
      </c>
      <c r="D554" s="164">
        <v>-1.0113075190954952E-3</v>
      </c>
      <c r="E554" s="164">
        <v>2.964391815717463E-3</v>
      </c>
      <c r="F554" s="164">
        <v>-7.4109795392936575E-4</v>
      </c>
      <c r="G554" s="164">
        <v>2.5454545454545455E-2</v>
      </c>
      <c r="H554" s="164">
        <v>7.2727272727272727E-3</v>
      </c>
      <c r="I554" s="164">
        <v>4.4000000000000003E-3</v>
      </c>
      <c r="J554" s="164">
        <v>9.604451272429336E-3</v>
      </c>
      <c r="K554" s="164">
        <v>7.0440409181026703E-2</v>
      </c>
      <c r="L554" s="164">
        <v>0</v>
      </c>
      <c r="M554" s="164">
        <v>8.8630828876566804E-3</v>
      </c>
    </row>
    <row r="555" spans="1:13" x14ac:dyDescent="0.25">
      <c r="A555" s="202"/>
      <c r="B555" s="164" t="s">
        <v>381</v>
      </c>
      <c r="C555" s="164">
        <v>8.2291330356784979E-3</v>
      </c>
      <c r="D555" s="164">
        <v>-1.2360425233389387E-3</v>
      </c>
      <c r="E555" s="164">
        <v>2.1135015723170798E-3</v>
      </c>
      <c r="F555" s="164">
        <v>-5.2837539307926996E-4</v>
      </c>
      <c r="G555" s="164">
        <v>3.111111111111111E-2</v>
      </c>
      <c r="H555" s="164">
        <v>8.8888888888888889E-3</v>
      </c>
      <c r="I555" s="164">
        <v>4.4000000000000003E-3</v>
      </c>
      <c r="J555" s="164">
        <v>9.604451272429336E-3</v>
      </c>
      <c r="K555" s="164">
        <v>6.8942703646012363E-2</v>
      </c>
      <c r="L555" s="164">
        <v>0</v>
      </c>
      <c r="M555" s="164">
        <v>8.8630828876566786E-3</v>
      </c>
    </row>
    <row r="556" spans="1:13" x14ac:dyDescent="0.25">
      <c r="A556" s="202"/>
      <c r="B556" s="164" t="s">
        <v>375</v>
      </c>
      <c r="C556" s="164">
        <v>7.0535426020101408E-3</v>
      </c>
      <c r="D556" s="164">
        <v>-1.0594650200048046E-3</v>
      </c>
      <c r="E556" s="164">
        <v>1.552776665375814E-3</v>
      </c>
      <c r="F556" s="164">
        <v>-3.8819416634395349E-4</v>
      </c>
      <c r="G556" s="164">
        <v>2.6666666666666665E-2</v>
      </c>
      <c r="H556" s="164">
        <v>7.619047619047619E-3</v>
      </c>
      <c r="I556" s="164">
        <v>4.4000000000000003E-3</v>
      </c>
      <c r="J556" s="164">
        <v>9.604451272429336E-3</v>
      </c>
      <c r="K556" s="164">
        <v>7.6408000661182016E-2</v>
      </c>
      <c r="L556" s="164">
        <v>0</v>
      </c>
      <c r="M556" s="164">
        <v>8.8630828876566786E-3</v>
      </c>
    </row>
    <row r="557" spans="1:13" x14ac:dyDescent="0.25">
      <c r="A557" s="202"/>
      <c r="B557" s="164" t="s">
        <v>379</v>
      </c>
      <c r="C557" s="164">
        <v>1.1983947924764555E-2</v>
      </c>
      <c r="D557" s="164">
        <v>-2.9944998604822652E-3</v>
      </c>
      <c r="E557" s="164">
        <v>2.7870350404181278E-3</v>
      </c>
      <c r="F557" s="164">
        <v>-6.9675876010453195E-4</v>
      </c>
      <c r="G557" s="164">
        <v>3.5897435897435902E-2</v>
      </c>
      <c r="H557" s="164">
        <v>7.6923076923076927E-3</v>
      </c>
      <c r="I557" s="164">
        <v>4.4000000000000003E-3</v>
      </c>
      <c r="J557" s="164">
        <v>3.3744831090442877E-3</v>
      </c>
      <c r="K557" s="164">
        <v>7.4942315028961634E-2</v>
      </c>
      <c r="L557" s="164">
        <v>3.3678594488747021E-3</v>
      </c>
      <c r="M557" s="164">
        <v>2.2812758930212777E-6</v>
      </c>
    </row>
    <row r="558" spans="1:13" x14ac:dyDescent="0.25">
      <c r="A558" s="202"/>
      <c r="B558" s="164" t="s">
        <v>380</v>
      </c>
      <c r="C558" s="164">
        <v>1.2813323656699505E-2</v>
      </c>
      <c r="D558" s="164">
        <v>-3.2011683592724038E-3</v>
      </c>
      <c r="E558" s="164">
        <v>2.7870350404181278E-3</v>
      </c>
      <c r="F558" s="164">
        <v>-6.9675876010453195E-4</v>
      </c>
      <c r="G558" s="164">
        <v>3.5897435897435902E-2</v>
      </c>
      <c r="H558" s="164">
        <v>9.2335239015485654E-3</v>
      </c>
      <c r="I558" s="164">
        <v>4.4000000000000003E-3</v>
      </c>
      <c r="J558" s="164">
        <v>7.3102100315233995E-3</v>
      </c>
      <c r="K558" s="164">
        <v>8.2107038130745158E-2</v>
      </c>
      <c r="L558" s="164">
        <v>1.4322717484619857E-3</v>
      </c>
      <c r="M558" s="164">
        <v>5.9135532882621105E-6</v>
      </c>
    </row>
    <row r="559" spans="1:13" x14ac:dyDescent="0.25">
      <c r="A559" s="202"/>
      <c r="B559" s="164" t="s">
        <v>378</v>
      </c>
      <c r="C559" s="164">
        <v>9.4951535027059594E-3</v>
      </c>
      <c r="D559" s="164">
        <v>-1.4262029115449293E-3</v>
      </c>
      <c r="E559" s="164">
        <v>2.7870350404181278E-3</v>
      </c>
      <c r="F559" s="164">
        <v>-6.9675876010453195E-4</v>
      </c>
      <c r="G559" s="164">
        <v>3.5897435897435902E-2</v>
      </c>
      <c r="H559" s="164">
        <v>1.0256410256410255E-2</v>
      </c>
      <c r="I559" s="164">
        <v>4.4000000000000003E-3</v>
      </c>
      <c r="J559" s="164">
        <v>9.604451272429336E-3</v>
      </c>
      <c r="K559" s="164">
        <v>9.4587015958766452E-2</v>
      </c>
      <c r="L559" s="164">
        <v>0</v>
      </c>
      <c r="M559" s="164">
        <v>8.8630828876566786E-3</v>
      </c>
    </row>
    <row r="560" spans="1:13" x14ac:dyDescent="0.25">
      <c r="A560" s="202"/>
      <c r="B560" s="164" t="s">
        <v>370</v>
      </c>
      <c r="C560" s="164">
        <v>1.6995417056938824E-2</v>
      </c>
      <c r="D560" s="164">
        <v>-4.2467452566839394E-3</v>
      </c>
      <c r="E560" s="164">
        <v>3.9525224209566176E-3</v>
      </c>
      <c r="F560" s="164">
        <v>-9.8813060523915441E-4</v>
      </c>
      <c r="G560" s="164">
        <v>5.0909090909090911E-2</v>
      </c>
      <c r="H560" s="164">
        <v>1.0909090909090908E-2</v>
      </c>
      <c r="I560" s="164">
        <v>4.4000000000000003E-3</v>
      </c>
      <c r="J560" s="164">
        <v>3.3744831090442885E-3</v>
      </c>
      <c r="K560" s="164">
        <v>0.12053542189797735</v>
      </c>
      <c r="L560" s="164">
        <v>4.6046727573994528E-3</v>
      </c>
      <c r="M560" s="164">
        <v>2.2812758930212777E-6</v>
      </c>
    </row>
    <row r="561" spans="1:14" x14ac:dyDescent="0.25">
      <c r="A561" s="202"/>
      <c r="B561" s="164" t="s">
        <v>371</v>
      </c>
      <c r="C561" s="164">
        <v>1.8171622640410206E-2</v>
      </c>
      <c r="D561" s="164">
        <v>-4.5398387640590461E-3</v>
      </c>
      <c r="E561" s="164">
        <v>3.9525224209566176E-3</v>
      </c>
      <c r="F561" s="164">
        <v>-9.8813060523915441E-4</v>
      </c>
      <c r="G561" s="164">
        <v>5.0909090909090911E-2</v>
      </c>
      <c r="H561" s="164">
        <v>1.3094815714923418E-2</v>
      </c>
      <c r="I561" s="164">
        <v>4.4000000000000003E-3</v>
      </c>
      <c r="J561" s="164">
        <v>7.3102100315233995E-3</v>
      </c>
      <c r="K561" s="164">
        <v>0.13021340696332451</v>
      </c>
      <c r="L561" s="164">
        <v>1.9308919265353247E-3</v>
      </c>
      <c r="M561" s="164">
        <v>5.9135532882621105E-6</v>
      </c>
    </row>
    <row r="562" spans="1:14" x14ac:dyDescent="0.25">
      <c r="A562" s="203"/>
      <c r="B562" s="170" t="s">
        <v>369</v>
      </c>
      <c r="C562" s="170">
        <v>1.3465854058382996E-2</v>
      </c>
      <c r="D562" s="170">
        <v>-2.0226150381909905E-3</v>
      </c>
      <c r="E562" s="170">
        <v>3.9525224209566176E-3</v>
      </c>
      <c r="F562" s="170">
        <v>-9.8813060523915441E-4</v>
      </c>
      <c r="G562" s="170">
        <v>5.0909090909090911E-2</v>
      </c>
      <c r="H562" s="170">
        <v>1.4545454545454545E-2</v>
      </c>
      <c r="I562" s="170">
        <v>4.4000000000000003E-3</v>
      </c>
      <c r="J562" s="170">
        <v>9.604451272429336E-3</v>
      </c>
      <c r="K562" s="170">
        <v>0.14459396086521706</v>
      </c>
      <c r="L562" s="170">
        <v>0</v>
      </c>
      <c r="M562" s="170">
        <v>8.8630828876566804E-3</v>
      </c>
      <c r="N562" s="170"/>
    </row>
  </sheetData>
  <mergeCells count="17">
    <mergeCell ref="DH4:FJ4"/>
    <mergeCell ref="B49:L49"/>
    <mergeCell ref="AF19:AN19"/>
    <mergeCell ref="P229:P240"/>
    <mergeCell ref="P241:P252"/>
    <mergeCell ref="A398:A452"/>
    <mergeCell ref="A453:A507"/>
    <mergeCell ref="A508:A562"/>
    <mergeCell ref="B4:BD4"/>
    <mergeCell ref="BE4:DG4"/>
    <mergeCell ref="P253:P264"/>
    <mergeCell ref="P302:P305"/>
    <mergeCell ref="P306:P309"/>
    <mergeCell ref="P310:P313"/>
    <mergeCell ref="P280:P283"/>
    <mergeCell ref="P284:P287"/>
    <mergeCell ref="P288:P291"/>
  </mergeCells>
  <pageMargins left="0.7" right="0.7" top="0.75" bottom="0.75" header="0.3" footer="0.3"/>
  <pageSetup paperSize="9" orientation="portrait" r:id="rId1"/>
  <drawing r:id="rId2"/>
  <tableParts count="3">
    <tablePart r:id="rId3"/>
    <tablePart r:id="rId4"/>
    <tablePart r:id="rId5"/>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8668B1-9741-4E7F-A2AD-F09AFC561265}">
  <dimension ref="A1:AF61"/>
  <sheetViews>
    <sheetView workbookViewId="0">
      <selection activeCell="E46" sqref="E46"/>
    </sheetView>
  </sheetViews>
  <sheetFormatPr defaultRowHeight="15" x14ac:dyDescent="0.25"/>
  <cols>
    <col min="3" max="3" width="9.5703125" bestFit="1" customWidth="1"/>
    <col min="4" max="4" width="13.5703125" bestFit="1" customWidth="1"/>
  </cols>
  <sheetData>
    <row r="1" spans="1:32" x14ac:dyDescent="0.25">
      <c r="A1" s="125" t="s">
        <v>232</v>
      </c>
      <c r="B1" s="125" t="s">
        <v>219</v>
      </c>
      <c r="C1" s="125" t="s">
        <v>220</v>
      </c>
      <c r="D1" s="125" t="s">
        <v>236</v>
      </c>
      <c r="E1" s="125">
        <v>2023</v>
      </c>
      <c r="F1" s="125">
        <v>2024</v>
      </c>
      <c r="G1" s="125">
        <v>2025</v>
      </c>
      <c r="H1" s="125">
        <v>2026</v>
      </c>
      <c r="I1" s="125">
        <v>2027</v>
      </c>
      <c r="J1" s="125">
        <v>2028</v>
      </c>
      <c r="K1" s="125">
        <v>2029</v>
      </c>
      <c r="L1" s="125">
        <v>2030</v>
      </c>
      <c r="M1" s="125">
        <v>2031</v>
      </c>
      <c r="N1" s="125">
        <v>2032</v>
      </c>
      <c r="O1" s="125">
        <v>2033</v>
      </c>
      <c r="P1" s="125">
        <v>2034</v>
      </c>
      <c r="Q1" s="125">
        <v>2035</v>
      </c>
      <c r="R1" s="125">
        <v>2036</v>
      </c>
      <c r="S1" s="125">
        <v>2037</v>
      </c>
      <c r="T1" s="125">
        <v>2038</v>
      </c>
      <c r="U1" s="125">
        <v>2039</v>
      </c>
      <c r="V1" s="125">
        <v>2040</v>
      </c>
      <c r="W1" s="125">
        <v>2041</v>
      </c>
      <c r="X1" s="125">
        <v>2042</v>
      </c>
      <c r="Y1" s="125">
        <v>2043</v>
      </c>
      <c r="Z1" s="125">
        <v>2044</v>
      </c>
      <c r="AA1" s="125">
        <v>2045</v>
      </c>
      <c r="AB1" s="125">
        <v>2046</v>
      </c>
      <c r="AC1" s="125">
        <v>2047</v>
      </c>
      <c r="AD1" s="125">
        <v>2048</v>
      </c>
      <c r="AE1" s="125">
        <v>2049</v>
      </c>
      <c r="AF1" s="125">
        <v>2050</v>
      </c>
    </row>
    <row r="2" spans="1:32" x14ac:dyDescent="0.25">
      <c r="A2">
        <v>1</v>
      </c>
      <c r="B2" t="s">
        <v>221</v>
      </c>
      <c r="C2" t="s">
        <v>11</v>
      </c>
      <c r="D2" t="s">
        <v>222</v>
      </c>
      <c r="E2" s="126">
        <f>'Semi-trailer truck (Diesel)'!B$85</f>
        <v>0.17432142531422026</v>
      </c>
      <c r="F2" s="126">
        <f>'Semi-trailer truck (Diesel)'!C$85</f>
        <v>0.17433365065782694</v>
      </c>
      <c r="G2" s="126">
        <f>'Semi-trailer truck (Diesel)'!D$85</f>
        <v>0.17435112454484217</v>
      </c>
      <c r="H2" s="126">
        <f>'Semi-trailer truck (Diesel)'!E$85</f>
        <v>0.17437606675605405</v>
      </c>
      <c r="I2" s="126">
        <f>'Semi-trailer truck (Diesel)'!F$85</f>
        <v>0.17441159952932125</v>
      </c>
      <c r="J2" s="126">
        <f>'Semi-trailer truck (Diesel)'!G$85</f>
        <v>0.17446207640959613</v>
      </c>
      <c r="K2" s="126">
        <f>'Semi-trailer truck (Diesel)'!H$85</f>
        <v>0.17453349332871268</v>
      </c>
      <c r="L2" s="126">
        <f>'Semi-trailer truck (Diesel)'!I$85</f>
        <v>0.17463396760271724</v>
      </c>
      <c r="M2" s="126">
        <f>'Semi-trailer truck (Diesel)'!J$85</f>
        <v>0.17477423553834567</v>
      </c>
      <c r="N2" s="126">
        <f>'Semi-trailer truck (Diesel)'!K$85</f>
        <v>0.17496806649289301</v>
      </c>
      <c r="O2" s="126">
        <f>'Semi-trailer truck (Diesel)'!L$85</f>
        <v>0.17523241900905381</v>
      </c>
      <c r="P2" s="126">
        <f>'Semi-trailer truck (Diesel)'!M$85</f>
        <v>0.17558705100643024</v>
      </c>
      <c r="Q2" s="126">
        <f>'Semi-trailer truck (Diesel)'!N$85</f>
        <v>0.17605307525377722</v>
      </c>
      <c r="R2" s="126">
        <f>'Semi-trailer truck (Diesel)'!O$85</f>
        <v>0.17664961102915699</v>
      </c>
      <c r="S2" s="126">
        <f>'Semi-trailer truck (Diesel)'!P$85</f>
        <v>0.17738760816198063</v>
      </c>
      <c r="T2" s="126">
        <f>'Semi-trailer truck (Diesel)'!Q$85</f>
        <v>0.17826109384283756</v>
      </c>
      <c r="U2" s="126">
        <f>'Semi-trailer truck (Diesel)'!R$85</f>
        <v>0.17923912556741567</v>
      </c>
      <c r="V2" s="126">
        <f>'Semi-trailer truck (Diesel)'!S$85</f>
        <v>0.18026475202024161</v>
      </c>
      <c r="W2" s="126">
        <f>'Semi-trailer truck (Diesel)'!T$85</f>
        <v>0.18126579829957692</v>
      </c>
      <c r="X2" s="126">
        <f>'Semi-trailer truck (Diesel)'!U$85</f>
        <v>0.18217449647946943</v>
      </c>
      <c r="Y2" s="126">
        <f>'Semi-trailer truck (Diesel)'!V$85</f>
        <v>0.18294535619467855</v>
      </c>
      <c r="Z2" s="126">
        <f>'Semi-trailer truck (Diesel)'!W$85</f>
        <v>0.18356195177344892</v>
      </c>
      <c r="AA2" s="126">
        <f>'Semi-trailer truck (Diesel)'!X$85</f>
        <v>0.18403208234907178</v>
      </c>
      <c r="AB2" s="126">
        <f>'Semi-trailer truck (Diesel)'!Y$85</f>
        <v>0.18437749328360575</v>
      </c>
      <c r="AC2" s="126">
        <f>'Semi-trailer truck (Diesel)'!Z$85</f>
        <v>0.18462437578031804</v>
      </c>
      <c r="AD2" s="126">
        <f>'Semi-trailer truck (Diesel)'!AA$85</f>
        <v>0.1847973662285208</v>
      </c>
      <c r="AE2" s="126">
        <f>'Semi-trailer truck (Diesel)'!AB$85</f>
        <v>0.18491689594158403</v>
      </c>
      <c r="AF2" s="126">
        <f>'Semi-trailer truck (Diesel)'!AC$85</f>
        <v>0.18499868818419896</v>
      </c>
    </row>
    <row r="3" spans="1:32" x14ac:dyDescent="0.25">
      <c r="A3">
        <v>2</v>
      </c>
      <c r="B3" t="s">
        <v>221</v>
      </c>
      <c r="C3" t="s">
        <v>11</v>
      </c>
      <c r="D3" t="s">
        <v>223</v>
      </c>
      <c r="E3" s="126">
        <f>'Semi-trailer truck (Diesel)'!B$191</f>
        <v>9.2483578780588382E-2</v>
      </c>
      <c r="F3" s="126">
        <f>'Semi-trailer truck (Diesel)'!C$191</f>
        <v>9.2484448873720149E-2</v>
      </c>
      <c r="G3" s="126">
        <f>'Semi-trailer truck (Diesel)'!D$191</f>
        <v>9.2485785476404098E-2</v>
      </c>
      <c r="H3" s="126">
        <f>'Semi-trailer truck (Diesel)'!E$191</f>
        <v>9.2487888618026648E-2</v>
      </c>
      <c r="I3" s="126">
        <f>'Semi-trailer truck (Diesel)'!F$191</f>
        <v>9.2491291454801255E-2</v>
      </c>
      <c r="J3" s="126">
        <f>'Semi-trailer truck (Diesel)'!G$191</f>
        <v>9.2496961881493672E-2</v>
      </c>
      <c r="K3" s="126">
        <f>'Semi-trailer truck (Diesel)'!H$191</f>
        <v>9.2506673953385923E-2</v>
      </c>
      <c r="L3" s="126">
        <f>'Semi-trailer truck (Diesel)'!I$191</f>
        <v>9.2523661326315246E-2</v>
      </c>
      <c r="M3" s="126">
        <f>'Semi-trailer truck (Diesel)'!J$191</f>
        <v>9.2553679672592454E-2</v>
      </c>
      <c r="N3" s="126">
        <f>'Semi-trailer truck (Diesel)'!K$191</f>
        <v>9.2606521504203398E-2</v>
      </c>
      <c r="O3" s="126">
        <f>'Semi-trailer truck (Diesel)'!L$191</f>
        <v>9.2697721003106179E-2</v>
      </c>
      <c r="P3" s="126">
        <f>'Semi-trailer truck (Diesel)'!M$191</f>
        <v>9.2849592488363095E-2</v>
      </c>
      <c r="Q3" s="126">
        <f>'Semi-trailer truck (Diesel)'!N$191</f>
        <v>9.3090108207128958E-2</v>
      </c>
      <c r="R3" s="126">
        <f>'Semi-trailer truck (Diesel)'!O$191</f>
        <v>9.3448112788274904E-2</v>
      </c>
      <c r="S3" s="126">
        <f>'Semi-trailer truck (Diesel)'!P$191</f>
        <v>9.3944600272959089E-2</v>
      </c>
      <c r="T3" s="126">
        <f>'Semi-trailer truck (Diesel)'!Q$191</f>
        <v>9.458205049318652E-2</v>
      </c>
      <c r="U3" s="126">
        <f>'Semi-trailer truck (Diesel)'!R$191</f>
        <v>9.5336244319527183E-2</v>
      </c>
      <c r="V3" s="126">
        <f>'Semi-trailer truck (Diesel)'!S$191</f>
        <v>9.6156154416509654E-2</v>
      </c>
      <c r="W3" s="126">
        <f>'Semi-trailer truck (Diesel)'!T$191</f>
        <v>9.6975091603180935E-2</v>
      </c>
      <c r="X3" s="126">
        <f>'Semi-trailer truck (Diesel)'!U$191</f>
        <v>9.7729463844833775E-2</v>
      </c>
      <c r="Y3" s="126">
        <f>'Semi-trailer truck (Diesel)'!V$191</f>
        <v>9.8375414307220743E-2</v>
      </c>
      <c r="Z3" s="126">
        <f>'Semi-trailer truck (Diesel)'!W$191</f>
        <v>9.8895204397915812E-2</v>
      </c>
      <c r="AA3" s="126">
        <f>'Semi-trailer truck (Diesel)'!X$191</f>
        <v>9.9293065717179468E-2</v>
      </c>
      <c r="AB3" s="126">
        <f>'Semi-trailer truck (Diesel)'!Y$191</f>
        <v>9.958612123096032E-2</v>
      </c>
      <c r="AC3" s="126">
        <f>'Semi-trailer truck (Diesel)'!Z$191</f>
        <v>9.97959320519239E-2</v>
      </c>
      <c r="AD3" s="126">
        <f>'Semi-trailer truck (Diesel)'!AA$191</f>
        <v>9.9943108501691705E-2</v>
      </c>
      <c r="AE3" s="126">
        <f>'Semi-trailer truck (Diesel)'!AB$191</f>
        <v>0.10004487618390698</v>
      </c>
      <c r="AF3" s="126">
        <f>'Semi-trailer truck (Diesel)'!AC$191</f>
        <v>0.10011454810323749</v>
      </c>
    </row>
    <row r="4" spans="1:32" x14ac:dyDescent="0.25">
      <c r="A4">
        <v>3</v>
      </c>
      <c r="B4" t="s">
        <v>221</v>
      </c>
      <c r="C4" t="s">
        <v>11</v>
      </c>
      <c r="D4" t="s">
        <v>224</v>
      </c>
      <c r="E4" s="126">
        <f>'Semi-trailer truck (Diesel)'!B$299</f>
        <v>9.729803398974507E-2</v>
      </c>
      <c r="F4" s="126">
        <f>'Semi-trailer truck (Diesel)'!C$299</f>
        <v>9.7299430215250227E-2</v>
      </c>
      <c r="G4" s="126">
        <f>'Semi-trailer truck (Diesel)'!D$299</f>
        <v>9.7301518250272223E-2</v>
      </c>
      <c r="H4" s="126">
        <f>'Semi-trailer truck (Diesel)'!E$299</f>
        <v>9.7304692772869045E-2</v>
      </c>
      <c r="I4" s="126">
        <f>'Semi-trailer truck (Diesel)'!F$299</f>
        <v>9.7309619377197051E-2</v>
      </c>
      <c r="J4" s="126">
        <f>'Semi-trailer truck (Diesel)'!G$299</f>
        <v>9.7317449230816352E-2</v>
      </c>
      <c r="K4" s="126">
        <f>'Semi-trailer truck (Diesel)'!H$299</f>
        <v>9.7330206062720567E-2</v>
      </c>
      <c r="L4" s="126">
        <f>'Semi-trailer truck (Diesel)'!I$299</f>
        <v>9.735145637071263E-2</v>
      </c>
      <c r="M4" s="126">
        <f>'Semi-trailer truck (Diesel)'!J$299</f>
        <v>9.7387386873530962E-2</v>
      </c>
      <c r="N4" s="126">
        <f>'Semi-trailer truck (Diesel)'!K$299</f>
        <v>9.7448327927814091E-2</v>
      </c>
      <c r="O4" s="126">
        <f>'Semi-trailer truck (Diesel)'!L$299</f>
        <v>9.7550454557861127E-2</v>
      </c>
      <c r="P4" s="126">
        <f>'Semi-trailer truck (Diesel)'!M$299</f>
        <v>9.771680152446198E-2</v>
      </c>
      <c r="Q4" s="126">
        <f>'Semi-trailer truck (Diesel)'!N$299</f>
        <v>9.7976085280573583E-2</v>
      </c>
      <c r="R4" s="126">
        <f>'Semi-trailer truck (Diesel)'!O$299</f>
        <v>9.8357802568840733E-2</v>
      </c>
      <c r="S4" s="126">
        <f>'Semi-trailer truck (Diesel)'!P$299</f>
        <v>9.8883293112190018E-2</v>
      </c>
      <c r="T4" s="126">
        <f>'Semi-trailer truck (Diesel)'!Q$299</f>
        <v>9.9554761652577525E-2</v>
      </c>
      <c r="U4" s="126">
        <f>'Semi-trailer truck (Diesel)'!R$299</f>
        <v>0.10034679416367413</v>
      </c>
      <c r="V4" s="126">
        <f>'Semi-trailer truck (Diesel)'!S$299</f>
        <v>0.10120620410582926</v>
      </c>
      <c r="W4" s="126">
        <f>'Semi-trailer truck (Diesel)'!T$299</f>
        <v>0.10206357847739915</v>
      </c>
      <c r="X4" s="126">
        <f>'Semi-trailer truck (Diesel)'!U$299</f>
        <v>0.10285277379369542</v>
      </c>
      <c r="Y4" s="126">
        <f>'Semi-trailer truck (Diesel)'!V$299</f>
        <v>0.10352822778120088</v>
      </c>
      <c r="Z4" s="126">
        <f>'Semi-trailer truck (Diesel)'!W$299</f>
        <v>0.10407159786544064</v>
      </c>
      <c r="AA4" s="126">
        <f>'Semi-trailer truck (Diesel)'!X$299</f>
        <v>0.10448742845619562</v>
      </c>
      <c r="AB4" s="126">
        <f>'Semi-trailer truck (Diesel)'!Y$299</f>
        <v>0.10479368161611281</v>
      </c>
      <c r="AC4" s="126">
        <f>'Semi-trailer truck (Diesel)'!Z$299</f>
        <v>0.10501292328587158</v>
      </c>
      <c r="AD4" s="126">
        <f>'Semi-trailer truck (Diesel)'!AA$299</f>
        <v>0.10516670692003473</v>
      </c>
      <c r="AE4" s="126">
        <f>'Semi-trailer truck (Diesel)'!AB$299</f>
        <v>0.10527303944889119</v>
      </c>
      <c r="AF4" s="126">
        <f>'Semi-trailer truck (Diesel)'!AC$299</f>
        <v>0.10534583480784264</v>
      </c>
    </row>
    <row r="5" spans="1:32" x14ac:dyDescent="0.25">
      <c r="A5">
        <v>4</v>
      </c>
      <c r="B5" t="s">
        <v>221</v>
      </c>
      <c r="C5" t="s">
        <v>11</v>
      </c>
      <c r="D5" t="s">
        <v>225</v>
      </c>
      <c r="E5" s="126">
        <f>'Semi-trailer truck (Diesel)'!B$408</f>
        <v>0.12128184701886342</v>
      </c>
      <c r="F5" s="126">
        <f>'Semi-trailer truck (Diesel)'!C$408</f>
        <v>0.12128696185371358</v>
      </c>
      <c r="G5" s="126">
        <f>'Semi-trailer truck (Diesel)'!D$408</f>
        <v>0.12129432978093618</v>
      </c>
      <c r="H5" s="126">
        <f>'Semi-trailer truck (Diesel)'!E$408</f>
        <v>0.12130496692379332</v>
      </c>
      <c r="I5" s="126">
        <f>'Semi-trailer truck (Diesel)'!F$408</f>
        <v>0.12132037091232994</v>
      </c>
      <c r="J5" s="126">
        <f>'Semi-trailer truck (Diesel)'!G$408</f>
        <v>0.1213427681334075</v>
      </c>
      <c r="K5" s="126">
        <f>'Semi-trailer truck (Diesel)'!H$408</f>
        <v>0.12137549628113066</v>
      </c>
      <c r="L5" s="126">
        <f>'Semi-trailer truck (Diesel)'!I$408</f>
        <v>0.12142358589754373</v>
      </c>
      <c r="M5" s="126">
        <f>'Semi-trailer truck (Diesel)'!J$408</f>
        <v>0.12149460056144136</v>
      </c>
      <c r="N5" s="126">
        <f>'Semi-trailer truck (Diesel)'!K$408</f>
        <v>0.12159972418661098</v>
      </c>
      <c r="O5" s="126">
        <f>'Semi-trailer truck (Diesel)'!L$408</f>
        <v>0.12175486863346088</v>
      </c>
      <c r="P5" s="126">
        <f>'Semi-trailer truck (Diesel)'!M$408</f>
        <v>0.12198116675049578</v>
      </c>
      <c r="Q5" s="126">
        <f>'Semi-trailer truck (Diesel)'!N$408</f>
        <v>0.12230374069014721</v>
      </c>
      <c r="R5" s="126">
        <f>'Semi-trailer truck (Diesel)'!O$408</f>
        <v>0.12274750272952308</v>
      </c>
      <c r="S5" s="126">
        <f>'Semi-trailer truck (Diesel)'!P$408</f>
        <v>0.12332947388690815</v>
      </c>
      <c r="T5" s="126">
        <f>'Semi-trailer truck (Diesel)'!Q$408</f>
        <v>0.12404894290623199</v>
      </c>
      <c r="U5" s="126">
        <f>'Semi-trailer truck (Diesel)'!R$408</f>
        <v>0.12487941520455786</v>
      </c>
      <c r="V5" s="126">
        <f>'Semi-trailer truck (Diesel)'!S$408</f>
        <v>0.12576815641044842</v>
      </c>
      <c r="W5" s="126">
        <f>'Semi-trailer truck (Diesel)'!T$408</f>
        <v>0.12664709161323459</v>
      </c>
      <c r="X5" s="126">
        <f>'Semi-trailer truck (Diesel)'!U$408</f>
        <v>0.12745170261193722</v>
      </c>
      <c r="Y5" s="126">
        <f>'Semi-trailer truck (Diesel)'!V$408</f>
        <v>0.12813796071622696</v>
      </c>
      <c r="Z5" s="126">
        <f>'Semi-trailer truck (Diesel)'!W$408</f>
        <v>0.12868879710923753</v>
      </c>
      <c r="AA5" s="126">
        <f>'Semi-trailer truck (Diesel)'!X$408</f>
        <v>0.12910973726714481</v>
      </c>
      <c r="AB5" s="126">
        <f>'Semi-trailer truck (Diesel)'!Y$408</f>
        <v>0.12941946381966482</v>
      </c>
      <c r="AC5" s="126">
        <f>'Semi-trailer truck (Diesel)'!Z$408</f>
        <v>0.12964105589554803</v>
      </c>
      <c r="AD5" s="126">
        <f>'Semi-trailer truck (Diesel)'!AA$408</f>
        <v>0.12979642511613657</v>
      </c>
      <c r="AE5" s="126">
        <f>'Semi-trailer truck (Diesel)'!AB$408</f>
        <v>0.12990382505389811</v>
      </c>
      <c r="AF5" s="126">
        <f>'Semi-trailer truck (Diesel)'!AC$408</f>
        <v>0.12997733797807764</v>
      </c>
    </row>
    <row r="6" spans="1:32" x14ac:dyDescent="0.25">
      <c r="A6">
        <v>5</v>
      </c>
      <c r="B6" t="s">
        <v>221</v>
      </c>
      <c r="C6" t="s">
        <v>11</v>
      </c>
      <c r="D6" t="s">
        <v>226</v>
      </c>
      <c r="E6" s="126">
        <f>'Semi-trailer truck (Diesel)'!B$513</f>
        <v>9.9364630040291307E-2</v>
      </c>
      <c r="F6" s="126">
        <f>'Semi-trailer truck (Diesel)'!C$513</f>
        <v>9.9358976031599822E-2</v>
      </c>
      <c r="G6" s="126">
        <f>'Semi-trailer truck (Diesel)'!D$513</f>
        <v>9.9350948149770163E-2</v>
      </c>
      <c r="H6" s="126">
        <f>'Semi-trailer truck (Diesel)'!E$513</f>
        <v>0.10039635229639267</v>
      </c>
      <c r="I6" s="126">
        <f>'Semi-trailer truck (Diesel)'!F$513</f>
        <v>0.1003804218191944</v>
      </c>
      <c r="J6" s="126">
        <f>'Semi-trailer truck (Diesel)'!G$513</f>
        <v>0.10035827267294652</v>
      </c>
      <c r="K6" s="126">
        <f>'Semi-trailer truck (Diesel)'!H$513</f>
        <v>0.10032790702204186</v>
      </c>
      <c r="L6" s="126">
        <f>'Semi-trailer truck (Diesel)'!I$513</f>
        <v>0.10028709884107763</v>
      </c>
      <c r="M6" s="126">
        <f>'Semi-trailer truck (Diesel)'!J$513</f>
        <v>0.10023375466499661</v>
      </c>
      <c r="N6" s="126">
        <f>'Semi-trailer truck (Diesel)'!K$513</f>
        <v>0.10016657669155855</v>
      </c>
      <c r="O6" s="126">
        <f>'Semi-trailer truck (Diesel)'!L$513</f>
        <v>0.10008596505177693</v>
      </c>
      <c r="P6" s="126">
        <f>'Semi-trailer truck (Diesel)'!M$513</f>
        <v>9.9994811533305028E-2</v>
      </c>
      <c r="Q6" s="126">
        <f>'Semi-trailer truck (Diesel)'!N$513</f>
        <v>9.989858113784772E-2</v>
      </c>
      <c r="R6" s="126">
        <f>'Semi-trailer truck (Diesel)'!O$513</f>
        <v>9.9804244376579102E-2</v>
      </c>
      <c r="S6" s="126">
        <f>'Semi-trailer truck (Diesel)'!P$513</f>
        <v>9.9718367681010417E-2</v>
      </c>
      <c r="T6" s="126">
        <f>'Semi-trailer truck (Diesel)'!Q$513</f>
        <v>9.9645384718853633E-2</v>
      </c>
      <c r="U6" s="126">
        <f>'Semi-trailer truck (Diesel)'!R$513</f>
        <v>9.9586938436674044E-2</v>
      </c>
      <c r="V6" s="126">
        <f>'Semi-trailer truck (Diesel)'!S$513</f>
        <v>9.9542341329339895E-2</v>
      </c>
      <c r="W6" s="126">
        <f>'Semi-trailer truck (Diesel)'!T$513</f>
        <v>9.9509558878756121E-2</v>
      </c>
      <c r="X6" s="126">
        <f>'Semi-trailer truck (Diesel)'!U$513</f>
        <v>9.9486119900841413E-2</v>
      </c>
      <c r="Y6" s="126">
        <f>'Semi-trailer truck (Diesel)'!V$513</f>
        <v>9.9469692638783302E-2</v>
      </c>
      <c r="Z6" s="126">
        <f>'Semi-trailer truck (Diesel)'!W$513</f>
        <v>9.9458340391002681E-2</v>
      </c>
      <c r="AA6" s="126">
        <f>'Semi-trailer truck (Diesel)'!X$513</f>
        <v>9.9450571482142203E-2</v>
      </c>
      <c r="AB6" s="126">
        <f>'Semi-trailer truck (Diesel)'!Y$513</f>
        <v>9.9445290316485094E-2</v>
      </c>
      <c r="AC6" s="126">
        <f>'Semi-trailer truck (Diesel)'!Z$513</f>
        <v>9.9441716610450592E-2</v>
      </c>
      <c r="AD6" s="126">
        <f>'Semi-trailer truck (Diesel)'!AA$513</f>
        <v>9.9439305784628687E-2</v>
      </c>
      <c r="AE6" s="126">
        <f>'Semi-trailer truck (Diesel)'!AB$513</f>
        <v>9.9437682828661347E-2</v>
      </c>
      <c r="AF6" s="126">
        <f>'Semi-trailer truck (Diesel)'!AC$513</f>
        <v>9.9436591797133198E-2</v>
      </c>
    </row>
    <row r="7" spans="1:32" x14ac:dyDescent="0.25">
      <c r="A7">
        <v>6</v>
      </c>
      <c r="B7" t="s">
        <v>221</v>
      </c>
      <c r="C7" t="s">
        <v>87</v>
      </c>
      <c r="D7" t="s">
        <v>222</v>
      </c>
      <c r="E7" s="126">
        <f>'Semi-trailer truck (Battery)'!B$85</f>
        <v>0.22106743170492713</v>
      </c>
      <c r="F7" s="126">
        <f>'Semi-trailer truck (Battery)'!C$85</f>
        <v>0.21977711158457539</v>
      </c>
      <c r="G7" s="126">
        <f>'Semi-trailer truck (Battery)'!D$85</f>
        <v>0.21800602412499409</v>
      </c>
      <c r="H7" s="126">
        <f>'Semi-trailer truck (Battery)'!E$85</f>
        <v>0.21562152365535456</v>
      </c>
      <c r="I7" s="126">
        <f>'Semi-trailer truck (Battery)'!F$85</f>
        <v>0.21249579328148582</v>
      </c>
      <c r="J7" s="126">
        <f>'Semi-trailer truck (Battery)'!G$85</f>
        <v>0.20854259734529856</v>
      </c>
      <c r="K7" s="126">
        <f>'Semi-trailer truck (Battery)'!H$85</f>
        <v>0.2037678582423533</v>
      </c>
      <c r="L7" s="126">
        <f>'Semi-trailer truck (Battery)'!I$85</f>
        <v>0.19831517217032191</v>
      </c>
      <c r="M7" s="126">
        <f>'Semi-trailer truck (Battery)'!J$85</f>
        <v>0.19247333169249417</v>
      </c>
      <c r="N7" s="126">
        <f>'Semi-trailer truck (Battery)'!K$85</f>
        <v>0.18662212157674821</v>
      </c>
      <c r="O7" s="126">
        <f>'Semi-trailer truck (Battery)'!L$85</f>
        <v>0.18113306974057264</v>
      </c>
      <c r="P7" s="126">
        <f>'Semi-trailer truck (Battery)'!M$85</f>
        <v>0.17627926299689411</v>
      </c>
      <c r="Q7" s="126">
        <f>'Semi-trailer truck (Battery)'!N$85</f>
        <v>0.17219873614199641</v>
      </c>
      <c r="R7" s="126">
        <f>'Semi-trailer truck (Battery)'!O$85</f>
        <v>0.16891067598005308</v>
      </c>
      <c r="S7" s="126">
        <f>'Semi-trailer truck (Battery)'!P$85</f>
        <v>0.16635440265774576</v>
      </c>
      <c r="T7" s="126">
        <f>'Semi-trailer truck (Battery)'!Q$85</f>
        <v>0.16442663957478471</v>
      </c>
      <c r="U7" s="126">
        <f>'Semi-trailer truck (Battery)'!R$85</f>
        <v>0.16300936217678019</v>
      </c>
      <c r="V7" s="126">
        <f>'Semi-trailer truck (Battery)'!S$85</f>
        <v>0.16198857077604498</v>
      </c>
      <c r="W7" s="126">
        <f>'Semi-trailer truck (Battery)'!T$85</f>
        <v>0.16126510695202986</v>
      </c>
      <c r="X7" s="126">
        <f>'Semi-trailer truck (Battery)'!U$85</f>
        <v>0.16075878997280124</v>
      </c>
      <c r="Y7" s="126">
        <f>'Semi-trailer truck (Battery)'!V$85</f>
        <v>0.16040797618139177</v>
      </c>
      <c r="Z7" s="126">
        <f>'Semi-trailer truck (Battery)'!W$85</f>
        <v>0.16016686442695124</v>
      </c>
      <c r="AA7" s="126">
        <f>'Semi-trailer truck (Battery)'!X$85</f>
        <v>0.16000222391549229</v>
      </c>
      <c r="AB7" s="126">
        <f>'Semi-trailer truck (Battery)'!Y$85</f>
        <v>0.15989037356235983</v>
      </c>
      <c r="AC7" s="126">
        <f>'Semi-trailer truck (Battery)'!Z$85</f>
        <v>0.15981468148110442</v>
      </c>
      <c r="AD7" s="126">
        <f>'Semi-trailer truck (Battery)'!AA$85</f>
        <v>0.15976360524923316</v>
      </c>
      <c r="AE7" s="126">
        <f>'Semi-trailer truck (Battery)'!AB$85</f>
        <v>0.15972921042542387</v>
      </c>
      <c r="AF7" s="126">
        <f>'Semi-trailer truck (Battery)'!AC$85</f>
        <v>0.15970608243330964</v>
      </c>
    </row>
    <row r="8" spans="1:32" x14ac:dyDescent="0.25">
      <c r="A8">
        <v>7</v>
      </c>
      <c r="B8" t="s">
        <v>221</v>
      </c>
      <c r="C8" t="s">
        <v>87</v>
      </c>
      <c r="D8" t="s">
        <v>223</v>
      </c>
      <c r="E8" s="126">
        <f>'Semi-trailer truck (Battery)'!B$191</f>
        <v>0.10945358734318615</v>
      </c>
      <c r="F8" s="126">
        <f>'Semi-trailer truck (Battery)'!C$191</f>
        <v>0.10882977078670809</v>
      </c>
      <c r="G8" s="126">
        <f>'Semi-trailer truck (Battery)'!D$191</f>
        <v>0.10797304651689689</v>
      </c>
      <c r="H8" s="126">
        <f>'Semi-trailer truck (Battery)'!E$191</f>
        <v>0.10681861767939511</v>
      </c>
      <c r="I8" s="126">
        <f>'Semi-trailer truck (Battery)'!F$191</f>
        <v>0.1053033731625007</v>
      </c>
      <c r="J8" s="126">
        <f>'Semi-trailer truck (Battery)'!G$191</f>
        <v>0.10338323742009614</v>
      </c>
      <c r="K8" s="126">
        <f>'Semi-trailer truck (Battery)'!H$191</f>
        <v>0.1010571812245956</v>
      </c>
      <c r="L8" s="126">
        <f>'Semi-trailer truck (Battery)'!I$191</f>
        <v>9.8389068339590699E-2</v>
      </c>
      <c r="M8" s="126">
        <f>'Semi-trailer truck (Battery)'!J$191</f>
        <v>9.5511911206404773E-2</v>
      </c>
      <c r="N8" s="126">
        <f>'Semi-trailer truck (Battery)'!K$191</f>
        <v>9.2603441277428963E-2</v>
      </c>
      <c r="O8" s="126">
        <f>'Semi-trailer truck (Battery)'!L$191</f>
        <v>8.9840782975149705E-2</v>
      </c>
      <c r="P8" s="126">
        <f>'Semi-trailer truck (Battery)'!M$191</f>
        <v>8.7359178326391104E-2</v>
      </c>
      <c r="Q8" s="126">
        <f>'Semi-trailer truck (Battery)'!N$191</f>
        <v>8.5234664287743178E-2</v>
      </c>
      <c r="R8" s="126">
        <f>'Semi-trailer truck (Battery)'!O$191</f>
        <v>8.3489565661383672E-2</v>
      </c>
      <c r="S8" s="126">
        <f>'Semi-trailer truck (Battery)'!P$191</f>
        <v>8.2107312562156795E-2</v>
      </c>
      <c r="T8" s="126">
        <f>'Semi-trailer truck (Battery)'!Q$191</f>
        <v>8.1047008528995032E-2</v>
      </c>
      <c r="U8" s="126">
        <f>'Semi-trailer truck (Battery)'!R$191</f>
        <v>8.0255666625639765E-2</v>
      </c>
      <c r="V8" s="126">
        <f>'Semi-trailer truck (Battery)'!S$191</f>
        <v>7.9678150962767313E-2</v>
      </c>
      <c r="W8" s="126">
        <f>'Semi-trailer truck (Battery)'!T$191</f>
        <v>7.9264111465186554E-2</v>
      </c>
      <c r="X8" s="126">
        <f>'Semi-trailer truck (Battery)'!U$191</f>
        <v>7.8971447781051335E-2</v>
      </c>
      <c r="Y8" s="126">
        <f>'Semi-trailer truck (Battery)'!V$191</f>
        <v>7.8766964551435115E-2</v>
      </c>
      <c r="Z8" s="126">
        <f>'Semi-trailer truck (Battery)'!W$191</f>
        <v>7.8625469978937379E-2</v>
      </c>
      <c r="AA8" s="126">
        <f>'Semi-trailer truck (Battery)'!X$191</f>
        <v>7.8528342935849413E-2</v>
      </c>
      <c r="AB8" s="126">
        <f>'Semi-trailer truck (Battery)'!Y$191</f>
        <v>7.8462098882481332E-2</v>
      </c>
      <c r="AC8" s="126">
        <f>'Semi-trailer truck (Battery)'!Z$191</f>
        <v>7.8417141900892537E-2</v>
      </c>
      <c r="AD8" s="126">
        <f>'Semi-trailer truck (Battery)'!AA$191</f>
        <v>7.838674410851687E-2</v>
      </c>
      <c r="AE8" s="126">
        <f>'Semi-trailer truck (Battery)'!AB$191</f>
        <v>7.8366245385999622E-2</v>
      </c>
      <c r="AF8" s="126">
        <f>'Semi-trailer truck (Battery)'!AC$191</f>
        <v>7.8352448159788146E-2</v>
      </c>
    </row>
    <row r="9" spans="1:32" x14ac:dyDescent="0.25">
      <c r="A9">
        <v>8</v>
      </c>
      <c r="B9" t="s">
        <v>221</v>
      </c>
      <c r="C9" t="s">
        <v>87</v>
      </c>
      <c r="D9" t="s">
        <v>224</v>
      </c>
      <c r="E9" s="126">
        <f>'Semi-trailer truck (Battery)'!B$299</f>
        <v>0.11574481056879866</v>
      </c>
      <c r="F9" s="126">
        <f>'Semi-trailer truck (Battery)'!C$299</f>
        <v>0.11507152491827274</v>
      </c>
      <c r="G9" s="126">
        <f>'Semi-trailer truck (Battery)'!D$299</f>
        <v>0.11414695379781593</v>
      </c>
      <c r="H9" s="126">
        <f>'Semi-trailer truck (Battery)'!E$299</f>
        <v>0.11290128970080653</v>
      </c>
      <c r="I9" s="126">
        <f>'Semi-trailer truck (Battery)'!F$299</f>
        <v>0.11126666719847256</v>
      </c>
      <c r="J9" s="126">
        <f>'Semi-trailer truck (Battery)'!G$299</f>
        <v>0.10919596624497059</v>
      </c>
      <c r="K9" s="126">
        <f>'Semi-trailer truck (Battery)'!H$299</f>
        <v>0.10668880704709295</v>
      </c>
      <c r="L9" s="126">
        <f>'Semi-trailer truck (Battery)'!I$299</f>
        <v>0.10381515358048278</v>
      </c>
      <c r="M9" s="126">
        <f>'Semi-trailer truck (Battery)'!J$299</f>
        <v>0.10071978335828238</v>
      </c>
      <c r="N9" s="126">
        <f>'Semi-trailer truck (Battery)'!K$299</f>
        <v>9.7595581528948552E-2</v>
      </c>
      <c r="O9" s="126">
        <f>'Semi-trailer truck (Battery)'!L$299</f>
        <v>9.463412369289266E-2</v>
      </c>
      <c r="P9" s="126">
        <f>'Semi-trailer truck (Battery)'!M$299</f>
        <v>9.198070487243501E-2</v>
      </c>
      <c r="Q9" s="126">
        <f>'Semi-trailer truck (Battery)'!N$299</f>
        <v>8.9715595306429405E-2</v>
      </c>
      <c r="R9" s="126">
        <f>'Semi-trailer truck (Battery)'!O$299</f>
        <v>8.7860428422852119E-2</v>
      </c>
      <c r="S9" s="126">
        <f>'Semi-trailer truck (Battery)'!P$299</f>
        <v>8.6394954229677398E-2</v>
      </c>
      <c r="T9" s="126">
        <f>'Semi-trailer truck (Battery)'!Q$299</f>
        <v>8.5273399831187383E-2</v>
      </c>
      <c r="U9" s="126">
        <f>'Semi-trailer truck (Battery)'!R$299</f>
        <v>8.4437891877112092E-2</v>
      </c>
      <c r="V9" s="126">
        <f>'Semi-trailer truck (Battery)'!S$299</f>
        <v>8.3829012963035743E-2</v>
      </c>
      <c r="W9" s="126">
        <f>'Semi-trailer truck (Battery)'!T$299</f>
        <v>8.3392955585435052E-2</v>
      </c>
      <c r="X9" s="126">
        <f>'Semi-trailer truck (Battery)'!U$299</f>
        <v>8.3084972560798109E-2</v>
      </c>
      <c r="Y9" s="126">
        <f>'Semi-trailer truck (Battery)'!V$299</f>
        <v>8.2869909982114354E-2</v>
      </c>
      <c r="Z9" s="126">
        <f>'Semi-trailer truck (Battery)'!W$299</f>
        <v>8.2721156704947729E-2</v>
      </c>
      <c r="AA9" s="126">
        <f>'Semi-trailer truck (Battery)'!X$299</f>
        <v>8.2619077099433433E-2</v>
      </c>
      <c r="AB9" s="126">
        <f>'Semi-trailer truck (Battery)'!Y$299</f>
        <v>8.2549469579769982E-2</v>
      </c>
      <c r="AC9" s="126">
        <f>'Semi-trailer truck (Battery)'!Z$299</f>
        <v>8.2502236699675185E-2</v>
      </c>
      <c r="AD9" s="126">
        <f>'Semi-trailer truck (Battery)'!AA$299</f>
        <v>8.2470303177585219E-2</v>
      </c>
      <c r="AE9" s="126">
        <f>'Semi-trailer truck (Battery)'!AB$299</f>
        <v>8.2448770272815899E-2</v>
      </c>
      <c r="AF9" s="126">
        <f>'Semi-trailer truck (Battery)'!AC$299</f>
        <v>8.2434277616860396E-2</v>
      </c>
    </row>
    <row r="10" spans="1:32" x14ac:dyDescent="0.25">
      <c r="A10">
        <v>9</v>
      </c>
      <c r="B10" t="s">
        <v>221</v>
      </c>
      <c r="C10" t="s">
        <v>87</v>
      </c>
      <c r="D10" t="s">
        <v>225</v>
      </c>
      <c r="E10" s="126">
        <f>'Semi-trailer truck (Battery)'!B$408</f>
        <v>0.1494301224340594</v>
      </c>
      <c r="F10" s="126">
        <f>'Semi-trailer truck (Battery)'!C$408</f>
        <v>0.14856071651923844</v>
      </c>
      <c r="G10" s="126">
        <f>'Semi-trailer truck (Battery)'!D$408</f>
        <v>0.14736707106253366</v>
      </c>
      <c r="H10" s="126">
        <f>'Semi-trailer truck (Battery)'!E$408</f>
        <v>0.14575938522168477</v>
      </c>
      <c r="I10" s="126">
        <f>'Semi-trailer truck (Battery)'!F$408</f>
        <v>0.14365069791341728</v>
      </c>
      <c r="J10" s="126">
        <f>'Semi-trailer truck (Battery)'!G$408</f>
        <v>0.14098138373500005</v>
      </c>
      <c r="K10" s="126">
        <f>'Semi-trailer truck (Battery)'!H$408</f>
        <v>0.13775294872839369</v>
      </c>
      <c r="L10" s="126">
        <f>'Semi-trailer truck (Battery)'!I$408</f>
        <v>0.13405859635389522</v>
      </c>
      <c r="M10" s="126">
        <f>'Semi-trailer truck (Battery)'!J$408</f>
        <v>0.13008869100682938</v>
      </c>
      <c r="N10" s="126">
        <f>'Semi-trailer truck (Battery)'!K$408</f>
        <v>0.12609537151735276</v>
      </c>
      <c r="O10" s="126">
        <f>'Semi-trailer truck (Battery)'!L$408</f>
        <v>0.12232737851141029</v>
      </c>
      <c r="P10" s="126">
        <f>'Semi-trailer truck (Battery)'!M$408</f>
        <v>0.11897077716953737</v>
      </c>
      <c r="Q10" s="126">
        <f>'Semi-trailer truck (Battery)'!N$408</f>
        <v>0.11612452915885287</v>
      </c>
      <c r="R10" s="126">
        <f>'Semi-trailer truck (Battery)'!O$408</f>
        <v>0.11380991009184255</v>
      </c>
      <c r="S10" s="126">
        <f>'Semi-trailer truck (Battery)'!P$408</f>
        <v>0.1119941954837403</v>
      </c>
      <c r="T10" s="126">
        <f>'Semi-trailer truck (Battery)'!Q$408</f>
        <v>0.11061356569784064</v>
      </c>
      <c r="U10" s="126">
        <f>'Semi-trailer truck (Battery)'!R$408</f>
        <v>0.10959108626201186</v>
      </c>
      <c r="V10" s="126">
        <f>'Semi-trailer truck (Battery)'!S$408</f>
        <v>0.10884991227218592</v>
      </c>
      <c r="W10" s="126">
        <f>'Semi-trailer truck (Battery)'!T$408</f>
        <v>0.10832167000486265</v>
      </c>
      <c r="X10" s="126">
        <f>'Semi-trailer truck (Battery)'!U$408</f>
        <v>0.10795018442362557</v>
      </c>
      <c r="Y10" s="126">
        <f>'Semi-trailer truck (Battery)'!V$408</f>
        <v>0.10769174109921568</v>
      </c>
      <c r="Z10" s="126">
        <f>'Semi-trailer truck (Battery)'!W$408</f>
        <v>0.1075135282158008</v>
      </c>
      <c r="AA10" s="126">
        <f>'Semi-trailer truck (Battery)'!X$408</f>
        <v>0.10739152542915106</v>
      </c>
      <c r="AB10" s="126">
        <f>'Semi-trailer truck (Battery)'!Y$408</f>
        <v>0.107308482499891</v>
      </c>
      <c r="AC10" s="126">
        <f>'Semi-trailer truck (Battery)'!Z$408</f>
        <v>0.10725220695852421</v>
      </c>
      <c r="AD10" s="126">
        <f>'Semi-trailer truck (Battery)'!AA$408</f>
        <v>0.10721419535461353</v>
      </c>
      <c r="AE10" s="126">
        <f>'Semi-trailer truck (Battery)'!AB$408</f>
        <v>0.10718858068527139</v>
      </c>
      <c r="AF10" s="126">
        <f>'Semi-trailer truck (Battery)'!AC$408</f>
        <v>0.10717134855549974</v>
      </c>
    </row>
    <row r="11" spans="1:32" x14ac:dyDescent="0.25">
      <c r="A11">
        <v>10</v>
      </c>
      <c r="B11" t="s">
        <v>221</v>
      </c>
      <c r="C11" t="s">
        <v>87</v>
      </c>
      <c r="D11" t="s">
        <v>226</v>
      </c>
      <c r="E11" s="126">
        <f>'Semi-trailer truck (Battery)'!B$513</f>
        <v>0.12671830500569514</v>
      </c>
      <c r="F11" s="126">
        <f>'Semi-trailer truck (Battery)'!C$513</f>
        <v>0.12597953381490276</v>
      </c>
      <c r="G11" s="126">
        <f>'Semi-trailer truck (Battery)'!D$513</f>
        <v>0.12496512145964034</v>
      </c>
      <c r="H11" s="126">
        <f>'Semi-trailer truck (Battery)'!E$513</f>
        <v>0.12359859013186458</v>
      </c>
      <c r="I11" s="126">
        <f>'Semi-trailer truck (Battery)'!F$513</f>
        <v>0.12180570926750652</v>
      </c>
      <c r="J11" s="126">
        <f>'Semi-trailer truck (Battery)'!G$513</f>
        <v>0.11953520338675686</v>
      </c>
      <c r="K11" s="126">
        <f>'Semi-trailer truck (Battery)'!H$513</f>
        <v>0.11678735633195406</v>
      </c>
      <c r="L11" s="126">
        <f>'Semi-trailer truck (Battery)'!I$513</f>
        <v>0.11363994333280925</v>
      </c>
      <c r="M11" s="126">
        <f>'Semi-trailer truck (Battery)'!J$513</f>
        <v>0.11025303206814344</v>
      </c>
      <c r="N11" s="126">
        <f>'Semi-trailer truck (Battery)'!K$513</f>
        <v>0.10683936939057756</v>
      </c>
      <c r="O11" s="126">
        <f>'Semi-trailer truck (Battery)'!L$513</f>
        <v>0.10360968405961316</v>
      </c>
      <c r="P11" s="126">
        <f>'Semi-trailer truck (Battery)'!M$513</f>
        <v>0.10072291268986294</v>
      </c>
      <c r="Q11" s="126">
        <f>'Semi-trailer truck (Battery)'!N$513</f>
        <v>9.8265536066901943E-2</v>
      </c>
      <c r="R11" s="126">
        <f>'Semi-trailer truck (Battery)'!O$513</f>
        <v>9.6258976979921557E-2</v>
      </c>
      <c r="S11" s="126">
        <f>'Semi-trailer truck (Battery)'!P$513</f>
        <v>9.4678692691860869E-2</v>
      </c>
      <c r="T11" s="126">
        <f>'Semi-trailer truck (Battery)'!Q$513</f>
        <v>9.3472756640485474E-2</v>
      </c>
      <c r="U11" s="126">
        <f>'Semi-trailer truck (Battery)'!R$513</f>
        <v>9.2576827320833624E-2</v>
      </c>
      <c r="V11" s="126">
        <f>'Semi-trailer truck (Battery)'!S$513</f>
        <v>9.1925593733561572E-2</v>
      </c>
      <c r="W11" s="126">
        <f>'Semi-trailer truck (Battery)'!T$513</f>
        <v>9.1460335156716949E-2</v>
      </c>
      <c r="X11" s="126">
        <f>'Semi-trailer truck (Battery)'!U$513</f>
        <v>9.1132462657794372E-2</v>
      </c>
      <c r="Y11" s="126">
        <f>'Semi-trailer truck (Battery)'!V$513</f>
        <v>9.0903962795859522E-2</v>
      </c>
      <c r="Z11" s="126">
        <f>'Semi-trailer truck (Battery)'!W$513</f>
        <v>9.0746175509388086E-2</v>
      </c>
      <c r="AA11" s="126">
        <f>'Semi-trailer truck (Battery)'!X$513</f>
        <v>9.0638037716385705E-2</v>
      </c>
      <c r="AB11" s="126">
        <f>'Semi-trailer truck (Battery)'!Y$513</f>
        <v>9.0564372038462806E-2</v>
      </c>
      <c r="AC11" s="126">
        <f>'Semi-trailer truck (Battery)'!Z$513</f>
        <v>9.0514421593538702E-2</v>
      </c>
      <c r="AD11" s="126">
        <f>'Semi-trailer truck (Battery)'!AA$513</f>
        <v>9.0480668156879371E-2</v>
      </c>
      <c r="AE11" s="126">
        <f>'Semi-trailer truck (Battery)'!AB$513</f>
        <v>9.0457916271972014E-2</v>
      </c>
      <c r="AF11" s="126">
        <f>'Semi-trailer truck (Battery)'!AC$513</f>
        <v>9.0442606989026342E-2</v>
      </c>
    </row>
    <row r="12" spans="1:32" x14ac:dyDescent="0.25">
      <c r="A12">
        <v>11</v>
      </c>
      <c r="B12" t="s">
        <v>221</v>
      </c>
      <c r="C12" t="s">
        <v>103</v>
      </c>
      <c r="D12" t="s">
        <v>222</v>
      </c>
      <c r="E12" s="126">
        <f>'Semi-trailer truck (Hydrogen)'!B$85</f>
        <v>0.25980204112182903</v>
      </c>
      <c r="F12" s="126">
        <f>'Semi-trailer truck (Hydrogen)'!C$85</f>
        <v>0.25849772805704357</v>
      </c>
      <c r="G12" s="126">
        <f>'Semi-trailer truck (Hydrogen)'!D$85</f>
        <v>0.25668186902873263</v>
      </c>
      <c r="H12" s="126">
        <f>'Semi-trailer truck (Hydrogen)'!E$85</f>
        <v>0.25418729323469169</v>
      </c>
      <c r="I12" s="126">
        <f>'Semi-trailer truck (Hydrogen)'!F$85</f>
        <v>0.25082423977855883</v>
      </c>
      <c r="J12" s="126">
        <f>'Semi-trailer truck (Hydrogen)'!G$85</f>
        <v>0.24640674309019062</v>
      </c>
      <c r="K12" s="126">
        <f>'Semi-trailer truck (Hydrogen)'!H$85</f>
        <v>0.24080263890970838</v>
      </c>
      <c r="L12" s="126">
        <f>'Semi-trailer truck (Hydrogen)'!I$85</f>
        <v>0.23400353854160896</v>
      </c>
      <c r="M12" s="126">
        <f>'Semi-trailer truck (Hydrogen)'!J$85</f>
        <v>0.22619027641325576</v>
      </c>
      <c r="N12" s="126">
        <f>'Semi-trailer truck (Hydrogen)'!K$85</f>
        <v>0.21775005990386834</v>
      </c>
      <c r="O12" s="126">
        <f>'Semi-trailer truck (Hydrogen)'!L$85</f>
        <v>0.20921196447706869</v>
      </c>
      <c r="P12" s="126">
        <f>'Semi-trailer truck (Hydrogen)'!M$85</f>
        <v>0.20111812973022083</v>
      </c>
      <c r="Q12" s="126">
        <f>'Semi-trailer truck (Hydrogen)'!N$85</f>
        <v>0.19389637796978326</v>
      </c>
      <c r="R12" s="126">
        <f>'Semi-trailer truck (Hydrogen)'!O$85</f>
        <v>0.18779247529309087</v>
      </c>
      <c r="S12" s="126">
        <f>'Semi-trailer truck (Hydrogen)'!P$85</f>
        <v>0.18287085900542702</v>
      </c>
      <c r="T12" s="126">
        <f>'Semi-trailer truck (Hydrogen)'!Q$85</f>
        <v>0.17905787066976803</v>
      </c>
      <c r="U12" s="126">
        <f>'Semi-trailer truck (Hydrogen)'!R$85</f>
        <v>0.17619881435295354</v>
      </c>
      <c r="V12" s="126">
        <f>'Semi-trailer truck (Hydrogen)'!S$85</f>
        <v>0.17410961106956296</v>
      </c>
      <c r="W12" s="126">
        <f>'Semi-trailer truck (Hydrogen)'!T$85</f>
        <v>0.17261294577442218</v>
      </c>
      <c r="X12" s="126">
        <f>'Semi-trailer truck (Hydrogen)'!U$85</f>
        <v>0.17155701056625508</v>
      </c>
      <c r="Y12" s="126">
        <f>'Semi-trailer truck (Hydrogen)'!V$85</f>
        <v>0.170820917607033</v>
      </c>
      <c r="Z12" s="126">
        <f>'Semi-trailer truck (Hydrogen)'!W$85</f>
        <v>0.17031270642700216</v>
      </c>
      <c r="AA12" s="126">
        <f>'Semi-trailer truck (Hydrogen)'!X$85</f>
        <v>0.1699645242451529</v>
      </c>
      <c r="AB12" s="126">
        <f>'Semi-trailer truck (Hydrogen)'!Y$85</f>
        <v>0.16972741665868826</v>
      </c>
      <c r="AC12" s="126">
        <f>'Semi-trailer truck (Hydrogen)'!Z$85</f>
        <v>0.16956668852997894</v>
      </c>
      <c r="AD12" s="126">
        <f>'Semi-trailer truck (Hydrogen)'!AA$85</f>
        <v>0.16945810329502839</v>
      </c>
      <c r="AE12" s="126">
        <f>'Semi-trailer truck (Hydrogen)'!AB$85</f>
        <v>0.16938492261884522</v>
      </c>
      <c r="AF12" s="126">
        <f>'Semi-trailer truck (Hydrogen)'!AC$85</f>
        <v>0.16933568679708047</v>
      </c>
    </row>
    <row r="13" spans="1:32" x14ac:dyDescent="0.25">
      <c r="A13">
        <v>12</v>
      </c>
      <c r="B13" t="s">
        <v>221</v>
      </c>
      <c r="C13" t="s">
        <v>103</v>
      </c>
      <c r="D13" t="s">
        <v>223</v>
      </c>
      <c r="E13" s="126">
        <f>'Semi-trailer truck (Hydrogen)'!B$191</f>
        <v>0.13975407510140722</v>
      </c>
      <c r="F13" s="126">
        <f>'Semi-trailer truck (Hydrogen)'!C$191</f>
        <v>0.13901418216186712</v>
      </c>
      <c r="G13" s="126">
        <f>'Semi-trailer truck (Hydrogen)'!D$191</f>
        <v>0.13798346298432809</v>
      </c>
      <c r="H13" s="126">
        <f>'Semi-trailer truck (Hydrogen)'!E$191</f>
        <v>0.13656611805856123</v>
      </c>
      <c r="I13" s="126">
        <f>'Semi-trailer truck (Hydrogen)'!F$191</f>
        <v>0.13465247992069898</v>
      </c>
      <c r="J13" s="126">
        <f>'Semi-trailer truck (Hydrogen)'!G$191</f>
        <v>0.13213313071157362</v>
      </c>
      <c r="K13" s="126">
        <f>'Semi-trailer truck (Hydrogen)'!H$191</f>
        <v>0.12892611299626819</v>
      </c>
      <c r="L13" s="126">
        <f>'Semi-trailer truck (Hydrogen)'!I$191</f>
        <v>0.12501557322741685</v>
      </c>
      <c r="M13" s="126">
        <f>'Semi-trailer truck (Hydrogen)'!J$191</f>
        <v>0.1204890162611484</v>
      </c>
      <c r="N13" s="126">
        <f>'Semi-trailer truck (Hydrogen)'!K$191</f>
        <v>0.11554986490730383</v>
      </c>
      <c r="O13" s="126">
        <f>'Semi-trailer truck (Hydrogen)'!L$191</f>
        <v>0.1104870502490204</v>
      </c>
      <c r="P13" s="126">
        <f>'Semi-trailer truck (Hydrogen)'!M$191</f>
        <v>0.10560935594682873</v>
      </c>
      <c r="Q13" s="126">
        <f>'Semi-trailer truck (Hydrogen)'!N$191</f>
        <v>0.10117693272317985</v>
      </c>
      <c r="R13" s="126">
        <f>'Semi-trailer truck (Hydrogen)'!O$191</f>
        <v>9.7359091616112392E-2</v>
      </c>
      <c r="S13" s="126">
        <f>'Semi-trailer truck (Hydrogen)'!P$191</f>
        <v>9.4224762513998903E-2</v>
      </c>
      <c r="T13" s="126">
        <f>'Semi-trailer truck (Hydrogen)'!Q$191</f>
        <v>9.1757041810367895E-2</v>
      </c>
      <c r="U13" s="126">
        <f>'Semi-trailer truck (Hydrogen)'!R$191</f>
        <v>8.9880939720154276E-2</v>
      </c>
      <c r="V13" s="126">
        <f>'Semi-trailer truck (Hydrogen)'!S$191</f>
        <v>8.8493934680063543E-2</v>
      </c>
      <c r="W13" s="126">
        <f>'Semi-trailer truck (Hydrogen)'!T$191</f>
        <v>8.7490552015476258E-2</v>
      </c>
      <c r="X13" s="126">
        <f>'Semi-trailer truck (Hydrogen)'!U$191</f>
        <v>8.6776873104901148E-2</v>
      </c>
      <c r="Y13" s="126">
        <f>'Semi-trailer truck (Hydrogen)'!V$191</f>
        <v>8.6276075784764483E-2</v>
      </c>
      <c r="Z13" s="126">
        <f>'Semi-trailer truck (Hydrogen)'!W$191</f>
        <v>8.5928515712809142E-2</v>
      </c>
      <c r="AA13" s="126">
        <f>'Semi-trailer truck (Hydrogen)'!X$191</f>
        <v>8.5689453937068186E-2</v>
      </c>
      <c r="AB13" s="126">
        <f>'Semi-trailer truck (Hydrogen)'!Y$191</f>
        <v>8.5526180248237021E-2</v>
      </c>
      <c r="AC13" s="126">
        <f>'Semi-trailer truck (Hydrogen)'!Z$191</f>
        <v>8.5415269655703494E-2</v>
      </c>
      <c r="AD13" s="126">
        <f>'Semi-trailer truck (Hydrogen)'!AA$191</f>
        <v>8.5340229656460848E-2</v>
      </c>
      <c r="AE13" s="126">
        <f>'Semi-trailer truck (Hydrogen)'!AB$191</f>
        <v>8.5289604897677992E-2</v>
      </c>
      <c r="AF13" s="126">
        <f>'Semi-trailer truck (Hydrogen)'!AC$191</f>
        <v>8.5255520725185358E-2</v>
      </c>
    </row>
    <row r="14" spans="1:32" x14ac:dyDescent="0.25">
      <c r="A14">
        <v>13</v>
      </c>
      <c r="B14" t="s">
        <v>221</v>
      </c>
      <c r="C14" t="s">
        <v>103</v>
      </c>
      <c r="D14" t="s">
        <v>224</v>
      </c>
      <c r="E14" s="126">
        <f>'Semi-trailer truck (Hydrogen)'!B$299</f>
        <v>0.14773805189213415</v>
      </c>
      <c r="F14" s="126">
        <f>'Semi-trailer truck (Hydrogen)'!C$299</f>
        <v>0.14694777199782541</v>
      </c>
      <c r="G14" s="126">
        <f>'Semi-trailer truck (Hydrogen)'!D$299</f>
        <v>0.14584692365346708</v>
      </c>
      <c r="H14" s="126">
        <f>'Semi-trailer truck (Hydrogen)'!E$299</f>
        <v>0.1443332776908352</v>
      </c>
      <c r="I14" s="126">
        <f>'Semi-trailer truck (Hydrogen)'!F$299</f>
        <v>0.14228989410873935</v>
      </c>
      <c r="J14" s="126">
        <f>'Semi-trailer truck (Hydrogen)'!G$299</f>
        <v>0.13960028188729109</v>
      </c>
      <c r="K14" s="126">
        <f>'Semi-trailer truck (Hydrogen)'!H$299</f>
        <v>0.1361775715160459</v>
      </c>
      <c r="L14" s="126">
        <f>'Semi-trailer truck (Hydrogen)'!I$299</f>
        <v>0.13200588593275384</v>
      </c>
      <c r="M14" s="126">
        <f>'Semi-trailer truck (Hydrogen)'!J$299</f>
        <v>0.12718011186966818</v>
      </c>
      <c r="N14" s="126">
        <f>'Semi-trailer truck (Hydrogen)'!K$299</f>
        <v>0.12191903528717436</v>
      </c>
      <c r="O14" s="126">
        <f>'Semi-trailer truck (Hydrogen)'!L$299</f>
        <v>0.11653226805715791</v>
      </c>
      <c r="P14" s="126">
        <f>'Semi-trailer truck (Hydrogen)'!M$299</f>
        <v>0.11134942784596601</v>
      </c>
      <c r="Q14" s="126">
        <f>'Semi-trailer truck (Hydrogen)'!N$299</f>
        <v>0.10664666038030382</v>
      </c>
      <c r="R14" s="126">
        <f>'Semi-trailer truck (Hydrogen)'!O$299</f>
        <v>0.10260195100470525</v>
      </c>
      <c r="S14" s="126">
        <f>'Semi-trailer truck (Hydrogen)'!P$299</f>
        <v>9.9285889946041581E-2</v>
      </c>
      <c r="T14" s="126">
        <f>'Semi-trailer truck (Hydrogen)'!Q$299</f>
        <v>9.6678138950639314E-2</v>
      </c>
      <c r="U14" s="126">
        <f>'Semi-trailer truck (Hydrogen)'!R$299</f>
        <v>9.4697475801121603E-2</v>
      </c>
      <c r="V14" s="126">
        <f>'Semi-trailer truck (Hydrogen)'!S$299</f>
        <v>9.3234288963686185E-2</v>
      </c>
      <c r="W14" s="126">
        <f>'Semi-trailer truck (Hydrogen)'!T$299</f>
        <v>9.2176435662649964E-2</v>
      </c>
      <c r="X14" s="126">
        <f>'Semi-trailer truck (Hydrogen)'!U$299</f>
        <v>9.1424370627275681E-2</v>
      </c>
      <c r="Y14" s="126">
        <f>'Semi-trailer truck (Hydrogen)'!V$299</f>
        <v>9.0896831346659476E-2</v>
      </c>
      <c r="Z14" s="126">
        <f>'Semi-trailer truck (Hydrogen)'!W$299</f>
        <v>9.0530814080002617E-2</v>
      </c>
      <c r="AA14" s="126">
        <f>'Semi-trailer truck (Hydrogen)'!X$299</f>
        <v>9.0279108863650717E-2</v>
      </c>
      <c r="AB14" s="126">
        <f>'Semi-trailer truck (Hydrogen)'!Y$299</f>
        <v>9.0107225632494875E-2</v>
      </c>
      <c r="AC14" s="126">
        <f>'Semi-trailer truck (Hydrogen)'!Z$299</f>
        <v>8.9990478975629326E-2</v>
      </c>
      <c r="AD14" s="126">
        <f>'Semi-trailer truck (Hydrogen)'!AA$299</f>
        <v>8.9911496222911086E-2</v>
      </c>
      <c r="AE14" s="126">
        <f>'Semi-trailer truck (Hydrogen)'!AB$299</f>
        <v>8.9858214240187112E-2</v>
      </c>
      <c r="AF14" s="126">
        <f>'Semi-trailer truck (Hydrogen)'!AC$299</f>
        <v>8.9822342279627529E-2</v>
      </c>
    </row>
    <row r="15" spans="1:32" x14ac:dyDescent="0.25">
      <c r="A15">
        <v>14</v>
      </c>
      <c r="B15" t="s">
        <v>221</v>
      </c>
      <c r="C15" t="s">
        <v>103</v>
      </c>
      <c r="D15" t="s">
        <v>225</v>
      </c>
      <c r="E15" s="126">
        <f>'Semi-trailer truck (Hydrogen)'!B$408</f>
        <v>0.18250100408731876</v>
      </c>
      <c r="F15" s="126">
        <f>'Semi-trailer truck (Hydrogen)'!C$408</f>
        <v>0.1815560249346109</v>
      </c>
      <c r="G15" s="126">
        <f>'Semi-trailer truck (Hydrogen)'!D$408</f>
        <v>0.18024003153227819</v>
      </c>
      <c r="H15" s="126">
        <f>'Semi-trailer truck (Hydrogen)'!E$408</f>
        <v>0.17843130898354581</v>
      </c>
      <c r="I15" s="126">
        <f>'Semi-trailer truck (Hydrogen)'!F$408</f>
        <v>0.17599112424731886</v>
      </c>
      <c r="J15" s="126">
        <f>'Semi-trailer truck (Hydrogen)'!G$408</f>
        <v>0.17278231638933086</v>
      </c>
      <c r="K15" s="126">
        <f>'Semi-trailer truck (Hydrogen)'!H$408</f>
        <v>0.16870481052296304</v>
      </c>
      <c r="L15" s="126">
        <f>'Semi-trailer truck (Hydrogen)'!I$408</f>
        <v>0.16374566388620743</v>
      </c>
      <c r="M15" s="126">
        <f>'Semi-trailer truck (Hydrogen)'!J$408</f>
        <v>0.15802656221846839</v>
      </c>
      <c r="N15" s="126">
        <f>'Semi-trailer truck (Hydrogen)'!K$408</f>
        <v>0.15181799796250187</v>
      </c>
      <c r="O15" s="126">
        <f>'Semi-trailer truck (Hydrogen)'!L$408</f>
        <v>0.14549636412004197</v>
      </c>
      <c r="P15" s="126">
        <f>'Semi-trailer truck (Hydrogen)'!M$408</f>
        <v>0.13945522266947516</v>
      </c>
      <c r="Q15" s="126">
        <f>'Semi-trailer truck (Hydrogen)'!N$408</f>
        <v>0.1340153490406695</v>
      </c>
      <c r="R15" s="126">
        <f>'Semi-trailer truck (Hydrogen)'!O$408</f>
        <v>0.12937330907401362</v>
      </c>
      <c r="S15" s="126">
        <f>'Semi-trailer truck (Hydrogen)'!P$408</f>
        <v>0.12559582108131537</v>
      </c>
      <c r="T15" s="126">
        <f>'Semi-trailer truck (Hydrogen)'!Q$408</f>
        <v>0.12264490481173457</v>
      </c>
      <c r="U15" s="126">
        <f>'Semi-trailer truck (Hydrogen)'!R$408</f>
        <v>0.12041636607040254</v>
      </c>
      <c r="V15" s="126">
        <f>'Semi-trailer truck (Hydrogen)'!S$408</f>
        <v>0.11877800021112297</v>
      </c>
      <c r="W15" s="126">
        <f>'Semi-trailer truck (Hydrogen)'!T$408</f>
        <v>0.11759830422684162</v>
      </c>
      <c r="X15" s="126">
        <f>'Semi-trailer truck (Hydrogen)'!U$408</f>
        <v>0.11676245645523986</v>
      </c>
      <c r="Y15" s="126">
        <f>'Semi-trailer truck (Hydrogen)'!V$408</f>
        <v>0.11617776695532439</v>
      </c>
      <c r="Z15" s="126">
        <f>'Semi-trailer truck (Hydrogen)'!W$408</f>
        <v>0.11577298308669608</v>
      </c>
      <c r="AA15" s="126">
        <f>'Semi-trailer truck (Hydrogen)'!X$408</f>
        <v>0.11549508200506023</v>
      </c>
      <c r="AB15" s="126">
        <f>'Semi-trailer truck (Hydrogen)'!Y$408</f>
        <v>0.11530554357167577</v>
      </c>
      <c r="AC15" s="126">
        <f>'Semi-trailer truck (Hydrogen)'!Z$408</f>
        <v>0.11517691892683977</v>
      </c>
      <c r="AD15" s="126">
        <f>'Semi-trailer truck (Hydrogen)'!AA$408</f>
        <v>0.11508995451872212</v>
      </c>
      <c r="AE15" s="126">
        <f>'Semi-trailer truck (Hydrogen)'!AB$408</f>
        <v>0.11503131342734835</v>
      </c>
      <c r="AF15" s="126">
        <f>'Semi-trailer truck (Hydrogen)'!AC$408</f>
        <v>0.11499184516318911</v>
      </c>
    </row>
    <row r="16" spans="1:32" x14ac:dyDescent="0.25">
      <c r="A16">
        <v>15</v>
      </c>
      <c r="B16" t="s">
        <v>221</v>
      </c>
      <c r="C16" t="s">
        <v>103</v>
      </c>
      <c r="D16" t="s">
        <v>226</v>
      </c>
      <c r="E16" s="126">
        <f>'Semi-trailer truck (Hydrogen)'!B$513</f>
        <v>0.15774090818787748</v>
      </c>
      <c r="F16" s="126">
        <f>'Semi-trailer truck (Hydrogen)'!C$513</f>
        <v>0.15691032369503954</v>
      </c>
      <c r="G16" s="126">
        <f>'Semi-trailer truck (Hydrogen)'!D$513</f>
        <v>0.15575348634089514</v>
      </c>
      <c r="H16" s="126">
        <f>'Semi-trailer truck (Hydrogen)'!E$513</f>
        <v>0.15416318636566459</v>
      </c>
      <c r="I16" s="126">
        <f>'Semi-trailer truck (Hydrogen)'!F$513</f>
        <v>0.15201700658993433</v>
      </c>
      <c r="J16" s="126">
        <f>'Semi-trailer truck (Hydrogen)'!G$513</f>
        <v>0.14919346065491809</v>
      </c>
      <c r="K16" s="126">
        <f>'Semi-trailer truck (Hydrogen)'!H$513</f>
        <v>0.14560293360784812</v>
      </c>
      <c r="L16" s="126">
        <f>'Semi-trailer truck (Hydrogen)'!I$513</f>
        <v>0.14123142047904186</v>
      </c>
      <c r="M16" s="126">
        <f>'Semi-trailer truck (Hydrogen)'!J$513</f>
        <v>0.13618230402012196</v>
      </c>
      <c r="N16" s="126">
        <f>'Semi-trailer truck (Hydrogen)'!K$513</f>
        <v>0.13068948979093387</v>
      </c>
      <c r="O16" s="126">
        <f>'Semi-trailer truck (Hydrogen)'!L$513</f>
        <v>0.12508116230501012</v>
      </c>
      <c r="P16" s="126">
        <f>'Semi-trailer truck (Hydrogen)'!M$513</f>
        <v>0.11970355148787055</v>
      </c>
      <c r="Q16" s="126">
        <f>'Semi-trailer truck (Hydrogen)'!N$513</f>
        <v>0.1148427545380441</v>
      </c>
      <c r="R16" s="126">
        <f>'Semi-trailer truck (Hydrogen)'!O$513</f>
        <v>0.11067863092661061</v>
      </c>
      <c r="S16" s="126">
        <f>'Semi-trailer truck (Hydrogen)'!P$513</f>
        <v>0.10727748211919823</v>
      </c>
      <c r="T16" s="126">
        <f>'Semi-trailer truck (Hydrogen)'!Q$513</f>
        <v>0.10461179707323583</v>
      </c>
      <c r="U16" s="126">
        <f>'Semi-trailer truck (Hydrogen)'!R$513</f>
        <v>0.10259299473191448</v>
      </c>
      <c r="V16" s="126">
        <f>'Semi-trailer truck (Hydrogen)'!S$513</f>
        <v>0.1011053080422593</v>
      </c>
      <c r="W16" s="126">
        <f>'Semi-trailer truck (Hydrogen)'!T$513</f>
        <v>0.1000319874588604</v>
      </c>
      <c r="X16" s="126">
        <f>'Semi-trailer truck (Hydrogen)'!U$513</f>
        <v>9.9270262420587174E-2</v>
      </c>
      <c r="Y16" s="126">
        <f>'Semi-trailer truck (Hydrogen)'!V$513</f>
        <v>9.8736713806842721E-2</v>
      </c>
      <c r="Z16" s="126">
        <f>'Semi-trailer truck (Hydrogen)'!W$513</f>
        <v>9.8366948135207091E-2</v>
      </c>
      <c r="AA16" s="126">
        <f>'Semi-trailer truck (Hydrogen)'!X$513</f>
        <v>9.8112886222782927E-2</v>
      </c>
      <c r="AB16" s="126">
        <f>'Semi-trailer truck (Hydrogen)'!Y$513</f>
        <v>9.7939505173767469E-2</v>
      </c>
      <c r="AC16" s="126">
        <f>'Semi-trailer truck (Hydrogen)'!Z$513</f>
        <v>9.7821795633762434E-2</v>
      </c>
      <c r="AD16" s="126">
        <f>'Semi-trailer truck (Hydrogen)'!AA$513</f>
        <v>9.7742187415189766E-2</v>
      </c>
      <c r="AE16" s="126">
        <f>'Semi-trailer truck (Hydrogen)'!AB$513</f>
        <v>9.7688495638655656E-2</v>
      </c>
      <c r="AF16" s="126">
        <f>'Semi-trailer truck (Hydrogen)'!AC$513</f>
        <v>9.7652353398197764E-2</v>
      </c>
    </row>
    <row r="17" spans="1:32" x14ac:dyDescent="0.25">
      <c r="A17">
        <v>16</v>
      </c>
      <c r="B17" t="s">
        <v>227</v>
      </c>
      <c r="C17" t="s">
        <v>11</v>
      </c>
      <c r="D17" t="s">
        <v>222</v>
      </c>
      <c r="E17" s="126">
        <f>'Railway (Diesel)'!B$85</f>
        <v>1.8360865731558488E-2</v>
      </c>
      <c r="F17" s="126">
        <f>'Railway (Diesel)'!C$85</f>
        <v>1.8364931495261947E-2</v>
      </c>
      <c r="G17" s="126">
        <f>'Railway (Diesel)'!D$85</f>
        <v>1.8370743712075061E-2</v>
      </c>
      <c r="H17" s="126">
        <f>'Railway (Diesel)'!E$85</f>
        <v>1.8379042067381737E-2</v>
      </c>
      <c r="I17" s="126">
        <f>'Railway (Diesel)'!F$85</f>
        <v>1.8390868106937748E-2</v>
      </c>
      <c r="J17" s="126">
        <f>'Railway (Diesel)'!G$85</f>
        <v>1.8407676429072237E-2</v>
      </c>
      <c r="K17" s="126">
        <f>'Railway (Diesel)'!H$85</f>
        <v>1.8431474904881846E-2</v>
      </c>
      <c r="L17" s="126">
        <f>'Railway (Diesel)'!I$85</f>
        <v>1.8464990327470419E-2</v>
      </c>
      <c r="M17" s="126">
        <f>'Railway (Diesel)'!J$85</f>
        <v>1.8511844429421997E-2</v>
      </c>
      <c r="N17" s="126">
        <f>'Railway (Diesel)'!K$85</f>
        <v>1.8576706814543736E-2</v>
      </c>
      <c r="O17" s="126">
        <f>'Railway (Diesel)'!L$85</f>
        <v>1.8665364248115848E-2</v>
      </c>
      <c r="P17" s="126">
        <f>'Railway (Diesel)'!M$85</f>
        <v>1.878460195012872E-2</v>
      </c>
      <c r="Q17" s="126">
        <f>'Railway (Diesel)'!N$85</f>
        <v>1.8941712739581729E-2</v>
      </c>
      <c r="R17" s="126">
        <f>'Railway (Diesel)'!O$85</f>
        <v>1.9143336861983766E-2</v>
      </c>
      <c r="S17" s="126">
        <f>'Railway (Diesel)'!P$85</f>
        <v>1.9393323135345295E-2</v>
      </c>
      <c r="T17" s="126">
        <f>'Railway (Diesel)'!Q$85</f>
        <v>1.9689714974171445E-2</v>
      </c>
      <c r="U17" s="126">
        <f>'Railway (Diesel)'!R$85</f>
        <v>2.0021996150566372E-2</v>
      </c>
      <c r="V17" s="126">
        <f>'Railway (Diesel)'!S$85</f>
        <v>2.0370744855136225E-2</v>
      </c>
      <c r="W17" s="126">
        <f>'Railway (Diesel)'!T$85</f>
        <v>2.0711326930174221E-2</v>
      </c>
      <c r="X17" s="126">
        <f>'Railway (Diesel)'!U$85</f>
        <v>2.1020602376728963E-2</v>
      </c>
      <c r="Y17" s="126">
        <f>'Railway (Diesel)'!V$85</f>
        <v>2.1283026088241695E-2</v>
      </c>
      <c r="Z17" s="126">
        <f>'Railway (Diesel)'!W$85</f>
        <v>2.1492965526109957E-2</v>
      </c>
      <c r="AA17" s="126">
        <f>'Railway (Diesel)'!X$85</f>
        <v>2.1653052129415793E-2</v>
      </c>
      <c r="AB17" s="126">
        <f>'Railway (Diesel)'!Y$85</f>
        <v>2.1770677404645413E-2</v>
      </c>
      <c r="AC17" s="126">
        <f>'Railway (Diesel)'!Z$85</f>
        <v>2.1854753662609437E-2</v>
      </c>
      <c r="AD17" s="126">
        <f>'Railway (Diesel)'!AA$85</f>
        <v>2.1913667518629745E-2</v>
      </c>
      <c r="AE17" s="126">
        <f>'Railway (Diesel)'!AB$85</f>
        <v>2.1954375479161927E-2</v>
      </c>
      <c r="AF17" s="126">
        <f>'Railway (Diesel)'!AC$85</f>
        <v>2.1982231623871498E-2</v>
      </c>
    </row>
    <row r="18" spans="1:32" x14ac:dyDescent="0.25">
      <c r="A18">
        <v>17</v>
      </c>
      <c r="B18" t="s">
        <v>227</v>
      </c>
      <c r="C18" t="s">
        <v>11</v>
      </c>
      <c r="D18" t="s">
        <v>223</v>
      </c>
      <c r="E18" s="126">
        <f>'Railway (Diesel)'!B$191</f>
        <v>2.7711075574809615E-2</v>
      </c>
      <c r="F18" s="126">
        <f>'Railway (Diesel)'!C$191</f>
        <v>2.77171742203648E-2</v>
      </c>
      <c r="G18" s="126">
        <f>'Railway (Diesel)'!D$191</f>
        <v>2.7725892545584468E-2</v>
      </c>
      <c r="H18" s="126">
        <f>'Railway (Diesel)'!E$191</f>
        <v>2.7738340078544494E-2</v>
      </c>
      <c r="I18" s="126">
        <f>'Railway (Diesel)'!F$191</f>
        <v>2.775607913787851E-2</v>
      </c>
      <c r="J18" s="126">
        <f>'Railway (Diesel)'!G$191</f>
        <v>2.7781291621080242E-2</v>
      </c>
      <c r="K18" s="126">
        <f>'Railway (Diesel)'!H$191</f>
        <v>2.7816989334794658E-2</v>
      </c>
      <c r="L18" s="126">
        <f>'Railway (Diesel)'!I$191</f>
        <v>2.7867262468677517E-2</v>
      </c>
      <c r="M18" s="126">
        <f>'Railway (Diesel)'!J$191</f>
        <v>2.7937543621604881E-2</v>
      </c>
      <c r="N18" s="126">
        <f>'Railway (Diesel)'!K$191</f>
        <v>2.8034837199287489E-2</v>
      </c>
      <c r="O18" s="126">
        <f>'Railway (Diesel)'!L$191</f>
        <v>2.8167823349645661E-2</v>
      </c>
      <c r="P18" s="126">
        <f>'Railway (Diesel)'!M$191</f>
        <v>2.8346679902664967E-2</v>
      </c>
      <c r="Q18" s="126">
        <f>'Railway (Diesel)'!N$191</f>
        <v>2.8582346086844481E-2</v>
      </c>
      <c r="R18" s="126">
        <f>'Railway (Diesel)'!O$191</f>
        <v>2.8884782270447534E-2</v>
      </c>
      <c r="S18" s="126">
        <f>'Railway (Diesel)'!P$191</f>
        <v>2.9259761680489823E-2</v>
      </c>
      <c r="T18" s="126">
        <f>'Railway (Diesel)'!Q$191</f>
        <v>2.9704349438729051E-2</v>
      </c>
      <c r="U18" s="126">
        <f>'Railway (Diesel)'!R$191</f>
        <v>3.0202771203321443E-2</v>
      </c>
      <c r="V18" s="126">
        <f>'Railway (Diesel)'!S$191</f>
        <v>3.0725894260176224E-2</v>
      </c>
      <c r="W18" s="126">
        <f>'Railway (Diesel)'!T$191</f>
        <v>3.1236767372733218E-2</v>
      </c>
      <c r="X18" s="126">
        <f>'Railway (Diesel)'!U$191</f>
        <v>3.1700680542565335E-2</v>
      </c>
      <c r="Y18" s="126">
        <f>'Railway (Diesel)'!V$191</f>
        <v>3.2094316109834431E-2</v>
      </c>
      <c r="Z18" s="126">
        <f>'Railway (Diesel)'!W$191</f>
        <v>3.2409225266636824E-2</v>
      </c>
      <c r="AA18" s="126">
        <f>'Railway (Diesel)'!X$191</f>
        <v>3.2649355171595569E-2</v>
      </c>
      <c r="AB18" s="126">
        <f>'Railway (Diesel)'!Y$191</f>
        <v>3.2825793084440003E-2</v>
      </c>
      <c r="AC18" s="126">
        <f>'Railway (Diesel)'!Z$191</f>
        <v>3.2951907471386044E-2</v>
      </c>
      <c r="AD18" s="126">
        <f>'Railway (Diesel)'!AA$191</f>
        <v>3.30402782554165E-2</v>
      </c>
      <c r="AE18" s="126">
        <f>'Railway (Diesel)'!AB$191</f>
        <v>3.310134019621478E-2</v>
      </c>
      <c r="AF18" s="126">
        <f>'Railway (Diesel)'!AC$191</f>
        <v>3.3143124413279129E-2</v>
      </c>
    </row>
    <row r="19" spans="1:32" x14ac:dyDescent="0.25">
      <c r="A19">
        <v>18</v>
      </c>
      <c r="B19" t="s">
        <v>227</v>
      </c>
      <c r="C19" t="s">
        <v>11</v>
      </c>
      <c r="D19" t="s">
        <v>224</v>
      </c>
      <c r="E19" s="126">
        <f>'Railway (Diesel)'!B$299</f>
        <v>2.6451341154744356E-2</v>
      </c>
      <c r="F19" s="126">
        <f>'Railway (Diesel)'!C$299</f>
        <v>2.6457439800299541E-2</v>
      </c>
      <c r="G19" s="126">
        <f>'Railway (Diesel)'!D$299</f>
        <v>2.6466158125519213E-2</v>
      </c>
      <c r="H19" s="126">
        <f>'Railway (Diesel)'!E$299</f>
        <v>2.6478605658479232E-2</v>
      </c>
      <c r="I19" s="126">
        <f>'Railway (Diesel)'!F$299</f>
        <v>2.6496344717813251E-2</v>
      </c>
      <c r="J19" s="126">
        <f>'Railway (Diesel)'!G$299</f>
        <v>2.6521557201014984E-2</v>
      </c>
      <c r="K19" s="126">
        <f>'Railway (Diesel)'!H$299</f>
        <v>2.6557254914729399E-2</v>
      </c>
      <c r="L19" s="126">
        <f>'Railway (Diesel)'!I$299</f>
        <v>2.6607528048612255E-2</v>
      </c>
      <c r="M19" s="126">
        <f>'Railway (Diesel)'!J$299</f>
        <v>2.6677809201539619E-2</v>
      </c>
      <c r="N19" s="126">
        <f>'Railway (Diesel)'!K$299</f>
        <v>2.677510277922223E-2</v>
      </c>
      <c r="O19" s="126">
        <f>'Railway (Diesel)'!L$299</f>
        <v>2.6908088929580395E-2</v>
      </c>
      <c r="P19" s="126">
        <f>'Railway (Diesel)'!M$299</f>
        <v>2.7086945482599704E-2</v>
      </c>
      <c r="Q19" s="126">
        <f>'Railway (Diesel)'!N$299</f>
        <v>2.7322611666779219E-2</v>
      </c>
      <c r="R19" s="126">
        <f>'Railway (Diesel)'!O$299</f>
        <v>2.7625047850382278E-2</v>
      </c>
      <c r="S19" s="126">
        <f>'Railway (Diesel)'!P$299</f>
        <v>2.8000027260424568E-2</v>
      </c>
      <c r="T19" s="126">
        <f>'Railway (Diesel)'!Q$299</f>
        <v>2.8444615018663796E-2</v>
      </c>
      <c r="U19" s="126">
        <f>'Railway (Diesel)'!R$299</f>
        <v>2.8943036783256181E-2</v>
      </c>
      <c r="V19" s="126">
        <f>'Railway (Diesel)'!S$299</f>
        <v>2.9466159840110969E-2</v>
      </c>
      <c r="W19" s="126">
        <f>'Railway (Diesel)'!T$299</f>
        <v>2.9977032952667956E-2</v>
      </c>
      <c r="X19" s="126">
        <f>'Railway (Diesel)'!U$299</f>
        <v>3.0440946122500076E-2</v>
      </c>
      <c r="Y19" s="126">
        <f>'Railway (Diesel)'!V$299</f>
        <v>3.0834581689769165E-2</v>
      </c>
      <c r="Z19" s="126">
        <f>'Railway (Diesel)'!W$299</f>
        <v>3.1149490846571561E-2</v>
      </c>
      <c r="AA19" s="126">
        <f>'Railway (Diesel)'!X$299</f>
        <v>3.138962075153031E-2</v>
      </c>
      <c r="AB19" s="126">
        <f>'Railway (Diesel)'!Y$299</f>
        <v>3.1566058664374737E-2</v>
      </c>
      <c r="AC19" s="126">
        <f>'Railway (Diesel)'!Z$299</f>
        <v>3.1692173051320778E-2</v>
      </c>
      <c r="AD19" s="126">
        <f>'Railway (Diesel)'!AA$299</f>
        <v>3.1780543835351241E-2</v>
      </c>
      <c r="AE19" s="126">
        <f>'Railway (Diesel)'!AB$299</f>
        <v>3.1841605776149515E-2</v>
      </c>
      <c r="AF19" s="126">
        <f>'Railway (Diesel)'!AC$299</f>
        <v>3.188338999321387E-2</v>
      </c>
    </row>
    <row r="20" spans="1:32" x14ac:dyDescent="0.25">
      <c r="A20">
        <v>19</v>
      </c>
      <c r="B20" t="s">
        <v>227</v>
      </c>
      <c r="C20" t="s">
        <v>11</v>
      </c>
      <c r="D20" t="s">
        <v>225</v>
      </c>
      <c r="E20" s="126">
        <f>'Railway (Diesel)'!B$408</f>
        <v>2.2217430274894662E-2</v>
      </c>
      <c r="F20" s="126">
        <f>'Railway (Diesel)'!C$408</f>
        <v>2.2221044287075518E-2</v>
      </c>
      <c r="G20" s="126">
        <f>'Railway (Diesel)'!D$408</f>
        <v>2.2226210702020507E-2</v>
      </c>
      <c r="H20" s="126">
        <f>'Railway (Diesel)'!E$408</f>
        <v>2.2233587017848666E-2</v>
      </c>
      <c r="I20" s="126">
        <f>'Railway (Diesel)'!F$408</f>
        <v>2.2244099053009569E-2</v>
      </c>
      <c r="J20" s="126">
        <f>'Railway (Diesel)'!G$408</f>
        <v>2.225903978379578E-2</v>
      </c>
      <c r="K20" s="126">
        <f>'Railway (Diesel)'!H$408</f>
        <v>2.2280193984515431E-2</v>
      </c>
      <c r="L20" s="126">
        <f>'Railway (Diesel)'!I$408</f>
        <v>2.230998547126083E-2</v>
      </c>
      <c r="M20" s="126">
        <f>'Railway (Diesel)'!J$408</f>
        <v>2.2351633561884451E-2</v>
      </c>
      <c r="N20" s="126">
        <f>'Railway (Diesel)'!K$408</f>
        <v>2.2409289015325996E-2</v>
      </c>
      <c r="O20" s="126">
        <f>'Railway (Diesel)'!L$408</f>
        <v>2.2488095622945653E-2</v>
      </c>
      <c r="P20" s="126">
        <f>'Railway (Diesel)'!M$408</f>
        <v>2.2594084691401537E-2</v>
      </c>
      <c r="Q20" s="126">
        <f>'Railway (Diesel)'!N$408</f>
        <v>2.2733738726470876E-2</v>
      </c>
      <c r="R20" s="126">
        <f>'Railway (Diesel)'!O$408</f>
        <v>2.2912960168606025E-2</v>
      </c>
      <c r="S20" s="126">
        <f>'Railway (Diesel)'!P$408</f>
        <v>2.3135170189371824E-2</v>
      </c>
      <c r="T20" s="126">
        <f>'Railway (Diesel)'!Q$408</f>
        <v>2.3398629601661742E-2</v>
      </c>
      <c r="U20" s="126">
        <f>'Railway (Diesel)'!R$408</f>
        <v>2.3693990647346119E-2</v>
      </c>
      <c r="V20" s="126">
        <f>'Railway (Diesel)'!S$408</f>
        <v>2.4003989495852657E-2</v>
      </c>
      <c r="W20" s="126">
        <f>'Railway (Diesel)'!T$408</f>
        <v>2.430672911810865E-2</v>
      </c>
      <c r="X20" s="126">
        <f>'Railway (Diesel)'!U$408</f>
        <v>2.4581640626157312E-2</v>
      </c>
      <c r="Y20" s="126">
        <f>'Railway (Diesel)'!V$408</f>
        <v>2.481490614750196E-2</v>
      </c>
      <c r="Z20" s="126">
        <f>'Railway (Diesel)'!W$408</f>
        <v>2.5001518981162638E-2</v>
      </c>
      <c r="AA20" s="126">
        <f>'Railway (Diesel)'!X$408</f>
        <v>2.514381818410116E-2</v>
      </c>
      <c r="AB20" s="126">
        <f>'Railway (Diesel)'!Y$408</f>
        <v>2.5248373984305263E-2</v>
      </c>
      <c r="AC20" s="126">
        <f>'Railway (Diesel)'!Z$408</f>
        <v>2.5323108435828846E-2</v>
      </c>
      <c r="AD20" s="126">
        <f>'Railway (Diesel)'!AA$408</f>
        <v>2.5375476307846895E-2</v>
      </c>
      <c r="AE20" s="126">
        <f>'Railway (Diesel)'!AB$408</f>
        <v>2.5411661161653276E-2</v>
      </c>
      <c r="AF20" s="126">
        <f>'Railway (Diesel)'!AC$408</f>
        <v>2.5436422179172895E-2</v>
      </c>
    </row>
    <row r="21" spans="1:32" x14ac:dyDescent="0.25">
      <c r="A21">
        <v>20</v>
      </c>
      <c r="B21" t="s">
        <v>227</v>
      </c>
      <c r="C21" t="s">
        <v>11</v>
      </c>
      <c r="D21" t="s">
        <v>226</v>
      </c>
      <c r="E21" s="126">
        <f>'Railway (Diesel)'!B$513</f>
        <v>2.7291893879419288E-2</v>
      </c>
      <c r="F21" s="126">
        <f>'Railway (Diesel)'!C$513</f>
        <v>2.7297992524974477E-2</v>
      </c>
      <c r="G21" s="126">
        <f>'Railway (Diesel)'!D$513</f>
        <v>2.7306710850194149E-2</v>
      </c>
      <c r="H21" s="126">
        <f>'Railway (Diesel)'!E$513</f>
        <v>2.7319158383154164E-2</v>
      </c>
      <c r="I21" s="126">
        <f>'Railway (Diesel)'!F$513</f>
        <v>2.7336897442488184E-2</v>
      </c>
      <c r="J21" s="126">
        <f>'Railway (Diesel)'!G$513</f>
        <v>2.736210992568992E-2</v>
      </c>
      <c r="K21" s="126">
        <f>'Railway (Diesel)'!H$513</f>
        <v>2.7397807639404331E-2</v>
      </c>
      <c r="L21" s="126">
        <f>'Railway (Diesel)'!I$513</f>
        <v>2.7448080773287194E-2</v>
      </c>
      <c r="M21" s="126">
        <f>'Railway (Diesel)'!J$513</f>
        <v>2.7518361926214558E-2</v>
      </c>
      <c r="N21" s="126">
        <f>'Railway (Diesel)'!K$513</f>
        <v>2.7615655503897166E-2</v>
      </c>
      <c r="O21" s="126">
        <f>'Railway (Diesel)'!L$513</f>
        <v>2.7748641654255331E-2</v>
      </c>
      <c r="P21" s="126">
        <f>'Railway (Diesel)'!M$513</f>
        <v>2.7927498207274644E-2</v>
      </c>
      <c r="Q21" s="126">
        <f>'Railway (Diesel)'!N$513</f>
        <v>2.8163164391454158E-2</v>
      </c>
      <c r="R21" s="126">
        <f>'Railway (Diesel)'!O$513</f>
        <v>2.8465600575057214E-2</v>
      </c>
      <c r="S21" s="126">
        <f>'Railway (Diesel)'!P$513</f>
        <v>2.8840579985099504E-2</v>
      </c>
      <c r="T21" s="126">
        <f>'Railway (Diesel)'!Q$513</f>
        <v>2.9285167743338732E-2</v>
      </c>
      <c r="U21" s="126">
        <f>'Railway (Diesel)'!R$513</f>
        <v>2.9783589507931117E-2</v>
      </c>
      <c r="V21" s="126">
        <f>'Railway (Diesel)'!S$513</f>
        <v>3.0306712564785905E-2</v>
      </c>
      <c r="W21" s="126">
        <f>'Railway (Diesel)'!T$513</f>
        <v>3.0817585677342885E-2</v>
      </c>
      <c r="X21" s="126">
        <f>'Railway (Diesel)'!U$513</f>
        <v>3.1281498847175015E-2</v>
      </c>
      <c r="Y21" s="126">
        <f>'Railway (Diesel)'!V$513</f>
        <v>3.1675134414444105E-2</v>
      </c>
      <c r="Z21" s="126">
        <f>'Railway (Diesel)'!W$513</f>
        <v>3.1990043571246497E-2</v>
      </c>
      <c r="AA21" s="126">
        <f>'Railway (Diesel)'!X$513</f>
        <v>3.223017347620525E-2</v>
      </c>
      <c r="AB21" s="126">
        <f>'Railway (Diesel)'!Y$513</f>
        <v>3.2406611389049676E-2</v>
      </c>
      <c r="AC21" s="126">
        <f>'Railway (Diesel)'!Z$513</f>
        <v>3.2532725775995718E-2</v>
      </c>
      <c r="AD21" s="126">
        <f>'Railway (Diesel)'!AA$513</f>
        <v>3.2621096560026173E-2</v>
      </c>
      <c r="AE21" s="126">
        <f>'Railway (Diesel)'!AB$513</f>
        <v>3.2682158500824454E-2</v>
      </c>
      <c r="AF21" s="126">
        <f>'Railway (Diesel)'!AC$513</f>
        <v>3.272394271788881E-2</v>
      </c>
    </row>
    <row r="22" spans="1:32" x14ac:dyDescent="0.25">
      <c r="A22">
        <v>21</v>
      </c>
      <c r="B22" t="s">
        <v>227</v>
      </c>
      <c r="C22" t="s">
        <v>136</v>
      </c>
      <c r="D22" t="s">
        <v>222</v>
      </c>
      <c r="E22" s="126">
        <f>'Railway (Catenary)'!B$85</f>
        <v>1.3425445445853938E-2</v>
      </c>
      <c r="F22" s="126">
        <f>'Railway (Catenary)'!C$85</f>
        <v>1.3419647080803105E-2</v>
      </c>
      <c r="G22" s="126">
        <f>'Railway (Catenary)'!D$85</f>
        <v>1.3411413669746923E-2</v>
      </c>
      <c r="H22" s="126">
        <f>'Railway (Catenary)'!E$85</f>
        <v>1.339977534202611E-2</v>
      </c>
      <c r="I22" s="126">
        <f>'Railway (Catenary)'!F$85</f>
        <v>1.3383432831987199E-2</v>
      </c>
      <c r="J22" s="126">
        <f>'Railway (Catenary)'!G$85</f>
        <v>1.3360705576743355E-2</v>
      </c>
      <c r="K22" s="126">
        <f>'Railway (Catenary)'!H$85</f>
        <v>1.3329536560192739E-2</v>
      </c>
      <c r="L22" s="126">
        <f>'Railway (Catenary)'!I$85</f>
        <v>1.3287626812710757E-2</v>
      </c>
      <c r="M22" s="126">
        <f>'Railway (Catenary)'!J$85</f>
        <v>1.3232799142397557E-2</v>
      </c>
      <c r="N22" s="126">
        <f>'Railway (Catenary)'!K$85</f>
        <v>1.31636691579967E-2</v>
      </c>
      <c r="O22" s="126">
        <f>'Railway (Catenary)'!L$85</f>
        <v>1.3080560302271857E-2</v>
      </c>
      <c r="P22" s="126">
        <f>'Railway (Catenary)'!M$85</f>
        <v>1.2986311373201933E-2</v>
      </c>
      <c r="Q22" s="126">
        <f>'Railway (Catenary)'!N$85</f>
        <v>1.2886366347040891E-2</v>
      </c>
      <c r="R22" s="126">
        <f>'Railway (Catenary)'!O$85</f>
        <v>1.2787706995525432E-2</v>
      </c>
      <c r="S22" s="126">
        <f>'Railway (Catenary)'!P$85</f>
        <v>1.2696944786244516E-2</v>
      </c>
      <c r="T22" s="126">
        <f>'Railway (Catenary)'!Q$85</f>
        <v>1.2618608965582529E-2</v>
      </c>
      <c r="U22" s="126">
        <f>'Railway (Catenary)'!R$85</f>
        <v>1.2554517974733089E-2</v>
      </c>
      <c r="V22" s="126">
        <f>'Railway (Catenary)'!S$85</f>
        <v>1.2504251684656588E-2</v>
      </c>
      <c r="W22" s="126">
        <f>'Railway (Catenary)'!T$85</f>
        <v>1.2466096989458931E-2</v>
      </c>
      <c r="X22" s="126">
        <f>'Railway (Catenary)'!U$85</f>
        <v>1.2437876084658454E-2</v>
      </c>
      <c r="Y22" s="126">
        <f>'Railway (Catenary)'!V$85</f>
        <v>1.2417444062803139E-2</v>
      </c>
      <c r="Z22" s="126">
        <f>'Railway (Catenary)'!W$85</f>
        <v>1.240291528060964E-2</v>
      </c>
      <c r="AA22" s="126">
        <f>'Railway (Catenary)'!X$85</f>
        <v>1.2392737677124913E-2</v>
      </c>
      <c r="AB22" s="126">
        <f>'Railway (Catenary)'!Y$85</f>
        <v>1.2385693209392049E-2</v>
      </c>
      <c r="AC22" s="126">
        <f>'Railway (Catenary)'!Z$85</f>
        <v>1.2380862195961179E-2</v>
      </c>
      <c r="AD22" s="126">
        <f>'Railway (Catenary)'!AA$85</f>
        <v>1.2377571773451076E-2</v>
      </c>
      <c r="AE22" s="126">
        <f>'Railway (Catenary)'!AB$85</f>
        <v>1.2375341692176703E-2</v>
      </c>
      <c r="AF22" s="126">
        <f>'Railway (Catenary)'!AC$85</f>
        <v>1.2373835507405413E-2</v>
      </c>
    </row>
    <row r="23" spans="1:32" x14ac:dyDescent="0.25">
      <c r="A23">
        <v>22</v>
      </c>
      <c r="B23" t="s">
        <v>227</v>
      </c>
      <c r="C23" t="s">
        <v>136</v>
      </c>
      <c r="D23" t="s">
        <v>223</v>
      </c>
      <c r="E23" s="126">
        <f>'Railway (Catenary)'!B$191</f>
        <v>2.0307945146252789E-2</v>
      </c>
      <c r="F23" s="126">
        <f>'Railway (Catenary)'!C$191</f>
        <v>2.0299247598676538E-2</v>
      </c>
      <c r="G23" s="126">
        <f>'Railway (Catenary)'!D$191</f>
        <v>2.0286897482092271E-2</v>
      </c>
      <c r="H23" s="126">
        <f>'Railway (Catenary)'!E$191</f>
        <v>2.0269439990511048E-2</v>
      </c>
      <c r="I23" s="126">
        <f>'Railway (Catenary)'!F$191</f>
        <v>2.0244926225452684E-2</v>
      </c>
      <c r="J23" s="126">
        <f>'Railway (Catenary)'!G$191</f>
        <v>2.0210835342586914E-2</v>
      </c>
      <c r="K23" s="126">
        <f>'Railway (Catenary)'!H$191</f>
        <v>2.0164081817760991E-2</v>
      </c>
      <c r="L23" s="126">
        <f>'Railway (Catenary)'!I$191</f>
        <v>2.0101217196538013E-2</v>
      </c>
      <c r="M23" s="126">
        <f>'Railway (Catenary)'!J$191</f>
        <v>2.0018975691068221E-2</v>
      </c>
      <c r="N23" s="126">
        <f>'Railway (Catenary)'!K$191</f>
        <v>1.9915280714466934E-2</v>
      </c>
      <c r="O23" s="126">
        <f>'Railway (Catenary)'!L$191</f>
        <v>1.9790617430879665E-2</v>
      </c>
      <c r="P23" s="126">
        <f>'Railway (Catenary)'!M$191</f>
        <v>1.9649244037274784E-2</v>
      </c>
      <c r="Q23" s="126">
        <f>'Railway (Catenary)'!N$191</f>
        <v>1.949932649803322E-2</v>
      </c>
      <c r="R23" s="126">
        <f>'Railway (Catenary)'!O$191</f>
        <v>1.9351337470760031E-2</v>
      </c>
      <c r="S23" s="126">
        <f>'Railway (Catenary)'!P$191</f>
        <v>1.9215194156838651E-2</v>
      </c>
      <c r="T23" s="126">
        <f>'Railway (Catenary)'!Q$191</f>
        <v>1.9097690425845675E-2</v>
      </c>
      <c r="U23" s="126">
        <f>'Railway (Catenary)'!R$191</f>
        <v>1.9001553939571519E-2</v>
      </c>
      <c r="V23" s="126">
        <f>'Railway (Catenary)'!S$191</f>
        <v>1.8926154504456762E-2</v>
      </c>
      <c r="W23" s="126">
        <f>'Railway (Catenary)'!T$191</f>
        <v>1.8868922461660276E-2</v>
      </c>
      <c r="X23" s="126">
        <f>'Railway (Catenary)'!U$191</f>
        <v>1.8826591104459563E-2</v>
      </c>
      <c r="Y23" s="126">
        <f>'Railway (Catenary)'!V$191</f>
        <v>1.8795943071676591E-2</v>
      </c>
      <c r="Z23" s="126">
        <f>'Railway (Catenary)'!W$191</f>
        <v>1.8774149898386341E-2</v>
      </c>
      <c r="AA23" s="126">
        <f>'Railway (Catenary)'!X$191</f>
        <v>1.8758883493159254E-2</v>
      </c>
      <c r="AB23" s="126">
        <f>'Railway (Catenary)'!Y$191</f>
        <v>1.8748316791559951E-2</v>
      </c>
      <c r="AC23" s="126">
        <f>'Railway (Catenary)'!Z$191</f>
        <v>1.8741070271413647E-2</v>
      </c>
      <c r="AD23" s="126">
        <f>'Railway (Catenary)'!AA$191</f>
        <v>1.8736134637648495E-2</v>
      </c>
      <c r="AE23" s="126">
        <f>'Railway (Catenary)'!AB$191</f>
        <v>1.8732789515736935E-2</v>
      </c>
      <c r="AF23" s="126">
        <f>'Railway (Catenary)'!AC$191</f>
        <v>1.8730530238579998E-2</v>
      </c>
    </row>
    <row r="24" spans="1:32" x14ac:dyDescent="0.25">
      <c r="A24">
        <v>23</v>
      </c>
      <c r="B24" t="s">
        <v>227</v>
      </c>
      <c r="C24" t="s">
        <v>136</v>
      </c>
      <c r="D24" t="s">
        <v>224</v>
      </c>
      <c r="E24" s="126">
        <f>'Railway (Catenary)'!B$299</f>
        <v>1.904821072618753E-2</v>
      </c>
      <c r="F24" s="126">
        <f>'Railway (Catenary)'!C$299</f>
        <v>1.9039513178611283E-2</v>
      </c>
      <c r="G24" s="126">
        <f>'Railway (Catenary)'!D$299</f>
        <v>1.9027163062027008E-2</v>
      </c>
      <c r="H24" s="126">
        <f>'Railway (Catenary)'!E$299</f>
        <v>1.9009705570445793E-2</v>
      </c>
      <c r="I24" s="126">
        <f>'Railway (Catenary)'!F$299</f>
        <v>1.8985191805387422E-2</v>
      </c>
      <c r="J24" s="126">
        <f>'Railway (Catenary)'!G$299</f>
        <v>1.8951100922521655E-2</v>
      </c>
      <c r="K24" s="126">
        <f>'Railway (Catenary)'!H$299</f>
        <v>1.8904347397695732E-2</v>
      </c>
      <c r="L24" s="126">
        <f>'Railway (Catenary)'!I$299</f>
        <v>1.8841482776472757E-2</v>
      </c>
      <c r="M24" s="126">
        <f>'Railway (Catenary)'!J$299</f>
        <v>1.8759241271002959E-2</v>
      </c>
      <c r="N24" s="126">
        <f>'Railway (Catenary)'!K$299</f>
        <v>1.8655546294401672E-2</v>
      </c>
      <c r="O24" s="126">
        <f>'Railway (Catenary)'!L$299</f>
        <v>1.8530883010814403E-2</v>
      </c>
      <c r="P24" s="126">
        <f>'Railway (Catenary)'!M$299</f>
        <v>1.8389509617209521E-2</v>
      </c>
      <c r="Q24" s="126">
        <f>'Railway (Catenary)'!N$299</f>
        <v>1.8239592077967957E-2</v>
      </c>
      <c r="R24" s="126">
        <f>'Railway (Catenary)'!O$299</f>
        <v>1.8091603050694773E-2</v>
      </c>
      <c r="S24" s="126">
        <f>'Railway (Catenary)'!P$299</f>
        <v>1.7955459736773396E-2</v>
      </c>
      <c r="T24" s="126">
        <f>'Railway (Catenary)'!Q$299</f>
        <v>1.7837956005780413E-2</v>
      </c>
      <c r="U24" s="126">
        <f>'Railway (Catenary)'!R$299</f>
        <v>1.7741819519506256E-2</v>
      </c>
      <c r="V24" s="126">
        <f>'Railway (Catenary)'!S$299</f>
        <v>1.7666420084391503E-2</v>
      </c>
      <c r="W24" s="126">
        <f>'Railway (Catenary)'!T$299</f>
        <v>1.7609188041595017E-2</v>
      </c>
      <c r="X24" s="126">
        <f>'Railway (Catenary)'!U$299</f>
        <v>1.7566856684394307E-2</v>
      </c>
      <c r="Y24" s="126">
        <f>'Railway (Catenary)'!V$299</f>
        <v>1.7536208651611332E-2</v>
      </c>
      <c r="Z24" s="126">
        <f>'Railway (Catenary)'!W$299</f>
        <v>1.7514415478321083E-2</v>
      </c>
      <c r="AA24" s="126">
        <f>'Railway (Catenary)'!X$299</f>
        <v>1.7499149073093995E-2</v>
      </c>
      <c r="AB24" s="126">
        <f>'Railway (Catenary)'!Y$299</f>
        <v>1.7488582371494692E-2</v>
      </c>
      <c r="AC24" s="126">
        <f>'Railway (Catenary)'!Z$299</f>
        <v>1.7481335851348392E-2</v>
      </c>
      <c r="AD24" s="126">
        <f>'Railway (Catenary)'!AA$299</f>
        <v>1.7476400217583232E-2</v>
      </c>
      <c r="AE24" s="126">
        <f>'Railway (Catenary)'!AB$299</f>
        <v>1.7473055095671677E-2</v>
      </c>
      <c r="AF24" s="126">
        <f>'Railway (Catenary)'!AC$299</f>
        <v>1.7470795818514739E-2</v>
      </c>
    </row>
    <row r="25" spans="1:32" x14ac:dyDescent="0.25">
      <c r="A25">
        <v>24</v>
      </c>
      <c r="B25" t="s">
        <v>227</v>
      </c>
      <c r="C25" t="s">
        <v>136</v>
      </c>
      <c r="D25" t="s">
        <v>225</v>
      </c>
      <c r="E25" s="126">
        <f>'Railway (Catenary)'!B$408</f>
        <v>1.7830390020935068E-2</v>
      </c>
      <c r="F25" s="126">
        <f>'Railway (Catenary)'!C$408</f>
        <v>1.7825235918667658E-2</v>
      </c>
      <c r="G25" s="126">
        <f>'Railway (Catenary)'!D$408</f>
        <v>1.7817917331062166E-2</v>
      </c>
      <c r="H25" s="126">
        <f>'Railway (Catenary)'!E$408</f>
        <v>1.7807572150865886E-2</v>
      </c>
      <c r="I25" s="126">
        <f>'Railway (Catenary)'!F$408</f>
        <v>1.7793045475275743E-2</v>
      </c>
      <c r="J25" s="126">
        <f>'Railway (Catenary)'!G$408</f>
        <v>1.7772843470614547E-2</v>
      </c>
      <c r="K25" s="126">
        <f>'Railway (Catenary)'!H$408</f>
        <v>1.7745137678125109E-2</v>
      </c>
      <c r="L25" s="126">
        <f>'Railway (Catenary)'!I$408</f>
        <v>1.7707884569252236E-2</v>
      </c>
      <c r="M25" s="126">
        <f>'Railway (Catenary)'!J$408</f>
        <v>1.7659148862307173E-2</v>
      </c>
      <c r="N25" s="126">
        <f>'Railway (Catenary)'!K$408</f>
        <v>1.759769998728419E-2</v>
      </c>
      <c r="O25" s="126">
        <f>'Railway (Catenary)'!L$408</f>
        <v>1.7523825448862104E-2</v>
      </c>
      <c r="P25" s="126">
        <f>'Railway (Catenary)'!M$408</f>
        <v>1.7440048623022172E-2</v>
      </c>
      <c r="Q25" s="126">
        <f>'Railway (Catenary)'!N$408</f>
        <v>1.7351208599767912E-2</v>
      </c>
      <c r="R25" s="126">
        <f>'Railway (Catenary)'!O$408</f>
        <v>1.726351139842084E-2</v>
      </c>
      <c r="S25" s="126">
        <f>'Railway (Catenary)'!P$408</f>
        <v>1.7182833879060021E-2</v>
      </c>
      <c r="T25" s="126">
        <f>'Railway (Catenary)'!Q$408</f>
        <v>1.7113202038471588E-2</v>
      </c>
      <c r="U25" s="126">
        <f>'Railway (Catenary)'!R$408</f>
        <v>1.7056232268827642E-2</v>
      </c>
      <c r="V25" s="126">
        <f>'Railway (Catenary)'!S$408</f>
        <v>1.7011551122092974E-2</v>
      </c>
      <c r="W25" s="126">
        <f>'Railway (Catenary)'!T$408</f>
        <v>1.6977635837472832E-2</v>
      </c>
      <c r="X25" s="126">
        <f>'Railway (Catenary)'!U$408</f>
        <v>1.69525505887613E-2</v>
      </c>
      <c r="Y25" s="126">
        <f>'Railway (Catenary)'!V$408</f>
        <v>1.6934388791556575E-2</v>
      </c>
      <c r="Z25" s="126">
        <f>'Railway (Catenary)'!W$408</f>
        <v>1.692147431849569E-2</v>
      </c>
      <c r="AA25" s="126">
        <f>'Railway (Catenary)'!X$408</f>
        <v>1.6912427559842604E-2</v>
      </c>
      <c r="AB25" s="126">
        <f>'Railway (Catenary)'!Y$408</f>
        <v>1.6906165810746714E-2</v>
      </c>
      <c r="AC25" s="126">
        <f>'Railway (Catenary)'!Z$408</f>
        <v>1.6901871576585945E-2</v>
      </c>
      <c r="AD25" s="126">
        <f>'Railway (Catenary)'!AA$408</f>
        <v>1.6898946756576962E-2</v>
      </c>
      <c r="AE25" s="126">
        <f>'Railway (Catenary)'!AB$408</f>
        <v>1.6896964462110857E-2</v>
      </c>
      <c r="AF25" s="126">
        <f>'Railway (Catenary)'!AC$408</f>
        <v>1.6895625631203039E-2</v>
      </c>
    </row>
    <row r="26" spans="1:32" x14ac:dyDescent="0.25">
      <c r="A26">
        <v>25</v>
      </c>
      <c r="B26" t="s">
        <v>227</v>
      </c>
      <c r="C26" t="s">
        <v>136</v>
      </c>
      <c r="D26" t="s">
        <v>226</v>
      </c>
      <c r="E26" s="126">
        <f>'Railway (Catenary)'!B$513</f>
        <v>1.9888763450862466E-2</v>
      </c>
      <c r="F26" s="126">
        <f>'Railway (Catenary)'!C$513</f>
        <v>1.9880065903286219E-2</v>
      </c>
      <c r="G26" s="126">
        <f>'Railway (Catenary)'!D$513</f>
        <v>1.9867715786701944E-2</v>
      </c>
      <c r="H26" s="126">
        <f>'Railway (Catenary)'!E$513</f>
        <v>1.9850258295120729E-2</v>
      </c>
      <c r="I26" s="126">
        <f>'Railway (Catenary)'!F$513</f>
        <v>1.9825744530062361E-2</v>
      </c>
      <c r="J26" s="126">
        <f>'Railway (Catenary)'!G$513</f>
        <v>1.9791653647196594E-2</v>
      </c>
      <c r="K26" s="126">
        <f>'Railway (Catenary)'!H$513</f>
        <v>1.9744900122370665E-2</v>
      </c>
      <c r="L26" s="126">
        <f>'Railway (Catenary)'!I$513</f>
        <v>1.9682035501147693E-2</v>
      </c>
      <c r="M26" s="126">
        <f>'Railway (Catenary)'!J$513</f>
        <v>1.9599793995677892E-2</v>
      </c>
      <c r="N26" s="126">
        <f>'Railway (Catenary)'!K$513</f>
        <v>1.9496099019076608E-2</v>
      </c>
      <c r="O26" s="126">
        <f>'Railway (Catenary)'!L$513</f>
        <v>1.9371435735489342E-2</v>
      </c>
      <c r="P26" s="126">
        <f>'Railway (Catenary)'!M$513</f>
        <v>1.9230062341884457E-2</v>
      </c>
      <c r="Q26" s="126">
        <f>'Railway (Catenary)'!N$513</f>
        <v>1.9080144802642893E-2</v>
      </c>
      <c r="R26" s="126">
        <f>'Railway (Catenary)'!O$513</f>
        <v>1.8932155775369712E-2</v>
      </c>
      <c r="S26" s="126">
        <f>'Railway (Catenary)'!P$513</f>
        <v>1.8796012461448332E-2</v>
      </c>
      <c r="T26" s="126">
        <f>'Railway (Catenary)'!Q$513</f>
        <v>1.8678508730455352E-2</v>
      </c>
      <c r="U26" s="126">
        <f>'Railway (Catenary)'!R$513</f>
        <v>1.8582372244181192E-2</v>
      </c>
      <c r="V26" s="126">
        <f>'Railway (Catenary)'!S$513</f>
        <v>1.8506972809066442E-2</v>
      </c>
      <c r="W26" s="126">
        <f>'Railway (Catenary)'!T$513</f>
        <v>1.8449740766269956E-2</v>
      </c>
      <c r="X26" s="126">
        <f>'Railway (Catenary)'!U$513</f>
        <v>1.840740940906924E-2</v>
      </c>
      <c r="Y26" s="126">
        <f>'Railway (Catenary)'!V$513</f>
        <v>1.8376761376286268E-2</v>
      </c>
      <c r="Z26" s="126">
        <f>'Railway (Catenary)'!W$513</f>
        <v>1.8354968202996022E-2</v>
      </c>
      <c r="AA26" s="126">
        <f>'Railway (Catenary)'!X$513</f>
        <v>1.8339701797768931E-2</v>
      </c>
      <c r="AB26" s="126">
        <f>'Railway (Catenary)'!Y$513</f>
        <v>1.8329135096169631E-2</v>
      </c>
      <c r="AC26" s="126">
        <f>'Railway (Catenary)'!Z$513</f>
        <v>1.8321888576023331E-2</v>
      </c>
      <c r="AD26" s="126">
        <f>'Railway (Catenary)'!AA$513</f>
        <v>1.8316952942258175E-2</v>
      </c>
      <c r="AE26" s="126">
        <f>'Railway (Catenary)'!AB$513</f>
        <v>1.8313607820346616E-2</v>
      </c>
      <c r="AF26" s="126">
        <f>'Railway (Catenary)'!AC$513</f>
        <v>1.8311348543189675E-2</v>
      </c>
    </row>
    <row r="27" spans="1:32" x14ac:dyDescent="0.25">
      <c r="A27">
        <v>26</v>
      </c>
      <c r="B27" t="s">
        <v>227</v>
      </c>
      <c r="C27" t="s">
        <v>87</v>
      </c>
      <c r="D27" t="s">
        <v>222</v>
      </c>
      <c r="E27" s="126">
        <f>'Railway (Battery)'!B$85</f>
        <v>1.8319967731408395E-2</v>
      </c>
      <c r="F27" s="126">
        <f>'Railway (Battery)'!C$85</f>
        <v>1.8293138756048918E-2</v>
      </c>
      <c r="G27" s="126">
        <f>'Railway (Battery)'!D$85</f>
        <v>1.825505125393035E-2</v>
      </c>
      <c r="H27" s="126">
        <f>'Railway (Battery)'!E$85</f>
        <v>1.8201229757168157E-2</v>
      </c>
      <c r="I27" s="126">
        <f>'Railway (Battery)'!F$85</f>
        <v>1.81256879529486E-2</v>
      </c>
      <c r="J27" s="126">
        <f>'Railway (Battery)'!G$85</f>
        <v>1.8020700861385196E-2</v>
      </c>
      <c r="K27" s="126">
        <f>'Railway (Battery)'!H$85</f>
        <v>1.7876848523471139E-2</v>
      </c>
      <c r="L27" s="126">
        <f>'Railway (Battery)'!I$85</f>
        <v>1.7683671276658191E-2</v>
      </c>
      <c r="M27" s="126">
        <f>'Railway (Battery)'!J$85</f>
        <v>1.7431395126986608E-2</v>
      </c>
      <c r="N27" s="126">
        <f>'Railway (Battery)'!K$85</f>
        <v>1.7114073004473193E-2</v>
      </c>
      <c r="O27" s="126">
        <f>'Railway (Battery)'!L$85</f>
        <v>1.6733813975592891E-2</v>
      </c>
      <c r="P27" s="126">
        <f>'Railway (Battery)'!M$85</f>
        <v>1.630443136417466E-2</v>
      </c>
      <c r="Q27" s="126">
        <f>'Railway (Battery)'!N$85</f>
        <v>1.5851681028795059E-2</v>
      </c>
      <c r="R27" s="126">
        <f>'Railway (Battery)'!O$85</f>
        <v>1.5408127422556534E-2</v>
      </c>
      <c r="S27" s="126">
        <f>'Railway (Battery)'!P$85</f>
        <v>1.5004203661474596E-2</v>
      </c>
      <c r="T27" s="126">
        <f>'Railway (Battery)'!Q$85</f>
        <v>1.466028789134597E-2</v>
      </c>
      <c r="U27" s="126">
        <f>'Railway (Battery)'!R$85</f>
        <v>1.438384506847671E-2</v>
      </c>
      <c r="V27" s="126">
        <f>'Railway (Battery)'!S$85</f>
        <v>1.4171701495362761E-2</v>
      </c>
      <c r="W27" s="126">
        <f>'Railway (Battery)'!T$85</f>
        <v>1.4014607036203641E-2</v>
      </c>
      <c r="X27" s="126">
        <f>'Railway (Battery)'!U$85</f>
        <v>1.390135034331752E-2</v>
      </c>
      <c r="Y27" s="126">
        <f>'Railway (Battery)'!V$85</f>
        <v>1.3821309379120404E-2</v>
      </c>
      <c r="Z27" s="126">
        <f>'Railway (Battery)'!W$85</f>
        <v>1.3765574749312044E-2</v>
      </c>
      <c r="AA27" s="126">
        <f>'Railway (Battery)'!X$85</f>
        <v>1.3727189002480279E-2</v>
      </c>
      <c r="AB27" s="126">
        <f>'Railway (Battery)'!Y$85</f>
        <v>1.3700963759131763E-2</v>
      </c>
      <c r="AC27" s="126">
        <f>'Railway (Battery)'!Z$85</f>
        <v>1.3683150396998753E-2</v>
      </c>
      <c r="AD27" s="126">
        <f>'Railway (Battery)'!AA$85</f>
        <v>1.3671100571885043E-2</v>
      </c>
      <c r="AE27" s="126">
        <f>'Railway (Battery)'!AB$85</f>
        <v>1.3662972971818111E-2</v>
      </c>
      <c r="AF27" s="126">
        <f>'Railway (Battery)'!AC$85</f>
        <v>1.36575018337667E-2</v>
      </c>
    </row>
    <row r="28" spans="1:32" x14ac:dyDescent="0.25">
      <c r="A28">
        <v>27</v>
      </c>
      <c r="B28" t="s">
        <v>227</v>
      </c>
      <c r="C28" t="s">
        <v>87</v>
      </c>
      <c r="D28" t="s">
        <v>223</v>
      </c>
      <c r="E28" s="126">
        <f>'Railway (Battery)'!B$191</f>
        <v>2.744063606332638E-2</v>
      </c>
      <c r="F28" s="126">
        <f>'Railway (Battery)'!C$191</f>
        <v>2.7401302654607329E-2</v>
      </c>
      <c r="G28" s="126">
        <f>'Railway (Battery)'!D$191</f>
        <v>2.7345460352698088E-2</v>
      </c>
      <c r="H28" s="126">
        <f>'Railway (Battery)'!E$191</f>
        <v>2.7266543524339468E-2</v>
      </c>
      <c r="I28" s="126">
        <f>'Railway (Battery)'!F$191</f>
        <v>2.7155767005326771E-2</v>
      </c>
      <c r="J28" s="126">
        <f>'Railway (Battery)'!G$191</f>
        <v>2.7001788109189413E-2</v>
      </c>
      <c r="K28" s="126">
        <f>'Railway (Battery)'!H$191</f>
        <v>2.6790764140396949E-2</v>
      </c>
      <c r="L28" s="126">
        <f>'Railway (Battery)'!I$191</f>
        <v>2.6507303838397053E-2</v>
      </c>
      <c r="M28" s="126">
        <f>'Railway (Battery)'!J$191</f>
        <v>2.6136987285402046E-2</v>
      </c>
      <c r="N28" s="126">
        <f>'Railway (Battery)'!K$191</f>
        <v>2.5670968897871273E-2</v>
      </c>
      <c r="O28" s="126">
        <f>'Railway (Battery)'!L$191</f>
        <v>2.511219663009346E-2</v>
      </c>
      <c r="P28" s="126">
        <f>'Railway (Battery)'!M$191</f>
        <v>2.4480812016437991E-2</v>
      </c>
      <c r="Q28" s="126">
        <f>'Railway (Battery)'!N$191</f>
        <v>2.3814572042980521E-2</v>
      </c>
      <c r="R28" s="126">
        <f>'Railway (Battery)'!O$191</f>
        <v>2.3161368479902137E-2</v>
      </c>
      <c r="S28" s="126">
        <f>'Railway (Battery)'!P$191</f>
        <v>2.2566091413116576E-2</v>
      </c>
      <c r="T28" s="126">
        <f>'Railway (Battery)'!Q$191</f>
        <v>2.2058914887029532E-2</v>
      </c>
      <c r="U28" s="126">
        <f>'Railway (Battery)'!R$191</f>
        <v>2.1651008160032313E-2</v>
      </c>
      <c r="V28" s="126">
        <f>'Railway (Battery)'!S$191</f>
        <v>2.1337828324925777E-2</v>
      </c>
      <c r="W28" s="126">
        <f>'Railway (Battery)'!T$191</f>
        <v>2.1105824042914233E-2</v>
      </c>
      <c r="X28" s="126">
        <f>'Railway (Battery)'!U$191</f>
        <v>2.0938508113814928E-2</v>
      </c>
      <c r="Y28" s="126">
        <f>'Railway (Battery)'!V$191</f>
        <v>2.0820232538941833E-2</v>
      </c>
      <c r="Z28" s="126">
        <f>'Railway (Battery)'!W$191</f>
        <v>2.0737858169350917E-2</v>
      </c>
      <c r="AA28" s="126">
        <f>'Railway (Battery)'!X$191</f>
        <v>2.0681116768956887E-2</v>
      </c>
      <c r="AB28" s="126">
        <f>'Railway (Battery)'!Y$191</f>
        <v>2.0642346789265523E-2</v>
      </c>
      <c r="AC28" s="126">
        <f>'Railway (Battery)'!Z$191</f>
        <v>2.0616010490961515E-2</v>
      </c>
      <c r="AD28" s="126">
        <f>'Railway (Battery)'!AA$191</f>
        <v>2.0598194394887227E-2</v>
      </c>
      <c r="AE28" s="126">
        <f>'Railway (Battery)'!AB$191</f>
        <v>2.058617700912161E-2</v>
      </c>
      <c r="AF28" s="126">
        <f>'Railway (Battery)'!AC$191</f>
        <v>2.0578087238273764E-2</v>
      </c>
    </row>
    <row r="29" spans="1:32" x14ac:dyDescent="0.25">
      <c r="A29">
        <v>28</v>
      </c>
      <c r="B29" t="s">
        <v>227</v>
      </c>
      <c r="C29" t="s">
        <v>87</v>
      </c>
      <c r="D29" t="s">
        <v>224</v>
      </c>
      <c r="E29" s="126">
        <f>'Railway (Battery)'!B$299</f>
        <v>2.6160332527494345E-2</v>
      </c>
      <c r="F29" s="126">
        <f>'Railway (Battery)'!C$299</f>
        <v>2.6121059787580475E-2</v>
      </c>
      <c r="G29" s="126">
        <f>'Railway (Battery)'!D$299</f>
        <v>2.6065303604867869E-2</v>
      </c>
      <c r="H29" s="126">
        <f>'Railway (Battery)'!E$299</f>
        <v>2.5986508454086631E-2</v>
      </c>
      <c r="I29" s="126">
        <f>'Railway (Battery)'!F$299</f>
        <v>2.5875902682009518E-2</v>
      </c>
      <c r="J29" s="126">
        <f>'Railway (Battery)'!G$299</f>
        <v>2.5722161018959227E-2</v>
      </c>
      <c r="K29" s="126">
        <f>'Railway (Battery)'!H$299</f>
        <v>2.5511461972254755E-2</v>
      </c>
      <c r="L29" s="126">
        <f>'Railway (Battery)'!I$299</f>
        <v>2.5228437756884225E-2</v>
      </c>
      <c r="M29" s="126">
        <f>'Railway (Battery)'!J$299</f>
        <v>2.4858690263342816E-2</v>
      </c>
      <c r="N29" s="126">
        <f>'Railway (Battery)'!K$299</f>
        <v>2.4393386918808158E-2</v>
      </c>
      <c r="O29" s="126">
        <f>'Railway (Battery)'!L$299</f>
        <v>2.3835470349376206E-2</v>
      </c>
      <c r="P29" s="126">
        <f>'Railway (Battery)'!M$299</f>
        <v>2.3205050284614743E-2</v>
      </c>
      <c r="Q29" s="126">
        <f>'Railway (Battery)'!N$299</f>
        <v>2.253982508348671E-2</v>
      </c>
      <c r="R29" s="126">
        <f>'Railway (Battery)'!O$299</f>
        <v>2.1887612854496006E-2</v>
      </c>
      <c r="S29" s="126">
        <f>'Railway (Battery)'!P$299</f>
        <v>2.1293235247929965E-2</v>
      </c>
      <c r="T29" s="126">
        <f>'Railway (Battery)'!Q$299</f>
        <v>2.0786820919031813E-2</v>
      </c>
      <c r="U29" s="126">
        <f>'Railway (Battery)'!R$299</f>
        <v>2.0379523113160467E-2</v>
      </c>
      <c r="V29" s="126">
        <f>'Railway (Battery)'!S$299</f>
        <v>2.0066807039879869E-2</v>
      </c>
      <c r="W29" s="126">
        <f>'Railway (Battery)'!T$299</f>
        <v>1.9835143179837852E-2</v>
      </c>
      <c r="X29" s="126">
        <f>'Railway (Battery)'!U$299</f>
        <v>1.9668070398540429E-2</v>
      </c>
      <c r="Y29" s="126">
        <f>'Railway (Battery)'!V$299</f>
        <v>1.9549965110795701E-2</v>
      </c>
      <c r="Z29" s="126">
        <f>'Railway (Battery)'!W$299</f>
        <v>1.9467708360626841E-2</v>
      </c>
      <c r="AA29" s="126">
        <f>'Railway (Battery)'!X$299</f>
        <v>1.9411047425078518E-2</v>
      </c>
      <c r="AB29" s="126">
        <f>'Railway (Battery)'!Y$299</f>
        <v>1.9372332130975625E-2</v>
      </c>
      <c r="AC29" s="126">
        <f>'Railway (Battery)'!Z$299</f>
        <v>1.9346032831843586E-2</v>
      </c>
      <c r="AD29" s="126">
        <f>'Railway (Battery)'!AA$299</f>
        <v>1.9328241692733842E-2</v>
      </c>
      <c r="AE29" s="126">
        <f>'Railway (Battery)'!AB$299</f>
        <v>1.931624110664077E-2</v>
      </c>
      <c r="AF29" s="126">
        <f>'Railway (Battery)'!AC$299</f>
        <v>1.9308162628809186E-2</v>
      </c>
    </row>
    <row r="30" spans="1:32" x14ac:dyDescent="0.25">
      <c r="A30">
        <v>29</v>
      </c>
      <c r="B30" t="s">
        <v>227</v>
      </c>
      <c r="C30" t="s">
        <v>87</v>
      </c>
      <c r="D30" t="s">
        <v>225</v>
      </c>
      <c r="E30" s="126">
        <f>'Railway (Battery)'!B$408</f>
        <v>2.2384481947338539E-2</v>
      </c>
      <c r="F30" s="126">
        <f>'Railway (Battery)'!C$408</f>
        <v>2.235996883758444E-2</v>
      </c>
      <c r="G30" s="126">
        <f>'Railway (Battery)'!D$408</f>
        <v>2.2325169765037886E-2</v>
      </c>
      <c r="H30" s="126">
        <f>'Railway (Battery)'!E$408</f>
        <v>2.2275996619986787E-2</v>
      </c>
      <c r="I30" s="126">
        <f>'Railway (Battery)'!F$408</f>
        <v>2.2206981969086777E-2</v>
      </c>
      <c r="J30" s="126">
        <f>'Railway (Battery)'!G$408</f>
        <v>2.2111071878728617E-2</v>
      </c>
      <c r="K30" s="126">
        <f>'Railway (Battery)'!H$408</f>
        <v>2.1979667444466843E-2</v>
      </c>
      <c r="L30" s="126">
        <f>'Railway (Battery)'!I$408</f>
        <v>2.1803225798221974E-2</v>
      </c>
      <c r="M30" s="126">
        <f>'Railway (Battery)'!J$408</f>
        <v>2.1572838978373553E-2</v>
      </c>
      <c r="N30" s="126">
        <f>'Railway (Battery)'!K$408</f>
        <v>2.1283104758487E-2</v>
      </c>
      <c r="O30" s="126">
        <f>'Railway (Battery)'!L$408</f>
        <v>2.0935986439140471E-2</v>
      </c>
      <c r="P30" s="126">
        <f>'Railway (Battery)'!M$408</f>
        <v>2.0544133742843699E-2</v>
      </c>
      <c r="Q30" s="126">
        <f>'Railway (Battery)'!N$408</f>
        <v>2.0131082930390294E-2</v>
      </c>
      <c r="R30" s="126">
        <f>'Railway (Battery)'!O$408</f>
        <v>1.9726554416194125E-2</v>
      </c>
      <c r="S30" s="126">
        <f>'Railway (Battery)'!P$408</f>
        <v>1.9358290813782923E-2</v>
      </c>
      <c r="T30" s="126">
        <f>'Railway (Battery)'!Q$408</f>
        <v>1.9044839717701011E-2</v>
      </c>
      <c r="U30" s="126">
        <f>'Railway (Battery)'!R$408</f>
        <v>1.879296508396687E-2</v>
      </c>
      <c r="V30" s="126">
        <f>'Railway (Battery)'!S$408</f>
        <v>1.8599735553747165E-2</v>
      </c>
      <c r="W30" s="126">
        <f>'Railway (Battery)'!T$408</f>
        <v>1.8456690333796572E-2</v>
      </c>
      <c r="X30" s="126">
        <f>'Railway (Battery)'!U$408</f>
        <v>1.8353591609309289E-2</v>
      </c>
      <c r="Y30" s="126">
        <f>'Railway (Battery)'!V$408</f>
        <v>1.8280747950247759E-2</v>
      </c>
      <c r="Z30" s="126">
        <f>'Railway (Battery)'!W$408</f>
        <v>1.823003583731881E-2</v>
      </c>
      <c r="AA30" s="126">
        <f>'Railway (Battery)'!X$408</f>
        <v>1.8195115185293226E-2</v>
      </c>
      <c r="AB30" s="126">
        <f>'Railway (Battery)'!Y$408</f>
        <v>1.8171260415157934E-2</v>
      </c>
      <c r="AC30" s="126">
        <f>'Railway (Battery)'!Z$408</f>
        <v>1.8155058738585975E-2</v>
      </c>
      <c r="AD30" s="126">
        <f>'Railway (Battery)'!AA$408</f>
        <v>1.8144099887691511E-2</v>
      </c>
      <c r="AE30" s="126">
        <f>'Railway (Battery)'!AB$408</f>
        <v>1.8136708504501216E-2</v>
      </c>
      <c r="AF30" s="126">
        <f>'Railway (Battery)'!AC$408</f>
        <v>1.8131733120181098E-2</v>
      </c>
    </row>
    <row r="31" spans="1:32" x14ac:dyDescent="0.25">
      <c r="A31">
        <v>30</v>
      </c>
      <c r="B31" t="s">
        <v>227</v>
      </c>
      <c r="C31" t="s">
        <v>87</v>
      </c>
      <c r="D31" t="s">
        <v>226</v>
      </c>
      <c r="E31" s="126">
        <f>'Railway (Battery)'!B$513</f>
        <v>2.6861569584288928E-2</v>
      </c>
      <c r="F31" s="126">
        <f>'Railway (Battery)'!C$513</f>
        <v>2.6822927398097395E-2</v>
      </c>
      <c r="G31" s="126">
        <f>'Railway (Battery)'!D$513</f>
        <v>2.6768064107705644E-2</v>
      </c>
      <c r="H31" s="126">
        <f>'Railway (Battery)'!E$513</f>
        <v>2.6690526167144249E-2</v>
      </c>
      <c r="I31" s="126">
        <f>'Railway (Battery)'!F$513</f>
        <v>2.6581676002533645E-2</v>
      </c>
      <c r="J31" s="126">
        <f>'Railway (Battery)'!G$513</f>
        <v>2.6430356870076964E-2</v>
      </c>
      <c r="K31" s="126">
        <f>'Railway (Battery)'!H$513</f>
        <v>2.6222944295597708E-2</v>
      </c>
      <c r="L31" s="126">
        <f>'Railway (Battery)'!I$513</f>
        <v>2.5944273652828982E-2</v>
      </c>
      <c r="M31" s="126">
        <f>'Railway (Battery)'!J$513</f>
        <v>2.5580108376830189E-2</v>
      </c>
      <c r="N31" s="126">
        <f>'Railway (Battery)'!K$513</f>
        <v>2.5121660348318704E-2</v>
      </c>
      <c r="O31" s="126">
        <f>'Railway (Battery)'!L$513</f>
        <v>2.4571714526114709E-2</v>
      </c>
      <c r="P31" s="126">
        <f>'Railway (Battery)'!M$513</f>
        <v>2.394997411206903E-2</v>
      </c>
      <c r="Q31" s="126">
        <f>'Railway (Battery)'!N$513</f>
        <v>2.3293530978793494E-2</v>
      </c>
      <c r="R31" s="126">
        <f>'Railway (Battery)'!O$513</f>
        <v>2.2649551670419186E-2</v>
      </c>
      <c r="S31" s="126">
        <f>'Railway (Battery)'!P$513</f>
        <v>2.2062348265536033E-2</v>
      </c>
      <c r="T31" s="126">
        <f>'Railway (Battery)'!Q$513</f>
        <v>2.1561794302309898E-2</v>
      </c>
      <c r="U31" s="126">
        <f>'Railway (Battery)'!R$513</f>
        <v>2.1159035758028102E-2</v>
      </c>
      <c r="V31" s="126">
        <f>'Railway (Battery)'!S$513</f>
        <v>2.0849693797129532E-2</v>
      </c>
      <c r="W31" s="126">
        <f>'Railway (Battery)'!T$513</f>
        <v>2.062046264321039E-2</v>
      </c>
      <c r="X31" s="126">
        <f>'Railway (Battery)'!U$513</f>
        <v>2.0455105780173278E-2</v>
      </c>
      <c r="Y31" s="126">
        <f>'Railway (Battery)'!V$513</f>
        <v>2.0338192183688784E-2</v>
      </c>
      <c r="Z31" s="126">
        <f>'Railway (Battery)'!W$513</f>
        <v>2.0256754077416974E-2</v>
      </c>
      <c r="AA31" s="126">
        <f>'Railway (Battery)'!X$513</f>
        <v>2.0200651241553048E-2</v>
      </c>
      <c r="AB31" s="126">
        <f>'Railway (Battery)'!Y$513</f>
        <v>2.0162314406738744E-2</v>
      </c>
      <c r="AC31" s="126">
        <f>'Railway (Battery)'!Z$513</f>
        <v>2.0136270805436136E-2</v>
      </c>
      <c r="AD31" s="126">
        <f>'Railway (Battery)'!AA$513</f>
        <v>2.0118651985796859E-2</v>
      </c>
      <c r="AE31" s="126">
        <f>'Railway (Battery)'!AB$513</f>
        <v>2.010676732792141E-2</v>
      </c>
      <c r="AF31" s="126">
        <f>'Railway (Battery)'!AC$513</f>
        <v>2.009876674914381E-2</v>
      </c>
    </row>
    <row r="32" spans="1:32" x14ac:dyDescent="0.25">
      <c r="A32">
        <v>31</v>
      </c>
      <c r="B32" t="s">
        <v>227</v>
      </c>
      <c r="C32" t="s">
        <v>103</v>
      </c>
      <c r="D32" t="s">
        <v>222</v>
      </c>
      <c r="E32" s="126">
        <f>'Railway (Hydrogen)'!B$85</f>
        <v>2.4077933552663213E-2</v>
      </c>
      <c r="F32" s="126">
        <f>'Railway (Hydrogen)'!C$85</f>
        <v>2.4011416125832262E-2</v>
      </c>
      <c r="G32" s="126">
        <f>'Railway (Hydrogen)'!D$85</f>
        <v>2.3917053962078924E-2</v>
      </c>
      <c r="H32" s="126">
        <f>'Railway (Hydrogen)'!E$85</f>
        <v>2.3783848172776175E-2</v>
      </c>
      <c r="I32" s="126">
        <f>'Railway (Hydrogen)'!F$85</f>
        <v>2.3597157525139727E-2</v>
      </c>
      <c r="J32" s="126">
        <f>'Railway (Hydrogen)'!G$85</f>
        <v>2.3338225268233374E-2</v>
      </c>
      <c r="K32" s="126">
        <f>'Railway (Hydrogen)'!H$85</f>
        <v>2.2984438172773462E-2</v>
      </c>
      <c r="L32" s="126">
        <f>'Railway (Hydrogen)'!I$85</f>
        <v>2.2511165199214971E-2</v>
      </c>
      <c r="M32" s="126">
        <f>'Railway (Hydrogen)'!J$85</f>
        <v>2.1896260250829563E-2</v>
      </c>
      <c r="N32" s="126">
        <f>'Railway (Hydrogen)'!K$85</f>
        <v>2.1127910242473937E-2</v>
      </c>
      <c r="O32" s="126">
        <f>'Railway (Hydrogen)'!L$85</f>
        <v>2.0214691942478102E-2</v>
      </c>
      <c r="P32" s="126">
        <f>'Railway (Hydrogen)'!M$85</f>
        <v>1.9193421283154901E-2</v>
      </c>
      <c r="Q32" s="126">
        <f>'Railway (Hydrogen)'!N$85</f>
        <v>1.8128041437829499E-2</v>
      </c>
      <c r="R32" s="126">
        <f>'Railway (Hydrogen)'!O$85</f>
        <v>1.709578541809692E-2</v>
      </c>
      <c r="S32" s="126">
        <f>'Railway (Hydrogen)'!P$85</f>
        <v>1.6165681899748454E-2</v>
      </c>
      <c r="T32" s="126">
        <f>'Railway (Hydrogen)'!Q$85</f>
        <v>1.538121354790439E-2</v>
      </c>
      <c r="U32" s="126">
        <f>'Railway (Hydrogen)'!R$85</f>
        <v>1.4755592285388069E-2</v>
      </c>
      <c r="V32" s="126">
        <f>'Railway (Hydrogen)'!S$85</f>
        <v>1.4278431198489821E-2</v>
      </c>
      <c r="W32" s="126">
        <f>'Railway (Hydrogen)'!T$85</f>
        <v>1.392669535695638E-2</v>
      </c>
      <c r="X32" s="126">
        <f>'Railway (Hydrogen)'!U$85</f>
        <v>1.367393131370173E-2</v>
      </c>
      <c r="Y32" s="126">
        <f>'Railway (Hydrogen)'!V$85</f>
        <v>1.3495693614148839E-2</v>
      </c>
      <c r="Z32" s="126">
        <f>'Railway (Hydrogen)'!W$85</f>
        <v>1.3371766935780538E-2</v>
      </c>
      <c r="AA32" s="126">
        <f>'Railway (Hydrogen)'!X$85</f>
        <v>1.3286500121487882E-2</v>
      </c>
      <c r="AB32" s="126">
        <f>'Railway (Hydrogen)'!Y$85</f>
        <v>1.322828364914767E-2</v>
      </c>
      <c r="AC32" s="126">
        <f>'Railway (Hydrogen)'!Z$85</f>
        <v>1.3188757456193878E-2</v>
      </c>
      <c r="AD32" s="126">
        <f>'Railway (Hydrogen)'!AA$85</f>
        <v>1.3162027641035553E-2</v>
      </c>
      <c r="AE32" s="126">
        <f>'Railway (Hydrogen)'!AB$85</f>
        <v>1.3144001807114034E-2</v>
      </c>
      <c r="AF32" s="126">
        <f>'Railway (Hydrogen)'!AC$85</f>
        <v>1.3131869146125583E-2</v>
      </c>
    </row>
    <row r="33" spans="1:32" x14ac:dyDescent="0.25">
      <c r="A33">
        <v>32</v>
      </c>
      <c r="B33" t="s">
        <v>227</v>
      </c>
      <c r="C33" t="s">
        <v>103</v>
      </c>
      <c r="D33" t="s">
        <v>223</v>
      </c>
      <c r="E33" s="126">
        <f>'Railway (Hydrogen)'!B$191</f>
        <v>3.6148978398956422E-2</v>
      </c>
      <c r="F33" s="126">
        <f>'Railway (Hydrogen)'!C$191</f>
        <v>3.604958481759904E-2</v>
      </c>
      <c r="G33" s="126">
        <f>'Railway (Hydrogen)'!D$191</f>
        <v>3.5908584273126487E-2</v>
      </c>
      <c r="H33" s="126">
        <f>'Railway (Hydrogen)'!E$191</f>
        <v>3.5709541690045421E-2</v>
      </c>
      <c r="I33" s="126">
        <f>'Railway (Hydrogen)'!F$191</f>
        <v>3.5430579424687865E-2</v>
      </c>
      <c r="J33" s="126">
        <f>'Railway (Hydrogen)'!G$191</f>
        <v>3.5043670225565038E-2</v>
      </c>
      <c r="K33" s="126">
        <f>'Railway (Hydrogen)'!H$191</f>
        <v>3.4515024303269248E-2</v>
      </c>
      <c r="L33" s="126">
        <f>'Railway (Hydrogen)'!I$191</f>
        <v>3.3807836757948392E-2</v>
      </c>
      <c r="M33" s="126">
        <f>'Railway (Hydrogen)'!J$191</f>
        <v>3.2889015812427862E-2</v>
      </c>
      <c r="N33" s="126">
        <f>'Railway (Hydrogen)'!K$191</f>
        <v>3.1740909779094155E-2</v>
      </c>
      <c r="O33" s="126">
        <f>'Railway (Hydrogen)'!L$191</f>
        <v>3.0376334483234103E-2</v>
      </c>
      <c r="P33" s="126">
        <f>'Railway (Hydrogen)'!M$191</f>
        <v>2.8850302085388465E-2</v>
      </c>
      <c r="Q33" s="126">
        <f>'Railway (Hydrogen)'!N$191</f>
        <v>2.7258359591852271E-2</v>
      </c>
      <c r="R33" s="126">
        <f>'Railway (Hydrogen)'!O$191</f>
        <v>2.5715912333035468E-2</v>
      </c>
      <c r="S33" s="126">
        <f>'Railway (Hydrogen)'!P$191</f>
        <v>2.4326106320895085E-2</v>
      </c>
      <c r="T33" s="126">
        <f>'Railway (Hydrogen)'!Q$191</f>
        <v>2.3153915473082078E-2</v>
      </c>
      <c r="U33" s="126">
        <f>'Railway (Hydrogen)'!R$191</f>
        <v>2.2219081688653483E-2</v>
      </c>
      <c r="V33" s="126">
        <f>'Railway (Hydrogen)'!S$191</f>
        <v>2.1506084334866275E-2</v>
      </c>
      <c r="W33" s="126">
        <f>'Railway (Hydrogen)'!T$191</f>
        <v>2.0980503496169475E-2</v>
      </c>
      <c r="X33" s="126">
        <f>'Railway (Hydrogen)'!U$191</f>
        <v>2.0602811142535545E-2</v>
      </c>
      <c r="Y33" s="126">
        <f>'Railway (Hydrogen)'!V$191</f>
        <v>2.0336479684217302E-2</v>
      </c>
      <c r="Z33" s="126">
        <f>'Railway (Hydrogen)'!W$191</f>
        <v>2.0151302400976092E-2</v>
      </c>
      <c r="AA33" s="126">
        <f>'Railway (Hydrogen)'!X$191</f>
        <v>2.0023892570992421E-2</v>
      </c>
      <c r="AB33" s="126">
        <f>'Railway (Hydrogen)'!Y$191</f>
        <v>1.9936902680439492E-2</v>
      </c>
      <c r="AC33" s="126">
        <f>'Railway (Hydrogen)'!Z$191</f>
        <v>1.9877840716345699E-2</v>
      </c>
      <c r="AD33" s="126">
        <f>'Railway (Hydrogen)'!AA$191</f>
        <v>1.9837899723673828E-2</v>
      </c>
      <c r="AE33" s="126">
        <f>'Railway (Hydrogen)'!AB$191</f>
        <v>1.9810964644014668E-2</v>
      </c>
      <c r="AF33" s="126">
        <f>'Railway (Hydrogen)'!AC$191</f>
        <v>1.979283543059664E-2</v>
      </c>
    </row>
    <row r="34" spans="1:32" x14ac:dyDescent="0.25">
      <c r="A34">
        <v>33</v>
      </c>
      <c r="B34" t="s">
        <v>227</v>
      </c>
      <c r="C34" t="s">
        <v>103</v>
      </c>
      <c r="D34" t="s">
        <v>224</v>
      </c>
      <c r="E34" s="126">
        <f>'Railway (Hydrogen)'!B$299</f>
        <v>3.4879076830223489E-2</v>
      </c>
      <c r="F34" s="126">
        <f>'Railway (Hydrogen)'!C$299</f>
        <v>3.47796832488661E-2</v>
      </c>
      <c r="G34" s="126">
        <f>'Railway (Hydrogen)'!D$299</f>
        <v>3.4638682704393554E-2</v>
      </c>
      <c r="H34" s="126">
        <f>'Railway (Hydrogen)'!E$299</f>
        <v>3.4439640121312474E-2</v>
      </c>
      <c r="I34" s="126">
        <f>'Railway (Hydrogen)'!F$299</f>
        <v>3.4160677855954925E-2</v>
      </c>
      <c r="J34" s="126">
        <f>'Railway (Hydrogen)'!G$299</f>
        <v>3.3773768656832098E-2</v>
      </c>
      <c r="K34" s="126">
        <f>'Railway (Hydrogen)'!H$299</f>
        <v>3.3245122734536316E-2</v>
      </c>
      <c r="L34" s="126">
        <f>'Railway (Hydrogen)'!I$299</f>
        <v>3.2537935189215446E-2</v>
      </c>
      <c r="M34" s="126">
        <f>'Railway (Hydrogen)'!J$299</f>
        <v>3.1619114243694922E-2</v>
      </c>
      <c r="N34" s="126">
        <f>'Railway (Hydrogen)'!K$299</f>
        <v>3.0471008210361219E-2</v>
      </c>
      <c r="O34" s="126">
        <f>'Railway (Hydrogen)'!L$299</f>
        <v>2.9106432914501157E-2</v>
      </c>
      <c r="P34" s="126">
        <f>'Railway (Hydrogen)'!M$299</f>
        <v>2.7580400516655525E-2</v>
      </c>
      <c r="Q34" s="126">
        <f>'Railway (Hydrogen)'!N$299</f>
        <v>2.5988458023119332E-2</v>
      </c>
      <c r="R34" s="126">
        <f>'Railway (Hydrogen)'!O$299</f>
        <v>2.4446010764302532E-2</v>
      </c>
      <c r="S34" s="126">
        <f>'Railway (Hydrogen)'!P$299</f>
        <v>2.3056204752162145E-2</v>
      </c>
      <c r="T34" s="126">
        <f>'Railway (Hydrogen)'!Q$299</f>
        <v>2.1884013904349135E-2</v>
      </c>
      <c r="U34" s="126">
        <f>'Railway (Hydrogen)'!R$299</f>
        <v>2.094918011992054E-2</v>
      </c>
      <c r="V34" s="126">
        <f>'Railway (Hydrogen)'!S$299</f>
        <v>2.0236182766133339E-2</v>
      </c>
      <c r="W34" s="126">
        <f>'Railway (Hydrogen)'!T$299</f>
        <v>1.9710601927436532E-2</v>
      </c>
      <c r="X34" s="126">
        <f>'Railway (Hydrogen)'!U$299</f>
        <v>1.9332909573802605E-2</v>
      </c>
      <c r="Y34" s="126">
        <f>'Railway (Hydrogen)'!V$299</f>
        <v>1.9066578115484355E-2</v>
      </c>
      <c r="Z34" s="126">
        <f>'Railway (Hydrogen)'!W$299</f>
        <v>1.8881400832243152E-2</v>
      </c>
      <c r="AA34" s="126">
        <f>'Railway (Hydrogen)'!X$299</f>
        <v>1.8753991002259482E-2</v>
      </c>
      <c r="AB34" s="126">
        <f>'Railway (Hydrogen)'!Y$299</f>
        <v>1.8667001111706553E-2</v>
      </c>
      <c r="AC34" s="126">
        <f>'Railway (Hydrogen)'!Z$299</f>
        <v>1.8607939147612759E-2</v>
      </c>
      <c r="AD34" s="126">
        <f>'Railway (Hydrogen)'!AA$299</f>
        <v>1.8567998154940885E-2</v>
      </c>
      <c r="AE34" s="126">
        <f>'Railway (Hydrogen)'!AB$299</f>
        <v>1.8541063075281729E-2</v>
      </c>
      <c r="AF34" s="126">
        <f>'Railway (Hydrogen)'!AC$299</f>
        <v>1.8522933861863697E-2</v>
      </c>
    </row>
    <row r="35" spans="1:32" x14ac:dyDescent="0.25">
      <c r="A35">
        <v>34</v>
      </c>
      <c r="B35" t="s">
        <v>227</v>
      </c>
      <c r="C35" t="s">
        <v>103</v>
      </c>
      <c r="D35" t="s">
        <v>225</v>
      </c>
      <c r="E35" s="126">
        <f>'Railway (Hydrogen)'!B$408</f>
        <v>2.7407442497810533E-2</v>
      </c>
      <c r="F35" s="126">
        <f>'Railway (Hydrogen)'!C$408</f>
        <v>2.7348230883096573E-2</v>
      </c>
      <c r="G35" s="126">
        <f>'Railway (Hydrogen)'!D$408</f>
        <v>2.7264232803947502E-2</v>
      </c>
      <c r="H35" s="126">
        <f>'Railway (Hydrogen)'!E$408</f>
        <v>2.7145657413262147E-2</v>
      </c>
      <c r="I35" s="126">
        <f>'Railway (Hydrogen)'!F$408</f>
        <v>2.6979471569563727E-2</v>
      </c>
      <c r="J35" s="126">
        <f>'Railway (Hydrogen)'!G$408</f>
        <v>2.6748978633149924E-2</v>
      </c>
      <c r="K35" s="126">
        <f>'Railway (Hydrogen)'!H$408</f>
        <v>2.6434049054764652E-2</v>
      </c>
      <c r="L35" s="126">
        <f>'Railway (Hydrogen)'!I$408</f>
        <v>2.6012757097153352E-2</v>
      </c>
      <c r="M35" s="126">
        <f>'Railway (Hydrogen)'!J$408</f>
        <v>2.5465389037020197E-2</v>
      </c>
      <c r="N35" s="126">
        <f>'Railway (Hydrogen)'!K$408</f>
        <v>2.4781429256437473E-2</v>
      </c>
      <c r="O35" s="126">
        <f>'Railway (Hydrogen)'!L$408</f>
        <v>2.3968512511078139E-2</v>
      </c>
      <c r="P35" s="126">
        <f>'Railway (Hydrogen)'!M$408</f>
        <v>2.3059411126982135E-2</v>
      </c>
      <c r="Q35" s="126">
        <f>'Railway (Hydrogen)'!N$408</f>
        <v>2.2111045203481356E-2</v>
      </c>
      <c r="R35" s="126">
        <f>'Railway (Hydrogen)'!O$408</f>
        <v>2.1192165014656379E-2</v>
      </c>
      <c r="S35" s="126">
        <f>'Railway (Hydrogen)'!P$408</f>
        <v>2.0364217606039455E-2</v>
      </c>
      <c r="T35" s="126">
        <f>'Railway (Hydrogen)'!Q$408</f>
        <v>1.9665909808855159E-2</v>
      </c>
      <c r="U35" s="126">
        <f>'Railway (Hydrogen)'!R$408</f>
        <v>1.9109002440097118E-2</v>
      </c>
      <c r="V35" s="126">
        <f>'Railway (Hydrogen)'!S$408</f>
        <v>1.8684249412507532E-2</v>
      </c>
      <c r="W35" s="126">
        <f>'Railway (Hydrogen)'!T$408</f>
        <v>1.8371145792565949E-2</v>
      </c>
      <c r="X35" s="126">
        <f>'Railway (Hydrogen)'!U$408</f>
        <v>1.8146143596062245E-2</v>
      </c>
      <c r="Y35" s="126">
        <f>'Railway (Hydrogen)'!V$408</f>
        <v>1.7987482287346108E-2</v>
      </c>
      <c r="Z35" s="126">
        <f>'Railway (Hydrogen)'!W$408</f>
        <v>1.7877166854505109E-2</v>
      </c>
      <c r="AA35" s="126">
        <f>'Railway (Hydrogen)'!X$408</f>
        <v>1.7801265154810467E-2</v>
      </c>
      <c r="AB35" s="126">
        <f>'Railway (Hydrogen)'!Y$408</f>
        <v>1.774944277540641E-2</v>
      </c>
      <c r="AC35" s="126">
        <f>'Railway (Hydrogen)'!Z$408</f>
        <v>1.7714257864928161E-2</v>
      </c>
      <c r="AD35" s="126">
        <f>'Railway (Hydrogen)'!AA$408</f>
        <v>1.7690463866995076E-2</v>
      </c>
      <c r="AE35" s="126">
        <f>'Railway (Hydrogen)'!AB$408</f>
        <v>1.7674417865459702E-2</v>
      </c>
      <c r="AF35" s="126">
        <f>'Railway (Hydrogen)'!AC$408</f>
        <v>1.7663617771677825E-2</v>
      </c>
    </row>
    <row r="36" spans="1:32" x14ac:dyDescent="0.25">
      <c r="A36">
        <v>35</v>
      </c>
      <c r="B36" t="s">
        <v>227</v>
      </c>
      <c r="C36" t="s">
        <v>103</v>
      </c>
      <c r="D36" t="s">
        <v>226</v>
      </c>
      <c r="E36" s="126">
        <f>'Railway (Hydrogen)'!B$513</f>
        <v>3.5626365244930909E-2</v>
      </c>
      <c r="F36" s="126">
        <f>'Railway (Hydrogen)'!C$513</f>
        <v>3.5527248880159769E-2</v>
      </c>
      <c r="G36" s="126">
        <f>'Railway (Hydrogen)'!D$513</f>
        <v>3.5386641597395532E-2</v>
      </c>
      <c r="H36" s="126">
        <f>'Railway (Hydrogen)'!E$513</f>
        <v>3.5188154159874641E-2</v>
      </c>
      <c r="I36" s="126">
        <f>'Railway (Hydrogen)'!F$513</f>
        <v>3.4909969942413563E-2</v>
      </c>
      <c r="J36" s="126">
        <f>'Railway (Hydrogen)'!G$513</f>
        <v>3.4524139863752107E-2</v>
      </c>
      <c r="K36" s="126">
        <f>'Railway (Hydrogen)'!H$513</f>
        <v>3.3996968376886823E-2</v>
      </c>
      <c r="L36" s="126">
        <f>'Railway (Hydrogen)'!I$513</f>
        <v>3.3291753233752101E-2</v>
      </c>
      <c r="M36" s="126">
        <f>'Railway (Hydrogen)'!J$513</f>
        <v>3.2375494952766044E-2</v>
      </c>
      <c r="N36" s="126">
        <f>'Railway (Hydrogen)'!K$513</f>
        <v>3.1230591078272734E-2</v>
      </c>
      <c r="O36" s="126">
        <f>'Railway (Hydrogen)'!L$513</f>
        <v>2.9869821691205209E-2</v>
      </c>
      <c r="P36" s="126">
        <f>'Railway (Hydrogen)'!M$513</f>
        <v>2.8348045518822744E-2</v>
      </c>
      <c r="Q36" s="126">
        <f>'Railway (Hydrogen)'!N$513</f>
        <v>2.6760543079237198E-2</v>
      </c>
      <c r="R36" s="126">
        <f>'Railway (Hydrogen)'!O$513</f>
        <v>2.52223978282335E-2</v>
      </c>
      <c r="S36" s="126">
        <f>'Railway (Hydrogen)'!P$513</f>
        <v>2.3836468095355647E-2</v>
      </c>
      <c r="T36" s="126">
        <f>'Railway (Hydrogen)'!Q$513</f>
        <v>2.2667546580841989E-2</v>
      </c>
      <c r="U36" s="126">
        <f>'Railway (Hydrogen)'!R$513</f>
        <v>2.1735320122026353E-2</v>
      </c>
      <c r="V36" s="126">
        <f>'Railway (Hydrogen)'!S$513</f>
        <v>2.1024311374442165E-2</v>
      </c>
      <c r="W36" s="126">
        <f>'Railway (Hydrogen)'!T$513</f>
        <v>2.0500196422414456E-2</v>
      </c>
      <c r="X36" s="126">
        <f>'Railway (Hydrogen)'!U$513</f>
        <v>2.0123557482728392E-2</v>
      </c>
      <c r="Y36" s="126">
        <f>'Railway (Hydrogen)'!V$513</f>
        <v>1.9857968843983401E-2</v>
      </c>
      <c r="Z36" s="126">
        <f>'Railway (Hydrogen)'!W$513</f>
        <v>1.9673308034880783E-2</v>
      </c>
      <c r="AA36" s="126">
        <f>'Railway (Hydrogen)'!X$513</f>
        <v>1.9546253561024143E-2</v>
      </c>
      <c r="AB36" s="126">
        <f>'Railway (Hydrogen)'!Y$513</f>
        <v>1.9459506292179463E-2</v>
      </c>
      <c r="AC36" s="126">
        <f>'Railway (Hydrogen)'!Z$513</f>
        <v>1.9400609056590679E-2</v>
      </c>
      <c r="AD36" s="126">
        <f>'Railway (Hydrogen)'!AA$513</f>
        <v>1.9360779462517071E-2</v>
      </c>
      <c r="AE36" s="126">
        <f>'Railway (Hydrogen)'!AB$513</f>
        <v>1.9333919506932654E-2</v>
      </c>
      <c r="AF36" s="126">
        <f>'Railway (Hydrogen)'!AC$513</f>
        <v>1.9315840857329569E-2</v>
      </c>
    </row>
    <row r="37" spans="1:32" x14ac:dyDescent="0.25">
      <c r="A37">
        <v>36</v>
      </c>
      <c r="B37" t="s">
        <v>168</v>
      </c>
      <c r="C37" t="s">
        <v>289</v>
      </c>
      <c r="D37" t="s">
        <v>222</v>
      </c>
      <c r="E37" s="126">
        <f>'Short-sea (MGO)'!B$85</f>
        <v>1.2536826875262043E-2</v>
      </c>
      <c r="F37" s="126">
        <f>'Short-sea (MGO)'!C$85</f>
        <v>1.2542210101082306E-2</v>
      </c>
      <c r="G37" s="126">
        <f>'Short-sea (MGO)'!D$85</f>
        <v>1.2549916068942325E-2</v>
      </c>
      <c r="H37" s="126">
        <f>'Short-sea (MGO)'!E$85</f>
        <v>1.2560939997873968E-2</v>
      </c>
      <c r="I37" s="126">
        <f>'Short-sea (MGO)'!F$85</f>
        <v>1.2576695624867976E-2</v>
      </c>
      <c r="J37" s="126">
        <f>'Short-sea (MGO)'!G$85</f>
        <v>1.2599182309520618E-2</v>
      </c>
      <c r="K37" s="126">
        <f>'Short-sea (MGO)'!H$85</f>
        <v>1.2631208865053581E-2</v>
      </c>
      <c r="L37" s="126">
        <f>'Short-sea (MGO)'!I$85</f>
        <v>1.2676681982846378E-2</v>
      </c>
      <c r="M37" s="126">
        <f>'Short-sea (MGO)'!J$85</f>
        <v>1.2740953865158874E-2</v>
      </c>
      <c r="N37" s="126">
        <f>'Short-sea (MGO)'!K$85</f>
        <v>1.283119042836481E-2</v>
      </c>
      <c r="O37" s="126">
        <f>'Short-sea (MGO)'!L$85</f>
        <v>1.2956652008107854E-2</v>
      </c>
      <c r="P37" s="126">
        <f>'Short-sea (MGO)'!M$85</f>
        <v>1.3128655140408532E-2</v>
      </c>
      <c r="Q37" s="126">
        <f>'Short-sea (MGO)'!N$85</f>
        <v>1.3359808919110133E-2</v>
      </c>
      <c r="R37" s="126">
        <f>'Short-sea (MGO)'!O$85</f>
        <v>1.3661971563499034E-2</v>
      </c>
      <c r="S37" s="126">
        <f>'Short-sea (MGO)'!P$85</f>
        <v>1.4042494341991143E-2</v>
      </c>
      <c r="T37" s="126">
        <f>'Short-sea (MGO)'!Q$85</f>
        <v>1.4499110753273606E-2</v>
      </c>
      <c r="U37" s="126">
        <f>'Short-sea (MGO)'!R$85</f>
        <v>1.501544056114212E-2</v>
      </c>
      <c r="V37" s="126">
        <f>'Short-sea (MGO)'!S$85</f>
        <v>1.5560527820861021E-2</v>
      </c>
      <c r="W37" s="126">
        <f>'Short-sea (MGO)'!T$85</f>
        <v>1.6094888782865774E-2</v>
      </c>
      <c r="X37" s="126">
        <f>'Short-sea (MGO)'!U$85</f>
        <v>1.6581328565626677E-2</v>
      </c>
      <c r="Y37" s="126">
        <f>'Short-sea (MGO)'!V$85</f>
        <v>1.6994733110616285E-2</v>
      </c>
      <c r="Z37" s="126">
        <f>'Short-sea (MGO)'!W$85</f>
        <v>1.7325796114593679E-2</v>
      </c>
      <c r="AA37" s="126">
        <f>'Short-sea (MGO)'!X$85</f>
        <v>1.7578411880253105E-2</v>
      </c>
      <c r="AB37" s="126">
        <f>'Short-sea (MGO)'!Y$85</f>
        <v>1.7764104727826472E-2</v>
      </c>
      <c r="AC37" s="126">
        <f>'Short-sea (MGO)'!Z$85</f>
        <v>1.7896872427485333E-2</v>
      </c>
      <c r="AD37" s="126">
        <f>'Short-sea (MGO)'!AA$85</f>
        <v>1.7989922977858713E-2</v>
      </c>
      <c r="AE37" s="126">
        <f>'Short-sea (MGO)'!AB$85</f>
        <v>1.8054226627500513E-2</v>
      </c>
      <c r="AF37" s="126">
        <f>'Short-sea (MGO)'!AC$85</f>
        <v>1.809823281932417E-2</v>
      </c>
    </row>
    <row r="38" spans="1:32" x14ac:dyDescent="0.25">
      <c r="A38">
        <v>37</v>
      </c>
      <c r="B38" t="s">
        <v>168</v>
      </c>
      <c r="C38" t="s">
        <v>289</v>
      </c>
      <c r="D38" t="s">
        <v>223</v>
      </c>
      <c r="E38" s="128"/>
      <c r="F38" s="128"/>
      <c r="G38" s="128"/>
      <c r="H38" s="128"/>
      <c r="I38" s="128"/>
      <c r="J38" s="128"/>
      <c r="K38" s="128"/>
      <c r="L38" s="128"/>
      <c r="M38" s="128"/>
      <c r="N38" s="128"/>
      <c r="O38" s="128"/>
      <c r="P38" s="128"/>
      <c r="Q38" s="128"/>
      <c r="R38" s="128"/>
      <c r="S38" s="128"/>
      <c r="T38" s="128"/>
      <c r="U38" s="128"/>
      <c r="V38" s="128"/>
      <c r="W38" s="128"/>
      <c r="X38" s="128"/>
      <c r="Y38" s="128"/>
      <c r="Z38" s="128"/>
      <c r="AA38" s="128"/>
      <c r="AB38" s="128"/>
      <c r="AC38" s="128"/>
      <c r="AD38" s="128"/>
      <c r="AE38" s="128"/>
      <c r="AF38" s="128"/>
    </row>
    <row r="39" spans="1:32" x14ac:dyDescent="0.25">
      <c r="A39">
        <v>38</v>
      </c>
      <c r="B39" t="s">
        <v>168</v>
      </c>
      <c r="C39" t="s">
        <v>289</v>
      </c>
      <c r="D39" t="s">
        <v>224</v>
      </c>
      <c r="E39" s="126">
        <f>'Short-sea (MGO)'!B$191</f>
        <v>1.5501616237282348E-2</v>
      </c>
      <c r="F39" s="126">
        <f>'Short-sea (MGO)'!C$191</f>
        <v>1.5508000993487776E-2</v>
      </c>
      <c r="G39" s="126">
        <f>'Short-sea (MGO)'!D$191</f>
        <v>1.5517140629786871E-2</v>
      </c>
      <c r="H39" s="126">
        <f>'Short-sea (MGO)'!E$191</f>
        <v>1.5530215522240678E-2</v>
      </c>
      <c r="I39" s="126">
        <f>'Short-sea (MGO)'!F$191</f>
        <v>1.5548902428675432E-2</v>
      </c>
      <c r="J39" s="126">
        <f>'Short-sea (MGO)'!G$191</f>
        <v>1.5575572682565774E-2</v>
      </c>
      <c r="K39" s="126">
        <f>'Short-sea (MGO)'!H$191</f>
        <v>1.5613557667035103E-2</v>
      </c>
      <c r="L39" s="126">
        <f>'Short-sea (MGO)'!I$191</f>
        <v>1.5667490899766098E-2</v>
      </c>
      <c r="M39" s="126">
        <f>'Short-sea (MGO)'!J$191</f>
        <v>1.5743720341578591E-2</v>
      </c>
      <c r="N39" s="126">
        <f>'Short-sea (MGO)'!K$191</f>
        <v>1.5850745102590283E-2</v>
      </c>
      <c r="O39" s="126">
        <f>'Short-sea (MGO)'!L$191</f>
        <v>1.5999548371587843E-2</v>
      </c>
      <c r="P39" s="126">
        <f>'Short-sea (MGO)'!M$191</f>
        <v>1.6203552086642141E-2</v>
      </c>
      <c r="Q39" s="126">
        <f>'Short-sea (MGO)'!N$191</f>
        <v>1.6477711219520783E-2</v>
      </c>
      <c r="R39" s="126">
        <f>'Short-sea (MGO)'!O$191</f>
        <v>1.6836090169842499E-2</v>
      </c>
      <c r="S39" s="126">
        <f>'Short-sea (MGO)'!P$191</f>
        <v>1.7287407883868025E-2</v>
      </c>
      <c r="T39" s="126">
        <f>'Short-sea (MGO)'!Q$191</f>
        <v>1.7828976185621646E-2</v>
      </c>
      <c r="U39" s="126">
        <f>'Short-sea (MGO)'!R$191</f>
        <v>1.8441367353093607E-2</v>
      </c>
      <c r="V39" s="126">
        <f>'Short-sea (MGO)'!S$191</f>
        <v>1.9087866196016021E-2</v>
      </c>
      <c r="W39" s="126">
        <f>'Short-sea (MGO)'!T$191</f>
        <v>1.9721643150951894E-2</v>
      </c>
      <c r="X39" s="126">
        <f>'Short-sea (MGO)'!U$191</f>
        <v>2.0298583358412496E-2</v>
      </c>
      <c r="Y39" s="126">
        <f>'Short-sea (MGO)'!V$191</f>
        <v>2.0788900376888547E-2</v>
      </c>
      <c r="Z39" s="126">
        <f>'Short-sea (MGO)'!W$191</f>
        <v>2.1181556497884987E-2</v>
      </c>
      <c r="AA39" s="126">
        <f>'Short-sea (MGO)'!X$191</f>
        <v>2.1481170545527561E-2</v>
      </c>
      <c r="AB39" s="126">
        <f>'Short-sea (MGO)'!Y$191</f>
        <v>2.1701410899626208E-2</v>
      </c>
      <c r="AC39" s="126">
        <f>'Short-sea (MGO)'!Z$191</f>
        <v>2.1858879566663457E-2</v>
      </c>
      <c r="AD39" s="126">
        <f>'Short-sea (MGO)'!AA$191</f>
        <v>2.1969241847338859E-2</v>
      </c>
      <c r="AE39" s="126">
        <f>'Short-sea (MGO)'!AB$191</f>
        <v>2.2045508966681466E-2</v>
      </c>
      <c r="AF39" s="126">
        <f>'Short-sea (MGO)'!AC$191</f>
        <v>2.2097702356983946E-2</v>
      </c>
    </row>
    <row r="40" spans="1:32" x14ac:dyDescent="0.25">
      <c r="A40">
        <v>39</v>
      </c>
      <c r="B40" t="s">
        <v>168</v>
      </c>
      <c r="C40" t="s">
        <v>289</v>
      </c>
      <c r="D40" t="s">
        <v>225</v>
      </c>
      <c r="E40" s="126">
        <f>'Short-sea (MGO)'!B$299</f>
        <v>1.639184244752475E-2</v>
      </c>
      <c r="F40" s="126">
        <f>'Short-sea (MGO)'!C$299</f>
        <v>1.639888205052048E-2</v>
      </c>
      <c r="G40" s="126">
        <f>'Short-sea (MGO)'!D$299</f>
        <v>1.640895908541435E-2</v>
      </c>
      <c r="H40" s="126">
        <f>'Short-sea (MGO)'!E$299</f>
        <v>1.6423374992478808E-2</v>
      </c>
      <c r="I40" s="126">
        <f>'Short-sea (MGO)'!F$299</f>
        <v>1.644397850470174E-2</v>
      </c>
      <c r="J40" s="126">
        <f>'Short-sea (MGO)'!G$299</f>
        <v>1.6473384169247502E-2</v>
      </c>
      <c r="K40" s="126">
        <f>'Short-sea (MGO)'!H$299</f>
        <v>1.6515265049559837E-2</v>
      </c>
      <c r="L40" s="126">
        <f>'Short-sea (MGO)'!I$299</f>
        <v>1.6574729895904267E-2</v>
      </c>
      <c r="M40" s="126">
        <f>'Short-sea (MGO)'!J$299</f>
        <v>1.6658777742005221E-2</v>
      </c>
      <c r="N40" s="126">
        <f>'Short-sea (MGO)'!K$299</f>
        <v>1.6776779401582214E-2</v>
      </c>
      <c r="O40" s="126">
        <f>'Short-sea (MGO)'!L$299</f>
        <v>1.6940844544323118E-2</v>
      </c>
      <c r="P40" s="126">
        <f>'Short-sea (MGO)'!M$299</f>
        <v>1.7165771717331697E-2</v>
      </c>
      <c r="Q40" s="126">
        <f>'Short-sea (MGO)'!N$299</f>
        <v>1.7468049735633793E-2</v>
      </c>
      <c r="R40" s="126">
        <f>'Short-sea (MGO)'!O$299</f>
        <v>1.7863185501373124E-2</v>
      </c>
      <c r="S40" s="126">
        <f>'Short-sea (MGO)'!P$299</f>
        <v>1.836079221170896E-2</v>
      </c>
      <c r="T40" s="126">
        <f>'Short-sea (MGO)'!Q$299</f>
        <v>1.8957905980309102E-2</v>
      </c>
      <c r="U40" s="126">
        <f>'Short-sea (MGO)'!R$299</f>
        <v>1.9633106498291007E-2</v>
      </c>
      <c r="V40" s="126">
        <f>'Short-sea (MGO)'!S$299</f>
        <v>2.0345912914846491E-2</v>
      </c>
      <c r="W40" s="126">
        <f>'Short-sea (MGO)'!T$299</f>
        <v>2.1044692634391172E-2</v>
      </c>
      <c r="X40" s="126">
        <f>'Short-sea (MGO)'!U$299</f>
        <v>2.1680806196463114E-2</v>
      </c>
      <c r="Y40" s="126">
        <f>'Short-sea (MGO)'!V$299</f>
        <v>2.2221412139911068E-2</v>
      </c>
      <c r="Z40" s="126">
        <f>'Short-sea (MGO)'!W$299</f>
        <v>2.2654340683573814E-2</v>
      </c>
      <c r="AA40" s="126">
        <f>'Short-sea (MGO)'!X$299</f>
        <v>2.2984684377128445E-2</v>
      </c>
      <c r="AB40" s="126">
        <f>'Short-sea (MGO)'!Y$299</f>
        <v>2.3227513485493619E-2</v>
      </c>
      <c r="AC40" s="126">
        <f>'Short-sea (MGO)'!Z$299</f>
        <v>2.3401132785047511E-2</v>
      </c>
      <c r="AD40" s="126">
        <f>'Short-sea (MGO)'!AA$299</f>
        <v>2.3522814273997317E-2</v>
      </c>
      <c r="AE40" s="126">
        <f>'Short-sea (MGO)'!AB$299</f>
        <v>2.3606903661990444E-2</v>
      </c>
      <c r="AF40" s="126">
        <f>'Short-sea (MGO)'!AC$299</f>
        <v>2.3664450220529071E-2</v>
      </c>
    </row>
    <row r="41" spans="1:32" x14ac:dyDescent="0.25">
      <c r="A41">
        <v>40</v>
      </c>
      <c r="B41" t="s">
        <v>168</v>
      </c>
      <c r="C41" t="s">
        <v>289</v>
      </c>
      <c r="D41" t="s">
        <v>226</v>
      </c>
      <c r="E41" s="126">
        <f>'Short-sea (MGO)'!B$408</f>
        <v>1.2531692083558459E-2</v>
      </c>
      <c r="F41" s="126">
        <f>'Short-sea (MGO)'!C$408</f>
        <v>1.2537075309378724E-2</v>
      </c>
      <c r="G41" s="126">
        <f>'Short-sea (MGO)'!D$408</f>
        <v>1.2544781277238742E-2</v>
      </c>
      <c r="H41" s="126">
        <f>'Short-sea (MGO)'!E$408</f>
        <v>1.2555805206170386E-2</v>
      </c>
      <c r="I41" s="126">
        <f>'Short-sea (MGO)'!F$408</f>
        <v>1.2571560833164394E-2</v>
      </c>
      <c r="J41" s="126">
        <f>'Short-sea (MGO)'!G$408</f>
        <v>1.2594047517817036E-2</v>
      </c>
      <c r="K41" s="126">
        <f>'Short-sea (MGO)'!H$408</f>
        <v>1.2626074073349997E-2</v>
      </c>
      <c r="L41" s="126">
        <f>'Short-sea (MGO)'!I$408</f>
        <v>1.2671547191142796E-2</v>
      </c>
      <c r="M41" s="126">
        <f>'Short-sea (MGO)'!J$408</f>
        <v>1.2735819073455293E-2</v>
      </c>
      <c r="N41" s="126">
        <f>'Short-sea (MGO)'!K$408</f>
        <v>1.2826055636661227E-2</v>
      </c>
      <c r="O41" s="126">
        <f>'Short-sea (MGO)'!L$408</f>
        <v>1.2951517216404272E-2</v>
      </c>
      <c r="P41" s="126">
        <f>'Short-sea (MGO)'!M$408</f>
        <v>1.312352034870495E-2</v>
      </c>
      <c r="Q41" s="126">
        <f>'Short-sea (MGO)'!N$408</f>
        <v>1.3354674127406551E-2</v>
      </c>
      <c r="R41" s="126">
        <f>'Short-sea (MGO)'!O$408</f>
        <v>1.3656836771795453E-2</v>
      </c>
      <c r="S41" s="126">
        <f>'Short-sea (MGO)'!P$408</f>
        <v>1.4037359550287561E-2</v>
      </c>
      <c r="T41" s="126">
        <f>'Short-sea (MGO)'!Q$408</f>
        <v>1.4493975961570024E-2</v>
      </c>
      <c r="U41" s="126">
        <f>'Short-sea (MGO)'!R$408</f>
        <v>1.5010305769438539E-2</v>
      </c>
      <c r="V41" s="126">
        <f>'Short-sea (MGO)'!S$408</f>
        <v>1.5555393029157439E-2</v>
      </c>
      <c r="W41" s="126">
        <f>'Short-sea (MGO)'!T$408</f>
        <v>1.6089753991162196E-2</v>
      </c>
      <c r="X41" s="126">
        <f>'Short-sea (MGO)'!U$408</f>
        <v>1.6576193773923092E-2</v>
      </c>
      <c r="Y41" s="126">
        <f>'Short-sea (MGO)'!V$408</f>
        <v>1.6989598318912703E-2</v>
      </c>
      <c r="Z41" s="126">
        <f>'Short-sea (MGO)'!W$408</f>
        <v>1.7320661322890098E-2</v>
      </c>
      <c r="AA41" s="126">
        <f>'Short-sea (MGO)'!X$408</f>
        <v>1.7573277088549524E-2</v>
      </c>
      <c r="AB41" s="126">
        <f>'Short-sea (MGO)'!Y$408</f>
        <v>1.775896993612289E-2</v>
      </c>
      <c r="AC41" s="126">
        <f>'Short-sea (MGO)'!Z$408</f>
        <v>1.7891737635781751E-2</v>
      </c>
      <c r="AD41" s="126">
        <f>'Short-sea (MGO)'!AA$408</f>
        <v>1.7984788186155128E-2</v>
      </c>
      <c r="AE41" s="126">
        <f>'Short-sea (MGO)'!AB$408</f>
        <v>1.8049091835796931E-2</v>
      </c>
      <c r="AF41" s="126">
        <f>'Short-sea (MGO)'!AC$408</f>
        <v>1.8093098027620588E-2</v>
      </c>
    </row>
    <row r="42" spans="1:32" x14ac:dyDescent="0.25">
      <c r="A42">
        <v>41</v>
      </c>
      <c r="B42" t="s">
        <v>168</v>
      </c>
      <c r="C42" t="s">
        <v>290</v>
      </c>
      <c r="D42" t="s">
        <v>222</v>
      </c>
      <c r="E42" s="126">
        <f>'Short-sea (HFO)'!B$85</f>
        <v>9.8027731057717341E-3</v>
      </c>
      <c r="F42" s="126">
        <f>'Short-sea (HFO)'!C$85</f>
        <v>9.8086631169911915E-3</v>
      </c>
      <c r="G42" s="126">
        <f>'Short-sea (HFO)'!D$85</f>
        <v>9.8170945368624245E-3</v>
      </c>
      <c r="H42" s="126">
        <f>'Short-sea (HFO)'!E$85</f>
        <v>9.8291562759121702E-3</v>
      </c>
      <c r="I42" s="126">
        <f>'Short-sea (HFO)'!F$85</f>
        <v>9.8463951625691239E-3</v>
      </c>
      <c r="J42" s="126">
        <f>'Short-sea (HFO)'!G$85</f>
        <v>9.8709987793064898E-3</v>
      </c>
      <c r="K42" s="126">
        <f>'Short-sea (HFO)'!H$85</f>
        <v>9.9060403654683896E-3</v>
      </c>
      <c r="L42" s="126">
        <f>'Short-sea (HFO)'!I$85</f>
        <v>9.9557943945442484E-3</v>
      </c>
      <c r="M42" s="126">
        <f>'Short-sea (HFO)'!J$85</f>
        <v>1.002611693358604E-2</v>
      </c>
      <c r="N42" s="126">
        <f>'Short-sea (HFO)'!K$85</f>
        <v>1.0124848509677022E-2</v>
      </c>
      <c r="O42" s="126">
        <f>'Short-sea (HFO)'!L$85</f>
        <v>1.0262121241115443E-2</v>
      </c>
      <c r="P42" s="126">
        <f>'Short-sea (HFO)'!M$85</f>
        <v>1.045031702053442E-2</v>
      </c>
      <c r="Q42" s="126">
        <f>'Short-sea (HFO)'!N$85</f>
        <v>1.0703231981829103E-2</v>
      </c>
      <c r="R42" s="126">
        <f>'Short-sea (HFO)'!O$85</f>
        <v>1.1033840695818461E-2</v>
      </c>
      <c r="S42" s="126">
        <f>'Short-sea (HFO)'!P$85</f>
        <v>1.1450186490962537E-2</v>
      </c>
      <c r="T42" s="126">
        <f>'Short-sea (HFO)'!Q$85</f>
        <v>1.1949789493927505E-2</v>
      </c>
      <c r="U42" s="126">
        <f>'Short-sea (HFO)'!R$85</f>
        <v>1.2514727407146452E-2</v>
      </c>
      <c r="V42" s="126">
        <f>'Short-sea (HFO)'!S$85</f>
        <v>1.3111130044249755E-2</v>
      </c>
      <c r="W42" s="126">
        <f>'Short-sea (HFO)'!T$85</f>
        <v>1.3695796592994712E-2</v>
      </c>
      <c r="X42" s="126">
        <f>'Short-sea (HFO)'!U$85</f>
        <v>1.4228030586833005E-2</v>
      </c>
      <c r="Y42" s="126">
        <f>'Short-sea (HFO)'!V$85</f>
        <v>1.4680353690017339E-2</v>
      </c>
      <c r="Z42" s="126">
        <f>'Short-sea (HFO)'!W$85</f>
        <v>1.5042583489189824E-2</v>
      </c>
      <c r="AA42" s="126">
        <f>'Short-sea (HFO)'!X$85</f>
        <v>1.5318980902864189E-2</v>
      </c>
      <c r="AB42" s="126">
        <f>'Short-sea (HFO)'!Y$85</f>
        <v>1.5522155169019468E-2</v>
      </c>
      <c r="AC42" s="126">
        <f>'Short-sea (HFO)'!Z$85</f>
        <v>1.5667421830066586E-2</v>
      </c>
      <c r="AD42" s="126">
        <f>'Short-sea (HFO)'!AA$85</f>
        <v>1.5769232306530871E-2</v>
      </c>
      <c r="AE42" s="126">
        <f>'Short-sea (HFO)'!AB$85</f>
        <v>1.5839589603528634E-2</v>
      </c>
      <c r="AF42" s="126">
        <f>'Short-sea (HFO)'!AC$85</f>
        <v>1.5887738607902789E-2</v>
      </c>
    </row>
    <row r="43" spans="1:32" x14ac:dyDescent="0.25">
      <c r="A43">
        <v>42</v>
      </c>
      <c r="B43" t="s">
        <v>168</v>
      </c>
      <c r="C43" t="s">
        <v>290</v>
      </c>
      <c r="D43" t="s">
        <v>223</v>
      </c>
      <c r="E43" s="128"/>
      <c r="F43" s="128"/>
      <c r="G43" s="128"/>
      <c r="H43" s="128"/>
      <c r="I43" s="128"/>
      <c r="J43" s="128"/>
      <c r="K43" s="128"/>
      <c r="L43" s="128"/>
      <c r="M43" s="128"/>
      <c r="N43" s="128"/>
      <c r="O43" s="128"/>
      <c r="P43" s="128"/>
      <c r="Q43" s="128"/>
      <c r="R43" s="128"/>
      <c r="S43" s="128"/>
      <c r="T43" s="128"/>
      <c r="U43" s="128"/>
      <c r="V43" s="128"/>
      <c r="W43" s="128"/>
      <c r="X43" s="128"/>
      <c r="Y43" s="128"/>
      <c r="Z43" s="128"/>
      <c r="AA43" s="128"/>
      <c r="AB43" s="128"/>
      <c r="AC43" s="128"/>
      <c r="AD43" s="128"/>
      <c r="AE43" s="128"/>
      <c r="AF43" s="128"/>
    </row>
    <row r="44" spans="1:32" x14ac:dyDescent="0.25">
      <c r="A44">
        <v>43</v>
      </c>
      <c r="B44" t="s">
        <v>168</v>
      </c>
      <c r="C44" t="s">
        <v>290</v>
      </c>
      <c r="D44" t="s">
        <v>224</v>
      </c>
      <c r="E44" s="126">
        <f>'Short-sea (HFO)'!B$191</f>
        <v>1.2258901301375238E-2</v>
      </c>
      <c r="F44" s="126">
        <f>'Short-sea (HFO)'!C$191</f>
        <v>1.2265887128635525E-2</v>
      </c>
      <c r="G44" s="126">
        <f>'Short-sea (HFO)'!D$191</f>
        <v>1.2275887184761868E-2</v>
      </c>
      <c r="H44" s="126">
        <f>'Short-sea (HFO)'!E$191</f>
        <v>1.2290192968285988E-2</v>
      </c>
      <c r="I44" s="126">
        <f>'Short-sea (HFO)'!F$191</f>
        <v>1.2310639089669815E-2</v>
      </c>
      <c r="J44" s="126">
        <f>'Short-sea (HFO)'!G$191</f>
        <v>1.23398201234746E-2</v>
      </c>
      <c r="K44" s="126">
        <f>'Short-sea (HFO)'!H$191</f>
        <v>1.2381381074503827E-2</v>
      </c>
      <c r="L44" s="126">
        <f>'Short-sea (HFO)'!I$191</f>
        <v>1.2440391667128686E-2</v>
      </c>
      <c r="M44" s="126">
        <f>'Short-sea (HFO)'!J$191</f>
        <v>1.2523797469248022E-2</v>
      </c>
      <c r="N44" s="126">
        <f>'Short-sea (HFO)'!K$191</f>
        <v>1.2640897710658249E-2</v>
      </c>
      <c r="O44" s="126">
        <f>'Short-sea (HFO)'!L$191</f>
        <v>1.2803709554922427E-2</v>
      </c>
      <c r="P44" s="126">
        <f>'Short-sea (HFO)'!M$191</f>
        <v>1.30269185026054E-2</v>
      </c>
      <c r="Q44" s="126">
        <f>'Short-sea (HFO)'!N$191</f>
        <v>1.3326887410187466E-2</v>
      </c>
      <c r="R44" s="126">
        <f>'Short-sea (HFO)'!O$191</f>
        <v>1.3719004722128333E-2</v>
      </c>
      <c r="S44" s="126">
        <f>'Short-sea (HFO)'!P$191</f>
        <v>1.4212810200089911E-2</v>
      </c>
      <c r="T44" s="126">
        <f>'Short-sea (HFO)'!Q$191</f>
        <v>1.4805362598955337E-2</v>
      </c>
      <c r="U44" s="126">
        <f>'Short-sea (HFO)'!R$191</f>
        <v>1.5475405240215017E-2</v>
      </c>
      <c r="V44" s="126">
        <f>'Short-sea (HFO)'!S$191</f>
        <v>1.6182766507477079E-2</v>
      </c>
      <c r="W44" s="126">
        <f>'Short-sea (HFO)'!T$191</f>
        <v>1.6876208228081561E-2</v>
      </c>
      <c r="X44" s="126">
        <f>'Short-sea (HFO)'!U$191</f>
        <v>1.7507462499843258E-2</v>
      </c>
      <c r="Y44" s="126">
        <f>'Short-sea (HFO)'!V$191</f>
        <v>1.8043938738503743E-2</v>
      </c>
      <c r="Z44" s="126">
        <f>'Short-sea (HFO)'!W$191</f>
        <v>1.8473560128219952E-2</v>
      </c>
      <c r="AA44" s="126">
        <f>'Short-sea (HFO)'!X$191</f>
        <v>1.8801380316531408E-2</v>
      </c>
      <c r="AB44" s="126">
        <f>'Short-sea (HFO)'!Y$191</f>
        <v>1.9042354446157438E-2</v>
      </c>
      <c r="AC44" s="126">
        <f>'Short-sea (HFO)'!Z$191</f>
        <v>1.9214647462748195E-2</v>
      </c>
      <c r="AD44" s="126">
        <f>'Short-sea (HFO)'!AA$191</f>
        <v>1.9335399423205842E-2</v>
      </c>
      <c r="AE44" s="126">
        <f>'Short-sea (HFO)'!AB$191</f>
        <v>1.9418846449877607E-2</v>
      </c>
      <c r="AF44" s="126">
        <f>'Short-sea (HFO)'!AC$191</f>
        <v>1.9475953408553938E-2</v>
      </c>
    </row>
    <row r="45" spans="1:32" x14ac:dyDescent="0.25">
      <c r="A45">
        <v>44</v>
      </c>
      <c r="B45" t="s">
        <v>168</v>
      </c>
      <c r="C45" t="s">
        <v>290</v>
      </c>
      <c r="D45" t="s">
        <v>225</v>
      </c>
      <c r="E45" s="126">
        <f>'Short-sea (HFO)'!B$299</f>
        <v>1.2816541364345116E-2</v>
      </c>
      <c r="F45" s="126">
        <f>'Short-sea (HFO)'!C$299</f>
        <v>1.282424368670902E-2</v>
      </c>
      <c r="G45" s="126">
        <f>'Short-sea (HFO)'!D$299</f>
        <v>1.2835269389617555E-2</v>
      </c>
      <c r="H45" s="126">
        <f>'Short-sea (HFO)'!E$299</f>
        <v>1.2851042432990303E-2</v>
      </c>
      <c r="I45" s="126">
        <f>'Short-sea (HFO)'!F$299</f>
        <v>1.2873585592464775E-2</v>
      </c>
      <c r="J45" s="126">
        <f>'Short-sea (HFO)'!G$299</f>
        <v>1.2905759552813641E-2</v>
      </c>
      <c r="K45" s="126">
        <f>'Short-sea (HFO)'!H$299</f>
        <v>1.2951583165486894E-2</v>
      </c>
      <c r="L45" s="126">
        <f>'Short-sea (HFO)'!I$299</f>
        <v>1.3016646126586096E-2</v>
      </c>
      <c r="M45" s="126">
        <f>'Short-sea (HFO)'!J$299</f>
        <v>1.3108606369948438E-2</v>
      </c>
      <c r="N45" s="126">
        <f>'Short-sea (HFO)'!K$299</f>
        <v>1.3237716892528947E-2</v>
      </c>
      <c r="O45" s="126">
        <f>'Short-sea (HFO)'!L$299</f>
        <v>1.3417227387486887E-2</v>
      </c>
      <c r="P45" s="126">
        <f>'Short-sea (HFO)'!M$299</f>
        <v>1.3663329560573244E-2</v>
      </c>
      <c r="Q45" s="126">
        <f>'Short-sea (HFO)'!N$299</f>
        <v>1.3994064509958595E-2</v>
      </c>
      <c r="R45" s="126">
        <f>'Short-sea (HFO)'!O$299</f>
        <v>1.4426398982098528E-2</v>
      </c>
      <c r="S45" s="126">
        <f>'Short-sea (HFO)'!P$299</f>
        <v>1.4970851175748472E-2</v>
      </c>
      <c r="T45" s="126">
        <f>'Short-sea (HFO)'!Q$299</f>
        <v>1.5624178179625735E-2</v>
      </c>
      <c r="U45" s="126">
        <f>'Short-sea (HFO)'!R$299</f>
        <v>1.6362943143065897E-2</v>
      </c>
      <c r="V45" s="126">
        <f>'Short-sea (HFO)'!S$299</f>
        <v>1.7142854283893297E-2</v>
      </c>
      <c r="W45" s="126">
        <f>'Short-sea (HFO)'!T$299</f>
        <v>1.7907418232252087E-2</v>
      </c>
      <c r="X45" s="126">
        <f>'Short-sea (HFO)'!U$299</f>
        <v>1.8603416531886779E-2</v>
      </c>
      <c r="Y45" s="126">
        <f>'Short-sea (HFO)'!V$299</f>
        <v>1.9194915974512439E-2</v>
      </c>
      <c r="Z45" s="126">
        <f>'Short-sea (HFO)'!W$299</f>
        <v>1.9668601096507234E-2</v>
      </c>
      <c r="AA45" s="126">
        <f>'Short-sea (HFO)'!X$299</f>
        <v>2.0030043868235252E-2</v>
      </c>
      <c r="AB45" s="126">
        <f>'Short-sea (HFO)'!Y$299</f>
        <v>2.0295733293207538E-2</v>
      </c>
      <c r="AC45" s="126">
        <f>'Short-sea (HFO)'!Z$299</f>
        <v>2.0485697388422992E-2</v>
      </c>
      <c r="AD45" s="126">
        <f>'Short-sea (HFO)'!AA$299</f>
        <v>2.0618834165337836E-2</v>
      </c>
      <c r="AE45" s="126">
        <f>'Short-sea (HFO)'!AB$299</f>
        <v>2.0710839861411829E-2</v>
      </c>
      <c r="AF45" s="126">
        <f>'Short-sea (HFO)'!AC$299</f>
        <v>2.077380394405496E-2</v>
      </c>
    </row>
    <row r="46" spans="1:32" x14ac:dyDescent="0.25">
      <c r="A46">
        <v>45</v>
      </c>
      <c r="B46" t="s">
        <v>168</v>
      </c>
      <c r="C46" t="s">
        <v>290</v>
      </c>
      <c r="D46" t="s">
        <v>226</v>
      </c>
      <c r="E46" s="126">
        <f>'Short-sea (HFO)'!B$408</f>
        <v>9.7976383140681526E-3</v>
      </c>
      <c r="F46" s="126">
        <f>'Short-sea (HFO)'!C$408</f>
        <v>9.8035283252876082E-3</v>
      </c>
      <c r="G46" s="126">
        <f>'Short-sea (HFO)'!D$408</f>
        <v>9.8119597451588412E-3</v>
      </c>
      <c r="H46" s="126">
        <f>'Short-sea (HFO)'!E$408</f>
        <v>9.8240214842085904E-3</v>
      </c>
      <c r="I46" s="126">
        <f>'Short-sea (HFO)'!F$408</f>
        <v>9.8412603708655406E-3</v>
      </c>
      <c r="J46" s="126">
        <f>'Short-sea (HFO)'!G$408</f>
        <v>9.8658639876029082E-3</v>
      </c>
      <c r="K46" s="126">
        <f>'Short-sea (HFO)'!H$408</f>
        <v>9.9009055737648045E-3</v>
      </c>
      <c r="L46" s="126">
        <f>'Short-sea (HFO)'!I$408</f>
        <v>9.9506596028406669E-3</v>
      </c>
      <c r="M46" s="126">
        <f>'Short-sea (HFO)'!J$408</f>
        <v>1.0020982141882458E-2</v>
      </c>
      <c r="N46" s="126">
        <f>'Short-sea (HFO)'!K$408</f>
        <v>1.0119713717973437E-2</v>
      </c>
      <c r="O46" s="126">
        <f>'Short-sea (HFO)'!L$408</f>
        <v>1.0256986449411859E-2</v>
      </c>
      <c r="P46" s="126">
        <f>'Short-sea (HFO)'!M$408</f>
        <v>1.0445182228830839E-2</v>
      </c>
      <c r="Q46" s="126">
        <f>'Short-sea (HFO)'!N$408</f>
        <v>1.069809719012552E-2</v>
      </c>
      <c r="R46" s="126">
        <f>'Short-sea (HFO)'!O$408</f>
        <v>1.1028705904114876E-2</v>
      </c>
      <c r="S46" s="126">
        <f>'Short-sea (HFO)'!P$408</f>
        <v>1.1445051699258954E-2</v>
      </c>
      <c r="T46" s="126">
        <f>'Short-sea (HFO)'!Q$408</f>
        <v>1.1944654702223922E-2</v>
      </c>
      <c r="U46" s="126">
        <f>'Short-sea (HFO)'!R$408</f>
        <v>1.2509592615442868E-2</v>
      </c>
      <c r="V46" s="126">
        <f>'Short-sea (HFO)'!S$408</f>
        <v>1.3105995252546175E-2</v>
      </c>
      <c r="W46" s="126">
        <f>'Short-sea (HFO)'!T$408</f>
        <v>1.369066180129113E-2</v>
      </c>
      <c r="X46" s="126">
        <f>'Short-sea (HFO)'!U$408</f>
        <v>1.4222895795129423E-2</v>
      </c>
      <c r="Y46" s="126">
        <f>'Short-sea (HFO)'!V$408</f>
        <v>1.4675218898313754E-2</v>
      </c>
      <c r="Z46" s="126">
        <f>'Short-sea (HFO)'!W$408</f>
        <v>1.5037448697486241E-2</v>
      </c>
      <c r="AA46" s="126">
        <f>'Short-sea (HFO)'!X$408</f>
        <v>1.5313846111160608E-2</v>
      </c>
      <c r="AB46" s="126">
        <f>'Short-sea (HFO)'!Y$408</f>
        <v>1.5517020377315886E-2</v>
      </c>
      <c r="AC46" s="126">
        <f>'Short-sea (HFO)'!Z$408</f>
        <v>1.5662287038362997E-2</v>
      </c>
      <c r="AD46" s="126">
        <f>'Short-sea (HFO)'!AA$408</f>
        <v>1.576409751482729E-2</v>
      </c>
      <c r="AE46" s="126">
        <f>'Short-sea (HFO)'!AB$408</f>
        <v>1.5834454811825049E-2</v>
      </c>
      <c r="AF46" s="126">
        <f>'Short-sea (HFO)'!AC$408</f>
        <v>1.5882603816199208E-2</v>
      </c>
    </row>
    <row r="47" spans="1:32" x14ac:dyDescent="0.25">
      <c r="A47">
        <v>46</v>
      </c>
      <c r="B47" t="s">
        <v>168</v>
      </c>
      <c r="C47" t="s">
        <v>103</v>
      </c>
      <c r="D47" t="s">
        <v>222</v>
      </c>
      <c r="E47" s="126">
        <f>'Short-sea (Hydrogen)'!B$85</f>
        <v>3.0810093230027879E-2</v>
      </c>
      <c r="F47" s="126">
        <f>'Short-sea (Hydrogen)'!C$85</f>
        <v>3.0724549362755826E-2</v>
      </c>
      <c r="G47" s="126">
        <f>'Short-sea (Hydrogen)'!D$85</f>
        <v>3.060306964547245E-2</v>
      </c>
      <c r="H47" s="126">
        <f>'Short-sea (Hydrogen)'!E$85</f>
        <v>3.0431325168648132E-2</v>
      </c>
      <c r="I47" s="126">
        <f>'Short-sea (Hydrogen)'!F$85</f>
        <v>3.0190099406780278E-2</v>
      </c>
      <c r="J47" s="126">
        <f>'Short-sea (Hydrogen)'!G$85</f>
        <v>2.9854488554024502E-2</v>
      </c>
      <c r="K47" s="126">
        <f>'Short-sea (Hydrogen)'!H$85</f>
        <v>2.9393903304469129E-2</v>
      </c>
      <c r="L47" s="126">
        <f>'Short-sea (Hydrogen)'!I$85</f>
        <v>2.8773918634720671E-2</v>
      </c>
      <c r="M47" s="126">
        <f>'Short-sea (Hydrogen)'!J$85</f>
        <v>2.7961402154865492E-2</v>
      </c>
      <c r="N47" s="126">
        <f>'Short-sea (Hydrogen)'!K$85</f>
        <v>2.6934045193081235E-2</v>
      </c>
      <c r="O47" s="126">
        <f>'Short-sea (Hydrogen)'!L$85</f>
        <v>2.5693402558028225E-2</v>
      </c>
      <c r="P47" s="126">
        <f>'Short-sea (Hydrogen)'!M$85</f>
        <v>2.4276447531910151E-2</v>
      </c>
      <c r="Q47" s="126">
        <f>'Short-sea (Hydrogen)'!N$85</f>
        <v>2.2757024454098863E-2</v>
      </c>
      <c r="R47" s="126">
        <f>'Short-sea (Hydrogen)'!O$85</f>
        <v>2.1231146164409322E-2</v>
      </c>
      <c r="S47" s="126">
        <f>'Short-sea (Hydrogen)'!P$85</f>
        <v>1.9790932728586109E-2</v>
      </c>
      <c r="T47" s="126">
        <f>'Short-sea (Hydrogen)'!Q$85</f>
        <v>1.8501988106581178E-2</v>
      </c>
      <c r="U47" s="126">
        <f>'Short-sea (Hydrogen)'!R$85</f>
        <v>1.7396155547409278E-2</v>
      </c>
      <c r="V47" s="126">
        <f>'Short-sea (Hydrogen)'!S$85</f>
        <v>1.6478532078899349E-2</v>
      </c>
      <c r="W47" s="126">
        <f>'Short-sea (Hydrogen)'!T$85</f>
        <v>1.5738798342254764E-2</v>
      </c>
      <c r="X47" s="126">
        <f>'Short-sea (Hydrogen)'!U$85</f>
        <v>1.5159103837900516E-2</v>
      </c>
      <c r="Y47" s="126">
        <f>'Short-sea (Hydrogen)'!V$85</f>
        <v>1.4717641691384778E-2</v>
      </c>
      <c r="Z47" s="126">
        <f>'Short-sea (Hydrogen)'!W$85</f>
        <v>1.4390593362430995E-2</v>
      </c>
      <c r="AA47" s="126">
        <f>'Short-sea (Hydrogen)'!X$85</f>
        <v>1.4154189222770045E-2</v>
      </c>
      <c r="AB47" s="126">
        <f>'Short-sea (Hydrogen)'!Y$85</f>
        <v>1.3986747247518916E-2</v>
      </c>
      <c r="AC47" s="126">
        <f>'Short-sea (Hydrogen)'!Z$85</f>
        <v>1.3870014922604316E-2</v>
      </c>
      <c r="AD47" s="126">
        <f>'Short-sea (Hydrogen)'!AA$85</f>
        <v>1.3789589524450996E-2</v>
      </c>
      <c r="AE47" s="126">
        <f>'Short-sea (Hydrogen)'!AB$85</f>
        <v>1.3734647836987824E-2</v>
      </c>
      <c r="AF47" s="126">
        <f>'Short-sea (Hydrogen)'!AC$85</f>
        <v>1.3697339192702274E-2</v>
      </c>
    </row>
    <row r="48" spans="1:32" x14ac:dyDescent="0.25">
      <c r="A48">
        <v>47</v>
      </c>
      <c r="B48" t="s">
        <v>168</v>
      </c>
      <c r="C48" t="s">
        <v>103</v>
      </c>
      <c r="D48" t="s">
        <v>223</v>
      </c>
      <c r="E48" s="128"/>
      <c r="F48" s="128"/>
      <c r="G48" s="128"/>
      <c r="H48" s="128"/>
      <c r="I48" s="128"/>
      <c r="J48" s="128"/>
      <c r="K48" s="128"/>
      <c r="L48" s="128"/>
      <c r="M48" s="128"/>
      <c r="N48" s="128"/>
      <c r="O48" s="128"/>
      <c r="P48" s="128"/>
      <c r="Q48" s="128"/>
      <c r="R48" s="128"/>
      <c r="S48" s="128"/>
      <c r="T48" s="128"/>
      <c r="U48" s="128"/>
      <c r="V48" s="128"/>
      <c r="W48" s="128"/>
      <c r="X48" s="128"/>
      <c r="Y48" s="128"/>
      <c r="Z48" s="128"/>
      <c r="AA48" s="128"/>
      <c r="AB48" s="128"/>
      <c r="AC48" s="128"/>
      <c r="AD48" s="128"/>
      <c r="AE48" s="128"/>
      <c r="AF48" s="128"/>
    </row>
    <row r="49" spans="1:32" x14ac:dyDescent="0.25">
      <c r="A49">
        <v>48</v>
      </c>
      <c r="B49" t="s">
        <v>168</v>
      </c>
      <c r="C49" t="s">
        <v>103</v>
      </c>
      <c r="D49" t="s">
        <v>224</v>
      </c>
      <c r="E49" s="126">
        <f>'Short-sea (Hydrogen)'!B$191</f>
        <v>3.6815507844405446E-2</v>
      </c>
      <c r="F49" s="126">
        <f>'Short-sea (Hydrogen)'!C$191</f>
        <v>3.6715235987025079E-2</v>
      </c>
      <c r="G49" s="126">
        <f>'Short-sea (Hydrogen)'!D$191</f>
        <v>3.6572841279825477E-2</v>
      </c>
      <c r="H49" s="126">
        <f>'Short-sea (Hydrogen)'!E$191</f>
        <v>3.6371527933294012E-2</v>
      </c>
      <c r="I49" s="126">
        <f>'Short-sea (Hydrogen)'!F$191</f>
        <v>3.6088771257475206E-2</v>
      </c>
      <c r="J49" s="126">
        <f>'Short-sea (Hydrogen)'!G$191</f>
        <v>3.5695380629357371E-2</v>
      </c>
      <c r="K49" s="126">
        <f>'Short-sea (Hydrogen)'!H$191</f>
        <v>3.5155502259362946E-2</v>
      </c>
      <c r="L49" s="126">
        <f>'Short-sea (Hydrogen)'!I$191</f>
        <v>3.442878883336719E-2</v>
      </c>
      <c r="M49" s="126">
        <f>'Short-sea (Hydrogen)'!J$191</f>
        <v>3.3476413355431917E-2</v>
      </c>
      <c r="N49" s="126">
        <f>'Short-sea (Hydrogen)'!K$191</f>
        <v>3.2272245245076631E-2</v>
      </c>
      <c r="O49" s="126">
        <f>'Short-sea (Hydrogen)'!L$191</f>
        <v>3.0818140211940459E-2</v>
      </c>
      <c r="P49" s="126">
        <f>'Short-sea (Hydrogen)'!M$191</f>
        <v>2.9157488262562616E-2</v>
      </c>
      <c r="Q49" s="126">
        <f>'Short-sea (Hydrogen)'!N$191</f>
        <v>2.7376913502299812E-2</v>
      </c>
      <c r="R49" s="126">
        <f>'Short-sea (Hydrogen)'!O$191</f>
        <v>2.5589025538758213E-2</v>
      </c>
      <c r="S49" s="126">
        <f>'Short-sea (Hydrogen)'!P$191</f>
        <v>2.3901844435819792E-2</v>
      </c>
      <c r="T49" s="126">
        <f>'Short-sea (Hydrogen)'!Q$191</f>
        <v>2.2392253165613708E-2</v>
      </c>
      <c r="U49" s="126">
        <f>'Short-sea (Hydrogen)'!R$191</f>
        <v>2.1097492171380402E-2</v>
      </c>
      <c r="V49" s="126">
        <f>'Short-sea (Hydrogen)'!S$191</f>
        <v>2.0023398594121916E-2</v>
      </c>
      <c r="W49" s="126">
        <f>'Short-sea (Hydrogen)'!T$191</f>
        <v>1.9157730994248709E-2</v>
      </c>
      <c r="X49" s="126">
        <f>'Short-sea (Hydrogen)'!U$191</f>
        <v>1.8479458615928458E-2</v>
      </c>
      <c r="Y49" s="126">
        <f>'Short-sea (Hydrogen)'!V$191</f>
        <v>1.7962973467608206E-2</v>
      </c>
      <c r="Z49" s="126">
        <f>'Short-sea (Hydrogen)'!W$191</f>
        <v>1.7580361936983698E-2</v>
      </c>
      <c r="AA49" s="126">
        <f>'Short-sea (Hydrogen)'!X$191</f>
        <v>1.7303797558517325E-2</v>
      </c>
      <c r="AB49" s="126">
        <f>'Short-sea (Hydrogen)'!Y$191</f>
        <v>1.7107909955218936E-2</v>
      </c>
      <c r="AC49" s="126">
        <f>'Short-sea (Hydrogen)'!Z$191</f>
        <v>1.6971345564141052E-2</v>
      </c>
      <c r="AD49" s="126">
        <f>'Short-sea (Hydrogen)'!AA$191</f>
        <v>1.6877255554191242E-2</v>
      </c>
      <c r="AE49" s="126">
        <f>'Short-sea (Hydrogen)'!AB$191</f>
        <v>1.6812978542631217E-2</v>
      </c>
      <c r="AF49" s="126">
        <f>'Short-sea (Hydrogen)'!AC$191</f>
        <v>1.6769330398974394E-2</v>
      </c>
    </row>
    <row r="50" spans="1:32" x14ac:dyDescent="0.25">
      <c r="A50">
        <v>49</v>
      </c>
      <c r="B50" t="s">
        <v>168</v>
      </c>
      <c r="C50" t="s">
        <v>103</v>
      </c>
      <c r="D50" t="s">
        <v>225</v>
      </c>
      <c r="E50" s="126">
        <f>'Short-sea (Hydrogen)'!B$299</f>
        <v>3.9621316206197396E-2</v>
      </c>
      <c r="F50" s="126">
        <f>'Short-sea (Hydrogen)'!C$299</f>
        <v>3.9511429826804056E-2</v>
      </c>
      <c r="G50" s="126">
        <f>'Short-sea (Hydrogen)'!D$299</f>
        <v>3.9355381859672467E-2</v>
      </c>
      <c r="H50" s="126">
        <f>'Short-sea (Hydrogen)'!E$299</f>
        <v>3.9134766385479115E-2</v>
      </c>
      <c r="I50" s="126">
        <f>'Short-sea (Hydrogen)'!F$299</f>
        <v>3.882489970277677E-2</v>
      </c>
      <c r="J50" s="126">
        <f>'Short-sea (Hydrogen)'!G$299</f>
        <v>3.8393793951098473E-2</v>
      </c>
      <c r="K50" s="126">
        <f>'Short-sea (Hydrogen)'!H$299</f>
        <v>3.7802161155010353E-2</v>
      </c>
      <c r="L50" s="126">
        <f>'Short-sea (Hydrogen)'!I$299</f>
        <v>3.7005792817435934E-2</v>
      </c>
      <c r="M50" s="126">
        <f>'Short-sea (Hydrogen)'!J$299</f>
        <v>3.5962153711011406E-2</v>
      </c>
      <c r="N50" s="126">
        <f>'Short-sea (Hydrogen)'!K$299</f>
        <v>3.4642634578537668E-2</v>
      </c>
      <c r="O50" s="126">
        <f>'Short-sea (Hydrogen)'!L$299</f>
        <v>3.3049313981109968E-2</v>
      </c>
      <c r="P50" s="126">
        <f>'Short-sea (Hydrogen)'!M$299</f>
        <v>3.1229809235388841E-2</v>
      </c>
      <c r="Q50" s="126">
        <f>'Short-sea (Hydrogen)'!N$299</f>
        <v>2.9279135566658874E-2</v>
      </c>
      <c r="R50" s="126">
        <f>'Short-sea (Hydrogen)'!O$299</f>
        <v>2.7320786859174287E-2</v>
      </c>
      <c r="S50" s="126">
        <f>'Short-sea (Hydrogen)'!P$299</f>
        <v>2.5473198590534488E-2</v>
      </c>
      <c r="T50" s="126">
        <f>'Short-sea (Hydrogen)'!Q$299</f>
        <v>2.3820620169439938E-2</v>
      </c>
      <c r="U50" s="126">
        <f>'Short-sea (Hydrogen)'!R$299</f>
        <v>2.240377300537371E-2</v>
      </c>
      <c r="V50" s="126">
        <f>'Short-sea (Hydrogen)'!S$299</f>
        <v>2.1228890161211295E-2</v>
      </c>
      <c r="W50" s="126">
        <f>'Short-sea (Hydrogen)'!T$299</f>
        <v>2.0282363213499754E-2</v>
      </c>
      <c r="X50" s="126">
        <f>'Short-sea (Hydrogen)'!U$299</f>
        <v>1.9540979871562045E-2</v>
      </c>
      <c r="Y50" s="126">
        <f>'Short-sea (Hydrogen)'!V$299</f>
        <v>1.8976579299514049E-2</v>
      </c>
      <c r="Z50" s="126">
        <f>'Short-sea (Hydrogen)'!W$299</f>
        <v>1.8558546767311668E-2</v>
      </c>
      <c r="AA50" s="126">
        <f>'Short-sea (Hydrogen)'!X$299</f>
        <v>1.8256415657116897E-2</v>
      </c>
      <c r="AB50" s="126">
        <f>'Short-sea (Hydrogen)'!Y$299</f>
        <v>1.8042436724243615E-2</v>
      </c>
      <c r="AC50" s="126">
        <f>'Short-sea (Hydrogen)'!Z$299</f>
        <v>1.7893267792012345E-2</v>
      </c>
      <c r="AD50" s="126">
        <f>'Short-sea (Hydrogen)'!AA$299</f>
        <v>1.7790497122199506E-2</v>
      </c>
      <c r="AE50" s="126">
        <f>'Short-sea (Hydrogen)'!AB$299</f>
        <v>1.772029159525567E-2</v>
      </c>
      <c r="AF50" s="126">
        <f>'Short-sea (Hydrogen)'!AC$299</f>
        <v>1.7672618345426837E-2</v>
      </c>
    </row>
    <row r="51" spans="1:32" x14ac:dyDescent="0.25">
      <c r="A51">
        <v>50</v>
      </c>
      <c r="B51" t="s">
        <v>168</v>
      </c>
      <c r="C51" t="s">
        <v>103</v>
      </c>
      <c r="D51" t="s">
        <v>226</v>
      </c>
      <c r="E51" s="126">
        <f>'Short-sea (Hydrogen)'!B$408</f>
        <v>3.0804570665622654E-2</v>
      </c>
      <c r="F51" s="126">
        <f>'Short-sea (Hydrogen)'!C$408</f>
        <v>3.07190268802571E-2</v>
      </c>
      <c r="G51" s="126">
        <f>'Short-sea (Hydrogen)'!D$408</f>
        <v>3.0597547280215038E-2</v>
      </c>
      <c r="H51" s="126">
        <f>'Short-sea (Hydrogen)'!E$408</f>
        <v>3.0425802971100344E-2</v>
      </c>
      <c r="I51" s="126">
        <f>'Short-sea (Hydrogen)'!F$408</f>
        <v>3.0184577448901382E-2</v>
      </c>
      <c r="J51" s="126">
        <f>'Short-sea (Hydrogen)'!G$408</f>
        <v>2.9848966938153611E-2</v>
      </c>
      <c r="K51" s="126">
        <f>'Short-sea (Hydrogen)'!H$408</f>
        <v>2.9388382175597434E-2</v>
      </c>
      <c r="L51" s="126">
        <f>'Short-sea (Hydrogen)'!I$408</f>
        <v>2.8768398197107952E-2</v>
      </c>
      <c r="M51" s="126">
        <f>'Short-sea (Hydrogen)'!J$408</f>
        <v>2.7955882693860724E-2</v>
      </c>
      <c r="N51" s="126">
        <f>'Short-sea (Hydrogen)'!K$408</f>
        <v>2.6928527102386447E-2</v>
      </c>
      <c r="O51" s="126">
        <f>'Short-sea (Hydrogen)'!L$408</f>
        <v>2.5687886370952612E-2</v>
      </c>
      <c r="P51" s="126">
        <f>'Short-sea (Hydrogen)'!M$408</f>
        <v>2.427093395158746E-2</v>
      </c>
      <c r="Q51" s="126">
        <f>'Short-sea (Hydrogen)'!N$408</f>
        <v>2.2751514371451294E-2</v>
      </c>
      <c r="R51" s="126">
        <f>'Short-sea (Hydrogen)'!O$408</f>
        <v>2.1225640644377264E-2</v>
      </c>
      <c r="S51" s="126">
        <f>'Short-sea (Hydrogen)'!P$408</f>
        <v>1.9785432939102631E-2</v>
      </c>
      <c r="T51" s="126">
        <f>'Short-sea (Hydrogen)'!Q$408</f>
        <v>1.849649517118614E-2</v>
      </c>
      <c r="U51" s="126">
        <f>'Short-sea (Hydrogen)'!R$408</f>
        <v>1.7390670333146188E-2</v>
      </c>
      <c r="V51" s="126">
        <f>'Short-sea (Hydrogen)'!S$408</f>
        <v>1.6473054982268233E-2</v>
      </c>
      <c r="W51" s="126">
        <f>'Short-sea (Hydrogen)'!T$408</f>
        <v>1.5733329170288274E-2</v>
      </c>
      <c r="X51" s="126">
        <f>'Short-sea (Hydrogen)'!U$408</f>
        <v>1.5153641851487975E-2</v>
      </c>
      <c r="Y51" s="126">
        <f>'Short-sea (Hydrogen)'!V$408</f>
        <v>1.4712185790488037E-2</v>
      </c>
      <c r="Z51" s="126">
        <f>'Short-sea (Hydrogen)'!W$408</f>
        <v>1.4385142320975212E-2</v>
      </c>
      <c r="AA51" s="126">
        <f>'Short-sea (Hydrogen)'!X$408</f>
        <v>1.414874188095956E-2</v>
      </c>
      <c r="AB51" s="126">
        <f>'Short-sea (Hydrogen)'!Y$408</f>
        <v>1.3981302620663251E-2</v>
      </c>
      <c r="AC51" s="126">
        <f>'Short-sea (Hydrogen)'!Z$408</f>
        <v>1.3864572234527434E-2</v>
      </c>
      <c r="AD51" s="126">
        <f>'Short-sea (Hydrogen)'!AA$408</f>
        <v>1.3784148193993467E-2</v>
      </c>
      <c r="AE51" s="126">
        <f>'Short-sea (Hydrogen)'!AB$408</f>
        <v>1.3729207444161961E-2</v>
      </c>
      <c r="AF51" s="126">
        <f>'Short-sea (Hydrogen)'!AC$408</f>
        <v>1.3691899441277723E-2</v>
      </c>
    </row>
    <row r="52" spans="1:32" x14ac:dyDescent="0.25">
      <c r="A52">
        <v>51</v>
      </c>
      <c r="B52" t="s">
        <v>168</v>
      </c>
      <c r="C52" t="s">
        <v>186</v>
      </c>
      <c r="D52" t="s">
        <v>222</v>
      </c>
      <c r="E52" s="126">
        <f>'Short-sea (Ammonia)'!B$85</f>
        <v>2.902835818114894E-2</v>
      </c>
      <c r="F52" s="126">
        <f>'Short-sea (Ammonia)'!C$85</f>
        <v>2.8990021520339811E-2</v>
      </c>
      <c r="G52" s="126">
        <f>'Short-sea (Ammonia)'!D$85</f>
        <v>2.8935302004392136E-2</v>
      </c>
      <c r="H52" s="126">
        <f>'Short-sea (Ammonia)'!E$85</f>
        <v>2.8857356578696845E-2</v>
      </c>
      <c r="I52" s="126">
        <f>'Short-sea (Ammonia)'!F$85</f>
        <v>2.8746658692939197E-2</v>
      </c>
      <c r="J52" s="126">
        <f>'Short-sea (Ammonia)'!G$85</f>
        <v>2.8590137084176043E-2</v>
      </c>
      <c r="K52" s="126">
        <f>'Short-sea (Ammonia)'!H$85</f>
        <v>2.837024673258156E-2</v>
      </c>
      <c r="L52" s="126">
        <f>'Short-sea (Ammonia)'!I$85</f>
        <v>2.8064216890006113E-2</v>
      </c>
      <c r="M52" s="126">
        <f>'Short-sea (Ammonia)'!J$85</f>
        <v>2.7644007468468592E-2</v>
      </c>
      <c r="N52" s="126">
        <f>'Short-sea (Ammonia)'!K$85</f>
        <v>2.7077915299098029E-2</v>
      </c>
      <c r="O52" s="126">
        <f>'Short-sea (Ammonia)'!L$85</f>
        <v>2.6335130494883285E-2</v>
      </c>
      <c r="P52" s="126">
        <f>'Short-sea (Ammonia)'!M$85</f>
        <v>2.5394305808418977E-2</v>
      </c>
      <c r="Q52" s="126">
        <f>'Short-sea (Ammonia)'!N$85</f>
        <v>2.4255465502616674E-2</v>
      </c>
      <c r="R52" s="126">
        <f>'Short-sea (Ammonia)'!O$85</f>
        <v>2.2950989999888968E-2</v>
      </c>
      <c r="S52" s="126">
        <f>'Short-sea (Ammonia)'!P$85</f>
        <v>2.1548125417478269E-2</v>
      </c>
      <c r="T52" s="126">
        <f>'Short-sea (Ammonia)'!Q$85</f>
        <v>2.0137352951233402E-2</v>
      </c>
      <c r="U52" s="126">
        <f>'Short-sea (Ammonia)'!R$85</f>
        <v>1.8809837968912464E-2</v>
      </c>
      <c r="V52" s="126">
        <f>'Short-sea (Ammonia)'!S$85</f>
        <v>1.763561153821214E-2</v>
      </c>
      <c r="W52" s="126">
        <f>'Short-sea (Ammonia)'!T$85</f>
        <v>1.665268390724773E-2</v>
      </c>
      <c r="X52" s="126">
        <f>'Short-sea (Ammonia)'!U$85</f>
        <v>1.5868316245078239E-2</v>
      </c>
      <c r="Y52" s="126">
        <f>'Short-sea (Ammonia)'!V$85</f>
        <v>1.5267334739861674E-2</v>
      </c>
      <c r="Z52" s="126">
        <f>'Short-sea (Ammonia)'!W$85</f>
        <v>1.4822116447504755E-2</v>
      </c>
      <c r="AA52" s="126">
        <f>'Short-sea (Ammonia)'!X$85</f>
        <v>1.4501072805761843E-2</v>
      </c>
      <c r="AB52" s="126">
        <f>'Short-sea (Ammonia)'!Y$85</f>
        <v>1.4274344543437479E-2</v>
      </c>
      <c r="AC52" s="126">
        <f>'Short-sea (Ammonia)'!Z$85</f>
        <v>1.4116692936011114E-2</v>
      </c>
      <c r="AD52" s="126">
        <f>'Short-sea (Ammonia)'!AA$85</f>
        <v>1.400829969558617E-2</v>
      </c>
      <c r="AE52" s="126">
        <f>'Short-sea (Ammonia)'!AB$85</f>
        <v>1.3934365818658707E-2</v>
      </c>
      <c r="AF52" s="126">
        <f>'Short-sea (Ammonia)'!AC$85</f>
        <v>1.3884215565991918E-2</v>
      </c>
    </row>
    <row r="53" spans="1:32" x14ac:dyDescent="0.25">
      <c r="A53">
        <v>52</v>
      </c>
      <c r="B53" t="s">
        <v>168</v>
      </c>
      <c r="C53" t="s">
        <v>186</v>
      </c>
      <c r="D53" t="s">
        <v>223</v>
      </c>
      <c r="E53" s="128"/>
      <c r="F53" s="128"/>
      <c r="G53" s="128"/>
      <c r="H53" s="128"/>
      <c r="I53" s="128"/>
      <c r="J53" s="128"/>
      <c r="K53" s="128"/>
      <c r="L53" s="128"/>
      <c r="M53" s="128"/>
      <c r="N53" s="128"/>
      <c r="O53" s="128"/>
      <c r="P53" s="128"/>
      <c r="Q53" s="128"/>
      <c r="R53" s="128"/>
      <c r="S53" s="128"/>
      <c r="T53" s="128"/>
      <c r="U53" s="128"/>
      <c r="V53" s="128"/>
      <c r="W53" s="128"/>
      <c r="X53" s="128"/>
      <c r="Y53" s="128"/>
      <c r="Z53" s="128"/>
      <c r="AA53" s="128"/>
      <c r="AB53" s="128"/>
      <c r="AC53" s="128"/>
      <c r="AD53" s="128"/>
      <c r="AE53" s="128"/>
      <c r="AF53" s="128"/>
    </row>
    <row r="54" spans="1:32" x14ac:dyDescent="0.25">
      <c r="A54">
        <v>53</v>
      </c>
      <c r="B54" t="s">
        <v>168</v>
      </c>
      <c r="C54" t="s">
        <v>186</v>
      </c>
      <c r="D54" t="s">
        <v>224</v>
      </c>
      <c r="E54" s="126">
        <f>'Short-sea (Ammonia)'!B$191</f>
        <v>3.4793907727129626E-2</v>
      </c>
      <c r="F54" s="126">
        <f>'Short-sea (Ammonia)'!C$191</f>
        <v>3.4748869059773979E-2</v>
      </c>
      <c r="G54" s="126">
        <f>'Short-sea (Ammonia)'!D$191</f>
        <v>3.4684583455130889E-2</v>
      </c>
      <c r="H54" s="126">
        <f>'Short-sea (Ammonia)'!E$191</f>
        <v>3.4593011515939555E-2</v>
      </c>
      <c r="I54" s="126">
        <f>'Short-sea (Ammonia)'!F$191</f>
        <v>3.4462961187834186E-2</v>
      </c>
      <c r="J54" s="126">
        <f>'Short-sea (Ammonia)'!G$191</f>
        <v>3.4279075967565374E-2</v>
      </c>
      <c r="K54" s="126">
        <f>'Short-sea (Ammonia)'!H$191</f>
        <v>3.4020743429757631E-2</v>
      </c>
      <c r="L54" s="126">
        <f>'Short-sea (Ammonia)'!I$191</f>
        <v>3.3661211809394798E-2</v>
      </c>
      <c r="M54" s="126">
        <f>'Short-sea (Ammonia)'!J$191</f>
        <v>3.3167538864981742E-2</v>
      </c>
      <c r="N54" s="126">
        <f>'Short-sea (Ammonia)'!K$191</f>
        <v>3.2502479242060837E-2</v>
      </c>
      <c r="O54" s="126">
        <f>'Short-sea (Ammonia)'!L$191</f>
        <v>3.1629838040857707E-2</v>
      </c>
      <c r="P54" s="126">
        <f>'Short-sea (Ammonia)'!M$191</f>
        <v>3.0524539385806074E-2</v>
      </c>
      <c r="Q54" s="126">
        <f>'Short-sea (Ammonia)'!N$191</f>
        <v>2.9186618449256109E-2</v>
      </c>
      <c r="R54" s="126">
        <f>'Short-sea (Ammonia)'!O$191</f>
        <v>2.7654126596113063E-2</v>
      </c>
      <c r="S54" s="126">
        <f>'Short-sea (Ammonia)'!P$191</f>
        <v>2.6006076812898685E-2</v>
      </c>
      <c r="T54" s="126">
        <f>'Short-sea (Ammonia)'!Q$191</f>
        <v>2.4348773432992292E-2</v>
      </c>
      <c r="U54" s="126">
        <f>'Short-sea (Ammonia)'!R$191</f>
        <v>2.2789312412530651E-2</v>
      </c>
      <c r="V54" s="126">
        <f>'Short-sea (Ammonia)'!S$191</f>
        <v>2.1409948448749275E-2</v>
      </c>
      <c r="W54" s="126">
        <f>'Short-sea (Ammonia)'!T$191</f>
        <v>2.0255313843546632E-2</v>
      </c>
      <c r="X54" s="126">
        <f>'Short-sea (Ammonia)'!U$191</f>
        <v>1.9333923461855418E-2</v>
      </c>
      <c r="Y54" s="126">
        <f>'Short-sea (Ammonia)'!V$191</f>
        <v>1.862794699016912E-2</v>
      </c>
      <c r="Z54" s="126">
        <f>'Short-sea (Ammonia)'!W$191</f>
        <v>1.8104937507917616E-2</v>
      </c>
      <c r="AA54" s="126">
        <f>'Short-sea (Ammonia)'!X$191</f>
        <v>1.7727792338011281E-2</v>
      </c>
      <c r="AB54" s="126">
        <f>'Short-sea (Ammonia)'!Y$191</f>
        <v>1.7461439523991994E-2</v>
      </c>
      <c r="AC54" s="126">
        <f>'Short-sea (Ammonia)'!Z$191</f>
        <v>1.7276233170420773E-2</v>
      </c>
      <c r="AD54" s="126">
        <f>'Short-sea (Ammonia)'!AA$191</f>
        <v>1.7148893372723604E-2</v>
      </c>
      <c r="AE54" s="126">
        <f>'Short-sea (Ammonia)'!AB$191</f>
        <v>1.7062035594130064E-2</v>
      </c>
      <c r="AF54" s="126">
        <f>'Short-sea (Ammonia)'!AC$191</f>
        <v>1.700311858405153E-2</v>
      </c>
    </row>
    <row r="55" spans="1:32" x14ac:dyDescent="0.25">
      <c r="A55">
        <v>54</v>
      </c>
      <c r="B55" t="s">
        <v>168</v>
      </c>
      <c r="C55" t="s">
        <v>186</v>
      </c>
      <c r="D55" t="s">
        <v>225</v>
      </c>
      <c r="E55" s="126">
        <f>'Short-sea (Ammonia)'!B$299</f>
        <v>3.7458635463234573E-2</v>
      </c>
      <c r="F55" s="126">
        <f>'Short-sea (Ammonia)'!C$299</f>
        <v>3.7409222044583162E-2</v>
      </c>
      <c r="G55" s="126">
        <f>'Short-sea (Ammonia)'!D$299</f>
        <v>3.7338692181975448E-2</v>
      </c>
      <c r="H55" s="126">
        <f>'Short-sea (Ammonia)'!E$299</f>
        <v>3.7238225608829896E-2</v>
      </c>
      <c r="I55" s="126">
        <f>'Short-sea (Ammonia)'!F$299</f>
        <v>3.7095543211492679E-2</v>
      </c>
      <c r="J55" s="126">
        <f>'Short-sea (Ammonia)'!G$299</f>
        <v>3.6893797011716731E-2</v>
      </c>
      <c r="K55" s="126">
        <f>'Short-sea (Ammonia)'!H$299</f>
        <v>3.6610372793645977E-2</v>
      </c>
      <c r="L55" s="126">
        <f>'Short-sea (Ammonia)'!I$299</f>
        <v>3.6215921131582715E-2</v>
      </c>
      <c r="M55" s="126">
        <f>'Short-sea (Ammonia)'!J$299</f>
        <v>3.5674301802347978E-2</v>
      </c>
      <c r="N55" s="126">
        <f>'Short-sea (Ammonia)'!K$299</f>
        <v>3.4944655442323461E-2</v>
      </c>
      <c r="O55" s="126">
        <f>'Short-sea (Ammonia)'!L$299</f>
        <v>3.3987278734330988E-2</v>
      </c>
      <c r="P55" s="126">
        <f>'Short-sea (Ammonia)'!M$299</f>
        <v>3.2774673158946381E-2</v>
      </c>
      <c r="Q55" s="126">
        <f>'Short-sea (Ammonia)'!N$299</f>
        <v>3.1306898011975538E-2</v>
      </c>
      <c r="R55" s="126">
        <f>'Short-sea (Ammonia)'!O$299</f>
        <v>2.9625728446674476E-2</v>
      </c>
      <c r="S55" s="126">
        <f>'Short-sea (Ammonia)'!P$299</f>
        <v>2.7817880790561987E-2</v>
      </c>
      <c r="T55" s="126">
        <f>'Short-sea (Ammonia)'!Q$299</f>
        <v>2.600000174952307E-2</v>
      </c>
      <c r="U55" s="126">
        <f>'Short-sea (Ammonia)'!R$299</f>
        <v>2.4289580804806886E-2</v>
      </c>
      <c r="V55" s="126">
        <f>'Short-sea (Ammonia)'!S$299</f>
        <v>2.2776822890429777E-2</v>
      </c>
      <c r="W55" s="126">
        <f>'Short-sea (Ammonia)'!T$299</f>
        <v>2.1510636843727015E-2</v>
      </c>
      <c r="X55" s="126">
        <f>'Short-sea (Ammonia)'!U$299</f>
        <v>2.0500307481092536E-2</v>
      </c>
      <c r="Y55" s="126">
        <f>'Short-sea (Ammonia)'!V$299</f>
        <v>1.9726234289460215E-2</v>
      </c>
      <c r="Z55" s="126">
        <f>'Short-sea (Ammonia)'!W$299</f>
        <v>1.9152804231898909E-2</v>
      </c>
      <c r="AA55" s="126">
        <f>'Short-sea (Ammonia)'!X$299</f>
        <v>1.8739314867327227E-2</v>
      </c>
      <c r="AB55" s="126">
        <f>'Short-sea (Ammonia)'!Y$299</f>
        <v>1.8447301629776789E-2</v>
      </c>
      <c r="AC55" s="126">
        <f>'Short-sea (Ammonia)'!Z$299</f>
        <v>1.8244255875722069E-2</v>
      </c>
      <c r="AD55" s="126">
        <f>'Short-sea (Ammonia)'!AA$299</f>
        <v>1.8104652057202381E-2</v>
      </c>
      <c r="AE55" s="126">
        <f>'Short-sea (Ammonia)'!AB$299</f>
        <v>1.8009429779149631E-2</v>
      </c>
      <c r="AF55" s="126">
        <f>'Short-sea (Ammonia)'!AC$299</f>
        <v>1.7944839325241123E-2</v>
      </c>
    </row>
    <row r="56" spans="1:32" x14ac:dyDescent="0.25">
      <c r="A56">
        <v>55</v>
      </c>
      <c r="B56" t="s">
        <v>168</v>
      </c>
      <c r="C56" t="s">
        <v>186</v>
      </c>
      <c r="D56" t="s">
        <v>226</v>
      </c>
      <c r="E56" s="126">
        <f>'Short-sea (Ammonia)'!B$408</f>
        <v>2.902291985757945E-2</v>
      </c>
      <c r="F56" s="126">
        <f>'Short-sea (Ammonia)'!C$408</f>
        <v>2.8984583235964714E-2</v>
      </c>
      <c r="G56" s="126">
        <f>'Short-sea (Ammonia)'!D$408</f>
        <v>2.8929863776121559E-2</v>
      </c>
      <c r="H56" s="126">
        <f>'Short-sea (Ammonia)'!E$408</f>
        <v>2.8851918430684832E-2</v>
      </c>
      <c r="I56" s="126">
        <f>'Short-sea (Ammonia)'!F$408</f>
        <v>2.8741220659628485E-2</v>
      </c>
      <c r="J56" s="126">
        <f>'Short-sea (Ammonia)'!G$408</f>
        <v>2.8584699214556874E-2</v>
      </c>
      <c r="K56" s="126">
        <f>'Short-sea (Ammonia)'!H$408</f>
        <v>2.836480909607492E-2</v>
      </c>
      <c r="L56" s="126">
        <f>'Short-sea (Ammonia)'!I$408</f>
        <v>2.8058779584436665E-2</v>
      </c>
      <c r="M56" s="126">
        <f>'Short-sea (Ammonia)'!J$408</f>
        <v>2.7638570630548601E-2</v>
      </c>
      <c r="N56" s="126">
        <f>'Short-sea (Ammonia)'!K$408</f>
        <v>2.7072479117554945E-2</v>
      </c>
      <c r="O56" s="126">
        <f>'Short-sea (Ammonia)'!L$408</f>
        <v>2.6329695225565025E-2</v>
      </c>
      <c r="P56" s="126">
        <f>'Short-sea (Ammonia)'!M$408</f>
        <v>2.5388871789013941E-2</v>
      </c>
      <c r="Q56" s="126">
        <f>'Short-sea (Ammonia)'!N$408</f>
        <v>2.4250033161663943E-2</v>
      </c>
      <c r="R56" s="126">
        <f>'Short-sea (Ammonia)'!O$408</f>
        <v>2.2945559850757628E-2</v>
      </c>
      <c r="S56" s="126">
        <f>'Short-sea (Ammonia)'!P$408</f>
        <v>2.1542698024970851E-2</v>
      </c>
      <c r="T56" s="126">
        <f>'Short-sea (Ammonia)'!Q$408</f>
        <v>2.0131928861302981E-2</v>
      </c>
      <c r="U56" s="126">
        <f>'Short-sea (Ammonia)'!R$408</f>
        <v>1.8804417606511498E-2</v>
      </c>
      <c r="V56" s="126">
        <f>'Short-sea (Ammonia)'!S$408</f>
        <v>1.7630195102981885E-2</v>
      </c>
      <c r="W56" s="126">
        <f>'Short-sea (Ammonia)'!T$408</f>
        <v>1.6647271313990211E-2</v>
      </c>
      <c r="X56" s="126">
        <f>'Short-sea (Ammonia)'!U$408</f>
        <v>1.5862907142451078E-2</v>
      </c>
      <c r="Y56" s="126">
        <f>'Short-sea (Ammonia)'!V$408</f>
        <v>1.5261928598695499E-2</v>
      </c>
      <c r="Z56" s="126">
        <f>'Short-sea (Ammonia)'!W$408</f>
        <v>1.4816712674582103E-2</v>
      </c>
      <c r="AA56" s="126">
        <f>'Short-sea (Ammonia)'!X$408</f>
        <v>1.4495670837909997E-2</v>
      </c>
      <c r="AB56" s="126">
        <f>'Short-sea (Ammonia)'!Y$408</f>
        <v>1.4268943901352785E-2</v>
      </c>
      <c r="AC56" s="126">
        <f>'Short-sea (Ammonia)'!Z$408</f>
        <v>1.4111293241257527E-2</v>
      </c>
      <c r="AD56" s="126">
        <f>'Short-sea (Ammonia)'!AA$408</f>
        <v>1.4002900664487129E-2</v>
      </c>
      <c r="AE56" s="126">
        <f>'Short-sea (Ammonia)'!AB$408</f>
        <v>1.3928967246048748E-2</v>
      </c>
      <c r="AF56" s="126">
        <f>'Short-sea (Ammonia)'!AC$408</f>
        <v>1.3878817307084377E-2</v>
      </c>
    </row>
    <row r="57" spans="1:32" x14ac:dyDescent="0.25">
      <c r="A57">
        <v>56</v>
      </c>
      <c r="B57" t="s">
        <v>168</v>
      </c>
      <c r="C57" t="s">
        <v>187</v>
      </c>
      <c r="D57" t="s">
        <v>222</v>
      </c>
      <c r="E57" s="126">
        <f>'Short-sea (Methanol)'!B$85</f>
        <v>5.256198907442549E-2</v>
      </c>
      <c r="F57" s="126">
        <f>'Short-sea (Methanol)'!C$85</f>
        <v>5.2526394297190276E-2</v>
      </c>
      <c r="G57" s="126">
        <f>'Short-sea (Methanol)'!D$85</f>
        <v>5.2475448694266576E-2</v>
      </c>
      <c r="H57" s="126">
        <f>'Short-sea (Methanol)'!E$85</f>
        <v>5.2402582836688888E-2</v>
      </c>
      <c r="I57" s="126">
        <f>'Short-sea (Methanol)'!F$85</f>
        <v>5.2298472937483055E-2</v>
      </c>
      <c r="J57" s="126">
        <f>'Short-sea (Methanol)'!G$85</f>
        <v>5.2149949792586171E-2</v>
      </c>
      <c r="K57" s="126">
        <f>'Short-sea (Methanol)'!H$85</f>
        <v>5.1938546697640031E-2</v>
      </c>
      <c r="L57" s="126">
        <f>'Short-sea (Methanol)'!I$85</f>
        <v>5.1638647626834844E-2</v>
      </c>
      <c r="M57" s="126">
        <f>'Short-sea (Methanol)'!J$85</f>
        <v>5.121529553587726E-2</v>
      </c>
      <c r="N57" s="126">
        <f>'Short-sea (Methanol)'!K$85</f>
        <v>5.0621957398488196E-2</v>
      </c>
      <c r="O57" s="126">
        <f>'Short-sea (Methanol)'!L$85</f>
        <v>4.9799021712225715E-2</v>
      </c>
      <c r="P57" s="126">
        <f>'Short-sea (Methanol)'!M$85</f>
        <v>4.8674626273940889E-2</v>
      </c>
      <c r="Q57" s="126">
        <f>'Short-sea (Methanol)'!N$85</f>
        <v>4.7170514458405179E-2</v>
      </c>
      <c r="R57" s="126">
        <f>'Short-sea (Methanol)'!O$85</f>
        <v>4.5216376768738159E-2</v>
      </c>
      <c r="S57" s="126">
        <f>'Short-sea (Methanol)'!P$85</f>
        <v>4.277485867677501E-2</v>
      </c>
      <c r="T57" s="126">
        <f>'Short-sea (Methanol)'!Q$85</f>
        <v>3.9873635732939214E-2</v>
      </c>
      <c r="U57" s="126">
        <f>'Short-sea (Methanol)'!R$85</f>
        <v>3.6630502122908096E-2</v>
      </c>
      <c r="V57" s="126">
        <f>'Short-sea (Methanol)'!S$85</f>
        <v>3.3249919474857101E-2</v>
      </c>
      <c r="W57" s="126">
        <f>'Short-sea (Methanol)'!T$85</f>
        <v>2.9978909964873391E-2</v>
      </c>
      <c r="X57" s="126">
        <f>'Short-sea (Methanol)'!U$85</f>
        <v>2.7038302438161455E-2</v>
      </c>
      <c r="Y57" s="126">
        <f>'Short-sea (Methanol)'!V$85</f>
        <v>2.4566968351448323E-2</v>
      </c>
      <c r="Z57" s="126">
        <f>'Short-sea (Methanol)'!W$85</f>
        <v>2.2606266879732554E-2</v>
      </c>
      <c r="AA57" s="126">
        <f>'Short-sea (Methanol)'!X$85</f>
        <v>2.1121169047575002E-2</v>
      </c>
      <c r="AB57" s="126">
        <f>'Short-sea (Methanol)'!Y$85</f>
        <v>2.0035577496396055E-2</v>
      </c>
      <c r="AC57" s="126">
        <f>'Short-sea (Methanol)'!Z$85</f>
        <v>1.9262550832380616E-2</v>
      </c>
      <c r="AD57" s="126">
        <f>'Short-sea (Methanol)'!AA$85</f>
        <v>1.8722341533941637E-2</v>
      </c>
      <c r="AE57" s="126">
        <f>'Short-sea (Methanol)'!AB$85</f>
        <v>1.8349778877926683E-2</v>
      </c>
      <c r="AF57" s="126">
        <f>'Short-sea (Methanol)'!AC$85</f>
        <v>1.8095171411782698E-2</v>
      </c>
    </row>
    <row r="58" spans="1:32" x14ac:dyDescent="0.25">
      <c r="A58">
        <v>57</v>
      </c>
      <c r="B58" t="s">
        <v>168</v>
      </c>
      <c r="C58" t="s">
        <v>187</v>
      </c>
      <c r="D58" t="s">
        <v>223</v>
      </c>
      <c r="E58" s="128"/>
      <c r="F58" s="128"/>
      <c r="G58" s="128"/>
      <c r="H58" s="128"/>
      <c r="I58" s="128"/>
      <c r="J58" s="128"/>
      <c r="K58" s="128"/>
      <c r="L58" s="128"/>
      <c r="M58" s="128"/>
      <c r="N58" s="128"/>
      <c r="O58" s="128"/>
      <c r="P58" s="128"/>
      <c r="Q58" s="128"/>
      <c r="R58" s="128"/>
      <c r="S58" s="128"/>
      <c r="T58" s="128"/>
      <c r="U58" s="128"/>
      <c r="V58" s="128"/>
      <c r="W58" s="128"/>
      <c r="X58" s="128"/>
      <c r="Y58" s="128"/>
      <c r="Z58" s="128"/>
      <c r="AA58" s="128"/>
      <c r="AB58" s="128"/>
      <c r="AC58" s="128"/>
      <c r="AD58" s="128"/>
      <c r="AE58" s="128"/>
      <c r="AF58" s="128"/>
    </row>
    <row r="59" spans="1:32" x14ac:dyDescent="0.25">
      <c r="A59">
        <v>58</v>
      </c>
      <c r="B59" t="s">
        <v>168</v>
      </c>
      <c r="C59" t="s">
        <v>187</v>
      </c>
      <c r="D59" t="s">
        <v>224</v>
      </c>
      <c r="E59" s="126">
        <f>'Short-sea (Methanol)'!B$191</f>
        <v>6.2720175930539093E-2</v>
      </c>
      <c r="F59" s="126">
        <f>'Short-sea (Methanol)'!C$191</f>
        <v>6.2678141330804585E-2</v>
      </c>
      <c r="G59" s="126">
        <f>'Short-sea (Methanol)'!D$191</f>
        <v>6.2617978627355686E-2</v>
      </c>
      <c r="H59" s="126">
        <f>'Short-sea (Methanol)'!E$191</f>
        <v>6.2531929847295886E-2</v>
      </c>
      <c r="I59" s="126">
        <f>'Short-sea (Methanol)'!F$191</f>
        <v>6.2408984340077231E-2</v>
      </c>
      <c r="J59" s="126">
        <f>'Short-sea (Methanol)'!G$191</f>
        <v>6.2233590323539451E-2</v>
      </c>
      <c r="K59" s="126">
        <f>'Short-sea (Methanol)'!H$191</f>
        <v>6.1983940089181233E-2</v>
      </c>
      <c r="L59" s="126">
        <f>'Short-sea (Methanol)'!I$191</f>
        <v>6.1629783148719239E-2</v>
      </c>
      <c r="M59" s="126">
        <f>'Short-sea (Methanol)'!J$191</f>
        <v>6.1129838014280589E-2</v>
      </c>
      <c r="N59" s="126">
        <f>'Short-sea (Methanol)'!K$191</f>
        <v>6.0429152884336867E-2</v>
      </c>
      <c r="O59" s="126">
        <f>'Short-sea (Methanol)'!L$191</f>
        <v>5.9457331317630376E-2</v>
      </c>
      <c r="P59" s="126">
        <f>'Short-sea (Methanol)'!M$191</f>
        <v>5.8129509770123607E-2</v>
      </c>
      <c r="Q59" s="126">
        <f>'Short-sea (Methanol)'!N$191</f>
        <v>5.6353273394089951E-2</v>
      </c>
      <c r="R59" s="126">
        <f>'Short-sea (Methanol)'!O$191</f>
        <v>5.4045592268050321E-2</v>
      </c>
      <c r="S59" s="126">
        <f>'Short-sea (Methanol)'!P$191</f>
        <v>5.1162353666440979E-2</v>
      </c>
      <c r="T59" s="126">
        <f>'Short-sea (Methanol)'!Q$191</f>
        <v>4.7736240212243271E-2</v>
      </c>
      <c r="U59" s="126">
        <f>'Short-sea (Methanol)'!R$191</f>
        <v>4.3906357466176958E-2</v>
      </c>
      <c r="V59" s="126">
        <f>'Short-sea (Methanol)'!S$191</f>
        <v>3.9914158342657852E-2</v>
      </c>
      <c r="W59" s="126">
        <f>'Short-sea (Methanol)'!T$191</f>
        <v>3.605135637675759E-2</v>
      </c>
      <c r="X59" s="126">
        <f>'Short-sea (Methanol)'!U$191</f>
        <v>3.2578732863908035E-2</v>
      </c>
      <c r="Y59" s="126">
        <f>'Short-sea (Methanol)'!V$191</f>
        <v>2.966028394487712E-2</v>
      </c>
      <c r="Z59" s="126">
        <f>'Short-sea (Methanol)'!W$191</f>
        <v>2.7344851514500328E-2</v>
      </c>
      <c r="AA59" s="126">
        <f>'Short-sea (Methanol)'!X$191</f>
        <v>2.559106913994497E-2</v>
      </c>
      <c r="AB59" s="126">
        <f>'Short-sea (Methanol)'!Y$191</f>
        <v>2.4309071895589777E-2</v>
      </c>
      <c r="AC59" s="126">
        <f>'Short-sea (Methanol)'!Z$191</f>
        <v>2.3396188913030969E-2</v>
      </c>
      <c r="AD59" s="126">
        <f>'Short-sea (Methanol)'!AA$191</f>
        <v>2.2758244714569106E-2</v>
      </c>
      <c r="AE59" s="126">
        <f>'Short-sea (Methanol)'!AB$191</f>
        <v>2.2318277861619551E-2</v>
      </c>
      <c r="AF59" s="126">
        <f>'Short-sea (Methanol)'!AC$191</f>
        <v>2.2017606702531806E-2</v>
      </c>
    </row>
    <row r="60" spans="1:32" x14ac:dyDescent="0.25">
      <c r="A60">
        <v>59</v>
      </c>
      <c r="B60" t="s">
        <v>168</v>
      </c>
      <c r="C60" t="s">
        <v>187</v>
      </c>
      <c r="D60" t="s">
        <v>225</v>
      </c>
      <c r="E60" s="126">
        <f>'Short-sea (Methanol)'!B$299</f>
        <v>6.8286569531415708E-2</v>
      </c>
      <c r="F60" s="126">
        <f>'Short-sea (Methanol)'!C$299</f>
        <v>6.8240324278508568E-2</v>
      </c>
      <c r="G60" s="126">
        <f>'Short-sea (Methanol)'!D$299</f>
        <v>6.8174135009331685E-2</v>
      </c>
      <c r="H60" s="126">
        <f>'Short-sea (Methanol)'!E$299</f>
        <v>6.8079466626110502E-2</v>
      </c>
      <c r="I60" s="126">
        <f>'Short-sea (Methanol)'!F$299</f>
        <v>6.7944205529037294E-2</v>
      </c>
      <c r="J60" s="126">
        <f>'Short-sea (Methanol)'!G$299</f>
        <v>6.7751242096426592E-2</v>
      </c>
      <c r="K60" s="126">
        <f>'Short-sea (Methanol)'!H$299</f>
        <v>6.7476584117068208E-2</v>
      </c>
      <c r="L60" s="126">
        <f>'Short-sea (Methanol)'!I$299</f>
        <v>6.7086950877215223E-2</v>
      </c>
      <c r="M60" s="126">
        <f>'Short-sea (Methanol)'!J$299</f>
        <v>6.6536925675885095E-2</v>
      </c>
      <c r="N60" s="126">
        <f>'Short-sea (Methanol)'!K$299</f>
        <v>6.5766052127732566E-2</v>
      </c>
      <c r="O60" s="126">
        <f>'Short-sea (Methanol)'!L$299</f>
        <v>6.469688210073575E-2</v>
      </c>
      <c r="P60" s="126">
        <f>'Short-sea (Methanol)'!M$299</f>
        <v>6.3236051174122357E-2</v>
      </c>
      <c r="Q60" s="126">
        <f>'Short-sea (Methanol)'!N$299</f>
        <v>6.1281887200840011E-2</v>
      </c>
      <c r="R60" s="126">
        <f>'Short-sea (Methanol)'!O$299</f>
        <v>5.8743043058710608E-2</v>
      </c>
      <c r="S60" s="126">
        <f>'Short-sea (Methanol)'!P$299</f>
        <v>5.5570987200794134E-2</v>
      </c>
      <c r="T60" s="126">
        <f>'Short-sea (Methanol)'!Q$299</f>
        <v>5.1801676105205953E-2</v>
      </c>
      <c r="U60" s="126">
        <f>'Short-sea (Methanol)'!R$299</f>
        <v>4.7588149693270493E-2</v>
      </c>
      <c r="V60" s="126">
        <f>'Short-sea (Methanol)'!S$299</f>
        <v>4.3196047489637603E-2</v>
      </c>
      <c r="W60" s="126">
        <f>'Short-sea (Methanol)'!T$299</f>
        <v>3.8946304302561151E-2</v>
      </c>
      <c r="X60" s="126">
        <f>'Short-sea (Methanol)'!U$299</f>
        <v>3.5125824183390837E-2</v>
      </c>
      <c r="Y60" s="126">
        <f>'Short-sea (Methanol)'!V$299</f>
        <v>3.1915030950921373E-2</v>
      </c>
      <c r="Z60" s="126">
        <f>'Short-sea (Methanol)'!W$299</f>
        <v>2.9367659047573904E-2</v>
      </c>
      <c r="AA60" s="126">
        <f>'Short-sea (Methanol)'!X$299</f>
        <v>2.7438198318373828E-2</v>
      </c>
      <c r="AB60" s="126">
        <f>'Short-sea (Methanol)'!Y$299</f>
        <v>2.602778196694186E-2</v>
      </c>
      <c r="AC60" s="126">
        <f>'Short-sea (Methanol)'!Z$299</f>
        <v>2.5023454468412386E-2</v>
      </c>
      <c r="AD60" s="126">
        <f>'Short-sea (Methanol)'!AA$299</f>
        <v>2.4321606681474019E-2</v>
      </c>
      <c r="AE60" s="126">
        <f>'Short-sea (Methanol)'!AB$299</f>
        <v>2.3837567853605694E-2</v>
      </c>
      <c r="AF60" s="126">
        <f>'Short-sea (Methanol)'!AC$299</f>
        <v>2.3506778126054714E-2</v>
      </c>
    </row>
    <row r="61" spans="1:32" x14ac:dyDescent="0.25">
      <c r="A61">
        <v>60</v>
      </c>
      <c r="B61" t="s">
        <v>168</v>
      </c>
      <c r="C61" t="s">
        <v>187</v>
      </c>
      <c r="D61" t="s">
        <v>226</v>
      </c>
      <c r="E61" s="126">
        <f>'Short-sea (Methanol)'!B$408</f>
        <v>5.2556708796956973E-2</v>
      </c>
      <c r="F61" s="126">
        <f>'Short-sea (Methanol)'!C$408</f>
        <v>5.252111401972176E-2</v>
      </c>
      <c r="G61" s="126">
        <f>'Short-sea (Methanol)'!D$408</f>
        <v>5.2470168416798052E-2</v>
      </c>
      <c r="H61" s="126">
        <f>'Short-sea (Methanol)'!E$408</f>
        <v>5.2397302559220371E-2</v>
      </c>
      <c r="I61" s="126">
        <f>'Short-sea (Methanol)'!F$408</f>
        <v>5.2293192660014531E-2</v>
      </c>
      <c r="J61" s="126">
        <f>'Short-sea (Methanol)'!G$408</f>
        <v>5.2144669515117655E-2</v>
      </c>
      <c r="K61" s="126">
        <f>'Short-sea (Methanol)'!H$408</f>
        <v>5.1933266420171507E-2</v>
      </c>
      <c r="L61" s="126">
        <f>'Short-sea (Methanol)'!I$408</f>
        <v>5.163336734936632E-2</v>
      </c>
      <c r="M61" s="126">
        <f>'Short-sea (Methanol)'!J$408</f>
        <v>5.1210015258408736E-2</v>
      </c>
      <c r="N61" s="126">
        <f>'Short-sea (Methanol)'!K$408</f>
        <v>5.0616677121019679E-2</v>
      </c>
      <c r="O61" s="126">
        <f>'Short-sea (Methanol)'!L$408</f>
        <v>4.9793741434757191E-2</v>
      </c>
      <c r="P61" s="126">
        <f>'Short-sea (Methanol)'!M$408</f>
        <v>4.8669345996472373E-2</v>
      </c>
      <c r="Q61" s="126">
        <f>'Short-sea (Methanol)'!N$408</f>
        <v>4.7165234180936662E-2</v>
      </c>
      <c r="R61" s="126">
        <f>'Short-sea (Methanol)'!O$408</f>
        <v>4.5211096491269649E-2</v>
      </c>
      <c r="S61" s="126">
        <f>'Short-sea (Methanol)'!P$408</f>
        <v>4.2769578399306493E-2</v>
      </c>
      <c r="T61" s="126">
        <f>'Short-sea (Methanol)'!Q$408</f>
        <v>3.9868355455470704E-2</v>
      </c>
      <c r="U61" s="126">
        <f>'Short-sea (Methanol)'!R$408</f>
        <v>3.6625221845439579E-2</v>
      </c>
      <c r="V61" s="126">
        <f>'Short-sea (Methanol)'!S$408</f>
        <v>3.3244639197388584E-2</v>
      </c>
      <c r="W61" s="126">
        <f>'Short-sea (Methanol)'!T$408</f>
        <v>2.9973629687404874E-2</v>
      </c>
      <c r="X61" s="126">
        <f>'Short-sea (Methanol)'!U$408</f>
        <v>2.7033022160692938E-2</v>
      </c>
      <c r="Y61" s="126">
        <f>'Short-sea (Methanol)'!V$408</f>
        <v>2.4561688073979807E-2</v>
      </c>
      <c r="Z61" s="126">
        <f>'Short-sea (Methanol)'!W$408</f>
        <v>2.2600986602264037E-2</v>
      </c>
      <c r="AA61" s="126">
        <f>'Short-sea (Methanol)'!X$408</f>
        <v>2.1115888770106488E-2</v>
      </c>
      <c r="AB61" s="126">
        <f>'Short-sea (Methanol)'!Y$408</f>
        <v>2.0030297218927538E-2</v>
      </c>
      <c r="AC61" s="126">
        <f>'Short-sea (Methanol)'!Z$408</f>
        <v>1.9257270554912099E-2</v>
      </c>
      <c r="AD61" s="126">
        <f>'Short-sea (Methanol)'!AA$408</f>
        <v>1.8717061256473121E-2</v>
      </c>
      <c r="AE61" s="126">
        <f>'Short-sea (Methanol)'!AB$408</f>
        <v>1.8344498600458167E-2</v>
      </c>
      <c r="AF61" s="126">
        <f>'Short-sea (Methanol)'!AC$408</f>
        <v>1.8089891134314182E-2</v>
      </c>
    </row>
  </sheetData>
  <autoFilter ref="A1:AF61" xr:uid="{AF8668B1-9741-4E7F-A2AD-F09AFC561265}">
    <sortState xmlns:xlrd2="http://schemas.microsoft.com/office/spreadsheetml/2017/richdata2" ref="A2:AF61">
      <sortCondition ref="A1:A61"/>
    </sortState>
  </autoFilter>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20385E-FE16-44CE-9B43-6CF16FAFB884}">
  <dimension ref="A1:C9"/>
  <sheetViews>
    <sheetView zoomScale="120" zoomScaleNormal="120" workbookViewId="0">
      <selection activeCell="C18" sqref="C18"/>
    </sheetView>
  </sheetViews>
  <sheetFormatPr defaultRowHeight="15" x14ac:dyDescent="0.25"/>
  <cols>
    <col min="1" max="1" width="173.5703125" bestFit="1" customWidth="1"/>
    <col min="3" max="3" width="66.42578125" bestFit="1" customWidth="1"/>
    <col min="12" max="12" width="66.42578125" bestFit="1" customWidth="1"/>
  </cols>
  <sheetData>
    <row r="1" spans="1:3" x14ac:dyDescent="0.25">
      <c r="A1" s="125" t="s">
        <v>212</v>
      </c>
      <c r="C1" s="125" t="s">
        <v>213</v>
      </c>
    </row>
    <row r="2" spans="1:3" x14ac:dyDescent="0.25">
      <c r="A2" t="s">
        <v>229</v>
      </c>
      <c r="C2" t="s">
        <v>214</v>
      </c>
    </row>
    <row r="3" spans="1:3" x14ac:dyDescent="0.25">
      <c r="A3" t="s">
        <v>240</v>
      </c>
      <c r="C3" t="s">
        <v>215</v>
      </c>
    </row>
    <row r="4" spans="1:3" x14ac:dyDescent="0.25">
      <c r="A4" t="s">
        <v>216</v>
      </c>
      <c r="C4" t="s">
        <v>217</v>
      </c>
    </row>
    <row r="5" spans="1:3" x14ac:dyDescent="0.25">
      <c r="A5" t="s">
        <v>218</v>
      </c>
    </row>
    <row r="6" spans="1:3" x14ac:dyDescent="0.25">
      <c r="A6" t="s">
        <v>228</v>
      </c>
    </row>
    <row r="7" spans="1:3" x14ac:dyDescent="0.25">
      <c r="A7" s="132" t="s">
        <v>235</v>
      </c>
    </row>
    <row r="8" spans="1:3" x14ac:dyDescent="0.25">
      <c r="A8" t="s">
        <v>237</v>
      </c>
    </row>
    <row r="9" spans="1:3" x14ac:dyDescent="0.25">
      <c r="A9" t="s">
        <v>241</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17320-C1DD-4AFA-8954-B2A20C913967}">
  <sheetPr codeName="Sheet5">
    <tabColor theme="4" tint="-0.249977111117893"/>
  </sheetPr>
  <dimension ref="A1:AR515"/>
  <sheetViews>
    <sheetView topLeftCell="A456" zoomScale="85" zoomScaleNormal="85" zoomScaleSheetLayoutView="50" workbookViewId="0">
      <selection activeCell="D211" sqref="D211"/>
    </sheetView>
  </sheetViews>
  <sheetFormatPr defaultColWidth="9.140625" defaultRowHeight="15" x14ac:dyDescent="0.25"/>
  <cols>
    <col min="1" max="1" width="38.5703125" style="4" customWidth="1"/>
    <col min="2" max="4" width="14.85546875" style="4" bestFit="1" customWidth="1"/>
    <col min="5" max="5" width="28" style="4" bestFit="1" customWidth="1"/>
    <col min="6" max="11" width="14.85546875" style="4" bestFit="1" customWidth="1"/>
    <col min="12" max="12" width="24.42578125" style="4" bestFit="1" customWidth="1"/>
    <col min="13" max="29" width="14.85546875" style="4" bestFit="1" customWidth="1"/>
    <col min="30" max="44" width="13.5703125" style="4" bestFit="1" customWidth="1"/>
    <col min="45" max="16384" width="9.140625" style="4"/>
  </cols>
  <sheetData>
    <row r="1" spans="1:44" s="3" customFormat="1" ht="21" x14ac:dyDescent="0.35">
      <c r="A1" s="2" t="str">
        <f>'Parameter Input'!A20</f>
        <v>Road long-haul: Dry bulk</v>
      </c>
    </row>
    <row r="2" spans="1:44" s="3" customFormat="1" ht="21" x14ac:dyDescent="0.35">
      <c r="A2" s="2" t="s">
        <v>11</v>
      </c>
    </row>
    <row r="3" spans="1:44" x14ac:dyDescent="0.25">
      <c r="A3" s="33" t="s">
        <v>195</v>
      </c>
    </row>
    <row r="4" spans="1:44" x14ac:dyDescent="0.25">
      <c r="A4" s="33" t="s">
        <v>196</v>
      </c>
    </row>
    <row r="5" spans="1:44" ht="15.75" thickBot="1" x14ac:dyDescent="0.3">
      <c r="A5" s="34" t="s">
        <v>197</v>
      </c>
      <c r="B5" s="34"/>
    </row>
    <row r="6" spans="1:44" ht="15.75" thickBot="1" x14ac:dyDescent="0.3">
      <c r="A6" s="39" t="s">
        <v>198</v>
      </c>
      <c r="B6" s="35"/>
    </row>
    <row r="7" spans="1:44" ht="15.75" thickBot="1" x14ac:dyDescent="0.3">
      <c r="A7" s="38" t="s">
        <v>199</v>
      </c>
      <c r="B7" s="36"/>
    </row>
    <row r="8" spans="1:44" ht="15.75" thickBot="1" x14ac:dyDescent="0.3"/>
    <row r="9" spans="1:44"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18</v>
      </c>
      <c r="B11" s="41">
        <f>'Parameter Input'!L21</f>
        <v>105000</v>
      </c>
      <c r="C11" s="42">
        <f>'Parameter Input'!M21</f>
        <v>115000</v>
      </c>
      <c r="D11" s="1" t="s">
        <v>15</v>
      </c>
      <c r="L11" s="51">
        <f>'Parameter Input'!O21</f>
        <v>12</v>
      </c>
      <c r="M11" s="52">
        <v>0</v>
      </c>
      <c r="N11" s="52">
        <v>1</v>
      </c>
      <c r="O11" s="52">
        <f>'Parameter Input'!P21</f>
        <v>0.9</v>
      </c>
      <c r="P11" s="53">
        <f>'Parameter Input'!Q21</f>
        <v>0.4</v>
      </c>
      <c r="Q11" s="4">
        <f t="shared" ref="Q11:AR20" si="0">$N11+($M11-$N11)*((1/(1+EXP(-$P11*(Q$9-$L11)))^$O11))</f>
        <v>0.9867978615748374</v>
      </c>
      <c r="R11" s="4">
        <f t="shared" si="0"/>
        <v>0.98114509762858249</v>
      </c>
      <c r="S11" s="4">
        <f t="shared" si="0"/>
        <v>0.97311898315872036</v>
      </c>
      <c r="T11" s="4">
        <f>$N11+($M11-$N11)*((1/(1+EXP(-$P11*(T$9-$L11)))^$O11))</f>
        <v>0.96177484161592774</v>
      </c>
      <c r="U11" s="4">
        <f t="shared" si="0"/>
        <v>0.94584787155511363</v>
      </c>
      <c r="V11" s="4">
        <f t="shared" si="0"/>
        <v>0.92370360150141495</v>
      </c>
      <c r="W11" s="4">
        <f t="shared" si="0"/>
        <v>0.89334463567658451</v>
      </c>
      <c r="X11" s="4">
        <f t="shared" si="0"/>
        <v>0.85254543874327005</v>
      </c>
      <c r="Y11" s="4">
        <f t="shared" si="0"/>
        <v>0.79921300652623883</v>
      </c>
      <c r="Z11" s="4">
        <f t="shared" si="0"/>
        <v>0.73204982249993378</v>
      </c>
      <c r="AA11" s="4">
        <f t="shared" si="0"/>
        <v>0.65145592958786691</v>
      </c>
      <c r="AB11" s="4">
        <f t="shared" si="0"/>
        <v>0.56032247880849573</v>
      </c>
      <c r="AC11" s="4">
        <f t="shared" si="0"/>
        <v>0.46411326873185343</v>
      </c>
      <c r="AD11" s="4">
        <f t="shared" si="0"/>
        <v>0.36979727595523937</v>
      </c>
      <c r="AE11" s="4">
        <f t="shared" si="0"/>
        <v>0.28393948637231203</v>
      </c>
      <c r="AF11" s="4">
        <f t="shared" si="0"/>
        <v>0.21097259161117732</v>
      </c>
      <c r="AG11" s="4">
        <f t="shared" si="0"/>
        <v>0.15253917653798199</v>
      </c>
      <c r="AH11" s="4">
        <f t="shared" si="0"/>
        <v>0.10795188737709993</v>
      </c>
      <c r="AI11" s="4">
        <f t="shared" si="0"/>
        <v>7.5176653938091809E-2</v>
      </c>
      <c r="AJ11" s="4">
        <f t="shared" si="0"/>
        <v>5.1742836177502194E-2</v>
      </c>
      <c r="AK11" s="4">
        <f t="shared" si="0"/>
        <v>3.5319190625345942E-2</v>
      </c>
      <c r="AL11" s="4">
        <f t="shared" si="0"/>
        <v>2.3969442072658165E-2</v>
      </c>
      <c r="AM11" s="4">
        <f t="shared" si="0"/>
        <v>1.6202243558389728E-2</v>
      </c>
      <c r="AN11" s="4">
        <f t="shared" si="0"/>
        <v>1.0922240564108399E-2</v>
      </c>
      <c r="AO11" s="4">
        <f t="shared" si="0"/>
        <v>7.3493212906090566E-3</v>
      </c>
      <c r="AP11" s="4">
        <f t="shared" si="0"/>
        <v>4.9390262185057265E-3</v>
      </c>
      <c r="AQ11" s="4">
        <f t="shared" si="0"/>
        <v>3.3164275492956197E-3</v>
      </c>
      <c r="AR11" s="4">
        <f t="shared" si="0"/>
        <v>2.2256362146679809E-3</v>
      </c>
    </row>
    <row r="12" spans="1:44" x14ac:dyDescent="0.25">
      <c r="A12" s="24" t="s">
        <v>28</v>
      </c>
      <c r="B12" s="60">
        <f>'Parameter Input'!L22</f>
        <v>-26250</v>
      </c>
      <c r="C12" s="61">
        <f>'Parameter Input'!M22</f>
        <v>-17250</v>
      </c>
      <c r="D12" s="1" t="s">
        <v>15</v>
      </c>
      <c r="L12" s="54">
        <f>'Parameter Input'!O22</f>
        <v>12</v>
      </c>
      <c r="M12" s="37">
        <v>0</v>
      </c>
      <c r="N12" s="37">
        <v>1</v>
      </c>
      <c r="O12" s="37">
        <f>'Parameter Input'!P22</f>
        <v>0.9</v>
      </c>
      <c r="P12" s="55">
        <f>'Parameter Input'!Q22</f>
        <v>0.4</v>
      </c>
      <c r="Q12" s="4">
        <f t="shared" si="0"/>
        <v>0.9867978615748374</v>
      </c>
      <c r="R12" s="4">
        <f t="shared" si="0"/>
        <v>0.98114509762858249</v>
      </c>
      <c r="S12" s="4">
        <f t="shared" si="0"/>
        <v>0.97311898315872036</v>
      </c>
      <c r="T12" s="4">
        <f t="shared" si="0"/>
        <v>0.96177484161592774</v>
      </c>
      <c r="U12" s="4">
        <f t="shared" si="0"/>
        <v>0.94584787155511363</v>
      </c>
      <c r="V12" s="4">
        <f t="shared" si="0"/>
        <v>0.92370360150141495</v>
      </c>
      <c r="W12" s="4">
        <f t="shared" si="0"/>
        <v>0.89334463567658451</v>
      </c>
      <c r="X12" s="4">
        <f t="shared" si="0"/>
        <v>0.85254543874327005</v>
      </c>
      <c r="Y12" s="4">
        <f t="shared" si="0"/>
        <v>0.79921300652623883</v>
      </c>
      <c r="Z12" s="4">
        <f t="shared" si="0"/>
        <v>0.73204982249993378</v>
      </c>
      <c r="AA12" s="4">
        <f t="shared" si="0"/>
        <v>0.65145592958786691</v>
      </c>
      <c r="AB12" s="4">
        <f t="shared" si="0"/>
        <v>0.56032247880849573</v>
      </c>
      <c r="AC12" s="4">
        <f t="shared" si="0"/>
        <v>0.46411326873185343</v>
      </c>
      <c r="AD12" s="4">
        <f t="shared" si="0"/>
        <v>0.36979727595523937</v>
      </c>
      <c r="AE12" s="4">
        <f t="shared" si="0"/>
        <v>0.28393948637231203</v>
      </c>
      <c r="AF12" s="4">
        <f t="shared" si="0"/>
        <v>0.21097259161117732</v>
      </c>
      <c r="AG12" s="4">
        <f t="shared" si="0"/>
        <v>0.15253917653798199</v>
      </c>
      <c r="AH12" s="4">
        <f t="shared" si="0"/>
        <v>0.10795188737709993</v>
      </c>
      <c r="AI12" s="4">
        <f t="shared" si="0"/>
        <v>7.5176653938091809E-2</v>
      </c>
      <c r="AJ12" s="4">
        <f t="shared" si="0"/>
        <v>5.1742836177502194E-2</v>
      </c>
      <c r="AK12" s="4">
        <f t="shared" si="0"/>
        <v>3.5319190625345942E-2</v>
      </c>
      <c r="AL12" s="4">
        <f t="shared" si="0"/>
        <v>2.3969442072658165E-2</v>
      </c>
      <c r="AM12" s="4">
        <f t="shared" si="0"/>
        <v>1.6202243558389728E-2</v>
      </c>
      <c r="AN12" s="4">
        <f t="shared" si="0"/>
        <v>1.0922240564108399E-2</v>
      </c>
      <c r="AO12" s="4">
        <f t="shared" si="0"/>
        <v>7.3493212906090566E-3</v>
      </c>
      <c r="AP12" s="4">
        <f t="shared" si="0"/>
        <v>4.9390262185057265E-3</v>
      </c>
      <c r="AQ12" s="4">
        <f t="shared" si="0"/>
        <v>3.3164275492956197E-3</v>
      </c>
      <c r="AR12" s="4">
        <f t="shared" si="0"/>
        <v>2.2256362146679809E-3</v>
      </c>
    </row>
    <row r="13" spans="1:44" x14ac:dyDescent="0.25">
      <c r="A13" s="24" t="s">
        <v>14</v>
      </c>
      <c r="B13" s="43">
        <f>'Parameter Input'!B21</f>
        <v>40000</v>
      </c>
      <c r="C13" s="44">
        <f>'Parameter Input'!C21</f>
        <v>40000</v>
      </c>
      <c r="D13" s="1" t="s">
        <v>15</v>
      </c>
      <c r="L13" s="54">
        <f>'Parameter Input'!E21</f>
        <v>12</v>
      </c>
      <c r="M13" s="37">
        <v>0</v>
      </c>
      <c r="N13" s="37">
        <v>1</v>
      </c>
      <c r="O13" s="37">
        <f>'Parameter Input'!F21</f>
        <v>0.9</v>
      </c>
      <c r="P13" s="55">
        <f>'Parameter Input'!G21</f>
        <v>0.4</v>
      </c>
      <c r="Q13" s="4">
        <f t="shared" si="0"/>
        <v>0.9867978615748374</v>
      </c>
      <c r="R13" s="4">
        <f t="shared" si="0"/>
        <v>0.98114509762858249</v>
      </c>
      <c r="S13" s="4">
        <f t="shared" si="0"/>
        <v>0.97311898315872036</v>
      </c>
      <c r="T13" s="4">
        <f t="shared" si="0"/>
        <v>0.96177484161592774</v>
      </c>
      <c r="U13" s="4">
        <f t="shared" si="0"/>
        <v>0.94584787155511363</v>
      </c>
      <c r="V13" s="4">
        <f t="shared" si="0"/>
        <v>0.92370360150141495</v>
      </c>
      <c r="W13" s="4">
        <f t="shared" si="0"/>
        <v>0.89334463567658451</v>
      </c>
      <c r="X13" s="4">
        <f t="shared" si="0"/>
        <v>0.85254543874327005</v>
      </c>
      <c r="Y13" s="4">
        <f t="shared" si="0"/>
        <v>0.79921300652623883</v>
      </c>
      <c r="Z13" s="4">
        <f t="shared" si="0"/>
        <v>0.73204982249993378</v>
      </c>
      <c r="AA13" s="4">
        <f t="shared" si="0"/>
        <v>0.65145592958786691</v>
      </c>
      <c r="AB13" s="4">
        <f t="shared" si="0"/>
        <v>0.56032247880849573</v>
      </c>
      <c r="AC13" s="4">
        <f t="shared" si="0"/>
        <v>0.46411326873185343</v>
      </c>
      <c r="AD13" s="4">
        <f t="shared" si="0"/>
        <v>0.36979727595523937</v>
      </c>
      <c r="AE13" s="4">
        <f t="shared" si="0"/>
        <v>0.28393948637231203</v>
      </c>
      <c r="AF13" s="4">
        <f t="shared" si="0"/>
        <v>0.21097259161117732</v>
      </c>
      <c r="AG13" s="4">
        <f t="shared" si="0"/>
        <v>0.15253917653798199</v>
      </c>
      <c r="AH13" s="4">
        <f t="shared" si="0"/>
        <v>0.10795188737709993</v>
      </c>
      <c r="AI13" s="4">
        <f t="shared" si="0"/>
        <v>7.5176653938091809E-2</v>
      </c>
      <c r="AJ13" s="4">
        <f t="shared" si="0"/>
        <v>5.1742836177502194E-2</v>
      </c>
      <c r="AK13" s="4">
        <f t="shared" si="0"/>
        <v>3.5319190625345942E-2</v>
      </c>
      <c r="AL13" s="4">
        <f t="shared" si="0"/>
        <v>2.3969442072658165E-2</v>
      </c>
      <c r="AM13" s="4">
        <f t="shared" si="0"/>
        <v>1.6202243558389728E-2</v>
      </c>
      <c r="AN13" s="4">
        <f t="shared" si="0"/>
        <v>1.0922240564108399E-2</v>
      </c>
      <c r="AO13" s="4">
        <f t="shared" si="0"/>
        <v>7.3493212906090566E-3</v>
      </c>
      <c r="AP13" s="4">
        <f t="shared" si="0"/>
        <v>4.9390262185057265E-3</v>
      </c>
      <c r="AQ13" s="4">
        <f t="shared" si="0"/>
        <v>3.3164275492956197E-3</v>
      </c>
      <c r="AR13" s="4">
        <f t="shared" si="0"/>
        <v>2.2256362146679809E-3</v>
      </c>
    </row>
    <row r="14" spans="1:44" x14ac:dyDescent="0.25">
      <c r="A14" s="24" t="s">
        <v>25</v>
      </c>
      <c r="B14" s="60">
        <f>'Parameter Input'!B22</f>
        <v>-10000</v>
      </c>
      <c r="C14" s="61">
        <f>'Parameter Input'!C22</f>
        <v>-10000</v>
      </c>
      <c r="D14" s="1" t="s">
        <v>15</v>
      </c>
      <c r="L14" s="54">
        <f>'Parameter Input'!E22</f>
        <v>12</v>
      </c>
      <c r="M14" s="37">
        <v>0</v>
      </c>
      <c r="N14" s="37">
        <v>1</v>
      </c>
      <c r="O14" s="37">
        <f>'Parameter Input'!F22</f>
        <v>0.9</v>
      </c>
      <c r="P14" s="55">
        <f>'Parameter Input'!G22</f>
        <v>0.4</v>
      </c>
      <c r="Q14" s="4">
        <f t="shared" si="0"/>
        <v>0.9867978615748374</v>
      </c>
      <c r="R14" s="4">
        <f t="shared" si="0"/>
        <v>0.98114509762858249</v>
      </c>
      <c r="S14" s="4">
        <f t="shared" si="0"/>
        <v>0.97311898315872036</v>
      </c>
      <c r="T14" s="4">
        <f t="shared" si="0"/>
        <v>0.96177484161592774</v>
      </c>
      <c r="U14" s="4">
        <f t="shared" si="0"/>
        <v>0.94584787155511363</v>
      </c>
      <c r="V14" s="4">
        <f t="shared" si="0"/>
        <v>0.92370360150141495</v>
      </c>
      <c r="W14" s="4">
        <f t="shared" si="0"/>
        <v>0.89334463567658451</v>
      </c>
      <c r="X14" s="4">
        <f t="shared" si="0"/>
        <v>0.85254543874327005</v>
      </c>
      <c r="Y14" s="4">
        <f t="shared" si="0"/>
        <v>0.79921300652623883</v>
      </c>
      <c r="Z14" s="4">
        <f t="shared" si="0"/>
        <v>0.73204982249993378</v>
      </c>
      <c r="AA14" s="4">
        <f t="shared" si="0"/>
        <v>0.65145592958786691</v>
      </c>
      <c r="AB14" s="4">
        <f t="shared" si="0"/>
        <v>0.56032247880849573</v>
      </c>
      <c r="AC14" s="4">
        <f t="shared" si="0"/>
        <v>0.46411326873185343</v>
      </c>
      <c r="AD14" s="4">
        <f t="shared" si="0"/>
        <v>0.36979727595523937</v>
      </c>
      <c r="AE14" s="4">
        <f t="shared" si="0"/>
        <v>0.28393948637231203</v>
      </c>
      <c r="AF14" s="4">
        <f t="shared" si="0"/>
        <v>0.21097259161117732</v>
      </c>
      <c r="AG14" s="4">
        <f t="shared" si="0"/>
        <v>0.15253917653798199</v>
      </c>
      <c r="AH14" s="4">
        <f t="shared" si="0"/>
        <v>0.10795188737709993</v>
      </c>
      <c r="AI14" s="4">
        <f t="shared" si="0"/>
        <v>7.5176653938091809E-2</v>
      </c>
      <c r="AJ14" s="4">
        <f t="shared" si="0"/>
        <v>5.1742836177502194E-2</v>
      </c>
      <c r="AK14" s="4">
        <f t="shared" si="0"/>
        <v>3.5319190625345942E-2</v>
      </c>
      <c r="AL14" s="4">
        <f t="shared" si="0"/>
        <v>2.3969442072658165E-2</v>
      </c>
      <c r="AM14" s="4">
        <f t="shared" si="0"/>
        <v>1.6202243558389728E-2</v>
      </c>
      <c r="AN14" s="4">
        <f t="shared" si="0"/>
        <v>1.0922240564108399E-2</v>
      </c>
      <c r="AO14" s="4">
        <f t="shared" si="0"/>
        <v>7.3493212906090566E-3</v>
      </c>
      <c r="AP14" s="4">
        <f t="shared" si="0"/>
        <v>4.9390262185057265E-3</v>
      </c>
      <c r="AQ14" s="4">
        <f t="shared" si="0"/>
        <v>3.3164275492956197E-3</v>
      </c>
      <c r="AR14" s="4">
        <f t="shared" si="0"/>
        <v>2.2256362146679809E-3</v>
      </c>
    </row>
    <row r="15" spans="1:44" x14ac:dyDescent="0.25">
      <c r="A15" s="24" t="s">
        <v>79</v>
      </c>
      <c r="B15" s="45">
        <f>'Parameter Input'!L28</f>
        <v>0.06</v>
      </c>
      <c r="C15" s="46">
        <f>'Parameter Input'!M28</f>
        <v>0.06</v>
      </c>
      <c r="D15" s="1" t="s">
        <v>57</v>
      </c>
      <c r="L15" s="54">
        <f>'Parameter Input'!O28</f>
        <v>12</v>
      </c>
      <c r="M15" s="37">
        <v>0</v>
      </c>
      <c r="N15" s="37">
        <v>1</v>
      </c>
      <c r="O15" s="37">
        <f>'Parameter Input'!P28</f>
        <v>0.9</v>
      </c>
      <c r="P15" s="55">
        <f>'Parameter Input'!Q28</f>
        <v>0.4</v>
      </c>
      <c r="Q15" s="4">
        <f t="shared" si="0"/>
        <v>0.9867978615748374</v>
      </c>
      <c r="R15" s="4">
        <f t="shared" si="0"/>
        <v>0.98114509762858249</v>
      </c>
      <c r="S15" s="4">
        <f t="shared" si="0"/>
        <v>0.97311898315872036</v>
      </c>
      <c r="T15" s="4">
        <f t="shared" si="0"/>
        <v>0.96177484161592774</v>
      </c>
      <c r="U15" s="4">
        <f t="shared" si="0"/>
        <v>0.94584787155511363</v>
      </c>
      <c r="V15" s="4">
        <f t="shared" si="0"/>
        <v>0.92370360150141495</v>
      </c>
      <c r="W15" s="4">
        <f t="shared" si="0"/>
        <v>0.89334463567658451</v>
      </c>
      <c r="X15" s="4">
        <f t="shared" si="0"/>
        <v>0.85254543874327005</v>
      </c>
      <c r="Y15" s="4">
        <f t="shared" si="0"/>
        <v>0.79921300652623883</v>
      </c>
      <c r="Z15" s="4">
        <f t="shared" si="0"/>
        <v>0.73204982249993378</v>
      </c>
      <c r="AA15" s="4">
        <f t="shared" si="0"/>
        <v>0.65145592958786691</v>
      </c>
      <c r="AB15" s="4">
        <f t="shared" si="0"/>
        <v>0.56032247880849573</v>
      </c>
      <c r="AC15" s="4">
        <f t="shared" si="0"/>
        <v>0.46411326873185343</v>
      </c>
      <c r="AD15" s="4">
        <f t="shared" si="0"/>
        <v>0.36979727595523937</v>
      </c>
      <c r="AE15" s="4">
        <f t="shared" si="0"/>
        <v>0.28393948637231203</v>
      </c>
      <c r="AF15" s="4">
        <f t="shared" si="0"/>
        <v>0.21097259161117732</v>
      </c>
      <c r="AG15" s="4">
        <f t="shared" si="0"/>
        <v>0.15253917653798199</v>
      </c>
      <c r="AH15" s="4">
        <f t="shared" si="0"/>
        <v>0.10795188737709993</v>
      </c>
      <c r="AI15" s="4">
        <f t="shared" si="0"/>
        <v>7.5176653938091809E-2</v>
      </c>
      <c r="AJ15" s="4">
        <f t="shared" si="0"/>
        <v>5.1742836177502194E-2</v>
      </c>
      <c r="AK15" s="4">
        <f t="shared" si="0"/>
        <v>3.5319190625345942E-2</v>
      </c>
      <c r="AL15" s="4">
        <f t="shared" si="0"/>
        <v>2.3969442072658165E-2</v>
      </c>
      <c r="AM15" s="4">
        <f t="shared" si="0"/>
        <v>1.6202243558389728E-2</v>
      </c>
      <c r="AN15" s="4">
        <f t="shared" si="0"/>
        <v>1.0922240564108399E-2</v>
      </c>
      <c r="AO15" s="4">
        <f t="shared" si="0"/>
        <v>7.3493212906090566E-3</v>
      </c>
      <c r="AP15" s="4">
        <f t="shared" si="0"/>
        <v>4.9390262185057265E-3</v>
      </c>
      <c r="AQ15" s="4">
        <f t="shared" si="0"/>
        <v>3.3164275492956197E-3</v>
      </c>
      <c r="AR15" s="4">
        <f t="shared" si="0"/>
        <v>2.2256362146679809E-3</v>
      </c>
    </row>
    <row r="16" spans="1:44" x14ac:dyDescent="0.25">
      <c r="A16" s="24" t="s">
        <v>37</v>
      </c>
      <c r="B16" s="43">
        <f>'Parameter Input'!B23</f>
        <v>70000</v>
      </c>
      <c r="C16" s="44">
        <f>'Parameter Input'!C23</f>
        <v>70000</v>
      </c>
      <c r="D16" s="1" t="s">
        <v>38</v>
      </c>
      <c r="L16" s="54">
        <f>'Parameter Input'!E23</f>
        <v>12</v>
      </c>
      <c r="M16" s="37">
        <v>0</v>
      </c>
      <c r="N16" s="37">
        <v>1</v>
      </c>
      <c r="O16" s="37">
        <f>'Parameter Input'!F23</f>
        <v>0.9</v>
      </c>
      <c r="P16" s="55">
        <f>'Parameter Input'!G23</f>
        <v>0.4</v>
      </c>
      <c r="Q16" s="4">
        <f t="shared" si="0"/>
        <v>0.9867978615748374</v>
      </c>
      <c r="R16" s="4">
        <f t="shared" si="0"/>
        <v>0.98114509762858249</v>
      </c>
      <c r="S16" s="4">
        <f t="shared" si="0"/>
        <v>0.97311898315872036</v>
      </c>
      <c r="T16" s="4">
        <f t="shared" si="0"/>
        <v>0.96177484161592774</v>
      </c>
      <c r="U16" s="4">
        <f t="shared" si="0"/>
        <v>0.94584787155511363</v>
      </c>
      <c r="V16" s="4">
        <f t="shared" si="0"/>
        <v>0.92370360150141495</v>
      </c>
      <c r="W16" s="4">
        <f t="shared" si="0"/>
        <v>0.89334463567658451</v>
      </c>
      <c r="X16" s="4">
        <f t="shared" si="0"/>
        <v>0.85254543874327005</v>
      </c>
      <c r="Y16" s="4">
        <f t="shared" si="0"/>
        <v>0.79921300652623883</v>
      </c>
      <c r="Z16" s="4">
        <f t="shared" si="0"/>
        <v>0.73204982249993378</v>
      </c>
      <c r="AA16" s="4">
        <f t="shared" si="0"/>
        <v>0.65145592958786691</v>
      </c>
      <c r="AB16" s="4">
        <f t="shared" si="0"/>
        <v>0.56032247880849573</v>
      </c>
      <c r="AC16" s="4">
        <f t="shared" si="0"/>
        <v>0.46411326873185343</v>
      </c>
      <c r="AD16" s="4">
        <f t="shared" si="0"/>
        <v>0.36979727595523937</v>
      </c>
      <c r="AE16" s="4">
        <f t="shared" si="0"/>
        <v>0.28393948637231203</v>
      </c>
      <c r="AF16" s="4">
        <f t="shared" si="0"/>
        <v>0.21097259161117732</v>
      </c>
      <c r="AG16" s="4">
        <f t="shared" si="0"/>
        <v>0.15253917653798199</v>
      </c>
      <c r="AH16" s="4">
        <f t="shared" si="0"/>
        <v>0.10795188737709993</v>
      </c>
      <c r="AI16" s="4">
        <f t="shared" si="0"/>
        <v>7.5176653938091809E-2</v>
      </c>
      <c r="AJ16" s="4">
        <f t="shared" si="0"/>
        <v>5.1742836177502194E-2</v>
      </c>
      <c r="AK16" s="4">
        <f t="shared" si="0"/>
        <v>3.5319190625345942E-2</v>
      </c>
      <c r="AL16" s="4">
        <f t="shared" si="0"/>
        <v>2.3969442072658165E-2</v>
      </c>
      <c r="AM16" s="4">
        <f t="shared" si="0"/>
        <v>1.6202243558389728E-2</v>
      </c>
      <c r="AN16" s="4">
        <f t="shared" si="0"/>
        <v>1.0922240564108399E-2</v>
      </c>
      <c r="AO16" s="4">
        <f t="shared" si="0"/>
        <v>7.3493212906090566E-3</v>
      </c>
      <c r="AP16" s="4">
        <f t="shared" si="0"/>
        <v>4.9390262185057265E-3</v>
      </c>
      <c r="AQ16" s="4">
        <f t="shared" si="0"/>
        <v>3.3164275492956197E-3</v>
      </c>
      <c r="AR16" s="4">
        <f t="shared" si="0"/>
        <v>2.2256362146679809E-3</v>
      </c>
    </row>
    <row r="17" spans="1:44" x14ac:dyDescent="0.25">
      <c r="A17" s="24" t="s">
        <v>52</v>
      </c>
      <c r="B17" s="43">
        <f>'Parameter Input'!L24</f>
        <v>20000</v>
      </c>
      <c r="C17" s="44">
        <f>'Parameter Input'!M24</f>
        <v>20000</v>
      </c>
      <c r="D17" s="1" t="s">
        <v>38</v>
      </c>
      <c r="L17" s="54">
        <f>'Parameter Input'!O24</f>
        <v>12</v>
      </c>
      <c r="M17" s="37">
        <v>0</v>
      </c>
      <c r="N17" s="37">
        <v>1</v>
      </c>
      <c r="O17" s="37">
        <f>'Parameter Input'!P24</f>
        <v>0.9</v>
      </c>
      <c r="P17" s="55">
        <f>'Parameter Input'!Q24</f>
        <v>0.4</v>
      </c>
      <c r="Q17" s="4">
        <f t="shared" si="0"/>
        <v>0.9867978615748374</v>
      </c>
      <c r="R17" s="4">
        <f t="shared" si="0"/>
        <v>0.98114509762858249</v>
      </c>
      <c r="S17" s="4">
        <f t="shared" si="0"/>
        <v>0.97311898315872036</v>
      </c>
      <c r="T17" s="4">
        <f t="shared" si="0"/>
        <v>0.96177484161592774</v>
      </c>
      <c r="U17" s="4">
        <f t="shared" si="0"/>
        <v>0.94584787155511363</v>
      </c>
      <c r="V17" s="4">
        <f t="shared" si="0"/>
        <v>0.92370360150141495</v>
      </c>
      <c r="W17" s="4">
        <f t="shared" si="0"/>
        <v>0.89334463567658451</v>
      </c>
      <c r="X17" s="4">
        <f t="shared" si="0"/>
        <v>0.85254543874327005</v>
      </c>
      <c r="Y17" s="4">
        <f t="shared" si="0"/>
        <v>0.79921300652623883</v>
      </c>
      <c r="Z17" s="4">
        <f t="shared" si="0"/>
        <v>0.73204982249993378</v>
      </c>
      <c r="AA17" s="4">
        <f t="shared" si="0"/>
        <v>0.65145592958786691</v>
      </c>
      <c r="AB17" s="4">
        <f t="shared" si="0"/>
        <v>0.56032247880849573</v>
      </c>
      <c r="AC17" s="4">
        <f t="shared" si="0"/>
        <v>0.46411326873185343</v>
      </c>
      <c r="AD17" s="4">
        <f t="shared" si="0"/>
        <v>0.36979727595523937</v>
      </c>
      <c r="AE17" s="4">
        <f t="shared" si="0"/>
        <v>0.28393948637231203</v>
      </c>
      <c r="AF17" s="4">
        <f t="shared" si="0"/>
        <v>0.21097259161117732</v>
      </c>
      <c r="AG17" s="4">
        <f t="shared" si="0"/>
        <v>0.15253917653798199</v>
      </c>
      <c r="AH17" s="4">
        <f t="shared" si="0"/>
        <v>0.10795188737709993</v>
      </c>
      <c r="AI17" s="4">
        <f t="shared" si="0"/>
        <v>7.5176653938091809E-2</v>
      </c>
      <c r="AJ17" s="4">
        <f t="shared" si="0"/>
        <v>5.1742836177502194E-2</v>
      </c>
      <c r="AK17" s="4">
        <f t="shared" si="0"/>
        <v>3.5319190625345942E-2</v>
      </c>
      <c r="AL17" s="4">
        <f t="shared" si="0"/>
        <v>2.3969442072658165E-2</v>
      </c>
      <c r="AM17" s="4">
        <f t="shared" si="0"/>
        <v>1.6202243558389728E-2</v>
      </c>
      <c r="AN17" s="4">
        <f t="shared" si="0"/>
        <v>1.0922240564108399E-2</v>
      </c>
      <c r="AO17" s="4">
        <f t="shared" si="0"/>
        <v>7.3493212906090566E-3</v>
      </c>
      <c r="AP17" s="4">
        <f t="shared" si="0"/>
        <v>4.9390262185057265E-3</v>
      </c>
      <c r="AQ17" s="4">
        <f t="shared" si="0"/>
        <v>3.3164275492956197E-3</v>
      </c>
      <c r="AR17" s="4">
        <f t="shared" si="0"/>
        <v>2.2256362146679809E-3</v>
      </c>
    </row>
    <row r="18" spans="1:44" x14ac:dyDescent="0.25">
      <c r="A18" s="24" t="s">
        <v>272</v>
      </c>
      <c r="B18" s="45">
        <f>'Parameter Input'!B28</f>
        <v>0.11</v>
      </c>
      <c r="C18" s="46">
        <f>'Parameter Input'!C28</f>
        <v>0.11</v>
      </c>
      <c r="D18" s="1" t="s">
        <v>76</v>
      </c>
      <c r="L18" s="54">
        <f>'Parameter Input'!E28</f>
        <v>12</v>
      </c>
      <c r="M18" s="37">
        <v>0</v>
      </c>
      <c r="N18" s="37">
        <v>1</v>
      </c>
      <c r="O18" s="37">
        <f>'Parameter Input'!F28</f>
        <v>0.9</v>
      </c>
      <c r="P18" s="55">
        <f>'Parameter Input'!G28</f>
        <v>0.4</v>
      </c>
      <c r="Q18" s="4">
        <f t="shared" si="0"/>
        <v>0.9867978615748374</v>
      </c>
      <c r="R18" s="4">
        <f t="shared" si="0"/>
        <v>0.98114509762858249</v>
      </c>
      <c r="S18" s="4">
        <f t="shared" si="0"/>
        <v>0.97311898315872036</v>
      </c>
      <c r="T18" s="4">
        <f t="shared" si="0"/>
        <v>0.96177484161592774</v>
      </c>
      <c r="U18" s="4">
        <f t="shared" si="0"/>
        <v>0.94584787155511363</v>
      </c>
      <c r="V18" s="4">
        <f t="shared" si="0"/>
        <v>0.92370360150141495</v>
      </c>
      <c r="W18" s="4">
        <f t="shared" si="0"/>
        <v>0.89334463567658451</v>
      </c>
      <c r="X18" s="4">
        <f t="shared" si="0"/>
        <v>0.85254543874327005</v>
      </c>
      <c r="Y18" s="4">
        <f t="shared" si="0"/>
        <v>0.79921300652623883</v>
      </c>
      <c r="Z18" s="4">
        <f t="shared" si="0"/>
        <v>0.73204982249993378</v>
      </c>
      <c r="AA18" s="4">
        <f t="shared" si="0"/>
        <v>0.65145592958786691</v>
      </c>
      <c r="AB18" s="4">
        <f t="shared" si="0"/>
        <v>0.56032247880849573</v>
      </c>
      <c r="AC18" s="4">
        <f t="shared" si="0"/>
        <v>0.46411326873185343</v>
      </c>
      <c r="AD18" s="4">
        <f t="shared" si="0"/>
        <v>0.36979727595523937</v>
      </c>
      <c r="AE18" s="4">
        <f t="shared" si="0"/>
        <v>0.28393948637231203</v>
      </c>
      <c r="AF18" s="4">
        <f t="shared" si="0"/>
        <v>0.21097259161117732</v>
      </c>
      <c r="AG18" s="4">
        <f t="shared" si="0"/>
        <v>0.15253917653798199</v>
      </c>
      <c r="AH18" s="4">
        <f t="shared" si="0"/>
        <v>0.10795188737709993</v>
      </c>
      <c r="AI18" s="4">
        <f t="shared" si="0"/>
        <v>7.5176653938091809E-2</v>
      </c>
      <c r="AJ18" s="4">
        <f t="shared" si="0"/>
        <v>5.1742836177502194E-2</v>
      </c>
      <c r="AK18" s="4">
        <f t="shared" si="0"/>
        <v>3.5319190625345942E-2</v>
      </c>
      <c r="AL18" s="4">
        <f t="shared" si="0"/>
        <v>2.3969442072658165E-2</v>
      </c>
      <c r="AM18" s="4">
        <f t="shared" si="0"/>
        <v>1.6202243558389728E-2</v>
      </c>
      <c r="AN18" s="4">
        <f t="shared" si="0"/>
        <v>1.0922240564108399E-2</v>
      </c>
      <c r="AO18" s="4">
        <f t="shared" si="0"/>
        <v>7.3493212906090566E-3</v>
      </c>
      <c r="AP18" s="4">
        <f t="shared" si="0"/>
        <v>4.9390262185057265E-3</v>
      </c>
      <c r="AQ18" s="4">
        <f t="shared" si="0"/>
        <v>3.3164275492956197E-3</v>
      </c>
      <c r="AR18" s="4">
        <f t="shared" si="0"/>
        <v>2.2256362146679809E-3</v>
      </c>
    </row>
    <row r="19" spans="1:44" x14ac:dyDescent="0.25">
      <c r="A19" s="24" t="s">
        <v>59</v>
      </c>
      <c r="B19" s="47">
        <f>'Parameter Input'!L25</f>
        <v>2.9</v>
      </c>
      <c r="C19" s="48">
        <f>'Parameter Input'!M25</f>
        <v>2.4</v>
      </c>
      <c r="D19" s="1" t="s">
        <v>60</v>
      </c>
      <c r="L19" s="54">
        <f>'Parameter Input'!O25</f>
        <v>12</v>
      </c>
      <c r="M19" s="37">
        <v>0</v>
      </c>
      <c r="N19" s="37">
        <v>1</v>
      </c>
      <c r="O19" s="37">
        <f>'Parameter Input'!P25</f>
        <v>0.9</v>
      </c>
      <c r="P19" s="55">
        <f>'Parameter Input'!Q25</f>
        <v>0.4</v>
      </c>
      <c r="Q19" s="4">
        <f t="shared" si="0"/>
        <v>0.9867978615748374</v>
      </c>
      <c r="R19" s="4">
        <f t="shared" si="0"/>
        <v>0.98114509762858249</v>
      </c>
      <c r="S19" s="4">
        <f t="shared" si="0"/>
        <v>0.97311898315872036</v>
      </c>
      <c r="T19" s="4">
        <f t="shared" si="0"/>
        <v>0.96177484161592774</v>
      </c>
      <c r="U19" s="4">
        <f t="shared" si="0"/>
        <v>0.94584787155511363</v>
      </c>
      <c r="V19" s="4">
        <f t="shared" si="0"/>
        <v>0.92370360150141495</v>
      </c>
      <c r="W19" s="4">
        <f t="shared" si="0"/>
        <v>0.89334463567658451</v>
      </c>
      <c r="X19" s="4">
        <f t="shared" si="0"/>
        <v>0.85254543874327005</v>
      </c>
      <c r="Y19" s="4">
        <f t="shared" si="0"/>
        <v>0.79921300652623883</v>
      </c>
      <c r="Z19" s="4">
        <f t="shared" si="0"/>
        <v>0.73204982249993378</v>
      </c>
      <c r="AA19" s="4">
        <f t="shared" si="0"/>
        <v>0.65145592958786691</v>
      </c>
      <c r="AB19" s="4">
        <f t="shared" si="0"/>
        <v>0.56032247880849573</v>
      </c>
      <c r="AC19" s="4">
        <f t="shared" si="0"/>
        <v>0.46411326873185343</v>
      </c>
      <c r="AD19" s="4">
        <f t="shared" si="0"/>
        <v>0.36979727595523937</v>
      </c>
      <c r="AE19" s="4">
        <f t="shared" si="0"/>
        <v>0.28393948637231203</v>
      </c>
      <c r="AF19" s="4">
        <f t="shared" si="0"/>
        <v>0.21097259161117732</v>
      </c>
      <c r="AG19" s="4">
        <f t="shared" si="0"/>
        <v>0.15253917653798199</v>
      </c>
      <c r="AH19" s="4">
        <f t="shared" si="0"/>
        <v>0.10795188737709993</v>
      </c>
      <c r="AI19" s="4">
        <f t="shared" si="0"/>
        <v>7.5176653938091809E-2</v>
      </c>
      <c r="AJ19" s="4">
        <f t="shared" si="0"/>
        <v>5.1742836177502194E-2</v>
      </c>
      <c r="AK19" s="4">
        <f t="shared" si="0"/>
        <v>3.5319190625345942E-2</v>
      </c>
      <c r="AL19" s="4">
        <f t="shared" si="0"/>
        <v>2.3969442072658165E-2</v>
      </c>
      <c r="AM19" s="4">
        <f t="shared" si="0"/>
        <v>1.6202243558389728E-2</v>
      </c>
      <c r="AN19" s="4">
        <f t="shared" si="0"/>
        <v>1.0922240564108399E-2</v>
      </c>
      <c r="AO19" s="4">
        <f t="shared" si="0"/>
        <v>7.3493212906090566E-3</v>
      </c>
      <c r="AP19" s="4">
        <f t="shared" si="0"/>
        <v>4.9390262185057265E-3</v>
      </c>
      <c r="AQ19" s="4">
        <f t="shared" si="0"/>
        <v>3.3164275492956197E-3</v>
      </c>
      <c r="AR19" s="4">
        <f t="shared" si="0"/>
        <v>2.2256362146679809E-3</v>
      </c>
    </row>
    <row r="20" spans="1:44" x14ac:dyDescent="0.25">
      <c r="A20" s="24" t="s">
        <v>67</v>
      </c>
      <c r="B20" s="45">
        <f>'Parameter Input'!L26</f>
        <v>0.1</v>
      </c>
      <c r="C20" s="46">
        <f>'Parameter Input'!M26</f>
        <v>0.1</v>
      </c>
      <c r="D20" s="1" t="s">
        <v>68</v>
      </c>
      <c r="L20" s="54">
        <f>'Parameter Input'!O26</f>
        <v>12</v>
      </c>
      <c r="M20" s="37">
        <v>0</v>
      </c>
      <c r="N20" s="37">
        <v>1</v>
      </c>
      <c r="O20" s="37">
        <f>'Parameter Input'!P26</f>
        <v>0.9</v>
      </c>
      <c r="P20" s="55">
        <f>'Parameter Input'!Q26</f>
        <v>0.4</v>
      </c>
      <c r="Q20" s="4">
        <f t="shared" si="0"/>
        <v>0.9867978615748374</v>
      </c>
      <c r="R20" s="4">
        <f t="shared" ref="R20:AR20" si="1">$N20+($M20-$N20)*((1/(1+EXP(-$P20*(R$9-$L20)))^$O20))</f>
        <v>0.98114509762858249</v>
      </c>
      <c r="S20" s="4">
        <f t="shared" si="1"/>
        <v>0.97311898315872036</v>
      </c>
      <c r="T20" s="4">
        <f t="shared" si="1"/>
        <v>0.96177484161592774</v>
      </c>
      <c r="U20" s="4">
        <f t="shared" si="1"/>
        <v>0.94584787155511363</v>
      </c>
      <c r="V20" s="4">
        <f t="shared" si="1"/>
        <v>0.92370360150141495</v>
      </c>
      <c r="W20" s="4">
        <f t="shared" si="1"/>
        <v>0.89334463567658451</v>
      </c>
      <c r="X20" s="4">
        <f t="shared" si="1"/>
        <v>0.85254543874327005</v>
      </c>
      <c r="Y20" s="4">
        <f t="shared" si="1"/>
        <v>0.79921300652623883</v>
      </c>
      <c r="Z20" s="4">
        <f t="shared" si="1"/>
        <v>0.73204982249993378</v>
      </c>
      <c r="AA20" s="4">
        <f t="shared" si="1"/>
        <v>0.65145592958786691</v>
      </c>
      <c r="AB20" s="4">
        <f t="shared" si="1"/>
        <v>0.56032247880849573</v>
      </c>
      <c r="AC20" s="4">
        <f t="shared" si="1"/>
        <v>0.46411326873185343</v>
      </c>
      <c r="AD20" s="4">
        <f t="shared" si="1"/>
        <v>0.36979727595523937</v>
      </c>
      <c r="AE20" s="4">
        <f t="shared" si="1"/>
        <v>0.28393948637231203</v>
      </c>
      <c r="AF20" s="4">
        <f t="shared" si="1"/>
        <v>0.21097259161117732</v>
      </c>
      <c r="AG20" s="4">
        <f t="shared" si="1"/>
        <v>0.15253917653798199</v>
      </c>
      <c r="AH20" s="4">
        <f t="shared" si="1"/>
        <v>0.10795188737709993</v>
      </c>
      <c r="AI20" s="4">
        <f t="shared" si="1"/>
        <v>7.5176653938091809E-2</v>
      </c>
      <c r="AJ20" s="4">
        <f t="shared" si="1"/>
        <v>5.1742836177502194E-2</v>
      </c>
      <c r="AK20" s="4">
        <f t="shared" si="1"/>
        <v>3.5319190625345942E-2</v>
      </c>
      <c r="AL20" s="4">
        <f t="shared" si="1"/>
        <v>2.3969442072658165E-2</v>
      </c>
      <c r="AM20" s="4">
        <f t="shared" si="1"/>
        <v>1.6202243558389728E-2</v>
      </c>
      <c r="AN20" s="4">
        <f t="shared" si="1"/>
        <v>1.0922240564108399E-2</v>
      </c>
      <c r="AO20" s="4">
        <f t="shared" si="1"/>
        <v>7.3493212906090566E-3</v>
      </c>
      <c r="AP20" s="4">
        <f t="shared" si="1"/>
        <v>4.9390262185057265E-3</v>
      </c>
      <c r="AQ20" s="4">
        <f t="shared" si="1"/>
        <v>3.3164275492956197E-3</v>
      </c>
      <c r="AR20" s="4">
        <f t="shared" si="1"/>
        <v>2.2256362146679809E-3</v>
      </c>
    </row>
    <row r="21" spans="1:44" x14ac:dyDescent="0.25">
      <c r="A21" s="24" t="s">
        <v>206</v>
      </c>
      <c r="B21" s="45">
        <f>'Parameter Input'!$L$29</f>
        <v>7.7317073170731707E-2</v>
      </c>
      <c r="C21" s="46">
        <f>'Parameter Input'!$M$29</f>
        <v>0.22395290159798151</v>
      </c>
      <c r="D21" s="1" t="s">
        <v>76</v>
      </c>
      <c r="L21" s="54">
        <f>'Parameter Input'!$O$29</f>
        <v>17</v>
      </c>
      <c r="M21" s="37">
        <v>0</v>
      </c>
      <c r="N21" s="37">
        <v>1</v>
      </c>
      <c r="O21" s="37">
        <f>'Parameter Input'!$P$29</f>
        <v>0.9</v>
      </c>
      <c r="P21" s="55">
        <f>'Parameter Input'!$Q$29</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41</v>
      </c>
      <c r="B22" s="43">
        <f>'Parameter Input'!L23</f>
        <v>8</v>
      </c>
      <c r="C22" s="44">
        <f>'Parameter Input'!M23</f>
        <v>8</v>
      </c>
      <c r="D22" s="1" t="s">
        <v>42</v>
      </c>
      <c r="L22" s="54">
        <f>'Parameter Input'!O23</f>
        <v>12</v>
      </c>
      <c r="M22" s="37">
        <v>0</v>
      </c>
      <c r="N22" s="37">
        <v>1</v>
      </c>
      <c r="O22" s="37">
        <f>'Parameter Input'!P23</f>
        <v>0.9</v>
      </c>
      <c r="P22" s="55">
        <f>'Parameter Input'!Q23</f>
        <v>0.4</v>
      </c>
      <c r="Q22" s="4">
        <f t="shared" ref="Q22:AF27" si="3">$N22+($M22-$N22)*((1/(1+EXP(-$P22*(Q$9-$L22)))^$O22))</f>
        <v>0.9867978615748374</v>
      </c>
      <c r="R22" s="4">
        <f t="shared" si="3"/>
        <v>0.98114509762858249</v>
      </c>
      <c r="S22" s="4">
        <f t="shared" si="3"/>
        <v>0.97311898315872036</v>
      </c>
      <c r="T22" s="4">
        <f t="shared" si="3"/>
        <v>0.96177484161592774</v>
      </c>
      <c r="U22" s="4">
        <f t="shared" si="3"/>
        <v>0.94584787155511363</v>
      </c>
      <c r="V22" s="4">
        <f t="shared" si="3"/>
        <v>0.92370360150141495</v>
      </c>
      <c r="W22" s="4">
        <f t="shared" si="3"/>
        <v>0.89334463567658451</v>
      </c>
      <c r="X22" s="4">
        <f t="shared" si="3"/>
        <v>0.85254543874327005</v>
      </c>
      <c r="Y22" s="4">
        <f t="shared" si="3"/>
        <v>0.79921300652623883</v>
      </c>
      <c r="Z22" s="4">
        <f t="shared" si="3"/>
        <v>0.73204982249993378</v>
      </c>
      <c r="AA22" s="4">
        <f t="shared" si="3"/>
        <v>0.65145592958786691</v>
      </c>
      <c r="AB22" s="4">
        <f t="shared" si="3"/>
        <v>0.56032247880849573</v>
      </c>
      <c r="AC22" s="4">
        <f t="shared" si="3"/>
        <v>0.46411326873185343</v>
      </c>
      <c r="AD22" s="4">
        <f t="shared" si="3"/>
        <v>0.36979727595523937</v>
      </c>
      <c r="AE22" s="4">
        <f t="shared" si="3"/>
        <v>0.28393948637231203</v>
      </c>
      <c r="AF22" s="4">
        <f t="shared" si="3"/>
        <v>0.21097259161117732</v>
      </c>
      <c r="AG22" s="4">
        <f t="shared" ref="AG22:AR27" si="4">$N22+($M22-$N22)*((1/(1+EXP(-$P22*(AG$9-$L22)))^$O22))</f>
        <v>0.15253917653798199</v>
      </c>
      <c r="AH22" s="4">
        <f t="shared" si="4"/>
        <v>0.10795188737709993</v>
      </c>
      <c r="AI22" s="4">
        <f t="shared" si="4"/>
        <v>7.5176653938091809E-2</v>
      </c>
      <c r="AJ22" s="4">
        <f t="shared" si="4"/>
        <v>5.1742836177502194E-2</v>
      </c>
      <c r="AK22" s="4">
        <f t="shared" si="4"/>
        <v>3.5319190625345942E-2</v>
      </c>
      <c r="AL22" s="4">
        <f t="shared" si="4"/>
        <v>2.3969442072658165E-2</v>
      </c>
      <c r="AM22" s="4">
        <f t="shared" si="4"/>
        <v>1.6202243558389728E-2</v>
      </c>
      <c r="AN22" s="4">
        <f t="shared" si="4"/>
        <v>1.0922240564108399E-2</v>
      </c>
      <c r="AO22" s="4">
        <f t="shared" si="4"/>
        <v>7.3493212906090566E-3</v>
      </c>
      <c r="AP22" s="4">
        <f t="shared" si="4"/>
        <v>4.9390262185057265E-3</v>
      </c>
      <c r="AQ22" s="4">
        <f t="shared" si="4"/>
        <v>3.3164275492956197E-3</v>
      </c>
      <c r="AR22" s="4">
        <f t="shared" si="4"/>
        <v>2.2256362146679809E-3</v>
      </c>
    </row>
    <row r="23" spans="1:44" x14ac:dyDescent="0.25">
      <c r="A23" s="24" t="s">
        <v>70</v>
      </c>
      <c r="B23" s="43">
        <f>'Parameter Input'!B27</f>
        <v>10</v>
      </c>
      <c r="C23" s="44">
        <f>'Parameter Input'!C27</f>
        <v>10</v>
      </c>
      <c r="D23" s="1" t="s">
        <v>42</v>
      </c>
      <c r="L23" s="54">
        <f>'Parameter Input'!E27</f>
        <v>12</v>
      </c>
      <c r="M23" s="37">
        <v>0</v>
      </c>
      <c r="N23" s="37">
        <v>1</v>
      </c>
      <c r="O23" s="37">
        <f>'Parameter Input'!F27</f>
        <v>0.9</v>
      </c>
      <c r="P23" s="55">
        <f>'Parameter Input'!G27</f>
        <v>0.4</v>
      </c>
      <c r="Q23" s="4">
        <f t="shared" si="3"/>
        <v>0.9867978615748374</v>
      </c>
      <c r="R23" s="4">
        <f t="shared" si="3"/>
        <v>0.98114509762858249</v>
      </c>
      <c r="S23" s="4">
        <f t="shared" si="3"/>
        <v>0.97311898315872036</v>
      </c>
      <c r="T23" s="4">
        <f t="shared" si="3"/>
        <v>0.96177484161592774</v>
      </c>
      <c r="U23" s="4">
        <f t="shared" si="3"/>
        <v>0.94584787155511363</v>
      </c>
      <c r="V23" s="4">
        <f t="shared" si="3"/>
        <v>0.92370360150141495</v>
      </c>
      <c r="W23" s="4">
        <f t="shared" si="3"/>
        <v>0.89334463567658451</v>
      </c>
      <c r="X23" s="4">
        <f t="shared" si="3"/>
        <v>0.85254543874327005</v>
      </c>
      <c r="Y23" s="4">
        <f t="shared" si="3"/>
        <v>0.79921300652623883</v>
      </c>
      <c r="Z23" s="4">
        <f t="shared" si="3"/>
        <v>0.73204982249993378</v>
      </c>
      <c r="AA23" s="4">
        <f t="shared" si="3"/>
        <v>0.65145592958786691</v>
      </c>
      <c r="AB23" s="4">
        <f t="shared" si="3"/>
        <v>0.56032247880849573</v>
      </c>
      <c r="AC23" s="4">
        <f t="shared" si="3"/>
        <v>0.46411326873185343</v>
      </c>
      <c r="AD23" s="4">
        <f t="shared" si="3"/>
        <v>0.36979727595523937</v>
      </c>
      <c r="AE23" s="4">
        <f t="shared" si="3"/>
        <v>0.28393948637231203</v>
      </c>
      <c r="AF23" s="4">
        <f t="shared" si="3"/>
        <v>0.21097259161117732</v>
      </c>
      <c r="AG23" s="4">
        <f t="shared" si="4"/>
        <v>0.15253917653798199</v>
      </c>
      <c r="AH23" s="4">
        <f t="shared" si="4"/>
        <v>0.10795188737709993</v>
      </c>
      <c r="AI23" s="4">
        <f t="shared" si="4"/>
        <v>7.5176653938091809E-2</v>
      </c>
      <c r="AJ23" s="4">
        <f t="shared" si="4"/>
        <v>5.1742836177502194E-2</v>
      </c>
      <c r="AK23" s="4">
        <f t="shared" si="4"/>
        <v>3.5319190625345942E-2</v>
      </c>
      <c r="AL23" s="4">
        <f t="shared" si="4"/>
        <v>2.3969442072658165E-2</v>
      </c>
      <c r="AM23" s="4">
        <f t="shared" si="4"/>
        <v>1.6202243558389728E-2</v>
      </c>
      <c r="AN23" s="4">
        <f t="shared" si="4"/>
        <v>1.0922240564108399E-2</v>
      </c>
      <c r="AO23" s="4">
        <f t="shared" si="4"/>
        <v>7.3493212906090566E-3</v>
      </c>
      <c r="AP23" s="4">
        <f t="shared" si="4"/>
        <v>4.9390262185057265E-3</v>
      </c>
      <c r="AQ23" s="4">
        <f t="shared" si="4"/>
        <v>3.3164275492956197E-3</v>
      </c>
      <c r="AR23" s="4">
        <f t="shared" si="4"/>
        <v>2.2256362146679809E-3</v>
      </c>
    </row>
    <row r="24" spans="1:44" x14ac:dyDescent="0.25">
      <c r="A24" s="24" t="s">
        <v>207</v>
      </c>
      <c r="B24" s="70">
        <f>'Parameter Input'!B24</f>
        <v>25</v>
      </c>
      <c r="C24" s="71">
        <f>'Parameter Input'!C24</f>
        <v>25</v>
      </c>
      <c r="D24" s="1" t="s">
        <v>49</v>
      </c>
      <c r="L24" s="54">
        <f>'Parameter Input'!E24</f>
        <v>12</v>
      </c>
      <c r="M24" s="37">
        <v>0</v>
      </c>
      <c r="N24" s="37">
        <v>1</v>
      </c>
      <c r="O24" s="37">
        <f>'Parameter Input'!F24</f>
        <v>0.9</v>
      </c>
      <c r="P24" s="55">
        <f>'Parameter Input'!G24</f>
        <v>0.4</v>
      </c>
      <c r="Q24" s="4">
        <f t="shared" si="3"/>
        <v>0.9867978615748374</v>
      </c>
      <c r="R24" s="4">
        <f t="shared" si="3"/>
        <v>0.98114509762858249</v>
      </c>
      <c r="S24" s="4">
        <f t="shared" si="3"/>
        <v>0.97311898315872036</v>
      </c>
      <c r="T24" s="4">
        <f t="shared" si="3"/>
        <v>0.96177484161592774</v>
      </c>
      <c r="U24" s="4">
        <f t="shared" si="3"/>
        <v>0.94584787155511363</v>
      </c>
      <c r="V24" s="4">
        <f t="shared" si="3"/>
        <v>0.92370360150141495</v>
      </c>
      <c r="W24" s="4">
        <f t="shared" si="3"/>
        <v>0.89334463567658451</v>
      </c>
      <c r="X24" s="4">
        <f t="shared" si="3"/>
        <v>0.85254543874327005</v>
      </c>
      <c r="Y24" s="4">
        <f t="shared" si="3"/>
        <v>0.79921300652623883</v>
      </c>
      <c r="Z24" s="4">
        <f t="shared" si="3"/>
        <v>0.73204982249993378</v>
      </c>
      <c r="AA24" s="4">
        <f t="shared" si="3"/>
        <v>0.65145592958786691</v>
      </c>
      <c r="AB24" s="4">
        <f t="shared" si="3"/>
        <v>0.56032247880849573</v>
      </c>
      <c r="AC24" s="4">
        <f t="shared" si="3"/>
        <v>0.46411326873185343</v>
      </c>
      <c r="AD24" s="4">
        <f t="shared" si="3"/>
        <v>0.36979727595523937</v>
      </c>
      <c r="AE24" s="4">
        <f t="shared" si="3"/>
        <v>0.28393948637231203</v>
      </c>
      <c r="AF24" s="4">
        <f t="shared" si="3"/>
        <v>0.21097259161117732</v>
      </c>
      <c r="AG24" s="4">
        <f t="shared" si="4"/>
        <v>0.15253917653798199</v>
      </c>
      <c r="AH24" s="4">
        <f t="shared" si="4"/>
        <v>0.10795188737709993</v>
      </c>
      <c r="AI24" s="4">
        <f t="shared" si="4"/>
        <v>7.5176653938091809E-2</v>
      </c>
      <c r="AJ24" s="4">
        <f t="shared" si="4"/>
        <v>5.1742836177502194E-2</v>
      </c>
      <c r="AK24" s="4">
        <f t="shared" si="4"/>
        <v>3.5319190625345942E-2</v>
      </c>
      <c r="AL24" s="4">
        <f t="shared" si="4"/>
        <v>2.3969442072658165E-2</v>
      </c>
      <c r="AM24" s="4">
        <f t="shared" si="4"/>
        <v>1.6202243558389728E-2</v>
      </c>
      <c r="AN24" s="4">
        <f t="shared" si="4"/>
        <v>1.0922240564108399E-2</v>
      </c>
      <c r="AO24" s="4">
        <f t="shared" si="4"/>
        <v>7.3493212906090566E-3</v>
      </c>
      <c r="AP24" s="4">
        <f t="shared" si="4"/>
        <v>4.9390262185057265E-3</v>
      </c>
      <c r="AQ24" s="4">
        <f t="shared" si="4"/>
        <v>3.3164275492956197E-3</v>
      </c>
      <c r="AR24" s="4">
        <f t="shared" si="4"/>
        <v>2.2256362146679809E-3</v>
      </c>
    </row>
    <row r="25" spans="1:44" x14ac:dyDescent="0.25">
      <c r="A25" s="24" t="s">
        <v>56</v>
      </c>
      <c r="B25" s="72">
        <f>'Parameter Input'!B25</f>
        <v>0.55999999999999994</v>
      </c>
      <c r="C25" s="73">
        <f>'Parameter Input'!C25</f>
        <v>0.55999999999999994</v>
      </c>
      <c r="D25" s="1" t="s">
        <v>57</v>
      </c>
      <c r="L25" s="54">
        <f>'Parameter Input'!E25</f>
        <v>12</v>
      </c>
      <c r="M25" s="37">
        <v>0</v>
      </c>
      <c r="N25" s="37">
        <v>1</v>
      </c>
      <c r="O25" s="37">
        <f>'Parameter Input'!F25</f>
        <v>0.9</v>
      </c>
      <c r="P25" s="55">
        <f>'Parameter Input'!G25</f>
        <v>0.4</v>
      </c>
      <c r="Q25" s="4">
        <f t="shared" si="3"/>
        <v>0.9867978615748374</v>
      </c>
      <c r="R25" s="4">
        <f t="shared" si="3"/>
        <v>0.98114509762858249</v>
      </c>
      <c r="S25" s="4">
        <f t="shared" si="3"/>
        <v>0.97311898315872036</v>
      </c>
      <c r="T25" s="4">
        <f t="shared" si="3"/>
        <v>0.96177484161592774</v>
      </c>
      <c r="U25" s="4">
        <f t="shared" si="3"/>
        <v>0.94584787155511363</v>
      </c>
      <c r="V25" s="4">
        <f t="shared" si="3"/>
        <v>0.92370360150141495</v>
      </c>
      <c r="W25" s="4">
        <f t="shared" si="3"/>
        <v>0.89334463567658451</v>
      </c>
      <c r="X25" s="4">
        <f t="shared" si="3"/>
        <v>0.85254543874327005</v>
      </c>
      <c r="Y25" s="4">
        <f t="shared" si="3"/>
        <v>0.79921300652623883</v>
      </c>
      <c r="Z25" s="4">
        <f t="shared" si="3"/>
        <v>0.73204982249993378</v>
      </c>
      <c r="AA25" s="4">
        <f t="shared" si="3"/>
        <v>0.65145592958786691</v>
      </c>
      <c r="AB25" s="4">
        <f t="shared" si="3"/>
        <v>0.56032247880849573</v>
      </c>
      <c r="AC25" s="4">
        <f t="shared" si="3"/>
        <v>0.46411326873185343</v>
      </c>
      <c r="AD25" s="4">
        <f t="shared" si="3"/>
        <v>0.36979727595523937</v>
      </c>
      <c r="AE25" s="4">
        <f t="shared" si="3"/>
        <v>0.28393948637231203</v>
      </c>
      <c r="AF25" s="4">
        <f t="shared" si="3"/>
        <v>0.21097259161117732</v>
      </c>
      <c r="AG25" s="4">
        <f t="shared" si="4"/>
        <v>0.15253917653798199</v>
      </c>
      <c r="AH25" s="4">
        <f t="shared" si="4"/>
        <v>0.10795188737709993</v>
      </c>
      <c r="AI25" s="4">
        <f t="shared" si="4"/>
        <v>7.5176653938091809E-2</v>
      </c>
      <c r="AJ25" s="4">
        <f t="shared" si="4"/>
        <v>5.1742836177502194E-2</v>
      </c>
      <c r="AK25" s="4">
        <f t="shared" si="4"/>
        <v>3.5319190625345942E-2</v>
      </c>
      <c r="AL25" s="4">
        <f t="shared" si="4"/>
        <v>2.3969442072658165E-2</v>
      </c>
      <c r="AM25" s="4">
        <f t="shared" si="4"/>
        <v>1.6202243558389728E-2</v>
      </c>
      <c r="AN25" s="4">
        <f t="shared" si="4"/>
        <v>1.0922240564108399E-2</v>
      </c>
      <c r="AO25" s="4">
        <f t="shared" si="4"/>
        <v>7.3493212906090566E-3</v>
      </c>
      <c r="AP25" s="4">
        <f t="shared" si="4"/>
        <v>4.9390262185057265E-3</v>
      </c>
      <c r="AQ25" s="4">
        <f t="shared" si="4"/>
        <v>3.3164275492956197E-3</v>
      </c>
      <c r="AR25" s="4">
        <f t="shared" si="4"/>
        <v>2.2256362146679809E-3</v>
      </c>
    </row>
    <row r="26" spans="1:44" x14ac:dyDescent="0.25">
      <c r="A26" s="24" t="s">
        <v>73</v>
      </c>
      <c r="B26" s="72">
        <f>'Parameter Input'!L27</f>
        <v>0</v>
      </c>
      <c r="C26" s="73">
        <f>'Parameter Input'!M27</f>
        <v>0</v>
      </c>
      <c r="D26" s="1" t="s">
        <v>57</v>
      </c>
      <c r="L26" s="54">
        <f>'Parameter Input'!O27</f>
        <v>12</v>
      </c>
      <c r="M26" s="37">
        <v>0</v>
      </c>
      <c r="N26" s="37">
        <v>1</v>
      </c>
      <c r="O26" s="37">
        <f>'Parameter Input'!P27</f>
        <v>0.9</v>
      </c>
      <c r="P26" s="55">
        <f>'Parameter Input'!Q27</f>
        <v>0.4</v>
      </c>
      <c r="Q26" s="4">
        <f t="shared" si="3"/>
        <v>0.9867978615748374</v>
      </c>
      <c r="R26" s="4">
        <f t="shared" si="3"/>
        <v>0.98114509762858249</v>
      </c>
      <c r="S26" s="4">
        <f t="shared" si="3"/>
        <v>0.97311898315872036</v>
      </c>
      <c r="T26" s="4">
        <f t="shared" si="3"/>
        <v>0.96177484161592774</v>
      </c>
      <c r="U26" s="4">
        <f t="shared" si="3"/>
        <v>0.94584787155511363</v>
      </c>
      <c r="V26" s="4">
        <f t="shared" si="3"/>
        <v>0.92370360150141495</v>
      </c>
      <c r="W26" s="4">
        <f t="shared" si="3"/>
        <v>0.89334463567658451</v>
      </c>
      <c r="X26" s="4">
        <f t="shared" si="3"/>
        <v>0.85254543874327005</v>
      </c>
      <c r="Y26" s="4">
        <f t="shared" si="3"/>
        <v>0.79921300652623883</v>
      </c>
      <c r="Z26" s="4">
        <f t="shared" si="3"/>
        <v>0.73204982249993378</v>
      </c>
      <c r="AA26" s="4">
        <f t="shared" si="3"/>
        <v>0.65145592958786691</v>
      </c>
      <c r="AB26" s="4">
        <f t="shared" si="3"/>
        <v>0.56032247880849573</v>
      </c>
      <c r="AC26" s="4">
        <f t="shared" si="3"/>
        <v>0.46411326873185343</v>
      </c>
      <c r="AD26" s="4">
        <f t="shared" si="3"/>
        <v>0.36979727595523937</v>
      </c>
      <c r="AE26" s="4">
        <f t="shared" si="3"/>
        <v>0.28393948637231203</v>
      </c>
      <c r="AF26" s="4">
        <f t="shared" si="3"/>
        <v>0.21097259161117732</v>
      </c>
      <c r="AG26" s="4">
        <f t="shared" si="4"/>
        <v>0.15253917653798199</v>
      </c>
      <c r="AH26" s="4">
        <f t="shared" si="4"/>
        <v>0.10795188737709993</v>
      </c>
      <c r="AI26" s="4">
        <f t="shared" si="4"/>
        <v>7.5176653938091809E-2</v>
      </c>
      <c r="AJ26" s="4">
        <f t="shared" si="4"/>
        <v>5.1742836177502194E-2</v>
      </c>
      <c r="AK26" s="4">
        <f t="shared" si="4"/>
        <v>3.5319190625345942E-2</v>
      </c>
      <c r="AL26" s="4">
        <f t="shared" si="4"/>
        <v>2.3969442072658165E-2</v>
      </c>
      <c r="AM26" s="4">
        <f t="shared" si="4"/>
        <v>1.6202243558389728E-2</v>
      </c>
      <c r="AN26" s="4">
        <f t="shared" si="4"/>
        <v>1.0922240564108399E-2</v>
      </c>
      <c r="AO26" s="4">
        <f t="shared" si="4"/>
        <v>7.3493212906090566E-3</v>
      </c>
      <c r="AP26" s="4">
        <f t="shared" si="4"/>
        <v>4.9390262185057265E-3</v>
      </c>
      <c r="AQ26" s="4">
        <f t="shared" si="4"/>
        <v>3.3164275492956197E-3</v>
      </c>
      <c r="AR26" s="4">
        <f t="shared" si="4"/>
        <v>2.2256362146679809E-3</v>
      </c>
    </row>
    <row r="27" spans="1:44" ht="15.75" thickBot="1" x14ac:dyDescent="0.3">
      <c r="A27" s="24" t="s">
        <v>64</v>
      </c>
      <c r="B27" s="74">
        <f>'Parameter Input'!B26</f>
        <v>55000</v>
      </c>
      <c r="C27" s="75">
        <f>'Parameter Input'!C26</f>
        <v>55000</v>
      </c>
      <c r="D27" s="1" t="s">
        <v>65</v>
      </c>
      <c r="L27" s="56">
        <f>'Parameter Input'!E26</f>
        <v>12</v>
      </c>
      <c r="M27" s="57">
        <v>0</v>
      </c>
      <c r="N27" s="57">
        <v>1</v>
      </c>
      <c r="O27" s="57">
        <f>'Parameter Input'!F26</f>
        <v>0.9</v>
      </c>
      <c r="P27" s="58">
        <f>'Parameter Input'!G26</f>
        <v>0.4</v>
      </c>
      <c r="Q27" s="4">
        <f t="shared" si="3"/>
        <v>0.9867978615748374</v>
      </c>
      <c r="R27" s="4">
        <f t="shared" si="3"/>
        <v>0.98114509762858249</v>
      </c>
      <c r="S27" s="4">
        <f t="shared" si="3"/>
        <v>0.97311898315872036</v>
      </c>
      <c r="T27" s="4">
        <f t="shared" si="3"/>
        <v>0.96177484161592774</v>
      </c>
      <c r="U27" s="4">
        <f t="shared" si="3"/>
        <v>0.94584787155511363</v>
      </c>
      <c r="V27" s="4">
        <f t="shared" si="3"/>
        <v>0.92370360150141495</v>
      </c>
      <c r="W27" s="4">
        <f t="shared" si="3"/>
        <v>0.89334463567658451</v>
      </c>
      <c r="X27" s="4">
        <f t="shared" si="3"/>
        <v>0.85254543874327005</v>
      </c>
      <c r="Y27" s="4">
        <f t="shared" si="3"/>
        <v>0.79921300652623883</v>
      </c>
      <c r="Z27" s="4">
        <f t="shared" si="3"/>
        <v>0.73204982249993378</v>
      </c>
      <c r="AA27" s="4">
        <f t="shared" si="3"/>
        <v>0.65145592958786691</v>
      </c>
      <c r="AB27" s="4">
        <f t="shared" si="3"/>
        <v>0.56032247880849573</v>
      </c>
      <c r="AC27" s="4">
        <f t="shared" si="3"/>
        <v>0.46411326873185343</v>
      </c>
      <c r="AD27" s="4">
        <f t="shared" si="3"/>
        <v>0.36979727595523937</v>
      </c>
      <c r="AE27" s="4">
        <f t="shared" si="3"/>
        <v>0.28393948637231203</v>
      </c>
      <c r="AF27" s="4">
        <f t="shared" si="3"/>
        <v>0.21097259161117732</v>
      </c>
      <c r="AG27" s="4">
        <f t="shared" si="4"/>
        <v>0.15253917653798199</v>
      </c>
      <c r="AH27" s="4">
        <f t="shared" si="4"/>
        <v>0.10795188737709993</v>
      </c>
      <c r="AI27" s="4">
        <f t="shared" si="4"/>
        <v>7.5176653938091809E-2</v>
      </c>
      <c r="AJ27" s="4">
        <f t="shared" si="4"/>
        <v>5.1742836177502194E-2</v>
      </c>
      <c r="AK27" s="4">
        <f t="shared" si="4"/>
        <v>3.5319190625345942E-2</v>
      </c>
      <c r="AL27" s="4">
        <f t="shared" si="4"/>
        <v>2.3969442072658165E-2</v>
      </c>
      <c r="AM27" s="4">
        <f t="shared" si="4"/>
        <v>1.6202243558389728E-2</v>
      </c>
      <c r="AN27" s="4">
        <f t="shared" si="4"/>
        <v>1.0922240564108399E-2</v>
      </c>
      <c r="AO27" s="4">
        <f t="shared" si="4"/>
        <v>7.3493212906090566E-3</v>
      </c>
      <c r="AP27" s="4">
        <f t="shared" si="4"/>
        <v>4.9390262185057265E-3</v>
      </c>
      <c r="AQ27" s="4">
        <f t="shared" si="4"/>
        <v>3.3164275492956197E-3</v>
      </c>
      <c r="AR27" s="4">
        <f t="shared" si="4"/>
        <v>2.2256362146679809E-3</v>
      </c>
    </row>
    <row r="28" spans="1:44" x14ac:dyDescent="0.25">
      <c r="A28" s="25"/>
      <c r="B28" s="40"/>
    </row>
    <row r="29" spans="1:44" ht="15.75" thickBot="1" x14ac:dyDescent="0.3"/>
    <row r="30" spans="1:44"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5" si="5">A11</f>
        <v>Capex vehicle</v>
      </c>
      <c r="B31" s="62">
        <f t="shared" ref="B31:B39" si="6">$B11+($C11-$B11)*(1-Q11)</f>
        <v>105132.02138425162</v>
      </c>
      <c r="C31" s="62">
        <f t="shared" ref="C31:C39" si="7">$B11+($C11-$B11)*(1-R11)</f>
        <v>105188.54902371418</v>
      </c>
      <c r="D31" s="62">
        <f t="shared" ref="D31:D39" si="8">$B11+($C11-$B11)*(1-S11)</f>
        <v>105268.81016841279</v>
      </c>
      <c r="E31" s="62">
        <f t="shared" ref="E31:E39" si="9">$B11+($C11-$B11)*(1-T11)</f>
        <v>105382.25158384073</v>
      </c>
      <c r="F31" s="62">
        <f t="shared" ref="F31:F39" si="10">$B11+($C11-$B11)*(1-U11)</f>
        <v>105541.52128444887</v>
      </c>
      <c r="G31" s="62">
        <f t="shared" ref="G31:G39" si="11">$B11+($C11-$B11)*(1-V11)</f>
        <v>105762.96398498585</v>
      </c>
      <c r="H31" s="62">
        <f t="shared" ref="H31:H39" si="12">$B11+($C11-$B11)*(1-W11)</f>
        <v>106066.55364323416</v>
      </c>
      <c r="I31" s="62">
        <f t="shared" ref="I31:I39" si="13">$B11+($C11-$B11)*(1-X11)</f>
        <v>106474.54561256729</v>
      </c>
      <c r="J31" s="62">
        <f t="shared" ref="J31:J39" si="14">$B11+($C11-$B11)*(1-Y11)</f>
        <v>107007.86993473761</v>
      </c>
      <c r="K31" s="62">
        <f t="shared" ref="K31:K39" si="15">$B11+($C11-$B11)*(1-Z11)</f>
        <v>107679.50177500067</v>
      </c>
      <c r="L31" s="62">
        <f t="shared" ref="L31:L39" si="16">$B11+($C11-$B11)*(1-AA11)</f>
        <v>108485.44070412133</v>
      </c>
      <c r="M31" s="62">
        <f t="shared" ref="M31:M39" si="17">$B11+($C11-$B11)*(1-AB11)</f>
        <v>109396.77521191504</v>
      </c>
      <c r="N31" s="62">
        <f t="shared" ref="N31:N39" si="18">$B11+($C11-$B11)*(1-AC11)</f>
        <v>110358.86731268147</v>
      </c>
      <c r="O31" s="62">
        <f t="shared" ref="O31:O39" si="19">$B11+($C11-$B11)*(1-AD11)</f>
        <v>111302.02724044761</v>
      </c>
      <c r="P31" s="62">
        <f t="shared" ref="P31:P39" si="20">$B11+($C11-$B11)*(1-AE11)</f>
        <v>112160.60513627688</v>
      </c>
      <c r="Q31" s="62">
        <f t="shared" ref="Q31:Q39" si="21">$B11+($C11-$B11)*(1-AF11)</f>
        <v>112890.27408388823</v>
      </c>
      <c r="R31" s="62">
        <f t="shared" ref="R31:R39" si="22">$B11+($C11-$B11)*(1-AG11)</f>
        <v>113474.60823462019</v>
      </c>
      <c r="S31" s="62">
        <f t="shared" ref="S31:S39" si="23">$B11+($C11-$B11)*(1-AH11)</f>
        <v>113920.481126229</v>
      </c>
      <c r="T31" s="62">
        <f t="shared" ref="T31:T39" si="24">$B11+($C11-$B11)*(1-AI11)</f>
        <v>114248.23346061909</v>
      </c>
      <c r="U31" s="62">
        <f t="shared" ref="U31:U39" si="25">$B11+($C11-$B11)*(1-AJ11)</f>
        <v>114482.57163822498</v>
      </c>
      <c r="V31" s="62">
        <f t="shared" ref="V31:V39" si="26">$B11+($C11-$B11)*(1-AK11)</f>
        <v>114646.80809374654</v>
      </c>
      <c r="W31" s="62">
        <f t="shared" ref="W31:W39" si="27">$B11+($C11-$B11)*(1-AL11)</f>
        <v>114760.30557927342</v>
      </c>
      <c r="X31" s="62">
        <f t="shared" ref="X31:X39" si="28">$B11+($C11-$B11)*(1-AM11)</f>
        <v>114837.9775644161</v>
      </c>
      <c r="Y31" s="62">
        <f t="shared" ref="Y31:Y39" si="29">$B11+($C11-$B11)*(1-AN11)</f>
        <v>114890.77759435892</v>
      </c>
      <c r="Z31" s="62">
        <f t="shared" ref="Z31:Z39" si="30">$B11+($C11-$B11)*(1-AO11)</f>
        <v>114926.50678709391</v>
      </c>
      <c r="AA31" s="62">
        <f t="shared" ref="AA31:AA39" si="31">$B11+($C11-$B11)*(1-AP11)</f>
        <v>114950.60973781494</v>
      </c>
      <c r="AB31" s="62">
        <f t="shared" ref="AB31:AB39" si="32">$B11+($C11-$B11)*(1-AQ11)</f>
        <v>114966.83572450705</v>
      </c>
      <c r="AC31" s="62">
        <f t="shared" ref="AC31:AC39" si="33">$B11+($C11-$B11)*(1-AR11)</f>
        <v>114977.74363785332</v>
      </c>
    </row>
    <row r="32" spans="1:44" x14ac:dyDescent="0.25">
      <c r="A32" s="30" t="str">
        <f t="shared" si="5"/>
        <v>Residual value (vehicle)</v>
      </c>
      <c r="B32" s="62">
        <f t="shared" si="6"/>
        <v>-26131.180754173536</v>
      </c>
      <c r="C32" s="62">
        <f t="shared" si="7"/>
        <v>-26080.305878657244</v>
      </c>
      <c r="D32" s="62">
        <f t="shared" si="8"/>
        <v>-26008.070848428484</v>
      </c>
      <c r="E32" s="62">
        <f t="shared" si="9"/>
        <v>-25905.97357454335</v>
      </c>
      <c r="F32" s="62">
        <f t="shared" si="10"/>
        <v>-25762.630843996023</v>
      </c>
      <c r="G32" s="62">
        <f t="shared" si="11"/>
        <v>-25563.332413512733</v>
      </c>
      <c r="H32" s="62">
        <f t="shared" si="12"/>
        <v>-25290.101721089261</v>
      </c>
      <c r="I32" s="62">
        <f t="shared" si="13"/>
        <v>-24922.90894868943</v>
      </c>
      <c r="J32" s="62">
        <f t="shared" si="14"/>
        <v>-24442.917058736151</v>
      </c>
      <c r="K32" s="62">
        <f t="shared" si="15"/>
        <v>-23838.448402499405</v>
      </c>
      <c r="L32" s="62">
        <f t="shared" si="16"/>
        <v>-23113.103366290801</v>
      </c>
      <c r="M32" s="62">
        <f t="shared" si="17"/>
        <v>-22292.902309276462</v>
      </c>
      <c r="N32" s="62">
        <f t="shared" si="18"/>
        <v>-21427.019418586682</v>
      </c>
      <c r="O32" s="62">
        <f t="shared" si="19"/>
        <v>-20578.175483597155</v>
      </c>
      <c r="P32" s="62">
        <f t="shared" si="20"/>
        <v>-19805.455377350809</v>
      </c>
      <c r="Q32" s="62">
        <f t="shared" si="21"/>
        <v>-19148.753324500598</v>
      </c>
      <c r="R32" s="62">
        <f t="shared" si="22"/>
        <v>-18622.852588841837</v>
      </c>
      <c r="S32" s="62">
        <f t="shared" si="23"/>
        <v>-18221.5669863939</v>
      </c>
      <c r="T32" s="62">
        <f t="shared" si="24"/>
        <v>-17926.589885442827</v>
      </c>
      <c r="U32" s="62">
        <f t="shared" si="25"/>
        <v>-17715.685525597521</v>
      </c>
      <c r="V32" s="62">
        <f t="shared" si="26"/>
        <v>-17567.872715628113</v>
      </c>
      <c r="W32" s="62">
        <f t="shared" si="27"/>
        <v>-17465.724978653925</v>
      </c>
      <c r="X32" s="62">
        <f t="shared" si="28"/>
        <v>-17395.820192025509</v>
      </c>
      <c r="Y32" s="62">
        <f t="shared" si="29"/>
        <v>-17348.300165076973</v>
      </c>
      <c r="Z32" s="62">
        <f t="shared" si="30"/>
        <v>-17316.14389161548</v>
      </c>
      <c r="AA32" s="62">
        <f t="shared" si="31"/>
        <v>-17294.451235966553</v>
      </c>
      <c r="AB32" s="62">
        <f t="shared" si="32"/>
        <v>-17279.84784794366</v>
      </c>
      <c r="AC32" s="62">
        <f t="shared" si="33"/>
        <v>-17270.030725932011</v>
      </c>
    </row>
    <row r="33" spans="1:29" x14ac:dyDescent="0.25">
      <c r="A33" s="30" t="str">
        <f t="shared" si="5"/>
        <v>Capex costumization</v>
      </c>
      <c r="B33" s="62">
        <f t="shared" si="6"/>
        <v>40000</v>
      </c>
      <c r="C33" s="62">
        <f t="shared" si="7"/>
        <v>40000</v>
      </c>
      <c r="D33" s="62">
        <f t="shared" si="8"/>
        <v>40000</v>
      </c>
      <c r="E33" s="62">
        <f t="shared" si="9"/>
        <v>40000</v>
      </c>
      <c r="F33" s="62">
        <f t="shared" si="10"/>
        <v>40000</v>
      </c>
      <c r="G33" s="62">
        <f t="shared" si="11"/>
        <v>40000</v>
      </c>
      <c r="H33" s="62">
        <f t="shared" si="12"/>
        <v>40000</v>
      </c>
      <c r="I33" s="62">
        <f t="shared" si="13"/>
        <v>40000</v>
      </c>
      <c r="J33" s="62">
        <f t="shared" si="14"/>
        <v>40000</v>
      </c>
      <c r="K33" s="62">
        <f t="shared" si="15"/>
        <v>40000</v>
      </c>
      <c r="L33" s="62">
        <f t="shared" si="16"/>
        <v>40000</v>
      </c>
      <c r="M33" s="62">
        <f t="shared" si="17"/>
        <v>40000</v>
      </c>
      <c r="N33" s="62">
        <f t="shared" si="18"/>
        <v>40000</v>
      </c>
      <c r="O33" s="62">
        <f t="shared" si="19"/>
        <v>40000</v>
      </c>
      <c r="P33" s="62">
        <f t="shared" si="20"/>
        <v>40000</v>
      </c>
      <c r="Q33" s="62">
        <f t="shared" si="21"/>
        <v>40000</v>
      </c>
      <c r="R33" s="62">
        <f t="shared" si="22"/>
        <v>40000</v>
      </c>
      <c r="S33" s="62">
        <f t="shared" si="23"/>
        <v>40000</v>
      </c>
      <c r="T33" s="62">
        <f t="shared" si="24"/>
        <v>40000</v>
      </c>
      <c r="U33" s="62">
        <f t="shared" si="25"/>
        <v>40000</v>
      </c>
      <c r="V33" s="62">
        <f t="shared" si="26"/>
        <v>40000</v>
      </c>
      <c r="W33" s="62">
        <f t="shared" si="27"/>
        <v>40000</v>
      </c>
      <c r="X33" s="62">
        <f t="shared" si="28"/>
        <v>40000</v>
      </c>
      <c r="Y33" s="62">
        <f t="shared" si="29"/>
        <v>40000</v>
      </c>
      <c r="Z33" s="62">
        <f t="shared" si="30"/>
        <v>40000</v>
      </c>
      <c r="AA33" s="62">
        <f t="shared" si="31"/>
        <v>40000</v>
      </c>
      <c r="AB33" s="62">
        <f t="shared" si="32"/>
        <v>40000</v>
      </c>
      <c r="AC33" s="62">
        <f t="shared" si="33"/>
        <v>40000</v>
      </c>
    </row>
    <row r="34" spans="1:29" x14ac:dyDescent="0.25">
      <c r="A34" s="30" t="str">
        <f t="shared" si="5"/>
        <v>Residual value (costumization)</v>
      </c>
      <c r="B34" s="62">
        <f t="shared" si="6"/>
        <v>-10000</v>
      </c>
      <c r="C34" s="62">
        <f t="shared" si="7"/>
        <v>-10000</v>
      </c>
      <c r="D34" s="62">
        <f t="shared" si="8"/>
        <v>-10000</v>
      </c>
      <c r="E34" s="62">
        <f t="shared" si="9"/>
        <v>-10000</v>
      </c>
      <c r="F34" s="62">
        <f t="shared" si="10"/>
        <v>-10000</v>
      </c>
      <c r="G34" s="62">
        <f t="shared" si="11"/>
        <v>-10000</v>
      </c>
      <c r="H34" s="62">
        <f t="shared" si="12"/>
        <v>-10000</v>
      </c>
      <c r="I34" s="62">
        <f t="shared" si="13"/>
        <v>-10000</v>
      </c>
      <c r="J34" s="62">
        <f t="shared" si="14"/>
        <v>-10000</v>
      </c>
      <c r="K34" s="62">
        <f t="shared" si="15"/>
        <v>-10000</v>
      </c>
      <c r="L34" s="62">
        <f t="shared" si="16"/>
        <v>-10000</v>
      </c>
      <c r="M34" s="62">
        <f t="shared" si="17"/>
        <v>-10000</v>
      </c>
      <c r="N34" s="62">
        <f t="shared" si="18"/>
        <v>-10000</v>
      </c>
      <c r="O34" s="62">
        <f t="shared" si="19"/>
        <v>-10000</v>
      </c>
      <c r="P34" s="62">
        <f t="shared" si="20"/>
        <v>-10000</v>
      </c>
      <c r="Q34" s="62">
        <f t="shared" si="21"/>
        <v>-10000</v>
      </c>
      <c r="R34" s="62">
        <f t="shared" si="22"/>
        <v>-10000</v>
      </c>
      <c r="S34" s="62">
        <f t="shared" si="23"/>
        <v>-10000</v>
      </c>
      <c r="T34" s="62">
        <f t="shared" si="24"/>
        <v>-10000</v>
      </c>
      <c r="U34" s="62">
        <f t="shared" si="25"/>
        <v>-10000</v>
      </c>
      <c r="V34" s="62">
        <f t="shared" si="26"/>
        <v>-10000</v>
      </c>
      <c r="W34" s="62">
        <f t="shared" si="27"/>
        <v>-10000</v>
      </c>
      <c r="X34" s="62">
        <f t="shared" si="28"/>
        <v>-10000</v>
      </c>
      <c r="Y34" s="62">
        <f t="shared" si="29"/>
        <v>-10000</v>
      </c>
      <c r="Z34" s="62">
        <f t="shared" si="30"/>
        <v>-10000</v>
      </c>
      <c r="AA34" s="62">
        <f t="shared" si="31"/>
        <v>-10000</v>
      </c>
      <c r="AB34" s="62">
        <f t="shared" si="32"/>
        <v>-10000</v>
      </c>
      <c r="AC34" s="62">
        <f t="shared" si="33"/>
        <v>-10000</v>
      </c>
    </row>
    <row r="35" spans="1:29" x14ac:dyDescent="0.25">
      <c r="A35" s="30" t="str">
        <f t="shared" si="5"/>
        <v>WACC</v>
      </c>
      <c r="B35" s="62">
        <f t="shared" si="6"/>
        <v>0.06</v>
      </c>
      <c r="C35" s="62">
        <f t="shared" si="7"/>
        <v>0.06</v>
      </c>
      <c r="D35" s="62">
        <f t="shared" si="8"/>
        <v>0.06</v>
      </c>
      <c r="E35" s="62">
        <f t="shared" si="9"/>
        <v>0.06</v>
      </c>
      <c r="F35" s="62">
        <f t="shared" si="10"/>
        <v>0.06</v>
      </c>
      <c r="G35" s="62">
        <f t="shared" si="11"/>
        <v>0.06</v>
      </c>
      <c r="H35" s="62">
        <f t="shared" si="12"/>
        <v>0.06</v>
      </c>
      <c r="I35" s="62">
        <f t="shared" si="13"/>
        <v>0.06</v>
      </c>
      <c r="J35" s="62">
        <f t="shared" si="14"/>
        <v>0.06</v>
      </c>
      <c r="K35" s="62">
        <f t="shared" si="15"/>
        <v>0.06</v>
      </c>
      <c r="L35" s="62">
        <f t="shared" si="16"/>
        <v>0.06</v>
      </c>
      <c r="M35" s="62">
        <f t="shared" si="17"/>
        <v>0.06</v>
      </c>
      <c r="N35" s="62">
        <f t="shared" si="18"/>
        <v>0.06</v>
      </c>
      <c r="O35" s="62">
        <f t="shared" si="19"/>
        <v>0.06</v>
      </c>
      <c r="P35" s="62">
        <f t="shared" si="20"/>
        <v>0.06</v>
      </c>
      <c r="Q35" s="62">
        <f t="shared" si="21"/>
        <v>0.06</v>
      </c>
      <c r="R35" s="62">
        <f t="shared" si="22"/>
        <v>0.06</v>
      </c>
      <c r="S35" s="62">
        <f t="shared" si="23"/>
        <v>0.06</v>
      </c>
      <c r="T35" s="62">
        <f t="shared" si="24"/>
        <v>0.06</v>
      </c>
      <c r="U35" s="62">
        <f t="shared" si="25"/>
        <v>0.06</v>
      </c>
      <c r="V35" s="62">
        <f t="shared" si="26"/>
        <v>0.06</v>
      </c>
      <c r="W35" s="62">
        <f t="shared" si="27"/>
        <v>0.06</v>
      </c>
      <c r="X35" s="62">
        <f t="shared" si="28"/>
        <v>0.06</v>
      </c>
      <c r="Y35" s="62">
        <f t="shared" si="29"/>
        <v>0.06</v>
      </c>
      <c r="Z35" s="62">
        <f t="shared" si="30"/>
        <v>0.06</v>
      </c>
      <c r="AA35" s="62">
        <f t="shared" si="31"/>
        <v>0.06</v>
      </c>
      <c r="AB35" s="62">
        <f t="shared" si="32"/>
        <v>0.06</v>
      </c>
      <c r="AC35" s="62">
        <f t="shared" si="33"/>
        <v>0.06</v>
      </c>
    </row>
    <row r="36" spans="1:29" x14ac:dyDescent="0.25">
      <c r="A36" s="30" t="str">
        <f t="shared" si="5"/>
        <v>Opex fix (admin, crew, insurance)</v>
      </c>
      <c r="B36" s="62">
        <f t="shared" si="6"/>
        <v>70000</v>
      </c>
      <c r="C36" s="62">
        <f t="shared" si="7"/>
        <v>70000</v>
      </c>
      <c r="D36" s="62">
        <f t="shared" si="8"/>
        <v>70000</v>
      </c>
      <c r="E36" s="62">
        <f t="shared" si="9"/>
        <v>70000</v>
      </c>
      <c r="F36" s="62">
        <f t="shared" si="10"/>
        <v>70000</v>
      </c>
      <c r="G36" s="62">
        <f t="shared" si="11"/>
        <v>70000</v>
      </c>
      <c r="H36" s="62">
        <f t="shared" si="12"/>
        <v>70000</v>
      </c>
      <c r="I36" s="62">
        <f t="shared" si="13"/>
        <v>70000</v>
      </c>
      <c r="J36" s="62">
        <f t="shared" si="14"/>
        <v>70000</v>
      </c>
      <c r="K36" s="62">
        <f t="shared" si="15"/>
        <v>70000</v>
      </c>
      <c r="L36" s="62">
        <f t="shared" si="16"/>
        <v>70000</v>
      </c>
      <c r="M36" s="62">
        <f t="shared" si="17"/>
        <v>70000</v>
      </c>
      <c r="N36" s="62">
        <f t="shared" si="18"/>
        <v>70000</v>
      </c>
      <c r="O36" s="62">
        <f t="shared" si="19"/>
        <v>70000</v>
      </c>
      <c r="P36" s="62">
        <f t="shared" si="20"/>
        <v>70000</v>
      </c>
      <c r="Q36" s="62">
        <f t="shared" si="21"/>
        <v>70000</v>
      </c>
      <c r="R36" s="62">
        <f t="shared" si="22"/>
        <v>70000</v>
      </c>
      <c r="S36" s="62">
        <f t="shared" si="23"/>
        <v>70000</v>
      </c>
      <c r="T36" s="62">
        <f t="shared" si="24"/>
        <v>70000</v>
      </c>
      <c r="U36" s="62">
        <f t="shared" si="25"/>
        <v>70000</v>
      </c>
      <c r="V36" s="62">
        <f t="shared" si="26"/>
        <v>70000</v>
      </c>
      <c r="W36" s="62">
        <f t="shared" si="27"/>
        <v>70000</v>
      </c>
      <c r="X36" s="62">
        <f t="shared" si="28"/>
        <v>70000</v>
      </c>
      <c r="Y36" s="62">
        <f t="shared" si="29"/>
        <v>70000</v>
      </c>
      <c r="Z36" s="62">
        <f t="shared" si="30"/>
        <v>70000</v>
      </c>
      <c r="AA36" s="62">
        <f t="shared" si="31"/>
        <v>70000</v>
      </c>
      <c r="AB36" s="62">
        <f t="shared" si="32"/>
        <v>70000</v>
      </c>
      <c r="AC36" s="62">
        <f t="shared" si="33"/>
        <v>70000</v>
      </c>
    </row>
    <row r="37" spans="1:29" x14ac:dyDescent="0.25">
      <c r="A37" s="30" t="str">
        <f t="shared" si="5"/>
        <v>Opex maintenance &amp; repair</v>
      </c>
      <c r="B37" s="62">
        <f t="shared" si="6"/>
        <v>20000</v>
      </c>
      <c r="C37" s="62">
        <f t="shared" si="7"/>
        <v>20000</v>
      </c>
      <c r="D37" s="62">
        <f t="shared" si="8"/>
        <v>20000</v>
      </c>
      <c r="E37" s="62">
        <f t="shared" si="9"/>
        <v>20000</v>
      </c>
      <c r="F37" s="62">
        <f t="shared" si="10"/>
        <v>20000</v>
      </c>
      <c r="G37" s="62">
        <f t="shared" si="11"/>
        <v>20000</v>
      </c>
      <c r="H37" s="62">
        <f t="shared" si="12"/>
        <v>20000</v>
      </c>
      <c r="I37" s="62">
        <f t="shared" si="13"/>
        <v>20000</v>
      </c>
      <c r="J37" s="62">
        <f t="shared" si="14"/>
        <v>20000</v>
      </c>
      <c r="K37" s="62">
        <f t="shared" si="15"/>
        <v>20000</v>
      </c>
      <c r="L37" s="62">
        <f t="shared" si="16"/>
        <v>20000</v>
      </c>
      <c r="M37" s="62">
        <f t="shared" si="17"/>
        <v>20000</v>
      </c>
      <c r="N37" s="62">
        <f t="shared" si="18"/>
        <v>20000</v>
      </c>
      <c r="O37" s="62">
        <f t="shared" si="19"/>
        <v>20000</v>
      </c>
      <c r="P37" s="62">
        <f t="shared" si="20"/>
        <v>20000</v>
      </c>
      <c r="Q37" s="62">
        <f t="shared" si="21"/>
        <v>20000</v>
      </c>
      <c r="R37" s="62">
        <f t="shared" si="22"/>
        <v>20000</v>
      </c>
      <c r="S37" s="62">
        <f t="shared" si="23"/>
        <v>20000</v>
      </c>
      <c r="T37" s="62">
        <f t="shared" si="24"/>
        <v>20000</v>
      </c>
      <c r="U37" s="62">
        <f t="shared" si="25"/>
        <v>20000</v>
      </c>
      <c r="V37" s="62">
        <f t="shared" si="26"/>
        <v>20000</v>
      </c>
      <c r="W37" s="62">
        <f t="shared" si="27"/>
        <v>20000</v>
      </c>
      <c r="X37" s="62">
        <f t="shared" si="28"/>
        <v>20000</v>
      </c>
      <c r="Y37" s="62">
        <f t="shared" si="29"/>
        <v>20000</v>
      </c>
      <c r="Z37" s="62">
        <f t="shared" si="30"/>
        <v>20000</v>
      </c>
      <c r="AA37" s="62">
        <f t="shared" si="31"/>
        <v>20000</v>
      </c>
      <c r="AB37" s="62">
        <f t="shared" si="32"/>
        <v>20000</v>
      </c>
      <c r="AC37" s="62">
        <f t="shared" si="33"/>
        <v>20000</v>
      </c>
    </row>
    <row r="38" spans="1:29" x14ac:dyDescent="0.25">
      <c r="A38" s="30" t="str">
        <f t="shared" si="5"/>
        <v>Opex var (mode-fees)</v>
      </c>
      <c r="B38" s="62">
        <f t="shared" si="6"/>
        <v>0.11</v>
      </c>
      <c r="C38" s="62">
        <f t="shared" si="7"/>
        <v>0.11</v>
      </c>
      <c r="D38" s="62">
        <f t="shared" si="8"/>
        <v>0.11</v>
      </c>
      <c r="E38" s="62">
        <f t="shared" si="9"/>
        <v>0.11</v>
      </c>
      <c r="F38" s="62">
        <f t="shared" si="10"/>
        <v>0.11</v>
      </c>
      <c r="G38" s="62">
        <f t="shared" si="11"/>
        <v>0.11</v>
      </c>
      <c r="H38" s="62">
        <f t="shared" si="12"/>
        <v>0.11</v>
      </c>
      <c r="I38" s="62">
        <f t="shared" si="13"/>
        <v>0.11</v>
      </c>
      <c r="J38" s="62">
        <f t="shared" si="14"/>
        <v>0.11</v>
      </c>
      <c r="K38" s="62">
        <f t="shared" si="15"/>
        <v>0.11</v>
      </c>
      <c r="L38" s="62">
        <f t="shared" si="16"/>
        <v>0.11</v>
      </c>
      <c r="M38" s="62">
        <f t="shared" si="17"/>
        <v>0.11</v>
      </c>
      <c r="N38" s="62">
        <f t="shared" si="18"/>
        <v>0.11</v>
      </c>
      <c r="O38" s="62">
        <f t="shared" si="19"/>
        <v>0.11</v>
      </c>
      <c r="P38" s="62">
        <f t="shared" si="20"/>
        <v>0.11</v>
      </c>
      <c r="Q38" s="62">
        <f t="shared" si="21"/>
        <v>0.11</v>
      </c>
      <c r="R38" s="62">
        <f t="shared" si="22"/>
        <v>0.11</v>
      </c>
      <c r="S38" s="62">
        <f t="shared" si="23"/>
        <v>0.11</v>
      </c>
      <c r="T38" s="62">
        <f t="shared" si="24"/>
        <v>0.11</v>
      </c>
      <c r="U38" s="62">
        <f t="shared" si="25"/>
        <v>0.11</v>
      </c>
      <c r="V38" s="62">
        <f t="shared" si="26"/>
        <v>0.11</v>
      </c>
      <c r="W38" s="62">
        <f t="shared" si="27"/>
        <v>0.11</v>
      </c>
      <c r="X38" s="62">
        <f t="shared" si="28"/>
        <v>0.11</v>
      </c>
      <c r="Y38" s="62">
        <f t="shared" si="29"/>
        <v>0.11</v>
      </c>
      <c r="Z38" s="62">
        <f t="shared" si="30"/>
        <v>0.11</v>
      </c>
      <c r="AA38" s="62">
        <f t="shared" si="31"/>
        <v>0.11</v>
      </c>
      <c r="AB38" s="62">
        <f t="shared" si="32"/>
        <v>0.11</v>
      </c>
      <c r="AC38" s="62">
        <f t="shared" si="33"/>
        <v>0.11</v>
      </c>
    </row>
    <row r="39" spans="1:29" x14ac:dyDescent="0.25">
      <c r="A39" s="30" t="str">
        <f t="shared" si="5"/>
        <v>Fuel Economy</v>
      </c>
      <c r="B39" s="62">
        <f t="shared" si="6"/>
        <v>2.8933989307874186</v>
      </c>
      <c r="C39" s="62">
        <f t="shared" si="7"/>
        <v>2.890572548814291</v>
      </c>
      <c r="D39" s="62">
        <f t="shared" si="8"/>
        <v>2.88655949157936</v>
      </c>
      <c r="E39" s="62">
        <f t="shared" si="9"/>
        <v>2.880887420807964</v>
      </c>
      <c r="F39" s="62">
        <f t="shared" si="10"/>
        <v>2.8729239357775569</v>
      </c>
      <c r="G39" s="62">
        <f t="shared" si="11"/>
        <v>2.8618518007507072</v>
      </c>
      <c r="H39" s="62">
        <f t="shared" si="12"/>
        <v>2.846672317838292</v>
      </c>
      <c r="I39" s="62">
        <f t="shared" si="13"/>
        <v>2.826272719371635</v>
      </c>
      <c r="J39" s="62">
        <f t="shared" si="14"/>
        <v>2.7996065032631194</v>
      </c>
      <c r="K39" s="62">
        <f t="shared" si="15"/>
        <v>2.7660249112499669</v>
      </c>
      <c r="L39" s="62">
        <f t="shared" si="16"/>
        <v>2.7257279647939332</v>
      </c>
      <c r="M39" s="62">
        <f t="shared" si="17"/>
        <v>2.6801612394042476</v>
      </c>
      <c r="N39" s="62">
        <f t="shared" si="18"/>
        <v>2.6320566343659264</v>
      </c>
      <c r="O39" s="62">
        <f t="shared" si="19"/>
        <v>2.5848986379776195</v>
      </c>
      <c r="P39" s="62">
        <f t="shared" si="20"/>
        <v>2.5419697431861561</v>
      </c>
      <c r="Q39" s="62">
        <f t="shared" si="21"/>
        <v>2.5054862958055883</v>
      </c>
      <c r="R39" s="62">
        <f t="shared" si="22"/>
        <v>2.4762695882689911</v>
      </c>
      <c r="S39" s="62">
        <f t="shared" si="23"/>
        <v>2.4539759436885498</v>
      </c>
      <c r="T39" s="62">
        <f t="shared" si="24"/>
        <v>2.4375883269690459</v>
      </c>
      <c r="U39" s="62">
        <f t="shared" si="25"/>
        <v>2.4258714180887511</v>
      </c>
      <c r="V39" s="62">
        <f t="shared" si="26"/>
        <v>2.4176595953126729</v>
      </c>
      <c r="W39" s="62">
        <f t="shared" si="27"/>
        <v>2.4119847210363288</v>
      </c>
      <c r="X39" s="62">
        <f t="shared" si="28"/>
        <v>2.408101121779195</v>
      </c>
      <c r="Y39" s="62">
        <f t="shared" si="29"/>
        <v>2.4054611202820539</v>
      </c>
      <c r="Z39" s="62">
        <f t="shared" si="30"/>
        <v>2.4036746606453043</v>
      </c>
      <c r="AA39" s="62">
        <f t="shared" si="31"/>
        <v>2.4024695131092528</v>
      </c>
      <c r="AB39" s="62">
        <f t="shared" si="32"/>
        <v>2.4016582137746476</v>
      </c>
      <c r="AC39" s="62">
        <f t="shared" si="33"/>
        <v>2.4011128181073338</v>
      </c>
    </row>
    <row r="40" spans="1:29" x14ac:dyDescent="0.25">
      <c r="A40" s="30" t="str">
        <f t="shared" si="5"/>
        <v>Fuel Cost</v>
      </c>
      <c r="B40" s="66">
        <f>$B20+($C20-$B20)*(1-Q20)</f>
        <v>0.1</v>
      </c>
      <c r="C40" s="66">
        <f t="shared" ref="C40:AC40" si="34">$B20+($C20-$B20)*(1-R20)</f>
        <v>0.1</v>
      </c>
      <c r="D40" s="66">
        <f t="shared" si="34"/>
        <v>0.1</v>
      </c>
      <c r="E40" s="66">
        <f t="shared" si="34"/>
        <v>0.1</v>
      </c>
      <c r="F40" s="66">
        <f t="shared" si="34"/>
        <v>0.1</v>
      </c>
      <c r="G40" s="66">
        <f t="shared" si="34"/>
        <v>0.1</v>
      </c>
      <c r="H40" s="66">
        <f t="shared" si="34"/>
        <v>0.1</v>
      </c>
      <c r="I40" s="66">
        <f t="shared" si="34"/>
        <v>0.1</v>
      </c>
      <c r="J40" s="66">
        <f t="shared" si="34"/>
        <v>0.1</v>
      </c>
      <c r="K40" s="66">
        <f t="shared" si="34"/>
        <v>0.1</v>
      </c>
      <c r="L40" s="66">
        <f t="shared" si="34"/>
        <v>0.1</v>
      </c>
      <c r="M40" s="66">
        <f t="shared" si="34"/>
        <v>0.1</v>
      </c>
      <c r="N40" s="66">
        <f t="shared" si="34"/>
        <v>0.1</v>
      </c>
      <c r="O40" s="66">
        <f t="shared" si="34"/>
        <v>0.1</v>
      </c>
      <c r="P40" s="66">
        <f t="shared" si="34"/>
        <v>0.1</v>
      </c>
      <c r="Q40" s="66">
        <f t="shared" si="34"/>
        <v>0.1</v>
      </c>
      <c r="R40" s="66">
        <f t="shared" si="34"/>
        <v>0.1</v>
      </c>
      <c r="S40" s="66">
        <f t="shared" si="34"/>
        <v>0.1</v>
      </c>
      <c r="T40" s="66">
        <f t="shared" si="34"/>
        <v>0.1</v>
      </c>
      <c r="U40" s="66">
        <f t="shared" si="34"/>
        <v>0.1</v>
      </c>
      <c r="V40" s="66">
        <f t="shared" si="34"/>
        <v>0.1</v>
      </c>
      <c r="W40" s="66">
        <f t="shared" si="34"/>
        <v>0.1</v>
      </c>
      <c r="X40" s="66">
        <f t="shared" si="34"/>
        <v>0.1</v>
      </c>
      <c r="Y40" s="66">
        <f t="shared" si="34"/>
        <v>0.1</v>
      </c>
      <c r="Z40" s="66">
        <f t="shared" si="34"/>
        <v>0.1</v>
      </c>
      <c r="AA40" s="66">
        <f t="shared" si="34"/>
        <v>0.1</v>
      </c>
      <c r="AB40" s="66">
        <f t="shared" si="34"/>
        <v>0.1</v>
      </c>
      <c r="AC40" s="66">
        <f t="shared" si="34"/>
        <v>0.1</v>
      </c>
    </row>
    <row r="41" spans="1:29" x14ac:dyDescent="0.25">
      <c r="A41" s="30" t="str">
        <f t="shared" si="5"/>
        <v>Emission Cost</v>
      </c>
      <c r="B41" s="66">
        <f>$B21+($C21-$B21)*(1-Q21)</f>
        <v>7.7639122778339092E-2</v>
      </c>
      <c r="C41" s="66">
        <f t="shared" ref="C41:AC41" si="35">$B21+($C21-$B21)*(1-R21)</f>
        <v>7.777844914537467E-2</v>
      </c>
      <c r="D41" s="66">
        <f t="shared" si="35"/>
        <v>7.7977891736541474E-2</v>
      </c>
      <c r="E41" s="66">
        <f t="shared" si="35"/>
        <v>7.8263208388635597E-2</v>
      </c>
      <c r="F41" s="66">
        <f t="shared" si="35"/>
        <v>7.8670988842723152E-2</v>
      </c>
      <c r="G41" s="66">
        <f t="shared" si="35"/>
        <v>7.925297967571665E-2</v>
      </c>
      <c r="H41" s="66">
        <f t="shared" si="35"/>
        <v>8.0081877399879431E-2</v>
      </c>
      <c r="I41" s="66">
        <f t="shared" si="35"/>
        <v>8.1258793344219593E-2</v>
      </c>
      <c r="J41" s="66">
        <f t="shared" si="35"/>
        <v>8.2922250937142977E-2</v>
      </c>
      <c r="K41" s="66">
        <f t="shared" si="35"/>
        <v>8.5257715386346467E-2</v>
      </c>
      <c r="L41" s="66">
        <f t="shared" si="35"/>
        <v>8.8504858770587308E-2</v>
      </c>
      <c r="M41" s="66">
        <f t="shared" si="35"/>
        <v>9.2956570874505887E-2</v>
      </c>
      <c r="N41" s="66">
        <f t="shared" si="35"/>
        <v>9.8939194915988959E-2</v>
      </c>
      <c r="O41" s="66">
        <f t="shared" si="35"/>
        <v>0.10675964029617348</v>
      </c>
      <c r="P41" s="66">
        <f t="shared" si="35"/>
        <v>0.11660816942568256</v>
      </c>
      <c r="Q41" s="66">
        <f t="shared" si="35"/>
        <v>0.12842612167902054</v>
      </c>
      <c r="R41" s="66">
        <f t="shared" si="35"/>
        <v>0.14178955073148763</v>
      </c>
      <c r="S41" s="66">
        <f t="shared" si="35"/>
        <v>0.15589726795340736</v>
      </c>
      <c r="T41" s="66">
        <f t="shared" si="35"/>
        <v>0.16972737168814467</v>
      </c>
      <c r="U41" s="66">
        <f t="shared" si="35"/>
        <v>0.18231719979056973</v>
      </c>
      <c r="V41" s="66">
        <f t="shared" si="35"/>
        <v>0.19301676085163266</v>
      </c>
      <c r="W41" s="66">
        <f t="shared" si="35"/>
        <v>0.20158519307872402</v>
      </c>
      <c r="X41" s="66">
        <f t="shared" si="35"/>
        <v>0.20812328716215528</v>
      </c>
      <c r="Y41" s="66">
        <f t="shared" si="35"/>
        <v>0.21292931066938076</v>
      </c>
      <c r="Z41" s="66">
        <f t="shared" si="35"/>
        <v>0.21636554794991802</v>
      </c>
      <c r="AA41" s="66">
        <f t="shared" si="35"/>
        <v>0.21877384282125395</v>
      </c>
      <c r="AB41" s="66">
        <f t="shared" si="35"/>
        <v>0.22043812260271833</v>
      </c>
      <c r="AC41" s="66">
        <f t="shared" si="35"/>
        <v>0.22157707219141698</v>
      </c>
    </row>
    <row r="42" spans="1:29" x14ac:dyDescent="0.25">
      <c r="A42" s="30" t="str">
        <f t="shared" si="5"/>
        <v>Lifetime vehicle</v>
      </c>
      <c r="B42" s="62">
        <f>$B22+($C22-$B22)*(1-Q22)</f>
        <v>8</v>
      </c>
      <c r="C42" s="62">
        <f t="shared" ref="C42:L44" si="36">$B22+($C22-$B22)*(1-R22)</f>
        <v>8</v>
      </c>
      <c r="D42" s="62">
        <f t="shared" si="36"/>
        <v>8</v>
      </c>
      <c r="E42" s="62">
        <f t="shared" si="36"/>
        <v>8</v>
      </c>
      <c r="F42" s="62">
        <f t="shared" si="36"/>
        <v>8</v>
      </c>
      <c r="G42" s="62">
        <f t="shared" si="36"/>
        <v>8</v>
      </c>
      <c r="H42" s="62">
        <f t="shared" si="36"/>
        <v>8</v>
      </c>
      <c r="I42" s="62">
        <f t="shared" si="36"/>
        <v>8</v>
      </c>
      <c r="J42" s="62">
        <f t="shared" si="36"/>
        <v>8</v>
      </c>
      <c r="K42" s="62">
        <f t="shared" si="36"/>
        <v>8</v>
      </c>
      <c r="L42" s="62">
        <f t="shared" si="36"/>
        <v>8</v>
      </c>
      <c r="M42" s="62">
        <f t="shared" ref="M42:V44" si="37">$B22+($C22-$B22)*(1-AB22)</f>
        <v>8</v>
      </c>
      <c r="N42" s="62">
        <f t="shared" si="37"/>
        <v>8</v>
      </c>
      <c r="O42" s="62">
        <f t="shared" si="37"/>
        <v>8</v>
      </c>
      <c r="P42" s="62">
        <f t="shared" si="37"/>
        <v>8</v>
      </c>
      <c r="Q42" s="62">
        <f t="shared" si="37"/>
        <v>8</v>
      </c>
      <c r="R42" s="62">
        <f t="shared" si="37"/>
        <v>8</v>
      </c>
      <c r="S42" s="62">
        <f t="shared" si="37"/>
        <v>8</v>
      </c>
      <c r="T42" s="62">
        <f t="shared" si="37"/>
        <v>8</v>
      </c>
      <c r="U42" s="62">
        <f t="shared" si="37"/>
        <v>8</v>
      </c>
      <c r="V42" s="62">
        <f t="shared" si="37"/>
        <v>8</v>
      </c>
      <c r="W42" s="62">
        <f t="shared" ref="W42:AC44" si="38">$B22+($C22-$B22)*(1-AL22)</f>
        <v>8</v>
      </c>
      <c r="X42" s="62">
        <f t="shared" si="38"/>
        <v>8</v>
      </c>
      <c r="Y42" s="62">
        <f t="shared" si="38"/>
        <v>8</v>
      </c>
      <c r="Z42" s="62">
        <f t="shared" si="38"/>
        <v>8</v>
      </c>
      <c r="AA42" s="62">
        <f t="shared" si="38"/>
        <v>8</v>
      </c>
      <c r="AB42" s="62">
        <f t="shared" si="38"/>
        <v>8</v>
      </c>
      <c r="AC42" s="62">
        <f t="shared" si="38"/>
        <v>8</v>
      </c>
    </row>
    <row r="43" spans="1:29" x14ac:dyDescent="0.25">
      <c r="A43" s="30" t="str">
        <f t="shared" si="5"/>
        <v>Lifetime costumization</v>
      </c>
      <c r="B43" s="62">
        <f>$B23+($C23-$B23)*(1-Q23)</f>
        <v>10</v>
      </c>
      <c r="C43" s="62">
        <f t="shared" si="36"/>
        <v>10</v>
      </c>
      <c r="D43" s="62">
        <f t="shared" si="36"/>
        <v>10</v>
      </c>
      <c r="E43" s="62">
        <f t="shared" si="36"/>
        <v>10</v>
      </c>
      <c r="F43" s="62">
        <f t="shared" si="36"/>
        <v>10</v>
      </c>
      <c r="G43" s="62">
        <f t="shared" si="36"/>
        <v>10</v>
      </c>
      <c r="H43" s="62">
        <f t="shared" si="36"/>
        <v>10</v>
      </c>
      <c r="I43" s="62">
        <f t="shared" si="36"/>
        <v>10</v>
      </c>
      <c r="J43" s="62">
        <f t="shared" si="36"/>
        <v>10</v>
      </c>
      <c r="K43" s="62">
        <f t="shared" si="36"/>
        <v>10</v>
      </c>
      <c r="L43" s="62">
        <f t="shared" si="36"/>
        <v>10</v>
      </c>
      <c r="M43" s="62">
        <f t="shared" si="37"/>
        <v>10</v>
      </c>
      <c r="N43" s="62">
        <f t="shared" si="37"/>
        <v>10</v>
      </c>
      <c r="O43" s="62">
        <f t="shared" si="37"/>
        <v>10</v>
      </c>
      <c r="P43" s="62">
        <f t="shared" si="37"/>
        <v>10</v>
      </c>
      <c r="Q43" s="62">
        <f t="shared" si="37"/>
        <v>10</v>
      </c>
      <c r="R43" s="62">
        <f t="shared" si="37"/>
        <v>10</v>
      </c>
      <c r="S43" s="62">
        <f t="shared" si="37"/>
        <v>10</v>
      </c>
      <c r="T43" s="62">
        <f t="shared" si="37"/>
        <v>10</v>
      </c>
      <c r="U43" s="62">
        <f t="shared" si="37"/>
        <v>10</v>
      </c>
      <c r="V43" s="62">
        <f t="shared" si="37"/>
        <v>10</v>
      </c>
      <c r="W43" s="62">
        <f t="shared" si="38"/>
        <v>10</v>
      </c>
      <c r="X43" s="62">
        <f t="shared" si="38"/>
        <v>10</v>
      </c>
      <c r="Y43" s="62">
        <f t="shared" si="38"/>
        <v>10</v>
      </c>
      <c r="Z43" s="62">
        <f t="shared" si="38"/>
        <v>10</v>
      </c>
      <c r="AA43" s="62">
        <f t="shared" si="38"/>
        <v>10</v>
      </c>
      <c r="AB43" s="62">
        <f t="shared" si="38"/>
        <v>10</v>
      </c>
      <c r="AC43" s="62">
        <f t="shared" si="38"/>
        <v>10</v>
      </c>
    </row>
    <row r="44" spans="1:29" x14ac:dyDescent="0.25">
      <c r="A44" s="30" t="str">
        <f t="shared" si="5"/>
        <v>Tonnage .</v>
      </c>
      <c r="B44" s="62">
        <f>$B24+($C24-$B24)*(1-Q24)</f>
        <v>25</v>
      </c>
      <c r="C44" s="62">
        <f t="shared" si="36"/>
        <v>25</v>
      </c>
      <c r="D44" s="62">
        <f t="shared" si="36"/>
        <v>25</v>
      </c>
      <c r="E44" s="62">
        <f t="shared" si="36"/>
        <v>25</v>
      </c>
      <c r="F44" s="62">
        <f t="shared" si="36"/>
        <v>25</v>
      </c>
      <c r="G44" s="62">
        <f t="shared" si="36"/>
        <v>25</v>
      </c>
      <c r="H44" s="62">
        <f t="shared" si="36"/>
        <v>25</v>
      </c>
      <c r="I44" s="62">
        <f t="shared" si="36"/>
        <v>25</v>
      </c>
      <c r="J44" s="62">
        <f t="shared" si="36"/>
        <v>25</v>
      </c>
      <c r="K44" s="62">
        <f t="shared" si="36"/>
        <v>25</v>
      </c>
      <c r="L44" s="62">
        <f t="shared" si="36"/>
        <v>25</v>
      </c>
      <c r="M44" s="62">
        <f t="shared" si="37"/>
        <v>25</v>
      </c>
      <c r="N44" s="62">
        <f t="shared" si="37"/>
        <v>25</v>
      </c>
      <c r="O44" s="62">
        <f t="shared" si="37"/>
        <v>25</v>
      </c>
      <c r="P44" s="62">
        <f t="shared" si="37"/>
        <v>25</v>
      </c>
      <c r="Q44" s="62">
        <f t="shared" si="37"/>
        <v>25</v>
      </c>
      <c r="R44" s="62">
        <f t="shared" si="37"/>
        <v>25</v>
      </c>
      <c r="S44" s="62">
        <f t="shared" si="37"/>
        <v>25</v>
      </c>
      <c r="T44" s="62">
        <f t="shared" si="37"/>
        <v>25</v>
      </c>
      <c r="U44" s="62">
        <f t="shared" si="37"/>
        <v>25</v>
      </c>
      <c r="V44" s="62">
        <f t="shared" si="37"/>
        <v>25</v>
      </c>
      <c r="W44" s="62">
        <f t="shared" si="38"/>
        <v>25</v>
      </c>
      <c r="X44" s="62">
        <f t="shared" si="38"/>
        <v>25</v>
      </c>
      <c r="Y44" s="62">
        <f t="shared" si="38"/>
        <v>25</v>
      </c>
      <c r="Z44" s="62">
        <f t="shared" si="38"/>
        <v>25</v>
      </c>
      <c r="AA44" s="62">
        <f t="shared" si="38"/>
        <v>25</v>
      </c>
      <c r="AB44" s="62">
        <f t="shared" si="38"/>
        <v>25</v>
      </c>
      <c r="AC44" s="62">
        <f t="shared" si="38"/>
        <v>25</v>
      </c>
    </row>
    <row r="45" spans="1:29" x14ac:dyDescent="0.25">
      <c r="A45" s="30" t="str">
        <f t="shared" si="5"/>
        <v>Market failure (av. utilization)</v>
      </c>
      <c r="B45" s="62">
        <f t="shared" ref="B45:K46" si="39">($B25+($C25-$B25)*(1-Q25))*B$44</f>
        <v>13.999999999999998</v>
      </c>
      <c r="C45" s="62">
        <f t="shared" si="39"/>
        <v>13.999999999999998</v>
      </c>
      <c r="D45" s="62">
        <f t="shared" si="39"/>
        <v>13.999999999999998</v>
      </c>
      <c r="E45" s="62">
        <f t="shared" si="39"/>
        <v>13.999999999999998</v>
      </c>
      <c r="F45" s="62">
        <f t="shared" si="39"/>
        <v>13.999999999999998</v>
      </c>
      <c r="G45" s="62">
        <f t="shared" si="39"/>
        <v>13.999999999999998</v>
      </c>
      <c r="H45" s="62">
        <f t="shared" si="39"/>
        <v>13.999999999999998</v>
      </c>
      <c r="I45" s="62">
        <f t="shared" si="39"/>
        <v>13.999999999999998</v>
      </c>
      <c r="J45" s="62">
        <f t="shared" si="39"/>
        <v>13.999999999999998</v>
      </c>
      <c r="K45" s="62">
        <f t="shared" si="39"/>
        <v>13.999999999999998</v>
      </c>
      <c r="L45" s="62">
        <f t="shared" ref="L45:U46" si="40">($B25+($C25-$B25)*(1-AA25))*L$44</f>
        <v>13.999999999999998</v>
      </c>
      <c r="M45" s="62">
        <f t="shared" si="40"/>
        <v>13.999999999999998</v>
      </c>
      <c r="N45" s="62">
        <f t="shared" si="40"/>
        <v>13.999999999999998</v>
      </c>
      <c r="O45" s="62">
        <f t="shared" si="40"/>
        <v>13.999999999999998</v>
      </c>
      <c r="P45" s="62">
        <f t="shared" si="40"/>
        <v>13.999999999999998</v>
      </c>
      <c r="Q45" s="62">
        <f t="shared" si="40"/>
        <v>13.999999999999998</v>
      </c>
      <c r="R45" s="62">
        <f t="shared" si="40"/>
        <v>13.999999999999998</v>
      </c>
      <c r="S45" s="62">
        <f t="shared" si="40"/>
        <v>13.999999999999998</v>
      </c>
      <c r="T45" s="62">
        <f t="shared" si="40"/>
        <v>13.999999999999998</v>
      </c>
      <c r="U45" s="62">
        <f t="shared" si="40"/>
        <v>13.999999999999998</v>
      </c>
      <c r="V45" s="62">
        <f t="shared" ref="V45:AC46" si="41">($B25+($C25-$B25)*(1-AK25))*V$44</f>
        <v>13.999999999999998</v>
      </c>
      <c r="W45" s="62">
        <f t="shared" si="41"/>
        <v>13.999999999999998</v>
      </c>
      <c r="X45" s="62">
        <f t="shared" si="41"/>
        <v>13.999999999999998</v>
      </c>
      <c r="Y45" s="62">
        <f t="shared" si="41"/>
        <v>13.999999999999998</v>
      </c>
      <c r="Z45" s="62">
        <f t="shared" si="41"/>
        <v>13.999999999999998</v>
      </c>
      <c r="AA45" s="62">
        <f t="shared" si="41"/>
        <v>13.999999999999998</v>
      </c>
      <c r="AB45" s="62">
        <f t="shared" si="41"/>
        <v>13.999999999999998</v>
      </c>
      <c r="AC45" s="62">
        <f t="shared" si="41"/>
        <v>13.999999999999998</v>
      </c>
    </row>
    <row r="46" spans="1:29" x14ac:dyDescent="0.25">
      <c r="A46" s="30" t="s">
        <v>73</v>
      </c>
      <c r="B46" s="62">
        <f t="shared" si="39"/>
        <v>0</v>
      </c>
      <c r="C46" s="62">
        <f t="shared" si="39"/>
        <v>0</v>
      </c>
      <c r="D46" s="62">
        <f t="shared" si="39"/>
        <v>0</v>
      </c>
      <c r="E46" s="62">
        <f t="shared" si="39"/>
        <v>0</v>
      </c>
      <c r="F46" s="62">
        <f t="shared" si="39"/>
        <v>0</v>
      </c>
      <c r="G46" s="62">
        <f t="shared" si="39"/>
        <v>0</v>
      </c>
      <c r="H46" s="62">
        <f t="shared" si="39"/>
        <v>0</v>
      </c>
      <c r="I46" s="62">
        <f t="shared" si="39"/>
        <v>0</v>
      </c>
      <c r="J46" s="62">
        <f t="shared" si="39"/>
        <v>0</v>
      </c>
      <c r="K46" s="62">
        <f t="shared" si="39"/>
        <v>0</v>
      </c>
      <c r="L46" s="62">
        <f t="shared" si="40"/>
        <v>0</v>
      </c>
      <c r="M46" s="62">
        <f t="shared" si="40"/>
        <v>0</v>
      </c>
      <c r="N46" s="62">
        <f t="shared" si="40"/>
        <v>0</v>
      </c>
      <c r="O46" s="62">
        <f t="shared" si="40"/>
        <v>0</v>
      </c>
      <c r="P46" s="62">
        <f t="shared" si="40"/>
        <v>0</v>
      </c>
      <c r="Q46" s="62">
        <f t="shared" si="40"/>
        <v>0</v>
      </c>
      <c r="R46" s="62">
        <f t="shared" si="40"/>
        <v>0</v>
      </c>
      <c r="S46" s="62">
        <f t="shared" si="40"/>
        <v>0</v>
      </c>
      <c r="T46" s="62">
        <f t="shared" si="40"/>
        <v>0</v>
      </c>
      <c r="U46" s="62">
        <f t="shared" si="40"/>
        <v>0</v>
      </c>
      <c r="V46" s="62">
        <f t="shared" si="41"/>
        <v>0</v>
      </c>
      <c r="W46" s="62">
        <f t="shared" si="41"/>
        <v>0</v>
      </c>
      <c r="X46" s="62">
        <f t="shared" si="41"/>
        <v>0</v>
      </c>
      <c r="Y46" s="62">
        <f t="shared" si="41"/>
        <v>0</v>
      </c>
      <c r="Z46" s="62">
        <f t="shared" si="41"/>
        <v>0</v>
      </c>
      <c r="AA46" s="62">
        <f t="shared" si="41"/>
        <v>0</v>
      </c>
      <c r="AB46" s="62">
        <f t="shared" si="41"/>
        <v>0</v>
      </c>
      <c r="AC46" s="62">
        <f t="shared" si="41"/>
        <v>0</v>
      </c>
    </row>
    <row r="47" spans="1:29" x14ac:dyDescent="0.25">
      <c r="A47" s="30" t="str">
        <f>A27</f>
        <v>Annual Mileage</v>
      </c>
      <c r="B47" s="62">
        <f t="shared" ref="B47:AC47" si="42">$B27+($C27-$B27)*(1-Q27)</f>
        <v>55000</v>
      </c>
      <c r="C47" s="62">
        <f t="shared" si="42"/>
        <v>55000</v>
      </c>
      <c r="D47" s="62">
        <f t="shared" si="42"/>
        <v>55000</v>
      </c>
      <c r="E47" s="62">
        <f t="shared" si="42"/>
        <v>55000</v>
      </c>
      <c r="F47" s="62">
        <f t="shared" si="42"/>
        <v>55000</v>
      </c>
      <c r="G47" s="62">
        <f t="shared" si="42"/>
        <v>55000</v>
      </c>
      <c r="H47" s="62">
        <f t="shared" si="42"/>
        <v>55000</v>
      </c>
      <c r="I47" s="62">
        <f t="shared" si="42"/>
        <v>55000</v>
      </c>
      <c r="J47" s="62">
        <f t="shared" si="42"/>
        <v>55000</v>
      </c>
      <c r="K47" s="62">
        <f t="shared" si="42"/>
        <v>55000</v>
      </c>
      <c r="L47" s="62">
        <f t="shared" si="42"/>
        <v>55000</v>
      </c>
      <c r="M47" s="62">
        <f t="shared" si="42"/>
        <v>55000</v>
      </c>
      <c r="N47" s="62">
        <f t="shared" si="42"/>
        <v>55000</v>
      </c>
      <c r="O47" s="62">
        <f t="shared" si="42"/>
        <v>55000</v>
      </c>
      <c r="P47" s="62">
        <f t="shared" si="42"/>
        <v>55000</v>
      </c>
      <c r="Q47" s="62">
        <f t="shared" si="42"/>
        <v>55000</v>
      </c>
      <c r="R47" s="62">
        <f t="shared" si="42"/>
        <v>55000</v>
      </c>
      <c r="S47" s="62">
        <f t="shared" si="42"/>
        <v>55000</v>
      </c>
      <c r="T47" s="62">
        <f t="shared" si="42"/>
        <v>55000</v>
      </c>
      <c r="U47" s="62">
        <f t="shared" si="42"/>
        <v>55000</v>
      </c>
      <c r="V47" s="62">
        <f t="shared" si="42"/>
        <v>55000</v>
      </c>
      <c r="W47" s="62">
        <f t="shared" si="42"/>
        <v>55000</v>
      </c>
      <c r="X47" s="62">
        <f t="shared" si="42"/>
        <v>55000</v>
      </c>
      <c r="Y47" s="62">
        <f t="shared" si="42"/>
        <v>55000</v>
      </c>
      <c r="Z47" s="62">
        <f t="shared" si="42"/>
        <v>55000</v>
      </c>
      <c r="AA47" s="62">
        <f t="shared" si="42"/>
        <v>55000</v>
      </c>
      <c r="AB47" s="62">
        <f t="shared" si="42"/>
        <v>55000</v>
      </c>
      <c r="AC47" s="62">
        <f t="shared" si="42"/>
        <v>55000</v>
      </c>
    </row>
    <row r="48" spans="1:29"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16930.034166116213</v>
      </c>
      <c r="C50" s="63">
        <f t="shared" ref="C50:AC50" si="43">((1+C35)^C42)*C35/(((1+C35)^C42)-1)*(C31)</f>
        <v>16939.137147822737</v>
      </c>
      <c r="D50" s="63">
        <f t="shared" si="43"/>
        <v>16952.062076917297</v>
      </c>
      <c r="E50" s="63">
        <f t="shared" si="43"/>
        <v>16970.330222186072</v>
      </c>
      <c r="F50" s="63">
        <f t="shared" si="43"/>
        <v>16995.97836855879</v>
      </c>
      <c r="G50" s="63">
        <f t="shared" si="43"/>
        <v>17031.638602582309</v>
      </c>
      <c r="H50" s="63">
        <f t="shared" si="43"/>
        <v>17080.52744937655</v>
      </c>
      <c r="I50" s="63">
        <f t="shared" si="43"/>
        <v>17146.228820750977</v>
      </c>
      <c r="J50" s="63">
        <f t="shared" si="43"/>
        <v>17232.113205708847</v>
      </c>
      <c r="K50" s="63">
        <f t="shared" si="43"/>
        <v>17340.270072218107</v>
      </c>
      <c r="L50" s="63">
        <f t="shared" si="43"/>
        <v>17470.055207385878</v>
      </c>
      <c r="M50" s="63">
        <f t="shared" si="43"/>
        <v>17616.812818916205</v>
      </c>
      <c r="N50" s="63">
        <f t="shared" si="43"/>
        <v>17771.744227277446</v>
      </c>
      <c r="O50" s="63">
        <f t="shared" si="43"/>
        <v>17923.62687531321</v>
      </c>
      <c r="P50" s="63">
        <f t="shared" si="43"/>
        <v>18061.888776104923</v>
      </c>
      <c r="Q50" s="63">
        <f t="shared" si="43"/>
        <v>18179.391702904584</v>
      </c>
      <c r="R50" s="63">
        <f t="shared" si="43"/>
        <v>18273.490503689198</v>
      </c>
      <c r="S50" s="63">
        <f t="shared" si="43"/>
        <v>18345.292065090671</v>
      </c>
      <c r="T50" s="63">
        <f t="shared" si="43"/>
        <v>18398.071971214304</v>
      </c>
      <c r="U50" s="63">
        <f t="shared" si="43"/>
        <v>18435.808840543512</v>
      </c>
      <c r="V50" s="63">
        <f t="shared" si="43"/>
        <v>18462.256812975615</v>
      </c>
      <c r="W50" s="63">
        <f t="shared" si="43"/>
        <v>18480.533987545627</v>
      </c>
      <c r="X50" s="63">
        <f t="shared" si="43"/>
        <v>18493.041968890429</v>
      </c>
      <c r="Y50" s="63">
        <f t="shared" si="43"/>
        <v>18501.544671484124</v>
      </c>
      <c r="Z50" s="63">
        <f t="shared" si="43"/>
        <v>18507.298355716259</v>
      </c>
      <c r="AA50" s="63">
        <f t="shared" si="43"/>
        <v>18511.179797106222</v>
      </c>
      <c r="AB50" s="63">
        <f t="shared" si="43"/>
        <v>18513.792764168582</v>
      </c>
      <c r="AC50" s="63">
        <f t="shared" si="43"/>
        <v>18515.549330276619</v>
      </c>
    </row>
    <row r="51" spans="1:29" x14ac:dyDescent="0.25">
      <c r="A51" s="30" t="str">
        <f>A32</f>
        <v>Residual value (vehicle)</v>
      </c>
      <c r="B51" s="62">
        <f>((1+B35)^B42)*B35/(((1+B35)^B42)-1)*(B32)</f>
        <v>-4208.0593252569806</v>
      </c>
      <c r="C51" s="62">
        <f t="shared" ref="C51:AC51" si="44">((1+C35)^C42)*C35/(((1+C35)^C42)-1)*(C32)</f>
        <v>-4199.866641721108</v>
      </c>
      <c r="D51" s="62">
        <f t="shared" si="44"/>
        <v>-4188.2342055360041</v>
      </c>
      <c r="E51" s="62">
        <f t="shared" si="44"/>
        <v>-4171.7928747941069</v>
      </c>
      <c r="F51" s="62">
        <f t="shared" si="44"/>
        <v>-4148.7095430586614</v>
      </c>
      <c r="G51" s="62">
        <f t="shared" si="44"/>
        <v>-4116.6153324374927</v>
      </c>
      <c r="H51" s="62">
        <f t="shared" si="44"/>
        <v>-4072.6153703226773</v>
      </c>
      <c r="I51" s="62">
        <f t="shared" si="44"/>
        <v>-4013.4841360856908</v>
      </c>
      <c r="J51" s="62">
        <f t="shared" si="44"/>
        <v>-3936.1881896236077</v>
      </c>
      <c r="K51" s="62">
        <f t="shared" si="44"/>
        <v>-3838.8470097652757</v>
      </c>
      <c r="L51" s="62">
        <f t="shared" si="44"/>
        <v>-3722.0403881142815</v>
      </c>
      <c r="M51" s="62">
        <f t="shared" si="44"/>
        <v>-3589.9585377369858</v>
      </c>
      <c r="N51" s="62">
        <f t="shared" si="44"/>
        <v>-3450.5202702118704</v>
      </c>
      <c r="O51" s="62">
        <f t="shared" si="44"/>
        <v>-3313.8258869796846</v>
      </c>
      <c r="P51" s="62">
        <f t="shared" si="44"/>
        <v>-3189.3901762671421</v>
      </c>
      <c r="Q51" s="62">
        <f t="shared" si="44"/>
        <v>-3083.6375421474468</v>
      </c>
      <c r="R51" s="62">
        <f t="shared" si="44"/>
        <v>-2998.9486214412941</v>
      </c>
      <c r="S51" s="62">
        <f t="shared" si="44"/>
        <v>-2934.3272161799682</v>
      </c>
      <c r="T51" s="62">
        <f t="shared" si="44"/>
        <v>-2886.8253006686996</v>
      </c>
      <c r="U51" s="62">
        <f t="shared" si="44"/>
        <v>-2852.8621182724105</v>
      </c>
      <c r="V51" s="62">
        <f t="shared" si="44"/>
        <v>-2829.0589430835184</v>
      </c>
      <c r="W51" s="62">
        <f t="shared" si="44"/>
        <v>-2812.6094859705067</v>
      </c>
      <c r="X51" s="62">
        <f t="shared" si="44"/>
        <v>-2801.3523027601836</v>
      </c>
      <c r="Y51" s="62">
        <f t="shared" si="44"/>
        <v>-2793.6998704258613</v>
      </c>
      <c r="Z51" s="62">
        <f t="shared" si="44"/>
        <v>-2788.5215546169388</v>
      </c>
      <c r="AA51" s="62">
        <f t="shared" si="44"/>
        <v>-2785.0282573659729</v>
      </c>
      <c r="AB51" s="62">
        <f t="shared" si="44"/>
        <v>-2782.6765870098498</v>
      </c>
      <c r="AC51" s="62">
        <f t="shared" si="44"/>
        <v>-2781.0956775126119</v>
      </c>
    </row>
    <row r="52" spans="1:29" x14ac:dyDescent="0.25">
      <c r="A52" s="30" t="str">
        <f>A33</f>
        <v>Capex costumization</v>
      </c>
      <c r="B52" s="62">
        <f>((1+B35)^B43)*B35/(((1+B35)^B43)-1)*(B33)</f>
        <v>5434.7183288153492</v>
      </c>
      <c r="C52" s="62">
        <f t="shared" ref="C52:AC52" si="45">((1+C35)^C43)*C35/(((1+C35)^C43)-1)*(C33)</f>
        <v>5434.7183288153492</v>
      </c>
      <c r="D52" s="62">
        <f t="shared" si="45"/>
        <v>5434.7183288153492</v>
      </c>
      <c r="E52" s="62">
        <f t="shared" si="45"/>
        <v>5434.7183288153492</v>
      </c>
      <c r="F52" s="62">
        <f t="shared" si="45"/>
        <v>5434.7183288153492</v>
      </c>
      <c r="G52" s="62">
        <f t="shared" si="45"/>
        <v>5434.7183288153492</v>
      </c>
      <c r="H52" s="62">
        <f t="shared" si="45"/>
        <v>5434.7183288153492</v>
      </c>
      <c r="I52" s="62">
        <f t="shared" si="45"/>
        <v>5434.7183288153492</v>
      </c>
      <c r="J52" s="62">
        <f t="shared" si="45"/>
        <v>5434.7183288153492</v>
      </c>
      <c r="K52" s="62">
        <f t="shared" si="45"/>
        <v>5434.7183288153492</v>
      </c>
      <c r="L52" s="62">
        <f t="shared" si="45"/>
        <v>5434.7183288153492</v>
      </c>
      <c r="M52" s="62">
        <f t="shared" si="45"/>
        <v>5434.7183288153492</v>
      </c>
      <c r="N52" s="62">
        <f t="shared" si="45"/>
        <v>5434.7183288153492</v>
      </c>
      <c r="O52" s="62">
        <f t="shared" si="45"/>
        <v>5434.7183288153492</v>
      </c>
      <c r="P52" s="62">
        <f t="shared" si="45"/>
        <v>5434.7183288153492</v>
      </c>
      <c r="Q52" s="62">
        <f t="shared" si="45"/>
        <v>5434.7183288153492</v>
      </c>
      <c r="R52" s="62">
        <f t="shared" si="45"/>
        <v>5434.7183288153492</v>
      </c>
      <c r="S52" s="62">
        <f t="shared" si="45"/>
        <v>5434.7183288153492</v>
      </c>
      <c r="T52" s="62">
        <f t="shared" si="45"/>
        <v>5434.7183288153492</v>
      </c>
      <c r="U52" s="62">
        <f t="shared" si="45"/>
        <v>5434.7183288153492</v>
      </c>
      <c r="V52" s="62">
        <f t="shared" si="45"/>
        <v>5434.7183288153492</v>
      </c>
      <c r="W52" s="62">
        <f t="shared" si="45"/>
        <v>5434.7183288153492</v>
      </c>
      <c r="X52" s="62">
        <f t="shared" si="45"/>
        <v>5434.7183288153492</v>
      </c>
      <c r="Y52" s="62">
        <f t="shared" si="45"/>
        <v>5434.7183288153492</v>
      </c>
      <c r="Z52" s="62">
        <f t="shared" si="45"/>
        <v>5434.7183288153492</v>
      </c>
      <c r="AA52" s="62">
        <f t="shared" si="45"/>
        <v>5434.7183288153492</v>
      </c>
      <c r="AB52" s="62">
        <f t="shared" si="45"/>
        <v>5434.7183288153492</v>
      </c>
      <c r="AC52" s="62">
        <f t="shared" si="45"/>
        <v>5434.7183288153492</v>
      </c>
    </row>
    <row r="53" spans="1:29" x14ac:dyDescent="0.25">
      <c r="A53" s="30" t="str">
        <f>A34</f>
        <v>Residual value (costumization)</v>
      </c>
      <c r="B53" s="62">
        <f>((1+B35)^B43)*B35/(((1+B35)^B43)-1)*(B34)</f>
        <v>-1358.6795822038373</v>
      </c>
      <c r="C53" s="62">
        <f t="shared" ref="C53:AC53" si="46">((1+C35)^C43)*C35/(((1+C35)^C43)-1)*(C34)</f>
        <v>-1358.6795822038373</v>
      </c>
      <c r="D53" s="62">
        <f t="shared" si="46"/>
        <v>-1358.6795822038373</v>
      </c>
      <c r="E53" s="62">
        <f t="shared" si="46"/>
        <v>-1358.6795822038373</v>
      </c>
      <c r="F53" s="62">
        <f t="shared" si="46"/>
        <v>-1358.6795822038373</v>
      </c>
      <c r="G53" s="62">
        <f t="shared" si="46"/>
        <v>-1358.6795822038373</v>
      </c>
      <c r="H53" s="62">
        <f t="shared" si="46"/>
        <v>-1358.6795822038373</v>
      </c>
      <c r="I53" s="62">
        <f t="shared" si="46"/>
        <v>-1358.6795822038373</v>
      </c>
      <c r="J53" s="62">
        <f t="shared" si="46"/>
        <v>-1358.6795822038373</v>
      </c>
      <c r="K53" s="62">
        <f t="shared" si="46"/>
        <v>-1358.6795822038373</v>
      </c>
      <c r="L53" s="62">
        <f t="shared" si="46"/>
        <v>-1358.6795822038373</v>
      </c>
      <c r="M53" s="62">
        <f t="shared" si="46"/>
        <v>-1358.6795822038373</v>
      </c>
      <c r="N53" s="62">
        <f t="shared" si="46"/>
        <v>-1358.6795822038373</v>
      </c>
      <c r="O53" s="62">
        <f t="shared" si="46"/>
        <v>-1358.6795822038373</v>
      </c>
      <c r="P53" s="62">
        <f t="shared" si="46"/>
        <v>-1358.6795822038373</v>
      </c>
      <c r="Q53" s="62">
        <f t="shared" si="46"/>
        <v>-1358.6795822038373</v>
      </c>
      <c r="R53" s="62">
        <f t="shared" si="46"/>
        <v>-1358.6795822038373</v>
      </c>
      <c r="S53" s="62">
        <f t="shared" si="46"/>
        <v>-1358.6795822038373</v>
      </c>
      <c r="T53" s="62">
        <f t="shared" si="46"/>
        <v>-1358.6795822038373</v>
      </c>
      <c r="U53" s="62">
        <f t="shared" si="46"/>
        <v>-1358.6795822038373</v>
      </c>
      <c r="V53" s="62">
        <f t="shared" si="46"/>
        <v>-1358.6795822038373</v>
      </c>
      <c r="W53" s="62">
        <f t="shared" si="46"/>
        <v>-1358.6795822038373</v>
      </c>
      <c r="X53" s="62">
        <f t="shared" si="46"/>
        <v>-1358.6795822038373</v>
      </c>
      <c r="Y53" s="62">
        <f t="shared" si="46"/>
        <v>-1358.6795822038373</v>
      </c>
      <c r="Z53" s="62">
        <f t="shared" si="46"/>
        <v>-1358.6795822038373</v>
      </c>
      <c r="AA53" s="62">
        <f t="shared" si="46"/>
        <v>-1358.6795822038373</v>
      </c>
      <c r="AB53" s="62">
        <f t="shared" si="46"/>
        <v>-1358.6795822038373</v>
      </c>
      <c r="AC53" s="62">
        <f t="shared" si="46"/>
        <v>-1358.6795822038373</v>
      </c>
    </row>
    <row r="54" spans="1:29" x14ac:dyDescent="0.25">
      <c r="A54" s="30" t="str">
        <f>A36</f>
        <v>Opex fix (admin, crew, insurance)</v>
      </c>
      <c r="B54" s="62">
        <f>B36</f>
        <v>70000</v>
      </c>
      <c r="C54" s="62">
        <f t="shared" ref="C54:AC54" si="47">C36</f>
        <v>70000</v>
      </c>
      <c r="D54" s="62">
        <f t="shared" si="47"/>
        <v>70000</v>
      </c>
      <c r="E54" s="62">
        <f t="shared" si="47"/>
        <v>70000</v>
      </c>
      <c r="F54" s="62">
        <f t="shared" si="47"/>
        <v>70000</v>
      </c>
      <c r="G54" s="62">
        <f t="shared" si="47"/>
        <v>70000</v>
      </c>
      <c r="H54" s="62">
        <f t="shared" si="47"/>
        <v>70000</v>
      </c>
      <c r="I54" s="62">
        <f t="shared" si="47"/>
        <v>70000</v>
      </c>
      <c r="J54" s="62">
        <f t="shared" si="47"/>
        <v>70000</v>
      </c>
      <c r="K54" s="62">
        <f t="shared" si="47"/>
        <v>70000</v>
      </c>
      <c r="L54" s="62">
        <f t="shared" si="47"/>
        <v>70000</v>
      </c>
      <c r="M54" s="62">
        <f t="shared" si="47"/>
        <v>70000</v>
      </c>
      <c r="N54" s="62">
        <f t="shared" si="47"/>
        <v>70000</v>
      </c>
      <c r="O54" s="62">
        <f t="shared" si="47"/>
        <v>70000</v>
      </c>
      <c r="P54" s="62">
        <f t="shared" si="47"/>
        <v>70000</v>
      </c>
      <c r="Q54" s="62">
        <f t="shared" si="47"/>
        <v>70000</v>
      </c>
      <c r="R54" s="62">
        <f t="shared" si="47"/>
        <v>70000</v>
      </c>
      <c r="S54" s="62">
        <f t="shared" si="47"/>
        <v>70000</v>
      </c>
      <c r="T54" s="62">
        <f t="shared" si="47"/>
        <v>70000</v>
      </c>
      <c r="U54" s="62">
        <f t="shared" si="47"/>
        <v>70000</v>
      </c>
      <c r="V54" s="62">
        <f t="shared" si="47"/>
        <v>70000</v>
      </c>
      <c r="W54" s="62">
        <f t="shared" si="47"/>
        <v>70000</v>
      </c>
      <c r="X54" s="62">
        <f t="shared" si="47"/>
        <v>70000</v>
      </c>
      <c r="Y54" s="62">
        <f t="shared" si="47"/>
        <v>70000</v>
      </c>
      <c r="Z54" s="62">
        <f t="shared" si="47"/>
        <v>70000</v>
      </c>
      <c r="AA54" s="62">
        <f t="shared" si="47"/>
        <v>70000</v>
      </c>
      <c r="AB54" s="62">
        <f t="shared" si="47"/>
        <v>70000</v>
      </c>
      <c r="AC54" s="62">
        <f t="shared" si="47"/>
        <v>70000</v>
      </c>
    </row>
    <row r="55" spans="1:29" x14ac:dyDescent="0.25">
      <c r="A55" s="30" t="str">
        <f>A37</f>
        <v>Opex maintenance &amp; repair</v>
      </c>
      <c r="B55" s="62">
        <f>B37</f>
        <v>20000</v>
      </c>
      <c r="C55" s="62">
        <f t="shared" ref="C55:AC55" si="48">C37</f>
        <v>20000</v>
      </c>
      <c r="D55" s="62">
        <f t="shared" si="48"/>
        <v>20000</v>
      </c>
      <c r="E55" s="62">
        <f t="shared" si="48"/>
        <v>20000</v>
      </c>
      <c r="F55" s="62">
        <f t="shared" si="48"/>
        <v>20000</v>
      </c>
      <c r="G55" s="62">
        <f t="shared" si="48"/>
        <v>20000</v>
      </c>
      <c r="H55" s="62">
        <f t="shared" si="48"/>
        <v>20000</v>
      </c>
      <c r="I55" s="62">
        <f t="shared" si="48"/>
        <v>20000</v>
      </c>
      <c r="J55" s="62">
        <f t="shared" si="48"/>
        <v>20000</v>
      </c>
      <c r="K55" s="62">
        <f t="shared" si="48"/>
        <v>20000</v>
      </c>
      <c r="L55" s="62">
        <f t="shared" si="48"/>
        <v>20000</v>
      </c>
      <c r="M55" s="62">
        <f t="shared" si="48"/>
        <v>20000</v>
      </c>
      <c r="N55" s="62">
        <f t="shared" si="48"/>
        <v>20000</v>
      </c>
      <c r="O55" s="62">
        <f t="shared" si="48"/>
        <v>20000</v>
      </c>
      <c r="P55" s="62">
        <f t="shared" si="48"/>
        <v>20000</v>
      </c>
      <c r="Q55" s="62">
        <f t="shared" si="48"/>
        <v>20000</v>
      </c>
      <c r="R55" s="62">
        <f t="shared" si="48"/>
        <v>20000</v>
      </c>
      <c r="S55" s="62">
        <f t="shared" si="48"/>
        <v>20000</v>
      </c>
      <c r="T55" s="62">
        <f t="shared" si="48"/>
        <v>20000</v>
      </c>
      <c r="U55" s="62">
        <f t="shared" si="48"/>
        <v>20000</v>
      </c>
      <c r="V55" s="62">
        <f t="shared" si="48"/>
        <v>20000</v>
      </c>
      <c r="W55" s="62">
        <f t="shared" si="48"/>
        <v>20000</v>
      </c>
      <c r="X55" s="62">
        <f t="shared" si="48"/>
        <v>20000</v>
      </c>
      <c r="Y55" s="62">
        <f t="shared" si="48"/>
        <v>20000</v>
      </c>
      <c r="Z55" s="62">
        <f t="shared" si="48"/>
        <v>20000</v>
      </c>
      <c r="AA55" s="62">
        <f t="shared" si="48"/>
        <v>20000</v>
      </c>
      <c r="AB55" s="62">
        <f t="shared" si="48"/>
        <v>20000</v>
      </c>
      <c r="AC55" s="62">
        <f t="shared" si="48"/>
        <v>20000</v>
      </c>
    </row>
    <row r="56" spans="1:29" x14ac:dyDescent="0.25">
      <c r="A56" s="30" t="str">
        <f>A38</f>
        <v>Opex var (mode-fees)</v>
      </c>
      <c r="B56" s="62">
        <f>B38*B47</f>
        <v>6050</v>
      </c>
      <c r="C56" s="62">
        <f t="shared" ref="C56:AC56" si="49">C38*C47</f>
        <v>6050</v>
      </c>
      <c r="D56" s="62">
        <f t="shared" si="49"/>
        <v>6050</v>
      </c>
      <c r="E56" s="62">
        <f t="shared" si="49"/>
        <v>6050</v>
      </c>
      <c r="F56" s="62">
        <f t="shared" si="49"/>
        <v>6050</v>
      </c>
      <c r="G56" s="62">
        <f t="shared" si="49"/>
        <v>6050</v>
      </c>
      <c r="H56" s="62">
        <f t="shared" si="49"/>
        <v>6050</v>
      </c>
      <c r="I56" s="62">
        <f t="shared" si="49"/>
        <v>6050</v>
      </c>
      <c r="J56" s="62">
        <f t="shared" si="49"/>
        <v>6050</v>
      </c>
      <c r="K56" s="62">
        <f t="shared" si="49"/>
        <v>6050</v>
      </c>
      <c r="L56" s="62">
        <f t="shared" si="49"/>
        <v>6050</v>
      </c>
      <c r="M56" s="62">
        <f t="shared" si="49"/>
        <v>6050</v>
      </c>
      <c r="N56" s="62">
        <f t="shared" si="49"/>
        <v>6050</v>
      </c>
      <c r="O56" s="62">
        <f t="shared" si="49"/>
        <v>6050</v>
      </c>
      <c r="P56" s="62">
        <f t="shared" si="49"/>
        <v>6050</v>
      </c>
      <c r="Q56" s="62">
        <f t="shared" si="49"/>
        <v>6050</v>
      </c>
      <c r="R56" s="62">
        <f t="shared" si="49"/>
        <v>6050</v>
      </c>
      <c r="S56" s="62">
        <f t="shared" si="49"/>
        <v>6050</v>
      </c>
      <c r="T56" s="62">
        <f t="shared" si="49"/>
        <v>6050</v>
      </c>
      <c r="U56" s="62">
        <f t="shared" si="49"/>
        <v>6050</v>
      </c>
      <c r="V56" s="62">
        <f t="shared" si="49"/>
        <v>6050</v>
      </c>
      <c r="W56" s="62">
        <f t="shared" si="49"/>
        <v>6050</v>
      </c>
      <c r="X56" s="62">
        <f t="shared" si="49"/>
        <v>6050</v>
      </c>
      <c r="Y56" s="62">
        <f t="shared" si="49"/>
        <v>6050</v>
      </c>
      <c r="Z56" s="62">
        <f t="shared" si="49"/>
        <v>6050</v>
      </c>
      <c r="AA56" s="62">
        <f t="shared" si="49"/>
        <v>6050</v>
      </c>
      <c r="AB56" s="62">
        <f t="shared" si="49"/>
        <v>6050</v>
      </c>
      <c r="AC56" s="62">
        <f t="shared" si="49"/>
        <v>6050</v>
      </c>
    </row>
    <row r="57" spans="1:29" x14ac:dyDescent="0.25">
      <c r="A57" s="30" t="str">
        <f>A40</f>
        <v>Fuel Cost</v>
      </c>
      <c r="B57" s="62">
        <f>B39*B40*B47</f>
        <v>15913.694119330803</v>
      </c>
      <c r="C57" s="62">
        <f t="shared" ref="C57:AC57" si="50">C39*C40*C47</f>
        <v>15898.149018478603</v>
      </c>
      <c r="D57" s="62">
        <f t="shared" si="50"/>
        <v>15876.077203686482</v>
      </c>
      <c r="E57" s="62">
        <f t="shared" si="50"/>
        <v>15844.880814443804</v>
      </c>
      <c r="F57" s="62">
        <f t="shared" si="50"/>
        <v>15801.081646776564</v>
      </c>
      <c r="G57" s="62">
        <f t="shared" si="50"/>
        <v>15740.18490412889</v>
      </c>
      <c r="H57" s="62">
        <f t="shared" si="50"/>
        <v>15656.697748110606</v>
      </c>
      <c r="I57" s="62">
        <f t="shared" si="50"/>
        <v>15544.499956543994</v>
      </c>
      <c r="J57" s="62">
        <f t="shared" si="50"/>
        <v>15397.835767947157</v>
      </c>
      <c r="K57" s="62">
        <f t="shared" si="50"/>
        <v>15213.137011874818</v>
      </c>
      <c r="L57" s="62">
        <f t="shared" si="50"/>
        <v>14991.503806366632</v>
      </c>
      <c r="M57" s="62">
        <f t="shared" si="50"/>
        <v>14740.886816723363</v>
      </c>
      <c r="N57" s="62">
        <f t="shared" si="50"/>
        <v>14476.311489012594</v>
      </c>
      <c r="O57" s="62">
        <f t="shared" si="50"/>
        <v>14216.942508876908</v>
      </c>
      <c r="P57" s="62">
        <f t="shared" si="50"/>
        <v>13980.833587523857</v>
      </c>
      <c r="Q57" s="62">
        <f t="shared" si="50"/>
        <v>13780.174626930737</v>
      </c>
      <c r="R57" s="62">
        <f t="shared" si="50"/>
        <v>13619.482735479451</v>
      </c>
      <c r="S57" s="62">
        <f t="shared" si="50"/>
        <v>13496.867690287025</v>
      </c>
      <c r="T57" s="62">
        <f t="shared" si="50"/>
        <v>13406.735798329753</v>
      </c>
      <c r="U57" s="62">
        <f t="shared" si="50"/>
        <v>13342.292799488132</v>
      </c>
      <c r="V57" s="62">
        <f t="shared" si="50"/>
        <v>13297.127774219702</v>
      </c>
      <c r="W57" s="62">
        <f t="shared" si="50"/>
        <v>13265.915965699809</v>
      </c>
      <c r="X57" s="62">
        <f t="shared" si="50"/>
        <v>13244.556169785572</v>
      </c>
      <c r="Y57" s="62">
        <f t="shared" si="50"/>
        <v>13230.036161551297</v>
      </c>
      <c r="Z57" s="62">
        <f t="shared" si="50"/>
        <v>13220.210633549174</v>
      </c>
      <c r="AA57" s="62">
        <f t="shared" si="50"/>
        <v>13213.582322100892</v>
      </c>
      <c r="AB57" s="62">
        <f t="shared" si="50"/>
        <v>13209.120175760563</v>
      </c>
      <c r="AC57" s="62">
        <f t="shared" si="50"/>
        <v>13206.120499590335</v>
      </c>
    </row>
    <row r="58" spans="1:29" ht="15.75" thickBot="1" x14ac:dyDescent="0.3">
      <c r="A58" s="59" t="str">
        <f>A21</f>
        <v>Emission Cost</v>
      </c>
      <c r="B58" s="62">
        <f>B41*B47</f>
        <v>4270.1517528086497</v>
      </c>
      <c r="C58" s="62">
        <f t="shared" ref="C58:AC58" si="51">C41*C47</f>
        <v>4277.8147029956071</v>
      </c>
      <c r="D58" s="62">
        <f t="shared" si="51"/>
        <v>4288.7840455097812</v>
      </c>
      <c r="E58" s="62">
        <f t="shared" si="51"/>
        <v>4304.4764613749576</v>
      </c>
      <c r="F58" s="62">
        <f t="shared" si="51"/>
        <v>4326.9043863497736</v>
      </c>
      <c r="G58" s="62">
        <f t="shared" si="51"/>
        <v>4358.9138821644156</v>
      </c>
      <c r="H58" s="62">
        <f t="shared" si="51"/>
        <v>4404.5032569933683</v>
      </c>
      <c r="I58" s="62">
        <f t="shared" si="51"/>
        <v>4469.2336339320773</v>
      </c>
      <c r="J58" s="62">
        <f t="shared" si="51"/>
        <v>4560.7238015428638</v>
      </c>
      <c r="K58" s="62">
        <f t="shared" si="51"/>
        <v>4689.1743462490558</v>
      </c>
      <c r="L58" s="62">
        <f t="shared" si="51"/>
        <v>4867.7672323823017</v>
      </c>
      <c r="M58" s="62">
        <f t="shared" si="51"/>
        <v>5112.6113980978234</v>
      </c>
      <c r="N58" s="62">
        <f t="shared" si="51"/>
        <v>5441.6557203793927</v>
      </c>
      <c r="O58" s="62">
        <f t="shared" si="51"/>
        <v>5871.7802162895414</v>
      </c>
      <c r="P58" s="62">
        <f t="shared" si="51"/>
        <v>6413.4493184125404</v>
      </c>
      <c r="Q58" s="62">
        <f t="shared" si="51"/>
        <v>7063.4366923461293</v>
      </c>
      <c r="R58" s="62">
        <f t="shared" si="51"/>
        <v>7798.4252902318203</v>
      </c>
      <c r="S58" s="62">
        <f t="shared" si="51"/>
        <v>8574.3497374374056</v>
      </c>
      <c r="T58" s="62">
        <f t="shared" si="51"/>
        <v>9335.0054428479561</v>
      </c>
      <c r="U58" s="62">
        <f t="shared" si="51"/>
        <v>10027.445988481335</v>
      </c>
      <c r="V58" s="62">
        <f t="shared" si="51"/>
        <v>10615.921846839796</v>
      </c>
      <c r="W58" s="62">
        <f t="shared" si="51"/>
        <v>11087.185619329821</v>
      </c>
      <c r="X58" s="62">
        <f t="shared" si="51"/>
        <v>11446.78079391854</v>
      </c>
      <c r="Y58" s="62">
        <f t="shared" si="51"/>
        <v>11711.112086815941</v>
      </c>
      <c r="Z58" s="62">
        <f t="shared" si="51"/>
        <v>11900.105137245491</v>
      </c>
      <c r="AA58" s="62">
        <f t="shared" si="51"/>
        <v>12032.561355168968</v>
      </c>
      <c r="AB58" s="62">
        <f t="shared" si="51"/>
        <v>12124.096743149508</v>
      </c>
      <c r="AC58" s="62">
        <f t="shared" si="51"/>
        <v>12186.738970527935</v>
      </c>
    </row>
    <row r="59" spans="1:29" ht="15.75" thickBot="1" x14ac:dyDescent="0.3">
      <c r="A59" s="31" t="s">
        <v>209</v>
      </c>
      <c r="B59" s="64">
        <f>B50+B51+B52+B53+B54+B55+B56+B57+B58</f>
        <v>133031.85945961019</v>
      </c>
      <c r="C59" s="64">
        <f t="shared" ref="C59:AC59" si="52">C50+C51+C52+C53+C54+C55+C56+C57+C58</f>
        <v>133041.27297418736</v>
      </c>
      <c r="D59" s="64">
        <f t="shared" si="52"/>
        <v>133054.72786718907</v>
      </c>
      <c r="E59" s="64">
        <f t="shared" si="52"/>
        <v>133073.93336982225</v>
      </c>
      <c r="F59" s="64">
        <f t="shared" si="52"/>
        <v>133101.29360523797</v>
      </c>
      <c r="G59" s="64">
        <f t="shared" si="52"/>
        <v>133140.16080304963</v>
      </c>
      <c r="H59" s="64">
        <f t="shared" si="52"/>
        <v>133195.15183076935</v>
      </c>
      <c r="I59" s="64">
        <f t="shared" si="52"/>
        <v>133272.51702175286</v>
      </c>
      <c r="J59" s="64">
        <f t="shared" si="52"/>
        <v>133380.52333218677</v>
      </c>
      <c r="K59" s="64">
        <f t="shared" si="52"/>
        <v>133529.77316718822</v>
      </c>
      <c r="L59" s="64">
        <f t="shared" si="52"/>
        <v>133733.32460463204</v>
      </c>
      <c r="M59" s="64">
        <f t="shared" si="52"/>
        <v>134006.39124261192</v>
      </c>
      <c r="N59" s="64">
        <f t="shared" si="52"/>
        <v>134365.22991306905</v>
      </c>
      <c r="O59" s="64">
        <f t="shared" si="52"/>
        <v>134824.56246011148</v>
      </c>
      <c r="P59" s="64">
        <f t="shared" si="52"/>
        <v>135392.82025238569</v>
      </c>
      <c r="Q59" s="64">
        <f t="shared" si="52"/>
        <v>136065.40422664551</v>
      </c>
      <c r="R59" s="64">
        <f t="shared" si="52"/>
        <v>136818.48865457068</v>
      </c>
      <c r="S59" s="64">
        <f t="shared" si="52"/>
        <v>137608.22102324665</v>
      </c>
      <c r="T59" s="64">
        <f t="shared" si="52"/>
        <v>138379.02665833483</v>
      </c>
      <c r="U59" s="64">
        <f t="shared" si="52"/>
        <v>139078.72425685209</v>
      </c>
      <c r="V59" s="64">
        <f t="shared" si="52"/>
        <v>139672.28623756309</v>
      </c>
      <c r="W59" s="64">
        <f t="shared" si="52"/>
        <v>140147.06483321625</v>
      </c>
      <c r="X59" s="64">
        <f t="shared" si="52"/>
        <v>140509.06537644588</v>
      </c>
      <c r="Y59" s="64">
        <f t="shared" si="52"/>
        <v>140775.03179603702</v>
      </c>
      <c r="Z59" s="64">
        <f t="shared" si="52"/>
        <v>140965.1313185055</v>
      </c>
      <c r="AA59" s="64">
        <f t="shared" si="52"/>
        <v>141098.33396362161</v>
      </c>
      <c r="AB59" s="64">
        <f t="shared" si="52"/>
        <v>141190.37184268032</v>
      </c>
      <c r="AC59" s="64">
        <f t="shared" si="52"/>
        <v>141253.35186949378</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70" si="53">A50</f>
        <v>Capex vehicle</v>
      </c>
      <c r="B62" s="65">
        <f>((1+B35)^B42)*B35/(((1+B35)^B42)-1)*(B31)/B47</f>
        <v>0.3078188030202948</v>
      </c>
      <c r="C62" s="65">
        <f t="shared" ref="C62:AC62" si="54">((1+C35)^C42)*C35/(((1+C35)^C42)-1)*(C31)/C47</f>
        <v>0.3079843117785952</v>
      </c>
      <c r="D62" s="65">
        <f t="shared" si="54"/>
        <v>0.30821931048940537</v>
      </c>
      <c r="E62" s="65">
        <f t="shared" si="54"/>
        <v>0.30855145858520133</v>
      </c>
      <c r="F62" s="65">
        <f t="shared" si="54"/>
        <v>0.30901778851925071</v>
      </c>
      <c r="G62" s="65">
        <f t="shared" si="54"/>
        <v>0.30966615641058742</v>
      </c>
      <c r="H62" s="65">
        <f t="shared" si="54"/>
        <v>0.31055504453411908</v>
      </c>
      <c r="I62" s="65">
        <f t="shared" si="54"/>
        <v>0.31174961492274506</v>
      </c>
      <c r="J62" s="65">
        <f t="shared" si="54"/>
        <v>0.31331114919470632</v>
      </c>
      <c r="K62" s="65">
        <f t="shared" si="54"/>
        <v>0.31527763767669287</v>
      </c>
      <c r="L62" s="65">
        <f t="shared" si="54"/>
        <v>0.31763736740701598</v>
      </c>
      <c r="M62" s="65">
        <f t="shared" si="54"/>
        <v>0.32030568761665829</v>
      </c>
      <c r="N62" s="65">
        <f t="shared" si="54"/>
        <v>0.32312262231413541</v>
      </c>
      <c r="O62" s="65">
        <f t="shared" si="54"/>
        <v>0.32588412500569475</v>
      </c>
      <c r="P62" s="65">
        <f t="shared" si="54"/>
        <v>0.32839797774736224</v>
      </c>
      <c r="Q62" s="65">
        <f t="shared" si="54"/>
        <v>0.33053439459826517</v>
      </c>
      <c r="R62" s="65">
        <f t="shared" si="54"/>
        <v>0.33224528188525815</v>
      </c>
      <c r="S62" s="65">
        <f t="shared" si="54"/>
        <v>0.33355076481983037</v>
      </c>
      <c r="T62" s="65">
        <f t="shared" si="54"/>
        <v>0.3345103994766237</v>
      </c>
      <c r="U62" s="65">
        <f t="shared" si="54"/>
        <v>0.33519652437351838</v>
      </c>
      <c r="V62" s="65">
        <f t="shared" si="54"/>
        <v>0.33567739659955664</v>
      </c>
      <c r="W62" s="65">
        <f t="shared" si="54"/>
        <v>0.33600970886446596</v>
      </c>
      <c r="X62" s="65">
        <f t="shared" si="54"/>
        <v>0.33623712670709871</v>
      </c>
      <c r="Y62" s="65">
        <f t="shared" si="54"/>
        <v>0.33639172129971134</v>
      </c>
      <c r="Z62" s="65">
        <f t="shared" si="54"/>
        <v>0.33649633374029564</v>
      </c>
      <c r="AA62" s="65">
        <f t="shared" si="54"/>
        <v>0.33656690540193129</v>
      </c>
      <c r="AB62" s="65">
        <f t="shared" si="54"/>
        <v>0.33661441389397423</v>
      </c>
      <c r="AC62" s="65">
        <f t="shared" si="54"/>
        <v>0.33664635145957489</v>
      </c>
    </row>
    <row r="63" spans="1:29" x14ac:dyDescent="0.25">
      <c r="A63" s="30" t="str">
        <f t="shared" si="53"/>
        <v>Residual value (vehicle)</v>
      </c>
      <c r="B63" s="66">
        <f>((1+B35)^B42)*B35/(((1+B35)^B42)-1)*(B32)/B47</f>
        <v>-7.6510169550126919E-2</v>
      </c>
      <c r="C63" s="66">
        <f t="shared" ref="C63:AC63" si="55">((1+C35)^C42)*C35/(((1+C35)^C42)-1)*(C32)/C47</f>
        <v>-7.6361211667656512E-2</v>
      </c>
      <c r="D63" s="66">
        <f t="shared" si="55"/>
        <v>-7.6149712827927346E-2</v>
      </c>
      <c r="E63" s="66">
        <f t="shared" si="55"/>
        <v>-7.585077954171103E-2</v>
      </c>
      <c r="F63" s="66">
        <f t="shared" si="55"/>
        <v>-7.5431082601066568E-2</v>
      </c>
      <c r="G63" s="66">
        <f t="shared" si="55"/>
        <v>-7.4847551498863504E-2</v>
      </c>
      <c r="H63" s="66">
        <f t="shared" si="55"/>
        <v>-7.4047552187685037E-2</v>
      </c>
      <c r="I63" s="66">
        <f t="shared" si="55"/>
        <v>-7.2972438837921649E-2</v>
      </c>
      <c r="J63" s="66">
        <f t="shared" si="55"/>
        <v>-7.1567057993156505E-2</v>
      </c>
      <c r="K63" s="66">
        <f t="shared" si="55"/>
        <v>-6.9797218359368654E-2</v>
      </c>
      <c r="L63" s="66">
        <f t="shared" si="55"/>
        <v>-6.767346160207785E-2</v>
      </c>
      <c r="M63" s="66">
        <f t="shared" si="55"/>
        <v>-6.5271973413399742E-2</v>
      </c>
      <c r="N63" s="66">
        <f t="shared" si="55"/>
        <v>-6.2736732185670371E-2</v>
      </c>
      <c r="O63" s="66">
        <f t="shared" si="55"/>
        <v>-6.0251379763266992E-2</v>
      </c>
      <c r="P63" s="66">
        <f t="shared" si="55"/>
        <v>-5.7988912295766221E-2</v>
      </c>
      <c r="Q63" s="66">
        <f t="shared" si="55"/>
        <v>-5.6066137129953578E-2</v>
      </c>
      <c r="R63" s="66">
        <f t="shared" si="55"/>
        <v>-5.4526338571659894E-2</v>
      </c>
      <c r="S63" s="66">
        <f t="shared" si="55"/>
        <v>-5.3351403930544876E-2</v>
      </c>
      <c r="T63" s="66">
        <f t="shared" si="55"/>
        <v>-5.2487732739430901E-2</v>
      </c>
      <c r="U63" s="66">
        <f t="shared" si="55"/>
        <v>-5.1870220332225644E-2</v>
      </c>
      <c r="V63" s="66">
        <f t="shared" si="55"/>
        <v>-5.1437435328791248E-2</v>
      </c>
      <c r="W63" s="66">
        <f t="shared" si="55"/>
        <v>-5.1138354290372848E-2</v>
      </c>
      <c r="X63" s="66">
        <f t="shared" si="55"/>
        <v>-5.0933678232003336E-2</v>
      </c>
      <c r="Y63" s="66">
        <f t="shared" si="55"/>
        <v>-5.0794543098652022E-2</v>
      </c>
      <c r="Z63" s="66">
        <f t="shared" si="55"/>
        <v>-5.0700391902126163E-2</v>
      </c>
      <c r="AA63" s="66">
        <f t="shared" si="55"/>
        <v>-5.0636877406654054E-2</v>
      </c>
      <c r="AB63" s="66">
        <f t="shared" si="55"/>
        <v>-5.0594119763815448E-2</v>
      </c>
      <c r="AC63" s="66">
        <f t="shared" si="55"/>
        <v>-5.0565375954774762E-2</v>
      </c>
    </row>
    <row r="64" spans="1:29" x14ac:dyDescent="0.25">
      <c r="A64" s="30" t="str">
        <f t="shared" si="53"/>
        <v>Capex costumization</v>
      </c>
      <c r="B64" s="66">
        <f>((1+B35)^B43)*B35/(((1+B35)^B43)-1)*(B33)/B47</f>
        <v>9.8813060523915433E-2</v>
      </c>
      <c r="C64" s="66">
        <f t="shared" ref="C64:AC64" si="56">((1+C35)^C43)*C35/(((1+C35)^C43)-1)*(C33)/C47</f>
        <v>9.8813060523915433E-2</v>
      </c>
      <c r="D64" s="66">
        <f t="shared" si="56"/>
        <v>9.8813060523915433E-2</v>
      </c>
      <c r="E64" s="66">
        <f t="shared" si="56"/>
        <v>9.8813060523915433E-2</v>
      </c>
      <c r="F64" s="66">
        <f t="shared" si="56"/>
        <v>9.8813060523915433E-2</v>
      </c>
      <c r="G64" s="66">
        <f t="shared" si="56"/>
        <v>9.8813060523915433E-2</v>
      </c>
      <c r="H64" s="66">
        <f t="shared" si="56"/>
        <v>9.8813060523915433E-2</v>
      </c>
      <c r="I64" s="66">
        <f t="shared" si="56"/>
        <v>9.8813060523915433E-2</v>
      </c>
      <c r="J64" s="66">
        <f t="shared" si="56"/>
        <v>9.8813060523915433E-2</v>
      </c>
      <c r="K64" s="66">
        <f t="shared" si="56"/>
        <v>9.8813060523915433E-2</v>
      </c>
      <c r="L64" s="66">
        <f t="shared" si="56"/>
        <v>9.8813060523915433E-2</v>
      </c>
      <c r="M64" s="66">
        <f t="shared" si="56"/>
        <v>9.8813060523915433E-2</v>
      </c>
      <c r="N64" s="66">
        <f t="shared" si="56"/>
        <v>9.8813060523915433E-2</v>
      </c>
      <c r="O64" s="66">
        <f t="shared" si="56"/>
        <v>9.8813060523915433E-2</v>
      </c>
      <c r="P64" s="66">
        <f t="shared" si="56"/>
        <v>9.8813060523915433E-2</v>
      </c>
      <c r="Q64" s="66">
        <f t="shared" si="56"/>
        <v>9.8813060523915433E-2</v>
      </c>
      <c r="R64" s="66">
        <f t="shared" si="56"/>
        <v>9.8813060523915433E-2</v>
      </c>
      <c r="S64" s="66">
        <f t="shared" si="56"/>
        <v>9.8813060523915433E-2</v>
      </c>
      <c r="T64" s="66">
        <f t="shared" si="56"/>
        <v>9.8813060523915433E-2</v>
      </c>
      <c r="U64" s="66">
        <f t="shared" si="56"/>
        <v>9.8813060523915433E-2</v>
      </c>
      <c r="V64" s="66">
        <f t="shared" si="56"/>
        <v>9.8813060523915433E-2</v>
      </c>
      <c r="W64" s="66">
        <f t="shared" si="56"/>
        <v>9.8813060523915433E-2</v>
      </c>
      <c r="X64" s="66">
        <f t="shared" si="56"/>
        <v>9.8813060523915433E-2</v>
      </c>
      <c r="Y64" s="66">
        <f t="shared" si="56"/>
        <v>9.8813060523915433E-2</v>
      </c>
      <c r="Z64" s="66">
        <f t="shared" si="56"/>
        <v>9.8813060523915433E-2</v>
      </c>
      <c r="AA64" s="66">
        <f t="shared" si="56"/>
        <v>9.8813060523915433E-2</v>
      </c>
      <c r="AB64" s="66">
        <f t="shared" si="56"/>
        <v>9.8813060523915433E-2</v>
      </c>
      <c r="AC64" s="66">
        <f t="shared" si="56"/>
        <v>9.8813060523915433E-2</v>
      </c>
    </row>
    <row r="65" spans="1:29" x14ac:dyDescent="0.25">
      <c r="A65" s="30" t="str">
        <f t="shared" si="53"/>
        <v>Residual value (costumization)</v>
      </c>
      <c r="B65" s="66">
        <f>((1+B35)^B43)*B35/(((1+B35)^B43)-1)*(B34)/B47</f>
        <v>-2.4703265130978858E-2</v>
      </c>
      <c r="C65" s="66">
        <f t="shared" ref="C65:AC65" si="57">((1+C35)^C43)*C35/(((1+C35)^C43)-1)*(C34)/C47</f>
        <v>-2.4703265130978858E-2</v>
      </c>
      <c r="D65" s="66">
        <f t="shared" si="57"/>
        <v>-2.4703265130978858E-2</v>
      </c>
      <c r="E65" s="66">
        <f t="shared" si="57"/>
        <v>-2.4703265130978858E-2</v>
      </c>
      <c r="F65" s="66">
        <f t="shared" si="57"/>
        <v>-2.4703265130978858E-2</v>
      </c>
      <c r="G65" s="66">
        <f t="shared" si="57"/>
        <v>-2.4703265130978858E-2</v>
      </c>
      <c r="H65" s="66">
        <f t="shared" si="57"/>
        <v>-2.4703265130978858E-2</v>
      </c>
      <c r="I65" s="66">
        <f t="shared" si="57"/>
        <v>-2.4703265130978858E-2</v>
      </c>
      <c r="J65" s="66">
        <f t="shared" si="57"/>
        <v>-2.4703265130978858E-2</v>
      </c>
      <c r="K65" s="66">
        <f t="shared" si="57"/>
        <v>-2.4703265130978858E-2</v>
      </c>
      <c r="L65" s="66">
        <f t="shared" si="57"/>
        <v>-2.4703265130978858E-2</v>
      </c>
      <c r="M65" s="66">
        <f t="shared" si="57"/>
        <v>-2.4703265130978858E-2</v>
      </c>
      <c r="N65" s="66">
        <f t="shared" si="57"/>
        <v>-2.4703265130978858E-2</v>
      </c>
      <c r="O65" s="66">
        <f t="shared" si="57"/>
        <v>-2.4703265130978858E-2</v>
      </c>
      <c r="P65" s="66">
        <f t="shared" si="57"/>
        <v>-2.4703265130978858E-2</v>
      </c>
      <c r="Q65" s="66">
        <f t="shared" si="57"/>
        <v>-2.4703265130978858E-2</v>
      </c>
      <c r="R65" s="66">
        <f t="shared" si="57"/>
        <v>-2.4703265130978858E-2</v>
      </c>
      <c r="S65" s="66">
        <f t="shared" si="57"/>
        <v>-2.4703265130978858E-2</v>
      </c>
      <c r="T65" s="66">
        <f t="shared" si="57"/>
        <v>-2.4703265130978858E-2</v>
      </c>
      <c r="U65" s="66">
        <f t="shared" si="57"/>
        <v>-2.4703265130978858E-2</v>
      </c>
      <c r="V65" s="66">
        <f t="shared" si="57"/>
        <v>-2.4703265130978858E-2</v>
      </c>
      <c r="W65" s="66">
        <f t="shared" si="57"/>
        <v>-2.4703265130978858E-2</v>
      </c>
      <c r="X65" s="66">
        <f t="shared" si="57"/>
        <v>-2.4703265130978858E-2</v>
      </c>
      <c r="Y65" s="66">
        <f t="shared" si="57"/>
        <v>-2.4703265130978858E-2</v>
      </c>
      <c r="Z65" s="66">
        <f t="shared" si="57"/>
        <v>-2.4703265130978858E-2</v>
      </c>
      <c r="AA65" s="66">
        <f t="shared" si="57"/>
        <v>-2.4703265130978858E-2</v>
      </c>
      <c r="AB65" s="66">
        <f t="shared" si="57"/>
        <v>-2.4703265130978858E-2</v>
      </c>
      <c r="AC65" s="66">
        <f t="shared" si="57"/>
        <v>-2.4703265130978858E-2</v>
      </c>
    </row>
    <row r="66" spans="1:29" x14ac:dyDescent="0.25">
      <c r="A66" s="30" t="str">
        <f t="shared" si="53"/>
        <v>Opex fix (admin, crew, insurance)</v>
      </c>
      <c r="B66" s="66">
        <f>B36/B47</f>
        <v>1.2727272727272727</v>
      </c>
      <c r="C66" s="66">
        <f t="shared" ref="C66:AC66" si="58">C36/C47</f>
        <v>1.2727272727272727</v>
      </c>
      <c r="D66" s="66">
        <f t="shared" si="58"/>
        <v>1.2727272727272727</v>
      </c>
      <c r="E66" s="66">
        <f t="shared" si="58"/>
        <v>1.2727272727272727</v>
      </c>
      <c r="F66" s="66">
        <f t="shared" si="58"/>
        <v>1.2727272727272727</v>
      </c>
      <c r="G66" s="66">
        <f t="shared" si="58"/>
        <v>1.2727272727272727</v>
      </c>
      <c r="H66" s="66">
        <f t="shared" si="58"/>
        <v>1.2727272727272727</v>
      </c>
      <c r="I66" s="66">
        <f t="shared" si="58"/>
        <v>1.2727272727272727</v>
      </c>
      <c r="J66" s="66">
        <f t="shared" si="58"/>
        <v>1.2727272727272727</v>
      </c>
      <c r="K66" s="66">
        <f t="shared" si="58"/>
        <v>1.2727272727272727</v>
      </c>
      <c r="L66" s="66">
        <f t="shared" si="58"/>
        <v>1.2727272727272727</v>
      </c>
      <c r="M66" s="66">
        <f t="shared" si="58"/>
        <v>1.2727272727272727</v>
      </c>
      <c r="N66" s="66">
        <f t="shared" si="58"/>
        <v>1.2727272727272727</v>
      </c>
      <c r="O66" s="66">
        <f t="shared" si="58"/>
        <v>1.2727272727272727</v>
      </c>
      <c r="P66" s="66">
        <f t="shared" si="58"/>
        <v>1.2727272727272727</v>
      </c>
      <c r="Q66" s="66">
        <f t="shared" si="58"/>
        <v>1.2727272727272727</v>
      </c>
      <c r="R66" s="66">
        <f t="shared" si="58"/>
        <v>1.2727272727272727</v>
      </c>
      <c r="S66" s="66">
        <f t="shared" si="58"/>
        <v>1.2727272727272727</v>
      </c>
      <c r="T66" s="66">
        <f t="shared" si="58"/>
        <v>1.2727272727272727</v>
      </c>
      <c r="U66" s="66">
        <f t="shared" si="58"/>
        <v>1.2727272727272727</v>
      </c>
      <c r="V66" s="66">
        <f t="shared" si="58"/>
        <v>1.2727272727272727</v>
      </c>
      <c r="W66" s="66">
        <f t="shared" si="58"/>
        <v>1.2727272727272727</v>
      </c>
      <c r="X66" s="66">
        <f t="shared" si="58"/>
        <v>1.2727272727272727</v>
      </c>
      <c r="Y66" s="66">
        <f t="shared" si="58"/>
        <v>1.2727272727272727</v>
      </c>
      <c r="Z66" s="66">
        <f t="shared" si="58"/>
        <v>1.2727272727272727</v>
      </c>
      <c r="AA66" s="66">
        <f t="shared" si="58"/>
        <v>1.2727272727272727</v>
      </c>
      <c r="AB66" s="66">
        <f t="shared" si="58"/>
        <v>1.2727272727272727</v>
      </c>
      <c r="AC66" s="66">
        <f t="shared" si="58"/>
        <v>1.2727272727272727</v>
      </c>
    </row>
    <row r="67" spans="1:29" x14ac:dyDescent="0.25">
      <c r="A67" s="30" t="str">
        <f t="shared" si="53"/>
        <v>Opex maintenance &amp; repair</v>
      </c>
      <c r="B67" s="66">
        <f>B37/B47</f>
        <v>0.36363636363636365</v>
      </c>
      <c r="C67" s="66">
        <f t="shared" ref="C67:AC67" si="59">C37/C47</f>
        <v>0.36363636363636365</v>
      </c>
      <c r="D67" s="66">
        <f t="shared" si="59"/>
        <v>0.36363636363636365</v>
      </c>
      <c r="E67" s="66">
        <f t="shared" si="59"/>
        <v>0.36363636363636365</v>
      </c>
      <c r="F67" s="66">
        <f t="shared" si="59"/>
        <v>0.36363636363636365</v>
      </c>
      <c r="G67" s="66">
        <f t="shared" si="59"/>
        <v>0.36363636363636365</v>
      </c>
      <c r="H67" s="66">
        <f t="shared" si="59"/>
        <v>0.36363636363636365</v>
      </c>
      <c r="I67" s="66">
        <f t="shared" si="59"/>
        <v>0.36363636363636365</v>
      </c>
      <c r="J67" s="66">
        <f t="shared" si="59"/>
        <v>0.36363636363636365</v>
      </c>
      <c r="K67" s="66">
        <f t="shared" si="59"/>
        <v>0.36363636363636365</v>
      </c>
      <c r="L67" s="66">
        <f t="shared" si="59"/>
        <v>0.36363636363636365</v>
      </c>
      <c r="M67" s="66">
        <f t="shared" si="59"/>
        <v>0.36363636363636365</v>
      </c>
      <c r="N67" s="66">
        <f t="shared" si="59"/>
        <v>0.36363636363636365</v>
      </c>
      <c r="O67" s="66">
        <f t="shared" si="59"/>
        <v>0.36363636363636365</v>
      </c>
      <c r="P67" s="66">
        <f t="shared" si="59"/>
        <v>0.36363636363636365</v>
      </c>
      <c r="Q67" s="66">
        <f t="shared" si="59"/>
        <v>0.36363636363636365</v>
      </c>
      <c r="R67" s="66">
        <f t="shared" si="59"/>
        <v>0.36363636363636365</v>
      </c>
      <c r="S67" s="66">
        <f t="shared" si="59"/>
        <v>0.36363636363636365</v>
      </c>
      <c r="T67" s="66">
        <f t="shared" si="59"/>
        <v>0.36363636363636365</v>
      </c>
      <c r="U67" s="66">
        <f t="shared" si="59"/>
        <v>0.36363636363636365</v>
      </c>
      <c r="V67" s="66">
        <f t="shared" si="59"/>
        <v>0.36363636363636365</v>
      </c>
      <c r="W67" s="66">
        <f t="shared" si="59"/>
        <v>0.36363636363636365</v>
      </c>
      <c r="X67" s="66">
        <f t="shared" si="59"/>
        <v>0.36363636363636365</v>
      </c>
      <c r="Y67" s="66">
        <f t="shared" si="59"/>
        <v>0.36363636363636365</v>
      </c>
      <c r="Z67" s="66">
        <f t="shared" si="59"/>
        <v>0.36363636363636365</v>
      </c>
      <c r="AA67" s="66">
        <f t="shared" si="59"/>
        <v>0.36363636363636365</v>
      </c>
      <c r="AB67" s="66">
        <f t="shared" si="59"/>
        <v>0.36363636363636365</v>
      </c>
      <c r="AC67" s="66">
        <f t="shared" si="59"/>
        <v>0.36363636363636365</v>
      </c>
    </row>
    <row r="68" spans="1:29" x14ac:dyDescent="0.25">
      <c r="A68" s="30" t="str">
        <f t="shared" si="53"/>
        <v>Opex var (mode-fees)</v>
      </c>
      <c r="B68" s="66">
        <f>B38*B47/B47</f>
        <v>0.11</v>
      </c>
      <c r="C68" s="66">
        <f t="shared" ref="C68:AC68" si="60">C38*C47/C47</f>
        <v>0.11</v>
      </c>
      <c r="D68" s="66">
        <f t="shared" si="60"/>
        <v>0.11</v>
      </c>
      <c r="E68" s="66">
        <f t="shared" si="60"/>
        <v>0.11</v>
      </c>
      <c r="F68" s="66">
        <f t="shared" si="60"/>
        <v>0.11</v>
      </c>
      <c r="G68" s="66">
        <f t="shared" si="60"/>
        <v>0.11</v>
      </c>
      <c r="H68" s="66">
        <f t="shared" si="60"/>
        <v>0.11</v>
      </c>
      <c r="I68" s="66">
        <f t="shared" si="60"/>
        <v>0.11</v>
      </c>
      <c r="J68" s="66">
        <f t="shared" si="60"/>
        <v>0.11</v>
      </c>
      <c r="K68" s="66">
        <f t="shared" si="60"/>
        <v>0.11</v>
      </c>
      <c r="L68" s="66">
        <f t="shared" si="60"/>
        <v>0.11</v>
      </c>
      <c r="M68" s="66">
        <f t="shared" si="60"/>
        <v>0.11</v>
      </c>
      <c r="N68" s="66">
        <f t="shared" si="60"/>
        <v>0.11</v>
      </c>
      <c r="O68" s="66">
        <f t="shared" si="60"/>
        <v>0.11</v>
      </c>
      <c r="P68" s="66">
        <f t="shared" si="60"/>
        <v>0.11</v>
      </c>
      <c r="Q68" s="66">
        <f t="shared" si="60"/>
        <v>0.11</v>
      </c>
      <c r="R68" s="66">
        <f t="shared" si="60"/>
        <v>0.11</v>
      </c>
      <c r="S68" s="66">
        <f t="shared" si="60"/>
        <v>0.11</v>
      </c>
      <c r="T68" s="66">
        <f t="shared" si="60"/>
        <v>0.11</v>
      </c>
      <c r="U68" s="66">
        <f t="shared" si="60"/>
        <v>0.11</v>
      </c>
      <c r="V68" s="66">
        <f t="shared" si="60"/>
        <v>0.11</v>
      </c>
      <c r="W68" s="66">
        <f t="shared" si="60"/>
        <v>0.11</v>
      </c>
      <c r="X68" s="66">
        <f t="shared" si="60"/>
        <v>0.11</v>
      </c>
      <c r="Y68" s="66">
        <f t="shared" si="60"/>
        <v>0.11</v>
      </c>
      <c r="Z68" s="66">
        <f t="shared" si="60"/>
        <v>0.11</v>
      </c>
      <c r="AA68" s="66">
        <f t="shared" si="60"/>
        <v>0.11</v>
      </c>
      <c r="AB68" s="66">
        <f t="shared" si="60"/>
        <v>0.11</v>
      </c>
      <c r="AC68" s="66">
        <f t="shared" si="60"/>
        <v>0.11</v>
      </c>
    </row>
    <row r="69" spans="1:29" x14ac:dyDescent="0.25">
      <c r="A69" s="30" t="str">
        <f t="shared" si="53"/>
        <v>Fuel Cost</v>
      </c>
      <c r="B69" s="66">
        <f>B39*B40*B47/B47</f>
        <v>0.28933989307874186</v>
      </c>
      <c r="C69" s="66">
        <f t="shared" ref="C69:AC69" si="61">C39*C40*C47/C47</f>
        <v>0.28905725488142914</v>
      </c>
      <c r="D69" s="66">
        <f t="shared" si="61"/>
        <v>0.28865594915793602</v>
      </c>
      <c r="E69" s="66">
        <f t="shared" si="61"/>
        <v>0.28808874208079643</v>
      </c>
      <c r="F69" s="66">
        <f t="shared" si="61"/>
        <v>0.28729239357775571</v>
      </c>
      <c r="G69" s="66">
        <f t="shared" si="61"/>
        <v>0.28618518007507071</v>
      </c>
      <c r="H69" s="66">
        <f t="shared" si="61"/>
        <v>0.28466723178382919</v>
      </c>
      <c r="I69" s="66">
        <f t="shared" si="61"/>
        <v>0.28262727193716353</v>
      </c>
      <c r="J69" s="66">
        <f t="shared" si="61"/>
        <v>0.27996065032631196</v>
      </c>
      <c r="K69" s="66">
        <f t="shared" si="61"/>
        <v>0.27660249112499669</v>
      </c>
      <c r="L69" s="66">
        <f t="shared" si="61"/>
        <v>0.27257279647939331</v>
      </c>
      <c r="M69" s="66">
        <f t="shared" si="61"/>
        <v>0.26801612394042479</v>
      </c>
      <c r="N69" s="66">
        <f t="shared" si="61"/>
        <v>0.26320566343659263</v>
      </c>
      <c r="O69" s="66">
        <f t="shared" si="61"/>
        <v>0.25848986379776195</v>
      </c>
      <c r="P69" s="66">
        <f t="shared" si="61"/>
        <v>0.2541969743186156</v>
      </c>
      <c r="Q69" s="66">
        <f t="shared" si="61"/>
        <v>0.25054862958055885</v>
      </c>
      <c r="R69" s="66">
        <f t="shared" si="61"/>
        <v>0.24762695882689911</v>
      </c>
      <c r="S69" s="66">
        <f t="shared" si="61"/>
        <v>0.245397594368855</v>
      </c>
      <c r="T69" s="66">
        <f t="shared" si="61"/>
        <v>0.2437588326969046</v>
      </c>
      <c r="U69" s="66">
        <f t="shared" si="61"/>
        <v>0.24258714180887514</v>
      </c>
      <c r="V69" s="66">
        <f t="shared" si="61"/>
        <v>0.24176595953126731</v>
      </c>
      <c r="W69" s="66">
        <f t="shared" si="61"/>
        <v>0.2411984721036329</v>
      </c>
      <c r="X69" s="66">
        <f t="shared" si="61"/>
        <v>0.24081011217791948</v>
      </c>
      <c r="Y69" s="66">
        <f t="shared" si="61"/>
        <v>0.24054611202820542</v>
      </c>
      <c r="Z69" s="66">
        <f t="shared" si="61"/>
        <v>0.24036746606453044</v>
      </c>
      <c r="AA69" s="66">
        <f t="shared" si="61"/>
        <v>0.24024695131092533</v>
      </c>
      <c r="AB69" s="66">
        <f t="shared" si="61"/>
        <v>0.24016582137746478</v>
      </c>
      <c r="AC69" s="66">
        <f t="shared" si="61"/>
        <v>0.24011128181073338</v>
      </c>
    </row>
    <row r="70" spans="1:29" ht="15.75" thickBot="1" x14ac:dyDescent="0.3">
      <c r="A70" s="59" t="str">
        <f t="shared" si="53"/>
        <v>Emission Cost</v>
      </c>
      <c r="B70" s="66">
        <f>B41</f>
        <v>7.7639122778339092E-2</v>
      </c>
      <c r="C70" s="66">
        <f t="shared" ref="C70:AC70" si="62">C41</f>
        <v>7.777844914537467E-2</v>
      </c>
      <c r="D70" s="66">
        <f t="shared" si="62"/>
        <v>7.7977891736541474E-2</v>
      </c>
      <c r="E70" s="66">
        <f t="shared" si="62"/>
        <v>7.8263208388635597E-2</v>
      </c>
      <c r="F70" s="66">
        <f t="shared" si="62"/>
        <v>7.8670988842723152E-2</v>
      </c>
      <c r="G70" s="66">
        <f t="shared" si="62"/>
        <v>7.925297967571665E-2</v>
      </c>
      <c r="H70" s="66">
        <f t="shared" si="62"/>
        <v>8.0081877399879431E-2</v>
      </c>
      <c r="I70" s="66">
        <f t="shared" si="62"/>
        <v>8.1258793344219593E-2</v>
      </c>
      <c r="J70" s="66">
        <f t="shared" si="62"/>
        <v>8.2922250937142977E-2</v>
      </c>
      <c r="K70" s="66">
        <f t="shared" si="62"/>
        <v>8.5257715386346467E-2</v>
      </c>
      <c r="L70" s="66">
        <f t="shared" si="62"/>
        <v>8.8504858770587308E-2</v>
      </c>
      <c r="M70" s="66">
        <f t="shared" si="62"/>
        <v>9.2956570874505887E-2</v>
      </c>
      <c r="N70" s="66">
        <f t="shared" si="62"/>
        <v>9.8939194915988959E-2</v>
      </c>
      <c r="O70" s="66">
        <f t="shared" si="62"/>
        <v>0.10675964029617348</v>
      </c>
      <c r="P70" s="66">
        <f t="shared" si="62"/>
        <v>0.11660816942568256</v>
      </c>
      <c r="Q70" s="66">
        <f t="shared" si="62"/>
        <v>0.12842612167902054</v>
      </c>
      <c r="R70" s="66">
        <f t="shared" si="62"/>
        <v>0.14178955073148763</v>
      </c>
      <c r="S70" s="66">
        <f t="shared" si="62"/>
        <v>0.15589726795340736</v>
      </c>
      <c r="T70" s="66">
        <f t="shared" si="62"/>
        <v>0.16972737168814467</v>
      </c>
      <c r="U70" s="66">
        <f t="shared" si="62"/>
        <v>0.18231719979056973</v>
      </c>
      <c r="V70" s="66">
        <f t="shared" si="62"/>
        <v>0.19301676085163266</v>
      </c>
      <c r="W70" s="66">
        <f t="shared" si="62"/>
        <v>0.20158519307872402</v>
      </c>
      <c r="X70" s="66">
        <f t="shared" si="62"/>
        <v>0.20812328716215528</v>
      </c>
      <c r="Y70" s="66">
        <f t="shared" si="62"/>
        <v>0.21292931066938076</v>
      </c>
      <c r="Z70" s="66">
        <f t="shared" si="62"/>
        <v>0.21636554794991802</v>
      </c>
      <c r="AA70" s="66">
        <f t="shared" si="62"/>
        <v>0.21877384282125395</v>
      </c>
      <c r="AB70" s="66">
        <f t="shared" si="62"/>
        <v>0.22043812260271833</v>
      </c>
      <c r="AC70" s="66">
        <f t="shared" si="62"/>
        <v>0.22157707219141698</v>
      </c>
    </row>
    <row r="71" spans="1:29" ht="15.75" thickBot="1" x14ac:dyDescent="0.3">
      <c r="A71" s="31" t="s">
        <v>63</v>
      </c>
      <c r="B71" s="76">
        <f>B62+B63+B64-B65+B66+B67+B68+B69+B70</f>
        <v>2.4681676113457796</v>
      </c>
      <c r="C71" s="76">
        <f t="shared" ref="C71:AC71" si="63">C62+C63+C64-C65+C66+C67+C68+C69+C70</f>
        <v>2.4683387661562728</v>
      </c>
      <c r="D71" s="76">
        <f t="shared" si="63"/>
        <v>2.4685834005744862</v>
      </c>
      <c r="E71" s="76">
        <f t="shared" si="63"/>
        <v>2.4689325915314528</v>
      </c>
      <c r="F71" s="76">
        <f t="shared" si="63"/>
        <v>2.4694300503571935</v>
      </c>
      <c r="G71" s="76">
        <f t="shared" si="63"/>
        <v>2.4701367266810417</v>
      </c>
      <c r="H71" s="76">
        <f t="shared" si="63"/>
        <v>2.4711365635486731</v>
      </c>
      <c r="I71" s="76">
        <f t="shared" si="63"/>
        <v>2.4725432033847374</v>
      </c>
      <c r="J71" s="76">
        <f t="shared" si="63"/>
        <v>2.4745069544835352</v>
      </c>
      <c r="K71" s="76">
        <f t="shared" si="63"/>
        <v>2.477220587847198</v>
      </c>
      <c r="L71" s="76">
        <f t="shared" si="63"/>
        <v>2.4809215230734494</v>
      </c>
      <c r="M71" s="76">
        <f t="shared" si="63"/>
        <v>2.4858863710367198</v>
      </c>
      <c r="N71" s="76">
        <f t="shared" si="63"/>
        <v>2.492410710499577</v>
      </c>
      <c r="O71" s="76">
        <f t="shared" si="63"/>
        <v>2.5007622113548935</v>
      </c>
      <c r="P71" s="76">
        <f t="shared" si="63"/>
        <v>2.5110941712144248</v>
      </c>
      <c r="Q71" s="76">
        <f t="shared" si="63"/>
        <v>2.5233229707464213</v>
      </c>
      <c r="R71" s="76">
        <f t="shared" si="63"/>
        <v>2.5370154148905155</v>
      </c>
      <c r="S71" s="76">
        <f t="shared" si="63"/>
        <v>2.5513741852300784</v>
      </c>
      <c r="T71" s="76">
        <f t="shared" si="63"/>
        <v>2.5653888331407724</v>
      </c>
      <c r="U71" s="76">
        <f t="shared" si="63"/>
        <v>2.5781106076592684</v>
      </c>
      <c r="V71" s="76">
        <f t="shared" si="63"/>
        <v>2.5889026436721956</v>
      </c>
      <c r="W71" s="76">
        <f t="shared" si="63"/>
        <v>2.5975349817749809</v>
      </c>
      <c r="X71" s="76">
        <f t="shared" si="63"/>
        <v>2.6041168098337009</v>
      </c>
      <c r="Y71" s="76">
        <f t="shared" si="63"/>
        <v>2.6089525629171764</v>
      </c>
      <c r="Z71" s="76">
        <f t="shared" si="63"/>
        <v>2.6124089178711487</v>
      </c>
      <c r="AA71" s="76">
        <f t="shared" si="63"/>
        <v>2.6148307841459872</v>
      </c>
      <c r="AB71" s="76">
        <f t="shared" si="63"/>
        <v>2.6165042001288725</v>
      </c>
      <c r="AC71" s="76">
        <f t="shared" si="63"/>
        <v>2.6176492915254812</v>
      </c>
    </row>
    <row r="72" spans="1:29" ht="15.75" thickBot="1" x14ac:dyDescent="0.3"/>
    <row r="73" spans="1:29" ht="15.75" thickBot="1" x14ac:dyDescent="0.3">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4">A50</f>
        <v>Capex vehicle</v>
      </c>
      <c r="B74" s="65">
        <f>((1+B35)^B42)*B35/(((1+B35)^B42)-1)*(B31)/B47/(B44)</f>
        <v>1.2312752120811793E-2</v>
      </c>
      <c r="C74" s="65">
        <f t="shared" ref="C74:AC74" si="65">((1+C35)^C42)*C35/(((1+C35)^C42)-1)*(C31)/C47/(C44)</f>
        <v>1.2319372471143808E-2</v>
      </c>
      <c r="D74" s="65">
        <f t="shared" si="65"/>
        <v>1.2328772419576216E-2</v>
      </c>
      <c r="E74" s="65">
        <f t="shared" si="65"/>
        <v>1.2342058343408053E-2</v>
      </c>
      <c r="F74" s="65">
        <f t="shared" si="65"/>
        <v>1.2360711540770029E-2</v>
      </c>
      <c r="G74" s="65">
        <f t="shared" si="65"/>
        <v>1.2386646256423496E-2</v>
      </c>
      <c r="H74" s="65">
        <f t="shared" si="65"/>
        <v>1.2422201781364764E-2</v>
      </c>
      <c r="I74" s="65">
        <f t="shared" si="65"/>
        <v>1.2469984596909803E-2</v>
      </c>
      <c r="J74" s="65">
        <f t="shared" si="65"/>
        <v>1.2532445967788252E-2</v>
      </c>
      <c r="K74" s="65">
        <f t="shared" si="65"/>
        <v>1.2611105507067715E-2</v>
      </c>
      <c r="L74" s="65">
        <f t="shared" si="65"/>
        <v>1.2705494696280639E-2</v>
      </c>
      <c r="M74" s="65">
        <f t="shared" si="65"/>
        <v>1.2812227504666332E-2</v>
      </c>
      <c r="N74" s="65">
        <f t="shared" si="65"/>
        <v>1.2924904892565417E-2</v>
      </c>
      <c r="O74" s="65">
        <f t="shared" si="65"/>
        <v>1.303536500022779E-2</v>
      </c>
      <c r="P74" s="65">
        <f t="shared" si="65"/>
        <v>1.3135919109894489E-2</v>
      </c>
      <c r="Q74" s="65">
        <f t="shared" si="65"/>
        <v>1.3221375783930607E-2</v>
      </c>
      <c r="R74" s="65">
        <f t="shared" si="65"/>
        <v>1.3289811275410325E-2</v>
      </c>
      <c r="S74" s="65">
        <f t="shared" si="65"/>
        <v>1.3342030592793215E-2</v>
      </c>
      <c r="T74" s="65">
        <f t="shared" si="65"/>
        <v>1.3380415979064949E-2</v>
      </c>
      <c r="U74" s="65">
        <f t="shared" si="65"/>
        <v>1.3407860974940735E-2</v>
      </c>
      <c r="V74" s="65">
        <f t="shared" si="65"/>
        <v>1.3427095863982266E-2</v>
      </c>
      <c r="W74" s="65">
        <f t="shared" si="65"/>
        <v>1.3440388354578638E-2</v>
      </c>
      <c r="X74" s="65">
        <f t="shared" si="65"/>
        <v>1.3449485068283949E-2</v>
      </c>
      <c r="Y74" s="65">
        <f t="shared" si="65"/>
        <v>1.3455668851988454E-2</v>
      </c>
      <c r="Z74" s="65">
        <f t="shared" si="65"/>
        <v>1.3459853349611826E-2</v>
      </c>
      <c r="AA74" s="65">
        <f t="shared" si="65"/>
        <v>1.3462676216077251E-2</v>
      </c>
      <c r="AB74" s="65">
        <f t="shared" si="65"/>
        <v>1.3464576555758969E-2</v>
      </c>
      <c r="AC74" s="65">
        <f t="shared" si="65"/>
        <v>1.3465854058382996E-2</v>
      </c>
    </row>
    <row r="75" spans="1:29" x14ac:dyDescent="0.25">
      <c r="A75" s="30" t="str">
        <f t="shared" si="64"/>
        <v>Residual value (vehicle)</v>
      </c>
      <c r="B75" s="68">
        <f>((1+B35)^B42)*B35/(((1+B35)^B42)-1)*(B32)/B47/(B44)</f>
        <v>-3.0604067820050769E-3</v>
      </c>
      <c r="C75" s="68">
        <f t="shared" ref="C75:AC75" si="66">((1+C35)^C42)*C35/(((1+C35)^C42)-1)*(C32)/C47/(C44)</f>
        <v>-3.0544484667062604E-3</v>
      </c>
      <c r="D75" s="68">
        <f t="shared" si="66"/>
        <v>-3.0459885131170939E-3</v>
      </c>
      <c r="E75" s="68">
        <f t="shared" si="66"/>
        <v>-3.0340311816684411E-3</v>
      </c>
      <c r="F75" s="68">
        <f t="shared" si="66"/>
        <v>-3.0172433040426628E-3</v>
      </c>
      <c r="G75" s="68">
        <f t="shared" si="66"/>
        <v>-2.9939020599545401E-3</v>
      </c>
      <c r="H75" s="68">
        <f t="shared" si="66"/>
        <v>-2.9619020875074013E-3</v>
      </c>
      <c r="I75" s="68">
        <f t="shared" si="66"/>
        <v>-2.9188975535168662E-3</v>
      </c>
      <c r="J75" s="68">
        <f t="shared" si="66"/>
        <v>-2.8626823197262603E-3</v>
      </c>
      <c r="K75" s="68">
        <f t="shared" si="66"/>
        <v>-2.7918887343747461E-3</v>
      </c>
      <c r="L75" s="68">
        <f t="shared" si="66"/>
        <v>-2.7069384640831138E-3</v>
      </c>
      <c r="M75" s="68">
        <f t="shared" si="66"/>
        <v>-2.6108789365359899E-3</v>
      </c>
      <c r="N75" s="68">
        <f t="shared" si="66"/>
        <v>-2.5094692874268148E-3</v>
      </c>
      <c r="O75" s="68">
        <f t="shared" si="66"/>
        <v>-2.4100551905306797E-3</v>
      </c>
      <c r="P75" s="68">
        <f t="shared" si="66"/>
        <v>-2.3195564918306487E-3</v>
      </c>
      <c r="Q75" s="68">
        <f t="shared" si="66"/>
        <v>-2.2426454851981431E-3</v>
      </c>
      <c r="R75" s="68">
        <f t="shared" si="66"/>
        <v>-2.1810535428663956E-3</v>
      </c>
      <c r="S75" s="68">
        <f t="shared" si="66"/>
        <v>-2.1340561572217951E-3</v>
      </c>
      <c r="T75" s="68">
        <f t="shared" si="66"/>
        <v>-2.0995093095772361E-3</v>
      </c>
      <c r="U75" s="68">
        <f t="shared" si="66"/>
        <v>-2.0748088132890256E-3</v>
      </c>
      <c r="V75" s="68">
        <f t="shared" si="66"/>
        <v>-2.0574974131516498E-3</v>
      </c>
      <c r="W75" s="68">
        <f t="shared" si="66"/>
        <v>-2.045534171614914E-3</v>
      </c>
      <c r="X75" s="68">
        <f t="shared" si="66"/>
        <v>-2.0373471292801336E-3</v>
      </c>
      <c r="Y75" s="68">
        <f t="shared" si="66"/>
        <v>-2.0317817239460809E-3</v>
      </c>
      <c r="Z75" s="68">
        <f t="shared" si="66"/>
        <v>-2.0280156760850467E-3</v>
      </c>
      <c r="AA75" s="68">
        <f t="shared" si="66"/>
        <v>-2.0254750962661622E-3</v>
      </c>
      <c r="AB75" s="68">
        <f t="shared" si="66"/>
        <v>-2.0237647905526181E-3</v>
      </c>
      <c r="AC75" s="68">
        <f t="shared" si="66"/>
        <v>-2.0226150381909905E-3</v>
      </c>
    </row>
    <row r="76" spans="1:29" x14ac:dyDescent="0.25">
      <c r="A76" s="30" t="str">
        <f t="shared" si="64"/>
        <v>Capex costumization</v>
      </c>
      <c r="B76" s="66">
        <f>((1+B35)^B43)*B35/(((1+B35)^B43)-1)*(B33)/B47/(B44)</f>
        <v>3.9525224209566176E-3</v>
      </c>
      <c r="C76" s="66">
        <f t="shared" ref="C76:AC76" si="67">((1+C35)^C43)*C35/(((1+C35)^C43)-1)*(C33)/C47/(C44)</f>
        <v>3.9525224209566176E-3</v>
      </c>
      <c r="D76" s="66">
        <f t="shared" si="67"/>
        <v>3.9525224209566176E-3</v>
      </c>
      <c r="E76" s="66">
        <f t="shared" si="67"/>
        <v>3.9525224209566176E-3</v>
      </c>
      <c r="F76" s="66">
        <f t="shared" si="67"/>
        <v>3.9525224209566176E-3</v>
      </c>
      <c r="G76" s="66">
        <f t="shared" si="67"/>
        <v>3.9525224209566176E-3</v>
      </c>
      <c r="H76" s="66">
        <f t="shared" si="67"/>
        <v>3.9525224209566176E-3</v>
      </c>
      <c r="I76" s="66">
        <f t="shared" si="67"/>
        <v>3.9525224209566176E-3</v>
      </c>
      <c r="J76" s="66">
        <f t="shared" si="67"/>
        <v>3.9525224209566176E-3</v>
      </c>
      <c r="K76" s="66">
        <f t="shared" si="67"/>
        <v>3.9525224209566176E-3</v>
      </c>
      <c r="L76" s="66">
        <f t="shared" si="67"/>
        <v>3.9525224209566176E-3</v>
      </c>
      <c r="M76" s="66">
        <f t="shared" si="67"/>
        <v>3.9525224209566176E-3</v>
      </c>
      <c r="N76" s="66">
        <f t="shared" si="67"/>
        <v>3.9525224209566176E-3</v>
      </c>
      <c r="O76" s="66">
        <f t="shared" si="67"/>
        <v>3.9525224209566176E-3</v>
      </c>
      <c r="P76" s="66">
        <f t="shared" si="67"/>
        <v>3.9525224209566176E-3</v>
      </c>
      <c r="Q76" s="66">
        <f t="shared" si="67"/>
        <v>3.9525224209566176E-3</v>
      </c>
      <c r="R76" s="66">
        <f t="shared" si="67"/>
        <v>3.9525224209566176E-3</v>
      </c>
      <c r="S76" s="66">
        <f t="shared" si="67"/>
        <v>3.9525224209566176E-3</v>
      </c>
      <c r="T76" s="66">
        <f t="shared" si="67"/>
        <v>3.9525224209566176E-3</v>
      </c>
      <c r="U76" s="66">
        <f t="shared" si="67"/>
        <v>3.9525224209566176E-3</v>
      </c>
      <c r="V76" s="66">
        <f t="shared" si="67"/>
        <v>3.9525224209566176E-3</v>
      </c>
      <c r="W76" s="66">
        <f t="shared" si="67"/>
        <v>3.9525224209566176E-3</v>
      </c>
      <c r="X76" s="66">
        <f t="shared" si="67"/>
        <v>3.9525224209566176E-3</v>
      </c>
      <c r="Y76" s="66">
        <f t="shared" si="67"/>
        <v>3.9525224209566176E-3</v>
      </c>
      <c r="Z76" s="66">
        <f t="shared" si="67"/>
        <v>3.9525224209566176E-3</v>
      </c>
      <c r="AA76" s="66">
        <f t="shared" si="67"/>
        <v>3.9525224209566176E-3</v>
      </c>
      <c r="AB76" s="66">
        <f t="shared" si="67"/>
        <v>3.9525224209566176E-3</v>
      </c>
      <c r="AC76" s="66">
        <f t="shared" si="67"/>
        <v>3.9525224209566176E-3</v>
      </c>
    </row>
    <row r="77" spans="1:29" x14ac:dyDescent="0.25">
      <c r="A77" s="30" t="str">
        <f t="shared" si="64"/>
        <v>Residual value (costumization)</v>
      </c>
      <c r="B77" s="69">
        <f>((1+B35)^B43)*B35/(((1+B35)^B43)-1)*(B34)/B47/(B44)</f>
        <v>-9.8813060523915441E-4</v>
      </c>
      <c r="C77" s="69">
        <f t="shared" ref="C77:AC77" si="68">((1+C35)^C43)*C35/(((1+C35)^C43)-1)*(C34)/C47/(C44)</f>
        <v>-9.8813060523915441E-4</v>
      </c>
      <c r="D77" s="69">
        <f t="shared" si="68"/>
        <v>-9.8813060523915441E-4</v>
      </c>
      <c r="E77" s="69">
        <f t="shared" si="68"/>
        <v>-9.8813060523915441E-4</v>
      </c>
      <c r="F77" s="69">
        <f t="shared" si="68"/>
        <v>-9.8813060523915441E-4</v>
      </c>
      <c r="G77" s="69">
        <f t="shared" si="68"/>
        <v>-9.8813060523915441E-4</v>
      </c>
      <c r="H77" s="69">
        <f t="shared" si="68"/>
        <v>-9.8813060523915441E-4</v>
      </c>
      <c r="I77" s="69">
        <f t="shared" si="68"/>
        <v>-9.8813060523915441E-4</v>
      </c>
      <c r="J77" s="69">
        <f t="shared" si="68"/>
        <v>-9.8813060523915441E-4</v>
      </c>
      <c r="K77" s="69">
        <f t="shared" si="68"/>
        <v>-9.8813060523915441E-4</v>
      </c>
      <c r="L77" s="69">
        <f t="shared" si="68"/>
        <v>-9.8813060523915441E-4</v>
      </c>
      <c r="M77" s="69">
        <f t="shared" si="68"/>
        <v>-9.8813060523915441E-4</v>
      </c>
      <c r="N77" s="69">
        <f t="shared" si="68"/>
        <v>-9.8813060523915441E-4</v>
      </c>
      <c r="O77" s="69">
        <f t="shared" si="68"/>
        <v>-9.8813060523915441E-4</v>
      </c>
      <c r="P77" s="69">
        <f t="shared" si="68"/>
        <v>-9.8813060523915441E-4</v>
      </c>
      <c r="Q77" s="69">
        <f t="shared" si="68"/>
        <v>-9.8813060523915441E-4</v>
      </c>
      <c r="R77" s="69">
        <f t="shared" si="68"/>
        <v>-9.8813060523915441E-4</v>
      </c>
      <c r="S77" s="69">
        <f t="shared" si="68"/>
        <v>-9.8813060523915441E-4</v>
      </c>
      <c r="T77" s="69">
        <f t="shared" si="68"/>
        <v>-9.8813060523915441E-4</v>
      </c>
      <c r="U77" s="69">
        <f t="shared" si="68"/>
        <v>-9.8813060523915441E-4</v>
      </c>
      <c r="V77" s="69">
        <f t="shared" si="68"/>
        <v>-9.8813060523915441E-4</v>
      </c>
      <c r="W77" s="69">
        <f t="shared" si="68"/>
        <v>-9.8813060523915441E-4</v>
      </c>
      <c r="X77" s="69">
        <f t="shared" si="68"/>
        <v>-9.8813060523915441E-4</v>
      </c>
      <c r="Y77" s="69">
        <f t="shared" si="68"/>
        <v>-9.8813060523915441E-4</v>
      </c>
      <c r="Z77" s="69">
        <f t="shared" si="68"/>
        <v>-9.8813060523915441E-4</v>
      </c>
      <c r="AA77" s="69">
        <f t="shared" si="68"/>
        <v>-9.8813060523915441E-4</v>
      </c>
      <c r="AB77" s="69">
        <f t="shared" si="68"/>
        <v>-9.8813060523915441E-4</v>
      </c>
      <c r="AC77" s="69">
        <f t="shared" si="68"/>
        <v>-9.8813060523915441E-4</v>
      </c>
    </row>
    <row r="78" spans="1:29" x14ac:dyDescent="0.25">
      <c r="A78" s="30" t="str">
        <f t="shared" si="64"/>
        <v>Opex fix (admin, crew, insurance)</v>
      </c>
      <c r="B78" s="66">
        <f>B36/B47/(B44)</f>
        <v>5.0909090909090911E-2</v>
      </c>
      <c r="C78" s="66">
        <f t="shared" ref="C78:AC78" si="69">C36/C47/(C44)</f>
        <v>5.0909090909090911E-2</v>
      </c>
      <c r="D78" s="66">
        <f t="shared" si="69"/>
        <v>5.0909090909090911E-2</v>
      </c>
      <c r="E78" s="66">
        <f t="shared" si="69"/>
        <v>5.0909090909090911E-2</v>
      </c>
      <c r="F78" s="66">
        <f t="shared" si="69"/>
        <v>5.0909090909090911E-2</v>
      </c>
      <c r="G78" s="66">
        <f t="shared" si="69"/>
        <v>5.0909090909090911E-2</v>
      </c>
      <c r="H78" s="66">
        <f t="shared" si="69"/>
        <v>5.0909090909090911E-2</v>
      </c>
      <c r="I78" s="66">
        <f t="shared" si="69"/>
        <v>5.0909090909090911E-2</v>
      </c>
      <c r="J78" s="66">
        <f t="shared" si="69"/>
        <v>5.0909090909090911E-2</v>
      </c>
      <c r="K78" s="66">
        <f t="shared" si="69"/>
        <v>5.0909090909090911E-2</v>
      </c>
      <c r="L78" s="66">
        <f t="shared" si="69"/>
        <v>5.0909090909090911E-2</v>
      </c>
      <c r="M78" s="66">
        <f t="shared" si="69"/>
        <v>5.0909090909090911E-2</v>
      </c>
      <c r="N78" s="66">
        <f t="shared" si="69"/>
        <v>5.0909090909090911E-2</v>
      </c>
      <c r="O78" s="66">
        <f t="shared" si="69"/>
        <v>5.0909090909090911E-2</v>
      </c>
      <c r="P78" s="66">
        <f t="shared" si="69"/>
        <v>5.0909090909090911E-2</v>
      </c>
      <c r="Q78" s="66">
        <f t="shared" si="69"/>
        <v>5.0909090909090911E-2</v>
      </c>
      <c r="R78" s="66">
        <f t="shared" si="69"/>
        <v>5.0909090909090911E-2</v>
      </c>
      <c r="S78" s="66">
        <f t="shared" si="69"/>
        <v>5.0909090909090911E-2</v>
      </c>
      <c r="T78" s="66">
        <f t="shared" si="69"/>
        <v>5.0909090909090911E-2</v>
      </c>
      <c r="U78" s="66">
        <f t="shared" si="69"/>
        <v>5.0909090909090911E-2</v>
      </c>
      <c r="V78" s="66">
        <f t="shared" si="69"/>
        <v>5.0909090909090911E-2</v>
      </c>
      <c r="W78" s="66">
        <f t="shared" si="69"/>
        <v>5.0909090909090911E-2</v>
      </c>
      <c r="X78" s="66">
        <f t="shared" si="69"/>
        <v>5.0909090909090911E-2</v>
      </c>
      <c r="Y78" s="66">
        <f t="shared" si="69"/>
        <v>5.0909090909090911E-2</v>
      </c>
      <c r="Z78" s="66">
        <f t="shared" si="69"/>
        <v>5.0909090909090911E-2</v>
      </c>
      <c r="AA78" s="66">
        <f t="shared" si="69"/>
        <v>5.0909090909090911E-2</v>
      </c>
      <c r="AB78" s="66">
        <f t="shared" si="69"/>
        <v>5.0909090909090911E-2</v>
      </c>
      <c r="AC78" s="66">
        <f t="shared" si="69"/>
        <v>5.0909090909090911E-2</v>
      </c>
    </row>
    <row r="79" spans="1:29" x14ac:dyDescent="0.25">
      <c r="A79" s="30" t="str">
        <f t="shared" si="64"/>
        <v>Opex maintenance &amp; repair</v>
      </c>
      <c r="B79" s="66">
        <f>B37/B47/(B44)</f>
        <v>1.4545454545454545E-2</v>
      </c>
      <c r="C79" s="66">
        <f t="shared" ref="C79:AC79" si="70">C37/C47/(C44)</f>
        <v>1.4545454545454545E-2</v>
      </c>
      <c r="D79" s="66">
        <f t="shared" si="70"/>
        <v>1.4545454545454545E-2</v>
      </c>
      <c r="E79" s="66">
        <f t="shared" si="70"/>
        <v>1.4545454545454545E-2</v>
      </c>
      <c r="F79" s="66">
        <f t="shared" si="70"/>
        <v>1.4545454545454545E-2</v>
      </c>
      <c r="G79" s="66">
        <f t="shared" si="70"/>
        <v>1.4545454545454545E-2</v>
      </c>
      <c r="H79" s="66">
        <f t="shared" si="70"/>
        <v>1.4545454545454545E-2</v>
      </c>
      <c r="I79" s="66">
        <f t="shared" si="70"/>
        <v>1.4545454545454545E-2</v>
      </c>
      <c r="J79" s="66">
        <f t="shared" si="70"/>
        <v>1.4545454545454545E-2</v>
      </c>
      <c r="K79" s="66">
        <f t="shared" si="70"/>
        <v>1.4545454545454545E-2</v>
      </c>
      <c r="L79" s="66">
        <f t="shared" si="70"/>
        <v>1.4545454545454545E-2</v>
      </c>
      <c r="M79" s="66">
        <f t="shared" si="70"/>
        <v>1.4545454545454545E-2</v>
      </c>
      <c r="N79" s="66">
        <f t="shared" si="70"/>
        <v>1.4545454545454545E-2</v>
      </c>
      <c r="O79" s="66">
        <f t="shared" si="70"/>
        <v>1.4545454545454545E-2</v>
      </c>
      <c r="P79" s="66">
        <f t="shared" si="70"/>
        <v>1.4545454545454545E-2</v>
      </c>
      <c r="Q79" s="66">
        <f t="shared" si="70"/>
        <v>1.4545454545454545E-2</v>
      </c>
      <c r="R79" s="66">
        <f t="shared" si="70"/>
        <v>1.4545454545454545E-2</v>
      </c>
      <c r="S79" s="66">
        <f t="shared" si="70"/>
        <v>1.4545454545454545E-2</v>
      </c>
      <c r="T79" s="66">
        <f t="shared" si="70"/>
        <v>1.4545454545454545E-2</v>
      </c>
      <c r="U79" s="66">
        <f t="shared" si="70"/>
        <v>1.4545454545454545E-2</v>
      </c>
      <c r="V79" s="66">
        <f t="shared" si="70"/>
        <v>1.4545454545454545E-2</v>
      </c>
      <c r="W79" s="66">
        <f t="shared" si="70"/>
        <v>1.4545454545454545E-2</v>
      </c>
      <c r="X79" s="66">
        <f t="shared" si="70"/>
        <v>1.4545454545454545E-2</v>
      </c>
      <c r="Y79" s="66">
        <f t="shared" si="70"/>
        <v>1.4545454545454545E-2</v>
      </c>
      <c r="Z79" s="66">
        <f t="shared" si="70"/>
        <v>1.4545454545454545E-2</v>
      </c>
      <c r="AA79" s="66">
        <f t="shared" si="70"/>
        <v>1.4545454545454545E-2</v>
      </c>
      <c r="AB79" s="66">
        <f t="shared" si="70"/>
        <v>1.4545454545454545E-2</v>
      </c>
      <c r="AC79" s="66">
        <f t="shared" si="70"/>
        <v>1.4545454545454545E-2</v>
      </c>
    </row>
    <row r="80" spans="1:29" x14ac:dyDescent="0.25">
      <c r="A80" s="30" t="str">
        <f t="shared" si="64"/>
        <v>Opex var (mode-fees)</v>
      </c>
      <c r="B80" s="66">
        <f>B38*B47/B47/(B44)</f>
        <v>4.4000000000000003E-3</v>
      </c>
      <c r="C80" s="66">
        <f t="shared" ref="C80:AC80" si="71">C38*C47/C47/(C44)</f>
        <v>4.4000000000000003E-3</v>
      </c>
      <c r="D80" s="66">
        <f t="shared" si="71"/>
        <v>4.4000000000000003E-3</v>
      </c>
      <c r="E80" s="66">
        <f t="shared" si="71"/>
        <v>4.4000000000000003E-3</v>
      </c>
      <c r="F80" s="66">
        <f t="shared" si="71"/>
        <v>4.4000000000000003E-3</v>
      </c>
      <c r="G80" s="66">
        <f t="shared" si="71"/>
        <v>4.4000000000000003E-3</v>
      </c>
      <c r="H80" s="66">
        <f t="shared" si="71"/>
        <v>4.4000000000000003E-3</v>
      </c>
      <c r="I80" s="66">
        <f t="shared" si="71"/>
        <v>4.4000000000000003E-3</v>
      </c>
      <c r="J80" s="66">
        <f t="shared" si="71"/>
        <v>4.4000000000000003E-3</v>
      </c>
      <c r="K80" s="66">
        <f t="shared" si="71"/>
        <v>4.4000000000000003E-3</v>
      </c>
      <c r="L80" s="66">
        <f t="shared" si="71"/>
        <v>4.4000000000000003E-3</v>
      </c>
      <c r="M80" s="66">
        <f t="shared" si="71"/>
        <v>4.4000000000000003E-3</v>
      </c>
      <c r="N80" s="66">
        <f t="shared" si="71"/>
        <v>4.4000000000000003E-3</v>
      </c>
      <c r="O80" s="66">
        <f t="shared" si="71"/>
        <v>4.4000000000000003E-3</v>
      </c>
      <c r="P80" s="66">
        <f t="shared" si="71"/>
        <v>4.4000000000000003E-3</v>
      </c>
      <c r="Q80" s="66">
        <f t="shared" si="71"/>
        <v>4.4000000000000003E-3</v>
      </c>
      <c r="R80" s="66">
        <f t="shared" si="71"/>
        <v>4.4000000000000003E-3</v>
      </c>
      <c r="S80" s="66">
        <f t="shared" si="71"/>
        <v>4.4000000000000003E-3</v>
      </c>
      <c r="T80" s="66">
        <f t="shared" si="71"/>
        <v>4.4000000000000003E-3</v>
      </c>
      <c r="U80" s="66">
        <f t="shared" si="71"/>
        <v>4.4000000000000003E-3</v>
      </c>
      <c r="V80" s="66">
        <f t="shared" si="71"/>
        <v>4.4000000000000003E-3</v>
      </c>
      <c r="W80" s="66">
        <f t="shared" si="71"/>
        <v>4.4000000000000003E-3</v>
      </c>
      <c r="X80" s="66">
        <f t="shared" si="71"/>
        <v>4.4000000000000003E-3</v>
      </c>
      <c r="Y80" s="66">
        <f t="shared" si="71"/>
        <v>4.4000000000000003E-3</v>
      </c>
      <c r="Z80" s="66">
        <f t="shared" si="71"/>
        <v>4.4000000000000003E-3</v>
      </c>
      <c r="AA80" s="66">
        <f t="shared" si="71"/>
        <v>4.4000000000000003E-3</v>
      </c>
      <c r="AB80" s="66">
        <f t="shared" si="71"/>
        <v>4.4000000000000003E-3</v>
      </c>
      <c r="AC80" s="66">
        <f t="shared" si="71"/>
        <v>4.4000000000000003E-3</v>
      </c>
    </row>
    <row r="81" spans="1:29" x14ac:dyDescent="0.25">
      <c r="A81" s="30" t="str">
        <f t="shared" si="64"/>
        <v>Fuel Cost</v>
      </c>
      <c r="B81" s="66">
        <f>B39*B40*B47/B47/(B44)</f>
        <v>1.1573595723149675E-2</v>
      </c>
      <c r="C81" s="66">
        <f t="shared" ref="C81:AC81" si="72">C39*C40*C47/C47/(C44)</f>
        <v>1.1562290195257166E-2</v>
      </c>
      <c r="D81" s="66">
        <f t="shared" si="72"/>
        <v>1.154623796631744E-2</v>
      </c>
      <c r="E81" s="66">
        <f t="shared" si="72"/>
        <v>1.1523549683231857E-2</v>
      </c>
      <c r="F81" s="66">
        <f t="shared" si="72"/>
        <v>1.1491695743110229E-2</v>
      </c>
      <c r="G81" s="66">
        <f t="shared" si="72"/>
        <v>1.1447407203002828E-2</v>
      </c>
      <c r="H81" s="66">
        <f t="shared" si="72"/>
        <v>1.1386689271353168E-2</v>
      </c>
      <c r="I81" s="66">
        <f t="shared" si="72"/>
        <v>1.130509087748654E-2</v>
      </c>
      <c r="J81" s="66">
        <f t="shared" si="72"/>
        <v>1.1198426013052478E-2</v>
      </c>
      <c r="K81" s="66">
        <f t="shared" si="72"/>
        <v>1.1064099644999867E-2</v>
      </c>
      <c r="L81" s="66">
        <f t="shared" si="72"/>
        <v>1.0902911859175732E-2</v>
      </c>
      <c r="M81" s="66">
        <f t="shared" si="72"/>
        <v>1.0720644957616992E-2</v>
      </c>
      <c r="N81" s="66">
        <f t="shared" si="72"/>
        <v>1.0528226537463705E-2</v>
      </c>
      <c r="O81" s="66">
        <f t="shared" si="72"/>
        <v>1.0339594551910478E-2</v>
      </c>
      <c r="P81" s="66">
        <f t="shared" si="72"/>
        <v>1.0167878972744624E-2</v>
      </c>
      <c r="Q81" s="66">
        <f t="shared" si="72"/>
        <v>1.0021945183222353E-2</v>
      </c>
      <c r="R81" s="66">
        <f t="shared" si="72"/>
        <v>9.9050783530759638E-3</v>
      </c>
      <c r="S81" s="66">
        <f t="shared" si="72"/>
        <v>9.8159037747541991E-3</v>
      </c>
      <c r="T81" s="66">
        <f t="shared" si="72"/>
        <v>9.7503533078761844E-3</v>
      </c>
      <c r="U81" s="66">
        <f t="shared" si="72"/>
        <v>9.7034856723550063E-3</v>
      </c>
      <c r="V81" s="66">
        <f t="shared" si="72"/>
        <v>9.670638381250693E-3</v>
      </c>
      <c r="W81" s="66">
        <f t="shared" si="72"/>
        <v>9.647938884145316E-3</v>
      </c>
      <c r="X81" s="66">
        <f t="shared" si="72"/>
        <v>9.6324044871167799E-3</v>
      </c>
      <c r="Y81" s="66">
        <f t="shared" si="72"/>
        <v>9.6218444811282163E-3</v>
      </c>
      <c r="Z81" s="66">
        <f t="shared" si="72"/>
        <v>9.6146986425812171E-3</v>
      </c>
      <c r="AA81" s="66">
        <f t="shared" si="72"/>
        <v>9.6098780524370136E-3</v>
      </c>
      <c r="AB81" s="66">
        <f t="shared" si="72"/>
        <v>9.6066328550985913E-3</v>
      </c>
      <c r="AC81" s="66">
        <f t="shared" si="72"/>
        <v>9.604451272429336E-3</v>
      </c>
    </row>
    <row r="82" spans="1:29" x14ac:dyDescent="0.25">
      <c r="A82" s="59" t="str">
        <f>A45</f>
        <v>Market failure (av. utilization)</v>
      </c>
      <c r="B82" s="66">
        <f t="shared" ref="B82" si="73">B71/B45-B71/B44</f>
        <v>7.7570982070867392E-2</v>
      </c>
      <c r="C82" s="66">
        <f t="shared" ref="C82:AC82" si="74">C71/C45-C71/C44</f>
        <v>7.7576361222054302E-2</v>
      </c>
      <c r="D82" s="66">
        <f t="shared" si="74"/>
        <v>7.7584049732341023E-2</v>
      </c>
      <c r="E82" s="66">
        <f t="shared" si="74"/>
        <v>7.7595024305274249E-2</v>
      </c>
      <c r="F82" s="66">
        <f t="shared" si="74"/>
        <v>7.7610658725511816E-2</v>
      </c>
      <c r="G82" s="66">
        <f t="shared" si="74"/>
        <v>7.7632868552832773E-2</v>
      </c>
      <c r="H82" s="66">
        <f t="shared" si="74"/>
        <v>7.7664291997244034E-2</v>
      </c>
      <c r="I82" s="66">
        <f t="shared" si="74"/>
        <v>7.7708500677806047E-2</v>
      </c>
      <c r="J82" s="66">
        <f t="shared" si="74"/>
        <v>7.7770218569482547E-2</v>
      </c>
      <c r="K82" s="66">
        <f t="shared" si="74"/>
        <v>7.7855504189483393E-2</v>
      </c>
      <c r="L82" s="66">
        <f t="shared" si="74"/>
        <v>7.797181929659415E-2</v>
      </c>
      <c r="M82" s="66">
        <f t="shared" si="74"/>
        <v>7.8127857375439785E-2</v>
      </c>
      <c r="N82" s="66">
        <f t="shared" si="74"/>
        <v>7.8332908044272453E-2</v>
      </c>
      <c r="O82" s="66">
        <f t="shared" si="74"/>
        <v>7.8595383785439538E-2</v>
      </c>
      <c r="P82" s="66">
        <f t="shared" si="74"/>
        <v>7.8920102523881944E-2</v>
      </c>
      <c r="Q82" s="66">
        <f t="shared" si="74"/>
        <v>7.9304436223458993E-2</v>
      </c>
      <c r="R82" s="66">
        <f t="shared" si="74"/>
        <v>7.973477018227336E-2</v>
      </c>
      <c r="S82" s="66">
        <f t="shared" si="74"/>
        <v>8.0186045821516783E-2</v>
      </c>
      <c r="T82" s="66">
        <f t="shared" si="74"/>
        <v>8.062650618442431E-2</v>
      </c>
      <c r="U82" s="66">
        <f t="shared" si="74"/>
        <v>8.1026333383577023E-2</v>
      </c>
      <c r="V82" s="66">
        <f t="shared" si="74"/>
        <v>8.1365511658269038E-2</v>
      </c>
      <c r="W82" s="66">
        <f t="shared" si="74"/>
        <v>8.1636813712927997E-2</v>
      </c>
      <c r="X82" s="66">
        <f t="shared" si="74"/>
        <v>8.1843671166202059E-2</v>
      </c>
      <c r="Y82" s="66">
        <f t="shared" si="74"/>
        <v>8.1995651977397013E-2</v>
      </c>
      <c r="Z82" s="66">
        <f t="shared" si="74"/>
        <v>8.2104280275950403E-2</v>
      </c>
      <c r="AA82" s="66">
        <f t="shared" si="74"/>
        <v>8.218039607315962E-2</v>
      </c>
      <c r="AB82" s="66">
        <f t="shared" si="74"/>
        <v>8.2232989146907437E-2</v>
      </c>
      <c r="AC82" s="66">
        <f t="shared" si="74"/>
        <v>8.2268977733658016E-2</v>
      </c>
    </row>
    <row r="83" spans="1:29" x14ac:dyDescent="0.25">
      <c r="A83" s="59" t="str">
        <f>A46</f>
        <v>Payload loss (fuel)</v>
      </c>
      <c r="B83" s="66">
        <f>B71/(B44-B46)-B71/B44</f>
        <v>0</v>
      </c>
      <c r="C83" s="66">
        <f t="shared" ref="C83:AC83" si="75">C71/(C44-C46)-C71/C44</f>
        <v>0</v>
      </c>
      <c r="D83" s="66">
        <f t="shared" si="75"/>
        <v>0</v>
      </c>
      <c r="E83" s="66">
        <f t="shared" si="75"/>
        <v>0</v>
      </c>
      <c r="F83" s="66">
        <f t="shared" si="75"/>
        <v>0</v>
      </c>
      <c r="G83" s="66">
        <f t="shared" si="75"/>
        <v>0</v>
      </c>
      <c r="H83" s="66">
        <f t="shared" si="75"/>
        <v>0</v>
      </c>
      <c r="I83" s="66">
        <f t="shared" si="75"/>
        <v>0</v>
      </c>
      <c r="J83" s="66">
        <f t="shared" si="75"/>
        <v>0</v>
      </c>
      <c r="K83" s="66">
        <f t="shared" si="75"/>
        <v>0</v>
      </c>
      <c r="L83" s="66">
        <f t="shared" si="75"/>
        <v>0</v>
      </c>
      <c r="M83" s="66">
        <f t="shared" si="75"/>
        <v>0</v>
      </c>
      <c r="N83" s="66">
        <f t="shared" si="75"/>
        <v>0</v>
      </c>
      <c r="O83" s="66">
        <f t="shared" si="75"/>
        <v>0</v>
      </c>
      <c r="P83" s="66">
        <f t="shared" si="75"/>
        <v>0</v>
      </c>
      <c r="Q83" s="66">
        <f t="shared" si="75"/>
        <v>0</v>
      </c>
      <c r="R83" s="66">
        <f t="shared" si="75"/>
        <v>0</v>
      </c>
      <c r="S83" s="66">
        <f t="shared" si="75"/>
        <v>0</v>
      </c>
      <c r="T83" s="66">
        <f t="shared" si="75"/>
        <v>0</v>
      </c>
      <c r="U83" s="66">
        <f t="shared" si="75"/>
        <v>0</v>
      </c>
      <c r="V83" s="66">
        <f t="shared" si="75"/>
        <v>0</v>
      </c>
      <c r="W83" s="66">
        <f t="shared" si="75"/>
        <v>0</v>
      </c>
      <c r="X83" s="66">
        <f t="shared" si="75"/>
        <v>0</v>
      </c>
      <c r="Y83" s="66">
        <f t="shared" si="75"/>
        <v>0</v>
      </c>
      <c r="Z83" s="66">
        <f t="shared" si="75"/>
        <v>0</v>
      </c>
      <c r="AA83" s="66">
        <f t="shared" si="75"/>
        <v>0</v>
      </c>
      <c r="AB83" s="66">
        <f t="shared" si="75"/>
        <v>0</v>
      </c>
      <c r="AC83" s="66">
        <f t="shared" si="75"/>
        <v>0</v>
      </c>
    </row>
    <row r="84" spans="1:29" ht="15.75" thickBot="1" x14ac:dyDescent="0.3">
      <c r="A84" s="59" t="str">
        <f>A21</f>
        <v>Emission Cost</v>
      </c>
      <c r="B84" s="68">
        <f>B41*B47/B47/(B44)</f>
        <v>3.105564911133563E-3</v>
      </c>
      <c r="C84" s="68">
        <f t="shared" ref="C84:AC84" si="76">C41*C47/C47/(C44)</f>
        <v>3.1111379658149869E-3</v>
      </c>
      <c r="D84" s="68">
        <f t="shared" si="76"/>
        <v>3.1191156694616588E-3</v>
      </c>
      <c r="E84" s="68">
        <f t="shared" si="76"/>
        <v>3.130528335545424E-3</v>
      </c>
      <c r="F84" s="68">
        <f t="shared" si="76"/>
        <v>3.1468395537089262E-3</v>
      </c>
      <c r="G84" s="68">
        <f t="shared" si="76"/>
        <v>3.1701191870286659E-3</v>
      </c>
      <c r="H84" s="68">
        <f t="shared" si="76"/>
        <v>3.2032750959951769E-3</v>
      </c>
      <c r="I84" s="68">
        <f t="shared" si="76"/>
        <v>3.2503517337687839E-3</v>
      </c>
      <c r="J84" s="68">
        <f t="shared" si="76"/>
        <v>3.3168900374857192E-3</v>
      </c>
      <c r="K84" s="68">
        <f t="shared" si="76"/>
        <v>3.4103086154538588E-3</v>
      </c>
      <c r="L84" s="68">
        <f t="shared" si="76"/>
        <v>3.5401943508234922E-3</v>
      </c>
      <c r="M84" s="68">
        <f t="shared" si="76"/>
        <v>3.7182628349802355E-3</v>
      </c>
      <c r="N84" s="68">
        <f t="shared" si="76"/>
        <v>3.9575677966395585E-3</v>
      </c>
      <c r="O84" s="68">
        <f t="shared" si="76"/>
        <v>4.2703856118469392E-3</v>
      </c>
      <c r="P84" s="68">
        <f t="shared" si="76"/>
        <v>4.6643267770273026E-3</v>
      </c>
      <c r="Q84" s="68">
        <f t="shared" si="76"/>
        <v>5.1370448671608218E-3</v>
      </c>
      <c r="R84" s="68">
        <f t="shared" si="76"/>
        <v>5.6715820292595051E-3</v>
      </c>
      <c r="S84" s="68">
        <f t="shared" si="76"/>
        <v>6.2358907181362952E-3</v>
      </c>
      <c r="T84" s="68">
        <f t="shared" si="76"/>
        <v>6.7890948675257863E-3</v>
      </c>
      <c r="U84" s="68">
        <f t="shared" si="76"/>
        <v>7.292687991622789E-3</v>
      </c>
      <c r="V84" s="68">
        <f t="shared" si="76"/>
        <v>7.7206704340653069E-3</v>
      </c>
      <c r="W84" s="68">
        <f t="shared" si="76"/>
        <v>8.0634077231489607E-3</v>
      </c>
      <c r="X84" s="68">
        <f t="shared" si="76"/>
        <v>8.3249314864862114E-3</v>
      </c>
      <c r="Y84" s="68">
        <f t="shared" si="76"/>
        <v>8.5171724267752297E-3</v>
      </c>
      <c r="Z84" s="68">
        <f t="shared" si="76"/>
        <v>8.6546219179967215E-3</v>
      </c>
      <c r="AA84" s="68">
        <f t="shared" si="76"/>
        <v>8.7509537128501579E-3</v>
      </c>
      <c r="AB84" s="68">
        <f t="shared" si="76"/>
        <v>8.8175249041087325E-3</v>
      </c>
      <c r="AC84" s="68">
        <f t="shared" si="76"/>
        <v>8.8630828876566804E-3</v>
      </c>
    </row>
    <row r="85" spans="1:29" ht="15.75" thickBot="1" x14ac:dyDescent="0.3">
      <c r="A85" s="31" t="s">
        <v>210</v>
      </c>
      <c r="B85" s="67">
        <f>B74+B75+B76+B77+B78+B79+B80+B81+B82+B83+B84</f>
        <v>0.17432142531422026</v>
      </c>
      <c r="C85" s="67">
        <f t="shared" ref="C85:AC85" si="77">C74+C75+C76+C77+C78+C79+C80+C81+C82+C83+C84</f>
        <v>0.17433365065782694</v>
      </c>
      <c r="D85" s="67">
        <f t="shared" si="77"/>
        <v>0.17435112454484217</v>
      </c>
      <c r="E85" s="67">
        <f t="shared" si="77"/>
        <v>0.17437606675605405</v>
      </c>
      <c r="F85" s="67">
        <f t="shared" si="77"/>
        <v>0.17441159952932125</v>
      </c>
      <c r="G85" s="67">
        <f t="shared" si="77"/>
        <v>0.17446207640959613</v>
      </c>
      <c r="H85" s="67">
        <f t="shared" si="77"/>
        <v>0.17453349332871268</v>
      </c>
      <c r="I85" s="67">
        <f t="shared" si="77"/>
        <v>0.17463396760271724</v>
      </c>
      <c r="J85" s="67">
        <f t="shared" si="77"/>
        <v>0.17477423553834567</v>
      </c>
      <c r="K85" s="67">
        <f t="shared" si="77"/>
        <v>0.17496806649289301</v>
      </c>
      <c r="L85" s="67">
        <f t="shared" si="77"/>
        <v>0.17523241900905381</v>
      </c>
      <c r="M85" s="67">
        <f t="shared" si="77"/>
        <v>0.17558705100643024</v>
      </c>
      <c r="N85" s="67">
        <f t="shared" si="77"/>
        <v>0.17605307525377722</v>
      </c>
      <c r="O85" s="67">
        <f t="shared" si="77"/>
        <v>0.17664961102915699</v>
      </c>
      <c r="P85" s="67">
        <f t="shared" si="77"/>
        <v>0.17738760816198063</v>
      </c>
      <c r="Q85" s="67">
        <f t="shared" si="77"/>
        <v>0.17826109384283756</v>
      </c>
      <c r="R85" s="67">
        <f t="shared" si="77"/>
        <v>0.17923912556741567</v>
      </c>
      <c r="S85" s="67">
        <f t="shared" si="77"/>
        <v>0.18026475202024161</v>
      </c>
      <c r="T85" s="67">
        <f t="shared" si="77"/>
        <v>0.18126579829957692</v>
      </c>
      <c r="U85" s="67">
        <f t="shared" si="77"/>
        <v>0.18217449647946943</v>
      </c>
      <c r="V85" s="67">
        <f t="shared" si="77"/>
        <v>0.18294535619467855</v>
      </c>
      <c r="W85" s="67">
        <f t="shared" si="77"/>
        <v>0.18356195177344892</v>
      </c>
      <c r="X85" s="67">
        <f t="shared" si="77"/>
        <v>0.18403208234907178</v>
      </c>
      <c r="Y85" s="67">
        <f t="shared" si="77"/>
        <v>0.18437749328360575</v>
      </c>
      <c r="Z85" s="67">
        <f t="shared" si="77"/>
        <v>0.18462437578031804</v>
      </c>
      <c r="AA85" s="67">
        <f t="shared" si="77"/>
        <v>0.1847973662285208</v>
      </c>
      <c r="AB85" s="67">
        <f t="shared" si="77"/>
        <v>0.18491689594158403</v>
      </c>
      <c r="AC85" s="67">
        <f t="shared" si="77"/>
        <v>0.18499868818419896</v>
      </c>
    </row>
    <row r="87" spans="1:29" x14ac:dyDescent="0.25">
      <c r="B87" s="40"/>
    </row>
    <row r="107" spans="1:2" s="3" customFormat="1" ht="21" x14ac:dyDescent="0.35">
      <c r="A107" s="2" t="str">
        <f>'Parameter Input'!A32</f>
        <v>Road long-haul: Liquid bulk</v>
      </c>
    </row>
    <row r="108" spans="1:2" s="3" customFormat="1" ht="21" x14ac:dyDescent="0.35">
      <c r="A108" s="2" t="s">
        <v>11</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Input'!L21</f>
        <v>105000</v>
      </c>
      <c r="C117" s="42">
        <f>'Parameter Input'!M21</f>
        <v>115000</v>
      </c>
      <c r="D117" s="1" t="s">
        <v>15</v>
      </c>
      <c r="L117" s="51">
        <f>'Parameter Input'!O21</f>
        <v>12</v>
      </c>
      <c r="M117" s="52">
        <v>0</v>
      </c>
      <c r="N117" s="52">
        <v>1</v>
      </c>
      <c r="O117" s="52">
        <f>'Parameter Input'!P21</f>
        <v>0.9</v>
      </c>
      <c r="P117" s="53">
        <f>'Parameter Input'!Q21</f>
        <v>0.4</v>
      </c>
      <c r="Q117" s="4">
        <f t="shared" ref="Q117:AR127" si="78">$N117+($M117-$N117)*((1/(1+EXP(-$P117*(Q$9-$L117)))^$O117))</f>
        <v>0.9867978615748374</v>
      </c>
      <c r="R117" s="4">
        <f t="shared" si="78"/>
        <v>0.98114509762858249</v>
      </c>
      <c r="S117" s="4">
        <f t="shared" si="78"/>
        <v>0.97311898315872036</v>
      </c>
      <c r="T117" s="4">
        <f t="shared" si="78"/>
        <v>0.96177484161592774</v>
      </c>
      <c r="U117" s="4">
        <f t="shared" si="78"/>
        <v>0.94584787155511363</v>
      </c>
      <c r="V117" s="4">
        <f t="shared" si="78"/>
        <v>0.92370360150141495</v>
      </c>
      <c r="W117" s="4">
        <f t="shared" si="78"/>
        <v>0.89334463567658451</v>
      </c>
      <c r="X117" s="4">
        <f t="shared" si="78"/>
        <v>0.85254543874327005</v>
      </c>
      <c r="Y117" s="4">
        <f t="shared" si="78"/>
        <v>0.79921300652623883</v>
      </c>
      <c r="Z117" s="4">
        <f t="shared" si="78"/>
        <v>0.73204982249993378</v>
      </c>
      <c r="AA117" s="4">
        <f t="shared" si="78"/>
        <v>0.65145592958786691</v>
      </c>
      <c r="AB117" s="4">
        <f t="shared" si="78"/>
        <v>0.56032247880849573</v>
      </c>
      <c r="AC117" s="4">
        <f t="shared" si="78"/>
        <v>0.46411326873185343</v>
      </c>
      <c r="AD117" s="4">
        <f t="shared" si="78"/>
        <v>0.36979727595523937</v>
      </c>
      <c r="AE117" s="4">
        <f t="shared" si="78"/>
        <v>0.28393948637231203</v>
      </c>
      <c r="AF117" s="4">
        <f t="shared" si="78"/>
        <v>0.21097259161117732</v>
      </c>
      <c r="AG117" s="4">
        <f t="shared" si="78"/>
        <v>0.15253917653798199</v>
      </c>
      <c r="AH117" s="4">
        <f t="shared" si="78"/>
        <v>0.10795188737709993</v>
      </c>
      <c r="AI117" s="4">
        <f t="shared" si="78"/>
        <v>7.5176653938091809E-2</v>
      </c>
      <c r="AJ117" s="4">
        <f t="shared" si="78"/>
        <v>5.1742836177502194E-2</v>
      </c>
      <c r="AK117" s="4">
        <f t="shared" si="78"/>
        <v>3.5319190625345942E-2</v>
      </c>
      <c r="AL117" s="4">
        <f t="shared" si="78"/>
        <v>2.3969442072658165E-2</v>
      </c>
      <c r="AM117" s="4">
        <f t="shared" si="78"/>
        <v>1.6202243558389728E-2</v>
      </c>
      <c r="AN117" s="4">
        <f t="shared" si="78"/>
        <v>1.0922240564108399E-2</v>
      </c>
      <c r="AO117" s="4">
        <f t="shared" si="78"/>
        <v>7.3493212906090566E-3</v>
      </c>
      <c r="AP117" s="4">
        <f t="shared" si="78"/>
        <v>4.9390262185057265E-3</v>
      </c>
      <c r="AQ117" s="4">
        <f t="shared" si="78"/>
        <v>3.3164275492956197E-3</v>
      </c>
      <c r="AR117" s="4">
        <f t="shared" si="78"/>
        <v>2.2256362146679809E-3</v>
      </c>
    </row>
    <row r="118" spans="1:44" x14ac:dyDescent="0.25">
      <c r="A118" s="24" t="s">
        <v>28</v>
      </c>
      <c r="B118" s="60">
        <f>'Parameter Input'!L22</f>
        <v>-26250</v>
      </c>
      <c r="C118" s="61">
        <f>'Parameter Input'!M22</f>
        <v>-17250</v>
      </c>
      <c r="D118" s="1" t="s">
        <v>15</v>
      </c>
      <c r="L118" s="54">
        <f>'Parameter Input'!O22</f>
        <v>12</v>
      </c>
      <c r="M118" s="37">
        <v>0</v>
      </c>
      <c r="N118" s="37">
        <v>1</v>
      </c>
      <c r="O118" s="37">
        <f>'Parameter Input'!P22</f>
        <v>0.9</v>
      </c>
      <c r="P118" s="55">
        <f>'Parameter Input'!Q22</f>
        <v>0.4</v>
      </c>
      <c r="Q118" s="4">
        <f t="shared" si="78"/>
        <v>0.9867978615748374</v>
      </c>
      <c r="R118" s="4">
        <f t="shared" si="78"/>
        <v>0.98114509762858249</v>
      </c>
      <c r="S118" s="4">
        <f t="shared" si="78"/>
        <v>0.97311898315872036</v>
      </c>
      <c r="T118" s="4">
        <f t="shared" si="78"/>
        <v>0.96177484161592774</v>
      </c>
      <c r="U118" s="4">
        <f t="shared" si="78"/>
        <v>0.94584787155511363</v>
      </c>
      <c r="V118" s="4">
        <f t="shared" si="78"/>
        <v>0.92370360150141495</v>
      </c>
      <c r="W118" s="4">
        <f t="shared" si="78"/>
        <v>0.89334463567658451</v>
      </c>
      <c r="X118" s="4">
        <f t="shared" si="78"/>
        <v>0.85254543874327005</v>
      </c>
      <c r="Y118" s="4">
        <f t="shared" si="78"/>
        <v>0.79921300652623883</v>
      </c>
      <c r="Z118" s="4">
        <f t="shared" si="78"/>
        <v>0.73204982249993378</v>
      </c>
      <c r="AA118" s="4">
        <f t="shared" si="78"/>
        <v>0.65145592958786691</v>
      </c>
      <c r="AB118" s="4">
        <f t="shared" si="78"/>
        <v>0.56032247880849573</v>
      </c>
      <c r="AC118" s="4">
        <f t="shared" si="78"/>
        <v>0.46411326873185343</v>
      </c>
      <c r="AD118" s="4">
        <f t="shared" si="78"/>
        <v>0.36979727595523937</v>
      </c>
      <c r="AE118" s="4">
        <f t="shared" si="78"/>
        <v>0.28393948637231203</v>
      </c>
      <c r="AF118" s="4">
        <f t="shared" si="78"/>
        <v>0.21097259161117732</v>
      </c>
      <c r="AG118" s="4">
        <f t="shared" si="78"/>
        <v>0.15253917653798199</v>
      </c>
      <c r="AH118" s="4">
        <f t="shared" si="78"/>
        <v>0.10795188737709993</v>
      </c>
      <c r="AI118" s="4">
        <f t="shared" si="78"/>
        <v>7.5176653938091809E-2</v>
      </c>
      <c r="AJ118" s="4">
        <f t="shared" si="78"/>
        <v>5.1742836177502194E-2</v>
      </c>
      <c r="AK118" s="4">
        <f t="shared" si="78"/>
        <v>3.5319190625345942E-2</v>
      </c>
      <c r="AL118" s="4">
        <f t="shared" si="78"/>
        <v>2.3969442072658165E-2</v>
      </c>
      <c r="AM118" s="4">
        <f t="shared" si="78"/>
        <v>1.6202243558389728E-2</v>
      </c>
      <c r="AN118" s="4">
        <f t="shared" si="78"/>
        <v>1.0922240564108399E-2</v>
      </c>
      <c r="AO118" s="4">
        <f t="shared" si="78"/>
        <v>7.3493212906090566E-3</v>
      </c>
      <c r="AP118" s="4">
        <f t="shared" si="78"/>
        <v>4.9390262185057265E-3</v>
      </c>
      <c r="AQ118" s="4">
        <f t="shared" si="78"/>
        <v>3.3164275492956197E-3</v>
      </c>
      <c r="AR118" s="4">
        <f t="shared" si="78"/>
        <v>2.2256362146679809E-3</v>
      </c>
    </row>
    <row r="119" spans="1:44" x14ac:dyDescent="0.25">
      <c r="A119" s="24" t="s">
        <v>14</v>
      </c>
      <c r="B119" s="60">
        <f>'Parameter Input'!B33</f>
        <v>60000</v>
      </c>
      <c r="C119" s="61">
        <f>'Parameter Input'!C33</f>
        <v>60000</v>
      </c>
      <c r="D119" s="1" t="s">
        <v>15</v>
      </c>
      <c r="L119" s="54">
        <f>'Parameter Input'!E33</f>
        <v>12</v>
      </c>
      <c r="M119" s="37">
        <v>0</v>
      </c>
      <c r="N119" s="37">
        <v>1</v>
      </c>
      <c r="O119" s="37">
        <f>'Parameter Input'!F33</f>
        <v>0.9</v>
      </c>
      <c r="P119" s="55">
        <f>'Parameter Input'!G33</f>
        <v>0.4</v>
      </c>
      <c r="Q119" s="4">
        <f t="shared" si="78"/>
        <v>0.9867978615748374</v>
      </c>
      <c r="R119" s="4">
        <f t="shared" si="78"/>
        <v>0.98114509762858249</v>
      </c>
      <c r="S119" s="4">
        <f t="shared" si="78"/>
        <v>0.97311898315872036</v>
      </c>
      <c r="T119" s="4">
        <f t="shared" si="78"/>
        <v>0.96177484161592774</v>
      </c>
      <c r="U119" s="4">
        <f t="shared" si="78"/>
        <v>0.94584787155511363</v>
      </c>
      <c r="V119" s="4">
        <f t="shared" si="78"/>
        <v>0.92370360150141495</v>
      </c>
      <c r="W119" s="4">
        <f t="shared" si="78"/>
        <v>0.89334463567658451</v>
      </c>
      <c r="X119" s="4">
        <f t="shared" si="78"/>
        <v>0.85254543874327005</v>
      </c>
      <c r="Y119" s="4">
        <f t="shared" si="78"/>
        <v>0.79921300652623883</v>
      </c>
      <c r="Z119" s="4">
        <f t="shared" si="78"/>
        <v>0.73204982249993378</v>
      </c>
      <c r="AA119" s="4">
        <f t="shared" si="78"/>
        <v>0.65145592958786691</v>
      </c>
      <c r="AB119" s="4">
        <f t="shared" si="78"/>
        <v>0.56032247880849573</v>
      </c>
      <c r="AC119" s="4">
        <f t="shared" si="78"/>
        <v>0.46411326873185343</v>
      </c>
      <c r="AD119" s="4">
        <f t="shared" si="78"/>
        <v>0.36979727595523937</v>
      </c>
      <c r="AE119" s="4">
        <f t="shared" si="78"/>
        <v>0.28393948637231203</v>
      </c>
      <c r="AF119" s="4">
        <f t="shared" si="78"/>
        <v>0.21097259161117732</v>
      </c>
      <c r="AG119" s="4">
        <f t="shared" si="78"/>
        <v>0.15253917653798199</v>
      </c>
      <c r="AH119" s="4">
        <f t="shared" si="78"/>
        <v>0.10795188737709993</v>
      </c>
      <c r="AI119" s="4">
        <f t="shared" si="78"/>
        <v>7.5176653938091809E-2</v>
      </c>
      <c r="AJ119" s="4">
        <f t="shared" si="78"/>
        <v>5.1742836177502194E-2</v>
      </c>
      <c r="AK119" s="4">
        <f t="shared" si="78"/>
        <v>3.5319190625345942E-2</v>
      </c>
      <c r="AL119" s="4">
        <f t="shared" si="78"/>
        <v>2.3969442072658165E-2</v>
      </c>
      <c r="AM119" s="4">
        <f t="shared" si="78"/>
        <v>1.6202243558389728E-2</v>
      </c>
      <c r="AN119" s="4">
        <f t="shared" si="78"/>
        <v>1.0922240564108399E-2</v>
      </c>
      <c r="AO119" s="4">
        <f t="shared" si="78"/>
        <v>7.3493212906090566E-3</v>
      </c>
      <c r="AP119" s="4">
        <f t="shared" si="78"/>
        <v>4.9390262185057265E-3</v>
      </c>
      <c r="AQ119" s="4">
        <f t="shared" si="78"/>
        <v>3.3164275492956197E-3</v>
      </c>
      <c r="AR119" s="4">
        <f t="shared" si="78"/>
        <v>2.2256362146679809E-3</v>
      </c>
    </row>
    <row r="120" spans="1:44" x14ac:dyDescent="0.25">
      <c r="A120" s="24" t="s">
        <v>25</v>
      </c>
      <c r="B120" s="60">
        <f>'Parameter Input'!B34</f>
        <v>-15000</v>
      </c>
      <c r="C120" s="61">
        <f>'Parameter Input'!C34</f>
        <v>-15000</v>
      </c>
      <c r="D120" s="1" t="s">
        <v>15</v>
      </c>
      <c r="L120" s="54">
        <f>'Parameter Input'!E34</f>
        <v>12</v>
      </c>
      <c r="M120" s="37">
        <v>0</v>
      </c>
      <c r="N120" s="37">
        <v>1</v>
      </c>
      <c r="O120" s="37">
        <f>'Parameter Input'!F34</f>
        <v>0.9</v>
      </c>
      <c r="P120" s="55">
        <f>'Parameter Input'!G34</f>
        <v>0.4</v>
      </c>
      <c r="Q120" s="4">
        <f t="shared" si="78"/>
        <v>0.9867978615748374</v>
      </c>
      <c r="R120" s="4">
        <f t="shared" si="78"/>
        <v>0.98114509762858249</v>
      </c>
      <c r="S120" s="4">
        <f t="shared" si="78"/>
        <v>0.97311898315872036</v>
      </c>
      <c r="T120" s="4">
        <f t="shared" si="78"/>
        <v>0.96177484161592774</v>
      </c>
      <c r="U120" s="4">
        <f t="shared" si="78"/>
        <v>0.94584787155511363</v>
      </c>
      <c r="V120" s="4">
        <f t="shared" si="78"/>
        <v>0.92370360150141495</v>
      </c>
      <c r="W120" s="4">
        <f t="shared" si="78"/>
        <v>0.89334463567658451</v>
      </c>
      <c r="X120" s="4">
        <f t="shared" si="78"/>
        <v>0.85254543874327005</v>
      </c>
      <c r="Y120" s="4">
        <f t="shared" si="78"/>
        <v>0.79921300652623883</v>
      </c>
      <c r="Z120" s="4">
        <f t="shared" si="78"/>
        <v>0.73204982249993378</v>
      </c>
      <c r="AA120" s="4">
        <f t="shared" si="78"/>
        <v>0.65145592958786691</v>
      </c>
      <c r="AB120" s="4">
        <f t="shared" si="78"/>
        <v>0.56032247880849573</v>
      </c>
      <c r="AC120" s="4">
        <f t="shared" si="78"/>
        <v>0.46411326873185343</v>
      </c>
      <c r="AD120" s="4">
        <f t="shared" si="78"/>
        <v>0.36979727595523937</v>
      </c>
      <c r="AE120" s="4">
        <f t="shared" si="78"/>
        <v>0.28393948637231203</v>
      </c>
      <c r="AF120" s="4">
        <f t="shared" si="78"/>
        <v>0.21097259161117732</v>
      </c>
      <c r="AG120" s="4">
        <f t="shared" si="78"/>
        <v>0.15253917653798199</v>
      </c>
      <c r="AH120" s="4">
        <f t="shared" si="78"/>
        <v>0.10795188737709993</v>
      </c>
      <c r="AI120" s="4">
        <f t="shared" si="78"/>
        <v>7.5176653938091809E-2</v>
      </c>
      <c r="AJ120" s="4">
        <f t="shared" si="78"/>
        <v>5.1742836177502194E-2</v>
      </c>
      <c r="AK120" s="4">
        <f t="shared" si="78"/>
        <v>3.5319190625345942E-2</v>
      </c>
      <c r="AL120" s="4">
        <f t="shared" si="78"/>
        <v>2.3969442072658165E-2</v>
      </c>
      <c r="AM120" s="4">
        <f t="shared" si="78"/>
        <v>1.6202243558389728E-2</v>
      </c>
      <c r="AN120" s="4">
        <f t="shared" si="78"/>
        <v>1.0922240564108399E-2</v>
      </c>
      <c r="AO120" s="4">
        <f t="shared" si="78"/>
        <v>7.3493212906090566E-3</v>
      </c>
      <c r="AP120" s="4">
        <f t="shared" si="78"/>
        <v>4.9390262185057265E-3</v>
      </c>
      <c r="AQ120" s="4">
        <f t="shared" si="78"/>
        <v>3.3164275492956197E-3</v>
      </c>
      <c r="AR120" s="4">
        <f t="shared" si="78"/>
        <v>2.2256362146679809E-3</v>
      </c>
    </row>
    <row r="121" spans="1:44" x14ac:dyDescent="0.25">
      <c r="A121" s="24" t="s">
        <v>79</v>
      </c>
      <c r="B121" s="60">
        <f>'Parameter Input'!L28</f>
        <v>0.06</v>
      </c>
      <c r="C121" s="61">
        <f>'Parameter Input'!M28</f>
        <v>0.06</v>
      </c>
      <c r="D121" s="1" t="s">
        <v>57</v>
      </c>
      <c r="L121" s="54">
        <f>'Parameter Input'!O28</f>
        <v>12</v>
      </c>
      <c r="M121" s="37">
        <v>0</v>
      </c>
      <c r="N121" s="37">
        <v>1</v>
      </c>
      <c r="O121" s="37">
        <f>'Parameter Input'!P28</f>
        <v>0.9</v>
      </c>
      <c r="P121" s="55">
        <f>'Parameter Input'!Q28</f>
        <v>0.4</v>
      </c>
      <c r="Q121" s="4">
        <f t="shared" si="78"/>
        <v>0.9867978615748374</v>
      </c>
      <c r="R121" s="4">
        <f t="shared" si="78"/>
        <v>0.98114509762858249</v>
      </c>
      <c r="S121" s="4">
        <f t="shared" si="78"/>
        <v>0.97311898315872036</v>
      </c>
      <c r="T121" s="4">
        <f t="shared" si="78"/>
        <v>0.96177484161592774</v>
      </c>
      <c r="U121" s="4">
        <f t="shared" si="78"/>
        <v>0.94584787155511363</v>
      </c>
      <c r="V121" s="4">
        <f t="shared" si="78"/>
        <v>0.92370360150141495</v>
      </c>
      <c r="W121" s="4">
        <f t="shared" si="78"/>
        <v>0.89334463567658451</v>
      </c>
      <c r="X121" s="4">
        <f t="shared" si="78"/>
        <v>0.85254543874327005</v>
      </c>
      <c r="Y121" s="4">
        <f t="shared" si="78"/>
        <v>0.79921300652623883</v>
      </c>
      <c r="Z121" s="4">
        <f t="shared" si="78"/>
        <v>0.73204982249993378</v>
      </c>
      <c r="AA121" s="4">
        <f t="shared" si="78"/>
        <v>0.65145592958786691</v>
      </c>
      <c r="AB121" s="4">
        <f t="shared" si="78"/>
        <v>0.56032247880849573</v>
      </c>
      <c r="AC121" s="4">
        <f t="shared" si="78"/>
        <v>0.46411326873185343</v>
      </c>
      <c r="AD121" s="4">
        <f t="shared" si="78"/>
        <v>0.36979727595523937</v>
      </c>
      <c r="AE121" s="4">
        <f t="shared" si="78"/>
        <v>0.28393948637231203</v>
      </c>
      <c r="AF121" s="4">
        <f t="shared" si="78"/>
        <v>0.21097259161117732</v>
      </c>
      <c r="AG121" s="4">
        <f t="shared" si="78"/>
        <v>0.15253917653798199</v>
      </c>
      <c r="AH121" s="4">
        <f t="shared" si="78"/>
        <v>0.10795188737709993</v>
      </c>
      <c r="AI121" s="4">
        <f t="shared" si="78"/>
        <v>7.5176653938091809E-2</v>
      </c>
      <c r="AJ121" s="4">
        <f t="shared" si="78"/>
        <v>5.1742836177502194E-2</v>
      </c>
      <c r="AK121" s="4">
        <f t="shared" si="78"/>
        <v>3.5319190625345942E-2</v>
      </c>
      <c r="AL121" s="4">
        <f t="shared" si="78"/>
        <v>2.3969442072658165E-2</v>
      </c>
      <c r="AM121" s="4">
        <f t="shared" si="78"/>
        <v>1.6202243558389728E-2</v>
      </c>
      <c r="AN121" s="4">
        <f t="shared" si="78"/>
        <v>1.0922240564108399E-2</v>
      </c>
      <c r="AO121" s="4">
        <f t="shared" si="78"/>
        <v>7.3493212906090566E-3</v>
      </c>
      <c r="AP121" s="4">
        <f t="shared" si="78"/>
        <v>4.9390262185057265E-3</v>
      </c>
      <c r="AQ121" s="4">
        <f t="shared" si="78"/>
        <v>3.3164275492956197E-3</v>
      </c>
      <c r="AR121" s="4">
        <f t="shared" si="78"/>
        <v>2.2256362146679809E-3</v>
      </c>
    </row>
    <row r="122" spans="1:44" x14ac:dyDescent="0.25">
      <c r="A122" s="24" t="s">
        <v>37</v>
      </c>
      <c r="B122" s="60">
        <f>'Parameter Input'!B35</f>
        <v>70000</v>
      </c>
      <c r="C122" s="61">
        <f>'Parameter Input'!C35</f>
        <v>70000</v>
      </c>
      <c r="D122" s="1" t="s">
        <v>38</v>
      </c>
      <c r="L122" s="54">
        <f>'Parameter Input'!E35</f>
        <v>12</v>
      </c>
      <c r="M122" s="37">
        <v>0</v>
      </c>
      <c r="N122" s="37">
        <v>1</v>
      </c>
      <c r="O122" s="37">
        <f>'Parameter Input'!F35</f>
        <v>0.9</v>
      </c>
      <c r="P122" s="55">
        <f>'Parameter Input'!G35</f>
        <v>0.4</v>
      </c>
      <c r="Q122" s="4">
        <f t="shared" si="78"/>
        <v>0.9867978615748374</v>
      </c>
      <c r="R122" s="4">
        <f t="shared" si="78"/>
        <v>0.98114509762858249</v>
      </c>
      <c r="S122" s="4">
        <f t="shared" si="78"/>
        <v>0.97311898315872036</v>
      </c>
      <c r="T122" s="4">
        <f t="shared" si="78"/>
        <v>0.96177484161592774</v>
      </c>
      <c r="U122" s="4">
        <f t="shared" si="78"/>
        <v>0.94584787155511363</v>
      </c>
      <c r="V122" s="4">
        <f t="shared" si="78"/>
        <v>0.92370360150141495</v>
      </c>
      <c r="W122" s="4">
        <f t="shared" si="78"/>
        <v>0.89334463567658451</v>
      </c>
      <c r="X122" s="4">
        <f t="shared" si="78"/>
        <v>0.85254543874327005</v>
      </c>
      <c r="Y122" s="4">
        <f t="shared" si="78"/>
        <v>0.79921300652623883</v>
      </c>
      <c r="Z122" s="4">
        <f t="shared" si="78"/>
        <v>0.73204982249993378</v>
      </c>
      <c r="AA122" s="4">
        <f t="shared" si="78"/>
        <v>0.65145592958786691</v>
      </c>
      <c r="AB122" s="4">
        <f t="shared" si="78"/>
        <v>0.56032247880849573</v>
      </c>
      <c r="AC122" s="4">
        <f t="shared" si="78"/>
        <v>0.46411326873185343</v>
      </c>
      <c r="AD122" s="4">
        <f t="shared" si="78"/>
        <v>0.36979727595523937</v>
      </c>
      <c r="AE122" s="4">
        <f t="shared" si="78"/>
        <v>0.28393948637231203</v>
      </c>
      <c r="AF122" s="4">
        <f t="shared" si="78"/>
        <v>0.21097259161117732</v>
      </c>
      <c r="AG122" s="4">
        <f t="shared" si="78"/>
        <v>0.15253917653798199</v>
      </c>
      <c r="AH122" s="4">
        <f t="shared" si="78"/>
        <v>0.10795188737709993</v>
      </c>
      <c r="AI122" s="4">
        <f t="shared" si="78"/>
        <v>7.5176653938091809E-2</v>
      </c>
      <c r="AJ122" s="4">
        <f t="shared" si="78"/>
        <v>5.1742836177502194E-2</v>
      </c>
      <c r="AK122" s="4">
        <f t="shared" si="78"/>
        <v>3.5319190625345942E-2</v>
      </c>
      <c r="AL122" s="4">
        <f t="shared" si="78"/>
        <v>2.3969442072658165E-2</v>
      </c>
      <c r="AM122" s="4">
        <f t="shared" si="78"/>
        <v>1.6202243558389728E-2</v>
      </c>
      <c r="AN122" s="4">
        <f t="shared" si="78"/>
        <v>1.0922240564108399E-2</v>
      </c>
      <c r="AO122" s="4">
        <f t="shared" si="78"/>
        <v>7.3493212906090566E-3</v>
      </c>
      <c r="AP122" s="4">
        <f t="shared" si="78"/>
        <v>4.9390262185057265E-3</v>
      </c>
      <c r="AQ122" s="4">
        <f t="shared" si="78"/>
        <v>3.3164275492956197E-3</v>
      </c>
      <c r="AR122" s="4">
        <f t="shared" si="78"/>
        <v>2.2256362146679809E-3</v>
      </c>
    </row>
    <row r="123" spans="1:44" x14ac:dyDescent="0.25">
      <c r="A123" s="24" t="s">
        <v>52</v>
      </c>
      <c r="B123" s="60">
        <f>'Parameter Input'!L24</f>
        <v>20000</v>
      </c>
      <c r="C123" s="61">
        <f>'Parameter Input'!M24</f>
        <v>20000</v>
      </c>
      <c r="D123" s="1" t="s">
        <v>38</v>
      </c>
      <c r="L123" s="54">
        <f>'Parameter Input'!O24</f>
        <v>12</v>
      </c>
      <c r="M123" s="37">
        <v>0</v>
      </c>
      <c r="N123" s="37">
        <v>1</v>
      </c>
      <c r="O123" s="37">
        <f>'Parameter Input'!P24</f>
        <v>0.9</v>
      </c>
      <c r="P123" s="55">
        <f>'Parameter Input'!Q24</f>
        <v>0.4</v>
      </c>
      <c r="Q123" s="4">
        <f t="shared" si="78"/>
        <v>0.9867978615748374</v>
      </c>
      <c r="R123" s="4">
        <f t="shared" si="78"/>
        <v>0.98114509762858249</v>
      </c>
      <c r="S123" s="4">
        <f t="shared" si="78"/>
        <v>0.97311898315872036</v>
      </c>
      <c r="T123" s="4">
        <f t="shared" si="78"/>
        <v>0.96177484161592774</v>
      </c>
      <c r="U123" s="4">
        <f t="shared" si="78"/>
        <v>0.94584787155511363</v>
      </c>
      <c r="V123" s="4">
        <f t="shared" si="78"/>
        <v>0.92370360150141495</v>
      </c>
      <c r="W123" s="4">
        <f t="shared" si="78"/>
        <v>0.89334463567658451</v>
      </c>
      <c r="X123" s="4">
        <f t="shared" si="78"/>
        <v>0.85254543874327005</v>
      </c>
      <c r="Y123" s="4">
        <f t="shared" si="78"/>
        <v>0.79921300652623883</v>
      </c>
      <c r="Z123" s="4">
        <f t="shared" si="78"/>
        <v>0.73204982249993378</v>
      </c>
      <c r="AA123" s="4">
        <f t="shared" si="78"/>
        <v>0.65145592958786691</v>
      </c>
      <c r="AB123" s="4">
        <f t="shared" si="78"/>
        <v>0.56032247880849573</v>
      </c>
      <c r="AC123" s="4">
        <f t="shared" si="78"/>
        <v>0.46411326873185343</v>
      </c>
      <c r="AD123" s="4">
        <f t="shared" si="78"/>
        <v>0.36979727595523937</v>
      </c>
      <c r="AE123" s="4">
        <f t="shared" si="78"/>
        <v>0.28393948637231203</v>
      </c>
      <c r="AF123" s="4">
        <f t="shared" si="78"/>
        <v>0.21097259161117732</v>
      </c>
      <c r="AG123" s="4">
        <f t="shared" si="78"/>
        <v>0.15253917653798199</v>
      </c>
      <c r="AH123" s="4">
        <f t="shared" si="78"/>
        <v>0.10795188737709993</v>
      </c>
      <c r="AI123" s="4">
        <f t="shared" si="78"/>
        <v>7.5176653938091809E-2</v>
      </c>
      <c r="AJ123" s="4">
        <f t="shared" si="78"/>
        <v>5.1742836177502194E-2</v>
      </c>
      <c r="AK123" s="4">
        <f t="shared" si="78"/>
        <v>3.5319190625345942E-2</v>
      </c>
      <c r="AL123" s="4">
        <f t="shared" si="78"/>
        <v>2.3969442072658165E-2</v>
      </c>
      <c r="AM123" s="4">
        <f t="shared" si="78"/>
        <v>1.6202243558389728E-2</v>
      </c>
      <c r="AN123" s="4">
        <f t="shared" si="78"/>
        <v>1.0922240564108399E-2</v>
      </c>
      <c r="AO123" s="4">
        <f t="shared" si="78"/>
        <v>7.3493212906090566E-3</v>
      </c>
      <c r="AP123" s="4">
        <f t="shared" si="78"/>
        <v>4.9390262185057265E-3</v>
      </c>
      <c r="AQ123" s="4">
        <f t="shared" si="78"/>
        <v>3.3164275492956197E-3</v>
      </c>
      <c r="AR123" s="4">
        <f t="shared" si="78"/>
        <v>2.2256362146679809E-3</v>
      </c>
    </row>
    <row r="124" spans="1:44" x14ac:dyDescent="0.25">
      <c r="A124" s="24" t="s">
        <v>272</v>
      </c>
      <c r="B124" s="60">
        <f>'Parameter Input'!B40</f>
        <v>0.11</v>
      </c>
      <c r="C124" s="61">
        <f>'Parameter Input'!C40</f>
        <v>0.11</v>
      </c>
      <c r="D124" s="1" t="s">
        <v>76</v>
      </c>
      <c r="L124" s="54">
        <f>'Parameter Input'!E40</f>
        <v>12</v>
      </c>
      <c r="M124" s="37">
        <v>0</v>
      </c>
      <c r="N124" s="37">
        <v>1</v>
      </c>
      <c r="O124" s="37">
        <f>'Parameter Input'!F40</f>
        <v>0.9</v>
      </c>
      <c r="P124" s="55">
        <f>'Parameter Input'!G40</f>
        <v>0.4</v>
      </c>
      <c r="Q124" s="4">
        <f t="shared" si="78"/>
        <v>0.9867978615748374</v>
      </c>
      <c r="R124" s="4">
        <f t="shared" si="78"/>
        <v>0.98114509762858249</v>
      </c>
      <c r="S124" s="4">
        <f t="shared" si="78"/>
        <v>0.97311898315872036</v>
      </c>
      <c r="T124" s="4">
        <f t="shared" si="78"/>
        <v>0.96177484161592774</v>
      </c>
      <c r="U124" s="4">
        <f t="shared" si="78"/>
        <v>0.94584787155511363</v>
      </c>
      <c r="V124" s="4">
        <f t="shared" si="78"/>
        <v>0.92370360150141495</v>
      </c>
      <c r="W124" s="4">
        <f t="shared" si="78"/>
        <v>0.89334463567658451</v>
      </c>
      <c r="X124" s="4">
        <f t="shared" si="78"/>
        <v>0.85254543874327005</v>
      </c>
      <c r="Y124" s="4">
        <f t="shared" si="78"/>
        <v>0.79921300652623883</v>
      </c>
      <c r="Z124" s="4">
        <f t="shared" si="78"/>
        <v>0.73204982249993378</v>
      </c>
      <c r="AA124" s="4">
        <f t="shared" si="78"/>
        <v>0.65145592958786691</v>
      </c>
      <c r="AB124" s="4">
        <f t="shared" si="78"/>
        <v>0.56032247880849573</v>
      </c>
      <c r="AC124" s="4">
        <f t="shared" si="78"/>
        <v>0.46411326873185343</v>
      </c>
      <c r="AD124" s="4">
        <f t="shared" si="78"/>
        <v>0.36979727595523937</v>
      </c>
      <c r="AE124" s="4">
        <f t="shared" si="78"/>
        <v>0.28393948637231203</v>
      </c>
      <c r="AF124" s="4">
        <f t="shared" si="78"/>
        <v>0.21097259161117732</v>
      </c>
      <c r="AG124" s="4">
        <f t="shared" si="78"/>
        <v>0.15253917653798199</v>
      </c>
      <c r="AH124" s="4">
        <f t="shared" si="78"/>
        <v>0.10795188737709993</v>
      </c>
      <c r="AI124" s="4">
        <f t="shared" si="78"/>
        <v>7.5176653938091809E-2</v>
      </c>
      <c r="AJ124" s="4">
        <f t="shared" si="78"/>
        <v>5.1742836177502194E-2</v>
      </c>
      <c r="AK124" s="4">
        <f t="shared" si="78"/>
        <v>3.5319190625345942E-2</v>
      </c>
      <c r="AL124" s="4">
        <f t="shared" si="78"/>
        <v>2.3969442072658165E-2</v>
      </c>
      <c r="AM124" s="4">
        <f t="shared" si="78"/>
        <v>1.6202243558389728E-2</v>
      </c>
      <c r="AN124" s="4">
        <f t="shared" si="78"/>
        <v>1.0922240564108399E-2</v>
      </c>
      <c r="AO124" s="4">
        <f t="shared" si="78"/>
        <v>7.3493212906090566E-3</v>
      </c>
      <c r="AP124" s="4">
        <f t="shared" si="78"/>
        <v>4.9390262185057265E-3</v>
      </c>
      <c r="AQ124" s="4">
        <f t="shared" si="78"/>
        <v>3.3164275492956197E-3</v>
      </c>
      <c r="AR124" s="4">
        <f t="shared" si="78"/>
        <v>2.2256362146679809E-3</v>
      </c>
    </row>
    <row r="125" spans="1:44" x14ac:dyDescent="0.25">
      <c r="A125" s="24" t="s">
        <v>59</v>
      </c>
      <c r="B125" s="78">
        <f>'Parameter Input'!L25</f>
        <v>2.9</v>
      </c>
      <c r="C125" s="61">
        <f>'Parameter Input'!M25</f>
        <v>2.4</v>
      </c>
      <c r="D125" s="1" t="s">
        <v>60</v>
      </c>
      <c r="L125" s="54">
        <f>'Parameter Input'!O25</f>
        <v>12</v>
      </c>
      <c r="M125" s="37">
        <v>0</v>
      </c>
      <c r="N125" s="37">
        <v>1</v>
      </c>
      <c r="O125" s="37">
        <f>'Parameter Input'!P25</f>
        <v>0.9</v>
      </c>
      <c r="P125" s="55">
        <f>'Parameter Input'!Q25</f>
        <v>0.4</v>
      </c>
      <c r="Q125" s="4">
        <f t="shared" si="78"/>
        <v>0.9867978615748374</v>
      </c>
      <c r="R125" s="4">
        <f t="shared" si="78"/>
        <v>0.98114509762858249</v>
      </c>
      <c r="S125" s="4">
        <f t="shared" si="78"/>
        <v>0.97311898315872036</v>
      </c>
      <c r="T125" s="4">
        <f t="shared" si="78"/>
        <v>0.96177484161592774</v>
      </c>
      <c r="U125" s="4">
        <f t="shared" si="78"/>
        <v>0.94584787155511363</v>
      </c>
      <c r="V125" s="4">
        <f t="shared" si="78"/>
        <v>0.92370360150141495</v>
      </c>
      <c r="W125" s="4">
        <f t="shared" si="78"/>
        <v>0.89334463567658451</v>
      </c>
      <c r="X125" s="4">
        <f t="shared" si="78"/>
        <v>0.85254543874327005</v>
      </c>
      <c r="Y125" s="4">
        <f t="shared" si="78"/>
        <v>0.79921300652623883</v>
      </c>
      <c r="Z125" s="4">
        <f t="shared" si="78"/>
        <v>0.73204982249993378</v>
      </c>
      <c r="AA125" s="4">
        <f t="shared" si="78"/>
        <v>0.65145592958786691</v>
      </c>
      <c r="AB125" s="4">
        <f t="shared" si="78"/>
        <v>0.56032247880849573</v>
      </c>
      <c r="AC125" s="4">
        <f t="shared" si="78"/>
        <v>0.46411326873185343</v>
      </c>
      <c r="AD125" s="4">
        <f t="shared" si="78"/>
        <v>0.36979727595523937</v>
      </c>
      <c r="AE125" s="4">
        <f t="shared" si="78"/>
        <v>0.28393948637231203</v>
      </c>
      <c r="AF125" s="4">
        <f t="shared" si="78"/>
        <v>0.21097259161117732</v>
      </c>
      <c r="AG125" s="4">
        <f t="shared" si="78"/>
        <v>0.15253917653798199</v>
      </c>
      <c r="AH125" s="4">
        <f t="shared" si="78"/>
        <v>0.10795188737709993</v>
      </c>
      <c r="AI125" s="4">
        <f t="shared" si="78"/>
        <v>7.5176653938091809E-2</v>
      </c>
      <c r="AJ125" s="4">
        <f t="shared" si="78"/>
        <v>5.1742836177502194E-2</v>
      </c>
      <c r="AK125" s="4">
        <f t="shared" si="78"/>
        <v>3.5319190625345942E-2</v>
      </c>
      <c r="AL125" s="4">
        <f t="shared" si="78"/>
        <v>2.3969442072658165E-2</v>
      </c>
      <c r="AM125" s="4">
        <f t="shared" si="78"/>
        <v>1.6202243558389728E-2</v>
      </c>
      <c r="AN125" s="4">
        <f t="shared" si="78"/>
        <v>1.0922240564108399E-2</v>
      </c>
      <c r="AO125" s="4">
        <f t="shared" si="78"/>
        <v>7.3493212906090566E-3</v>
      </c>
      <c r="AP125" s="4">
        <f t="shared" si="78"/>
        <v>4.9390262185057265E-3</v>
      </c>
      <c r="AQ125" s="4">
        <f t="shared" si="78"/>
        <v>3.3164275492956197E-3</v>
      </c>
      <c r="AR125" s="4">
        <f t="shared" si="78"/>
        <v>2.2256362146679809E-3</v>
      </c>
    </row>
    <row r="126" spans="1:44" x14ac:dyDescent="0.25">
      <c r="A126" s="24" t="s">
        <v>67</v>
      </c>
      <c r="B126" s="79">
        <f>'Parameter Input'!L26</f>
        <v>0.1</v>
      </c>
      <c r="C126" s="61">
        <f>'Parameter Input'!M26</f>
        <v>0.1</v>
      </c>
      <c r="D126" s="1" t="s">
        <v>68</v>
      </c>
      <c r="L126" s="54">
        <f>'Parameter Input'!O26</f>
        <v>12</v>
      </c>
      <c r="M126" s="37">
        <v>0</v>
      </c>
      <c r="N126" s="37">
        <v>1</v>
      </c>
      <c r="O126" s="37">
        <f>'Parameter Input'!P26</f>
        <v>0.9</v>
      </c>
      <c r="P126" s="55">
        <f>'Parameter Input'!Q26</f>
        <v>0.4</v>
      </c>
      <c r="Q126" s="4">
        <f t="shared" si="78"/>
        <v>0.9867978615748374</v>
      </c>
      <c r="R126" s="4">
        <f t="shared" ref="R126:AR127" si="79">$N126+($M126-$N126)*((1/(1+EXP(-$P126*(R$9-$L126)))^$O126))</f>
        <v>0.98114509762858249</v>
      </c>
      <c r="S126" s="4">
        <f t="shared" si="79"/>
        <v>0.97311898315872036</v>
      </c>
      <c r="T126" s="4">
        <f t="shared" si="79"/>
        <v>0.96177484161592774</v>
      </c>
      <c r="U126" s="4">
        <f t="shared" si="79"/>
        <v>0.94584787155511363</v>
      </c>
      <c r="V126" s="4">
        <f t="shared" si="79"/>
        <v>0.92370360150141495</v>
      </c>
      <c r="W126" s="4">
        <f t="shared" si="79"/>
        <v>0.89334463567658451</v>
      </c>
      <c r="X126" s="4">
        <f t="shared" si="79"/>
        <v>0.85254543874327005</v>
      </c>
      <c r="Y126" s="4">
        <f t="shared" si="79"/>
        <v>0.79921300652623883</v>
      </c>
      <c r="Z126" s="4">
        <f t="shared" si="79"/>
        <v>0.73204982249993378</v>
      </c>
      <c r="AA126" s="4">
        <f t="shared" si="79"/>
        <v>0.65145592958786691</v>
      </c>
      <c r="AB126" s="4">
        <f t="shared" si="79"/>
        <v>0.56032247880849573</v>
      </c>
      <c r="AC126" s="4">
        <f t="shared" si="79"/>
        <v>0.46411326873185343</v>
      </c>
      <c r="AD126" s="4">
        <f t="shared" si="79"/>
        <v>0.36979727595523937</v>
      </c>
      <c r="AE126" s="4">
        <f t="shared" si="79"/>
        <v>0.28393948637231203</v>
      </c>
      <c r="AF126" s="4">
        <f t="shared" si="79"/>
        <v>0.21097259161117732</v>
      </c>
      <c r="AG126" s="4">
        <f t="shared" si="79"/>
        <v>0.15253917653798199</v>
      </c>
      <c r="AH126" s="4">
        <f t="shared" si="79"/>
        <v>0.10795188737709993</v>
      </c>
      <c r="AI126" s="4">
        <f t="shared" si="79"/>
        <v>7.5176653938091809E-2</v>
      </c>
      <c r="AJ126" s="4">
        <f t="shared" si="79"/>
        <v>5.1742836177502194E-2</v>
      </c>
      <c r="AK126" s="4">
        <f t="shared" si="79"/>
        <v>3.5319190625345942E-2</v>
      </c>
      <c r="AL126" s="4">
        <f t="shared" si="79"/>
        <v>2.3969442072658165E-2</v>
      </c>
      <c r="AM126" s="4">
        <f t="shared" si="79"/>
        <v>1.6202243558389728E-2</v>
      </c>
      <c r="AN126" s="4">
        <f t="shared" si="79"/>
        <v>1.0922240564108399E-2</v>
      </c>
      <c r="AO126" s="4">
        <f t="shared" si="79"/>
        <v>7.3493212906090566E-3</v>
      </c>
      <c r="AP126" s="4">
        <f t="shared" si="79"/>
        <v>4.9390262185057265E-3</v>
      </c>
      <c r="AQ126" s="4">
        <f t="shared" si="79"/>
        <v>3.3164275492956197E-3</v>
      </c>
      <c r="AR126" s="4">
        <f t="shared" si="79"/>
        <v>2.2256362146679809E-3</v>
      </c>
    </row>
    <row r="127" spans="1:44" x14ac:dyDescent="0.25">
      <c r="A127" s="24" t="s">
        <v>206</v>
      </c>
      <c r="B127" s="45">
        <f>'Parameter Input'!$L$29</f>
        <v>7.7317073170731707E-2</v>
      </c>
      <c r="C127" s="46">
        <f>'Parameter Input'!$M$29</f>
        <v>0.22395290159798151</v>
      </c>
      <c r="D127" s="1" t="s">
        <v>76</v>
      </c>
      <c r="L127" s="54">
        <f>'Parameter Input'!$O$29</f>
        <v>17</v>
      </c>
      <c r="M127" s="37">
        <v>0</v>
      </c>
      <c r="N127" s="37">
        <v>1</v>
      </c>
      <c r="O127" s="37">
        <f>'Parameter Input'!$P$29</f>
        <v>0.9</v>
      </c>
      <c r="P127" s="55">
        <f>'Parameter Input'!$Q$29</f>
        <v>0.4</v>
      </c>
      <c r="Q127" s="4">
        <f t="shared" si="78"/>
        <v>0.99780374543478534</v>
      </c>
      <c r="R127" s="4">
        <f t="shared" si="78"/>
        <v>0.99685359315256394</v>
      </c>
      <c r="S127" s="4">
        <f t="shared" si="79"/>
        <v>0.99549347132349975</v>
      </c>
      <c r="T127" s="4">
        <f t="shared" si="79"/>
        <v>0.99354772139898062</v>
      </c>
      <c r="U127" s="4">
        <f t="shared" si="79"/>
        <v>0.99076681540580536</v>
      </c>
      <c r="V127" s="4">
        <f t="shared" si="79"/>
        <v>0.9867978615748374</v>
      </c>
      <c r="W127" s="4">
        <f t="shared" si="79"/>
        <v>0.98114509762858249</v>
      </c>
      <c r="X127" s="4">
        <f t="shared" si="79"/>
        <v>0.97311898315872036</v>
      </c>
      <c r="Y127" s="4">
        <f t="shared" si="79"/>
        <v>0.96177484161592774</v>
      </c>
      <c r="Z127" s="4">
        <f t="shared" si="79"/>
        <v>0.94584787155511363</v>
      </c>
      <c r="AA127" s="4">
        <f t="shared" si="79"/>
        <v>0.92370360150141495</v>
      </c>
      <c r="AB127" s="4">
        <f t="shared" si="79"/>
        <v>0.89334463567658451</v>
      </c>
      <c r="AC127" s="4">
        <f t="shared" si="79"/>
        <v>0.85254543874327005</v>
      </c>
      <c r="AD127" s="4">
        <f t="shared" si="79"/>
        <v>0.79921300652623883</v>
      </c>
      <c r="AE127" s="4">
        <f t="shared" si="79"/>
        <v>0.73204982249993378</v>
      </c>
      <c r="AF127" s="4">
        <f t="shared" si="79"/>
        <v>0.65145592958786691</v>
      </c>
      <c r="AG127" s="4">
        <f t="shared" si="79"/>
        <v>0.56032247880849573</v>
      </c>
      <c r="AH127" s="4">
        <f t="shared" si="79"/>
        <v>0.46411326873185343</v>
      </c>
      <c r="AI127" s="4">
        <f t="shared" si="79"/>
        <v>0.36979727595523937</v>
      </c>
      <c r="AJ127" s="4">
        <f t="shared" si="79"/>
        <v>0.28393948637231203</v>
      </c>
      <c r="AK127" s="4">
        <f t="shared" si="79"/>
        <v>0.21097259161117732</v>
      </c>
      <c r="AL127" s="4">
        <f t="shared" si="79"/>
        <v>0.15253917653798199</v>
      </c>
      <c r="AM127" s="4">
        <f t="shared" si="79"/>
        <v>0.10795188737709993</v>
      </c>
      <c r="AN127" s="4">
        <f t="shared" si="79"/>
        <v>7.5176653938091809E-2</v>
      </c>
      <c r="AO127" s="4">
        <f t="shared" si="79"/>
        <v>5.1742836177502194E-2</v>
      </c>
      <c r="AP127" s="4">
        <f t="shared" si="79"/>
        <v>3.5319190625345942E-2</v>
      </c>
      <c r="AQ127" s="4">
        <f t="shared" si="79"/>
        <v>2.3969442072658165E-2</v>
      </c>
      <c r="AR127" s="4">
        <f t="shared" si="79"/>
        <v>1.6202243558389728E-2</v>
      </c>
    </row>
    <row r="128" spans="1:44" x14ac:dyDescent="0.25">
      <c r="A128" s="24" t="s">
        <v>41</v>
      </c>
      <c r="B128" s="60">
        <f>'Parameter Input'!L23</f>
        <v>8</v>
      </c>
      <c r="C128" s="61">
        <f>'Parameter Input'!M23</f>
        <v>8</v>
      </c>
      <c r="D128" s="1" t="s">
        <v>42</v>
      </c>
      <c r="L128" s="54">
        <f>'Parameter Input'!O23</f>
        <v>12</v>
      </c>
      <c r="M128" s="37">
        <v>0</v>
      </c>
      <c r="N128" s="37">
        <v>1</v>
      </c>
      <c r="O128" s="37">
        <f>'Parameter Input'!P23</f>
        <v>0.9</v>
      </c>
      <c r="P128" s="55">
        <f>'Parameter Input'!Q23</f>
        <v>0.4</v>
      </c>
      <c r="Q128" s="4">
        <f t="shared" ref="Q128:AF133" si="80">$N128+($M128-$N128)*((1/(1+EXP(-$P128*(Q$9-$L128)))^$O128))</f>
        <v>0.9867978615748374</v>
      </c>
      <c r="R128" s="4">
        <f t="shared" si="80"/>
        <v>0.98114509762858249</v>
      </c>
      <c r="S128" s="4">
        <f t="shared" si="80"/>
        <v>0.97311898315872036</v>
      </c>
      <c r="T128" s="4">
        <f t="shared" si="80"/>
        <v>0.96177484161592774</v>
      </c>
      <c r="U128" s="4">
        <f t="shared" si="80"/>
        <v>0.94584787155511363</v>
      </c>
      <c r="V128" s="4">
        <f t="shared" si="80"/>
        <v>0.92370360150141495</v>
      </c>
      <c r="W128" s="4">
        <f t="shared" si="80"/>
        <v>0.89334463567658451</v>
      </c>
      <c r="X128" s="4">
        <f t="shared" si="80"/>
        <v>0.85254543874327005</v>
      </c>
      <c r="Y128" s="4">
        <f t="shared" si="80"/>
        <v>0.79921300652623883</v>
      </c>
      <c r="Z128" s="4">
        <f t="shared" si="80"/>
        <v>0.73204982249993378</v>
      </c>
      <c r="AA128" s="4">
        <f t="shared" si="80"/>
        <v>0.65145592958786691</v>
      </c>
      <c r="AB128" s="4">
        <f t="shared" si="80"/>
        <v>0.56032247880849573</v>
      </c>
      <c r="AC128" s="4">
        <f t="shared" si="80"/>
        <v>0.46411326873185343</v>
      </c>
      <c r="AD128" s="4">
        <f t="shared" si="80"/>
        <v>0.36979727595523937</v>
      </c>
      <c r="AE128" s="4">
        <f t="shared" si="80"/>
        <v>0.28393948637231203</v>
      </c>
      <c r="AF128" s="4">
        <f t="shared" si="80"/>
        <v>0.21097259161117732</v>
      </c>
      <c r="AG128" s="4">
        <f t="shared" ref="AG128:AI133" si="81">$N128+($M128-$N128)*((1/(1+EXP(-$P128*(AG$9-$L128)))^$O128))</f>
        <v>0.15253917653798199</v>
      </c>
      <c r="AH128" s="4">
        <f t="shared" si="81"/>
        <v>0.10795188737709993</v>
      </c>
      <c r="AI128" s="4">
        <f t="shared" si="81"/>
        <v>7.5176653938091809E-2</v>
      </c>
      <c r="AJ128" s="4">
        <f t="shared" ref="AJ128:AR133" si="82">$N128+($M128-$N128)*((1/(1+EXP(-$P128*(AJ$9-$L128)))^$O128))</f>
        <v>5.1742836177502194E-2</v>
      </c>
      <c r="AK128" s="4">
        <f t="shared" si="82"/>
        <v>3.5319190625345942E-2</v>
      </c>
      <c r="AL128" s="4">
        <f t="shared" si="82"/>
        <v>2.3969442072658165E-2</v>
      </c>
      <c r="AM128" s="4">
        <f t="shared" si="82"/>
        <v>1.6202243558389728E-2</v>
      </c>
      <c r="AN128" s="4">
        <f t="shared" si="82"/>
        <v>1.0922240564108399E-2</v>
      </c>
      <c r="AO128" s="4">
        <f t="shared" si="82"/>
        <v>7.3493212906090566E-3</v>
      </c>
      <c r="AP128" s="4">
        <f t="shared" si="82"/>
        <v>4.9390262185057265E-3</v>
      </c>
      <c r="AQ128" s="4">
        <f t="shared" si="82"/>
        <v>3.3164275492956197E-3</v>
      </c>
      <c r="AR128" s="4">
        <f t="shared" si="82"/>
        <v>2.2256362146679809E-3</v>
      </c>
    </row>
    <row r="129" spans="1:44" x14ac:dyDescent="0.25">
      <c r="A129" s="24" t="s">
        <v>70</v>
      </c>
      <c r="B129" s="60">
        <f>'Parameter Input'!B39</f>
        <v>10</v>
      </c>
      <c r="C129" s="61">
        <f>'Parameter Input'!C39</f>
        <v>10</v>
      </c>
      <c r="D129" s="1" t="s">
        <v>42</v>
      </c>
      <c r="L129" s="54">
        <f>'Parameter Input'!E39</f>
        <v>12</v>
      </c>
      <c r="M129" s="37">
        <v>0</v>
      </c>
      <c r="N129" s="37">
        <v>1</v>
      </c>
      <c r="O129" s="37">
        <f>'Parameter Input'!F39</f>
        <v>0.9</v>
      </c>
      <c r="P129" s="55">
        <f>'Parameter Input'!G39</f>
        <v>0.4</v>
      </c>
      <c r="Q129" s="4">
        <f t="shared" si="80"/>
        <v>0.9867978615748374</v>
      </c>
      <c r="R129" s="4">
        <f t="shared" si="80"/>
        <v>0.98114509762858249</v>
      </c>
      <c r="S129" s="4">
        <f t="shared" si="80"/>
        <v>0.97311898315872036</v>
      </c>
      <c r="T129" s="4">
        <f t="shared" si="80"/>
        <v>0.96177484161592774</v>
      </c>
      <c r="U129" s="4">
        <f t="shared" si="80"/>
        <v>0.94584787155511363</v>
      </c>
      <c r="V129" s="4">
        <f t="shared" si="80"/>
        <v>0.92370360150141495</v>
      </c>
      <c r="W129" s="4">
        <f t="shared" si="80"/>
        <v>0.89334463567658451</v>
      </c>
      <c r="X129" s="4">
        <f t="shared" si="80"/>
        <v>0.85254543874327005</v>
      </c>
      <c r="Y129" s="4">
        <f t="shared" si="80"/>
        <v>0.79921300652623883</v>
      </c>
      <c r="Z129" s="4">
        <f t="shared" si="80"/>
        <v>0.73204982249993378</v>
      </c>
      <c r="AA129" s="4">
        <f t="shared" si="80"/>
        <v>0.65145592958786691</v>
      </c>
      <c r="AB129" s="4">
        <f t="shared" si="80"/>
        <v>0.56032247880849573</v>
      </c>
      <c r="AC129" s="4">
        <f t="shared" si="80"/>
        <v>0.46411326873185343</v>
      </c>
      <c r="AD129" s="4">
        <f t="shared" si="80"/>
        <v>0.36979727595523937</v>
      </c>
      <c r="AE129" s="4">
        <f t="shared" si="80"/>
        <v>0.28393948637231203</v>
      </c>
      <c r="AF129" s="4">
        <f t="shared" si="80"/>
        <v>0.21097259161117732</v>
      </c>
      <c r="AG129" s="4">
        <f t="shared" si="81"/>
        <v>0.15253917653798199</v>
      </c>
      <c r="AH129" s="4">
        <f t="shared" si="81"/>
        <v>0.10795188737709993</v>
      </c>
      <c r="AI129" s="4">
        <f t="shared" si="81"/>
        <v>7.5176653938091809E-2</v>
      </c>
      <c r="AJ129" s="4">
        <f t="shared" si="82"/>
        <v>5.1742836177502194E-2</v>
      </c>
      <c r="AK129" s="4">
        <f t="shared" si="82"/>
        <v>3.5319190625345942E-2</v>
      </c>
      <c r="AL129" s="4">
        <f t="shared" si="82"/>
        <v>2.3969442072658165E-2</v>
      </c>
      <c r="AM129" s="4">
        <f t="shared" si="82"/>
        <v>1.6202243558389728E-2</v>
      </c>
      <c r="AN129" s="4">
        <f t="shared" si="82"/>
        <v>1.0922240564108399E-2</v>
      </c>
      <c r="AO129" s="4">
        <f t="shared" si="82"/>
        <v>7.3493212906090566E-3</v>
      </c>
      <c r="AP129" s="4">
        <f t="shared" si="82"/>
        <v>4.9390262185057265E-3</v>
      </c>
      <c r="AQ129" s="4">
        <f t="shared" si="82"/>
        <v>3.3164275492956197E-3</v>
      </c>
      <c r="AR129" s="4">
        <f t="shared" si="82"/>
        <v>2.2256362146679809E-3</v>
      </c>
    </row>
    <row r="130" spans="1:44" x14ac:dyDescent="0.25">
      <c r="A130" s="24" t="s">
        <v>207</v>
      </c>
      <c r="B130" s="43">
        <f>'Parameter Input'!B36</f>
        <v>25</v>
      </c>
      <c r="C130" s="44">
        <f>'Parameter Input'!C36</f>
        <v>25</v>
      </c>
      <c r="D130" s="1" t="s">
        <v>49</v>
      </c>
      <c r="L130" s="54">
        <f>'Parameter Input'!E36</f>
        <v>12</v>
      </c>
      <c r="M130" s="37">
        <v>0</v>
      </c>
      <c r="N130" s="37">
        <v>1</v>
      </c>
      <c r="O130" s="37">
        <f>'Parameter Input'!F36</f>
        <v>0.9</v>
      </c>
      <c r="P130" s="55">
        <f>'Parameter Input'!G36</f>
        <v>0.4</v>
      </c>
      <c r="Q130" s="4">
        <f t="shared" si="80"/>
        <v>0.9867978615748374</v>
      </c>
      <c r="R130" s="4">
        <f t="shared" si="80"/>
        <v>0.98114509762858249</v>
      </c>
      <c r="S130" s="4">
        <f t="shared" si="80"/>
        <v>0.97311898315872036</v>
      </c>
      <c r="T130" s="4">
        <f t="shared" si="80"/>
        <v>0.96177484161592774</v>
      </c>
      <c r="U130" s="4">
        <f t="shared" si="80"/>
        <v>0.94584787155511363</v>
      </c>
      <c r="V130" s="4">
        <f t="shared" si="80"/>
        <v>0.92370360150141495</v>
      </c>
      <c r="W130" s="4">
        <f t="shared" si="80"/>
        <v>0.89334463567658451</v>
      </c>
      <c r="X130" s="4">
        <f t="shared" si="80"/>
        <v>0.85254543874327005</v>
      </c>
      <c r="Y130" s="4">
        <f t="shared" si="80"/>
        <v>0.79921300652623883</v>
      </c>
      <c r="Z130" s="4">
        <f t="shared" si="80"/>
        <v>0.73204982249993378</v>
      </c>
      <c r="AA130" s="4">
        <f t="shared" si="80"/>
        <v>0.65145592958786691</v>
      </c>
      <c r="AB130" s="4">
        <f t="shared" si="80"/>
        <v>0.56032247880849573</v>
      </c>
      <c r="AC130" s="4">
        <f t="shared" si="80"/>
        <v>0.46411326873185343</v>
      </c>
      <c r="AD130" s="4">
        <f t="shared" si="80"/>
        <v>0.36979727595523937</v>
      </c>
      <c r="AE130" s="4">
        <f t="shared" si="80"/>
        <v>0.28393948637231203</v>
      </c>
      <c r="AF130" s="4">
        <f t="shared" si="80"/>
        <v>0.21097259161117732</v>
      </c>
      <c r="AG130" s="4">
        <f t="shared" si="81"/>
        <v>0.15253917653798199</v>
      </c>
      <c r="AH130" s="4">
        <f t="shared" si="81"/>
        <v>0.10795188737709993</v>
      </c>
      <c r="AI130" s="4">
        <f t="shared" si="81"/>
        <v>7.5176653938091809E-2</v>
      </c>
      <c r="AJ130" s="4">
        <f t="shared" si="82"/>
        <v>5.1742836177502194E-2</v>
      </c>
      <c r="AK130" s="4">
        <f t="shared" si="82"/>
        <v>3.5319190625345942E-2</v>
      </c>
      <c r="AL130" s="4">
        <f t="shared" si="82"/>
        <v>2.3969442072658165E-2</v>
      </c>
      <c r="AM130" s="4">
        <f t="shared" si="82"/>
        <v>1.6202243558389728E-2</v>
      </c>
      <c r="AN130" s="4">
        <f t="shared" si="82"/>
        <v>1.0922240564108399E-2</v>
      </c>
      <c r="AO130" s="4">
        <f t="shared" si="82"/>
        <v>7.3493212906090566E-3</v>
      </c>
      <c r="AP130" s="4">
        <f t="shared" si="82"/>
        <v>4.9390262185057265E-3</v>
      </c>
      <c r="AQ130" s="4">
        <f t="shared" si="82"/>
        <v>3.3164275492956197E-3</v>
      </c>
      <c r="AR130" s="4">
        <f t="shared" si="82"/>
        <v>2.2256362146679809E-3</v>
      </c>
    </row>
    <row r="131" spans="1:44" x14ac:dyDescent="0.25">
      <c r="A131" s="24" t="s">
        <v>56</v>
      </c>
      <c r="B131" s="45">
        <f>'Parameter Input'!B37</f>
        <v>0.64</v>
      </c>
      <c r="C131" s="46">
        <f>'Parameter Input'!C37</f>
        <v>0.64</v>
      </c>
      <c r="D131" s="1" t="s">
        <v>57</v>
      </c>
      <c r="L131" s="54">
        <f>'Parameter Input'!E37</f>
        <v>12</v>
      </c>
      <c r="M131" s="37">
        <v>0</v>
      </c>
      <c r="N131" s="37">
        <v>1</v>
      </c>
      <c r="O131" s="37">
        <f>'Parameter Input'!F37</f>
        <v>0.9</v>
      </c>
      <c r="P131" s="55">
        <f>'Parameter Input'!G37</f>
        <v>0.4</v>
      </c>
      <c r="Q131" s="4">
        <f t="shared" si="80"/>
        <v>0.9867978615748374</v>
      </c>
      <c r="R131" s="4">
        <f t="shared" si="80"/>
        <v>0.98114509762858249</v>
      </c>
      <c r="S131" s="4">
        <f t="shared" si="80"/>
        <v>0.97311898315872036</v>
      </c>
      <c r="T131" s="4">
        <f t="shared" si="80"/>
        <v>0.96177484161592774</v>
      </c>
      <c r="U131" s="4">
        <f t="shared" si="80"/>
        <v>0.94584787155511363</v>
      </c>
      <c r="V131" s="4">
        <f t="shared" si="80"/>
        <v>0.92370360150141495</v>
      </c>
      <c r="W131" s="4">
        <f t="shared" si="80"/>
        <v>0.89334463567658451</v>
      </c>
      <c r="X131" s="4">
        <f t="shared" si="80"/>
        <v>0.85254543874327005</v>
      </c>
      <c r="Y131" s="4">
        <f t="shared" si="80"/>
        <v>0.79921300652623883</v>
      </c>
      <c r="Z131" s="4">
        <f t="shared" si="80"/>
        <v>0.73204982249993378</v>
      </c>
      <c r="AA131" s="4">
        <f t="shared" si="80"/>
        <v>0.65145592958786691</v>
      </c>
      <c r="AB131" s="4">
        <f t="shared" si="80"/>
        <v>0.56032247880849573</v>
      </c>
      <c r="AC131" s="4">
        <f t="shared" si="80"/>
        <v>0.46411326873185343</v>
      </c>
      <c r="AD131" s="4">
        <f t="shared" si="80"/>
        <v>0.36979727595523937</v>
      </c>
      <c r="AE131" s="4">
        <f t="shared" si="80"/>
        <v>0.28393948637231203</v>
      </c>
      <c r="AF131" s="4">
        <f t="shared" si="80"/>
        <v>0.21097259161117732</v>
      </c>
      <c r="AG131" s="4">
        <f t="shared" si="81"/>
        <v>0.15253917653798199</v>
      </c>
      <c r="AH131" s="4">
        <f t="shared" si="81"/>
        <v>0.10795188737709993</v>
      </c>
      <c r="AI131" s="4">
        <f t="shared" si="81"/>
        <v>7.5176653938091809E-2</v>
      </c>
      <c r="AJ131" s="4">
        <f t="shared" si="82"/>
        <v>5.1742836177502194E-2</v>
      </c>
      <c r="AK131" s="4">
        <f t="shared" si="82"/>
        <v>3.5319190625345942E-2</v>
      </c>
      <c r="AL131" s="4">
        <f t="shared" si="82"/>
        <v>2.3969442072658165E-2</v>
      </c>
      <c r="AM131" s="4">
        <f t="shared" si="82"/>
        <v>1.6202243558389728E-2</v>
      </c>
      <c r="AN131" s="4">
        <f t="shared" si="82"/>
        <v>1.0922240564108399E-2</v>
      </c>
      <c r="AO131" s="4">
        <f t="shared" si="82"/>
        <v>7.3493212906090566E-3</v>
      </c>
      <c r="AP131" s="4">
        <f t="shared" si="82"/>
        <v>4.9390262185057265E-3</v>
      </c>
      <c r="AQ131" s="4">
        <f t="shared" si="82"/>
        <v>3.3164275492956197E-3</v>
      </c>
      <c r="AR131" s="4">
        <f t="shared" si="82"/>
        <v>2.2256362146679809E-3</v>
      </c>
    </row>
    <row r="132" spans="1:44" x14ac:dyDescent="0.25">
      <c r="A132" s="24" t="s">
        <v>73</v>
      </c>
      <c r="B132" s="45">
        <f>'Parameter Input'!L27</f>
        <v>0</v>
      </c>
      <c r="C132" s="46">
        <f>'Parameter Input'!M27</f>
        <v>0</v>
      </c>
      <c r="D132" s="1" t="s">
        <v>57</v>
      </c>
      <c r="L132" s="54">
        <f>'Parameter Input'!O27</f>
        <v>12</v>
      </c>
      <c r="M132" s="37">
        <v>0</v>
      </c>
      <c r="N132" s="37">
        <v>1</v>
      </c>
      <c r="O132" s="37">
        <f>'Parameter Input'!P27</f>
        <v>0.9</v>
      </c>
      <c r="P132" s="55">
        <f>'Parameter Input'!Q27</f>
        <v>0.4</v>
      </c>
      <c r="Q132" s="4">
        <f t="shared" si="80"/>
        <v>0.9867978615748374</v>
      </c>
      <c r="R132" s="4">
        <f t="shared" si="80"/>
        <v>0.98114509762858249</v>
      </c>
      <c r="S132" s="4">
        <f t="shared" si="80"/>
        <v>0.97311898315872036</v>
      </c>
      <c r="T132" s="4">
        <f t="shared" si="80"/>
        <v>0.96177484161592774</v>
      </c>
      <c r="U132" s="4">
        <f t="shared" si="80"/>
        <v>0.94584787155511363</v>
      </c>
      <c r="V132" s="4">
        <f t="shared" si="80"/>
        <v>0.92370360150141495</v>
      </c>
      <c r="W132" s="4">
        <f t="shared" si="80"/>
        <v>0.89334463567658451</v>
      </c>
      <c r="X132" s="4">
        <f t="shared" si="80"/>
        <v>0.85254543874327005</v>
      </c>
      <c r="Y132" s="4">
        <f t="shared" si="80"/>
        <v>0.79921300652623883</v>
      </c>
      <c r="Z132" s="4">
        <f t="shared" si="80"/>
        <v>0.73204982249993378</v>
      </c>
      <c r="AA132" s="4">
        <f t="shared" si="80"/>
        <v>0.65145592958786691</v>
      </c>
      <c r="AB132" s="4">
        <f t="shared" si="80"/>
        <v>0.56032247880849573</v>
      </c>
      <c r="AC132" s="4">
        <f t="shared" si="80"/>
        <v>0.46411326873185343</v>
      </c>
      <c r="AD132" s="4">
        <f t="shared" si="80"/>
        <v>0.36979727595523937</v>
      </c>
      <c r="AE132" s="4">
        <f t="shared" si="80"/>
        <v>0.28393948637231203</v>
      </c>
      <c r="AF132" s="4">
        <f t="shared" si="80"/>
        <v>0.21097259161117732</v>
      </c>
      <c r="AG132" s="4">
        <f t="shared" si="81"/>
        <v>0.15253917653798199</v>
      </c>
      <c r="AH132" s="4">
        <f t="shared" si="81"/>
        <v>0.10795188737709993</v>
      </c>
      <c r="AI132" s="4">
        <f t="shared" si="81"/>
        <v>7.5176653938091809E-2</v>
      </c>
      <c r="AJ132" s="4">
        <f t="shared" si="82"/>
        <v>5.1742836177502194E-2</v>
      </c>
      <c r="AK132" s="4">
        <f t="shared" si="82"/>
        <v>3.5319190625345942E-2</v>
      </c>
      <c r="AL132" s="4">
        <f t="shared" si="82"/>
        <v>2.3969442072658165E-2</v>
      </c>
      <c r="AM132" s="4">
        <f t="shared" si="82"/>
        <v>1.6202243558389728E-2</v>
      </c>
      <c r="AN132" s="4">
        <f t="shared" si="82"/>
        <v>1.0922240564108399E-2</v>
      </c>
      <c r="AO132" s="4">
        <f t="shared" si="82"/>
        <v>7.3493212906090566E-3</v>
      </c>
      <c r="AP132" s="4">
        <f t="shared" si="82"/>
        <v>4.9390262185057265E-3</v>
      </c>
      <c r="AQ132" s="4">
        <f t="shared" si="82"/>
        <v>3.3164275492956197E-3</v>
      </c>
      <c r="AR132" s="4">
        <f t="shared" si="82"/>
        <v>2.2256362146679809E-3</v>
      </c>
    </row>
    <row r="133" spans="1:44" ht="15.75" thickBot="1" x14ac:dyDescent="0.3">
      <c r="A133" s="24" t="s">
        <v>64</v>
      </c>
      <c r="B133" s="49">
        <f>'Parameter Input'!B38</f>
        <v>110000</v>
      </c>
      <c r="C133" s="50">
        <f>'Parameter Input'!C38</f>
        <v>110000</v>
      </c>
      <c r="D133" s="1" t="s">
        <v>65</v>
      </c>
      <c r="L133" s="56">
        <f>'Parameter Input'!E38</f>
        <v>12</v>
      </c>
      <c r="M133" s="57">
        <v>0</v>
      </c>
      <c r="N133" s="57">
        <v>1</v>
      </c>
      <c r="O133" s="57">
        <f>'Parameter Input'!F38</f>
        <v>0.9</v>
      </c>
      <c r="P133" s="58">
        <f>'Parameter Input'!G38</f>
        <v>0.4</v>
      </c>
      <c r="Q133" s="4">
        <f t="shared" si="80"/>
        <v>0.9867978615748374</v>
      </c>
      <c r="R133" s="4">
        <f t="shared" si="80"/>
        <v>0.98114509762858249</v>
      </c>
      <c r="S133" s="4">
        <f t="shared" si="80"/>
        <v>0.97311898315872036</v>
      </c>
      <c r="T133" s="4">
        <f t="shared" si="80"/>
        <v>0.96177484161592774</v>
      </c>
      <c r="U133" s="4">
        <f t="shared" si="80"/>
        <v>0.94584787155511363</v>
      </c>
      <c r="V133" s="4">
        <f t="shared" si="80"/>
        <v>0.92370360150141495</v>
      </c>
      <c r="W133" s="4">
        <f t="shared" si="80"/>
        <v>0.89334463567658451</v>
      </c>
      <c r="X133" s="4">
        <f t="shared" si="80"/>
        <v>0.85254543874327005</v>
      </c>
      <c r="Y133" s="4">
        <f t="shared" si="80"/>
        <v>0.79921300652623883</v>
      </c>
      <c r="Z133" s="4">
        <f t="shared" si="80"/>
        <v>0.73204982249993378</v>
      </c>
      <c r="AA133" s="4">
        <f t="shared" si="80"/>
        <v>0.65145592958786691</v>
      </c>
      <c r="AB133" s="4">
        <f t="shared" si="80"/>
        <v>0.56032247880849573</v>
      </c>
      <c r="AC133" s="4">
        <f t="shared" si="80"/>
        <v>0.46411326873185343</v>
      </c>
      <c r="AD133" s="4">
        <f t="shared" si="80"/>
        <v>0.36979727595523937</v>
      </c>
      <c r="AE133" s="4">
        <f t="shared" si="80"/>
        <v>0.28393948637231203</v>
      </c>
      <c r="AF133" s="4">
        <f t="shared" si="80"/>
        <v>0.21097259161117732</v>
      </c>
      <c r="AG133" s="4">
        <f t="shared" si="81"/>
        <v>0.15253917653798199</v>
      </c>
      <c r="AH133" s="4">
        <f t="shared" si="81"/>
        <v>0.10795188737709993</v>
      </c>
      <c r="AI133" s="4">
        <f t="shared" si="81"/>
        <v>7.5176653938091809E-2</v>
      </c>
      <c r="AJ133" s="4">
        <f t="shared" si="82"/>
        <v>5.1742836177502194E-2</v>
      </c>
      <c r="AK133" s="4">
        <f t="shared" si="82"/>
        <v>3.5319190625345942E-2</v>
      </c>
      <c r="AL133" s="4">
        <f t="shared" si="82"/>
        <v>2.3969442072658165E-2</v>
      </c>
      <c r="AM133" s="4">
        <f t="shared" si="82"/>
        <v>1.6202243558389728E-2</v>
      </c>
      <c r="AN133" s="4">
        <f t="shared" si="82"/>
        <v>1.0922240564108399E-2</v>
      </c>
      <c r="AO133" s="4">
        <f t="shared" si="82"/>
        <v>7.3493212906090566E-3</v>
      </c>
      <c r="AP133" s="4">
        <f t="shared" si="82"/>
        <v>4.9390262185057265E-3</v>
      </c>
      <c r="AQ133" s="4">
        <f t="shared" si="82"/>
        <v>3.3164275492956197E-3</v>
      </c>
      <c r="AR133" s="4">
        <f t="shared" si="82"/>
        <v>2.2256362146679809E-3</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51" si="83">A117</f>
        <v>Capex vehicle</v>
      </c>
      <c r="B137" s="62">
        <f t="shared" ref="B137:B145" si="84">$B117+($C117-$B117)*(1-Q117)</f>
        <v>105132.02138425162</v>
      </c>
      <c r="C137" s="62">
        <f t="shared" ref="C137:C145" si="85">$B117+($C117-$B117)*(1-R117)</f>
        <v>105188.54902371418</v>
      </c>
      <c r="D137" s="62">
        <f t="shared" ref="D137:D145" si="86">$B117+($C117-$B117)*(1-S117)</f>
        <v>105268.81016841279</v>
      </c>
      <c r="E137" s="62">
        <f t="shared" ref="E137:E145" si="87">$B117+($C117-$B117)*(1-T117)</f>
        <v>105382.25158384073</v>
      </c>
      <c r="F137" s="62">
        <f t="shared" ref="F137:F145" si="88">$B117+($C117-$B117)*(1-U117)</f>
        <v>105541.52128444887</v>
      </c>
      <c r="G137" s="62">
        <f t="shared" ref="G137:G145" si="89">$B117+($C117-$B117)*(1-V117)</f>
        <v>105762.96398498585</v>
      </c>
      <c r="H137" s="62">
        <f t="shared" ref="H137:H145" si="90">$B117+($C117-$B117)*(1-W117)</f>
        <v>106066.55364323416</v>
      </c>
      <c r="I137" s="62">
        <f t="shared" ref="I137:I145" si="91">$B117+($C117-$B117)*(1-X117)</f>
        <v>106474.54561256729</v>
      </c>
      <c r="J137" s="62">
        <f t="shared" ref="J137:J145" si="92">$B117+($C117-$B117)*(1-Y117)</f>
        <v>107007.86993473761</v>
      </c>
      <c r="K137" s="62">
        <f t="shared" ref="K137:K145" si="93">$B117+($C117-$B117)*(1-Z117)</f>
        <v>107679.50177500067</v>
      </c>
      <c r="L137" s="62">
        <f t="shared" ref="L137:L145" si="94">$B117+($C117-$B117)*(1-AA117)</f>
        <v>108485.44070412133</v>
      </c>
      <c r="M137" s="62">
        <f t="shared" ref="M137:M145" si="95">$B117+($C117-$B117)*(1-AB117)</f>
        <v>109396.77521191504</v>
      </c>
      <c r="N137" s="62">
        <f t="shared" ref="N137:N145" si="96">$B117+($C117-$B117)*(1-AC117)</f>
        <v>110358.86731268147</v>
      </c>
      <c r="O137" s="62">
        <f t="shared" ref="O137:O145" si="97">$B117+($C117-$B117)*(1-AD117)</f>
        <v>111302.02724044761</v>
      </c>
      <c r="P137" s="62">
        <f t="shared" ref="P137:P145" si="98">$B117+($C117-$B117)*(1-AE117)</f>
        <v>112160.60513627688</v>
      </c>
      <c r="Q137" s="62">
        <f t="shared" ref="Q137:Q145" si="99">$B117+($C117-$B117)*(1-AF117)</f>
        <v>112890.27408388823</v>
      </c>
      <c r="R137" s="62">
        <f t="shared" ref="R137:R145" si="100">$B117+($C117-$B117)*(1-AG117)</f>
        <v>113474.60823462019</v>
      </c>
      <c r="S137" s="62">
        <f t="shared" ref="S137:S145" si="101">$B117+($C117-$B117)*(1-AH117)</f>
        <v>113920.481126229</v>
      </c>
      <c r="T137" s="62">
        <f t="shared" ref="T137:T145" si="102">$B117+($C117-$B117)*(1-AI117)</f>
        <v>114248.23346061909</v>
      </c>
      <c r="U137" s="62">
        <f t="shared" ref="U137:U145" si="103">$B117+($C117-$B117)*(1-AJ117)</f>
        <v>114482.57163822498</v>
      </c>
      <c r="V137" s="62">
        <f t="shared" ref="V137:V145" si="104">$B117+($C117-$B117)*(1-AK117)</f>
        <v>114646.80809374654</v>
      </c>
      <c r="W137" s="62">
        <f t="shared" ref="W137:W145" si="105">$B117+($C117-$B117)*(1-AL117)</f>
        <v>114760.30557927342</v>
      </c>
      <c r="X137" s="62">
        <f t="shared" ref="X137:X145" si="106">$B117+($C117-$B117)*(1-AM117)</f>
        <v>114837.9775644161</v>
      </c>
      <c r="Y137" s="62">
        <f t="shared" ref="Y137:Y145" si="107">$B117+($C117-$B117)*(1-AN117)</f>
        <v>114890.77759435892</v>
      </c>
      <c r="Z137" s="62">
        <f t="shared" ref="Z137:Z145" si="108">$B117+($C117-$B117)*(1-AO117)</f>
        <v>114926.50678709391</v>
      </c>
      <c r="AA137" s="62">
        <f t="shared" ref="AA137:AA145" si="109">$B117+($C117-$B117)*(1-AP117)</f>
        <v>114950.60973781494</v>
      </c>
      <c r="AB137" s="62">
        <f t="shared" ref="AB137:AB145" si="110">$B117+($C117-$B117)*(1-AQ117)</f>
        <v>114966.83572450705</v>
      </c>
      <c r="AC137" s="62">
        <f t="shared" ref="AC137:AC145" si="111">$B117+($C117-$B117)*(1-AR117)</f>
        <v>114977.74363785332</v>
      </c>
    </row>
    <row r="138" spans="1:44" x14ac:dyDescent="0.25">
      <c r="A138" s="30" t="str">
        <f t="shared" si="83"/>
        <v>Residual value (vehicle)</v>
      </c>
      <c r="B138" s="62">
        <f t="shared" si="84"/>
        <v>-26131.180754173536</v>
      </c>
      <c r="C138" s="62">
        <f t="shared" si="85"/>
        <v>-26080.305878657244</v>
      </c>
      <c r="D138" s="62">
        <f t="shared" si="86"/>
        <v>-26008.070848428484</v>
      </c>
      <c r="E138" s="62">
        <f t="shared" si="87"/>
        <v>-25905.97357454335</v>
      </c>
      <c r="F138" s="62">
        <f t="shared" si="88"/>
        <v>-25762.630843996023</v>
      </c>
      <c r="G138" s="62">
        <f t="shared" si="89"/>
        <v>-25563.332413512733</v>
      </c>
      <c r="H138" s="62">
        <f t="shared" si="90"/>
        <v>-25290.101721089261</v>
      </c>
      <c r="I138" s="62">
        <f t="shared" si="91"/>
        <v>-24922.90894868943</v>
      </c>
      <c r="J138" s="62">
        <f t="shared" si="92"/>
        <v>-24442.917058736151</v>
      </c>
      <c r="K138" s="62">
        <f t="shared" si="93"/>
        <v>-23838.448402499405</v>
      </c>
      <c r="L138" s="62">
        <f t="shared" si="94"/>
        <v>-23113.103366290801</v>
      </c>
      <c r="M138" s="62">
        <f t="shared" si="95"/>
        <v>-22292.902309276462</v>
      </c>
      <c r="N138" s="62">
        <f t="shared" si="96"/>
        <v>-21427.019418586682</v>
      </c>
      <c r="O138" s="62">
        <f t="shared" si="97"/>
        <v>-20578.175483597155</v>
      </c>
      <c r="P138" s="62">
        <f t="shared" si="98"/>
        <v>-19805.455377350809</v>
      </c>
      <c r="Q138" s="62">
        <f t="shared" si="99"/>
        <v>-19148.753324500598</v>
      </c>
      <c r="R138" s="62">
        <f t="shared" si="100"/>
        <v>-18622.852588841837</v>
      </c>
      <c r="S138" s="62">
        <f t="shared" si="101"/>
        <v>-18221.5669863939</v>
      </c>
      <c r="T138" s="62">
        <f t="shared" si="102"/>
        <v>-17926.589885442827</v>
      </c>
      <c r="U138" s="62">
        <f t="shared" si="103"/>
        <v>-17715.685525597521</v>
      </c>
      <c r="V138" s="62">
        <f t="shared" si="104"/>
        <v>-17567.872715628113</v>
      </c>
      <c r="W138" s="62">
        <f t="shared" si="105"/>
        <v>-17465.724978653925</v>
      </c>
      <c r="X138" s="62">
        <f t="shared" si="106"/>
        <v>-17395.820192025509</v>
      </c>
      <c r="Y138" s="62">
        <f t="shared" si="107"/>
        <v>-17348.300165076973</v>
      </c>
      <c r="Z138" s="62">
        <f t="shared" si="108"/>
        <v>-17316.14389161548</v>
      </c>
      <c r="AA138" s="62">
        <f t="shared" si="109"/>
        <v>-17294.451235966553</v>
      </c>
      <c r="AB138" s="62">
        <f t="shared" si="110"/>
        <v>-17279.84784794366</v>
      </c>
      <c r="AC138" s="62">
        <f t="shared" si="111"/>
        <v>-17270.030725932011</v>
      </c>
    </row>
    <row r="139" spans="1:44" x14ac:dyDescent="0.25">
      <c r="A139" s="30" t="str">
        <f t="shared" si="83"/>
        <v>Capex costumization</v>
      </c>
      <c r="B139" s="62">
        <f t="shared" si="84"/>
        <v>60000</v>
      </c>
      <c r="C139" s="62">
        <f t="shared" si="85"/>
        <v>60000</v>
      </c>
      <c r="D139" s="62">
        <f t="shared" si="86"/>
        <v>60000</v>
      </c>
      <c r="E139" s="62">
        <f t="shared" si="87"/>
        <v>60000</v>
      </c>
      <c r="F139" s="62">
        <f t="shared" si="88"/>
        <v>60000</v>
      </c>
      <c r="G139" s="62">
        <f t="shared" si="89"/>
        <v>60000</v>
      </c>
      <c r="H139" s="62">
        <f t="shared" si="90"/>
        <v>60000</v>
      </c>
      <c r="I139" s="62">
        <f t="shared" si="91"/>
        <v>60000</v>
      </c>
      <c r="J139" s="62">
        <f t="shared" si="92"/>
        <v>60000</v>
      </c>
      <c r="K139" s="62">
        <f t="shared" si="93"/>
        <v>60000</v>
      </c>
      <c r="L139" s="62">
        <f t="shared" si="94"/>
        <v>60000</v>
      </c>
      <c r="M139" s="62">
        <f t="shared" si="95"/>
        <v>60000</v>
      </c>
      <c r="N139" s="62">
        <f t="shared" si="96"/>
        <v>60000</v>
      </c>
      <c r="O139" s="62">
        <f t="shared" si="97"/>
        <v>60000</v>
      </c>
      <c r="P139" s="62">
        <f t="shared" si="98"/>
        <v>60000</v>
      </c>
      <c r="Q139" s="62">
        <f t="shared" si="99"/>
        <v>60000</v>
      </c>
      <c r="R139" s="62">
        <f t="shared" si="100"/>
        <v>60000</v>
      </c>
      <c r="S139" s="62">
        <f t="shared" si="101"/>
        <v>60000</v>
      </c>
      <c r="T139" s="62">
        <f t="shared" si="102"/>
        <v>60000</v>
      </c>
      <c r="U139" s="62">
        <f t="shared" si="103"/>
        <v>60000</v>
      </c>
      <c r="V139" s="62">
        <f t="shared" si="104"/>
        <v>60000</v>
      </c>
      <c r="W139" s="62">
        <f t="shared" si="105"/>
        <v>60000</v>
      </c>
      <c r="X139" s="62">
        <f t="shared" si="106"/>
        <v>60000</v>
      </c>
      <c r="Y139" s="62">
        <f t="shared" si="107"/>
        <v>60000</v>
      </c>
      <c r="Z139" s="62">
        <f t="shared" si="108"/>
        <v>60000</v>
      </c>
      <c r="AA139" s="62">
        <f t="shared" si="109"/>
        <v>60000</v>
      </c>
      <c r="AB139" s="62">
        <f t="shared" si="110"/>
        <v>60000</v>
      </c>
      <c r="AC139" s="62">
        <f t="shared" si="111"/>
        <v>60000</v>
      </c>
    </row>
    <row r="140" spans="1:44" x14ac:dyDescent="0.25">
      <c r="A140" s="30" t="str">
        <f t="shared" si="83"/>
        <v>Residual value (costumization)</v>
      </c>
      <c r="B140" s="62">
        <f t="shared" si="84"/>
        <v>-15000</v>
      </c>
      <c r="C140" s="62">
        <f t="shared" si="85"/>
        <v>-15000</v>
      </c>
      <c r="D140" s="62">
        <f t="shared" si="86"/>
        <v>-15000</v>
      </c>
      <c r="E140" s="62">
        <f t="shared" si="87"/>
        <v>-15000</v>
      </c>
      <c r="F140" s="62">
        <f t="shared" si="88"/>
        <v>-15000</v>
      </c>
      <c r="G140" s="62">
        <f t="shared" si="89"/>
        <v>-15000</v>
      </c>
      <c r="H140" s="62">
        <f t="shared" si="90"/>
        <v>-15000</v>
      </c>
      <c r="I140" s="62">
        <f t="shared" si="91"/>
        <v>-15000</v>
      </c>
      <c r="J140" s="62">
        <f t="shared" si="92"/>
        <v>-15000</v>
      </c>
      <c r="K140" s="62">
        <f t="shared" si="93"/>
        <v>-15000</v>
      </c>
      <c r="L140" s="62">
        <f t="shared" si="94"/>
        <v>-15000</v>
      </c>
      <c r="M140" s="62">
        <f t="shared" si="95"/>
        <v>-15000</v>
      </c>
      <c r="N140" s="62">
        <f t="shared" si="96"/>
        <v>-15000</v>
      </c>
      <c r="O140" s="62">
        <f t="shared" si="97"/>
        <v>-15000</v>
      </c>
      <c r="P140" s="62">
        <f t="shared" si="98"/>
        <v>-15000</v>
      </c>
      <c r="Q140" s="62">
        <f t="shared" si="99"/>
        <v>-15000</v>
      </c>
      <c r="R140" s="62">
        <f t="shared" si="100"/>
        <v>-15000</v>
      </c>
      <c r="S140" s="62">
        <f t="shared" si="101"/>
        <v>-15000</v>
      </c>
      <c r="T140" s="62">
        <f t="shared" si="102"/>
        <v>-15000</v>
      </c>
      <c r="U140" s="62">
        <f t="shared" si="103"/>
        <v>-15000</v>
      </c>
      <c r="V140" s="62">
        <f t="shared" si="104"/>
        <v>-15000</v>
      </c>
      <c r="W140" s="62">
        <f t="shared" si="105"/>
        <v>-15000</v>
      </c>
      <c r="X140" s="62">
        <f t="shared" si="106"/>
        <v>-15000</v>
      </c>
      <c r="Y140" s="62">
        <f t="shared" si="107"/>
        <v>-15000</v>
      </c>
      <c r="Z140" s="62">
        <f t="shared" si="108"/>
        <v>-15000</v>
      </c>
      <c r="AA140" s="62">
        <f t="shared" si="109"/>
        <v>-15000</v>
      </c>
      <c r="AB140" s="62">
        <f t="shared" si="110"/>
        <v>-15000</v>
      </c>
      <c r="AC140" s="62">
        <f t="shared" si="111"/>
        <v>-15000</v>
      </c>
    </row>
    <row r="141" spans="1:44" x14ac:dyDescent="0.25">
      <c r="A141" s="30" t="str">
        <f t="shared" si="83"/>
        <v>WACC</v>
      </c>
      <c r="B141" s="62">
        <f t="shared" si="84"/>
        <v>0.06</v>
      </c>
      <c r="C141" s="62">
        <f t="shared" si="85"/>
        <v>0.06</v>
      </c>
      <c r="D141" s="62">
        <f t="shared" si="86"/>
        <v>0.06</v>
      </c>
      <c r="E141" s="62">
        <f t="shared" si="87"/>
        <v>0.06</v>
      </c>
      <c r="F141" s="62">
        <f t="shared" si="88"/>
        <v>0.06</v>
      </c>
      <c r="G141" s="62">
        <f t="shared" si="89"/>
        <v>0.06</v>
      </c>
      <c r="H141" s="62">
        <f t="shared" si="90"/>
        <v>0.06</v>
      </c>
      <c r="I141" s="62">
        <f t="shared" si="91"/>
        <v>0.06</v>
      </c>
      <c r="J141" s="62">
        <f t="shared" si="92"/>
        <v>0.06</v>
      </c>
      <c r="K141" s="62">
        <f t="shared" si="93"/>
        <v>0.06</v>
      </c>
      <c r="L141" s="62">
        <f t="shared" si="94"/>
        <v>0.06</v>
      </c>
      <c r="M141" s="62">
        <f t="shared" si="95"/>
        <v>0.06</v>
      </c>
      <c r="N141" s="62">
        <f t="shared" si="96"/>
        <v>0.06</v>
      </c>
      <c r="O141" s="62">
        <f t="shared" si="97"/>
        <v>0.06</v>
      </c>
      <c r="P141" s="62">
        <f t="shared" si="98"/>
        <v>0.06</v>
      </c>
      <c r="Q141" s="62">
        <f t="shared" si="99"/>
        <v>0.06</v>
      </c>
      <c r="R141" s="62">
        <f t="shared" si="100"/>
        <v>0.06</v>
      </c>
      <c r="S141" s="62">
        <f t="shared" si="101"/>
        <v>0.06</v>
      </c>
      <c r="T141" s="62">
        <f t="shared" si="102"/>
        <v>0.06</v>
      </c>
      <c r="U141" s="62">
        <f t="shared" si="103"/>
        <v>0.06</v>
      </c>
      <c r="V141" s="62">
        <f t="shared" si="104"/>
        <v>0.06</v>
      </c>
      <c r="W141" s="62">
        <f t="shared" si="105"/>
        <v>0.06</v>
      </c>
      <c r="X141" s="62">
        <f t="shared" si="106"/>
        <v>0.06</v>
      </c>
      <c r="Y141" s="62">
        <f t="shared" si="107"/>
        <v>0.06</v>
      </c>
      <c r="Z141" s="62">
        <f t="shared" si="108"/>
        <v>0.06</v>
      </c>
      <c r="AA141" s="62">
        <f t="shared" si="109"/>
        <v>0.06</v>
      </c>
      <c r="AB141" s="62">
        <f t="shared" si="110"/>
        <v>0.06</v>
      </c>
      <c r="AC141" s="62">
        <f t="shared" si="111"/>
        <v>0.06</v>
      </c>
    </row>
    <row r="142" spans="1:44" x14ac:dyDescent="0.25">
      <c r="A142" s="30" t="str">
        <f t="shared" si="83"/>
        <v>Opex fix (admin, crew, insurance)</v>
      </c>
      <c r="B142" s="62">
        <f t="shared" si="84"/>
        <v>70000</v>
      </c>
      <c r="C142" s="62">
        <f t="shared" si="85"/>
        <v>70000</v>
      </c>
      <c r="D142" s="62">
        <f t="shared" si="86"/>
        <v>70000</v>
      </c>
      <c r="E142" s="62">
        <f t="shared" si="87"/>
        <v>70000</v>
      </c>
      <c r="F142" s="62">
        <f t="shared" si="88"/>
        <v>70000</v>
      </c>
      <c r="G142" s="62">
        <f t="shared" si="89"/>
        <v>70000</v>
      </c>
      <c r="H142" s="62">
        <f t="shared" si="90"/>
        <v>70000</v>
      </c>
      <c r="I142" s="62">
        <f t="shared" si="91"/>
        <v>70000</v>
      </c>
      <c r="J142" s="62">
        <f t="shared" si="92"/>
        <v>70000</v>
      </c>
      <c r="K142" s="62">
        <f t="shared" si="93"/>
        <v>70000</v>
      </c>
      <c r="L142" s="62">
        <f t="shared" si="94"/>
        <v>70000</v>
      </c>
      <c r="M142" s="62">
        <f t="shared" si="95"/>
        <v>70000</v>
      </c>
      <c r="N142" s="62">
        <f t="shared" si="96"/>
        <v>70000</v>
      </c>
      <c r="O142" s="62">
        <f t="shared" si="97"/>
        <v>70000</v>
      </c>
      <c r="P142" s="62">
        <f t="shared" si="98"/>
        <v>70000</v>
      </c>
      <c r="Q142" s="62">
        <f t="shared" si="99"/>
        <v>70000</v>
      </c>
      <c r="R142" s="62">
        <f t="shared" si="100"/>
        <v>70000</v>
      </c>
      <c r="S142" s="62">
        <f t="shared" si="101"/>
        <v>70000</v>
      </c>
      <c r="T142" s="62">
        <f t="shared" si="102"/>
        <v>70000</v>
      </c>
      <c r="U142" s="62">
        <f t="shared" si="103"/>
        <v>70000</v>
      </c>
      <c r="V142" s="62">
        <f t="shared" si="104"/>
        <v>70000</v>
      </c>
      <c r="W142" s="62">
        <f t="shared" si="105"/>
        <v>70000</v>
      </c>
      <c r="X142" s="62">
        <f t="shared" si="106"/>
        <v>70000</v>
      </c>
      <c r="Y142" s="62">
        <f t="shared" si="107"/>
        <v>70000</v>
      </c>
      <c r="Z142" s="62">
        <f t="shared" si="108"/>
        <v>70000</v>
      </c>
      <c r="AA142" s="62">
        <f t="shared" si="109"/>
        <v>70000</v>
      </c>
      <c r="AB142" s="62">
        <f t="shared" si="110"/>
        <v>70000</v>
      </c>
      <c r="AC142" s="62">
        <f t="shared" si="111"/>
        <v>70000</v>
      </c>
    </row>
    <row r="143" spans="1:44" x14ac:dyDescent="0.25">
      <c r="A143" s="30" t="str">
        <f t="shared" si="83"/>
        <v>Opex maintenance &amp; repair</v>
      </c>
      <c r="B143" s="62">
        <f t="shared" si="84"/>
        <v>20000</v>
      </c>
      <c r="C143" s="62">
        <f t="shared" si="85"/>
        <v>20000</v>
      </c>
      <c r="D143" s="62">
        <f t="shared" si="86"/>
        <v>20000</v>
      </c>
      <c r="E143" s="62">
        <f t="shared" si="87"/>
        <v>20000</v>
      </c>
      <c r="F143" s="62">
        <f t="shared" si="88"/>
        <v>20000</v>
      </c>
      <c r="G143" s="62">
        <f t="shared" si="89"/>
        <v>20000</v>
      </c>
      <c r="H143" s="62">
        <f t="shared" si="90"/>
        <v>20000</v>
      </c>
      <c r="I143" s="62">
        <f t="shared" si="91"/>
        <v>20000</v>
      </c>
      <c r="J143" s="62">
        <f t="shared" si="92"/>
        <v>20000</v>
      </c>
      <c r="K143" s="62">
        <f t="shared" si="93"/>
        <v>20000</v>
      </c>
      <c r="L143" s="62">
        <f t="shared" si="94"/>
        <v>20000</v>
      </c>
      <c r="M143" s="62">
        <f t="shared" si="95"/>
        <v>20000</v>
      </c>
      <c r="N143" s="62">
        <f t="shared" si="96"/>
        <v>20000</v>
      </c>
      <c r="O143" s="62">
        <f t="shared" si="97"/>
        <v>20000</v>
      </c>
      <c r="P143" s="62">
        <f t="shared" si="98"/>
        <v>20000</v>
      </c>
      <c r="Q143" s="62">
        <f t="shared" si="99"/>
        <v>20000</v>
      </c>
      <c r="R143" s="62">
        <f t="shared" si="100"/>
        <v>20000</v>
      </c>
      <c r="S143" s="62">
        <f t="shared" si="101"/>
        <v>20000</v>
      </c>
      <c r="T143" s="62">
        <f t="shared" si="102"/>
        <v>20000</v>
      </c>
      <c r="U143" s="62">
        <f t="shared" si="103"/>
        <v>20000</v>
      </c>
      <c r="V143" s="62">
        <f t="shared" si="104"/>
        <v>20000</v>
      </c>
      <c r="W143" s="62">
        <f t="shared" si="105"/>
        <v>20000</v>
      </c>
      <c r="X143" s="62">
        <f t="shared" si="106"/>
        <v>20000</v>
      </c>
      <c r="Y143" s="62">
        <f t="shared" si="107"/>
        <v>20000</v>
      </c>
      <c r="Z143" s="62">
        <f t="shared" si="108"/>
        <v>20000</v>
      </c>
      <c r="AA143" s="62">
        <f t="shared" si="109"/>
        <v>20000</v>
      </c>
      <c r="AB143" s="62">
        <f t="shared" si="110"/>
        <v>20000</v>
      </c>
      <c r="AC143" s="62">
        <f t="shared" si="111"/>
        <v>20000</v>
      </c>
    </row>
    <row r="144" spans="1:44" x14ac:dyDescent="0.25">
      <c r="A144" s="30" t="str">
        <f t="shared" si="83"/>
        <v>Opex var (mode-fees)</v>
      </c>
      <c r="B144" s="62">
        <f t="shared" si="84"/>
        <v>0.11</v>
      </c>
      <c r="C144" s="62">
        <f t="shared" si="85"/>
        <v>0.11</v>
      </c>
      <c r="D144" s="62">
        <f t="shared" si="86"/>
        <v>0.11</v>
      </c>
      <c r="E144" s="62">
        <f t="shared" si="87"/>
        <v>0.11</v>
      </c>
      <c r="F144" s="62">
        <f t="shared" si="88"/>
        <v>0.11</v>
      </c>
      <c r="G144" s="62">
        <f t="shared" si="89"/>
        <v>0.11</v>
      </c>
      <c r="H144" s="62">
        <f t="shared" si="90"/>
        <v>0.11</v>
      </c>
      <c r="I144" s="62">
        <f t="shared" si="91"/>
        <v>0.11</v>
      </c>
      <c r="J144" s="62">
        <f t="shared" si="92"/>
        <v>0.11</v>
      </c>
      <c r="K144" s="62">
        <f t="shared" si="93"/>
        <v>0.11</v>
      </c>
      <c r="L144" s="62">
        <f t="shared" si="94"/>
        <v>0.11</v>
      </c>
      <c r="M144" s="62">
        <f t="shared" si="95"/>
        <v>0.11</v>
      </c>
      <c r="N144" s="62">
        <f t="shared" si="96"/>
        <v>0.11</v>
      </c>
      <c r="O144" s="62">
        <f t="shared" si="97"/>
        <v>0.11</v>
      </c>
      <c r="P144" s="62">
        <f t="shared" si="98"/>
        <v>0.11</v>
      </c>
      <c r="Q144" s="62">
        <f t="shared" si="99"/>
        <v>0.11</v>
      </c>
      <c r="R144" s="62">
        <f t="shared" si="100"/>
        <v>0.11</v>
      </c>
      <c r="S144" s="62">
        <f t="shared" si="101"/>
        <v>0.11</v>
      </c>
      <c r="T144" s="62">
        <f t="shared" si="102"/>
        <v>0.11</v>
      </c>
      <c r="U144" s="62">
        <f t="shared" si="103"/>
        <v>0.11</v>
      </c>
      <c r="V144" s="62">
        <f t="shared" si="104"/>
        <v>0.11</v>
      </c>
      <c r="W144" s="62">
        <f t="shared" si="105"/>
        <v>0.11</v>
      </c>
      <c r="X144" s="62">
        <f t="shared" si="106"/>
        <v>0.11</v>
      </c>
      <c r="Y144" s="62">
        <f t="shared" si="107"/>
        <v>0.11</v>
      </c>
      <c r="Z144" s="62">
        <f t="shared" si="108"/>
        <v>0.11</v>
      </c>
      <c r="AA144" s="62">
        <f t="shared" si="109"/>
        <v>0.11</v>
      </c>
      <c r="AB144" s="62">
        <f t="shared" si="110"/>
        <v>0.11</v>
      </c>
      <c r="AC144" s="62">
        <f t="shared" si="111"/>
        <v>0.11</v>
      </c>
    </row>
    <row r="145" spans="1:29" x14ac:dyDescent="0.25">
      <c r="A145" s="30" t="str">
        <f t="shared" si="83"/>
        <v>Fuel Economy</v>
      </c>
      <c r="B145" s="62">
        <f t="shared" si="84"/>
        <v>2.8933989307874186</v>
      </c>
      <c r="C145" s="62">
        <f t="shared" si="85"/>
        <v>2.890572548814291</v>
      </c>
      <c r="D145" s="62">
        <f t="shared" si="86"/>
        <v>2.88655949157936</v>
      </c>
      <c r="E145" s="62">
        <f t="shared" si="87"/>
        <v>2.880887420807964</v>
      </c>
      <c r="F145" s="62">
        <f t="shared" si="88"/>
        <v>2.8729239357775569</v>
      </c>
      <c r="G145" s="62">
        <f t="shared" si="89"/>
        <v>2.8618518007507072</v>
      </c>
      <c r="H145" s="62">
        <f t="shared" si="90"/>
        <v>2.846672317838292</v>
      </c>
      <c r="I145" s="62">
        <f t="shared" si="91"/>
        <v>2.826272719371635</v>
      </c>
      <c r="J145" s="62">
        <f t="shared" si="92"/>
        <v>2.7996065032631194</v>
      </c>
      <c r="K145" s="62">
        <f t="shared" si="93"/>
        <v>2.7660249112499669</v>
      </c>
      <c r="L145" s="62">
        <f t="shared" si="94"/>
        <v>2.7257279647939332</v>
      </c>
      <c r="M145" s="62">
        <f t="shared" si="95"/>
        <v>2.6801612394042476</v>
      </c>
      <c r="N145" s="62">
        <f t="shared" si="96"/>
        <v>2.6320566343659264</v>
      </c>
      <c r="O145" s="62">
        <f t="shared" si="97"/>
        <v>2.5848986379776195</v>
      </c>
      <c r="P145" s="62">
        <f t="shared" si="98"/>
        <v>2.5419697431861561</v>
      </c>
      <c r="Q145" s="62">
        <f t="shared" si="99"/>
        <v>2.5054862958055883</v>
      </c>
      <c r="R145" s="62">
        <f t="shared" si="100"/>
        <v>2.4762695882689911</v>
      </c>
      <c r="S145" s="62">
        <f t="shared" si="101"/>
        <v>2.4539759436885498</v>
      </c>
      <c r="T145" s="62">
        <f t="shared" si="102"/>
        <v>2.4375883269690459</v>
      </c>
      <c r="U145" s="62">
        <f t="shared" si="103"/>
        <v>2.4258714180887511</v>
      </c>
      <c r="V145" s="62">
        <f t="shared" si="104"/>
        <v>2.4176595953126729</v>
      </c>
      <c r="W145" s="62">
        <f t="shared" si="105"/>
        <v>2.4119847210363288</v>
      </c>
      <c r="X145" s="62">
        <f t="shared" si="106"/>
        <v>2.408101121779195</v>
      </c>
      <c r="Y145" s="62">
        <f t="shared" si="107"/>
        <v>2.4054611202820539</v>
      </c>
      <c r="Z145" s="62">
        <f t="shared" si="108"/>
        <v>2.4036746606453043</v>
      </c>
      <c r="AA145" s="62">
        <f t="shared" si="109"/>
        <v>2.4024695131092528</v>
      </c>
      <c r="AB145" s="62">
        <f t="shared" si="110"/>
        <v>2.4016582137746476</v>
      </c>
      <c r="AC145" s="62">
        <f t="shared" si="111"/>
        <v>2.4011128181073338</v>
      </c>
    </row>
    <row r="146" spans="1:29" x14ac:dyDescent="0.25">
      <c r="A146" s="30" t="str">
        <f t="shared" si="83"/>
        <v>Fuel Cost</v>
      </c>
      <c r="B146" s="66">
        <f>$B126+($C126-$B126)*(1-Q126)</f>
        <v>0.1</v>
      </c>
      <c r="C146" s="66">
        <f t="shared" ref="C146:AC146" si="112">$B126+($C126-$B126)*(1-R126)</f>
        <v>0.1</v>
      </c>
      <c r="D146" s="66">
        <f t="shared" si="112"/>
        <v>0.1</v>
      </c>
      <c r="E146" s="66">
        <f t="shared" si="112"/>
        <v>0.1</v>
      </c>
      <c r="F146" s="66">
        <f t="shared" si="112"/>
        <v>0.1</v>
      </c>
      <c r="G146" s="66">
        <f t="shared" si="112"/>
        <v>0.1</v>
      </c>
      <c r="H146" s="66">
        <f t="shared" si="112"/>
        <v>0.1</v>
      </c>
      <c r="I146" s="66">
        <f t="shared" si="112"/>
        <v>0.1</v>
      </c>
      <c r="J146" s="66">
        <f t="shared" si="112"/>
        <v>0.1</v>
      </c>
      <c r="K146" s="66">
        <f t="shared" si="112"/>
        <v>0.1</v>
      </c>
      <c r="L146" s="66">
        <f t="shared" si="112"/>
        <v>0.1</v>
      </c>
      <c r="M146" s="66">
        <f t="shared" si="112"/>
        <v>0.1</v>
      </c>
      <c r="N146" s="66">
        <f t="shared" si="112"/>
        <v>0.1</v>
      </c>
      <c r="O146" s="66">
        <f t="shared" si="112"/>
        <v>0.1</v>
      </c>
      <c r="P146" s="66">
        <f t="shared" si="112"/>
        <v>0.1</v>
      </c>
      <c r="Q146" s="66">
        <f t="shared" si="112"/>
        <v>0.1</v>
      </c>
      <c r="R146" s="66">
        <f t="shared" si="112"/>
        <v>0.1</v>
      </c>
      <c r="S146" s="66">
        <f t="shared" si="112"/>
        <v>0.1</v>
      </c>
      <c r="T146" s="66">
        <f t="shared" si="112"/>
        <v>0.1</v>
      </c>
      <c r="U146" s="66">
        <f t="shared" si="112"/>
        <v>0.1</v>
      </c>
      <c r="V146" s="66">
        <f t="shared" si="112"/>
        <v>0.1</v>
      </c>
      <c r="W146" s="66">
        <f t="shared" si="112"/>
        <v>0.1</v>
      </c>
      <c r="X146" s="66">
        <f t="shared" si="112"/>
        <v>0.1</v>
      </c>
      <c r="Y146" s="66">
        <f t="shared" si="112"/>
        <v>0.1</v>
      </c>
      <c r="Z146" s="66">
        <f t="shared" si="112"/>
        <v>0.1</v>
      </c>
      <c r="AA146" s="66">
        <f t="shared" si="112"/>
        <v>0.1</v>
      </c>
      <c r="AB146" s="66">
        <f t="shared" si="112"/>
        <v>0.1</v>
      </c>
      <c r="AC146" s="66">
        <f t="shared" si="112"/>
        <v>0.1</v>
      </c>
    </row>
    <row r="147" spans="1:29" x14ac:dyDescent="0.25">
      <c r="A147" s="30" t="str">
        <f t="shared" si="83"/>
        <v>Emission Cost</v>
      </c>
      <c r="B147" s="66">
        <f>$B127+($C127-$B127)*(1-Q127)</f>
        <v>7.7639122778339092E-2</v>
      </c>
      <c r="C147" s="66">
        <f t="shared" ref="C147:AC147" si="113">$B127+($C127-$B127)*(1-R127)</f>
        <v>7.777844914537467E-2</v>
      </c>
      <c r="D147" s="66">
        <f t="shared" si="113"/>
        <v>7.7977891736541474E-2</v>
      </c>
      <c r="E147" s="66">
        <f t="shared" si="113"/>
        <v>7.8263208388635597E-2</v>
      </c>
      <c r="F147" s="66">
        <f t="shared" si="113"/>
        <v>7.8670988842723152E-2</v>
      </c>
      <c r="G147" s="66">
        <f t="shared" si="113"/>
        <v>7.925297967571665E-2</v>
      </c>
      <c r="H147" s="66">
        <f t="shared" si="113"/>
        <v>8.0081877399879431E-2</v>
      </c>
      <c r="I147" s="66">
        <f t="shared" si="113"/>
        <v>8.1258793344219593E-2</v>
      </c>
      <c r="J147" s="66">
        <f t="shared" si="113"/>
        <v>8.2922250937142977E-2</v>
      </c>
      <c r="K147" s="66">
        <f t="shared" si="113"/>
        <v>8.5257715386346467E-2</v>
      </c>
      <c r="L147" s="66">
        <f t="shared" si="113"/>
        <v>8.8504858770587308E-2</v>
      </c>
      <c r="M147" s="66">
        <f t="shared" si="113"/>
        <v>9.2956570874505887E-2</v>
      </c>
      <c r="N147" s="66">
        <f t="shared" si="113"/>
        <v>9.8939194915988959E-2</v>
      </c>
      <c r="O147" s="66">
        <f t="shared" si="113"/>
        <v>0.10675964029617348</v>
      </c>
      <c r="P147" s="66">
        <f t="shared" si="113"/>
        <v>0.11660816942568256</v>
      </c>
      <c r="Q147" s="66">
        <f t="shared" si="113"/>
        <v>0.12842612167902054</v>
      </c>
      <c r="R147" s="66">
        <f t="shared" si="113"/>
        <v>0.14178955073148763</v>
      </c>
      <c r="S147" s="66">
        <f t="shared" si="113"/>
        <v>0.15589726795340736</v>
      </c>
      <c r="T147" s="66">
        <f t="shared" si="113"/>
        <v>0.16972737168814467</v>
      </c>
      <c r="U147" s="66">
        <f t="shared" si="113"/>
        <v>0.18231719979056973</v>
      </c>
      <c r="V147" s="66">
        <f t="shared" si="113"/>
        <v>0.19301676085163266</v>
      </c>
      <c r="W147" s="66">
        <f t="shared" si="113"/>
        <v>0.20158519307872402</v>
      </c>
      <c r="X147" s="66">
        <f t="shared" si="113"/>
        <v>0.20812328716215528</v>
      </c>
      <c r="Y147" s="66">
        <f t="shared" si="113"/>
        <v>0.21292931066938076</v>
      </c>
      <c r="Z147" s="66">
        <f t="shared" si="113"/>
        <v>0.21636554794991802</v>
      </c>
      <c r="AA147" s="66">
        <f t="shared" si="113"/>
        <v>0.21877384282125395</v>
      </c>
      <c r="AB147" s="66">
        <f t="shared" si="113"/>
        <v>0.22043812260271833</v>
      </c>
      <c r="AC147" s="66">
        <f t="shared" si="113"/>
        <v>0.22157707219141698</v>
      </c>
    </row>
    <row r="148" spans="1:29" x14ac:dyDescent="0.25">
      <c r="A148" s="30" t="str">
        <f t="shared" si="83"/>
        <v>Lifetime vehicle</v>
      </c>
      <c r="B148" s="62">
        <f>$B128+($C128-$B128)*(1-Q128)</f>
        <v>8</v>
      </c>
      <c r="C148" s="62">
        <f t="shared" ref="C148:L150" si="114">$B128+($C128-$B128)*(1-R128)</f>
        <v>8</v>
      </c>
      <c r="D148" s="62">
        <f t="shared" si="114"/>
        <v>8</v>
      </c>
      <c r="E148" s="62">
        <f t="shared" si="114"/>
        <v>8</v>
      </c>
      <c r="F148" s="62">
        <f t="shared" si="114"/>
        <v>8</v>
      </c>
      <c r="G148" s="62">
        <f t="shared" si="114"/>
        <v>8</v>
      </c>
      <c r="H148" s="62">
        <f t="shared" si="114"/>
        <v>8</v>
      </c>
      <c r="I148" s="62">
        <f t="shared" si="114"/>
        <v>8</v>
      </c>
      <c r="J148" s="62">
        <f t="shared" si="114"/>
        <v>8</v>
      </c>
      <c r="K148" s="62">
        <f t="shared" si="114"/>
        <v>8</v>
      </c>
      <c r="L148" s="62">
        <f t="shared" si="114"/>
        <v>8</v>
      </c>
      <c r="M148" s="62">
        <f t="shared" ref="M148:V150" si="115">$B128+($C128-$B128)*(1-AB128)</f>
        <v>8</v>
      </c>
      <c r="N148" s="62">
        <f t="shared" si="115"/>
        <v>8</v>
      </c>
      <c r="O148" s="62">
        <f t="shared" si="115"/>
        <v>8</v>
      </c>
      <c r="P148" s="62">
        <f t="shared" si="115"/>
        <v>8</v>
      </c>
      <c r="Q148" s="62">
        <f t="shared" si="115"/>
        <v>8</v>
      </c>
      <c r="R148" s="62">
        <f t="shared" si="115"/>
        <v>8</v>
      </c>
      <c r="S148" s="62">
        <f t="shared" si="115"/>
        <v>8</v>
      </c>
      <c r="T148" s="62">
        <f t="shared" si="115"/>
        <v>8</v>
      </c>
      <c r="U148" s="62">
        <f t="shared" si="115"/>
        <v>8</v>
      </c>
      <c r="V148" s="62">
        <f t="shared" si="115"/>
        <v>8</v>
      </c>
      <c r="W148" s="62">
        <f t="shared" ref="W148:AC150" si="116">$B128+($C128-$B128)*(1-AL128)</f>
        <v>8</v>
      </c>
      <c r="X148" s="62">
        <f t="shared" si="116"/>
        <v>8</v>
      </c>
      <c r="Y148" s="62">
        <f t="shared" si="116"/>
        <v>8</v>
      </c>
      <c r="Z148" s="62">
        <f t="shared" si="116"/>
        <v>8</v>
      </c>
      <c r="AA148" s="62">
        <f t="shared" si="116"/>
        <v>8</v>
      </c>
      <c r="AB148" s="62">
        <f t="shared" si="116"/>
        <v>8</v>
      </c>
      <c r="AC148" s="62">
        <f t="shared" si="116"/>
        <v>8</v>
      </c>
    </row>
    <row r="149" spans="1:29" x14ac:dyDescent="0.25">
      <c r="A149" s="30" t="str">
        <f t="shared" si="83"/>
        <v>Lifetime costumization</v>
      </c>
      <c r="B149" s="62">
        <f>$B129+($C129-$B129)*(1-Q129)</f>
        <v>10</v>
      </c>
      <c r="C149" s="62">
        <f t="shared" si="114"/>
        <v>10</v>
      </c>
      <c r="D149" s="62">
        <f t="shared" si="114"/>
        <v>10</v>
      </c>
      <c r="E149" s="62">
        <f t="shared" si="114"/>
        <v>10</v>
      </c>
      <c r="F149" s="62">
        <f t="shared" si="114"/>
        <v>10</v>
      </c>
      <c r="G149" s="62">
        <f t="shared" si="114"/>
        <v>10</v>
      </c>
      <c r="H149" s="62">
        <f t="shared" si="114"/>
        <v>10</v>
      </c>
      <c r="I149" s="62">
        <f t="shared" si="114"/>
        <v>10</v>
      </c>
      <c r="J149" s="62">
        <f t="shared" si="114"/>
        <v>10</v>
      </c>
      <c r="K149" s="62">
        <f t="shared" si="114"/>
        <v>10</v>
      </c>
      <c r="L149" s="62">
        <f t="shared" si="114"/>
        <v>10</v>
      </c>
      <c r="M149" s="62">
        <f t="shared" si="115"/>
        <v>10</v>
      </c>
      <c r="N149" s="62">
        <f t="shared" si="115"/>
        <v>10</v>
      </c>
      <c r="O149" s="62">
        <f t="shared" si="115"/>
        <v>10</v>
      </c>
      <c r="P149" s="62">
        <f t="shared" si="115"/>
        <v>10</v>
      </c>
      <c r="Q149" s="62">
        <f t="shared" si="115"/>
        <v>10</v>
      </c>
      <c r="R149" s="62">
        <f t="shared" si="115"/>
        <v>10</v>
      </c>
      <c r="S149" s="62">
        <f t="shared" si="115"/>
        <v>10</v>
      </c>
      <c r="T149" s="62">
        <f t="shared" si="115"/>
        <v>10</v>
      </c>
      <c r="U149" s="62">
        <f t="shared" si="115"/>
        <v>10</v>
      </c>
      <c r="V149" s="62">
        <f t="shared" si="115"/>
        <v>10</v>
      </c>
      <c r="W149" s="62">
        <f t="shared" si="116"/>
        <v>10</v>
      </c>
      <c r="X149" s="62">
        <f t="shared" si="116"/>
        <v>10</v>
      </c>
      <c r="Y149" s="62">
        <f t="shared" si="116"/>
        <v>10</v>
      </c>
      <c r="Z149" s="62">
        <f t="shared" si="116"/>
        <v>10</v>
      </c>
      <c r="AA149" s="62">
        <f t="shared" si="116"/>
        <v>10</v>
      </c>
      <c r="AB149" s="62">
        <f t="shared" si="116"/>
        <v>10</v>
      </c>
      <c r="AC149" s="62">
        <f t="shared" si="116"/>
        <v>10</v>
      </c>
    </row>
    <row r="150" spans="1:29" x14ac:dyDescent="0.25">
      <c r="A150" s="30" t="str">
        <f t="shared" si="83"/>
        <v>Tonnage .</v>
      </c>
      <c r="B150" s="62">
        <f>$B130+($C130-$B130)*(1-Q130)</f>
        <v>25</v>
      </c>
      <c r="C150" s="62">
        <f t="shared" si="114"/>
        <v>25</v>
      </c>
      <c r="D150" s="62">
        <f t="shared" si="114"/>
        <v>25</v>
      </c>
      <c r="E150" s="62">
        <f t="shared" si="114"/>
        <v>25</v>
      </c>
      <c r="F150" s="62">
        <f t="shared" si="114"/>
        <v>25</v>
      </c>
      <c r="G150" s="62">
        <f t="shared" si="114"/>
        <v>25</v>
      </c>
      <c r="H150" s="62">
        <f t="shared" si="114"/>
        <v>25</v>
      </c>
      <c r="I150" s="62">
        <f t="shared" si="114"/>
        <v>25</v>
      </c>
      <c r="J150" s="62">
        <f t="shared" si="114"/>
        <v>25</v>
      </c>
      <c r="K150" s="62">
        <f t="shared" si="114"/>
        <v>25</v>
      </c>
      <c r="L150" s="62">
        <f t="shared" si="114"/>
        <v>25</v>
      </c>
      <c r="M150" s="62">
        <f t="shared" si="115"/>
        <v>25</v>
      </c>
      <c r="N150" s="62">
        <f t="shared" si="115"/>
        <v>25</v>
      </c>
      <c r="O150" s="62">
        <f t="shared" si="115"/>
        <v>25</v>
      </c>
      <c r="P150" s="62">
        <f t="shared" si="115"/>
        <v>25</v>
      </c>
      <c r="Q150" s="62">
        <f t="shared" si="115"/>
        <v>25</v>
      </c>
      <c r="R150" s="62">
        <f t="shared" si="115"/>
        <v>25</v>
      </c>
      <c r="S150" s="62">
        <f t="shared" si="115"/>
        <v>25</v>
      </c>
      <c r="T150" s="62">
        <f t="shared" si="115"/>
        <v>25</v>
      </c>
      <c r="U150" s="62">
        <f t="shared" si="115"/>
        <v>25</v>
      </c>
      <c r="V150" s="62">
        <f t="shared" si="115"/>
        <v>25</v>
      </c>
      <c r="W150" s="62">
        <f t="shared" si="116"/>
        <v>25</v>
      </c>
      <c r="X150" s="62">
        <f t="shared" si="116"/>
        <v>25</v>
      </c>
      <c r="Y150" s="62">
        <f t="shared" si="116"/>
        <v>25</v>
      </c>
      <c r="Z150" s="62">
        <f t="shared" si="116"/>
        <v>25</v>
      </c>
      <c r="AA150" s="62">
        <f t="shared" si="116"/>
        <v>25</v>
      </c>
      <c r="AB150" s="62">
        <f t="shared" si="116"/>
        <v>25</v>
      </c>
      <c r="AC150" s="62">
        <f t="shared" si="116"/>
        <v>25</v>
      </c>
    </row>
    <row r="151" spans="1:29" x14ac:dyDescent="0.25">
      <c r="A151" s="30" t="str">
        <f t="shared" si="83"/>
        <v>Market failure (av. utilization)</v>
      </c>
      <c r="B151" s="62">
        <f t="shared" ref="B151:K152" si="117">($B131+($C131-$B131)*(1-Q131))*B$44</f>
        <v>16</v>
      </c>
      <c r="C151" s="62">
        <f t="shared" si="117"/>
        <v>16</v>
      </c>
      <c r="D151" s="62">
        <f t="shared" si="117"/>
        <v>16</v>
      </c>
      <c r="E151" s="62">
        <f t="shared" si="117"/>
        <v>16</v>
      </c>
      <c r="F151" s="62">
        <f t="shared" si="117"/>
        <v>16</v>
      </c>
      <c r="G151" s="62">
        <f t="shared" si="117"/>
        <v>16</v>
      </c>
      <c r="H151" s="62">
        <f t="shared" si="117"/>
        <v>16</v>
      </c>
      <c r="I151" s="62">
        <f t="shared" si="117"/>
        <v>16</v>
      </c>
      <c r="J151" s="62">
        <f t="shared" si="117"/>
        <v>16</v>
      </c>
      <c r="K151" s="62">
        <f t="shared" si="117"/>
        <v>16</v>
      </c>
      <c r="L151" s="62">
        <f t="shared" ref="L151:U152" si="118">($B131+($C131-$B131)*(1-AA131))*L$44</f>
        <v>16</v>
      </c>
      <c r="M151" s="62">
        <f t="shared" si="118"/>
        <v>16</v>
      </c>
      <c r="N151" s="62">
        <f t="shared" si="118"/>
        <v>16</v>
      </c>
      <c r="O151" s="62">
        <f t="shared" si="118"/>
        <v>16</v>
      </c>
      <c r="P151" s="62">
        <f t="shared" si="118"/>
        <v>16</v>
      </c>
      <c r="Q151" s="62">
        <f t="shared" si="118"/>
        <v>16</v>
      </c>
      <c r="R151" s="62">
        <f t="shared" si="118"/>
        <v>16</v>
      </c>
      <c r="S151" s="62">
        <f t="shared" si="118"/>
        <v>16</v>
      </c>
      <c r="T151" s="62">
        <f t="shared" si="118"/>
        <v>16</v>
      </c>
      <c r="U151" s="62">
        <f t="shared" si="118"/>
        <v>16</v>
      </c>
      <c r="V151" s="62">
        <f t="shared" ref="V151:AC152" si="119">($B131+($C131-$B131)*(1-AK131))*V$44</f>
        <v>16</v>
      </c>
      <c r="W151" s="62">
        <f t="shared" si="119"/>
        <v>16</v>
      </c>
      <c r="X151" s="62">
        <f t="shared" si="119"/>
        <v>16</v>
      </c>
      <c r="Y151" s="62">
        <f t="shared" si="119"/>
        <v>16</v>
      </c>
      <c r="Z151" s="62">
        <f t="shared" si="119"/>
        <v>16</v>
      </c>
      <c r="AA151" s="62">
        <f t="shared" si="119"/>
        <v>16</v>
      </c>
      <c r="AB151" s="62">
        <f t="shared" si="119"/>
        <v>16</v>
      </c>
      <c r="AC151" s="62">
        <f t="shared" si="119"/>
        <v>16</v>
      </c>
    </row>
    <row r="152" spans="1:29" x14ac:dyDescent="0.25">
      <c r="A152" s="30" t="s">
        <v>73</v>
      </c>
      <c r="B152" s="62">
        <f t="shared" si="117"/>
        <v>0</v>
      </c>
      <c r="C152" s="62">
        <f t="shared" si="117"/>
        <v>0</v>
      </c>
      <c r="D152" s="62">
        <f t="shared" si="117"/>
        <v>0</v>
      </c>
      <c r="E152" s="62">
        <f t="shared" si="117"/>
        <v>0</v>
      </c>
      <c r="F152" s="62">
        <f t="shared" si="117"/>
        <v>0</v>
      </c>
      <c r="G152" s="62">
        <f t="shared" si="117"/>
        <v>0</v>
      </c>
      <c r="H152" s="62">
        <f t="shared" si="117"/>
        <v>0</v>
      </c>
      <c r="I152" s="62">
        <f t="shared" si="117"/>
        <v>0</v>
      </c>
      <c r="J152" s="62">
        <f t="shared" si="117"/>
        <v>0</v>
      </c>
      <c r="K152" s="62">
        <f t="shared" si="117"/>
        <v>0</v>
      </c>
      <c r="L152" s="62">
        <f t="shared" si="118"/>
        <v>0</v>
      </c>
      <c r="M152" s="62">
        <f t="shared" si="118"/>
        <v>0</v>
      </c>
      <c r="N152" s="62">
        <f t="shared" si="118"/>
        <v>0</v>
      </c>
      <c r="O152" s="62">
        <f t="shared" si="118"/>
        <v>0</v>
      </c>
      <c r="P152" s="62">
        <f t="shared" si="118"/>
        <v>0</v>
      </c>
      <c r="Q152" s="62">
        <f t="shared" si="118"/>
        <v>0</v>
      </c>
      <c r="R152" s="62">
        <f t="shared" si="118"/>
        <v>0</v>
      </c>
      <c r="S152" s="62">
        <f t="shared" si="118"/>
        <v>0</v>
      </c>
      <c r="T152" s="62">
        <f t="shared" si="118"/>
        <v>0</v>
      </c>
      <c r="U152" s="62">
        <f t="shared" si="118"/>
        <v>0</v>
      </c>
      <c r="V152" s="62">
        <f t="shared" si="119"/>
        <v>0</v>
      </c>
      <c r="W152" s="62">
        <f t="shared" si="119"/>
        <v>0</v>
      </c>
      <c r="X152" s="62">
        <f t="shared" si="119"/>
        <v>0</v>
      </c>
      <c r="Y152" s="62">
        <f t="shared" si="119"/>
        <v>0</v>
      </c>
      <c r="Z152" s="62">
        <f t="shared" si="119"/>
        <v>0</v>
      </c>
      <c r="AA152" s="62">
        <f t="shared" si="119"/>
        <v>0</v>
      </c>
      <c r="AB152" s="62">
        <f t="shared" si="119"/>
        <v>0</v>
      </c>
      <c r="AC152" s="62">
        <f t="shared" si="119"/>
        <v>0</v>
      </c>
    </row>
    <row r="153" spans="1:29" x14ac:dyDescent="0.25">
      <c r="A153" s="30" t="str">
        <f>A133</f>
        <v>Annual Mileage</v>
      </c>
      <c r="B153" s="62">
        <f t="shared" ref="B153" si="120">$B133+($C133-$B133)*(1-Q133)</f>
        <v>110000</v>
      </c>
      <c r="C153" s="62">
        <f t="shared" ref="C153" si="121">$B133+($C133-$B133)*(1-R133)</f>
        <v>110000</v>
      </c>
      <c r="D153" s="62">
        <f t="shared" ref="D153" si="122">$B133+($C133-$B133)*(1-S133)</f>
        <v>110000</v>
      </c>
      <c r="E153" s="62">
        <f t="shared" ref="E153" si="123">$B133+($C133-$B133)*(1-T133)</f>
        <v>110000</v>
      </c>
      <c r="F153" s="62">
        <f t="shared" ref="F153" si="124">$B133+($C133-$B133)*(1-U133)</f>
        <v>110000</v>
      </c>
      <c r="G153" s="62">
        <f t="shared" ref="G153" si="125">$B133+($C133-$B133)*(1-V133)</f>
        <v>110000</v>
      </c>
      <c r="H153" s="62">
        <f t="shared" ref="H153" si="126">$B133+($C133-$B133)*(1-W133)</f>
        <v>110000</v>
      </c>
      <c r="I153" s="62">
        <f t="shared" ref="I153" si="127">$B133+($C133-$B133)*(1-X133)</f>
        <v>110000</v>
      </c>
      <c r="J153" s="62">
        <f t="shared" ref="J153" si="128">$B133+($C133-$B133)*(1-Y133)</f>
        <v>110000</v>
      </c>
      <c r="K153" s="62">
        <f t="shared" ref="K153" si="129">$B133+($C133-$B133)*(1-Z133)</f>
        <v>110000</v>
      </c>
      <c r="L153" s="62">
        <f t="shared" ref="L153" si="130">$B133+($C133-$B133)*(1-AA133)</f>
        <v>110000</v>
      </c>
      <c r="M153" s="62">
        <f t="shared" ref="M153" si="131">$B133+($C133-$B133)*(1-AB133)</f>
        <v>110000</v>
      </c>
      <c r="N153" s="62">
        <f t="shared" ref="N153" si="132">$B133+($C133-$B133)*(1-AC133)</f>
        <v>110000</v>
      </c>
      <c r="O153" s="62">
        <f t="shared" ref="O153" si="133">$B133+($C133-$B133)*(1-AD133)</f>
        <v>110000</v>
      </c>
      <c r="P153" s="62">
        <f t="shared" ref="P153" si="134">$B133+($C133-$B133)*(1-AE133)</f>
        <v>110000</v>
      </c>
      <c r="Q153" s="62">
        <f t="shared" ref="Q153" si="135">$B133+($C133-$B133)*(1-AF133)</f>
        <v>110000</v>
      </c>
      <c r="R153" s="62">
        <f t="shared" ref="R153" si="136">$B133+($C133-$B133)*(1-AG133)</f>
        <v>110000</v>
      </c>
      <c r="S153" s="62">
        <f t="shared" ref="S153" si="137">$B133+($C133-$B133)*(1-AH133)</f>
        <v>110000</v>
      </c>
      <c r="T153" s="62">
        <f t="shared" ref="T153" si="138">$B133+($C133-$B133)*(1-AI133)</f>
        <v>110000</v>
      </c>
      <c r="U153" s="62">
        <f t="shared" ref="U153" si="139">$B133+($C133-$B133)*(1-AJ133)</f>
        <v>110000</v>
      </c>
      <c r="V153" s="62">
        <f t="shared" ref="V153" si="140">$B133+($C133-$B133)*(1-AK133)</f>
        <v>110000</v>
      </c>
      <c r="W153" s="62">
        <f t="shared" ref="W153" si="141">$B133+($C133-$B133)*(1-AL133)</f>
        <v>110000</v>
      </c>
      <c r="X153" s="62">
        <f t="shared" ref="X153" si="142">$B133+($C133-$B133)*(1-AM133)</f>
        <v>110000</v>
      </c>
      <c r="Y153" s="62">
        <f t="shared" ref="Y153" si="143">$B133+($C133-$B133)*(1-AN133)</f>
        <v>110000</v>
      </c>
      <c r="Z153" s="62">
        <f t="shared" ref="Z153" si="144">$B133+($C133-$B133)*(1-AO133)</f>
        <v>110000</v>
      </c>
      <c r="AA153" s="62">
        <f t="shared" ref="AA153" si="145">$B133+($C133-$B133)*(1-AP133)</f>
        <v>110000</v>
      </c>
      <c r="AB153" s="62">
        <f t="shared" ref="AB153" si="146">$B133+($C133-$B133)*(1-AQ133)</f>
        <v>110000</v>
      </c>
      <c r="AC153" s="62">
        <f t="shared" ref="AC153" si="147">$B133+($C133-$B133)*(1-AR133)</f>
        <v>110000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16930.034166116213</v>
      </c>
      <c r="C156" s="63">
        <f t="shared" ref="C156:AC156" si="148">((1+C141)^C148)*C141/(((1+C141)^C148)-1)*(C137)</f>
        <v>16939.137147822737</v>
      </c>
      <c r="D156" s="63">
        <f t="shared" si="148"/>
        <v>16952.062076917297</v>
      </c>
      <c r="E156" s="63">
        <f t="shared" si="148"/>
        <v>16970.330222186072</v>
      </c>
      <c r="F156" s="63">
        <f t="shared" si="148"/>
        <v>16995.97836855879</v>
      </c>
      <c r="G156" s="63">
        <f t="shared" si="148"/>
        <v>17031.638602582309</v>
      </c>
      <c r="H156" s="63">
        <f t="shared" si="148"/>
        <v>17080.52744937655</v>
      </c>
      <c r="I156" s="63">
        <f t="shared" si="148"/>
        <v>17146.228820750977</v>
      </c>
      <c r="J156" s="63">
        <f t="shared" si="148"/>
        <v>17232.113205708847</v>
      </c>
      <c r="K156" s="63">
        <f t="shared" si="148"/>
        <v>17340.270072218107</v>
      </c>
      <c r="L156" s="63">
        <f t="shared" si="148"/>
        <v>17470.055207385878</v>
      </c>
      <c r="M156" s="63">
        <f t="shared" si="148"/>
        <v>17616.812818916205</v>
      </c>
      <c r="N156" s="63">
        <f t="shared" si="148"/>
        <v>17771.744227277446</v>
      </c>
      <c r="O156" s="63">
        <f t="shared" si="148"/>
        <v>17923.62687531321</v>
      </c>
      <c r="P156" s="63">
        <f t="shared" si="148"/>
        <v>18061.888776104923</v>
      </c>
      <c r="Q156" s="63">
        <f t="shared" si="148"/>
        <v>18179.391702904584</v>
      </c>
      <c r="R156" s="63">
        <f t="shared" si="148"/>
        <v>18273.490503689198</v>
      </c>
      <c r="S156" s="63">
        <f t="shared" si="148"/>
        <v>18345.292065090671</v>
      </c>
      <c r="T156" s="63">
        <f t="shared" si="148"/>
        <v>18398.071971214304</v>
      </c>
      <c r="U156" s="63">
        <f t="shared" si="148"/>
        <v>18435.808840543512</v>
      </c>
      <c r="V156" s="63">
        <f t="shared" si="148"/>
        <v>18462.256812975615</v>
      </c>
      <c r="W156" s="63">
        <f t="shared" si="148"/>
        <v>18480.533987545627</v>
      </c>
      <c r="X156" s="63">
        <f t="shared" si="148"/>
        <v>18493.041968890429</v>
      </c>
      <c r="Y156" s="63">
        <f t="shared" si="148"/>
        <v>18501.544671484124</v>
      </c>
      <c r="Z156" s="63">
        <f t="shared" si="148"/>
        <v>18507.298355716259</v>
      </c>
      <c r="AA156" s="63">
        <f t="shared" si="148"/>
        <v>18511.179797106222</v>
      </c>
      <c r="AB156" s="63">
        <f t="shared" si="148"/>
        <v>18513.792764168582</v>
      </c>
      <c r="AC156" s="63">
        <f t="shared" si="148"/>
        <v>18515.549330276619</v>
      </c>
    </row>
    <row r="157" spans="1:29" x14ac:dyDescent="0.25">
      <c r="A157" s="30" t="str">
        <f>A138</f>
        <v>Residual value (vehicle)</v>
      </c>
      <c r="B157" s="62">
        <f>((1+B141)^B148)*B141/(((1+B141)^B148)-1)*(B138)</f>
        <v>-4208.0593252569806</v>
      </c>
      <c r="C157" s="62">
        <f t="shared" ref="C157:AC157" si="149">((1+C141)^C148)*C141/(((1+C141)^C148)-1)*(C138)</f>
        <v>-4199.866641721108</v>
      </c>
      <c r="D157" s="62">
        <f t="shared" si="149"/>
        <v>-4188.2342055360041</v>
      </c>
      <c r="E157" s="62">
        <f t="shared" si="149"/>
        <v>-4171.7928747941069</v>
      </c>
      <c r="F157" s="62">
        <f t="shared" si="149"/>
        <v>-4148.7095430586614</v>
      </c>
      <c r="G157" s="62">
        <f t="shared" si="149"/>
        <v>-4116.6153324374927</v>
      </c>
      <c r="H157" s="62">
        <f t="shared" si="149"/>
        <v>-4072.6153703226773</v>
      </c>
      <c r="I157" s="62">
        <f t="shared" si="149"/>
        <v>-4013.4841360856908</v>
      </c>
      <c r="J157" s="62">
        <f t="shared" si="149"/>
        <v>-3936.1881896236077</v>
      </c>
      <c r="K157" s="62">
        <f t="shared" si="149"/>
        <v>-3838.8470097652757</v>
      </c>
      <c r="L157" s="62">
        <f t="shared" si="149"/>
        <v>-3722.0403881142815</v>
      </c>
      <c r="M157" s="62">
        <f t="shared" si="149"/>
        <v>-3589.9585377369858</v>
      </c>
      <c r="N157" s="62">
        <f t="shared" si="149"/>
        <v>-3450.5202702118704</v>
      </c>
      <c r="O157" s="62">
        <f t="shared" si="149"/>
        <v>-3313.8258869796846</v>
      </c>
      <c r="P157" s="62">
        <f t="shared" si="149"/>
        <v>-3189.3901762671421</v>
      </c>
      <c r="Q157" s="62">
        <f t="shared" si="149"/>
        <v>-3083.6375421474468</v>
      </c>
      <c r="R157" s="62">
        <f t="shared" si="149"/>
        <v>-2998.9486214412941</v>
      </c>
      <c r="S157" s="62">
        <f t="shared" si="149"/>
        <v>-2934.3272161799682</v>
      </c>
      <c r="T157" s="62">
        <f t="shared" si="149"/>
        <v>-2886.8253006686996</v>
      </c>
      <c r="U157" s="62">
        <f t="shared" si="149"/>
        <v>-2852.8621182724105</v>
      </c>
      <c r="V157" s="62">
        <f t="shared" si="149"/>
        <v>-2829.0589430835184</v>
      </c>
      <c r="W157" s="62">
        <f t="shared" si="149"/>
        <v>-2812.6094859705067</v>
      </c>
      <c r="X157" s="62">
        <f t="shared" si="149"/>
        <v>-2801.3523027601836</v>
      </c>
      <c r="Y157" s="62">
        <f t="shared" si="149"/>
        <v>-2793.6998704258613</v>
      </c>
      <c r="Z157" s="62">
        <f t="shared" si="149"/>
        <v>-2788.5215546169388</v>
      </c>
      <c r="AA157" s="62">
        <f t="shared" si="149"/>
        <v>-2785.0282573659729</v>
      </c>
      <c r="AB157" s="62">
        <f t="shared" si="149"/>
        <v>-2782.6765870098498</v>
      </c>
      <c r="AC157" s="62">
        <f t="shared" si="149"/>
        <v>-2781.0956775126119</v>
      </c>
    </row>
    <row r="158" spans="1:29" x14ac:dyDescent="0.25">
      <c r="A158" s="30" t="str">
        <f>A139</f>
        <v>Capex costumization</v>
      </c>
      <c r="B158" s="62">
        <f>((1+B141)^B149)*B141/(((1+B141)^B149)-1)*(B139)</f>
        <v>8152.0774932230233</v>
      </c>
      <c r="C158" s="62">
        <f t="shared" ref="C158:AC158" si="150">((1+C141)^C149)*C141/(((1+C141)^C149)-1)*(C139)</f>
        <v>8152.0774932230233</v>
      </c>
      <c r="D158" s="62">
        <f t="shared" si="150"/>
        <v>8152.0774932230233</v>
      </c>
      <c r="E158" s="62">
        <f t="shared" si="150"/>
        <v>8152.0774932230233</v>
      </c>
      <c r="F158" s="62">
        <f t="shared" si="150"/>
        <v>8152.0774932230233</v>
      </c>
      <c r="G158" s="62">
        <f t="shared" si="150"/>
        <v>8152.0774932230233</v>
      </c>
      <c r="H158" s="62">
        <f t="shared" si="150"/>
        <v>8152.0774932230233</v>
      </c>
      <c r="I158" s="62">
        <f t="shared" si="150"/>
        <v>8152.0774932230233</v>
      </c>
      <c r="J158" s="62">
        <f t="shared" si="150"/>
        <v>8152.0774932230233</v>
      </c>
      <c r="K158" s="62">
        <f t="shared" si="150"/>
        <v>8152.0774932230233</v>
      </c>
      <c r="L158" s="62">
        <f t="shared" si="150"/>
        <v>8152.0774932230233</v>
      </c>
      <c r="M158" s="62">
        <f t="shared" si="150"/>
        <v>8152.0774932230233</v>
      </c>
      <c r="N158" s="62">
        <f t="shared" si="150"/>
        <v>8152.0774932230233</v>
      </c>
      <c r="O158" s="62">
        <f t="shared" si="150"/>
        <v>8152.0774932230233</v>
      </c>
      <c r="P158" s="62">
        <f t="shared" si="150"/>
        <v>8152.0774932230233</v>
      </c>
      <c r="Q158" s="62">
        <f t="shared" si="150"/>
        <v>8152.0774932230233</v>
      </c>
      <c r="R158" s="62">
        <f t="shared" si="150"/>
        <v>8152.0774932230233</v>
      </c>
      <c r="S158" s="62">
        <f t="shared" si="150"/>
        <v>8152.0774932230233</v>
      </c>
      <c r="T158" s="62">
        <f t="shared" si="150"/>
        <v>8152.0774932230233</v>
      </c>
      <c r="U158" s="62">
        <f t="shared" si="150"/>
        <v>8152.0774932230233</v>
      </c>
      <c r="V158" s="62">
        <f t="shared" si="150"/>
        <v>8152.0774932230233</v>
      </c>
      <c r="W158" s="62">
        <f t="shared" si="150"/>
        <v>8152.0774932230233</v>
      </c>
      <c r="X158" s="62">
        <f t="shared" si="150"/>
        <v>8152.0774932230233</v>
      </c>
      <c r="Y158" s="62">
        <f t="shared" si="150"/>
        <v>8152.0774932230233</v>
      </c>
      <c r="Z158" s="62">
        <f t="shared" si="150"/>
        <v>8152.0774932230233</v>
      </c>
      <c r="AA158" s="62">
        <f t="shared" si="150"/>
        <v>8152.0774932230233</v>
      </c>
      <c r="AB158" s="62">
        <f t="shared" si="150"/>
        <v>8152.0774932230233</v>
      </c>
      <c r="AC158" s="62">
        <f t="shared" si="150"/>
        <v>8152.0774932230233</v>
      </c>
    </row>
    <row r="159" spans="1:29" x14ac:dyDescent="0.25">
      <c r="A159" s="30" t="str">
        <f>A140</f>
        <v>Residual value (costumization)</v>
      </c>
      <c r="B159" s="62">
        <f>((1+B141)^B149)*B141/(((1+B141)^B149)-1)*(B140)</f>
        <v>-2038.0193733057558</v>
      </c>
      <c r="C159" s="62">
        <f t="shared" ref="C159:AC159" si="151">((1+C141)^C149)*C141/(((1+C141)^C149)-1)*(C140)</f>
        <v>-2038.0193733057558</v>
      </c>
      <c r="D159" s="62">
        <f t="shared" si="151"/>
        <v>-2038.0193733057558</v>
      </c>
      <c r="E159" s="62">
        <f t="shared" si="151"/>
        <v>-2038.0193733057558</v>
      </c>
      <c r="F159" s="62">
        <f t="shared" si="151"/>
        <v>-2038.0193733057558</v>
      </c>
      <c r="G159" s="62">
        <f t="shared" si="151"/>
        <v>-2038.0193733057558</v>
      </c>
      <c r="H159" s="62">
        <f t="shared" si="151"/>
        <v>-2038.0193733057558</v>
      </c>
      <c r="I159" s="62">
        <f t="shared" si="151"/>
        <v>-2038.0193733057558</v>
      </c>
      <c r="J159" s="62">
        <f t="shared" si="151"/>
        <v>-2038.0193733057558</v>
      </c>
      <c r="K159" s="62">
        <f t="shared" si="151"/>
        <v>-2038.0193733057558</v>
      </c>
      <c r="L159" s="62">
        <f t="shared" si="151"/>
        <v>-2038.0193733057558</v>
      </c>
      <c r="M159" s="62">
        <f t="shared" si="151"/>
        <v>-2038.0193733057558</v>
      </c>
      <c r="N159" s="62">
        <f t="shared" si="151"/>
        <v>-2038.0193733057558</v>
      </c>
      <c r="O159" s="62">
        <f t="shared" si="151"/>
        <v>-2038.0193733057558</v>
      </c>
      <c r="P159" s="62">
        <f t="shared" si="151"/>
        <v>-2038.0193733057558</v>
      </c>
      <c r="Q159" s="62">
        <f t="shared" si="151"/>
        <v>-2038.0193733057558</v>
      </c>
      <c r="R159" s="62">
        <f t="shared" si="151"/>
        <v>-2038.0193733057558</v>
      </c>
      <c r="S159" s="62">
        <f t="shared" si="151"/>
        <v>-2038.0193733057558</v>
      </c>
      <c r="T159" s="62">
        <f t="shared" si="151"/>
        <v>-2038.0193733057558</v>
      </c>
      <c r="U159" s="62">
        <f t="shared" si="151"/>
        <v>-2038.0193733057558</v>
      </c>
      <c r="V159" s="62">
        <f t="shared" si="151"/>
        <v>-2038.0193733057558</v>
      </c>
      <c r="W159" s="62">
        <f t="shared" si="151"/>
        <v>-2038.0193733057558</v>
      </c>
      <c r="X159" s="62">
        <f t="shared" si="151"/>
        <v>-2038.0193733057558</v>
      </c>
      <c r="Y159" s="62">
        <f t="shared" si="151"/>
        <v>-2038.0193733057558</v>
      </c>
      <c r="Z159" s="62">
        <f t="shared" si="151"/>
        <v>-2038.0193733057558</v>
      </c>
      <c r="AA159" s="62">
        <f t="shared" si="151"/>
        <v>-2038.0193733057558</v>
      </c>
      <c r="AB159" s="62">
        <f t="shared" si="151"/>
        <v>-2038.0193733057558</v>
      </c>
      <c r="AC159" s="62">
        <f t="shared" si="151"/>
        <v>-2038.0193733057558</v>
      </c>
    </row>
    <row r="160" spans="1:29" x14ac:dyDescent="0.25">
      <c r="A160" s="30" t="str">
        <f>A142</f>
        <v>Opex fix (admin, crew, insurance)</v>
      </c>
      <c r="B160" s="62">
        <f>B142</f>
        <v>70000</v>
      </c>
      <c r="C160" s="62">
        <f t="shared" ref="C160:AC160" si="152">C142</f>
        <v>70000</v>
      </c>
      <c r="D160" s="62">
        <f t="shared" si="152"/>
        <v>70000</v>
      </c>
      <c r="E160" s="62">
        <f t="shared" si="152"/>
        <v>70000</v>
      </c>
      <c r="F160" s="62">
        <f t="shared" si="152"/>
        <v>70000</v>
      </c>
      <c r="G160" s="62">
        <f t="shared" si="152"/>
        <v>70000</v>
      </c>
      <c r="H160" s="62">
        <f t="shared" si="152"/>
        <v>70000</v>
      </c>
      <c r="I160" s="62">
        <f t="shared" si="152"/>
        <v>70000</v>
      </c>
      <c r="J160" s="62">
        <f t="shared" si="152"/>
        <v>70000</v>
      </c>
      <c r="K160" s="62">
        <f t="shared" si="152"/>
        <v>70000</v>
      </c>
      <c r="L160" s="62">
        <f t="shared" si="152"/>
        <v>70000</v>
      </c>
      <c r="M160" s="62">
        <f t="shared" si="152"/>
        <v>70000</v>
      </c>
      <c r="N160" s="62">
        <f t="shared" si="152"/>
        <v>70000</v>
      </c>
      <c r="O160" s="62">
        <f t="shared" si="152"/>
        <v>70000</v>
      </c>
      <c r="P160" s="62">
        <f t="shared" si="152"/>
        <v>70000</v>
      </c>
      <c r="Q160" s="62">
        <f t="shared" si="152"/>
        <v>70000</v>
      </c>
      <c r="R160" s="62">
        <f t="shared" si="152"/>
        <v>70000</v>
      </c>
      <c r="S160" s="62">
        <f t="shared" si="152"/>
        <v>70000</v>
      </c>
      <c r="T160" s="62">
        <f t="shared" si="152"/>
        <v>70000</v>
      </c>
      <c r="U160" s="62">
        <f t="shared" si="152"/>
        <v>70000</v>
      </c>
      <c r="V160" s="62">
        <f t="shared" si="152"/>
        <v>70000</v>
      </c>
      <c r="W160" s="62">
        <f t="shared" si="152"/>
        <v>70000</v>
      </c>
      <c r="X160" s="62">
        <f t="shared" si="152"/>
        <v>70000</v>
      </c>
      <c r="Y160" s="62">
        <f t="shared" si="152"/>
        <v>70000</v>
      </c>
      <c r="Z160" s="62">
        <f t="shared" si="152"/>
        <v>70000</v>
      </c>
      <c r="AA160" s="62">
        <f t="shared" si="152"/>
        <v>70000</v>
      </c>
      <c r="AB160" s="62">
        <f t="shared" si="152"/>
        <v>70000</v>
      </c>
      <c r="AC160" s="62">
        <f t="shared" si="152"/>
        <v>70000</v>
      </c>
    </row>
    <row r="161" spans="1:29" x14ac:dyDescent="0.25">
      <c r="A161" s="30" t="str">
        <f>A143</f>
        <v>Opex maintenance &amp; repair</v>
      </c>
      <c r="B161" s="62">
        <f>B143</f>
        <v>20000</v>
      </c>
      <c r="C161" s="62">
        <f t="shared" ref="C161:AC161" si="153">C143</f>
        <v>20000</v>
      </c>
      <c r="D161" s="62">
        <f t="shared" si="153"/>
        <v>20000</v>
      </c>
      <c r="E161" s="62">
        <f t="shared" si="153"/>
        <v>20000</v>
      </c>
      <c r="F161" s="62">
        <f t="shared" si="153"/>
        <v>20000</v>
      </c>
      <c r="G161" s="62">
        <f t="shared" si="153"/>
        <v>20000</v>
      </c>
      <c r="H161" s="62">
        <f t="shared" si="153"/>
        <v>20000</v>
      </c>
      <c r="I161" s="62">
        <f t="shared" si="153"/>
        <v>20000</v>
      </c>
      <c r="J161" s="62">
        <f t="shared" si="153"/>
        <v>20000</v>
      </c>
      <c r="K161" s="62">
        <f t="shared" si="153"/>
        <v>20000</v>
      </c>
      <c r="L161" s="62">
        <f t="shared" si="153"/>
        <v>20000</v>
      </c>
      <c r="M161" s="62">
        <f t="shared" si="153"/>
        <v>20000</v>
      </c>
      <c r="N161" s="62">
        <f t="shared" si="153"/>
        <v>20000</v>
      </c>
      <c r="O161" s="62">
        <f t="shared" si="153"/>
        <v>20000</v>
      </c>
      <c r="P161" s="62">
        <f t="shared" si="153"/>
        <v>20000</v>
      </c>
      <c r="Q161" s="62">
        <f t="shared" si="153"/>
        <v>20000</v>
      </c>
      <c r="R161" s="62">
        <f t="shared" si="153"/>
        <v>20000</v>
      </c>
      <c r="S161" s="62">
        <f t="shared" si="153"/>
        <v>20000</v>
      </c>
      <c r="T161" s="62">
        <f t="shared" si="153"/>
        <v>20000</v>
      </c>
      <c r="U161" s="62">
        <f t="shared" si="153"/>
        <v>20000</v>
      </c>
      <c r="V161" s="62">
        <f t="shared" si="153"/>
        <v>20000</v>
      </c>
      <c r="W161" s="62">
        <f t="shared" si="153"/>
        <v>20000</v>
      </c>
      <c r="X161" s="62">
        <f t="shared" si="153"/>
        <v>20000</v>
      </c>
      <c r="Y161" s="62">
        <f t="shared" si="153"/>
        <v>20000</v>
      </c>
      <c r="Z161" s="62">
        <f t="shared" si="153"/>
        <v>20000</v>
      </c>
      <c r="AA161" s="62">
        <f t="shared" si="153"/>
        <v>20000</v>
      </c>
      <c r="AB161" s="62">
        <f t="shared" si="153"/>
        <v>20000</v>
      </c>
      <c r="AC161" s="62">
        <f t="shared" si="153"/>
        <v>20000</v>
      </c>
    </row>
    <row r="162" spans="1:29" x14ac:dyDescent="0.25">
      <c r="A162" s="30" t="str">
        <f>A144</f>
        <v>Opex var (mode-fees)</v>
      </c>
      <c r="B162" s="62">
        <f>B144*B153</f>
        <v>12100</v>
      </c>
      <c r="C162" s="62">
        <f t="shared" ref="C162:AC162" si="154">C144*C153</f>
        <v>12100</v>
      </c>
      <c r="D162" s="62">
        <f t="shared" si="154"/>
        <v>12100</v>
      </c>
      <c r="E162" s="62">
        <f t="shared" si="154"/>
        <v>12100</v>
      </c>
      <c r="F162" s="62">
        <f t="shared" si="154"/>
        <v>12100</v>
      </c>
      <c r="G162" s="62">
        <f t="shared" si="154"/>
        <v>12100</v>
      </c>
      <c r="H162" s="62">
        <f t="shared" si="154"/>
        <v>12100</v>
      </c>
      <c r="I162" s="62">
        <f t="shared" si="154"/>
        <v>12100</v>
      </c>
      <c r="J162" s="62">
        <f t="shared" si="154"/>
        <v>12100</v>
      </c>
      <c r="K162" s="62">
        <f t="shared" si="154"/>
        <v>12100</v>
      </c>
      <c r="L162" s="62">
        <f t="shared" si="154"/>
        <v>12100</v>
      </c>
      <c r="M162" s="62">
        <f t="shared" si="154"/>
        <v>12100</v>
      </c>
      <c r="N162" s="62">
        <f t="shared" si="154"/>
        <v>12100</v>
      </c>
      <c r="O162" s="62">
        <f t="shared" si="154"/>
        <v>12100</v>
      </c>
      <c r="P162" s="62">
        <f t="shared" si="154"/>
        <v>12100</v>
      </c>
      <c r="Q162" s="62">
        <f t="shared" si="154"/>
        <v>12100</v>
      </c>
      <c r="R162" s="62">
        <f t="shared" si="154"/>
        <v>12100</v>
      </c>
      <c r="S162" s="62">
        <f t="shared" si="154"/>
        <v>12100</v>
      </c>
      <c r="T162" s="62">
        <f t="shared" si="154"/>
        <v>12100</v>
      </c>
      <c r="U162" s="62">
        <f t="shared" si="154"/>
        <v>12100</v>
      </c>
      <c r="V162" s="62">
        <f t="shared" si="154"/>
        <v>12100</v>
      </c>
      <c r="W162" s="62">
        <f t="shared" si="154"/>
        <v>12100</v>
      </c>
      <c r="X162" s="62">
        <f t="shared" si="154"/>
        <v>12100</v>
      </c>
      <c r="Y162" s="62">
        <f t="shared" si="154"/>
        <v>12100</v>
      </c>
      <c r="Z162" s="62">
        <f t="shared" si="154"/>
        <v>12100</v>
      </c>
      <c r="AA162" s="62">
        <f t="shared" si="154"/>
        <v>12100</v>
      </c>
      <c r="AB162" s="62">
        <f t="shared" si="154"/>
        <v>12100</v>
      </c>
      <c r="AC162" s="62">
        <f t="shared" si="154"/>
        <v>12100</v>
      </c>
    </row>
    <row r="163" spans="1:29" x14ac:dyDescent="0.25">
      <c r="A163" s="30" t="str">
        <f>A146</f>
        <v>Fuel Cost</v>
      </c>
      <c r="B163" s="62">
        <f t="shared" ref="B163:AC163" si="155">B145*B146*B153</f>
        <v>31827.388238661606</v>
      </c>
      <c r="C163" s="62">
        <f t="shared" si="155"/>
        <v>31796.298036957207</v>
      </c>
      <c r="D163" s="62">
        <f t="shared" si="155"/>
        <v>31752.154407372964</v>
      </c>
      <c r="E163" s="62">
        <f t="shared" si="155"/>
        <v>31689.761628887609</v>
      </c>
      <c r="F163" s="62">
        <f t="shared" si="155"/>
        <v>31602.163293553127</v>
      </c>
      <c r="G163" s="62">
        <f t="shared" si="155"/>
        <v>31480.369808257779</v>
      </c>
      <c r="H163" s="62">
        <f t="shared" si="155"/>
        <v>31313.395496221212</v>
      </c>
      <c r="I163" s="62">
        <f t="shared" si="155"/>
        <v>31088.999913087988</v>
      </c>
      <c r="J163" s="62">
        <f t="shared" si="155"/>
        <v>30795.671535894315</v>
      </c>
      <c r="K163" s="62">
        <f t="shared" si="155"/>
        <v>30426.274023749636</v>
      </c>
      <c r="L163" s="62">
        <f t="shared" si="155"/>
        <v>29983.007612733265</v>
      </c>
      <c r="M163" s="62">
        <f t="shared" si="155"/>
        <v>29481.773633446726</v>
      </c>
      <c r="N163" s="62">
        <f t="shared" si="155"/>
        <v>28952.622978025189</v>
      </c>
      <c r="O163" s="62">
        <f t="shared" si="155"/>
        <v>28433.885017753815</v>
      </c>
      <c r="P163" s="62">
        <f t="shared" si="155"/>
        <v>27961.667175047714</v>
      </c>
      <c r="Q163" s="62">
        <f t="shared" si="155"/>
        <v>27560.349253861474</v>
      </c>
      <c r="R163" s="62">
        <f t="shared" si="155"/>
        <v>27238.965470958901</v>
      </c>
      <c r="S163" s="62">
        <f t="shared" si="155"/>
        <v>26993.735380574049</v>
      </c>
      <c r="T163" s="62">
        <f t="shared" si="155"/>
        <v>26813.471596659507</v>
      </c>
      <c r="U163" s="62">
        <f t="shared" si="155"/>
        <v>26684.585598976264</v>
      </c>
      <c r="V163" s="62">
        <f t="shared" si="155"/>
        <v>26594.255548439403</v>
      </c>
      <c r="W163" s="62">
        <f t="shared" si="155"/>
        <v>26531.831931399618</v>
      </c>
      <c r="X163" s="62">
        <f t="shared" si="155"/>
        <v>26489.112339571144</v>
      </c>
      <c r="Y163" s="62">
        <f t="shared" si="155"/>
        <v>26460.072323102595</v>
      </c>
      <c r="Z163" s="62">
        <f t="shared" si="155"/>
        <v>26440.421267098347</v>
      </c>
      <c r="AA163" s="62">
        <f t="shared" si="155"/>
        <v>26427.164644201785</v>
      </c>
      <c r="AB163" s="62">
        <f t="shared" si="155"/>
        <v>26418.240351521126</v>
      </c>
      <c r="AC163" s="62">
        <f t="shared" si="155"/>
        <v>26412.240999180671</v>
      </c>
    </row>
    <row r="164" spans="1:29" ht="15.75" thickBot="1" x14ac:dyDescent="0.3">
      <c r="A164" s="59" t="str">
        <f>A127</f>
        <v>Emission Cost</v>
      </c>
      <c r="B164" s="62">
        <f>B147*B153</f>
        <v>8540.3035056172994</v>
      </c>
      <c r="C164" s="62">
        <f t="shared" ref="C164:AC164" si="156">C147*C153</f>
        <v>8555.6294059912143</v>
      </c>
      <c r="D164" s="62">
        <f t="shared" si="156"/>
        <v>8577.5680910195624</v>
      </c>
      <c r="E164" s="62">
        <f t="shared" si="156"/>
        <v>8608.9529227499152</v>
      </c>
      <c r="F164" s="62">
        <f t="shared" si="156"/>
        <v>8653.8087726995473</v>
      </c>
      <c r="G164" s="62">
        <f t="shared" si="156"/>
        <v>8717.8277643288311</v>
      </c>
      <c r="H164" s="62">
        <f t="shared" si="156"/>
        <v>8809.0065139867365</v>
      </c>
      <c r="I164" s="62">
        <f t="shared" si="156"/>
        <v>8938.4672678641546</v>
      </c>
      <c r="J164" s="62">
        <f t="shared" si="156"/>
        <v>9121.4476030857277</v>
      </c>
      <c r="K164" s="62">
        <f t="shared" si="156"/>
        <v>9378.3486924981116</v>
      </c>
      <c r="L164" s="62">
        <f t="shared" si="156"/>
        <v>9735.5344647646034</v>
      </c>
      <c r="M164" s="62">
        <f t="shared" si="156"/>
        <v>10225.222796195647</v>
      </c>
      <c r="N164" s="62">
        <f t="shared" si="156"/>
        <v>10883.311440758785</v>
      </c>
      <c r="O164" s="62">
        <f t="shared" si="156"/>
        <v>11743.560432579083</v>
      </c>
      <c r="P164" s="62">
        <f t="shared" si="156"/>
        <v>12826.898636825081</v>
      </c>
      <c r="Q164" s="62">
        <f t="shared" si="156"/>
        <v>14126.873384692259</v>
      </c>
      <c r="R164" s="62">
        <f t="shared" si="156"/>
        <v>15596.850580463641</v>
      </c>
      <c r="S164" s="62">
        <f t="shared" si="156"/>
        <v>17148.699474874811</v>
      </c>
      <c r="T164" s="62">
        <f t="shared" si="156"/>
        <v>18670.010885695912</v>
      </c>
      <c r="U164" s="62">
        <f t="shared" si="156"/>
        <v>20054.89197696267</v>
      </c>
      <c r="V164" s="62">
        <f t="shared" si="156"/>
        <v>21231.843693679592</v>
      </c>
      <c r="W164" s="62">
        <f t="shared" si="156"/>
        <v>22174.371238659642</v>
      </c>
      <c r="X164" s="62">
        <f t="shared" si="156"/>
        <v>22893.561587837081</v>
      </c>
      <c r="Y164" s="62">
        <f t="shared" si="156"/>
        <v>23422.224173631883</v>
      </c>
      <c r="Z164" s="62">
        <f t="shared" si="156"/>
        <v>23800.210274490983</v>
      </c>
      <c r="AA164" s="62">
        <f t="shared" si="156"/>
        <v>24065.122710337935</v>
      </c>
      <c r="AB164" s="62">
        <f t="shared" si="156"/>
        <v>24248.193486299017</v>
      </c>
      <c r="AC164" s="62">
        <f t="shared" si="156"/>
        <v>24373.477941055869</v>
      </c>
    </row>
    <row r="165" spans="1:29" ht="15.75" thickBot="1" x14ac:dyDescent="0.3">
      <c r="A165" s="31" t="s">
        <v>209</v>
      </c>
      <c r="B165" s="64">
        <f>B156+B157+B158+B159+B160+B161+B162+B163+B164</f>
        <v>161303.72470505541</v>
      </c>
      <c r="C165" s="64">
        <f t="shared" ref="C165:AC165" si="157">C156+C157+C158+C159+C160+C161+C162+C163+C164</f>
        <v>161305.25606896731</v>
      </c>
      <c r="D165" s="64">
        <f t="shared" si="157"/>
        <v>161307.60848969108</v>
      </c>
      <c r="E165" s="64">
        <f t="shared" si="157"/>
        <v>161311.31001894677</v>
      </c>
      <c r="F165" s="64">
        <f t="shared" si="157"/>
        <v>161317.29901167008</v>
      </c>
      <c r="G165" s="64">
        <f t="shared" si="157"/>
        <v>161327.27896264871</v>
      </c>
      <c r="H165" s="64">
        <f t="shared" si="157"/>
        <v>161344.37220917907</v>
      </c>
      <c r="I165" s="64">
        <f t="shared" si="157"/>
        <v>161374.26998553469</v>
      </c>
      <c r="J165" s="64">
        <f t="shared" si="157"/>
        <v>161427.10227498252</v>
      </c>
      <c r="K165" s="64">
        <f t="shared" si="157"/>
        <v>161520.10389861785</v>
      </c>
      <c r="L165" s="64">
        <f t="shared" si="157"/>
        <v>161680.61501668673</v>
      </c>
      <c r="M165" s="64">
        <f t="shared" si="157"/>
        <v>161947.90883073886</v>
      </c>
      <c r="N165" s="64">
        <f t="shared" si="157"/>
        <v>162371.2164957668</v>
      </c>
      <c r="O165" s="64">
        <f t="shared" si="157"/>
        <v>163001.30455858368</v>
      </c>
      <c r="P165" s="64">
        <f t="shared" si="157"/>
        <v>163875.12253162786</v>
      </c>
      <c r="Q165" s="64">
        <f t="shared" si="157"/>
        <v>164997.03491922814</v>
      </c>
      <c r="R165" s="64">
        <f t="shared" si="157"/>
        <v>166324.41605358772</v>
      </c>
      <c r="S165" s="64">
        <f t="shared" si="157"/>
        <v>167767.45782427682</v>
      </c>
      <c r="T165" s="64">
        <f t="shared" si="157"/>
        <v>169208.78727281827</v>
      </c>
      <c r="U165" s="64">
        <f t="shared" si="157"/>
        <v>170536.4824181273</v>
      </c>
      <c r="V165" s="64">
        <f t="shared" si="157"/>
        <v>171673.35523192835</v>
      </c>
      <c r="W165" s="64">
        <f t="shared" si="157"/>
        <v>172588.18579155163</v>
      </c>
      <c r="X165" s="64">
        <f t="shared" si="157"/>
        <v>173288.42171345575</v>
      </c>
      <c r="Y165" s="64">
        <f t="shared" si="157"/>
        <v>173804.19941771001</v>
      </c>
      <c r="Z165" s="64">
        <f t="shared" si="157"/>
        <v>174173.46646260592</v>
      </c>
      <c r="AA165" s="64">
        <f t="shared" si="157"/>
        <v>174432.49701419723</v>
      </c>
      <c r="AB165" s="64">
        <f t="shared" si="157"/>
        <v>174611.60813489615</v>
      </c>
      <c r="AC165" s="64">
        <f t="shared" si="157"/>
        <v>174734.23071291781</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4" si="158">A156</f>
        <v>Capex vehicle</v>
      </c>
      <c r="B168" s="65">
        <f t="shared" ref="B168:AC168" si="159">((1+B141)^B148)*B141/(((1+B141)^B148)-1)*(B137)/B153</f>
        <v>0.1539094015101474</v>
      </c>
      <c r="C168" s="65">
        <f t="shared" si="159"/>
        <v>0.1539921558892976</v>
      </c>
      <c r="D168" s="65">
        <f t="shared" si="159"/>
        <v>0.15410965524470269</v>
      </c>
      <c r="E168" s="65">
        <f t="shared" si="159"/>
        <v>0.15427572929260067</v>
      </c>
      <c r="F168" s="65">
        <f t="shared" si="159"/>
        <v>0.15450889425962536</v>
      </c>
      <c r="G168" s="65">
        <f t="shared" si="159"/>
        <v>0.15483307820529371</v>
      </c>
      <c r="H168" s="65">
        <f t="shared" si="159"/>
        <v>0.15527752226705954</v>
      </c>
      <c r="I168" s="65">
        <f t="shared" si="159"/>
        <v>0.15587480746137253</v>
      </c>
      <c r="J168" s="65">
        <f t="shared" si="159"/>
        <v>0.15665557459735316</v>
      </c>
      <c r="K168" s="65">
        <f t="shared" si="159"/>
        <v>0.15763881883834643</v>
      </c>
      <c r="L168" s="65">
        <f t="shared" si="159"/>
        <v>0.15881868370350799</v>
      </c>
      <c r="M168" s="65">
        <f t="shared" si="159"/>
        <v>0.16015284380832914</v>
      </c>
      <c r="N168" s="65">
        <f t="shared" si="159"/>
        <v>0.16156131115706771</v>
      </c>
      <c r="O168" s="65">
        <f t="shared" si="159"/>
        <v>0.16294206250284737</v>
      </c>
      <c r="P168" s="65">
        <f t="shared" si="159"/>
        <v>0.16419898887368112</v>
      </c>
      <c r="Q168" s="65">
        <f t="shared" si="159"/>
        <v>0.16526719729913258</v>
      </c>
      <c r="R168" s="65">
        <f t="shared" si="159"/>
        <v>0.16612264094262907</v>
      </c>
      <c r="S168" s="65">
        <f t="shared" si="159"/>
        <v>0.16677538240991518</v>
      </c>
      <c r="T168" s="65">
        <f t="shared" si="159"/>
        <v>0.16725519973831185</v>
      </c>
      <c r="U168" s="65">
        <f t="shared" si="159"/>
        <v>0.16759826218675919</v>
      </c>
      <c r="V168" s="65">
        <f t="shared" si="159"/>
        <v>0.16783869829977832</v>
      </c>
      <c r="W168" s="65">
        <f t="shared" si="159"/>
        <v>0.16800485443223298</v>
      </c>
      <c r="X168" s="65">
        <f t="shared" si="159"/>
        <v>0.16811856335354936</v>
      </c>
      <c r="Y168" s="65">
        <f t="shared" si="159"/>
        <v>0.16819586064985567</v>
      </c>
      <c r="Z168" s="65">
        <f t="shared" si="159"/>
        <v>0.16824816687014782</v>
      </c>
      <c r="AA168" s="65">
        <f t="shared" si="159"/>
        <v>0.16828345270096565</v>
      </c>
      <c r="AB168" s="65">
        <f t="shared" si="159"/>
        <v>0.16830720694698711</v>
      </c>
      <c r="AC168" s="65">
        <f t="shared" si="159"/>
        <v>0.16832317572978744</v>
      </c>
    </row>
    <row r="169" spans="1:29" x14ac:dyDescent="0.25">
      <c r="A169" s="30" t="str">
        <f t="shared" si="158"/>
        <v>Residual value (vehicle)</v>
      </c>
      <c r="B169" s="66">
        <f t="shared" ref="B169:AC169" si="160">((1+B141)^B148)*B141/(((1+B141)^B148)-1)*(B138)/B153</f>
        <v>-3.825508477506346E-2</v>
      </c>
      <c r="C169" s="66">
        <f t="shared" si="160"/>
        <v>-3.8180605833828256E-2</v>
      </c>
      <c r="D169" s="66">
        <f t="shared" si="160"/>
        <v>-3.8074856413963673E-2</v>
      </c>
      <c r="E169" s="66">
        <f t="shared" si="160"/>
        <v>-3.7925389770855515E-2</v>
      </c>
      <c r="F169" s="66">
        <f t="shared" si="160"/>
        <v>-3.7715541300533284E-2</v>
      </c>
      <c r="G169" s="66">
        <f t="shared" si="160"/>
        <v>-3.7423775749431752E-2</v>
      </c>
      <c r="H169" s="66">
        <f t="shared" si="160"/>
        <v>-3.7023776093842518E-2</v>
      </c>
      <c r="I169" s="66">
        <f t="shared" si="160"/>
        <v>-3.6486219418960825E-2</v>
      </c>
      <c r="J169" s="66">
        <f t="shared" si="160"/>
        <v>-3.5783528996578252E-2</v>
      </c>
      <c r="K169" s="66">
        <f t="shared" si="160"/>
        <v>-3.4898609179684327E-2</v>
      </c>
      <c r="L169" s="66">
        <f t="shared" si="160"/>
        <v>-3.3836730801038925E-2</v>
      </c>
      <c r="M169" s="66">
        <f t="shared" si="160"/>
        <v>-3.2635986706699871E-2</v>
      </c>
      <c r="N169" s="66">
        <f t="shared" si="160"/>
        <v>-3.1368366092835186E-2</v>
      </c>
      <c r="O169" s="66">
        <f t="shared" si="160"/>
        <v>-3.0125689881633496E-2</v>
      </c>
      <c r="P169" s="66">
        <f t="shared" si="160"/>
        <v>-2.899445614788311E-2</v>
      </c>
      <c r="Q169" s="66">
        <f t="shared" si="160"/>
        <v>-2.8033068564976789E-2</v>
      </c>
      <c r="R169" s="66">
        <f t="shared" si="160"/>
        <v>-2.7263169285829947E-2</v>
      </c>
      <c r="S169" s="66">
        <f t="shared" si="160"/>
        <v>-2.6675701965272438E-2</v>
      </c>
      <c r="T169" s="66">
        <f t="shared" si="160"/>
        <v>-2.624386636971545E-2</v>
      </c>
      <c r="U169" s="66">
        <f t="shared" si="160"/>
        <v>-2.5935110166112822E-2</v>
      </c>
      <c r="V169" s="66">
        <f t="shared" si="160"/>
        <v>-2.5718717664395624E-2</v>
      </c>
      <c r="W169" s="66">
        <f t="shared" si="160"/>
        <v>-2.5569177145186424E-2</v>
      </c>
      <c r="X169" s="66">
        <f t="shared" si="160"/>
        <v>-2.5466839116001668E-2</v>
      </c>
      <c r="Y169" s="66">
        <f t="shared" si="160"/>
        <v>-2.5397271549326011E-2</v>
      </c>
      <c r="Z169" s="66">
        <f t="shared" si="160"/>
        <v>-2.5350195951063081E-2</v>
      </c>
      <c r="AA169" s="66">
        <f t="shared" si="160"/>
        <v>-2.5318438703327027E-2</v>
      </c>
      <c r="AB169" s="66">
        <f t="shared" si="160"/>
        <v>-2.5297059881907724E-2</v>
      </c>
      <c r="AC169" s="66">
        <f t="shared" si="160"/>
        <v>-2.5282687977387381E-2</v>
      </c>
    </row>
    <row r="170" spans="1:29" x14ac:dyDescent="0.25">
      <c r="A170" s="30" t="str">
        <f t="shared" si="158"/>
        <v>Capex costumization</v>
      </c>
      <c r="B170" s="66">
        <f t="shared" ref="B170:AC170" si="161">((1+B141)^B149)*B141/(((1+B141)^B149)-1)*(B139)/B153</f>
        <v>7.4109795392936578E-2</v>
      </c>
      <c r="C170" s="66">
        <f t="shared" si="161"/>
        <v>7.4109795392936578E-2</v>
      </c>
      <c r="D170" s="66">
        <f t="shared" si="161"/>
        <v>7.4109795392936578E-2</v>
      </c>
      <c r="E170" s="66">
        <f t="shared" si="161"/>
        <v>7.4109795392936578E-2</v>
      </c>
      <c r="F170" s="66">
        <f t="shared" si="161"/>
        <v>7.4109795392936578E-2</v>
      </c>
      <c r="G170" s="66">
        <f t="shared" si="161"/>
        <v>7.4109795392936578E-2</v>
      </c>
      <c r="H170" s="66">
        <f t="shared" si="161"/>
        <v>7.4109795392936578E-2</v>
      </c>
      <c r="I170" s="66">
        <f t="shared" si="161"/>
        <v>7.4109795392936578E-2</v>
      </c>
      <c r="J170" s="66">
        <f t="shared" si="161"/>
        <v>7.4109795392936578E-2</v>
      </c>
      <c r="K170" s="66">
        <f t="shared" si="161"/>
        <v>7.4109795392936578E-2</v>
      </c>
      <c r="L170" s="66">
        <f t="shared" si="161"/>
        <v>7.4109795392936578E-2</v>
      </c>
      <c r="M170" s="66">
        <f t="shared" si="161"/>
        <v>7.4109795392936578E-2</v>
      </c>
      <c r="N170" s="66">
        <f t="shared" si="161"/>
        <v>7.4109795392936578E-2</v>
      </c>
      <c r="O170" s="66">
        <f t="shared" si="161"/>
        <v>7.4109795392936578E-2</v>
      </c>
      <c r="P170" s="66">
        <f t="shared" si="161"/>
        <v>7.4109795392936578E-2</v>
      </c>
      <c r="Q170" s="66">
        <f t="shared" si="161"/>
        <v>7.4109795392936578E-2</v>
      </c>
      <c r="R170" s="66">
        <f t="shared" si="161"/>
        <v>7.4109795392936578E-2</v>
      </c>
      <c r="S170" s="66">
        <f t="shared" si="161"/>
        <v>7.4109795392936578E-2</v>
      </c>
      <c r="T170" s="66">
        <f t="shared" si="161"/>
        <v>7.4109795392936578E-2</v>
      </c>
      <c r="U170" s="66">
        <f t="shared" si="161"/>
        <v>7.4109795392936578E-2</v>
      </c>
      <c r="V170" s="66">
        <f t="shared" si="161"/>
        <v>7.4109795392936578E-2</v>
      </c>
      <c r="W170" s="66">
        <f t="shared" si="161"/>
        <v>7.4109795392936578E-2</v>
      </c>
      <c r="X170" s="66">
        <f t="shared" si="161"/>
        <v>7.4109795392936578E-2</v>
      </c>
      <c r="Y170" s="66">
        <f t="shared" si="161"/>
        <v>7.4109795392936578E-2</v>
      </c>
      <c r="Z170" s="66">
        <f t="shared" si="161"/>
        <v>7.4109795392936578E-2</v>
      </c>
      <c r="AA170" s="66">
        <f t="shared" si="161"/>
        <v>7.4109795392936578E-2</v>
      </c>
      <c r="AB170" s="66">
        <f t="shared" si="161"/>
        <v>7.4109795392936578E-2</v>
      </c>
      <c r="AC170" s="66">
        <f t="shared" si="161"/>
        <v>7.4109795392936578E-2</v>
      </c>
    </row>
    <row r="171" spans="1:29" x14ac:dyDescent="0.25">
      <c r="A171" s="30" t="str">
        <f t="shared" si="158"/>
        <v>Residual value (costumization)</v>
      </c>
      <c r="B171" s="66">
        <f t="shared" ref="B171:AC171" si="162">((1+B141)^B149)*B141/(((1+B141)^B149)-1)*(B140)/B153</f>
        <v>-1.8527448848234145E-2</v>
      </c>
      <c r="C171" s="66">
        <f t="shared" si="162"/>
        <v>-1.8527448848234145E-2</v>
      </c>
      <c r="D171" s="66">
        <f t="shared" si="162"/>
        <v>-1.8527448848234145E-2</v>
      </c>
      <c r="E171" s="66">
        <f t="shared" si="162"/>
        <v>-1.8527448848234145E-2</v>
      </c>
      <c r="F171" s="66">
        <f t="shared" si="162"/>
        <v>-1.8527448848234145E-2</v>
      </c>
      <c r="G171" s="66">
        <f t="shared" si="162"/>
        <v>-1.8527448848234145E-2</v>
      </c>
      <c r="H171" s="66">
        <f t="shared" si="162"/>
        <v>-1.8527448848234145E-2</v>
      </c>
      <c r="I171" s="66">
        <f t="shared" si="162"/>
        <v>-1.8527448848234145E-2</v>
      </c>
      <c r="J171" s="66">
        <f t="shared" si="162"/>
        <v>-1.8527448848234145E-2</v>
      </c>
      <c r="K171" s="66">
        <f t="shared" si="162"/>
        <v>-1.8527448848234145E-2</v>
      </c>
      <c r="L171" s="66">
        <f t="shared" si="162"/>
        <v>-1.8527448848234145E-2</v>
      </c>
      <c r="M171" s="66">
        <f t="shared" si="162"/>
        <v>-1.8527448848234145E-2</v>
      </c>
      <c r="N171" s="66">
        <f t="shared" si="162"/>
        <v>-1.8527448848234145E-2</v>
      </c>
      <c r="O171" s="66">
        <f t="shared" si="162"/>
        <v>-1.8527448848234145E-2</v>
      </c>
      <c r="P171" s="66">
        <f t="shared" si="162"/>
        <v>-1.8527448848234145E-2</v>
      </c>
      <c r="Q171" s="66">
        <f t="shared" si="162"/>
        <v>-1.8527448848234145E-2</v>
      </c>
      <c r="R171" s="66">
        <f t="shared" si="162"/>
        <v>-1.8527448848234145E-2</v>
      </c>
      <c r="S171" s="66">
        <f t="shared" si="162"/>
        <v>-1.8527448848234145E-2</v>
      </c>
      <c r="T171" s="66">
        <f t="shared" si="162"/>
        <v>-1.8527448848234145E-2</v>
      </c>
      <c r="U171" s="66">
        <f t="shared" si="162"/>
        <v>-1.8527448848234145E-2</v>
      </c>
      <c r="V171" s="66">
        <f t="shared" si="162"/>
        <v>-1.8527448848234145E-2</v>
      </c>
      <c r="W171" s="66">
        <f t="shared" si="162"/>
        <v>-1.8527448848234145E-2</v>
      </c>
      <c r="X171" s="66">
        <f t="shared" si="162"/>
        <v>-1.8527448848234145E-2</v>
      </c>
      <c r="Y171" s="66">
        <f t="shared" si="162"/>
        <v>-1.8527448848234145E-2</v>
      </c>
      <c r="Z171" s="66">
        <f t="shared" si="162"/>
        <v>-1.8527448848234145E-2</v>
      </c>
      <c r="AA171" s="66">
        <f t="shared" si="162"/>
        <v>-1.8527448848234145E-2</v>
      </c>
      <c r="AB171" s="66">
        <f t="shared" si="162"/>
        <v>-1.8527448848234145E-2</v>
      </c>
      <c r="AC171" s="66">
        <f t="shared" si="162"/>
        <v>-1.8527448848234145E-2</v>
      </c>
    </row>
    <row r="172" spans="1:29" x14ac:dyDescent="0.25">
      <c r="A172" s="30" t="str">
        <f t="shared" si="158"/>
        <v>Opex fix (admin, crew, insurance)</v>
      </c>
      <c r="B172" s="66">
        <f t="shared" ref="B172:AC172" si="163">B142/B153</f>
        <v>0.63636363636363635</v>
      </c>
      <c r="C172" s="66">
        <f t="shared" si="163"/>
        <v>0.63636363636363635</v>
      </c>
      <c r="D172" s="66">
        <f t="shared" si="163"/>
        <v>0.63636363636363635</v>
      </c>
      <c r="E172" s="66">
        <f t="shared" si="163"/>
        <v>0.63636363636363635</v>
      </c>
      <c r="F172" s="66">
        <f t="shared" si="163"/>
        <v>0.63636363636363635</v>
      </c>
      <c r="G172" s="66">
        <f t="shared" si="163"/>
        <v>0.63636363636363635</v>
      </c>
      <c r="H172" s="66">
        <f t="shared" si="163"/>
        <v>0.63636363636363635</v>
      </c>
      <c r="I172" s="66">
        <f t="shared" si="163"/>
        <v>0.63636363636363635</v>
      </c>
      <c r="J172" s="66">
        <f t="shared" si="163"/>
        <v>0.63636363636363635</v>
      </c>
      <c r="K172" s="66">
        <f t="shared" si="163"/>
        <v>0.63636363636363635</v>
      </c>
      <c r="L172" s="66">
        <f t="shared" si="163"/>
        <v>0.63636363636363635</v>
      </c>
      <c r="M172" s="66">
        <f t="shared" si="163"/>
        <v>0.63636363636363635</v>
      </c>
      <c r="N172" s="66">
        <f t="shared" si="163"/>
        <v>0.63636363636363635</v>
      </c>
      <c r="O172" s="66">
        <f t="shared" si="163"/>
        <v>0.63636363636363635</v>
      </c>
      <c r="P172" s="66">
        <f t="shared" si="163"/>
        <v>0.63636363636363635</v>
      </c>
      <c r="Q172" s="66">
        <f t="shared" si="163"/>
        <v>0.63636363636363635</v>
      </c>
      <c r="R172" s="66">
        <f t="shared" si="163"/>
        <v>0.63636363636363635</v>
      </c>
      <c r="S172" s="66">
        <f t="shared" si="163"/>
        <v>0.63636363636363635</v>
      </c>
      <c r="T172" s="66">
        <f t="shared" si="163"/>
        <v>0.63636363636363635</v>
      </c>
      <c r="U172" s="66">
        <f t="shared" si="163"/>
        <v>0.63636363636363635</v>
      </c>
      <c r="V172" s="66">
        <f t="shared" si="163"/>
        <v>0.63636363636363635</v>
      </c>
      <c r="W172" s="66">
        <f t="shared" si="163"/>
        <v>0.63636363636363635</v>
      </c>
      <c r="X172" s="66">
        <f t="shared" si="163"/>
        <v>0.63636363636363635</v>
      </c>
      <c r="Y172" s="66">
        <f t="shared" si="163"/>
        <v>0.63636363636363635</v>
      </c>
      <c r="Z172" s="66">
        <f t="shared" si="163"/>
        <v>0.63636363636363635</v>
      </c>
      <c r="AA172" s="66">
        <f t="shared" si="163"/>
        <v>0.63636363636363635</v>
      </c>
      <c r="AB172" s="66">
        <f t="shared" si="163"/>
        <v>0.63636363636363635</v>
      </c>
      <c r="AC172" s="66">
        <f t="shared" si="163"/>
        <v>0.63636363636363635</v>
      </c>
    </row>
    <row r="173" spans="1:29" x14ac:dyDescent="0.25">
      <c r="A173" s="30" t="str">
        <f t="shared" si="158"/>
        <v>Opex maintenance &amp; repair</v>
      </c>
      <c r="B173" s="66">
        <f t="shared" ref="B173:AC173" si="164">B143/B153</f>
        <v>0.18181818181818182</v>
      </c>
      <c r="C173" s="66">
        <f t="shared" si="164"/>
        <v>0.18181818181818182</v>
      </c>
      <c r="D173" s="66">
        <f t="shared" si="164"/>
        <v>0.18181818181818182</v>
      </c>
      <c r="E173" s="66">
        <f t="shared" si="164"/>
        <v>0.18181818181818182</v>
      </c>
      <c r="F173" s="66">
        <f t="shared" si="164"/>
        <v>0.18181818181818182</v>
      </c>
      <c r="G173" s="66">
        <f t="shared" si="164"/>
        <v>0.18181818181818182</v>
      </c>
      <c r="H173" s="66">
        <f t="shared" si="164"/>
        <v>0.18181818181818182</v>
      </c>
      <c r="I173" s="66">
        <f t="shared" si="164"/>
        <v>0.18181818181818182</v>
      </c>
      <c r="J173" s="66">
        <f t="shared" si="164"/>
        <v>0.18181818181818182</v>
      </c>
      <c r="K173" s="66">
        <f t="shared" si="164"/>
        <v>0.18181818181818182</v>
      </c>
      <c r="L173" s="66">
        <f t="shared" si="164"/>
        <v>0.18181818181818182</v>
      </c>
      <c r="M173" s="66">
        <f t="shared" si="164"/>
        <v>0.18181818181818182</v>
      </c>
      <c r="N173" s="66">
        <f t="shared" si="164"/>
        <v>0.18181818181818182</v>
      </c>
      <c r="O173" s="66">
        <f t="shared" si="164"/>
        <v>0.18181818181818182</v>
      </c>
      <c r="P173" s="66">
        <f t="shared" si="164"/>
        <v>0.18181818181818182</v>
      </c>
      <c r="Q173" s="66">
        <f t="shared" si="164"/>
        <v>0.18181818181818182</v>
      </c>
      <c r="R173" s="66">
        <f t="shared" si="164"/>
        <v>0.18181818181818182</v>
      </c>
      <c r="S173" s="66">
        <f t="shared" si="164"/>
        <v>0.18181818181818182</v>
      </c>
      <c r="T173" s="66">
        <f t="shared" si="164"/>
        <v>0.18181818181818182</v>
      </c>
      <c r="U173" s="66">
        <f t="shared" si="164"/>
        <v>0.18181818181818182</v>
      </c>
      <c r="V173" s="66">
        <f t="shared" si="164"/>
        <v>0.18181818181818182</v>
      </c>
      <c r="W173" s="66">
        <f t="shared" si="164"/>
        <v>0.18181818181818182</v>
      </c>
      <c r="X173" s="66">
        <f t="shared" si="164"/>
        <v>0.18181818181818182</v>
      </c>
      <c r="Y173" s="66">
        <f t="shared" si="164"/>
        <v>0.18181818181818182</v>
      </c>
      <c r="Z173" s="66">
        <f t="shared" si="164"/>
        <v>0.18181818181818182</v>
      </c>
      <c r="AA173" s="66">
        <f t="shared" si="164"/>
        <v>0.18181818181818182</v>
      </c>
      <c r="AB173" s="66">
        <f t="shared" si="164"/>
        <v>0.18181818181818182</v>
      </c>
      <c r="AC173" s="66">
        <f t="shared" si="164"/>
        <v>0.18181818181818182</v>
      </c>
    </row>
    <row r="174" spans="1:29" x14ac:dyDescent="0.25">
      <c r="A174" s="30" t="str">
        <f t="shared" si="158"/>
        <v>Opex var (mode-fees)</v>
      </c>
      <c r="B174" s="66">
        <f t="shared" ref="B174:AC174" si="165">B144*B153/B153</f>
        <v>0.11</v>
      </c>
      <c r="C174" s="66">
        <f t="shared" si="165"/>
        <v>0.11</v>
      </c>
      <c r="D174" s="66">
        <f t="shared" si="165"/>
        <v>0.11</v>
      </c>
      <c r="E174" s="66">
        <f t="shared" si="165"/>
        <v>0.11</v>
      </c>
      <c r="F174" s="66">
        <f t="shared" si="165"/>
        <v>0.11</v>
      </c>
      <c r="G174" s="66">
        <f t="shared" si="165"/>
        <v>0.11</v>
      </c>
      <c r="H174" s="66">
        <f t="shared" si="165"/>
        <v>0.11</v>
      </c>
      <c r="I174" s="66">
        <f t="shared" si="165"/>
        <v>0.11</v>
      </c>
      <c r="J174" s="66">
        <f t="shared" si="165"/>
        <v>0.11</v>
      </c>
      <c r="K174" s="66">
        <f t="shared" si="165"/>
        <v>0.11</v>
      </c>
      <c r="L174" s="66">
        <f t="shared" si="165"/>
        <v>0.11</v>
      </c>
      <c r="M174" s="66">
        <f t="shared" si="165"/>
        <v>0.11</v>
      </c>
      <c r="N174" s="66">
        <f t="shared" si="165"/>
        <v>0.11</v>
      </c>
      <c r="O174" s="66">
        <f t="shared" si="165"/>
        <v>0.11</v>
      </c>
      <c r="P174" s="66">
        <f t="shared" si="165"/>
        <v>0.11</v>
      </c>
      <c r="Q174" s="66">
        <f t="shared" si="165"/>
        <v>0.11</v>
      </c>
      <c r="R174" s="66">
        <f t="shared" si="165"/>
        <v>0.11</v>
      </c>
      <c r="S174" s="66">
        <f t="shared" si="165"/>
        <v>0.11</v>
      </c>
      <c r="T174" s="66">
        <f t="shared" si="165"/>
        <v>0.11</v>
      </c>
      <c r="U174" s="66">
        <f t="shared" si="165"/>
        <v>0.11</v>
      </c>
      <c r="V174" s="66">
        <f t="shared" si="165"/>
        <v>0.11</v>
      </c>
      <c r="W174" s="66">
        <f t="shared" si="165"/>
        <v>0.11</v>
      </c>
      <c r="X174" s="66">
        <f t="shared" si="165"/>
        <v>0.11</v>
      </c>
      <c r="Y174" s="66">
        <f t="shared" si="165"/>
        <v>0.11</v>
      </c>
      <c r="Z174" s="66">
        <f t="shared" si="165"/>
        <v>0.11</v>
      </c>
      <c r="AA174" s="66">
        <f t="shared" si="165"/>
        <v>0.11</v>
      </c>
      <c r="AB174" s="66">
        <f t="shared" si="165"/>
        <v>0.11</v>
      </c>
      <c r="AC174" s="66">
        <f t="shared" si="165"/>
        <v>0.11</v>
      </c>
    </row>
    <row r="175" spans="1:29" x14ac:dyDescent="0.25">
      <c r="A175" s="30" t="str">
        <f t="shared" ref="A175" si="166">A163</f>
        <v>Fuel Cost</v>
      </c>
      <c r="B175" s="66">
        <f t="shared" ref="B175:AC175" si="167">B145*B146*B153/B153</f>
        <v>0.28933989307874186</v>
      </c>
      <c r="C175" s="66">
        <f t="shared" si="167"/>
        <v>0.28905725488142914</v>
      </c>
      <c r="D175" s="66">
        <f t="shared" si="167"/>
        <v>0.28865594915793602</v>
      </c>
      <c r="E175" s="66">
        <f t="shared" si="167"/>
        <v>0.28808874208079643</v>
      </c>
      <c r="F175" s="66">
        <f t="shared" si="167"/>
        <v>0.28729239357775571</v>
      </c>
      <c r="G175" s="66">
        <f t="shared" si="167"/>
        <v>0.28618518007507071</v>
      </c>
      <c r="H175" s="66">
        <f t="shared" si="167"/>
        <v>0.28466723178382919</v>
      </c>
      <c r="I175" s="66">
        <f t="shared" si="167"/>
        <v>0.28262727193716353</v>
      </c>
      <c r="J175" s="66">
        <f t="shared" si="167"/>
        <v>0.27996065032631196</v>
      </c>
      <c r="K175" s="66">
        <f t="shared" si="167"/>
        <v>0.27660249112499669</v>
      </c>
      <c r="L175" s="66">
        <f t="shared" si="167"/>
        <v>0.27257279647939331</v>
      </c>
      <c r="M175" s="66">
        <f t="shared" si="167"/>
        <v>0.26801612394042479</v>
      </c>
      <c r="N175" s="66">
        <f t="shared" si="167"/>
        <v>0.26320566343659263</v>
      </c>
      <c r="O175" s="66">
        <f t="shared" si="167"/>
        <v>0.25848986379776195</v>
      </c>
      <c r="P175" s="66">
        <f t="shared" si="167"/>
        <v>0.2541969743186156</v>
      </c>
      <c r="Q175" s="66">
        <f t="shared" si="167"/>
        <v>0.25054862958055885</v>
      </c>
      <c r="R175" s="66">
        <f t="shared" si="167"/>
        <v>0.24762695882689911</v>
      </c>
      <c r="S175" s="66">
        <f t="shared" si="167"/>
        <v>0.245397594368855</v>
      </c>
      <c r="T175" s="66">
        <f t="shared" si="167"/>
        <v>0.2437588326969046</v>
      </c>
      <c r="U175" s="66">
        <f t="shared" si="167"/>
        <v>0.24258714180887514</v>
      </c>
      <c r="V175" s="66">
        <f t="shared" si="167"/>
        <v>0.24176595953126731</v>
      </c>
      <c r="W175" s="66">
        <f t="shared" si="167"/>
        <v>0.2411984721036329</v>
      </c>
      <c r="X175" s="66">
        <f t="shared" si="167"/>
        <v>0.24081011217791948</v>
      </c>
      <c r="Y175" s="66">
        <f t="shared" si="167"/>
        <v>0.24054611202820542</v>
      </c>
      <c r="Z175" s="66">
        <f t="shared" si="167"/>
        <v>0.24036746606453044</v>
      </c>
      <c r="AA175" s="66">
        <f t="shared" si="167"/>
        <v>0.24024695131092533</v>
      </c>
      <c r="AB175" s="66">
        <f t="shared" si="167"/>
        <v>0.24016582137746478</v>
      </c>
      <c r="AC175" s="66">
        <f t="shared" si="167"/>
        <v>0.24011128181073338</v>
      </c>
    </row>
    <row r="176" spans="1:29" ht="15.75" thickBot="1" x14ac:dyDescent="0.3">
      <c r="A176" s="59" t="str">
        <f>A127</f>
        <v>Emission Cost</v>
      </c>
      <c r="B176" s="66">
        <f>B147</f>
        <v>7.7639122778339092E-2</v>
      </c>
      <c r="C176" s="66">
        <f t="shared" ref="C176:AC176" si="168">C147</f>
        <v>7.777844914537467E-2</v>
      </c>
      <c r="D176" s="66">
        <f t="shared" si="168"/>
        <v>7.7977891736541474E-2</v>
      </c>
      <c r="E176" s="66">
        <f t="shared" si="168"/>
        <v>7.8263208388635597E-2</v>
      </c>
      <c r="F176" s="66">
        <f t="shared" si="168"/>
        <v>7.8670988842723152E-2</v>
      </c>
      <c r="G176" s="66">
        <f t="shared" si="168"/>
        <v>7.925297967571665E-2</v>
      </c>
      <c r="H176" s="66">
        <f t="shared" si="168"/>
        <v>8.0081877399879431E-2</v>
      </c>
      <c r="I176" s="66">
        <f t="shared" si="168"/>
        <v>8.1258793344219593E-2</v>
      </c>
      <c r="J176" s="66">
        <f t="shared" si="168"/>
        <v>8.2922250937142977E-2</v>
      </c>
      <c r="K176" s="66">
        <f t="shared" si="168"/>
        <v>8.5257715386346467E-2</v>
      </c>
      <c r="L176" s="66">
        <f t="shared" si="168"/>
        <v>8.8504858770587308E-2</v>
      </c>
      <c r="M176" s="66">
        <f t="shared" si="168"/>
        <v>9.2956570874505887E-2</v>
      </c>
      <c r="N176" s="66">
        <f t="shared" si="168"/>
        <v>9.8939194915988959E-2</v>
      </c>
      <c r="O176" s="66">
        <f t="shared" si="168"/>
        <v>0.10675964029617348</v>
      </c>
      <c r="P176" s="66">
        <f t="shared" si="168"/>
        <v>0.11660816942568256</v>
      </c>
      <c r="Q176" s="66">
        <f t="shared" si="168"/>
        <v>0.12842612167902054</v>
      </c>
      <c r="R176" s="66">
        <f t="shared" si="168"/>
        <v>0.14178955073148763</v>
      </c>
      <c r="S176" s="66">
        <f t="shared" si="168"/>
        <v>0.15589726795340736</v>
      </c>
      <c r="T176" s="66">
        <f t="shared" si="168"/>
        <v>0.16972737168814467</v>
      </c>
      <c r="U176" s="66">
        <f t="shared" si="168"/>
        <v>0.18231719979056973</v>
      </c>
      <c r="V176" s="66">
        <f t="shared" si="168"/>
        <v>0.19301676085163266</v>
      </c>
      <c r="W176" s="66">
        <f t="shared" si="168"/>
        <v>0.20158519307872402</v>
      </c>
      <c r="X176" s="66">
        <f t="shared" si="168"/>
        <v>0.20812328716215528</v>
      </c>
      <c r="Y176" s="66">
        <f t="shared" si="168"/>
        <v>0.21292931066938076</v>
      </c>
      <c r="Z176" s="66">
        <f t="shared" si="168"/>
        <v>0.21636554794991802</v>
      </c>
      <c r="AA176" s="66">
        <f t="shared" si="168"/>
        <v>0.21877384282125395</v>
      </c>
      <c r="AB176" s="66">
        <f t="shared" si="168"/>
        <v>0.22043812260271833</v>
      </c>
      <c r="AC176" s="66">
        <f t="shared" si="168"/>
        <v>0.22157707219141698</v>
      </c>
    </row>
    <row r="177" spans="1:29" ht="15.75" thickBot="1" x14ac:dyDescent="0.3">
      <c r="A177" s="31" t="s">
        <v>63</v>
      </c>
      <c r="B177" s="76">
        <f>B168+B169+B170-B171+B172+B173+B174+B175+B176</f>
        <v>1.5034523950151539</v>
      </c>
      <c r="C177" s="76">
        <f t="shared" ref="C177:AC177" si="169">C168+C169+C170-C171+C172+C173+C174+C175+C176</f>
        <v>1.5034663165052622</v>
      </c>
      <c r="D177" s="76">
        <f t="shared" si="169"/>
        <v>1.5034877021482054</v>
      </c>
      <c r="E177" s="76">
        <f t="shared" si="169"/>
        <v>1.5035213524141664</v>
      </c>
      <c r="F177" s="76">
        <f t="shared" si="169"/>
        <v>1.5035757978025597</v>
      </c>
      <c r="G177" s="76">
        <f t="shared" si="169"/>
        <v>1.5036665246296383</v>
      </c>
      <c r="H177" s="76">
        <f t="shared" si="169"/>
        <v>1.5038219177799148</v>
      </c>
      <c r="I177" s="76">
        <f t="shared" si="169"/>
        <v>1.5040937157467837</v>
      </c>
      <c r="J177" s="76">
        <f t="shared" si="169"/>
        <v>1.5045740092872188</v>
      </c>
      <c r="K177" s="76">
        <f t="shared" si="169"/>
        <v>1.5054194785929944</v>
      </c>
      <c r="L177" s="76">
        <f t="shared" si="169"/>
        <v>1.5068786705754387</v>
      </c>
      <c r="M177" s="76">
        <f t="shared" si="169"/>
        <v>1.5093086143395491</v>
      </c>
      <c r="N177" s="76">
        <f t="shared" si="169"/>
        <v>1.5131568658398031</v>
      </c>
      <c r="O177" s="76">
        <f t="shared" si="169"/>
        <v>1.5188849391381383</v>
      </c>
      <c r="P177" s="76">
        <f t="shared" si="169"/>
        <v>1.5268287388930852</v>
      </c>
      <c r="Q177" s="76">
        <f t="shared" si="169"/>
        <v>1.5370279424167241</v>
      </c>
      <c r="R177" s="76">
        <f t="shared" si="169"/>
        <v>1.549095043638175</v>
      </c>
      <c r="S177" s="76">
        <f t="shared" si="169"/>
        <v>1.5622136051898941</v>
      </c>
      <c r="T177" s="76">
        <f t="shared" si="169"/>
        <v>1.5753166001766348</v>
      </c>
      <c r="U177" s="76">
        <f t="shared" si="169"/>
        <v>1.5873865560430802</v>
      </c>
      <c r="V177" s="76">
        <f t="shared" si="169"/>
        <v>1.5977217634412717</v>
      </c>
      <c r="W177" s="76">
        <f t="shared" si="169"/>
        <v>1.6060384048923926</v>
      </c>
      <c r="X177" s="76">
        <f t="shared" si="169"/>
        <v>1.6124041860006113</v>
      </c>
      <c r="Y177" s="76">
        <f t="shared" si="169"/>
        <v>1.6170930742211049</v>
      </c>
      <c r="Z177" s="76">
        <f t="shared" si="169"/>
        <v>1.6204500473565222</v>
      </c>
      <c r="AA177" s="76">
        <f t="shared" si="169"/>
        <v>1.6228048705528069</v>
      </c>
      <c r="AB177" s="76">
        <f t="shared" si="169"/>
        <v>1.6244331534682517</v>
      </c>
      <c r="AC177" s="76">
        <f t="shared" si="169"/>
        <v>1.6255479041775394</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6" si="170">A156</f>
        <v>Capex vehicle</v>
      </c>
      <c r="B180" s="65">
        <f t="shared" ref="B180:AC180" si="171">((1+B141)^B148)*B141/(((1+B141)^B148)-1)*(B137)/B153/(B150)</f>
        <v>6.1563760604058963E-3</v>
      </c>
      <c r="C180" s="65">
        <f t="shared" si="171"/>
        <v>6.1596862355719042E-3</v>
      </c>
      <c r="D180" s="65">
        <f t="shared" si="171"/>
        <v>6.1643862097881079E-3</v>
      </c>
      <c r="E180" s="65">
        <f t="shared" si="171"/>
        <v>6.1710291717040266E-3</v>
      </c>
      <c r="F180" s="65">
        <f t="shared" si="171"/>
        <v>6.1803557703850147E-3</v>
      </c>
      <c r="G180" s="65">
        <f t="shared" si="171"/>
        <v>6.1933231282117482E-3</v>
      </c>
      <c r="H180" s="65">
        <f t="shared" si="171"/>
        <v>6.2111008906823818E-3</v>
      </c>
      <c r="I180" s="65">
        <f t="shared" si="171"/>
        <v>6.2349922984549014E-3</v>
      </c>
      <c r="J180" s="65">
        <f t="shared" si="171"/>
        <v>6.266222983894126E-3</v>
      </c>
      <c r="K180" s="65">
        <f t="shared" si="171"/>
        <v>6.3055527535338576E-3</v>
      </c>
      <c r="L180" s="65">
        <f t="shared" si="171"/>
        <v>6.3527473481403193E-3</v>
      </c>
      <c r="M180" s="65">
        <f t="shared" si="171"/>
        <v>6.406113752333166E-3</v>
      </c>
      <c r="N180" s="65">
        <f t="shared" si="171"/>
        <v>6.4624524462827083E-3</v>
      </c>
      <c r="O180" s="65">
        <f t="shared" si="171"/>
        <v>6.5176825001138951E-3</v>
      </c>
      <c r="P180" s="65">
        <f t="shared" si="171"/>
        <v>6.5679595549472444E-3</v>
      </c>
      <c r="Q180" s="65">
        <f t="shared" si="171"/>
        <v>6.6106878919653033E-3</v>
      </c>
      <c r="R180" s="65">
        <f t="shared" si="171"/>
        <v>6.6449056377051625E-3</v>
      </c>
      <c r="S180" s="65">
        <f t="shared" si="171"/>
        <v>6.6710152963966075E-3</v>
      </c>
      <c r="T180" s="65">
        <f t="shared" si="171"/>
        <v>6.6902079895324743E-3</v>
      </c>
      <c r="U180" s="65">
        <f t="shared" si="171"/>
        <v>6.7039304874703673E-3</v>
      </c>
      <c r="V180" s="65">
        <f t="shared" si="171"/>
        <v>6.713547931991133E-3</v>
      </c>
      <c r="W180" s="65">
        <f t="shared" si="171"/>
        <v>6.7201941772893192E-3</v>
      </c>
      <c r="X180" s="65">
        <f t="shared" si="171"/>
        <v>6.7247425341419743E-3</v>
      </c>
      <c r="Y180" s="65">
        <f t="shared" si="171"/>
        <v>6.7278344259942271E-3</v>
      </c>
      <c r="Z180" s="65">
        <f t="shared" si="171"/>
        <v>6.7299266748059132E-3</v>
      </c>
      <c r="AA180" s="65">
        <f t="shared" si="171"/>
        <v>6.7313381080386257E-3</v>
      </c>
      <c r="AB180" s="65">
        <f t="shared" si="171"/>
        <v>6.7322882778794845E-3</v>
      </c>
      <c r="AC180" s="65">
        <f t="shared" si="171"/>
        <v>6.7329270291914978E-3</v>
      </c>
    </row>
    <row r="181" spans="1:29" x14ac:dyDescent="0.25">
      <c r="A181" s="30" t="str">
        <f t="shared" si="170"/>
        <v>Residual value (vehicle)</v>
      </c>
      <c r="B181" s="68">
        <f t="shared" ref="B181:AC181" si="172">((1+B141)^B148)*B141/(((1+B141)^B148)-1)*(B138)/B153/(B150)</f>
        <v>-1.5302033910025385E-3</v>
      </c>
      <c r="C181" s="68">
        <f t="shared" si="172"/>
        <v>-1.5272242333531302E-3</v>
      </c>
      <c r="D181" s="68">
        <f t="shared" si="172"/>
        <v>-1.5229942565585469E-3</v>
      </c>
      <c r="E181" s="68">
        <f t="shared" si="172"/>
        <v>-1.5170155908342206E-3</v>
      </c>
      <c r="F181" s="68">
        <f t="shared" si="172"/>
        <v>-1.5086216520213314E-3</v>
      </c>
      <c r="G181" s="68">
        <f t="shared" si="172"/>
        <v>-1.4969510299772701E-3</v>
      </c>
      <c r="H181" s="68">
        <f t="shared" si="172"/>
        <v>-1.4809510437537006E-3</v>
      </c>
      <c r="I181" s="68">
        <f t="shared" si="172"/>
        <v>-1.4594487767584331E-3</v>
      </c>
      <c r="J181" s="68">
        <f t="shared" si="172"/>
        <v>-1.4313411598631301E-3</v>
      </c>
      <c r="K181" s="68">
        <f t="shared" si="172"/>
        <v>-1.395944367187373E-3</v>
      </c>
      <c r="L181" s="68">
        <f t="shared" si="172"/>
        <v>-1.3534692320415569E-3</v>
      </c>
      <c r="M181" s="68">
        <f t="shared" si="172"/>
        <v>-1.3054394682679949E-3</v>
      </c>
      <c r="N181" s="68">
        <f t="shared" si="172"/>
        <v>-1.2547346437134074E-3</v>
      </c>
      <c r="O181" s="68">
        <f t="shared" si="172"/>
        <v>-1.2050275952653398E-3</v>
      </c>
      <c r="P181" s="68">
        <f t="shared" si="172"/>
        <v>-1.1597782459153243E-3</v>
      </c>
      <c r="Q181" s="68">
        <f t="shared" si="172"/>
        <v>-1.1213227425990715E-3</v>
      </c>
      <c r="R181" s="68">
        <f t="shared" si="172"/>
        <v>-1.0905267714331978E-3</v>
      </c>
      <c r="S181" s="68">
        <f t="shared" si="172"/>
        <v>-1.0670280786108976E-3</v>
      </c>
      <c r="T181" s="68">
        <f t="shared" si="172"/>
        <v>-1.049754654788618E-3</v>
      </c>
      <c r="U181" s="68">
        <f t="shared" si="172"/>
        <v>-1.0374044066445128E-3</v>
      </c>
      <c r="V181" s="68">
        <f t="shared" si="172"/>
        <v>-1.0287487065758249E-3</v>
      </c>
      <c r="W181" s="68">
        <f t="shared" si="172"/>
        <v>-1.022767085807457E-3</v>
      </c>
      <c r="X181" s="68">
        <f t="shared" si="172"/>
        <v>-1.0186735646400668E-3</v>
      </c>
      <c r="Y181" s="68">
        <f t="shared" si="172"/>
        <v>-1.0158908619730404E-3</v>
      </c>
      <c r="Z181" s="68">
        <f t="shared" si="172"/>
        <v>-1.0140078380425233E-3</v>
      </c>
      <c r="AA181" s="68">
        <f t="shared" si="172"/>
        <v>-1.0127375481330811E-3</v>
      </c>
      <c r="AB181" s="68">
        <f t="shared" si="172"/>
        <v>-1.0118823952763091E-3</v>
      </c>
      <c r="AC181" s="68">
        <f t="shared" si="172"/>
        <v>-1.0113075190954952E-3</v>
      </c>
    </row>
    <row r="182" spans="1:29" x14ac:dyDescent="0.25">
      <c r="A182" s="30" t="str">
        <f t="shared" si="170"/>
        <v>Capex costumization</v>
      </c>
      <c r="B182" s="66">
        <f t="shared" ref="B182:AC182" si="173">((1+B141)^B149)*B141/(((1+B141)^B149)-1)*(B139)/B153/(B150)</f>
        <v>2.964391815717463E-3</v>
      </c>
      <c r="C182" s="66">
        <f t="shared" si="173"/>
        <v>2.964391815717463E-3</v>
      </c>
      <c r="D182" s="66">
        <f t="shared" si="173"/>
        <v>2.964391815717463E-3</v>
      </c>
      <c r="E182" s="66">
        <f t="shared" si="173"/>
        <v>2.964391815717463E-3</v>
      </c>
      <c r="F182" s="66">
        <f t="shared" si="173"/>
        <v>2.964391815717463E-3</v>
      </c>
      <c r="G182" s="66">
        <f t="shared" si="173"/>
        <v>2.964391815717463E-3</v>
      </c>
      <c r="H182" s="66">
        <f t="shared" si="173"/>
        <v>2.964391815717463E-3</v>
      </c>
      <c r="I182" s="66">
        <f t="shared" si="173"/>
        <v>2.964391815717463E-3</v>
      </c>
      <c r="J182" s="66">
        <f t="shared" si="173"/>
        <v>2.964391815717463E-3</v>
      </c>
      <c r="K182" s="66">
        <f t="shared" si="173"/>
        <v>2.964391815717463E-3</v>
      </c>
      <c r="L182" s="66">
        <f t="shared" si="173"/>
        <v>2.964391815717463E-3</v>
      </c>
      <c r="M182" s="66">
        <f t="shared" si="173"/>
        <v>2.964391815717463E-3</v>
      </c>
      <c r="N182" s="66">
        <f t="shared" si="173"/>
        <v>2.964391815717463E-3</v>
      </c>
      <c r="O182" s="66">
        <f t="shared" si="173"/>
        <v>2.964391815717463E-3</v>
      </c>
      <c r="P182" s="66">
        <f t="shared" si="173"/>
        <v>2.964391815717463E-3</v>
      </c>
      <c r="Q182" s="66">
        <f t="shared" si="173"/>
        <v>2.964391815717463E-3</v>
      </c>
      <c r="R182" s="66">
        <f t="shared" si="173"/>
        <v>2.964391815717463E-3</v>
      </c>
      <c r="S182" s="66">
        <f t="shared" si="173"/>
        <v>2.964391815717463E-3</v>
      </c>
      <c r="T182" s="66">
        <f t="shared" si="173"/>
        <v>2.964391815717463E-3</v>
      </c>
      <c r="U182" s="66">
        <f t="shared" si="173"/>
        <v>2.964391815717463E-3</v>
      </c>
      <c r="V182" s="66">
        <f t="shared" si="173"/>
        <v>2.964391815717463E-3</v>
      </c>
      <c r="W182" s="66">
        <f t="shared" si="173"/>
        <v>2.964391815717463E-3</v>
      </c>
      <c r="X182" s="66">
        <f t="shared" si="173"/>
        <v>2.964391815717463E-3</v>
      </c>
      <c r="Y182" s="66">
        <f t="shared" si="173"/>
        <v>2.964391815717463E-3</v>
      </c>
      <c r="Z182" s="66">
        <f t="shared" si="173"/>
        <v>2.964391815717463E-3</v>
      </c>
      <c r="AA182" s="66">
        <f t="shared" si="173"/>
        <v>2.964391815717463E-3</v>
      </c>
      <c r="AB182" s="66">
        <f t="shared" si="173"/>
        <v>2.964391815717463E-3</v>
      </c>
      <c r="AC182" s="66">
        <f t="shared" si="173"/>
        <v>2.964391815717463E-3</v>
      </c>
    </row>
    <row r="183" spans="1:29" x14ac:dyDescent="0.25">
      <c r="A183" s="30" t="str">
        <f t="shared" si="170"/>
        <v>Residual value (costumization)</v>
      </c>
      <c r="B183" s="69">
        <f t="shared" ref="B183:AC183" si="174">((1+B141)^B149)*B141/(((1+B141)^B149)-1)*(B140)/B153/(B150)</f>
        <v>-7.4109795392936575E-4</v>
      </c>
      <c r="C183" s="69">
        <f t="shared" si="174"/>
        <v>-7.4109795392936575E-4</v>
      </c>
      <c r="D183" s="69">
        <f t="shared" si="174"/>
        <v>-7.4109795392936575E-4</v>
      </c>
      <c r="E183" s="69">
        <f t="shared" si="174"/>
        <v>-7.4109795392936575E-4</v>
      </c>
      <c r="F183" s="69">
        <f t="shared" si="174"/>
        <v>-7.4109795392936575E-4</v>
      </c>
      <c r="G183" s="69">
        <f t="shared" si="174"/>
        <v>-7.4109795392936575E-4</v>
      </c>
      <c r="H183" s="69">
        <f t="shared" si="174"/>
        <v>-7.4109795392936575E-4</v>
      </c>
      <c r="I183" s="69">
        <f t="shared" si="174"/>
        <v>-7.4109795392936575E-4</v>
      </c>
      <c r="J183" s="69">
        <f t="shared" si="174"/>
        <v>-7.4109795392936575E-4</v>
      </c>
      <c r="K183" s="69">
        <f t="shared" si="174"/>
        <v>-7.4109795392936575E-4</v>
      </c>
      <c r="L183" s="69">
        <f t="shared" si="174"/>
        <v>-7.4109795392936575E-4</v>
      </c>
      <c r="M183" s="69">
        <f t="shared" si="174"/>
        <v>-7.4109795392936575E-4</v>
      </c>
      <c r="N183" s="69">
        <f t="shared" si="174"/>
        <v>-7.4109795392936575E-4</v>
      </c>
      <c r="O183" s="69">
        <f t="shared" si="174"/>
        <v>-7.4109795392936575E-4</v>
      </c>
      <c r="P183" s="69">
        <f t="shared" si="174"/>
        <v>-7.4109795392936575E-4</v>
      </c>
      <c r="Q183" s="69">
        <f t="shared" si="174"/>
        <v>-7.4109795392936575E-4</v>
      </c>
      <c r="R183" s="69">
        <f t="shared" si="174"/>
        <v>-7.4109795392936575E-4</v>
      </c>
      <c r="S183" s="69">
        <f t="shared" si="174"/>
        <v>-7.4109795392936575E-4</v>
      </c>
      <c r="T183" s="69">
        <f t="shared" si="174"/>
        <v>-7.4109795392936575E-4</v>
      </c>
      <c r="U183" s="69">
        <f t="shared" si="174"/>
        <v>-7.4109795392936575E-4</v>
      </c>
      <c r="V183" s="69">
        <f t="shared" si="174"/>
        <v>-7.4109795392936575E-4</v>
      </c>
      <c r="W183" s="69">
        <f t="shared" si="174"/>
        <v>-7.4109795392936575E-4</v>
      </c>
      <c r="X183" s="69">
        <f t="shared" si="174"/>
        <v>-7.4109795392936575E-4</v>
      </c>
      <c r="Y183" s="69">
        <f t="shared" si="174"/>
        <v>-7.4109795392936575E-4</v>
      </c>
      <c r="Z183" s="69">
        <f t="shared" si="174"/>
        <v>-7.4109795392936575E-4</v>
      </c>
      <c r="AA183" s="69">
        <f t="shared" si="174"/>
        <v>-7.4109795392936575E-4</v>
      </c>
      <c r="AB183" s="69">
        <f t="shared" si="174"/>
        <v>-7.4109795392936575E-4</v>
      </c>
      <c r="AC183" s="69">
        <f t="shared" si="174"/>
        <v>-7.4109795392936575E-4</v>
      </c>
    </row>
    <row r="184" spans="1:29" x14ac:dyDescent="0.25">
      <c r="A184" s="30" t="str">
        <f t="shared" si="170"/>
        <v>Opex fix (admin, crew, insurance)</v>
      </c>
      <c r="B184" s="66">
        <f t="shared" ref="B184:AC184" si="175">B142/B153/(B150)</f>
        <v>2.5454545454545455E-2</v>
      </c>
      <c r="C184" s="66">
        <f t="shared" si="175"/>
        <v>2.5454545454545455E-2</v>
      </c>
      <c r="D184" s="66">
        <f t="shared" si="175"/>
        <v>2.5454545454545455E-2</v>
      </c>
      <c r="E184" s="66">
        <f t="shared" si="175"/>
        <v>2.5454545454545455E-2</v>
      </c>
      <c r="F184" s="66">
        <f t="shared" si="175"/>
        <v>2.5454545454545455E-2</v>
      </c>
      <c r="G184" s="66">
        <f t="shared" si="175"/>
        <v>2.5454545454545455E-2</v>
      </c>
      <c r="H184" s="66">
        <f t="shared" si="175"/>
        <v>2.5454545454545455E-2</v>
      </c>
      <c r="I184" s="66">
        <f t="shared" si="175"/>
        <v>2.5454545454545455E-2</v>
      </c>
      <c r="J184" s="66">
        <f t="shared" si="175"/>
        <v>2.5454545454545455E-2</v>
      </c>
      <c r="K184" s="66">
        <f t="shared" si="175"/>
        <v>2.5454545454545455E-2</v>
      </c>
      <c r="L184" s="66">
        <f t="shared" si="175"/>
        <v>2.5454545454545455E-2</v>
      </c>
      <c r="M184" s="66">
        <f t="shared" si="175"/>
        <v>2.5454545454545455E-2</v>
      </c>
      <c r="N184" s="66">
        <f t="shared" si="175"/>
        <v>2.5454545454545455E-2</v>
      </c>
      <c r="O184" s="66">
        <f t="shared" si="175"/>
        <v>2.5454545454545455E-2</v>
      </c>
      <c r="P184" s="66">
        <f t="shared" si="175"/>
        <v>2.5454545454545455E-2</v>
      </c>
      <c r="Q184" s="66">
        <f t="shared" si="175"/>
        <v>2.5454545454545455E-2</v>
      </c>
      <c r="R184" s="66">
        <f t="shared" si="175"/>
        <v>2.5454545454545455E-2</v>
      </c>
      <c r="S184" s="66">
        <f t="shared" si="175"/>
        <v>2.5454545454545455E-2</v>
      </c>
      <c r="T184" s="66">
        <f t="shared" si="175"/>
        <v>2.5454545454545455E-2</v>
      </c>
      <c r="U184" s="66">
        <f t="shared" si="175"/>
        <v>2.5454545454545455E-2</v>
      </c>
      <c r="V184" s="66">
        <f t="shared" si="175"/>
        <v>2.5454545454545455E-2</v>
      </c>
      <c r="W184" s="66">
        <f t="shared" si="175"/>
        <v>2.5454545454545455E-2</v>
      </c>
      <c r="X184" s="66">
        <f t="shared" si="175"/>
        <v>2.5454545454545455E-2</v>
      </c>
      <c r="Y184" s="66">
        <f t="shared" si="175"/>
        <v>2.5454545454545455E-2</v>
      </c>
      <c r="Z184" s="66">
        <f t="shared" si="175"/>
        <v>2.5454545454545455E-2</v>
      </c>
      <c r="AA184" s="66">
        <f t="shared" si="175"/>
        <v>2.5454545454545455E-2</v>
      </c>
      <c r="AB184" s="66">
        <f t="shared" si="175"/>
        <v>2.5454545454545455E-2</v>
      </c>
      <c r="AC184" s="66">
        <f t="shared" si="175"/>
        <v>2.5454545454545455E-2</v>
      </c>
    </row>
    <row r="185" spans="1:29" x14ac:dyDescent="0.25">
      <c r="A185" s="30" t="str">
        <f t="shared" si="170"/>
        <v>Opex maintenance &amp; repair</v>
      </c>
      <c r="B185" s="66">
        <f t="shared" ref="B185:AC185" si="176">B143/B153/(B150)</f>
        <v>7.2727272727272727E-3</v>
      </c>
      <c r="C185" s="66">
        <f t="shared" si="176"/>
        <v>7.2727272727272727E-3</v>
      </c>
      <c r="D185" s="66">
        <f t="shared" si="176"/>
        <v>7.2727272727272727E-3</v>
      </c>
      <c r="E185" s="66">
        <f t="shared" si="176"/>
        <v>7.2727272727272727E-3</v>
      </c>
      <c r="F185" s="66">
        <f t="shared" si="176"/>
        <v>7.2727272727272727E-3</v>
      </c>
      <c r="G185" s="66">
        <f t="shared" si="176"/>
        <v>7.2727272727272727E-3</v>
      </c>
      <c r="H185" s="66">
        <f t="shared" si="176"/>
        <v>7.2727272727272727E-3</v>
      </c>
      <c r="I185" s="66">
        <f t="shared" si="176"/>
        <v>7.2727272727272727E-3</v>
      </c>
      <c r="J185" s="66">
        <f t="shared" si="176"/>
        <v>7.2727272727272727E-3</v>
      </c>
      <c r="K185" s="66">
        <f t="shared" si="176"/>
        <v>7.2727272727272727E-3</v>
      </c>
      <c r="L185" s="66">
        <f t="shared" si="176"/>
        <v>7.2727272727272727E-3</v>
      </c>
      <c r="M185" s="66">
        <f t="shared" si="176"/>
        <v>7.2727272727272727E-3</v>
      </c>
      <c r="N185" s="66">
        <f t="shared" si="176"/>
        <v>7.2727272727272727E-3</v>
      </c>
      <c r="O185" s="66">
        <f t="shared" si="176"/>
        <v>7.2727272727272727E-3</v>
      </c>
      <c r="P185" s="66">
        <f t="shared" si="176"/>
        <v>7.2727272727272727E-3</v>
      </c>
      <c r="Q185" s="66">
        <f t="shared" si="176"/>
        <v>7.2727272727272727E-3</v>
      </c>
      <c r="R185" s="66">
        <f t="shared" si="176"/>
        <v>7.2727272727272727E-3</v>
      </c>
      <c r="S185" s="66">
        <f t="shared" si="176"/>
        <v>7.2727272727272727E-3</v>
      </c>
      <c r="T185" s="66">
        <f t="shared" si="176"/>
        <v>7.2727272727272727E-3</v>
      </c>
      <c r="U185" s="66">
        <f t="shared" si="176"/>
        <v>7.2727272727272727E-3</v>
      </c>
      <c r="V185" s="66">
        <f t="shared" si="176"/>
        <v>7.2727272727272727E-3</v>
      </c>
      <c r="W185" s="66">
        <f t="shared" si="176"/>
        <v>7.2727272727272727E-3</v>
      </c>
      <c r="X185" s="66">
        <f t="shared" si="176"/>
        <v>7.2727272727272727E-3</v>
      </c>
      <c r="Y185" s="66">
        <f t="shared" si="176"/>
        <v>7.2727272727272727E-3</v>
      </c>
      <c r="Z185" s="66">
        <f t="shared" si="176"/>
        <v>7.2727272727272727E-3</v>
      </c>
      <c r="AA185" s="66">
        <f t="shared" si="176"/>
        <v>7.2727272727272727E-3</v>
      </c>
      <c r="AB185" s="66">
        <f t="shared" si="176"/>
        <v>7.2727272727272727E-3</v>
      </c>
      <c r="AC185" s="66">
        <f t="shared" si="176"/>
        <v>7.2727272727272727E-3</v>
      </c>
    </row>
    <row r="186" spans="1:29" x14ac:dyDescent="0.25">
      <c r="A186" s="30" t="str">
        <f t="shared" si="170"/>
        <v>Opex var (mode-fees)</v>
      </c>
      <c r="B186" s="66">
        <f t="shared" ref="B186:AC186" si="177">B144*B153/B153/(B150)</f>
        <v>4.4000000000000003E-3</v>
      </c>
      <c r="C186" s="66">
        <f t="shared" si="177"/>
        <v>4.4000000000000003E-3</v>
      </c>
      <c r="D186" s="66">
        <f t="shared" si="177"/>
        <v>4.4000000000000003E-3</v>
      </c>
      <c r="E186" s="66">
        <f t="shared" si="177"/>
        <v>4.4000000000000003E-3</v>
      </c>
      <c r="F186" s="66">
        <f t="shared" si="177"/>
        <v>4.4000000000000003E-3</v>
      </c>
      <c r="G186" s="66">
        <f t="shared" si="177"/>
        <v>4.4000000000000003E-3</v>
      </c>
      <c r="H186" s="66">
        <f t="shared" si="177"/>
        <v>4.4000000000000003E-3</v>
      </c>
      <c r="I186" s="66">
        <f t="shared" si="177"/>
        <v>4.4000000000000003E-3</v>
      </c>
      <c r="J186" s="66">
        <f t="shared" si="177"/>
        <v>4.4000000000000003E-3</v>
      </c>
      <c r="K186" s="66">
        <f t="shared" si="177"/>
        <v>4.4000000000000003E-3</v>
      </c>
      <c r="L186" s="66">
        <f t="shared" si="177"/>
        <v>4.4000000000000003E-3</v>
      </c>
      <c r="M186" s="66">
        <f t="shared" si="177"/>
        <v>4.4000000000000003E-3</v>
      </c>
      <c r="N186" s="66">
        <f t="shared" si="177"/>
        <v>4.4000000000000003E-3</v>
      </c>
      <c r="O186" s="66">
        <f t="shared" si="177"/>
        <v>4.4000000000000003E-3</v>
      </c>
      <c r="P186" s="66">
        <f t="shared" si="177"/>
        <v>4.4000000000000003E-3</v>
      </c>
      <c r="Q186" s="66">
        <f t="shared" si="177"/>
        <v>4.4000000000000003E-3</v>
      </c>
      <c r="R186" s="66">
        <f t="shared" si="177"/>
        <v>4.4000000000000003E-3</v>
      </c>
      <c r="S186" s="66">
        <f t="shared" si="177"/>
        <v>4.4000000000000003E-3</v>
      </c>
      <c r="T186" s="66">
        <f t="shared" si="177"/>
        <v>4.4000000000000003E-3</v>
      </c>
      <c r="U186" s="66">
        <f t="shared" si="177"/>
        <v>4.4000000000000003E-3</v>
      </c>
      <c r="V186" s="66">
        <f t="shared" si="177"/>
        <v>4.4000000000000003E-3</v>
      </c>
      <c r="W186" s="66">
        <f t="shared" si="177"/>
        <v>4.4000000000000003E-3</v>
      </c>
      <c r="X186" s="66">
        <f t="shared" si="177"/>
        <v>4.4000000000000003E-3</v>
      </c>
      <c r="Y186" s="66">
        <f t="shared" si="177"/>
        <v>4.4000000000000003E-3</v>
      </c>
      <c r="Z186" s="66">
        <f t="shared" si="177"/>
        <v>4.4000000000000003E-3</v>
      </c>
      <c r="AA186" s="66">
        <f t="shared" si="177"/>
        <v>4.4000000000000003E-3</v>
      </c>
      <c r="AB186" s="66">
        <f t="shared" si="177"/>
        <v>4.4000000000000003E-3</v>
      </c>
      <c r="AC186" s="66">
        <f t="shared" si="177"/>
        <v>4.4000000000000003E-3</v>
      </c>
    </row>
    <row r="187" spans="1:29" x14ac:dyDescent="0.25">
      <c r="A187" s="30" t="str">
        <f t="shared" ref="A187" si="178">A163</f>
        <v>Fuel Cost</v>
      </c>
      <c r="B187" s="66">
        <f t="shared" ref="B187:AC187" si="179">B145*B146*B153/B153/(B150)</f>
        <v>1.1573595723149675E-2</v>
      </c>
      <c r="C187" s="66">
        <f t="shared" si="179"/>
        <v>1.1562290195257166E-2</v>
      </c>
      <c r="D187" s="66">
        <f t="shared" si="179"/>
        <v>1.154623796631744E-2</v>
      </c>
      <c r="E187" s="66">
        <f t="shared" si="179"/>
        <v>1.1523549683231857E-2</v>
      </c>
      <c r="F187" s="66">
        <f t="shared" si="179"/>
        <v>1.1491695743110229E-2</v>
      </c>
      <c r="G187" s="66">
        <f t="shared" si="179"/>
        <v>1.1447407203002828E-2</v>
      </c>
      <c r="H187" s="66">
        <f t="shared" si="179"/>
        <v>1.1386689271353168E-2</v>
      </c>
      <c r="I187" s="66">
        <f t="shared" si="179"/>
        <v>1.130509087748654E-2</v>
      </c>
      <c r="J187" s="66">
        <f t="shared" si="179"/>
        <v>1.1198426013052478E-2</v>
      </c>
      <c r="K187" s="66">
        <f t="shared" si="179"/>
        <v>1.1064099644999867E-2</v>
      </c>
      <c r="L187" s="66">
        <f t="shared" si="179"/>
        <v>1.0902911859175732E-2</v>
      </c>
      <c r="M187" s="66">
        <f t="shared" si="179"/>
        <v>1.0720644957616992E-2</v>
      </c>
      <c r="N187" s="66">
        <f t="shared" si="179"/>
        <v>1.0528226537463705E-2</v>
      </c>
      <c r="O187" s="66">
        <f t="shared" si="179"/>
        <v>1.0339594551910478E-2</v>
      </c>
      <c r="P187" s="66">
        <f t="shared" si="179"/>
        <v>1.0167878972744624E-2</v>
      </c>
      <c r="Q187" s="66">
        <f t="shared" si="179"/>
        <v>1.0021945183222353E-2</v>
      </c>
      <c r="R187" s="66">
        <f t="shared" si="179"/>
        <v>9.9050783530759638E-3</v>
      </c>
      <c r="S187" s="66">
        <f t="shared" si="179"/>
        <v>9.8159037747541991E-3</v>
      </c>
      <c r="T187" s="66">
        <f t="shared" si="179"/>
        <v>9.7503533078761844E-3</v>
      </c>
      <c r="U187" s="66">
        <f t="shared" si="179"/>
        <v>9.7034856723550063E-3</v>
      </c>
      <c r="V187" s="66">
        <f t="shared" si="179"/>
        <v>9.670638381250693E-3</v>
      </c>
      <c r="W187" s="66">
        <f t="shared" si="179"/>
        <v>9.647938884145316E-3</v>
      </c>
      <c r="X187" s="66">
        <f t="shared" si="179"/>
        <v>9.6324044871167799E-3</v>
      </c>
      <c r="Y187" s="66">
        <f t="shared" si="179"/>
        <v>9.6218444811282163E-3</v>
      </c>
      <c r="Z187" s="66">
        <f t="shared" si="179"/>
        <v>9.6146986425812171E-3</v>
      </c>
      <c r="AA187" s="66">
        <f t="shared" si="179"/>
        <v>9.6098780524370136E-3</v>
      </c>
      <c r="AB187" s="66">
        <f t="shared" si="179"/>
        <v>9.6066328550985913E-3</v>
      </c>
      <c r="AC187" s="66">
        <f t="shared" si="179"/>
        <v>9.604451272429336E-3</v>
      </c>
    </row>
    <row r="188" spans="1:29" x14ac:dyDescent="0.25">
      <c r="A188" s="59" t="str">
        <f>A151</f>
        <v>Market failure (av. utilization)</v>
      </c>
      <c r="B188" s="66">
        <f t="shared" ref="B188:AC188" si="180">B177/B151-B177/B150</f>
        <v>3.382767888784096E-2</v>
      </c>
      <c r="C188" s="66">
        <f t="shared" si="180"/>
        <v>3.3827992121368403E-2</v>
      </c>
      <c r="D188" s="66">
        <f t="shared" si="180"/>
        <v>3.3828473298334619E-2</v>
      </c>
      <c r="E188" s="66">
        <f t="shared" si="180"/>
        <v>3.3829230429318742E-2</v>
      </c>
      <c r="F188" s="66">
        <f t="shared" si="180"/>
        <v>3.3830455450557594E-2</v>
      </c>
      <c r="G188" s="66">
        <f t="shared" si="180"/>
        <v>3.3832496804166862E-2</v>
      </c>
      <c r="H188" s="66">
        <f t="shared" si="180"/>
        <v>3.383599315004808E-2</v>
      </c>
      <c r="I188" s="66">
        <f t="shared" si="180"/>
        <v>3.3842108604302631E-2</v>
      </c>
      <c r="J188" s="66">
        <f t="shared" si="180"/>
        <v>3.3852915208962421E-2</v>
      </c>
      <c r="K188" s="66">
        <f t="shared" si="180"/>
        <v>3.3871938268342373E-2</v>
      </c>
      <c r="L188" s="66">
        <f t="shared" si="180"/>
        <v>3.3904770087947372E-2</v>
      </c>
      <c r="M188" s="66">
        <f t="shared" si="180"/>
        <v>3.3959443822639858E-2</v>
      </c>
      <c r="N188" s="66">
        <f t="shared" si="180"/>
        <v>3.4046029481395568E-2</v>
      </c>
      <c r="O188" s="66">
        <f t="shared" si="180"/>
        <v>3.417491113060811E-2</v>
      </c>
      <c r="P188" s="66">
        <f t="shared" si="180"/>
        <v>3.4353646625094415E-2</v>
      </c>
      <c r="Q188" s="66">
        <f t="shared" si="180"/>
        <v>3.4583128704376291E-2</v>
      </c>
      <c r="R188" s="66">
        <f t="shared" si="180"/>
        <v>3.4854638481858935E-2</v>
      </c>
      <c r="S188" s="66">
        <f t="shared" si="180"/>
        <v>3.5149806116772618E-2</v>
      </c>
      <c r="T188" s="66">
        <f t="shared" si="180"/>
        <v>3.5444623503974287E-2</v>
      </c>
      <c r="U188" s="66">
        <f t="shared" si="180"/>
        <v>3.57161975109693E-2</v>
      </c>
      <c r="V188" s="66">
        <f t="shared" si="180"/>
        <v>3.5948739677428607E-2</v>
      </c>
      <c r="W188" s="66">
        <f t="shared" si="180"/>
        <v>3.6135864110078839E-2</v>
      </c>
      <c r="X188" s="66">
        <f t="shared" si="180"/>
        <v>3.6279094185013752E-2</v>
      </c>
      <c r="Y188" s="66">
        <f t="shared" si="180"/>
        <v>3.638459416997486E-2</v>
      </c>
      <c r="Z188" s="66">
        <f t="shared" si="180"/>
        <v>3.646012606552175E-2</v>
      </c>
      <c r="AA188" s="66">
        <f t="shared" si="180"/>
        <v>3.6513109587438156E-2</v>
      </c>
      <c r="AB188" s="66">
        <f t="shared" si="180"/>
        <v>3.6549745953035659E-2</v>
      </c>
      <c r="AC188" s="66">
        <f t="shared" si="180"/>
        <v>3.6574827843994642E-2</v>
      </c>
    </row>
    <row r="189" spans="1:29" x14ac:dyDescent="0.25">
      <c r="A189" s="59" t="str">
        <f>A152</f>
        <v>Payload loss (fuel)</v>
      </c>
      <c r="B189" s="66">
        <f>B177/(B150-B152)-B177/B150</f>
        <v>0</v>
      </c>
      <c r="C189" s="66">
        <f t="shared" ref="C189:AC189" si="181">C177/(C150-C152)-C177/C150</f>
        <v>0</v>
      </c>
      <c r="D189" s="66">
        <f t="shared" si="181"/>
        <v>0</v>
      </c>
      <c r="E189" s="66">
        <f t="shared" si="181"/>
        <v>0</v>
      </c>
      <c r="F189" s="66">
        <f t="shared" si="181"/>
        <v>0</v>
      </c>
      <c r="G189" s="66">
        <f t="shared" si="181"/>
        <v>0</v>
      </c>
      <c r="H189" s="66">
        <f t="shared" si="181"/>
        <v>0</v>
      </c>
      <c r="I189" s="66">
        <f t="shared" si="181"/>
        <v>0</v>
      </c>
      <c r="J189" s="66">
        <f t="shared" si="181"/>
        <v>0</v>
      </c>
      <c r="K189" s="66">
        <f t="shared" si="181"/>
        <v>0</v>
      </c>
      <c r="L189" s="66">
        <f t="shared" si="181"/>
        <v>0</v>
      </c>
      <c r="M189" s="66">
        <f t="shared" si="181"/>
        <v>0</v>
      </c>
      <c r="N189" s="66">
        <f t="shared" si="181"/>
        <v>0</v>
      </c>
      <c r="O189" s="66">
        <f t="shared" si="181"/>
        <v>0</v>
      </c>
      <c r="P189" s="66">
        <f t="shared" si="181"/>
        <v>0</v>
      </c>
      <c r="Q189" s="66">
        <f t="shared" si="181"/>
        <v>0</v>
      </c>
      <c r="R189" s="66">
        <f t="shared" si="181"/>
        <v>0</v>
      </c>
      <c r="S189" s="66">
        <f t="shared" si="181"/>
        <v>0</v>
      </c>
      <c r="T189" s="66">
        <f t="shared" si="181"/>
        <v>0</v>
      </c>
      <c r="U189" s="66">
        <f t="shared" si="181"/>
        <v>0</v>
      </c>
      <c r="V189" s="66">
        <f t="shared" si="181"/>
        <v>0</v>
      </c>
      <c r="W189" s="66">
        <f t="shared" si="181"/>
        <v>0</v>
      </c>
      <c r="X189" s="66">
        <f t="shared" si="181"/>
        <v>0</v>
      </c>
      <c r="Y189" s="66">
        <f t="shared" si="181"/>
        <v>0</v>
      </c>
      <c r="Z189" s="66">
        <f t="shared" si="181"/>
        <v>0</v>
      </c>
      <c r="AA189" s="66">
        <f t="shared" si="181"/>
        <v>0</v>
      </c>
      <c r="AB189" s="66">
        <f t="shared" si="181"/>
        <v>0</v>
      </c>
      <c r="AC189" s="66">
        <f t="shared" si="181"/>
        <v>0</v>
      </c>
    </row>
    <row r="190" spans="1:29" ht="15.75" thickBot="1" x14ac:dyDescent="0.3">
      <c r="A190" s="59" t="str">
        <f>A127</f>
        <v>Emission Cost</v>
      </c>
      <c r="B190" s="68">
        <f>B147*B153/B153/(B150)</f>
        <v>3.105564911133563E-3</v>
      </c>
      <c r="C190" s="68">
        <f t="shared" ref="C190:AC190" si="182">C147*C153/C153/(C150)</f>
        <v>3.1111379658149869E-3</v>
      </c>
      <c r="D190" s="68">
        <f t="shared" si="182"/>
        <v>3.1191156694616588E-3</v>
      </c>
      <c r="E190" s="68">
        <f t="shared" si="182"/>
        <v>3.130528335545424E-3</v>
      </c>
      <c r="F190" s="68">
        <f t="shared" si="182"/>
        <v>3.1468395537089262E-3</v>
      </c>
      <c r="G190" s="68">
        <f t="shared" si="182"/>
        <v>3.1701191870286659E-3</v>
      </c>
      <c r="H190" s="68">
        <f t="shared" si="182"/>
        <v>3.2032750959951769E-3</v>
      </c>
      <c r="I190" s="68">
        <f t="shared" si="182"/>
        <v>3.2503517337687839E-3</v>
      </c>
      <c r="J190" s="68">
        <f t="shared" si="182"/>
        <v>3.3168900374857192E-3</v>
      </c>
      <c r="K190" s="68">
        <f t="shared" si="182"/>
        <v>3.4103086154538588E-3</v>
      </c>
      <c r="L190" s="68">
        <f t="shared" si="182"/>
        <v>3.5401943508234922E-3</v>
      </c>
      <c r="M190" s="68">
        <f t="shared" si="182"/>
        <v>3.7182628349802355E-3</v>
      </c>
      <c r="N190" s="68">
        <f t="shared" si="182"/>
        <v>3.9575677966395585E-3</v>
      </c>
      <c r="O190" s="68">
        <f t="shared" si="182"/>
        <v>4.2703856118469392E-3</v>
      </c>
      <c r="P190" s="68">
        <f t="shared" si="182"/>
        <v>4.6643267770273026E-3</v>
      </c>
      <c r="Q190" s="68">
        <f t="shared" si="182"/>
        <v>5.1370448671608218E-3</v>
      </c>
      <c r="R190" s="68">
        <f t="shared" si="182"/>
        <v>5.6715820292595051E-3</v>
      </c>
      <c r="S190" s="68">
        <f t="shared" si="182"/>
        <v>6.2358907181362952E-3</v>
      </c>
      <c r="T190" s="68">
        <f t="shared" si="182"/>
        <v>6.7890948675257863E-3</v>
      </c>
      <c r="U190" s="68">
        <f t="shared" si="182"/>
        <v>7.292687991622789E-3</v>
      </c>
      <c r="V190" s="68">
        <f t="shared" si="182"/>
        <v>7.7206704340653069E-3</v>
      </c>
      <c r="W190" s="68">
        <f t="shared" si="182"/>
        <v>8.0634077231489607E-3</v>
      </c>
      <c r="X190" s="68">
        <f t="shared" si="182"/>
        <v>8.3249314864862114E-3</v>
      </c>
      <c r="Y190" s="68">
        <f t="shared" si="182"/>
        <v>8.5171724267752297E-3</v>
      </c>
      <c r="Z190" s="68">
        <f t="shared" si="182"/>
        <v>8.6546219179967215E-3</v>
      </c>
      <c r="AA190" s="68">
        <f t="shared" si="182"/>
        <v>8.7509537128501579E-3</v>
      </c>
      <c r="AB190" s="68">
        <f t="shared" si="182"/>
        <v>8.8175249041087325E-3</v>
      </c>
      <c r="AC190" s="68">
        <f t="shared" si="182"/>
        <v>8.8630828876566804E-3</v>
      </c>
    </row>
    <row r="191" spans="1:29" ht="15.75" thickBot="1" x14ac:dyDescent="0.3">
      <c r="A191" s="31" t="s">
        <v>210</v>
      </c>
      <c r="B191" s="67">
        <f>B180+B181+B182+B183+B184+B185+B186+B187+B188+B189+B190</f>
        <v>9.2483578780588382E-2</v>
      </c>
      <c r="C191" s="67">
        <f t="shared" ref="C191:AC191" si="183">C180+C181+C182+C183+C184+C185+C186+C187+C188+C189+C190</f>
        <v>9.2484448873720149E-2</v>
      </c>
      <c r="D191" s="67">
        <f t="shared" si="183"/>
        <v>9.2485785476404098E-2</v>
      </c>
      <c r="E191" s="67">
        <f t="shared" si="183"/>
        <v>9.2487888618026648E-2</v>
      </c>
      <c r="F191" s="67">
        <f t="shared" si="183"/>
        <v>9.2491291454801255E-2</v>
      </c>
      <c r="G191" s="67">
        <f t="shared" si="183"/>
        <v>9.2496961881493672E-2</v>
      </c>
      <c r="H191" s="67">
        <f t="shared" si="183"/>
        <v>9.2506673953385923E-2</v>
      </c>
      <c r="I191" s="67">
        <f t="shared" si="183"/>
        <v>9.2523661326315246E-2</v>
      </c>
      <c r="J191" s="67">
        <f t="shared" si="183"/>
        <v>9.2553679672592454E-2</v>
      </c>
      <c r="K191" s="67">
        <f t="shared" si="183"/>
        <v>9.2606521504203398E-2</v>
      </c>
      <c r="L191" s="67">
        <f t="shared" si="183"/>
        <v>9.2697721003106179E-2</v>
      </c>
      <c r="M191" s="67">
        <f t="shared" si="183"/>
        <v>9.2849592488363095E-2</v>
      </c>
      <c r="N191" s="67">
        <f t="shared" si="183"/>
        <v>9.3090108207128958E-2</v>
      </c>
      <c r="O191" s="67">
        <f t="shared" si="183"/>
        <v>9.3448112788274904E-2</v>
      </c>
      <c r="P191" s="67">
        <f t="shared" si="183"/>
        <v>9.3944600272959089E-2</v>
      </c>
      <c r="Q191" s="67">
        <f t="shared" si="183"/>
        <v>9.458205049318652E-2</v>
      </c>
      <c r="R191" s="67">
        <f t="shared" si="183"/>
        <v>9.5336244319527183E-2</v>
      </c>
      <c r="S191" s="67">
        <f t="shared" si="183"/>
        <v>9.6156154416509654E-2</v>
      </c>
      <c r="T191" s="67">
        <f t="shared" si="183"/>
        <v>9.6975091603180935E-2</v>
      </c>
      <c r="U191" s="67">
        <f t="shared" si="183"/>
        <v>9.7729463844833775E-2</v>
      </c>
      <c r="V191" s="67">
        <f t="shared" si="183"/>
        <v>9.8375414307220743E-2</v>
      </c>
      <c r="W191" s="67">
        <f t="shared" si="183"/>
        <v>9.8895204397915812E-2</v>
      </c>
      <c r="X191" s="67">
        <f t="shared" si="183"/>
        <v>9.9293065717179468E-2</v>
      </c>
      <c r="Y191" s="67">
        <f t="shared" si="183"/>
        <v>9.958612123096032E-2</v>
      </c>
      <c r="Z191" s="67">
        <f t="shared" si="183"/>
        <v>9.97959320519239E-2</v>
      </c>
      <c r="AA191" s="67">
        <f t="shared" si="183"/>
        <v>9.9943108501691705E-2</v>
      </c>
      <c r="AB191" s="67">
        <f t="shared" si="183"/>
        <v>0.10004487618390698</v>
      </c>
      <c r="AC191" s="67">
        <f t="shared" si="183"/>
        <v>0.10011454810323749</v>
      </c>
    </row>
    <row r="193" spans="2:2" x14ac:dyDescent="0.25">
      <c r="B193" s="40"/>
    </row>
    <row r="215" spans="1:44" s="3" customFormat="1" ht="21" x14ac:dyDescent="0.35">
      <c r="A215" s="2" t="str">
        <f>'Parameter Input'!A45</f>
        <v>Road long-haul: Container</v>
      </c>
    </row>
    <row r="216" spans="1:44" s="3" customFormat="1" ht="21" x14ac:dyDescent="0.35">
      <c r="A216" s="2" t="s">
        <v>11</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Input'!L21</f>
        <v>105000</v>
      </c>
      <c r="C225" s="42">
        <f>'Parameter Input'!M21</f>
        <v>115000</v>
      </c>
      <c r="D225" s="1" t="s">
        <v>15</v>
      </c>
      <c r="L225" s="51">
        <f>'Parameter Input'!O21</f>
        <v>12</v>
      </c>
      <c r="M225" s="52">
        <v>0</v>
      </c>
      <c r="N225" s="52">
        <v>1</v>
      </c>
      <c r="O225" s="52">
        <f>'Parameter Input'!P21</f>
        <v>0.9</v>
      </c>
      <c r="P225" s="53">
        <f>'Parameter Input'!Q21</f>
        <v>0.4</v>
      </c>
      <c r="Q225" s="4">
        <f t="shared" ref="Q225:AR234" si="184">$N225+($M225-$N225)*((1/(1+EXP(-$P225*(Q$9-$L225)))^$O225))</f>
        <v>0.9867978615748374</v>
      </c>
      <c r="R225" s="4">
        <f t="shared" si="184"/>
        <v>0.98114509762858249</v>
      </c>
      <c r="S225" s="4">
        <f t="shared" si="184"/>
        <v>0.97311898315872036</v>
      </c>
      <c r="T225" s="4">
        <f t="shared" si="184"/>
        <v>0.96177484161592774</v>
      </c>
      <c r="U225" s="4">
        <f t="shared" si="184"/>
        <v>0.94584787155511363</v>
      </c>
      <c r="V225" s="4">
        <f t="shared" si="184"/>
        <v>0.92370360150141495</v>
      </c>
      <c r="W225" s="4">
        <f t="shared" si="184"/>
        <v>0.89334463567658451</v>
      </c>
      <c r="X225" s="4">
        <f t="shared" si="184"/>
        <v>0.85254543874327005</v>
      </c>
      <c r="Y225" s="4">
        <f t="shared" si="184"/>
        <v>0.79921300652623883</v>
      </c>
      <c r="Z225" s="4">
        <f t="shared" si="184"/>
        <v>0.73204982249993378</v>
      </c>
      <c r="AA225" s="4">
        <f t="shared" si="184"/>
        <v>0.65145592958786691</v>
      </c>
      <c r="AB225" s="4">
        <f t="shared" si="184"/>
        <v>0.56032247880849573</v>
      </c>
      <c r="AC225" s="4">
        <f t="shared" si="184"/>
        <v>0.46411326873185343</v>
      </c>
      <c r="AD225" s="4">
        <f t="shared" si="184"/>
        <v>0.36979727595523937</v>
      </c>
      <c r="AE225" s="4">
        <f t="shared" si="184"/>
        <v>0.28393948637231203</v>
      </c>
      <c r="AF225" s="4">
        <f t="shared" si="184"/>
        <v>0.21097259161117732</v>
      </c>
      <c r="AG225" s="4">
        <f t="shared" si="184"/>
        <v>0.15253917653798199</v>
      </c>
      <c r="AH225" s="4">
        <f t="shared" si="184"/>
        <v>0.10795188737709993</v>
      </c>
      <c r="AI225" s="4">
        <f t="shared" si="184"/>
        <v>7.5176653938091809E-2</v>
      </c>
      <c r="AJ225" s="4">
        <f t="shared" si="184"/>
        <v>5.1742836177502194E-2</v>
      </c>
      <c r="AK225" s="4">
        <f t="shared" si="184"/>
        <v>3.5319190625345942E-2</v>
      </c>
      <c r="AL225" s="4">
        <f t="shared" si="184"/>
        <v>2.3969442072658165E-2</v>
      </c>
      <c r="AM225" s="4">
        <f t="shared" si="184"/>
        <v>1.6202243558389728E-2</v>
      </c>
      <c r="AN225" s="4">
        <f t="shared" si="184"/>
        <v>1.0922240564108399E-2</v>
      </c>
      <c r="AO225" s="4">
        <f t="shared" si="184"/>
        <v>7.3493212906090566E-3</v>
      </c>
      <c r="AP225" s="4">
        <f t="shared" si="184"/>
        <v>4.9390262185057265E-3</v>
      </c>
      <c r="AQ225" s="4">
        <f t="shared" si="184"/>
        <v>3.3164275492956197E-3</v>
      </c>
      <c r="AR225" s="4">
        <f t="shared" si="184"/>
        <v>2.2256362146679809E-3</v>
      </c>
    </row>
    <row r="226" spans="1:44" x14ac:dyDescent="0.25">
      <c r="A226" s="24" t="s">
        <v>28</v>
      </c>
      <c r="B226" s="60">
        <f>'Parameter Input'!L22</f>
        <v>-26250</v>
      </c>
      <c r="C226" s="61">
        <f>'Parameter Input'!M22</f>
        <v>-17250</v>
      </c>
      <c r="D226" s="1" t="s">
        <v>15</v>
      </c>
      <c r="L226" s="54">
        <f>'Parameter Input'!O22</f>
        <v>12</v>
      </c>
      <c r="M226" s="37">
        <v>0</v>
      </c>
      <c r="N226" s="37">
        <v>1</v>
      </c>
      <c r="O226" s="37">
        <f>'Parameter Input'!P22</f>
        <v>0.9</v>
      </c>
      <c r="P226" s="55">
        <f>'Parameter Input'!Q22</f>
        <v>0.4</v>
      </c>
      <c r="Q226" s="4">
        <f t="shared" si="184"/>
        <v>0.9867978615748374</v>
      </c>
      <c r="R226" s="4">
        <f t="shared" si="184"/>
        <v>0.98114509762858249</v>
      </c>
      <c r="S226" s="4">
        <f t="shared" si="184"/>
        <v>0.97311898315872036</v>
      </c>
      <c r="T226" s="4">
        <f t="shared" si="184"/>
        <v>0.96177484161592774</v>
      </c>
      <c r="U226" s="4">
        <f t="shared" si="184"/>
        <v>0.94584787155511363</v>
      </c>
      <c r="V226" s="4">
        <f t="shared" si="184"/>
        <v>0.92370360150141495</v>
      </c>
      <c r="W226" s="4">
        <f t="shared" si="184"/>
        <v>0.89334463567658451</v>
      </c>
      <c r="X226" s="4">
        <f t="shared" si="184"/>
        <v>0.85254543874327005</v>
      </c>
      <c r="Y226" s="4">
        <f t="shared" si="184"/>
        <v>0.79921300652623883</v>
      </c>
      <c r="Z226" s="4">
        <f t="shared" si="184"/>
        <v>0.73204982249993378</v>
      </c>
      <c r="AA226" s="4">
        <f t="shared" si="184"/>
        <v>0.65145592958786691</v>
      </c>
      <c r="AB226" s="4">
        <f t="shared" si="184"/>
        <v>0.56032247880849573</v>
      </c>
      <c r="AC226" s="4">
        <f t="shared" si="184"/>
        <v>0.46411326873185343</v>
      </c>
      <c r="AD226" s="4">
        <f t="shared" si="184"/>
        <v>0.36979727595523937</v>
      </c>
      <c r="AE226" s="4">
        <f t="shared" si="184"/>
        <v>0.28393948637231203</v>
      </c>
      <c r="AF226" s="4">
        <f t="shared" si="184"/>
        <v>0.21097259161117732</v>
      </c>
      <c r="AG226" s="4">
        <f t="shared" si="184"/>
        <v>0.15253917653798199</v>
      </c>
      <c r="AH226" s="4">
        <f t="shared" si="184"/>
        <v>0.10795188737709993</v>
      </c>
      <c r="AI226" s="4">
        <f t="shared" si="184"/>
        <v>7.5176653938091809E-2</v>
      </c>
      <c r="AJ226" s="4">
        <f t="shared" si="184"/>
        <v>5.1742836177502194E-2</v>
      </c>
      <c r="AK226" s="4">
        <f t="shared" si="184"/>
        <v>3.5319190625345942E-2</v>
      </c>
      <c r="AL226" s="4">
        <f t="shared" si="184"/>
        <v>2.3969442072658165E-2</v>
      </c>
      <c r="AM226" s="4">
        <f t="shared" si="184"/>
        <v>1.6202243558389728E-2</v>
      </c>
      <c r="AN226" s="4">
        <f t="shared" si="184"/>
        <v>1.0922240564108399E-2</v>
      </c>
      <c r="AO226" s="4">
        <f t="shared" si="184"/>
        <v>7.3493212906090566E-3</v>
      </c>
      <c r="AP226" s="4">
        <f t="shared" si="184"/>
        <v>4.9390262185057265E-3</v>
      </c>
      <c r="AQ226" s="4">
        <f t="shared" si="184"/>
        <v>3.3164275492956197E-3</v>
      </c>
      <c r="AR226" s="4">
        <f t="shared" si="184"/>
        <v>2.2256362146679809E-3</v>
      </c>
    </row>
    <row r="227" spans="1:44" x14ac:dyDescent="0.25">
      <c r="A227" s="24" t="s">
        <v>14</v>
      </c>
      <c r="B227" s="60">
        <f>'Parameter Input'!B46</f>
        <v>30000</v>
      </c>
      <c r="C227" s="61">
        <f>'Parameter Input'!C46</f>
        <v>30000</v>
      </c>
      <c r="D227" s="1" t="s">
        <v>15</v>
      </c>
      <c r="L227" s="54">
        <f>'Parameter Input'!E46</f>
        <v>12</v>
      </c>
      <c r="M227" s="37">
        <v>0</v>
      </c>
      <c r="N227" s="37">
        <v>1</v>
      </c>
      <c r="O227" s="37">
        <f>'Parameter Input'!F46</f>
        <v>0.9</v>
      </c>
      <c r="P227" s="55">
        <f>'Parameter Input'!G46</f>
        <v>0.4</v>
      </c>
      <c r="Q227" s="4">
        <f t="shared" si="184"/>
        <v>0.9867978615748374</v>
      </c>
      <c r="R227" s="4">
        <f t="shared" si="184"/>
        <v>0.98114509762858249</v>
      </c>
      <c r="S227" s="4">
        <f t="shared" si="184"/>
        <v>0.97311898315872036</v>
      </c>
      <c r="T227" s="4">
        <f t="shared" si="184"/>
        <v>0.96177484161592774</v>
      </c>
      <c r="U227" s="4">
        <f t="shared" si="184"/>
        <v>0.94584787155511363</v>
      </c>
      <c r="V227" s="4">
        <f t="shared" si="184"/>
        <v>0.92370360150141495</v>
      </c>
      <c r="W227" s="4">
        <f t="shared" si="184"/>
        <v>0.89334463567658451</v>
      </c>
      <c r="X227" s="4">
        <f t="shared" si="184"/>
        <v>0.85254543874327005</v>
      </c>
      <c r="Y227" s="4">
        <f t="shared" si="184"/>
        <v>0.79921300652623883</v>
      </c>
      <c r="Z227" s="4">
        <f t="shared" si="184"/>
        <v>0.73204982249993378</v>
      </c>
      <c r="AA227" s="4">
        <f t="shared" si="184"/>
        <v>0.65145592958786691</v>
      </c>
      <c r="AB227" s="4">
        <f t="shared" si="184"/>
        <v>0.56032247880849573</v>
      </c>
      <c r="AC227" s="4">
        <f t="shared" si="184"/>
        <v>0.46411326873185343</v>
      </c>
      <c r="AD227" s="4">
        <f t="shared" si="184"/>
        <v>0.36979727595523937</v>
      </c>
      <c r="AE227" s="4">
        <f t="shared" si="184"/>
        <v>0.28393948637231203</v>
      </c>
      <c r="AF227" s="4">
        <f t="shared" si="184"/>
        <v>0.21097259161117732</v>
      </c>
      <c r="AG227" s="4">
        <f t="shared" si="184"/>
        <v>0.15253917653798199</v>
      </c>
      <c r="AH227" s="4">
        <f t="shared" si="184"/>
        <v>0.10795188737709993</v>
      </c>
      <c r="AI227" s="4">
        <f t="shared" si="184"/>
        <v>7.5176653938091809E-2</v>
      </c>
      <c r="AJ227" s="4">
        <f t="shared" si="184"/>
        <v>5.1742836177502194E-2</v>
      </c>
      <c r="AK227" s="4">
        <f t="shared" si="184"/>
        <v>3.5319190625345942E-2</v>
      </c>
      <c r="AL227" s="4">
        <f t="shared" si="184"/>
        <v>2.3969442072658165E-2</v>
      </c>
      <c r="AM227" s="4">
        <f t="shared" si="184"/>
        <v>1.6202243558389728E-2</v>
      </c>
      <c r="AN227" s="4">
        <f t="shared" si="184"/>
        <v>1.0922240564108399E-2</v>
      </c>
      <c r="AO227" s="4">
        <f t="shared" si="184"/>
        <v>7.3493212906090566E-3</v>
      </c>
      <c r="AP227" s="4">
        <f t="shared" si="184"/>
        <v>4.9390262185057265E-3</v>
      </c>
      <c r="AQ227" s="4">
        <f t="shared" si="184"/>
        <v>3.3164275492956197E-3</v>
      </c>
      <c r="AR227" s="4">
        <f t="shared" si="184"/>
        <v>2.2256362146679809E-3</v>
      </c>
    </row>
    <row r="228" spans="1:44" x14ac:dyDescent="0.25">
      <c r="A228" s="24" t="s">
        <v>25</v>
      </c>
      <c r="B228" s="60">
        <f>'Parameter Input'!B47</f>
        <v>-7500</v>
      </c>
      <c r="C228" s="61">
        <f>'Parameter Input'!C47</f>
        <v>-7500</v>
      </c>
      <c r="D228" s="1" t="s">
        <v>15</v>
      </c>
      <c r="L228" s="54">
        <f>'Parameter Input'!E47</f>
        <v>12</v>
      </c>
      <c r="M228" s="37">
        <v>0</v>
      </c>
      <c r="N228" s="37">
        <v>1</v>
      </c>
      <c r="O228" s="37">
        <f>'Parameter Input'!F34</f>
        <v>0.9</v>
      </c>
      <c r="P228" s="55">
        <f>'Parameter Input'!G34</f>
        <v>0.4</v>
      </c>
      <c r="Q228" s="4">
        <f t="shared" si="184"/>
        <v>0.9867978615748374</v>
      </c>
      <c r="R228" s="4">
        <f t="shared" si="184"/>
        <v>0.98114509762858249</v>
      </c>
      <c r="S228" s="4">
        <f t="shared" si="184"/>
        <v>0.97311898315872036</v>
      </c>
      <c r="T228" s="4">
        <f t="shared" si="184"/>
        <v>0.96177484161592774</v>
      </c>
      <c r="U228" s="4">
        <f t="shared" si="184"/>
        <v>0.94584787155511363</v>
      </c>
      <c r="V228" s="4">
        <f t="shared" si="184"/>
        <v>0.92370360150141495</v>
      </c>
      <c r="W228" s="4">
        <f t="shared" si="184"/>
        <v>0.89334463567658451</v>
      </c>
      <c r="X228" s="4">
        <f t="shared" si="184"/>
        <v>0.85254543874327005</v>
      </c>
      <c r="Y228" s="4">
        <f t="shared" si="184"/>
        <v>0.79921300652623883</v>
      </c>
      <c r="Z228" s="4">
        <f t="shared" si="184"/>
        <v>0.73204982249993378</v>
      </c>
      <c r="AA228" s="4">
        <f t="shared" si="184"/>
        <v>0.65145592958786691</v>
      </c>
      <c r="AB228" s="4">
        <f t="shared" si="184"/>
        <v>0.56032247880849573</v>
      </c>
      <c r="AC228" s="4">
        <f t="shared" si="184"/>
        <v>0.46411326873185343</v>
      </c>
      <c r="AD228" s="4">
        <f t="shared" si="184"/>
        <v>0.36979727595523937</v>
      </c>
      <c r="AE228" s="4">
        <f t="shared" si="184"/>
        <v>0.28393948637231203</v>
      </c>
      <c r="AF228" s="4">
        <f t="shared" si="184"/>
        <v>0.21097259161117732</v>
      </c>
      <c r="AG228" s="4">
        <f t="shared" si="184"/>
        <v>0.15253917653798199</v>
      </c>
      <c r="AH228" s="4">
        <f t="shared" si="184"/>
        <v>0.10795188737709993</v>
      </c>
      <c r="AI228" s="4">
        <f t="shared" si="184"/>
        <v>7.5176653938091809E-2</v>
      </c>
      <c r="AJ228" s="4">
        <f t="shared" si="184"/>
        <v>5.1742836177502194E-2</v>
      </c>
      <c r="AK228" s="4">
        <f t="shared" si="184"/>
        <v>3.5319190625345942E-2</v>
      </c>
      <c r="AL228" s="4">
        <f t="shared" si="184"/>
        <v>2.3969442072658165E-2</v>
      </c>
      <c r="AM228" s="4">
        <f t="shared" si="184"/>
        <v>1.6202243558389728E-2</v>
      </c>
      <c r="AN228" s="4">
        <f t="shared" si="184"/>
        <v>1.0922240564108399E-2</v>
      </c>
      <c r="AO228" s="4">
        <f t="shared" si="184"/>
        <v>7.3493212906090566E-3</v>
      </c>
      <c r="AP228" s="4">
        <f t="shared" si="184"/>
        <v>4.9390262185057265E-3</v>
      </c>
      <c r="AQ228" s="4">
        <f t="shared" si="184"/>
        <v>3.3164275492956197E-3</v>
      </c>
      <c r="AR228" s="4">
        <f t="shared" si="184"/>
        <v>2.2256362146679809E-3</v>
      </c>
    </row>
    <row r="229" spans="1:44" x14ac:dyDescent="0.25">
      <c r="A229" s="24" t="s">
        <v>79</v>
      </c>
      <c r="B229" s="60">
        <f>'Parameter Input'!L28</f>
        <v>0.06</v>
      </c>
      <c r="C229" s="61">
        <f>'Parameter Input'!M28</f>
        <v>0.06</v>
      </c>
      <c r="D229" s="1" t="s">
        <v>57</v>
      </c>
      <c r="L229" s="54">
        <f>'Parameter Input'!O28</f>
        <v>12</v>
      </c>
      <c r="M229" s="37">
        <v>0</v>
      </c>
      <c r="N229" s="37">
        <v>1</v>
      </c>
      <c r="O229" s="37">
        <f>'Parameter Input'!P28</f>
        <v>0.9</v>
      </c>
      <c r="P229" s="55">
        <f>'Parameter Input'!Q28</f>
        <v>0.4</v>
      </c>
      <c r="Q229" s="4">
        <f t="shared" si="184"/>
        <v>0.9867978615748374</v>
      </c>
      <c r="R229" s="4">
        <f t="shared" si="184"/>
        <v>0.98114509762858249</v>
      </c>
      <c r="S229" s="4">
        <f t="shared" si="184"/>
        <v>0.97311898315872036</v>
      </c>
      <c r="T229" s="4">
        <f t="shared" si="184"/>
        <v>0.96177484161592774</v>
      </c>
      <c r="U229" s="4">
        <f t="shared" si="184"/>
        <v>0.94584787155511363</v>
      </c>
      <c r="V229" s="4">
        <f t="shared" si="184"/>
        <v>0.92370360150141495</v>
      </c>
      <c r="W229" s="4">
        <f t="shared" si="184"/>
        <v>0.89334463567658451</v>
      </c>
      <c r="X229" s="4">
        <f t="shared" si="184"/>
        <v>0.85254543874327005</v>
      </c>
      <c r="Y229" s="4">
        <f t="shared" si="184"/>
        <v>0.79921300652623883</v>
      </c>
      <c r="Z229" s="4">
        <f t="shared" si="184"/>
        <v>0.73204982249993378</v>
      </c>
      <c r="AA229" s="4">
        <f t="shared" si="184"/>
        <v>0.65145592958786691</v>
      </c>
      <c r="AB229" s="4">
        <f t="shared" si="184"/>
        <v>0.56032247880849573</v>
      </c>
      <c r="AC229" s="4">
        <f t="shared" si="184"/>
        <v>0.46411326873185343</v>
      </c>
      <c r="AD229" s="4">
        <f t="shared" si="184"/>
        <v>0.36979727595523937</v>
      </c>
      <c r="AE229" s="4">
        <f t="shared" si="184"/>
        <v>0.28393948637231203</v>
      </c>
      <c r="AF229" s="4">
        <f t="shared" si="184"/>
        <v>0.21097259161117732</v>
      </c>
      <c r="AG229" s="4">
        <f t="shared" si="184"/>
        <v>0.15253917653798199</v>
      </c>
      <c r="AH229" s="4">
        <f t="shared" si="184"/>
        <v>0.10795188737709993</v>
      </c>
      <c r="AI229" s="4">
        <f t="shared" si="184"/>
        <v>7.5176653938091809E-2</v>
      </c>
      <c r="AJ229" s="4">
        <f t="shared" si="184"/>
        <v>5.1742836177502194E-2</v>
      </c>
      <c r="AK229" s="4">
        <f t="shared" si="184"/>
        <v>3.5319190625345942E-2</v>
      </c>
      <c r="AL229" s="4">
        <f t="shared" si="184"/>
        <v>2.3969442072658165E-2</v>
      </c>
      <c r="AM229" s="4">
        <f t="shared" si="184"/>
        <v>1.6202243558389728E-2</v>
      </c>
      <c r="AN229" s="4">
        <f t="shared" si="184"/>
        <v>1.0922240564108399E-2</v>
      </c>
      <c r="AO229" s="4">
        <f t="shared" si="184"/>
        <v>7.3493212906090566E-3</v>
      </c>
      <c r="AP229" s="4">
        <f t="shared" si="184"/>
        <v>4.9390262185057265E-3</v>
      </c>
      <c r="AQ229" s="4">
        <f t="shared" si="184"/>
        <v>3.3164275492956197E-3</v>
      </c>
      <c r="AR229" s="4">
        <f t="shared" si="184"/>
        <v>2.2256362146679809E-3</v>
      </c>
    </row>
    <row r="230" spans="1:44" x14ac:dyDescent="0.25">
      <c r="A230" s="24" t="s">
        <v>37</v>
      </c>
      <c r="B230" s="60">
        <f>'Parameter Input'!B48</f>
        <v>70000</v>
      </c>
      <c r="C230" s="61">
        <f>'Parameter Input'!C48</f>
        <v>70000</v>
      </c>
      <c r="D230" s="1" t="s">
        <v>38</v>
      </c>
      <c r="L230" s="54">
        <f>'Parameter Input'!E48</f>
        <v>12</v>
      </c>
      <c r="M230" s="37">
        <v>0</v>
      </c>
      <c r="N230" s="37">
        <v>1</v>
      </c>
      <c r="O230" s="37">
        <f>'Parameter Input'!F48</f>
        <v>0.9</v>
      </c>
      <c r="P230" s="55">
        <f>'Parameter Input'!G48</f>
        <v>0.4</v>
      </c>
      <c r="Q230" s="4">
        <f t="shared" si="184"/>
        <v>0.9867978615748374</v>
      </c>
      <c r="R230" s="4">
        <f t="shared" si="184"/>
        <v>0.98114509762858249</v>
      </c>
      <c r="S230" s="4">
        <f t="shared" si="184"/>
        <v>0.97311898315872036</v>
      </c>
      <c r="T230" s="4">
        <f t="shared" si="184"/>
        <v>0.96177484161592774</v>
      </c>
      <c r="U230" s="4">
        <f t="shared" si="184"/>
        <v>0.94584787155511363</v>
      </c>
      <c r="V230" s="4">
        <f t="shared" si="184"/>
        <v>0.92370360150141495</v>
      </c>
      <c r="W230" s="4">
        <f t="shared" si="184"/>
        <v>0.89334463567658451</v>
      </c>
      <c r="X230" s="4">
        <f t="shared" si="184"/>
        <v>0.85254543874327005</v>
      </c>
      <c r="Y230" s="4">
        <f t="shared" si="184"/>
        <v>0.79921300652623883</v>
      </c>
      <c r="Z230" s="4">
        <f t="shared" si="184"/>
        <v>0.73204982249993378</v>
      </c>
      <c r="AA230" s="4">
        <f t="shared" si="184"/>
        <v>0.65145592958786691</v>
      </c>
      <c r="AB230" s="4">
        <f t="shared" si="184"/>
        <v>0.56032247880849573</v>
      </c>
      <c r="AC230" s="4">
        <f t="shared" si="184"/>
        <v>0.46411326873185343</v>
      </c>
      <c r="AD230" s="4">
        <f t="shared" si="184"/>
        <v>0.36979727595523937</v>
      </c>
      <c r="AE230" s="4">
        <f t="shared" si="184"/>
        <v>0.28393948637231203</v>
      </c>
      <c r="AF230" s="4">
        <f t="shared" si="184"/>
        <v>0.21097259161117732</v>
      </c>
      <c r="AG230" s="4">
        <f t="shared" si="184"/>
        <v>0.15253917653798199</v>
      </c>
      <c r="AH230" s="4">
        <f t="shared" si="184"/>
        <v>0.10795188737709993</v>
      </c>
      <c r="AI230" s="4">
        <f t="shared" si="184"/>
        <v>7.5176653938091809E-2</v>
      </c>
      <c r="AJ230" s="4">
        <f t="shared" si="184"/>
        <v>5.1742836177502194E-2</v>
      </c>
      <c r="AK230" s="4">
        <f t="shared" si="184"/>
        <v>3.5319190625345942E-2</v>
      </c>
      <c r="AL230" s="4">
        <f t="shared" si="184"/>
        <v>2.3969442072658165E-2</v>
      </c>
      <c r="AM230" s="4">
        <f t="shared" si="184"/>
        <v>1.6202243558389728E-2</v>
      </c>
      <c r="AN230" s="4">
        <f t="shared" si="184"/>
        <v>1.0922240564108399E-2</v>
      </c>
      <c r="AO230" s="4">
        <f t="shared" si="184"/>
        <v>7.3493212906090566E-3</v>
      </c>
      <c r="AP230" s="4">
        <f t="shared" si="184"/>
        <v>4.9390262185057265E-3</v>
      </c>
      <c r="AQ230" s="4">
        <f t="shared" si="184"/>
        <v>3.3164275492956197E-3</v>
      </c>
      <c r="AR230" s="4">
        <f t="shared" si="184"/>
        <v>2.2256362146679809E-3</v>
      </c>
    </row>
    <row r="231" spans="1:44" x14ac:dyDescent="0.25">
      <c r="A231" s="24" t="s">
        <v>52</v>
      </c>
      <c r="B231" s="60">
        <f>'Parameter Input'!L24</f>
        <v>20000</v>
      </c>
      <c r="C231" s="61">
        <f>'Parameter Input'!M24</f>
        <v>20000</v>
      </c>
      <c r="D231" s="1" t="s">
        <v>38</v>
      </c>
      <c r="L231" s="54">
        <f>'Parameter Input'!O24</f>
        <v>12</v>
      </c>
      <c r="M231" s="37">
        <v>0</v>
      </c>
      <c r="N231" s="37">
        <v>1</v>
      </c>
      <c r="O231" s="37">
        <f>'Parameter Input'!P24</f>
        <v>0.9</v>
      </c>
      <c r="P231" s="55">
        <f>'Parameter Input'!Q24</f>
        <v>0.4</v>
      </c>
      <c r="Q231" s="4">
        <f t="shared" si="184"/>
        <v>0.9867978615748374</v>
      </c>
      <c r="R231" s="4">
        <f t="shared" si="184"/>
        <v>0.98114509762858249</v>
      </c>
      <c r="S231" s="4">
        <f t="shared" si="184"/>
        <v>0.97311898315872036</v>
      </c>
      <c r="T231" s="4">
        <f t="shared" si="184"/>
        <v>0.96177484161592774</v>
      </c>
      <c r="U231" s="4">
        <f t="shared" si="184"/>
        <v>0.94584787155511363</v>
      </c>
      <c r="V231" s="4">
        <f t="shared" si="184"/>
        <v>0.92370360150141495</v>
      </c>
      <c r="W231" s="4">
        <f t="shared" si="184"/>
        <v>0.89334463567658451</v>
      </c>
      <c r="X231" s="4">
        <f t="shared" si="184"/>
        <v>0.85254543874327005</v>
      </c>
      <c r="Y231" s="4">
        <f t="shared" si="184"/>
        <v>0.79921300652623883</v>
      </c>
      <c r="Z231" s="4">
        <f t="shared" si="184"/>
        <v>0.73204982249993378</v>
      </c>
      <c r="AA231" s="4">
        <f t="shared" si="184"/>
        <v>0.65145592958786691</v>
      </c>
      <c r="AB231" s="4">
        <f t="shared" si="184"/>
        <v>0.56032247880849573</v>
      </c>
      <c r="AC231" s="4">
        <f t="shared" si="184"/>
        <v>0.46411326873185343</v>
      </c>
      <c r="AD231" s="4">
        <f t="shared" si="184"/>
        <v>0.36979727595523937</v>
      </c>
      <c r="AE231" s="4">
        <f t="shared" si="184"/>
        <v>0.28393948637231203</v>
      </c>
      <c r="AF231" s="4">
        <f t="shared" si="184"/>
        <v>0.21097259161117732</v>
      </c>
      <c r="AG231" s="4">
        <f t="shared" si="184"/>
        <v>0.15253917653798199</v>
      </c>
      <c r="AH231" s="4">
        <f t="shared" si="184"/>
        <v>0.10795188737709993</v>
      </c>
      <c r="AI231" s="4">
        <f t="shared" si="184"/>
        <v>7.5176653938091809E-2</v>
      </c>
      <c r="AJ231" s="4">
        <f t="shared" si="184"/>
        <v>5.1742836177502194E-2</v>
      </c>
      <c r="AK231" s="4">
        <f t="shared" si="184"/>
        <v>3.5319190625345942E-2</v>
      </c>
      <c r="AL231" s="4">
        <f t="shared" si="184"/>
        <v>2.3969442072658165E-2</v>
      </c>
      <c r="AM231" s="4">
        <f t="shared" si="184"/>
        <v>1.6202243558389728E-2</v>
      </c>
      <c r="AN231" s="4">
        <f t="shared" si="184"/>
        <v>1.0922240564108399E-2</v>
      </c>
      <c r="AO231" s="4">
        <f t="shared" si="184"/>
        <v>7.3493212906090566E-3</v>
      </c>
      <c r="AP231" s="4">
        <f t="shared" si="184"/>
        <v>4.9390262185057265E-3</v>
      </c>
      <c r="AQ231" s="4">
        <f t="shared" si="184"/>
        <v>3.3164275492956197E-3</v>
      </c>
      <c r="AR231" s="4">
        <f t="shared" si="184"/>
        <v>2.2256362146679809E-3</v>
      </c>
    </row>
    <row r="232" spans="1:44" x14ac:dyDescent="0.25">
      <c r="A232" s="24" t="s">
        <v>272</v>
      </c>
      <c r="B232" s="60">
        <f>'Parameter Input'!B53</f>
        <v>0.11</v>
      </c>
      <c r="C232" s="61">
        <f>'Parameter Input'!C53</f>
        <v>0.11</v>
      </c>
      <c r="D232" s="1" t="s">
        <v>76</v>
      </c>
      <c r="L232" s="54">
        <f>'Parameter Input'!E53</f>
        <v>12</v>
      </c>
      <c r="M232" s="37">
        <v>0</v>
      </c>
      <c r="N232" s="37">
        <v>1</v>
      </c>
      <c r="O232" s="37">
        <f>'Parameter Input'!F53</f>
        <v>0.9</v>
      </c>
      <c r="P232" s="55">
        <f>'Parameter Input'!G53</f>
        <v>0.4</v>
      </c>
      <c r="Q232" s="4">
        <f t="shared" si="184"/>
        <v>0.9867978615748374</v>
      </c>
      <c r="R232" s="4">
        <f t="shared" si="184"/>
        <v>0.98114509762858249</v>
      </c>
      <c r="S232" s="4">
        <f t="shared" si="184"/>
        <v>0.97311898315872036</v>
      </c>
      <c r="T232" s="4">
        <f t="shared" si="184"/>
        <v>0.96177484161592774</v>
      </c>
      <c r="U232" s="4">
        <f t="shared" si="184"/>
        <v>0.94584787155511363</v>
      </c>
      <c r="V232" s="4">
        <f t="shared" si="184"/>
        <v>0.92370360150141495</v>
      </c>
      <c r="W232" s="4">
        <f t="shared" si="184"/>
        <v>0.89334463567658451</v>
      </c>
      <c r="X232" s="4">
        <f t="shared" si="184"/>
        <v>0.85254543874327005</v>
      </c>
      <c r="Y232" s="4">
        <f t="shared" si="184"/>
        <v>0.79921300652623883</v>
      </c>
      <c r="Z232" s="4">
        <f t="shared" si="184"/>
        <v>0.73204982249993378</v>
      </c>
      <c r="AA232" s="4">
        <f t="shared" si="184"/>
        <v>0.65145592958786691</v>
      </c>
      <c r="AB232" s="4">
        <f t="shared" si="184"/>
        <v>0.56032247880849573</v>
      </c>
      <c r="AC232" s="4">
        <f t="shared" si="184"/>
        <v>0.46411326873185343</v>
      </c>
      <c r="AD232" s="4">
        <f t="shared" si="184"/>
        <v>0.36979727595523937</v>
      </c>
      <c r="AE232" s="4">
        <f t="shared" si="184"/>
        <v>0.28393948637231203</v>
      </c>
      <c r="AF232" s="4">
        <f t="shared" si="184"/>
        <v>0.21097259161117732</v>
      </c>
      <c r="AG232" s="4">
        <f t="shared" si="184"/>
        <v>0.15253917653798199</v>
      </c>
      <c r="AH232" s="4">
        <f t="shared" si="184"/>
        <v>0.10795188737709993</v>
      </c>
      <c r="AI232" s="4">
        <f t="shared" si="184"/>
        <v>7.5176653938091809E-2</v>
      </c>
      <c r="AJ232" s="4">
        <f t="shared" si="184"/>
        <v>5.1742836177502194E-2</v>
      </c>
      <c r="AK232" s="4">
        <f t="shared" si="184"/>
        <v>3.5319190625345942E-2</v>
      </c>
      <c r="AL232" s="4">
        <f t="shared" si="184"/>
        <v>2.3969442072658165E-2</v>
      </c>
      <c r="AM232" s="4">
        <f t="shared" si="184"/>
        <v>1.6202243558389728E-2</v>
      </c>
      <c r="AN232" s="4">
        <f t="shared" si="184"/>
        <v>1.0922240564108399E-2</v>
      </c>
      <c r="AO232" s="4">
        <f t="shared" si="184"/>
        <v>7.3493212906090566E-3</v>
      </c>
      <c r="AP232" s="4">
        <f t="shared" si="184"/>
        <v>4.9390262185057265E-3</v>
      </c>
      <c r="AQ232" s="4">
        <f t="shared" si="184"/>
        <v>3.3164275492956197E-3</v>
      </c>
      <c r="AR232" s="4">
        <f t="shared" si="184"/>
        <v>2.2256362146679809E-3</v>
      </c>
    </row>
    <row r="233" spans="1:44" x14ac:dyDescent="0.25">
      <c r="A233" s="24" t="s">
        <v>59</v>
      </c>
      <c r="B233" s="60">
        <f>'Parameter Input'!L25</f>
        <v>2.9</v>
      </c>
      <c r="C233" s="61">
        <f>'Parameter Input'!M25</f>
        <v>2.4</v>
      </c>
      <c r="D233" s="1" t="s">
        <v>60</v>
      </c>
      <c r="L233" s="54">
        <f>'Parameter Input'!O25</f>
        <v>12</v>
      </c>
      <c r="M233" s="37">
        <v>0</v>
      </c>
      <c r="N233" s="37">
        <v>1</v>
      </c>
      <c r="O233" s="37">
        <f>'Parameter Input'!P25</f>
        <v>0.9</v>
      </c>
      <c r="P233" s="55">
        <f>'Parameter Input'!Q25</f>
        <v>0.4</v>
      </c>
      <c r="Q233" s="4">
        <f t="shared" si="184"/>
        <v>0.9867978615748374</v>
      </c>
      <c r="R233" s="4">
        <f t="shared" si="184"/>
        <v>0.98114509762858249</v>
      </c>
      <c r="S233" s="4">
        <f t="shared" si="184"/>
        <v>0.97311898315872036</v>
      </c>
      <c r="T233" s="4">
        <f t="shared" si="184"/>
        <v>0.96177484161592774</v>
      </c>
      <c r="U233" s="4">
        <f t="shared" si="184"/>
        <v>0.94584787155511363</v>
      </c>
      <c r="V233" s="4">
        <f t="shared" si="184"/>
        <v>0.92370360150141495</v>
      </c>
      <c r="W233" s="4">
        <f t="shared" si="184"/>
        <v>0.89334463567658451</v>
      </c>
      <c r="X233" s="4">
        <f t="shared" si="184"/>
        <v>0.85254543874327005</v>
      </c>
      <c r="Y233" s="4">
        <f t="shared" si="184"/>
        <v>0.79921300652623883</v>
      </c>
      <c r="Z233" s="4">
        <f t="shared" si="184"/>
        <v>0.73204982249993378</v>
      </c>
      <c r="AA233" s="4">
        <f t="shared" si="184"/>
        <v>0.65145592958786691</v>
      </c>
      <c r="AB233" s="4">
        <f t="shared" si="184"/>
        <v>0.56032247880849573</v>
      </c>
      <c r="AC233" s="4">
        <f t="shared" si="184"/>
        <v>0.46411326873185343</v>
      </c>
      <c r="AD233" s="4">
        <f t="shared" si="184"/>
        <v>0.36979727595523937</v>
      </c>
      <c r="AE233" s="4">
        <f t="shared" si="184"/>
        <v>0.28393948637231203</v>
      </c>
      <c r="AF233" s="4">
        <f t="shared" si="184"/>
        <v>0.21097259161117732</v>
      </c>
      <c r="AG233" s="4">
        <f t="shared" si="184"/>
        <v>0.15253917653798199</v>
      </c>
      <c r="AH233" s="4">
        <f t="shared" si="184"/>
        <v>0.10795188737709993</v>
      </c>
      <c r="AI233" s="4">
        <f t="shared" si="184"/>
        <v>7.5176653938091809E-2</v>
      </c>
      <c r="AJ233" s="4">
        <f t="shared" si="184"/>
        <v>5.1742836177502194E-2</v>
      </c>
      <c r="AK233" s="4">
        <f t="shared" si="184"/>
        <v>3.5319190625345942E-2</v>
      </c>
      <c r="AL233" s="4">
        <f t="shared" si="184"/>
        <v>2.3969442072658165E-2</v>
      </c>
      <c r="AM233" s="4">
        <f t="shared" si="184"/>
        <v>1.6202243558389728E-2</v>
      </c>
      <c r="AN233" s="4">
        <f t="shared" si="184"/>
        <v>1.0922240564108399E-2</v>
      </c>
      <c r="AO233" s="4">
        <f t="shared" si="184"/>
        <v>7.3493212906090566E-3</v>
      </c>
      <c r="AP233" s="4">
        <f t="shared" si="184"/>
        <v>4.9390262185057265E-3</v>
      </c>
      <c r="AQ233" s="4">
        <f t="shared" si="184"/>
        <v>3.3164275492956197E-3</v>
      </c>
      <c r="AR233" s="4">
        <f t="shared" si="184"/>
        <v>2.2256362146679809E-3</v>
      </c>
    </row>
    <row r="234" spans="1:44" x14ac:dyDescent="0.25">
      <c r="A234" s="24" t="s">
        <v>67</v>
      </c>
      <c r="B234" s="60">
        <f>'Parameter Input'!L26</f>
        <v>0.1</v>
      </c>
      <c r="C234" s="61">
        <f>'Parameter Input'!M26</f>
        <v>0.1</v>
      </c>
      <c r="D234" s="1" t="s">
        <v>68</v>
      </c>
      <c r="L234" s="54">
        <f>'Parameter Input'!O26</f>
        <v>12</v>
      </c>
      <c r="M234" s="37">
        <v>0</v>
      </c>
      <c r="N234" s="37">
        <v>1</v>
      </c>
      <c r="O234" s="37">
        <f>'Parameter Input'!P26</f>
        <v>0.9</v>
      </c>
      <c r="P234" s="55">
        <f>'Parameter Input'!Q26</f>
        <v>0.4</v>
      </c>
      <c r="Q234" s="4">
        <f t="shared" si="184"/>
        <v>0.9867978615748374</v>
      </c>
      <c r="R234" s="4">
        <f t="shared" si="184"/>
        <v>0.98114509762858249</v>
      </c>
      <c r="S234" s="4">
        <f t="shared" si="184"/>
        <v>0.97311898315872036</v>
      </c>
      <c r="T234" s="4">
        <f t="shared" ref="T234:AI241" si="185">$N234+($M234-$N234)*((1/(1+EXP(-$P234*(T$9-$L234)))^$O234))</f>
        <v>0.96177484161592774</v>
      </c>
      <c r="U234" s="4">
        <f t="shared" si="185"/>
        <v>0.94584787155511363</v>
      </c>
      <c r="V234" s="4">
        <f t="shared" si="185"/>
        <v>0.92370360150141495</v>
      </c>
      <c r="W234" s="4">
        <f t="shared" si="185"/>
        <v>0.89334463567658451</v>
      </c>
      <c r="X234" s="4">
        <f t="shared" si="185"/>
        <v>0.85254543874327005</v>
      </c>
      <c r="Y234" s="4">
        <f t="shared" si="185"/>
        <v>0.79921300652623883</v>
      </c>
      <c r="Z234" s="4">
        <f t="shared" si="185"/>
        <v>0.73204982249993378</v>
      </c>
      <c r="AA234" s="4">
        <f t="shared" si="185"/>
        <v>0.65145592958786691</v>
      </c>
      <c r="AB234" s="4">
        <f t="shared" si="185"/>
        <v>0.56032247880849573</v>
      </c>
      <c r="AC234" s="4">
        <f t="shared" si="185"/>
        <v>0.46411326873185343</v>
      </c>
      <c r="AD234" s="4">
        <f t="shared" si="185"/>
        <v>0.36979727595523937</v>
      </c>
      <c r="AE234" s="4">
        <f t="shared" si="185"/>
        <v>0.28393948637231203</v>
      </c>
      <c r="AF234" s="4">
        <f t="shared" si="185"/>
        <v>0.21097259161117732</v>
      </c>
      <c r="AG234" s="4">
        <f t="shared" si="185"/>
        <v>0.15253917653798199</v>
      </c>
      <c r="AH234" s="4">
        <f t="shared" si="185"/>
        <v>0.10795188737709993</v>
      </c>
      <c r="AI234" s="4">
        <f t="shared" si="185"/>
        <v>7.5176653938091809E-2</v>
      </c>
      <c r="AJ234" s="4">
        <f t="shared" ref="AJ234:AR241" si="186">$N234+($M234-$N234)*((1/(1+EXP(-$P234*(AJ$9-$L234)))^$O234))</f>
        <v>5.1742836177502194E-2</v>
      </c>
      <c r="AK234" s="4">
        <f t="shared" si="186"/>
        <v>3.5319190625345942E-2</v>
      </c>
      <c r="AL234" s="4">
        <f t="shared" si="186"/>
        <v>2.3969442072658165E-2</v>
      </c>
      <c r="AM234" s="4">
        <f t="shared" si="186"/>
        <v>1.6202243558389728E-2</v>
      </c>
      <c r="AN234" s="4">
        <f t="shared" si="186"/>
        <v>1.0922240564108399E-2</v>
      </c>
      <c r="AO234" s="4">
        <f t="shared" si="186"/>
        <v>7.3493212906090566E-3</v>
      </c>
      <c r="AP234" s="4">
        <f t="shared" si="186"/>
        <v>4.9390262185057265E-3</v>
      </c>
      <c r="AQ234" s="4">
        <f t="shared" si="186"/>
        <v>3.3164275492956197E-3</v>
      </c>
      <c r="AR234" s="4">
        <f t="shared" si="186"/>
        <v>2.2256362146679809E-3</v>
      </c>
    </row>
    <row r="235" spans="1:44" x14ac:dyDescent="0.25">
      <c r="A235" s="24" t="s">
        <v>206</v>
      </c>
      <c r="B235" s="45">
        <f>'Parameter Input'!$L$29</f>
        <v>7.7317073170731707E-2</v>
      </c>
      <c r="C235" s="46">
        <f>'Parameter Input'!$M$29</f>
        <v>0.22395290159798151</v>
      </c>
      <c r="D235" s="1" t="s">
        <v>76</v>
      </c>
      <c r="L235" s="54">
        <f>'Parameter Input'!$O$29</f>
        <v>17</v>
      </c>
      <c r="M235" s="37">
        <v>0</v>
      </c>
      <c r="N235" s="37">
        <v>1</v>
      </c>
      <c r="O235" s="37">
        <f>'Parameter Input'!$P$29</f>
        <v>0.9</v>
      </c>
      <c r="P235" s="55">
        <f>'Parameter Input'!$Q$29</f>
        <v>0.4</v>
      </c>
      <c r="Q235" s="4">
        <f t="shared" ref="Q235:AR235" si="187">$N235+($M235-$N235)*((1/(1+EXP(-$P235*(Q$9-$L235)))^$O235))</f>
        <v>0.99780374543478534</v>
      </c>
      <c r="R235" s="4">
        <f t="shared" si="187"/>
        <v>0.99685359315256394</v>
      </c>
      <c r="S235" s="4">
        <f t="shared" si="187"/>
        <v>0.99549347132349975</v>
      </c>
      <c r="T235" s="4">
        <f t="shared" si="187"/>
        <v>0.99354772139898062</v>
      </c>
      <c r="U235" s="4">
        <f t="shared" si="187"/>
        <v>0.99076681540580536</v>
      </c>
      <c r="V235" s="4">
        <f t="shared" si="187"/>
        <v>0.9867978615748374</v>
      </c>
      <c r="W235" s="4">
        <f t="shared" si="187"/>
        <v>0.98114509762858249</v>
      </c>
      <c r="X235" s="4">
        <f t="shared" si="187"/>
        <v>0.97311898315872036</v>
      </c>
      <c r="Y235" s="4">
        <f t="shared" si="187"/>
        <v>0.96177484161592774</v>
      </c>
      <c r="Z235" s="4">
        <f t="shared" si="187"/>
        <v>0.94584787155511363</v>
      </c>
      <c r="AA235" s="4">
        <f t="shared" si="187"/>
        <v>0.92370360150141495</v>
      </c>
      <c r="AB235" s="4">
        <f t="shared" si="187"/>
        <v>0.89334463567658451</v>
      </c>
      <c r="AC235" s="4">
        <f t="shared" si="187"/>
        <v>0.85254543874327005</v>
      </c>
      <c r="AD235" s="4">
        <f t="shared" si="187"/>
        <v>0.79921300652623883</v>
      </c>
      <c r="AE235" s="4">
        <f t="shared" si="187"/>
        <v>0.73204982249993378</v>
      </c>
      <c r="AF235" s="4">
        <f t="shared" si="187"/>
        <v>0.65145592958786691</v>
      </c>
      <c r="AG235" s="4">
        <f t="shared" si="187"/>
        <v>0.56032247880849573</v>
      </c>
      <c r="AH235" s="4">
        <f t="shared" si="187"/>
        <v>0.46411326873185343</v>
      </c>
      <c r="AI235" s="4">
        <f t="shared" si="187"/>
        <v>0.36979727595523937</v>
      </c>
      <c r="AJ235" s="4">
        <f t="shared" si="187"/>
        <v>0.28393948637231203</v>
      </c>
      <c r="AK235" s="4">
        <f t="shared" si="187"/>
        <v>0.21097259161117732</v>
      </c>
      <c r="AL235" s="4">
        <f t="shared" si="187"/>
        <v>0.15253917653798199</v>
      </c>
      <c r="AM235" s="4">
        <f t="shared" si="187"/>
        <v>0.10795188737709993</v>
      </c>
      <c r="AN235" s="4">
        <f t="shared" si="187"/>
        <v>7.5176653938091809E-2</v>
      </c>
      <c r="AO235" s="4">
        <f t="shared" si="187"/>
        <v>5.1742836177502194E-2</v>
      </c>
      <c r="AP235" s="4">
        <f t="shared" si="187"/>
        <v>3.5319190625345942E-2</v>
      </c>
      <c r="AQ235" s="4">
        <f t="shared" si="187"/>
        <v>2.3969442072658165E-2</v>
      </c>
      <c r="AR235" s="4">
        <f t="shared" si="187"/>
        <v>1.6202243558389728E-2</v>
      </c>
    </row>
    <row r="236" spans="1:44" x14ac:dyDescent="0.25">
      <c r="A236" s="24" t="s">
        <v>41</v>
      </c>
      <c r="B236" s="60">
        <f>'Parameter Input'!L23</f>
        <v>8</v>
      </c>
      <c r="C236" s="61">
        <f>'Parameter Input'!M23</f>
        <v>8</v>
      </c>
      <c r="D236" s="1" t="s">
        <v>42</v>
      </c>
      <c r="L236" s="54">
        <f>'Parameter Input'!O23</f>
        <v>12</v>
      </c>
      <c r="M236" s="37">
        <v>0</v>
      </c>
      <c r="N236" s="37">
        <v>1</v>
      </c>
      <c r="O236" s="37">
        <f>'Parameter Input'!P23</f>
        <v>0.9</v>
      </c>
      <c r="P236" s="55">
        <f>'Parameter Input'!Q23</f>
        <v>0.4</v>
      </c>
      <c r="Q236" s="4">
        <f t="shared" ref="Q236:AF241" si="188">$N236+($M236-$N236)*((1/(1+EXP(-$P236*(Q$9-$L236)))^$O236))</f>
        <v>0.9867978615748374</v>
      </c>
      <c r="R236" s="4">
        <f t="shared" si="188"/>
        <v>0.98114509762858249</v>
      </c>
      <c r="S236" s="4">
        <f t="shared" si="188"/>
        <v>0.97311898315872036</v>
      </c>
      <c r="T236" s="4">
        <f t="shared" si="188"/>
        <v>0.96177484161592774</v>
      </c>
      <c r="U236" s="4">
        <f t="shared" si="188"/>
        <v>0.94584787155511363</v>
      </c>
      <c r="V236" s="4">
        <f t="shared" si="188"/>
        <v>0.92370360150141495</v>
      </c>
      <c r="W236" s="4">
        <f t="shared" si="188"/>
        <v>0.89334463567658451</v>
      </c>
      <c r="X236" s="4">
        <f t="shared" si="188"/>
        <v>0.85254543874327005</v>
      </c>
      <c r="Y236" s="4">
        <f t="shared" si="188"/>
        <v>0.79921300652623883</v>
      </c>
      <c r="Z236" s="4">
        <f t="shared" si="188"/>
        <v>0.73204982249993378</v>
      </c>
      <c r="AA236" s="4">
        <f t="shared" si="188"/>
        <v>0.65145592958786691</v>
      </c>
      <c r="AB236" s="4">
        <f t="shared" si="188"/>
        <v>0.56032247880849573</v>
      </c>
      <c r="AC236" s="4">
        <f t="shared" si="188"/>
        <v>0.46411326873185343</v>
      </c>
      <c r="AD236" s="4">
        <f t="shared" si="188"/>
        <v>0.36979727595523937</v>
      </c>
      <c r="AE236" s="4">
        <f t="shared" si="188"/>
        <v>0.28393948637231203</v>
      </c>
      <c r="AF236" s="4">
        <f t="shared" si="188"/>
        <v>0.21097259161117732</v>
      </c>
      <c r="AG236" s="4">
        <f t="shared" si="185"/>
        <v>0.15253917653798199</v>
      </c>
      <c r="AH236" s="4">
        <f t="shared" si="185"/>
        <v>0.10795188737709993</v>
      </c>
      <c r="AI236" s="4">
        <f t="shared" si="185"/>
        <v>7.5176653938091809E-2</v>
      </c>
      <c r="AJ236" s="4">
        <f t="shared" si="186"/>
        <v>5.1742836177502194E-2</v>
      </c>
      <c r="AK236" s="4">
        <f t="shared" si="186"/>
        <v>3.5319190625345942E-2</v>
      </c>
      <c r="AL236" s="4">
        <f t="shared" si="186"/>
        <v>2.3969442072658165E-2</v>
      </c>
      <c r="AM236" s="4">
        <f t="shared" si="186"/>
        <v>1.6202243558389728E-2</v>
      </c>
      <c r="AN236" s="4">
        <f t="shared" si="186"/>
        <v>1.0922240564108399E-2</v>
      </c>
      <c r="AO236" s="4">
        <f t="shared" si="186"/>
        <v>7.3493212906090566E-3</v>
      </c>
      <c r="AP236" s="4">
        <f t="shared" si="186"/>
        <v>4.9390262185057265E-3</v>
      </c>
      <c r="AQ236" s="4">
        <f t="shared" si="186"/>
        <v>3.3164275492956197E-3</v>
      </c>
      <c r="AR236" s="4">
        <f t="shared" si="186"/>
        <v>2.2256362146679809E-3</v>
      </c>
    </row>
    <row r="237" spans="1:44" x14ac:dyDescent="0.25">
      <c r="A237" s="24" t="s">
        <v>70</v>
      </c>
      <c r="B237" s="60">
        <f>'Parameter Input'!B52</f>
        <v>10</v>
      </c>
      <c r="C237" s="61">
        <f>'Parameter Input'!C52</f>
        <v>10</v>
      </c>
      <c r="D237" s="1" t="s">
        <v>42</v>
      </c>
      <c r="L237" s="54">
        <f>'Parameter Input'!E52</f>
        <v>12</v>
      </c>
      <c r="M237" s="37">
        <v>0</v>
      </c>
      <c r="N237" s="37">
        <v>1</v>
      </c>
      <c r="O237" s="37">
        <f>'Parameter Input'!F52</f>
        <v>0.9</v>
      </c>
      <c r="P237" s="55">
        <f>'Parameter Input'!G52</f>
        <v>0.4</v>
      </c>
      <c r="Q237" s="4">
        <f t="shared" si="188"/>
        <v>0.9867978615748374</v>
      </c>
      <c r="R237" s="4">
        <f t="shared" si="188"/>
        <v>0.98114509762858249</v>
      </c>
      <c r="S237" s="4">
        <f t="shared" si="188"/>
        <v>0.97311898315872036</v>
      </c>
      <c r="T237" s="4">
        <f t="shared" si="188"/>
        <v>0.96177484161592774</v>
      </c>
      <c r="U237" s="4">
        <f t="shared" si="188"/>
        <v>0.94584787155511363</v>
      </c>
      <c r="V237" s="4">
        <f t="shared" si="188"/>
        <v>0.92370360150141495</v>
      </c>
      <c r="W237" s="4">
        <f t="shared" si="188"/>
        <v>0.89334463567658451</v>
      </c>
      <c r="X237" s="4">
        <f t="shared" si="188"/>
        <v>0.85254543874327005</v>
      </c>
      <c r="Y237" s="4">
        <f t="shared" si="188"/>
        <v>0.79921300652623883</v>
      </c>
      <c r="Z237" s="4">
        <f t="shared" si="188"/>
        <v>0.73204982249993378</v>
      </c>
      <c r="AA237" s="4">
        <f t="shared" si="188"/>
        <v>0.65145592958786691</v>
      </c>
      <c r="AB237" s="4">
        <f t="shared" si="188"/>
        <v>0.56032247880849573</v>
      </c>
      <c r="AC237" s="4">
        <f t="shared" si="188"/>
        <v>0.46411326873185343</v>
      </c>
      <c r="AD237" s="4">
        <f t="shared" si="188"/>
        <v>0.36979727595523937</v>
      </c>
      <c r="AE237" s="4">
        <f t="shared" si="188"/>
        <v>0.28393948637231203</v>
      </c>
      <c r="AF237" s="4">
        <f t="shared" si="188"/>
        <v>0.21097259161117732</v>
      </c>
      <c r="AG237" s="4">
        <f t="shared" si="185"/>
        <v>0.15253917653798199</v>
      </c>
      <c r="AH237" s="4">
        <f t="shared" si="185"/>
        <v>0.10795188737709993</v>
      </c>
      <c r="AI237" s="4">
        <f t="shared" si="185"/>
        <v>7.5176653938091809E-2</v>
      </c>
      <c r="AJ237" s="4">
        <f t="shared" si="186"/>
        <v>5.1742836177502194E-2</v>
      </c>
      <c r="AK237" s="4">
        <f t="shared" si="186"/>
        <v>3.5319190625345942E-2</v>
      </c>
      <c r="AL237" s="4">
        <f t="shared" si="186"/>
        <v>2.3969442072658165E-2</v>
      </c>
      <c r="AM237" s="4">
        <f t="shared" si="186"/>
        <v>1.6202243558389728E-2</v>
      </c>
      <c r="AN237" s="4">
        <f t="shared" si="186"/>
        <v>1.0922240564108399E-2</v>
      </c>
      <c r="AO237" s="4">
        <f t="shared" si="186"/>
        <v>7.3493212906090566E-3</v>
      </c>
      <c r="AP237" s="4">
        <f t="shared" si="186"/>
        <v>4.9390262185057265E-3</v>
      </c>
      <c r="AQ237" s="4">
        <f t="shared" si="186"/>
        <v>3.3164275492956197E-3</v>
      </c>
      <c r="AR237" s="4">
        <f t="shared" si="186"/>
        <v>2.2256362146679809E-3</v>
      </c>
    </row>
    <row r="238" spans="1:44" x14ac:dyDescent="0.25">
      <c r="A238" s="24" t="s">
        <v>207</v>
      </c>
      <c r="B238" s="43">
        <f>'Parameter Input'!B49</f>
        <v>25</v>
      </c>
      <c r="C238" s="44">
        <f>'Parameter Input'!C49</f>
        <v>25</v>
      </c>
      <c r="D238" s="1" t="s">
        <v>49</v>
      </c>
      <c r="L238" s="54">
        <f>'Parameter Input'!E49</f>
        <v>12</v>
      </c>
      <c r="M238" s="37">
        <v>0</v>
      </c>
      <c r="N238" s="37">
        <v>1</v>
      </c>
      <c r="O238" s="37">
        <f>'Parameter Input'!F49</f>
        <v>0.9</v>
      </c>
      <c r="P238" s="55">
        <f>'Parameter Input'!G49</f>
        <v>0.4</v>
      </c>
      <c r="Q238" s="4">
        <f t="shared" si="188"/>
        <v>0.9867978615748374</v>
      </c>
      <c r="R238" s="4">
        <f t="shared" si="188"/>
        <v>0.98114509762858249</v>
      </c>
      <c r="S238" s="4">
        <f t="shared" si="188"/>
        <v>0.97311898315872036</v>
      </c>
      <c r="T238" s="4">
        <f t="shared" si="188"/>
        <v>0.96177484161592774</v>
      </c>
      <c r="U238" s="4">
        <f t="shared" si="188"/>
        <v>0.94584787155511363</v>
      </c>
      <c r="V238" s="4">
        <f t="shared" si="188"/>
        <v>0.92370360150141495</v>
      </c>
      <c r="W238" s="4">
        <f t="shared" si="188"/>
        <v>0.89334463567658451</v>
      </c>
      <c r="X238" s="4">
        <f t="shared" si="188"/>
        <v>0.85254543874327005</v>
      </c>
      <c r="Y238" s="4">
        <f t="shared" si="188"/>
        <v>0.79921300652623883</v>
      </c>
      <c r="Z238" s="4">
        <f t="shared" si="188"/>
        <v>0.73204982249993378</v>
      </c>
      <c r="AA238" s="4">
        <f t="shared" si="188"/>
        <v>0.65145592958786691</v>
      </c>
      <c r="AB238" s="4">
        <f t="shared" si="188"/>
        <v>0.56032247880849573</v>
      </c>
      <c r="AC238" s="4">
        <f t="shared" si="188"/>
        <v>0.46411326873185343</v>
      </c>
      <c r="AD238" s="4">
        <f t="shared" si="188"/>
        <v>0.36979727595523937</v>
      </c>
      <c r="AE238" s="4">
        <f t="shared" si="188"/>
        <v>0.28393948637231203</v>
      </c>
      <c r="AF238" s="4">
        <f t="shared" si="188"/>
        <v>0.21097259161117732</v>
      </c>
      <c r="AG238" s="4">
        <f t="shared" si="185"/>
        <v>0.15253917653798199</v>
      </c>
      <c r="AH238" s="4">
        <f t="shared" si="185"/>
        <v>0.10795188737709993</v>
      </c>
      <c r="AI238" s="4">
        <f t="shared" si="185"/>
        <v>7.5176653938091809E-2</v>
      </c>
      <c r="AJ238" s="4">
        <f t="shared" si="186"/>
        <v>5.1742836177502194E-2</v>
      </c>
      <c r="AK238" s="4">
        <f t="shared" si="186"/>
        <v>3.5319190625345942E-2</v>
      </c>
      <c r="AL238" s="4">
        <f t="shared" si="186"/>
        <v>2.3969442072658165E-2</v>
      </c>
      <c r="AM238" s="4">
        <f t="shared" si="186"/>
        <v>1.6202243558389728E-2</v>
      </c>
      <c r="AN238" s="4">
        <f t="shared" si="186"/>
        <v>1.0922240564108399E-2</v>
      </c>
      <c r="AO238" s="4">
        <f t="shared" si="186"/>
        <v>7.3493212906090566E-3</v>
      </c>
      <c r="AP238" s="4">
        <f t="shared" si="186"/>
        <v>4.9390262185057265E-3</v>
      </c>
      <c r="AQ238" s="4">
        <f t="shared" si="186"/>
        <v>3.3164275492956197E-3</v>
      </c>
      <c r="AR238" s="4">
        <f t="shared" si="186"/>
        <v>2.2256362146679809E-3</v>
      </c>
    </row>
    <row r="239" spans="1:44" x14ac:dyDescent="0.25">
      <c r="A239" s="24" t="s">
        <v>56</v>
      </c>
      <c r="B239" s="45">
        <f>'Parameter Input'!B50</f>
        <v>0.6133333333333334</v>
      </c>
      <c r="C239" s="46">
        <f>'Parameter Input'!C50</f>
        <v>0.6133333333333334</v>
      </c>
      <c r="D239" s="1" t="s">
        <v>57</v>
      </c>
      <c r="L239" s="54">
        <f>'Parameter Input'!E50</f>
        <v>12</v>
      </c>
      <c r="M239" s="37">
        <v>0</v>
      </c>
      <c r="N239" s="37">
        <v>1</v>
      </c>
      <c r="O239" s="37">
        <f>'Parameter Input'!F50</f>
        <v>0.9</v>
      </c>
      <c r="P239" s="55">
        <f>'Parameter Input'!G50</f>
        <v>0.4</v>
      </c>
      <c r="Q239" s="4">
        <f t="shared" si="188"/>
        <v>0.9867978615748374</v>
      </c>
      <c r="R239" s="4">
        <f t="shared" si="188"/>
        <v>0.98114509762858249</v>
      </c>
      <c r="S239" s="4">
        <f t="shared" si="188"/>
        <v>0.97311898315872036</v>
      </c>
      <c r="T239" s="4">
        <f t="shared" si="188"/>
        <v>0.96177484161592774</v>
      </c>
      <c r="U239" s="4">
        <f t="shared" si="188"/>
        <v>0.94584787155511363</v>
      </c>
      <c r="V239" s="4">
        <f t="shared" si="188"/>
        <v>0.92370360150141495</v>
      </c>
      <c r="W239" s="4">
        <f t="shared" si="188"/>
        <v>0.89334463567658451</v>
      </c>
      <c r="X239" s="4">
        <f t="shared" si="188"/>
        <v>0.85254543874327005</v>
      </c>
      <c r="Y239" s="4">
        <f t="shared" si="188"/>
        <v>0.79921300652623883</v>
      </c>
      <c r="Z239" s="4">
        <f t="shared" si="188"/>
        <v>0.73204982249993378</v>
      </c>
      <c r="AA239" s="4">
        <f t="shared" si="188"/>
        <v>0.65145592958786691</v>
      </c>
      <c r="AB239" s="4">
        <f t="shared" si="188"/>
        <v>0.56032247880849573</v>
      </c>
      <c r="AC239" s="4">
        <f t="shared" si="188"/>
        <v>0.46411326873185343</v>
      </c>
      <c r="AD239" s="4">
        <f t="shared" si="188"/>
        <v>0.36979727595523937</v>
      </c>
      <c r="AE239" s="4">
        <f t="shared" si="188"/>
        <v>0.28393948637231203</v>
      </c>
      <c r="AF239" s="4">
        <f t="shared" si="188"/>
        <v>0.21097259161117732</v>
      </c>
      <c r="AG239" s="4">
        <f t="shared" si="185"/>
        <v>0.15253917653798199</v>
      </c>
      <c r="AH239" s="4">
        <f t="shared" si="185"/>
        <v>0.10795188737709993</v>
      </c>
      <c r="AI239" s="4">
        <f t="shared" si="185"/>
        <v>7.5176653938091809E-2</v>
      </c>
      <c r="AJ239" s="4">
        <f t="shared" si="186"/>
        <v>5.1742836177502194E-2</v>
      </c>
      <c r="AK239" s="4">
        <f t="shared" si="186"/>
        <v>3.5319190625345942E-2</v>
      </c>
      <c r="AL239" s="4">
        <f t="shared" si="186"/>
        <v>2.3969442072658165E-2</v>
      </c>
      <c r="AM239" s="4">
        <f t="shared" si="186"/>
        <v>1.6202243558389728E-2</v>
      </c>
      <c r="AN239" s="4">
        <f t="shared" si="186"/>
        <v>1.0922240564108399E-2</v>
      </c>
      <c r="AO239" s="4">
        <f t="shared" si="186"/>
        <v>7.3493212906090566E-3</v>
      </c>
      <c r="AP239" s="4">
        <f t="shared" si="186"/>
        <v>4.9390262185057265E-3</v>
      </c>
      <c r="AQ239" s="4">
        <f t="shared" si="186"/>
        <v>3.3164275492956197E-3</v>
      </c>
      <c r="AR239" s="4">
        <f t="shared" si="186"/>
        <v>2.2256362146679809E-3</v>
      </c>
    </row>
    <row r="240" spans="1:44" x14ac:dyDescent="0.25">
      <c r="A240" s="24" t="s">
        <v>73</v>
      </c>
      <c r="B240" s="45">
        <f>'Parameter Input'!L27</f>
        <v>0</v>
      </c>
      <c r="C240" s="46">
        <f>'Parameter Input'!M27</f>
        <v>0</v>
      </c>
      <c r="D240" s="1" t="s">
        <v>57</v>
      </c>
      <c r="L240" s="54">
        <f>'Parameter Input'!O27</f>
        <v>12</v>
      </c>
      <c r="M240" s="37">
        <v>0</v>
      </c>
      <c r="N240" s="37">
        <v>1</v>
      </c>
      <c r="O240" s="37">
        <f>'Parameter Input'!P27</f>
        <v>0.9</v>
      </c>
      <c r="P240" s="55">
        <f>'Parameter Input'!Q27</f>
        <v>0.4</v>
      </c>
      <c r="Q240" s="4">
        <f t="shared" si="188"/>
        <v>0.9867978615748374</v>
      </c>
      <c r="R240" s="4">
        <f t="shared" si="188"/>
        <v>0.98114509762858249</v>
      </c>
      <c r="S240" s="4">
        <f t="shared" si="188"/>
        <v>0.97311898315872036</v>
      </c>
      <c r="T240" s="4">
        <f t="shared" si="188"/>
        <v>0.96177484161592774</v>
      </c>
      <c r="U240" s="4">
        <f t="shared" si="188"/>
        <v>0.94584787155511363</v>
      </c>
      <c r="V240" s="4">
        <f t="shared" si="188"/>
        <v>0.92370360150141495</v>
      </c>
      <c r="W240" s="4">
        <f t="shared" si="188"/>
        <v>0.89334463567658451</v>
      </c>
      <c r="X240" s="4">
        <f t="shared" si="188"/>
        <v>0.85254543874327005</v>
      </c>
      <c r="Y240" s="4">
        <f t="shared" si="188"/>
        <v>0.79921300652623883</v>
      </c>
      <c r="Z240" s="4">
        <f t="shared" si="188"/>
        <v>0.73204982249993378</v>
      </c>
      <c r="AA240" s="4">
        <f t="shared" si="188"/>
        <v>0.65145592958786691</v>
      </c>
      <c r="AB240" s="4">
        <f t="shared" si="188"/>
        <v>0.56032247880849573</v>
      </c>
      <c r="AC240" s="4">
        <f t="shared" si="188"/>
        <v>0.46411326873185343</v>
      </c>
      <c r="AD240" s="4">
        <f t="shared" si="188"/>
        <v>0.36979727595523937</v>
      </c>
      <c r="AE240" s="4">
        <f t="shared" si="188"/>
        <v>0.28393948637231203</v>
      </c>
      <c r="AF240" s="4">
        <f t="shared" si="188"/>
        <v>0.21097259161117732</v>
      </c>
      <c r="AG240" s="4">
        <f t="shared" si="185"/>
        <v>0.15253917653798199</v>
      </c>
      <c r="AH240" s="4">
        <f t="shared" si="185"/>
        <v>0.10795188737709993</v>
      </c>
      <c r="AI240" s="4">
        <f t="shared" si="185"/>
        <v>7.5176653938091809E-2</v>
      </c>
      <c r="AJ240" s="4">
        <f t="shared" si="186"/>
        <v>5.1742836177502194E-2</v>
      </c>
      <c r="AK240" s="4">
        <f t="shared" si="186"/>
        <v>3.5319190625345942E-2</v>
      </c>
      <c r="AL240" s="4">
        <f t="shared" si="186"/>
        <v>2.3969442072658165E-2</v>
      </c>
      <c r="AM240" s="4">
        <f t="shared" si="186"/>
        <v>1.6202243558389728E-2</v>
      </c>
      <c r="AN240" s="4">
        <f t="shared" si="186"/>
        <v>1.0922240564108399E-2</v>
      </c>
      <c r="AO240" s="4">
        <f t="shared" si="186"/>
        <v>7.3493212906090566E-3</v>
      </c>
      <c r="AP240" s="4">
        <f t="shared" si="186"/>
        <v>4.9390262185057265E-3</v>
      </c>
      <c r="AQ240" s="4">
        <f t="shared" si="186"/>
        <v>3.3164275492956197E-3</v>
      </c>
      <c r="AR240" s="4">
        <f t="shared" si="186"/>
        <v>2.2256362146679809E-3</v>
      </c>
    </row>
    <row r="241" spans="1:44" ht="15.75" thickBot="1" x14ac:dyDescent="0.3">
      <c r="A241" s="24" t="s">
        <v>64</v>
      </c>
      <c r="B241" s="49">
        <f>'Parameter Input'!B51</f>
        <v>105000</v>
      </c>
      <c r="C241" s="50">
        <f>'Parameter Input'!C51</f>
        <v>105000</v>
      </c>
      <c r="D241" s="1" t="s">
        <v>65</v>
      </c>
      <c r="L241" s="56">
        <f>'Parameter Input'!E51</f>
        <v>12</v>
      </c>
      <c r="M241" s="57">
        <v>0</v>
      </c>
      <c r="N241" s="57">
        <v>1</v>
      </c>
      <c r="O241" s="57">
        <f>'Parameter Input'!F51</f>
        <v>0.9</v>
      </c>
      <c r="P241" s="58">
        <f>'Parameter Input'!G51</f>
        <v>0.4</v>
      </c>
      <c r="Q241" s="4">
        <f t="shared" si="188"/>
        <v>0.9867978615748374</v>
      </c>
      <c r="R241" s="4">
        <f t="shared" si="188"/>
        <v>0.98114509762858249</v>
      </c>
      <c r="S241" s="4">
        <f t="shared" si="188"/>
        <v>0.97311898315872036</v>
      </c>
      <c r="T241" s="4">
        <f t="shared" si="188"/>
        <v>0.96177484161592774</v>
      </c>
      <c r="U241" s="4">
        <f t="shared" si="188"/>
        <v>0.94584787155511363</v>
      </c>
      <c r="V241" s="4">
        <f t="shared" si="188"/>
        <v>0.92370360150141495</v>
      </c>
      <c r="W241" s="4">
        <f t="shared" si="188"/>
        <v>0.89334463567658451</v>
      </c>
      <c r="X241" s="4">
        <f t="shared" si="188"/>
        <v>0.85254543874327005</v>
      </c>
      <c r="Y241" s="4">
        <f t="shared" si="188"/>
        <v>0.79921300652623883</v>
      </c>
      <c r="Z241" s="4">
        <f t="shared" si="188"/>
        <v>0.73204982249993378</v>
      </c>
      <c r="AA241" s="4">
        <f t="shared" si="188"/>
        <v>0.65145592958786691</v>
      </c>
      <c r="AB241" s="4">
        <f t="shared" si="188"/>
        <v>0.56032247880849573</v>
      </c>
      <c r="AC241" s="4">
        <f t="shared" si="188"/>
        <v>0.46411326873185343</v>
      </c>
      <c r="AD241" s="4">
        <f t="shared" si="188"/>
        <v>0.36979727595523937</v>
      </c>
      <c r="AE241" s="4">
        <f t="shared" si="188"/>
        <v>0.28393948637231203</v>
      </c>
      <c r="AF241" s="4">
        <f t="shared" si="188"/>
        <v>0.21097259161117732</v>
      </c>
      <c r="AG241" s="4">
        <f t="shared" si="185"/>
        <v>0.15253917653798199</v>
      </c>
      <c r="AH241" s="4">
        <f t="shared" si="185"/>
        <v>0.10795188737709993</v>
      </c>
      <c r="AI241" s="4">
        <f t="shared" si="185"/>
        <v>7.5176653938091809E-2</v>
      </c>
      <c r="AJ241" s="4">
        <f t="shared" si="186"/>
        <v>5.1742836177502194E-2</v>
      </c>
      <c r="AK241" s="4">
        <f t="shared" si="186"/>
        <v>3.5319190625345942E-2</v>
      </c>
      <c r="AL241" s="4">
        <f t="shared" si="186"/>
        <v>2.3969442072658165E-2</v>
      </c>
      <c r="AM241" s="4">
        <f t="shared" si="186"/>
        <v>1.6202243558389728E-2</v>
      </c>
      <c r="AN241" s="4">
        <f t="shared" si="186"/>
        <v>1.0922240564108399E-2</v>
      </c>
      <c r="AO241" s="4">
        <f t="shared" si="186"/>
        <v>7.3493212906090566E-3</v>
      </c>
      <c r="AP241" s="4">
        <f t="shared" si="186"/>
        <v>4.9390262185057265E-3</v>
      </c>
      <c r="AQ241" s="4">
        <f t="shared" si="186"/>
        <v>3.3164275492956197E-3</v>
      </c>
      <c r="AR241" s="4">
        <f t="shared" si="186"/>
        <v>2.2256362146679809E-3</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9" si="189">A225</f>
        <v>Capex vehicle</v>
      </c>
      <c r="B245" s="62">
        <f t="shared" ref="B245:B253" si="190">$B225+($C225-$B225)*(1-Q225)</f>
        <v>105132.02138425162</v>
      </c>
      <c r="C245" s="62">
        <f t="shared" ref="C245:C253" si="191">$B225+($C225-$B225)*(1-R225)</f>
        <v>105188.54902371418</v>
      </c>
      <c r="D245" s="62">
        <f t="shared" ref="D245:D253" si="192">$B225+($C225-$B225)*(1-S225)</f>
        <v>105268.81016841279</v>
      </c>
      <c r="E245" s="62">
        <f t="shared" ref="E245:E253" si="193">$B225+($C225-$B225)*(1-T225)</f>
        <v>105382.25158384073</v>
      </c>
      <c r="F245" s="62">
        <f t="shared" ref="F245:F253" si="194">$B225+($C225-$B225)*(1-U225)</f>
        <v>105541.52128444887</v>
      </c>
      <c r="G245" s="62">
        <f t="shared" ref="G245:G253" si="195">$B225+($C225-$B225)*(1-V225)</f>
        <v>105762.96398498585</v>
      </c>
      <c r="H245" s="62">
        <f t="shared" ref="H245:H253" si="196">$B225+($C225-$B225)*(1-W225)</f>
        <v>106066.55364323416</v>
      </c>
      <c r="I245" s="62">
        <f t="shared" ref="I245:I253" si="197">$B225+($C225-$B225)*(1-X225)</f>
        <v>106474.54561256729</v>
      </c>
      <c r="J245" s="62">
        <f t="shared" ref="J245:J253" si="198">$B225+($C225-$B225)*(1-Y225)</f>
        <v>107007.86993473761</v>
      </c>
      <c r="K245" s="62">
        <f t="shared" ref="K245:K253" si="199">$B225+($C225-$B225)*(1-Z225)</f>
        <v>107679.50177500067</v>
      </c>
      <c r="L245" s="62">
        <f t="shared" ref="L245:L253" si="200">$B225+($C225-$B225)*(1-AA225)</f>
        <v>108485.44070412133</v>
      </c>
      <c r="M245" s="62">
        <f t="shared" ref="M245:M253" si="201">$B225+($C225-$B225)*(1-AB225)</f>
        <v>109396.77521191504</v>
      </c>
      <c r="N245" s="62">
        <f t="shared" ref="N245:N253" si="202">$B225+($C225-$B225)*(1-AC225)</f>
        <v>110358.86731268147</v>
      </c>
      <c r="O245" s="62">
        <f t="shared" ref="O245:O253" si="203">$B225+($C225-$B225)*(1-AD225)</f>
        <v>111302.02724044761</v>
      </c>
      <c r="P245" s="62">
        <f t="shared" ref="P245:P253" si="204">$B225+($C225-$B225)*(1-AE225)</f>
        <v>112160.60513627688</v>
      </c>
      <c r="Q245" s="62">
        <f t="shared" ref="Q245:Q253" si="205">$B225+($C225-$B225)*(1-AF225)</f>
        <v>112890.27408388823</v>
      </c>
      <c r="R245" s="62">
        <f t="shared" ref="R245:R253" si="206">$B225+($C225-$B225)*(1-AG225)</f>
        <v>113474.60823462019</v>
      </c>
      <c r="S245" s="62">
        <f t="shared" ref="S245:S253" si="207">$B225+($C225-$B225)*(1-AH225)</f>
        <v>113920.481126229</v>
      </c>
      <c r="T245" s="62">
        <f t="shared" ref="T245:T253" si="208">$B225+($C225-$B225)*(1-AI225)</f>
        <v>114248.23346061909</v>
      </c>
      <c r="U245" s="62">
        <f t="shared" ref="U245:U253" si="209">$B225+($C225-$B225)*(1-AJ225)</f>
        <v>114482.57163822498</v>
      </c>
      <c r="V245" s="62">
        <f t="shared" ref="V245:V253" si="210">$B225+($C225-$B225)*(1-AK225)</f>
        <v>114646.80809374654</v>
      </c>
      <c r="W245" s="62">
        <f t="shared" ref="W245:W253" si="211">$B225+($C225-$B225)*(1-AL225)</f>
        <v>114760.30557927342</v>
      </c>
      <c r="X245" s="62">
        <f t="shared" ref="X245:X253" si="212">$B225+($C225-$B225)*(1-AM225)</f>
        <v>114837.9775644161</v>
      </c>
      <c r="Y245" s="62">
        <f t="shared" ref="Y245:Y253" si="213">$B225+($C225-$B225)*(1-AN225)</f>
        <v>114890.77759435892</v>
      </c>
      <c r="Z245" s="62">
        <f t="shared" ref="Z245:Z253" si="214">$B225+($C225-$B225)*(1-AO225)</f>
        <v>114926.50678709391</v>
      </c>
      <c r="AA245" s="62">
        <f t="shared" ref="AA245:AA253" si="215">$B225+($C225-$B225)*(1-AP225)</f>
        <v>114950.60973781494</v>
      </c>
      <c r="AB245" s="62">
        <f t="shared" ref="AB245:AB253" si="216">$B225+($C225-$B225)*(1-AQ225)</f>
        <v>114966.83572450705</v>
      </c>
      <c r="AC245" s="62">
        <f t="shared" ref="AC245:AC253" si="217">$B225+($C225-$B225)*(1-AR225)</f>
        <v>114977.74363785332</v>
      </c>
    </row>
    <row r="246" spans="1:44" x14ac:dyDescent="0.25">
      <c r="A246" s="30" t="str">
        <f t="shared" si="189"/>
        <v>Residual value (vehicle)</v>
      </c>
      <c r="B246" s="62">
        <f t="shared" si="190"/>
        <v>-26131.180754173536</v>
      </c>
      <c r="C246" s="62">
        <f t="shared" si="191"/>
        <v>-26080.305878657244</v>
      </c>
      <c r="D246" s="62">
        <f t="shared" si="192"/>
        <v>-26008.070848428484</v>
      </c>
      <c r="E246" s="62">
        <f t="shared" si="193"/>
        <v>-25905.97357454335</v>
      </c>
      <c r="F246" s="62">
        <f t="shared" si="194"/>
        <v>-25762.630843996023</v>
      </c>
      <c r="G246" s="62">
        <f t="shared" si="195"/>
        <v>-25563.332413512733</v>
      </c>
      <c r="H246" s="62">
        <f t="shared" si="196"/>
        <v>-25290.101721089261</v>
      </c>
      <c r="I246" s="62">
        <f t="shared" si="197"/>
        <v>-24922.90894868943</v>
      </c>
      <c r="J246" s="62">
        <f t="shared" si="198"/>
        <v>-24442.917058736151</v>
      </c>
      <c r="K246" s="62">
        <f t="shared" si="199"/>
        <v>-23838.448402499405</v>
      </c>
      <c r="L246" s="62">
        <f t="shared" si="200"/>
        <v>-23113.103366290801</v>
      </c>
      <c r="M246" s="62">
        <f t="shared" si="201"/>
        <v>-22292.902309276462</v>
      </c>
      <c r="N246" s="62">
        <f t="shared" si="202"/>
        <v>-21427.019418586682</v>
      </c>
      <c r="O246" s="62">
        <f t="shared" si="203"/>
        <v>-20578.175483597155</v>
      </c>
      <c r="P246" s="62">
        <f t="shared" si="204"/>
        <v>-19805.455377350809</v>
      </c>
      <c r="Q246" s="62">
        <f t="shared" si="205"/>
        <v>-19148.753324500598</v>
      </c>
      <c r="R246" s="62">
        <f t="shared" si="206"/>
        <v>-18622.852588841837</v>
      </c>
      <c r="S246" s="62">
        <f t="shared" si="207"/>
        <v>-18221.5669863939</v>
      </c>
      <c r="T246" s="62">
        <f t="shared" si="208"/>
        <v>-17926.589885442827</v>
      </c>
      <c r="U246" s="62">
        <f t="shared" si="209"/>
        <v>-17715.685525597521</v>
      </c>
      <c r="V246" s="62">
        <f t="shared" si="210"/>
        <v>-17567.872715628113</v>
      </c>
      <c r="W246" s="62">
        <f t="shared" si="211"/>
        <v>-17465.724978653925</v>
      </c>
      <c r="X246" s="62">
        <f t="shared" si="212"/>
        <v>-17395.820192025509</v>
      </c>
      <c r="Y246" s="62">
        <f t="shared" si="213"/>
        <v>-17348.300165076973</v>
      </c>
      <c r="Z246" s="62">
        <f t="shared" si="214"/>
        <v>-17316.14389161548</v>
      </c>
      <c r="AA246" s="62">
        <f t="shared" si="215"/>
        <v>-17294.451235966553</v>
      </c>
      <c r="AB246" s="62">
        <f t="shared" si="216"/>
        <v>-17279.84784794366</v>
      </c>
      <c r="AC246" s="62">
        <f t="shared" si="217"/>
        <v>-17270.030725932011</v>
      </c>
    </row>
    <row r="247" spans="1:44" x14ac:dyDescent="0.25">
      <c r="A247" s="30" t="str">
        <f t="shared" si="189"/>
        <v>Capex costumization</v>
      </c>
      <c r="B247" s="62">
        <f t="shared" si="190"/>
        <v>30000</v>
      </c>
      <c r="C247" s="62">
        <f t="shared" si="191"/>
        <v>30000</v>
      </c>
      <c r="D247" s="62">
        <f t="shared" si="192"/>
        <v>30000</v>
      </c>
      <c r="E247" s="62">
        <f t="shared" si="193"/>
        <v>30000</v>
      </c>
      <c r="F247" s="62">
        <f t="shared" si="194"/>
        <v>30000</v>
      </c>
      <c r="G247" s="62">
        <f t="shared" si="195"/>
        <v>30000</v>
      </c>
      <c r="H247" s="62">
        <f t="shared" si="196"/>
        <v>30000</v>
      </c>
      <c r="I247" s="62">
        <f t="shared" si="197"/>
        <v>30000</v>
      </c>
      <c r="J247" s="62">
        <f t="shared" si="198"/>
        <v>30000</v>
      </c>
      <c r="K247" s="62">
        <f t="shared" si="199"/>
        <v>30000</v>
      </c>
      <c r="L247" s="62">
        <f t="shared" si="200"/>
        <v>30000</v>
      </c>
      <c r="M247" s="62">
        <f t="shared" si="201"/>
        <v>30000</v>
      </c>
      <c r="N247" s="62">
        <f t="shared" si="202"/>
        <v>30000</v>
      </c>
      <c r="O247" s="62">
        <f t="shared" si="203"/>
        <v>30000</v>
      </c>
      <c r="P247" s="62">
        <f t="shared" si="204"/>
        <v>30000</v>
      </c>
      <c r="Q247" s="62">
        <f t="shared" si="205"/>
        <v>30000</v>
      </c>
      <c r="R247" s="62">
        <f t="shared" si="206"/>
        <v>30000</v>
      </c>
      <c r="S247" s="62">
        <f t="shared" si="207"/>
        <v>30000</v>
      </c>
      <c r="T247" s="62">
        <f t="shared" si="208"/>
        <v>30000</v>
      </c>
      <c r="U247" s="62">
        <f t="shared" si="209"/>
        <v>30000</v>
      </c>
      <c r="V247" s="62">
        <f t="shared" si="210"/>
        <v>30000</v>
      </c>
      <c r="W247" s="62">
        <f t="shared" si="211"/>
        <v>30000</v>
      </c>
      <c r="X247" s="62">
        <f t="shared" si="212"/>
        <v>30000</v>
      </c>
      <c r="Y247" s="62">
        <f t="shared" si="213"/>
        <v>30000</v>
      </c>
      <c r="Z247" s="62">
        <f t="shared" si="214"/>
        <v>30000</v>
      </c>
      <c r="AA247" s="62">
        <f t="shared" si="215"/>
        <v>30000</v>
      </c>
      <c r="AB247" s="62">
        <f t="shared" si="216"/>
        <v>30000</v>
      </c>
      <c r="AC247" s="62">
        <f t="shared" si="217"/>
        <v>30000</v>
      </c>
    </row>
    <row r="248" spans="1:44" x14ac:dyDescent="0.25">
      <c r="A248" s="30" t="str">
        <f t="shared" si="189"/>
        <v>Residual value (costumization)</v>
      </c>
      <c r="B248" s="62">
        <f t="shared" si="190"/>
        <v>-7500</v>
      </c>
      <c r="C248" s="62">
        <f t="shared" si="191"/>
        <v>-7500</v>
      </c>
      <c r="D248" s="62">
        <f t="shared" si="192"/>
        <v>-7500</v>
      </c>
      <c r="E248" s="62">
        <f t="shared" si="193"/>
        <v>-7500</v>
      </c>
      <c r="F248" s="62">
        <f t="shared" si="194"/>
        <v>-7500</v>
      </c>
      <c r="G248" s="62">
        <f t="shared" si="195"/>
        <v>-7500</v>
      </c>
      <c r="H248" s="62">
        <f t="shared" si="196"/>
        <v>-7500</v>
      </c>
      <c r="I248" s="62">
        <f t="shared" si="197"/>
        <v>-7500</v>
      </c>
      <c r="J248" s="62">
        <f t="shared" si="198"/>
        <v>-7500</v>
      </c>
      <c r="K248" s="62">
        <f t="shared" si="199"/>
        <v>-7500</v>
      </c>
      <c r="L248" s="62">
        <f t="shared" si="200"/>
        <v>-7500</v>
      </c>
      <c r="M248" s="62">
        <f t="shared" si="201"/>
        <v>-7500</v>
      </c>
      <c r="N248" s="62">
        <f t="shared" si="202"/>
        <v>-7500</v>
      </c>
      <c r="O248" s="62">
        <f t="shared" si="203"/>
        <v>-7500</v>
      </c>
      <c r="P248" s="62">
        <f t="shared" si="204"/>
        <v>-7500</v>
      </c>
      <c r="Q248" s="62">
        <f t="shared" si="205"/>
        <v>-7500</v>
      </c>
      <c r="R248" s="62">
        <f t="shared" si="206"/>
        <v>-7500</v>
      </c>
      <c r="S248" s="62">
        <f t="shared" si="207"/>
        <v>-7500</v>
      </c>
      <c r="T248" s="62">
        <f t="shared" si="208"/>
        <v>-7500</v>
      </c>
      <c r="U248" s="62">
        <f t="shared" si="209"/>
        <v>-7500</v>
      </c>
      <c r="V248" s="62">
        <f t="shared" si="210"/>
        <v>-7500</v>
      </c>
      <c r="W248" s="62">
        <f t="shared" si="211"/>
        <v>-7500</v>
      </c>
      <c r="X248" s="62">
        <f t="shared" si="212"/>
        <v>-7500</v>
      </c>
      <c r="Y248" s="62">
        <f t="shared" si="213"/>
        <v>-7500</v>
      </c>
      <c r="Z248" s="62">
        <f t="shared" si="214"/>
        <v>-7500</v>
      </c>
      <c r="AA248" s="62">
        <f t="shared" si="215"/>
        <v>-7500</v>
      </c>
      <c r="AB248" s="62">
        <f t="shared" si="216"/>
        <v>-7500</v>
      </c>
      <c r="AC248" s="62">
        <f t="shared" si="217"/>
        <v>-7500</v>
      </c>
    </row>
    <row r="249" spans="1:44" x14ac:dyDescent="0.25">
      <c r="A249" s="30" t="str">
        <f t="shared" si="189"/>
        <v>WACC</v>
      </c>
      <c r="B249" s="62">
        <f t="shared" si="190"/>
        <v>0.06</v>
      </c>
      <c r="C249" s="62">
        <f t="shared" si="191"/>
        <v>0.06</v>
      </c>
      <c r="D249" s="62">
        <f t="shared" si="192"/>
        <v>0.06</v>
      </c>
      <c r="E249" s="62">
        <f t="shared" si="193"/>
        <v>0.06</v>
      </c>
      <c r="F249" s="62">
        <f t="shared" si="194"/>
        <v>0.06</v>
      </c>
      <c r="G249" s="62">
        <f t="shared" si="195"/>
        <v>0.06</v>
      </c>
      <c r="H249" s="62">
        <f t="shared" si="196"/>
        <v>0.06</v>
      </c>
      <c r="I249" s="62">
        <f t="shared" si="197"/>
        <v>0.06</v>
      </c>
      <c r="J249" s="62">
        <f t="shared" si="198"/>
        <v>0.06</v>
      </c>
      <c r="K249" s="62">
        <f t="shared" si="199"/>
        <v>0.06</v>
      </c>
      <c r="L249" s="62">
        <f t="shared" si="200"/>
        <v>0.06</v>
      </c>
      <c r="M249" s="62">
        <f t="shared" si="201"/>
        <v>0.06</v>
      </c>
      <c r="N249" s="62">
        <f t="shared" si="202"/>
        <v>0.06</v>
      </c>
      <c r="O249" s="62">
        <f t="shared" si="203"/>
        <v>0.06</v>
      </c>
      <c r="P249" s="62">
        <f t="shared" si="204"/>
        <v>0.06</v>
      </c>
      <c r="Q249" s="62">
        <f t="shared" si="205"/>
        <v>0.06</v>
      </c>
      <c r="R249" s="62">
        <f t="shared" si="206"/>
        <v>0.06</v>
      </c>
      <c r="S249" s="62">
        <f t="shared" si="207"/>
        <v>0.06</v>
      </c>
      <c r="T249" s="62">
        <f t="shared" si="208"/>
        <v>0.06</v>
      </c>
      <c r="U249" s="62">
        <f t="shared" si="209"/>
        <v>0.06</v>
      </c>
      <c r="V249" s="62">
        <f t="shared" si="210"/>
        <v>0.06</v>
      </c>
      <c r="W249" s="62">
        <f t="shared" si="211"/>
        <v>0.06</v>
      </c>
      <c r="X249" s="62">
        <f t="shared" si="212"/>
        <v>0.06</v>
      </c>
      <c r="Y249" s="62">
        <f t="shared" si="213"/>
        <v>0.06</v>
      </c>
      <c r="Z249" s="62">
        <f t="shared" si="214"/>
        <v>0.06</v>
      </c>
      <c r="AA249" s="62">
        <f t="shared" si="215"/>
        <v>0.06</v>
      </c>
      <c r="AB249" s="62">
        <f t="shared" si="216"/>
        <v>0.06</v>
      </c>
      <c r="AC249" s="62">
        <f t="shared" si="217"/>
        <v>0.06</v>
      </c>
    </row>
    <row r="250" spans="1:44" x14ac:dyDescent="0.25">
      <c r="A250" s="30" t="str">
        <f t="shared" si="189"/>
        <v>Opex fix (admin, crew, insurance)</v>
      </c>
      <c r="B250" s="62">
        <f t="shared" si="190"/>
        <v>70000</v>
      </c>
      <c r="C250" s="62">
        <f t="shared" si="191"/>
        <v>70000</v>
      </c>
      <c r="D250" s="62">
        <f t="shared" si="192"/>
        <v>70000</v>
      </c>
      <c r="E250" s="62">
        <f t="shared" si="193"/>
        <v>70000</v>
      </c>
      <c r="F250" s="62">
        <f t="shared" si="194"/>
        <v>70000</v>
      </c>
      <c r="G250" s="62">
        <f t="shared" si="195"/>
        <v>70000</v>
      </c>
      <c r="H250" s="62">
        <f t="shared" si="196"/>
        <v>70000</v>
      </c>
      <c r="I250" s="62">
        <f t="shared" si="197"/>
        <v>70000</v>
      </c>
      <c r="J250" s="62">
        <f t="shared" si="198"/>
        <v>70000</v>
      </c>
      <c r="K250" s="62">
        <f t="shared" si="199"/>
        <v>70000</v>
      </c>
      <c r="L250" s="62">
        <f t="shared" si="200"/>
        <v>70000</v>
      </c>
      <c r="M250" s="62">
        <f t="shared" si="201"/>
        <v>70000</v>
      </c>
      <c r="N250" s="62">
        <f t="shared" si="202"/>
        <v>70000</v>
      </c>
      <c r="O250" s="62">
        <f t="shared" si="203"/>
        <v>70000</v>
      </c>
      <c r="P250" s="62">
        <f t="shared" si="204"/>
        <v>70000</v>
      </c>
      <c r="Q250" s="62">
        <f t="shared" si="205"/>
        <v>70000</v>
      </c>
      <c r="R250" s="62">
        <f t="shared" si="206"/>
        <v>70000</v>
      </c>
      <c r="S250" s="62">
        <f t="shared" si="207"/>
        <v>70000</v>
      </c>
      <c r="T250" s="62">
        <f t="shared" si="208"/>
        <v>70000</v>
      </c>
      <c r="U250" s="62">
        <f t="shared" si="209"/>
        <v>70000</v>
      </c>
      <c r="V250" s="62">
        <f t="shared" si="210"/>
        <v>70000</v>
      </c>
      <c r="W250" s="62">
        <f t="shared" si="211"/>
        <v>70000</v>
      </c>
      <c r="X250" s="62">
        <f t="shared" si="212"/>
        <v>70000</v>
      </c>
      <c r="Y250" s="62">
        <f t="shared" si="213"/>
        <v>70000</v>
      </c>
      <c r="Z250" s="62">
        <f t="shared" si="214"/>
        <v>70000</v>
      </c>
      <c r="AA250" s="62">
        <f t="shared" si="215"/>
        <v>70000</v>
      </c>
      <c r="AB250" s="62">
        <f t="shared" si="216"/>
        <v>70000</v>
      </c>
      <c r="AC250" s="62">
        <f t="shared" si="217"/>
        <v>70000</v>
      </c>
    </row>
    <row r="251" spans="1:44" x14ac:dyDescent="0.25">
      <c r="A251" s="30" t="str">
        <f t="shared" si="189"/>
        <v>Opex maintenance &amp; repair</v>
      </c>
      <c r="B251" s="62">
        <f t="shared" si="190"/>
        <v>20000</v>
      </c>
      <c r="C251" s="62">
        <f t="shared" si="191"/>
        <v>20000</v>
      </c>
      <c r="D251" s="62">
        <f t="shared" si="192"/>
        <v>20000</v>
      </c>
      <c r="E251" s="62">
        <f t="shared" si="193"/>
        <v>20000</v>
      </c>
      <c r="F251" s="62">
        <f t="shared" si="194"/>
        <v>20000</v>
      </c>
      <c r="G251" s="62">
        <f t="shared" si="195"/>
        <v>20000</v>
      </c>
      <c r="H251" s="62">
        <f t="shared" si="196"/>
        <v>20000</v>
      </c>
      <c r="I251" s="62">
        <f t="shared" si="197"/>
        <v>20000</v>
      </c>
      <c r="J251" s="62">
        <f t="shared" si="198"/>
        <v>20000</v>
      </c>
      <c r="K251" s="62">
        <f t="shared" si="199"/>
        <v>20000</v>
      </c>
      <c r="L251" s="62">
        <f t="shared" si="200"/>
        <v>20000</v>
      </c>
      <c r="M251" s="62">
        <f t="shared" si="201"/>
        <v>20000</v>
      </c>
      <c r="N251" s="62">
        <f t="shared" si="202"/>
        <v>20000</v>
      </c>
      <c r="O251" s="62">
        <f t="shared" si="203"/>
        <v>20000</v>
      </c>
      <c r="P251" s="62">
        <f t="shared" si="204"/>
        <v>20000</v>
      </c>
      <c r="Q251" s="62">
        <f t="shared" si="205"/>
        <v>20000</v>
      </c>
      <c r="R251" s="62">
        <f t="shared" si="206"/>
        <v>20000</v>
      </c>
      <c r="S251" s="62">
        <f t="shared" si="207"/>
        <v>20000</v>
      </c>
      <c r="T251" s="62">
        <f t="shared" si="208"/>
        <v>20000</v>
      </c>
      <c r="U251" s="62">
        <f t="shared" si="209"/>
        <v>20000</v>
      </c>
      <c r="V251" s="62">
        <f t="shared" si="210"/>
        <v>20000</v>
      </c>
      <c r="W251" s="62">
        <f t="shared" si="211"/>
        <v>20000</v>
      </c>
      <c r="X251" s="62">
        <f t="shared" si="212"/>
        <v>20000</v>
      </c>
      <c r="Y251" s="62">
        <f t="shared" si="213"/>
        <v>20000</v>
      </c>
      <c r="Z251" s="62">
        <f t="shared" si="214"/>
        <v>20000</v>
      </c>
      <c r="AA251" s="62">
        <f t="shared" si="215"/>
        <v>20000</v>
      </c>
      <c r="AB251" s="62">
        <f t="shared" si="216"/>
        <v>20000</v>
      </c>
      <c r="AC251" s="62">
        <f t="shared" si="217"/>
        <v>20000</v>
      </c>
    </row>
    <row r="252" spans="1:44" x14ac:dyDescent="0.25">
      <c r="A252" s="30" t="str">
        <f t="shared" si="189"/>
        <v>Opex var (mode-fees)</v>
      </c>
      <c r="B252" s="62">
        <f t="shared" si="190"/>
        <v>0.11</v>
      </c>
      <c r="C252" s="62">
        <f t="shared" si="191"/>
        <v>0.11</v>
      </c>
      <c r="D252" s="62">
        <f t="shared" si="192"/>
        <v>0.11</v>
      </c>
      <c r="E252" s="62">
        <f t="shared" si="193"/>
        <v>0.11</v>
      </c>
      <c r="F252" s="62">
        <f t="shared" si="194"/>
        <v>0.11</v>
      </c>
      <c r="G252" s="62">
        <f t="shared" si="195"/>
        <v>0.11</v>
      </c>
      <c r="H252" s="62">
        <f t="shared" si="196"/>
        <v>0.11</v>
      </c>
      <c r="I252" s="62">
        <f t="shared" si="197"/>
        <v>0.11</v>
      </c>
      <c r="J252" s="62">
        <f t="shared" si="198"/>
        <v>0.11</v>
      </c>
      <c r="K252" s="62">
        <f t="shared" si="199"/>
        <v>0.11</v>
      </c>
      <c r="L252" s="62">
        <f t="shared" si="200"/>
        <v>0.11</v>
      </c>
      <c r="M252" s="62">
        <f t="shared" si="201"/>
        <v>0.11</v>
      </c>
      <c r="N252" s="62">
        <f t="shared" si="202"/>
        <v>0.11</v>
      </c>
      <c r="O252" s="62">
        <f t="shared" si="203"/>
        <v>0.11</v>
      </c>
      <c r="P252" s="62">
        <f t="shared" si="204"/>
        <v>0.11</v>
      </c>
      <c r="Q252" s="62">
        <f t="shared" si="205"/>
        <v>0.11</v>
      </c>
      <c r="R252" s="62">
        <f t="shared" si="206"/>
        <v>0.11</v>
      </c>
      <c r="S252" s="62">
        <f t="shared" si="207"/>
        <v>0.11</v>
      </c>
      <c r="T252" s="62">
        <f t="shared" si="208"/>
        <v>0.11</v>
      </c>
      <c r="U252" s="62">
        <f t="shared" si="209"/>
        <v>0.11</v>
      </c>
      <c r="V252" s="62">
        <f t="shared" si="210"/>
        <v>0.11</v>
      </c>
      <c r="W252" s="62">
        <f t="shared" si="211"/>
        <v>0.11</v>
      </c>
      <c r="X252" s="62">
        <f t="shared" si="212"/>
        <v>0.11</v>
      </c>
      <c r="Y252" s="62">
        <f t="shared" si="213"/>
        <v>0.11</v>
      </c>
      <c r="Z252" s="62">
        <f t="shared" si="214"/>
        <v>0.11</v>
      </c>
      <c r="AA252" s="62">
        <f t="shared" si="215"/>
        <v>0.11</v>
      </c>
      <c r="AB252" s="62">
        <f t="shared" si="216"/>
        <v>0.11</v>
      </c>
      <c r="AC252" s="62">
        <f t="shared" si="217"/>
        <v>0.11</v>
      </c>
    </row>
    <row r="253" spans="1:44" x14ac:dyDescent="0.25">
      <c r="A253" s="30" t="str">
        <f t="shared" si="189"/>
        <v>Fuel Economy</v>
      </c>
      <c r="B253" s="62">
        <f t="shared" si="190"/>
        <v>2.8933989307874186</v>
      </c>
      <c r="C253" s="62">
        <f t="shared" si="191"/>
        <v>2.890572548814291</v>
      </c>
      <c r="D253" s="62">
        <f t="shared" si="192"/>
        <v>2.88655949157936</v>
      </c>
      <c r="E253" s="62">
        <f t="shared" si="193"/>
        <v>2.880887420807964</v>
      </c>
      <c r="F253" s="62">
        <f t="shared" si="194"/>
        <v>2.8729239357775569</v>
      </c>
      <c r="G253" s="62">
        <f t="shared" si="195"/>
        <v>2.8618518007507072</v>
      </c>
      <c r="H253" s="62">
        <f t="shared" si="196"/>
        <v>2.846672317838292</v>
      </c>
      <c r="I253" s="62">
        <f t="shared" si="197"/>
        <v>2.826272719371635</v>
      </c>
      <c r="J253" s="62">
        <f t="shared" si="198"/>
        <v>2.7996065032631194</v>
      </c>
      <c r="K253" s="62">
        <f t="shared" si="199"/>
        <v>2.7660249112499669</v>
      </c>
      <c r="L253" s="62">
        <f t="shared" si="200"/>
        <v>2.7257279647939332</v>
      </c>
      <c r="M253" s="62">
        <f t="shared" si="201"/>
        <v>2.6801612394042476</v>
      </c>
      <c r="N253" s="62">
        <f t="shared" si="202"/>
        <v>2.6320566343659264</v>
      </c>
      <c r="O253" s="62">
        <f t="shared" si="203"/>
        <v>2.5848986379776195</v>
      </c>
      <c r="P253" s="62">
        <f t="shared" si="204"/>
        <v>2.5419697431861561</v>
      </c>
      <c r="Q253" s="62">
        <f t="shared" si="205"/>
        <v>2.5054862958055883</v>
      </c>
      <c r="R253" s="62">
        <f t="shared" si="206"/>
        <v>2.4762695882689911</v>
      </c>
      <c r="S253" s="62">
        <f t="shared" si="207"/>
        <v>2.4539759436885498</v>
      </c>
      <c r="T253" s="62">
        <f t="shared" si="208"/>
        <v>2.4375883269690459</v>
      </c>
      <c r="U253" s="62">
        <f t="shared" si="209"/>
        <v>2.4258714180887511</v>
      </c>
      <c r="V253" s="62">
        <f t="shared" si="210"/>
        <v>2.4176595953126729</v>
      </c>
      <c r="W253" s="62">
        <f t="shared" si="211"/>
        <v>2.4119847210363288</v>
      </c>
      <c r="X253" s="62">
        <f t="shared" si="212"/>
        <v>2.408101121779195</v>
      </c>
      <c r="Y253" s="62">
        <f t="shared" si="213"/>
        <v>2.4054611202820539</v>
      </c>
      <c r="Z253" s="62">
        <f t="shared" si="214"/>
        <v>2.4036746606453043</v>
      </c>
      <c r="AA253" s="62">
        <f t="shared" si="215"/>
        <v>2.4024695131092528</v>
      </c>
      <c r="AB253" s="62">
        <f t="shared" si="216"/>
        <v>2.4016582137746476</v>
      </c>
      <c r="AC253" s="62">
        <f t="shared" si="217"/>
        <v>2.4011128181073338</v>
      </c>
    </row>
    <row r="254" spans="1:44" x14ac:dyDescent="0.25">
      <c r="A254" s="30" t="str">
        <f t="shared" si="189"/>
        <v>Fuel Cost</v>
      </c>
      <c r="B254" s="66">
        <f>$B234+($C234-$B234)*(1-Q234)</f>
        <v>0.1</v>
      </c>
      <c r="C254" s="66">
        <f t="shared" ref="C254:AC254" si="218">$B234+($C234-$B234)*(1-R234)</f>
        <v>0.1</v>
      </c>
      <c r="D254" s="66">
        <f t="shared" si="218"/>
        <v>0.1</v>
      </c>
      <c r="E254" s="66">
        <f t="shared" si="218"/>
        <v>0.1</v>
      </c>
      <c r="F254" s="66">
        <f t="shared" si="218"/>
        <v>0.1</v>
      </c>
      <c r="G254" s="66">
        <f t="shared" si="218"/>
        <v>0.1</v>
      </c>
      <c r="H254" s="66">
        <f t="shared" si="218"/>
        <v>0.1</v>
      </c>
      <c r="I254" s="66">
        <f t="shared" si="218"/>
        <v>0.1</v>
      </c>
      <c r="J254" s="66">
        <f t="shared" si="218"/>
        <v>0.1</v>
      </c>
      <c r="K254" s="66">
        <f t="shared" si="218"/>
        <v>0.1</v>
      </c>
      <c r="L254" s="66">
        <f t="shared" si="218"/>
        <v>0.1</v>
      </c>
      <c r="M254" s="66">
        <f t="shared" si="218"/>
        <v>0.1</v>
      </c>
      <c r="N254" s="66">
        <f t="shared" si="218"/>
        <v>0.1</v>
      </c>
      <c r="O254" s="66">
        <f t="shared" si="218"/>
        <v>0.1</v>
      </c>
      <c r="P254" s="66">
        <f t="shared" si="218"/>
        <v>0.1</v>
      </c>
      <c r="Q254" s="66">
        <f t="shared" si="218"/>
        <v>0.1</v>
      </c>
      <c r="R254" s="66">
        <f t="shared" si="218"/>
        <v>0.1</v>
      </c>
      <c r="S254" s="66">
        <f t="shared" si="218"/>
        <v>0.1</v>
      </c>
      <c r="T254" s="66">
        <f t="shared" si="218"/>
        <v>0.1</v>
      </c>
      <c r="U254" s="66">
        <f t="shared" si="218"/>
        <v>0.1</v>
      </c>
      <c r="V254" s="66">
        <f t="shared" si="218"/>
        <v>0.1</v>
      </c>
      <c r="W254" s="66">
        <f t="shared" si="218"/>
        <v>0.1</v>
      </c>
      <c r="X254" s="66">
        <f t="shared" si="218"/>
        <v>0.1</v>
      </c>
      <c r="Y254" s="66">
        <f t="shared" si="218"/>
        <v>0.1</v>
      </c>
      <c r="Z254" s="66">
        <f t="shared" si="218"/>
        <v>0.1</v>
      </c>
      <c r="AA254" s="66">
        <f t="shared" si="218"/>
        <v>0.1</v>
      </c>
      <c r="AB254" s="66">
        <f t="shared" si="218"/>
        <v>0.1</v>
      </c>
      <c r="AC254" s="66">
        <f t="shared" si="218"/>
        <v>0.1</v>
      </c>
    </row>
    <row r="255" spans="1:44" x14ac:dyDescent="0.25">
      <c r="A255" s="30" t="str">
        <f t="shared" si="189"/>
        <v>Emission Cost</v>
      </c>
      <c r="B255" s="66">
        <f>$B235+($C235-$B235)*(1-Q235)</f>
        <v>7.7639122778339092E-2</v>
      </c>
      <c r="C255" s="66">
        <f t="shared" ref="C255:AC255" si="219">$B235+($C235-$B235)*(1-R235)</f>
        <v>7.777844914537467E-2</v>
      </c>
      <c r="D255" s="66">
        <f t="shared" si="219"/>
        <v>7.7977891736541474E-2</v>
      </c>
      <c r="E255" s="66">
        <f t="shared" si="219"/>
        <v>7.8263208388635597E-2</v>
      </c>
      <c r="F255" s="66">
        <f t="shared" si="219"/>
        <v>7.8670988842723152E-2</v>
      </c>
      <c r="G255" s="66">
        <f t="shared" si="219"/>
        <v>7.925297967571665E-2</v>
      </c>
      <c r="H255" s="66">
        <f t="shared" si="219"/>
        <v>8.0081877399879431E-2</v>
      </c>
      <c r="I255" s="66">
        <f t="shared" si="219"/>
        <v>8.1258793344219593E-2</v>
      </c>
      <c r="J255" s="66">
        <f t="shared" si="219"/>
        <v>8.2922250937142977E-2</v>
      </c>
      <c r="K255" s="66">
        <f t="shared" si="219"/>
        <v>8.5257715386346467E-2</v>
      </c>
      <c r="L255" s="66">
        <f t="shared" si="219"/>
        <v>8.8504858770587308E-2</v>
      </c>
      <c r="M255" s="66">
        <f t="shared" si="219"/>
        <v>9.2956570874505887E-2</v>
      </c>
      <c r="N255" s="66">
        <f t="shared" si="219"/>
        <v>9.8939194915988959E-2</v>
      </c>
      <c r="O255" s="66">
        <f t="shared" si="219"/>
        <v>0.10675964029617348</v>
      </c>
      <c r="P255" s="66">
        <f t="shared" si="219"/>
        <v>0.11660816942568256</v>
      </c>
      <c r="Q255" s="66">
        <f t="shared" si="219"/>
        <v>0.12842612167902054</v>
      </c>
      <c r="R255" s="66">
        <f t="shared" si="219"/>
        <v>0.14178955073148763</v>
      </c>
      <c r="S255" s="66">
        <f t="shared" si="219"/>
        <v>0.15589726795340736</v>
      </c>
      <c r="T255" s="66">
        <f t="shared" si="219"/>
        <v>0.16972737168814467</v>
      </c>
      <c r="U255" s="66">
        <f t="shared" si="219"/>
        <v>0.18231719979056973</v>
      </c>
      <c r="V255" s="66">
        <f t="shared" si="219"/>
        <v>0.19301676085163266</v>
      </c>
      <c r="W255" s="66">
        <f t="shared" si="219"/>
        <v>0.20158519307872402</v>
      </c>
      <c r="X255" s="66">
        <f t="shared" si="219"/>
        <v>0.20812328716215528</v>
      </c>
      <c r="Y255" s="66">
        <f t="shared" si="219"/>
        <v>0.21292931066938076</v>
      </c>
      <c r="Z255" s="66">
        <f t="shared" si="219"/>
        <v>0.21636554794991802</v>
      </c>
      <c r="AA255" s="66">
        <f t="shared" si="219"/>
        <v>0.21877384282125395</v>
      </c>
      <c r="AB255" s="66">
        <f t="shared" si="219"/>
        <v>0.22043812260271833</v>
      </c>
      <c r="AC255" s="66">
        <f t="shared" si="219"/>
        <v>0.22157707219141698</v>
      </c>
    </row>
    <row r="256" spans="1:44" x14ac:dyDescent="0.25">
      <c r="A256" s="30" t="str">
        <f t="shared" si="189"/>
        <v>Lifetime vehicle</v>
      </c>
      <c r="B256" s="62">
        <f>$B236+($C236-$B236)*(1-Q236)</f>
        <v>8</v>
      </c>
      <c r="C256" s="62">
        <f t="shared" ref="C256:L258" si="220">$B236+($C236-$B236)*(1-R236)</f>
        <v>8</v>
      </c>
      <c r="D256" s="62">
        <f t="shared" si="220"/>
        <v>8</v>
      </c>
      <c r="E256" s="62">
        <f t="shared" si="220"/>
        <v>8</v>
      </c>
      <c r="F256" s="62">
        <f t="shared" si="220"/>
        <v>8</v>
      </c>
      <c r="G256" s="62">
        <f t="shared" si="220"/>
        <v>8</v>
      </c>
      <c r="H256" s="62">
        <f t="shared" si="220"/>
        <v>8</v>
      </c>
      <c r="I256" s="62">
        <f t="shared" si="220"/>
        <v>8</v>
      </c>
      <c r="J256" s="62">
        <f t="shared" si="220"/>
        <v>8</v>
      </c>
      <c r="K256" s="62">
        <f t="shared" si="220"/>
        <v>8</v>
      </c>
      <c r="L256" s="62">
        <f t="shared" si="220"/>
        <v>8</v>
      </c>
      <c r="M256" s="62">
        <f t="shared" ref="M256:V258" si="221">$B236+($C236-$B236)*(1-AB236)</f>
        <v>8</v>
      </c>
      <c r="N256" s="62">
        <f t="shared" si="221"/>
        <v>8</v>
      </c>
      <c r="O256" s="62">
        <f t="shared" si="221"/>
        <v>8</v>
      </c>
      <c r="P256" s="62">
        <f t="shared" si="221"/>
        <v>8</v>
      </c>
      <c r="Q256" s="62">
        <f t="shared" si="221"/>
        <v>8</v>
      </c>
      <c r="R256" s="62">
        <f t="shared" si="221"/>
        <v>8</v>
      </c>
      <c r="S256" s="62">
        <f t="shared" si="221"/>
        <v>8</v>
      </c>
      <c r="T256" s="62">
        <f t="shared" si="221"/>
        <v>8</v>
      </c>
      <c r="U256" s="62">
        <f t="shared" si="221"/>
        <v>8</v>
      </c>
      <c r="V256" s="62">
        <f t="shared" si="221"/>
        <v>8</v>
      </c>
      <c r="W256" s="62">
        <f t="shared" ref="W256:AC258" si="222">$B236+($C236-$B236)*(1-AL236)</f>
        <v>8</v>
      </c>
      <c r="X256" s="62">
        <f t="shared" si="222"/>
        <v>8</v>
      </c>
      <c r="Y256" s="62">
        <f t="shared" si="222"/>
        <v>8</v>
      </c>
      <c r="Z256" s="62">
        <f t="shared" si="222"/>
        <v>8</v>
      </c>
      <c r="AA256" s="62">
        <f t="shared" si="222"/>
        <v>8</v>
      </c>
      <c r="AB256" s="62">
        <f t="shared" si="222"/>
        <v>8</v>
      </c>
      <c r="AC256" s="62">
        <f t="shared" si="222"/>
        <v>8</v>
      </c>
    </row>
    <row r="257" spans="1:29" x14ac:dyDescent="0.25">
      <c r="A257" s="30" t="str">
        <f t="shared" si="189"/>
        <v>Lifetime costumization</v>
      </c>
      <c r="B257" s="62">
        <f>$B237+($C237-$B237)*(1-Q237)</f>
        <v>10</v>
      </c>
      <c r="C257" s="62">
        <f t="shared" si="220"/>
        <v>10</v>
      </c>
      <c r="D257" s="62">
        <f t="shared" si="220"/>
        <v>10</v>
      </c>
      <c r="E257" s="62">
        <f t="shared" si="220"/>
        <v>10</v>
      </c>
      <c r="F257" s="62">
        <f t="shared" si="220"/>
        <v>10</v>
      </c>
      <c r="G257" s="62">
        <f t="shared" si="220"/>
        <v>10</v>
      </c>
      <c r="H257" s="62">
        <f t="shared" si="220"/>
        <v>10</v>
      </c>
      <c r="I257" s="62">
        <f t="shared" si="220"/>
        <v>10</v>
      </c>
      <c r="J257" s="62">
        <f t="shared" si="220"/>
        <v>10</v>
      </c>
      <c r="K257" s="62">
        <f t="shared" si="220"/>
        <v>10</v>
      </c>
      <c r="L257" s="62">
        <f t="shared" si="220"/>
        <v>10</v>
      </c>
      <c r="M257" s="62">
        <f t="shared" si="221"/>
        <v>10</v>
      </c>
      <c r="N257" s="62">
        <f t="shared" si="221"/>
        <v>10</v>
      </c>
      <c r="O257" s="62">
        <f t="shared" si="221"/>
        <v>10</v>
      </c>
      <c r="P257" s="62">
        <f t="shared" si="221"/>
        <v>10</v>
      </c>
      <c r="Q257" s="62">
        <f t="shared" si="221"/>
        <v>10</v>
      </c>
      <c r="R257" s="62">
        <f t="shared" si="221"/>
        <v>10</v>
      </c>
      <c r="S257" s="62">
        <f t="shared" si="221"/>
        <v>10</v>
      </c>
      <c r="T257" s="62">
        <f t="shared" si="221"/>
        <v>10</v>
      </c>
      <c r="U257" s="62">
        <f t="shared" si="221"/>
        <v>10</v>
      </c>
      <c r="V257" s="62">
        <f t="shared" si="221"/>
        <v>10</v>
      </c>
      <c r="W257" s="62">
        <f t="shared" si="222"/>
        <v>10</v>
      </c>
      <c r="X257" s="62">
        <f t="shared" si="222"/>
        <v>10</v>
      </c>
      <c r="Y257" s="62">
        <f t="shared" si="222"/>
        <v>10</v>
      </c>
      <c r="Z257" s="62">
        <f t="shared" si="222"/>
        <v>10</v>
      </c>
      <c r="AA257" s="62">
        <f t="shared" si="222"/>
        <v>10</v>
      </c>
      <c r="AB257" s="62">
        <f t="shared" si="222"/>
        <v>10</v>
      </c>
      <c r="AC257" s="62">
        <f t="shared" si="222"/>
        <v>10</v>
      </c>
    </row>
    <row r="258" spans="1:29" x14ac:dyDescent="0.25">
      <c r="A258" s="30" t="str">
        <f t="shared" si="189"/>
        <v>Tonnage .</v>
      </c>
      <c r="B258" s="62">
        <f>$B238+($C238-$B238)*(1-Q238)</f>
        <v>25</v>
      </c>
      <c r="C258" s="62">
        <f t="shared" si="220"/>
        <v>25</v>
      </c>
      <c r="D258" s="62">
        <f t="shared" si="220"/>
        <v>25</v>
      </c>
      <c r="E258" s="62">
        <f t="shared" si="220"/>
        <v>25</v>
      </c>
      <c r="F258" s="62">
        <f t="shared" si="220"/>
        <v>25</v>
      </c>
      <c r="G258" s="62">
        <f t="shared" si="220"/>
        <v>25</v>
      </c>
      <c r="H258" s="62">
        <f t="shared" si="220"/>
        <v>25</v>
      </c>
      <c r="I258" s="62">
        <f t="shared" si="220"/>
        <v>25</v>
      </c>
      <c r="J258" s="62">
        <f t="shared" si="220"/>
        <v>25</v>
      </c>
      <c r="K258" s="62">
        <f t="shared" si="220"/>
        <v>25</v>
      </c>
      <c r="L258" s="62">
        <f t="shared" si="220"/>
        <v>25</v>
      </c>
      <c r="M258" s="62">
        <f t="shared" si="221"/>
        <v>25</v>
      </c>
      <c r="N258" s="62">
        <f t="shared" si="221"/>
        <v>25</v>
      </c>
      <c r="O258" s="62">
        <f t="shared" si="221"/>
        <v>25</v>
      </c>
      <c r="P258" s="62">
        <f t="shared" si="221"/>
        <v>25</v>
      </c>
      <c r="Q258" s="62">
        <f t="shared" si="221"/>
        <v>25</v>
      </c>
      <c r="R258" s="62">
        <f t="shared" si="221"/>
        <v>25</v>
      </c>
      <c r="S258" s="62">
        <f t="shared" si="221"/>
        <v>25</v>
      </c>
      <c r="T258" s="62">
        <f t="shared" si="221"/>
        <v>25</v>
      </c>
      <c r="U258" s="62">
        <f t="shared" si="221"/>
        <v>25</v>
      </c>
      <c r="V258" s="62">
        <f t="shared" si="221"/>
        <v>25</v>
      </c>
      <c r="W258" s="62">
        <f t="shared" si="222"/>
        <v>25</v>
      </c>
      <c r="X258" s="62">
        <f t="shared" si="222"/>
        <v>25</v>
      </c>
      <c r="Y258" s="62">
        <f t="shared" si="222"/>
        <v>25</v>
      </c>
      <c r="Z258" s="62">
        <f t="shared" si="222"/>
        <v>25</v>
      </c>
      <c r="AA258" s="62">
        <f t="shared" si="222"/>
        <v>25</v>
      </c>
      <c r="AB258" s="62">
        <f t="shared" si="222"/>
        <v>25</v>
      </c>
      <c r="AC258" s="62">
        <f t="shared" si="222"/>
        <v>25</v>
      </c>
    </row>
    <row r="259" spans="1:29" x14ac:dyDescent="0.25">
      <c r="A259" s="30" t="str">
        <f t="shared" si="189"/>
        <v>Market failure (av. utilization)</v>
      </c>
      <c r="B259" s="62">
        <f t="shared" ref="B259:K260" si="223">($B239+($C239-$B239)*(1-Q239))*B$44</f>
        <v>15.333333333333336</v>
      </c>
      <c r="C259" s="62">
        <f t="shared" si="223"/>
        <v>15.333333333333336</v>
      </c>
      <c r="D259" s="62">
        <f t="shared" si="223"/>
        <v>15.333333333333336</v>
      </c>
      <c r="E259" s="62">
        <f t="shared" si="223"/>
        <v>15.333333333333336</v>
      </c>
      <c r="F259" s="62">
        <f t="shared" si="223"/>
        <v>15.333333333333336</v>
      </c>
      <c r="G259" s="62">
        <f t="shared" si="223"/>
        <v>15.333333333333336</v>
      </c>
      <c r="H259" s="62">
        <f t="shared" si="223"/>
        <v>15.333333333333336</v>
      </c>
      <c r="I259" s="62">
        <f t="shared" si="223"/>
        <v>15.333333333333336</v>
      </c>
      <c r="J259" s="62">
        <f t="shared" si="223"/>
        <v>15.333333333333336</v>
      </c>
      <c r="K259" s="62">
        <f t="shared" si="223"/>
        <v>15.333333333333336</v>
      </c>
      <c r="L259" s="62">
        <f t="shared" ref="L259:U260" si="224">($B239+($C239-$B239)*(1-AA239))*L$44</f>
        <v>15.333333333333336</v>
      </c>
      <c r="M259" s="62">
        <f t="shared" si="224"/>
        <v>15.333333333333336</v>
      </c>
      <c r="N259" s="62">
        <f t="shared" si="224"/>
        <v>15.333333333333336</v>
      </c>
      <c r="O259" s="62">
        <f t="shared" si="224"/>
        <v>15.333333333333336</v>
      </c>
      <c r="P259" s="62">
        <f t="shared" si="224"/>
        <v>15.333333333333336</v>
      </c>
      <c r="Q259" s="62">
        <f t="shared" si="224"/>
        <v>15.333333333333336</v>
      </c>
      <c r="R259" s="62">
        <f t="shared" si="224"/>
        <v>15.333333333333336</v>
      </c>
      <c r="S259" s="62">
        <f t="shared" si="224"/>
        <v>15.333333333333336</v>
      </c>
      <c r="T259" s="62">
        <f t="shared" si="224"/>
        <v>15.333333333333336</v>
      </c>
      <c r="U259" s="62">
        <f t="shared" si="224"/>
        <v>15.333333333333336</v>
      </c>
      <c r="V259" s="62">
        <f t="shared" ref="V259:AC260" si="225">($B239+($C239-$B239)*(1-AK239))*V$44</f>
        <v>15.333333333333336</v>
      </c>
      <c r="W259" s="62">
        <f t="shared" si="225"/>
        <v>15.333333333333336</v>
      </c>
      <c r="X259" s="62">
        <f t="shared" si="225"/>
        <v>15.333333333333336</v>
      </c>
      <c r="Y259" s="62">
        <f t="shared" si="225"/>
        <v>15.333333333333336</v>
      </c>
      <c r="Z259" s="62">
        <f t="shared" si="225"/>
        <v>15.333333333333336</v>
      </c>
      <c r="AA259" s="62">
        <f t="shared" si="225"/>
        <v>15.333333333333336</v>
      </c>
      <c r="AB259" s="62">
        <f t="shared" si="225"/>
        <v>15.333333333333336</v>
      </c>
      <c r="AC259" s="62">
        <f t="shared" si="225"/>
        <v>15.333333333333336</v>
      </c>
    </row>
    <row r="260" spans="1:29" x14ac:dyDescent="0.25">
      <c r="A260" s="30" t="s">
        <v>73</v>
      </c>
      <c r="B260" s="62">
        <f t="shared" si="223"/>
        <v>0</v>
      </c>
      <c r="C260" s="62">
        <f t="shared" si="223"/>
        <v>0</v>
      </c>
      <c r="D260" s="62">
        <f t="shared" si="223"/>
        <v>0</v>
      </c>
      <c r="E260" s="62">
        <f t="shared" si="223"/>
        <v>0</v>
      </c>
      <c r="F260" s="62">
        <f t="shared" si="223"/>
        <v>0</v>
      </c>
      <c r="G260" s="62">
        <f t="shared" si="223"/>
        <v>0</v>
      </c>
      <c r="H260" s="62">
        <f t="shared" si="223"/>
        <v>0</v>
      </c>
      <c r="I260" s="62">
        <f t="shared" si="223"/>
        <v>0</v>
      </c>
      <c r="J260" s="62">
        <f t="shared" si="223"/>
        <v>0</v>
      </c>
      <c r="K260" s="62">
        <f t="shared" si="223"/>
        <v>0</v>
      </c>
      <c r="L260" s="62">
        <f t="shared" si="224"/>
        <v>0</v>
      </c>
      <c r="M260" s="62">
        <f t="shared" si="224"/>
        <v>0</v>
      </c>
      <c r="N260" s="62">
        <f t="shared" si="224"/>
        <v>0</v>
      </c>
      <c r="O260" s="62">
        <f t="shared" si="224"/>
        <v>0</v>
      </c>
      <c r="P260" s="62">
        <f t="shared" si="224"/>
        <v>0</v>
      </c>
      <c r="Q260" s="62">
        <f t="shared" si="224"/>
        <v>0</v>
      </c>
      <c r="R260" s="62">
        <f t="shared" si="224"/>
        <v>0</v>
      </c>
      <c r="S260" s="62">
        <f t="shared" si="224"/>
        <v>0</v>
      </c>
      <c r="T260" s="62">
        <f t="shared" si="224"/>
        <v>0</v>
      </c>
      <c r="U260" s="62">
        <f t="shared" si="224"/>
        <v>0</v>
      </c>
      <c r="V260" s="62">
        <f t="shared" si="225"/>
        <v>0</v>
      </c>
      <c r="W260" s="62">
        <f t="shared" si="225"/>
        <v>0</v>
      </c>
      <c r="X260" s="62">
        <f t="shared" si="225"/>
        <v>0</v>
      </c>
      <c r="Y260" s="62">
        <f t="shared" si="225"/>
        <v>0</v>
      </c>
      <c r="Z260" s="62">
        <f t="shared" si="225"/>
        <v>0</v>
      </c>
      <c r="AA260" s="62">
        <f t="shared" si="225"/>
        <v>0</v>
      </c>
      <c r="AB260" s="62">
        <f t="shared" si="225"/>
        <v>0</v>
      </c>
      <c r="AC260" s="62">
        <f t="shared" si="225"/>
        <v>0</v>
      </c>
    </row>
    <row r="261" spans="1:29" x14ac:dyDescent="0.25">
      <c r="A261" s="30" t="str">
        <f>A241</f>
        <v>Annual Mileage</v>
      </c>
      <c r="B261" s="62">
        <f t="shared" ref="B261" si="226">$B241+($C241-$B241)*(1-Q241)</f>
        <v>105000</v>
      </c>
      <c r="C261" s="62">
        <f t="shared" ref="C261" si="227">$B241+($C241-$B241)*(1-R241)</f>
        <v>105000</v>
      </c>
      <c r="D261" s="62">
        <f t="shared" ref="D261" si="228">$B241+($C241-$B241)*(1-S241)</f>
        <v>105000</v>
      </c>
      <c r="E261" s="62">
        <f t="shared" ref="E261" si="229">$B241+($C241-$B241)*(1-T241)</f>
        <v>105000</v>
      </c>
      <c r="F261" s="62">
        <f t="shared" ref="F261" si="230">$B241+($C241-$B241)*(1-U241)</f>
        <v>105000</v>
      </c>
      <c r="G261" s="62">
        <f t="shared" ref="G261" si="231">$B241+($C241-$B241)*(1-V241)</f>
        <v>105000</v>
      </c>
      <c r="H261" s="62">
        <f t="shared" ref="H261" si="232">$B241+($C241-$B241)*(1-W241)</f>
        <v>105000</v>
      </c>
      <c r="I261" s="62">
        <f t="shared" ref="I261" si="233">$B241+($C241-$B241)*(1-X241)</f>
        <v>105000</v>
      </c>
      <c r="J261" s="62">
        <f t="shared" ref="J261" si="234">$B241+($C241-$B241)*(1-Y241)</f>
        <v>105000</v>
      </c>
      <c r="K261" s="62">
        <f t="shared" ref="K261" si="235">$B241+($C241-$B241)*(1-Z241)</f>
        <v>105000</v>
      </c>
      <c r="L261" s="62">
        <f t="shared" ref="L261" si="236">$B241+($C241-$B241)*(1-AA241)</f>
        <v>105000</v>
      </c>
      <c r="M261" s="62">
        <f t="shared" ref="M261" si="237">$B241+($C241-$B241)*(1-AB241)</f>
        <v>105000</v>
      </c>
      <c r="N261" s="62">
        <f t="shared" ref="N261" si="238">$B241+($C241-$B241)*(1-AC241)</f>
        <v>105000</v>
      </c>
      <c r="O261" s="62">
        <f t="shared" ref="O261" si="239">$B241+($C241-$B241)*(1-AD241)</f>
        <v>105000</v>
      </c>
      <c r="P261" s="62">
        <f t="shared" ref="P261" si="240">$B241+($C241-$B241)*(1-AE241)</f>
        <v>105000</v>
      </c>
      <c r="Q261" s="62">
        <f t="shared" ref="Q261" si="241">$B241+($C241-$B241)*(1-AF241)</f>
        <v>105000</v>
      </c>
      <c r="R261" s="62">
        <f t="shared" ref="R261" si="242">$B241+($C241-$B241)*(1-AG241)</f>
        <v>105000</v>
      </c>
      <c r="S261" s="62">
        <f t="shared" ref="S261" si="243">$B241+($C241-$B241)*(1-AH241)</f>
        <v>105000</v>
      </c>
      <c r="T261" s="62">
        <f t="shared" ref="T261" si="244">$B241+($C241-$B241)*(1-AI241)</f>
        <v>105000</v>
      </c>
      <c r="U261" s="62">
        <f t="shared" ref="U261" si="245">$B241+($C241-$B241)*(1-AJ241)</f>
        <v>105000</v>
      </c>
      <c r="V261" s="62">
        <f t="shared" ref="V261" si="246">$B241+($C241-$B241)*(1-AK241)</f>
        <v>105000</v>
      </c>
      <c r="W261" s="62">
        <f t="shared" ref="W261" si="247">$B241+($C241-$B241)*(1-AL241)</f>
        <v>105000</v>
      </c>
      <c r="X261" s="62">
        <f t="shared" ref="X261" si="248">$B241+($C241-$B241)*(1-AM241)</f>
        <v>105000</v>
      </c>
      <c r="Y261" s="62">
        <f t="shared" ref="Y261" si="249">$B241+($C241-$B241)*(1-AN241)</f>
        <v>105000</v>
      </c>
      <c r="Z261" s="62">
        <f t="shared" ref="Z261" si="250">$B241+($C241-$B241)*(1-AO241)</f>
        <v>105000</v>
      </c>
      <c r="AA261" s="62">
        <f t="shared" ref="AA261" si="251">$B241+($C241-$B241)*(1-AP241)</f>
        <v>105000</v>
      </c>
      <c r="AB261" s="62">
        <f t="shared" ref="AB261" si="252">$B241+($C241-$B241)*(1-AQ241)</f>
        <v>105000</v>
      </c>
      <c r="AC261" s="62">
        <f t="shared" ref="AC261" si="253">$B241+($C241-$B241)*(1-AR241)</f>
        <v>105000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16930.034166116213</v>
      </c>
      <c r="C264" s="63">
        <f t="shared" ref="C264:AC264" si="254">((1+C249)^C256)*C249/(((1+C249)^C256)-1)*(C245)</f>
        <v>16939.137147822737</v>
      </c>
      <c r="D264" s="63">
        <f t="shared" si="254"/>
        <v>16952.062076917297</v>
      </c>
      <c r="E264" s="63">
        <f t="shared" si="254"/>
        <v>16970.330222186072</v>
      </c>
      <c r="F264" s="63">
        <f t="shared" si="254"/>
        <v>16995.97836855879</v>
      </c>
      <c r="G264" s="63">
        <f t="shared" si="254"/>
        <v>17031.638602582309</v>
      </c>
      <c r="H264" s="63">
        <f t="shared" si="254"/>
        <v>17080.52744937655</v>
      </c>
      <c r="I264" s="63">
        <f t="shared" si="254"/>
        <v>17146.228820750977</v>
      </c>
      <c r="J264" s="63">
        <f t="shared" si="254"/>
        <v>17232.113205708847</v>
      </c>
      <c r="K264" s="63">
        <f t="shared" si="254"/>
        <v>17340.270072218107</v>
      </c>
      <c r="L264" s="63">
        <f t="shared" si="254"/>
        <v>17470.055207385878</v>
      </c>
      <c r="M264" s="63">
        <f t="shared" si="254"/>
        <v>17616.812818916205</v>
      </c>
      <c r="N264" s="63">
        <f t="shared" si="254"/>
        <v>17771.744227277446</v>
      </c>
      <c r="O264" s="63">
        <f t="shared" si="254"/>
        <v>17923.62687531321</v>
      </c>
      <c r="P264" s="63">
        <f t="shared" si="254"/>
        <v>18061.888776104923</v>
      </c>
      <c r="Q264" s="63">
        <f t="shared" si="254"/>
        <v>18179.391702904584</v>
      </c>
      <c r="R264" s="63">
        <f t="shared" si="254"/>
        <v>18273.490503689198</v>
      </c>
      <c r="S264" s="63">
        <f t="shared" si="254"/>
        <v>18345.292065090671</v>
      </c>
      <c r="T264" s="63">
        <f t="shared" si="254"/>
        <v>18398.071971214304</v>
      </c>
      <c r="U264" s="63">
        <f t="shared" si="254"/>
        <v>18435.808840543512</v>
      </c>
      <c r="V264" s="63">
        <f t="shared" si="254"/>
        <v>18462.256812975615</v>
      </c>
      <c r="W264" s="63">
        <f t="shared" si="254"/>
        <v>18480.533987545627</v>
      </c>
      <c r="X264" s="63">
        <f t="shared" si="254"/>
        <v>18493.041968890429</v>
      </c>
      <c r="Y264" s="63">
        <f t="shared" si="254"/>
        <v>18501.544671484124</v>
      </c>
      <c r="Z264" s="63">
        <f t="shared" si="254"/>
        <v>18507.298355716259</v>
      </c>
      <c r="AA264" s="63">
        <f t="shared" si="254"/>
        <v>18511.179797106222</v>
      </c>
      <c r="AB264" s="63">
        <f t="shared" si="254"/>
        <v>18513.792764168582</v>
      </c>
      <c r="AC264" s="63">
        <f t="shared" si="254"/>
        <v>18515.549330276619</v>
      </c>
    </row>
    <row r="265" spans="1:29" x14ac:dyDescent="0.25">
      <c r="A265" s="30" t="str">
        <f>A246</f>
        <v>Residual value (vehicle)</v>
      </c>
      <c r="B265" s="62">
        <f>((1+B249)^B256)*B249/(((1+B249)^B256)-1)*(B246)</f>
        <v>-4208.0593252569806</v>
      </c>
      <c r="C265" s="62">
        <f t="shared" ref="C265:AC265" si="255">((1+C249)^C256)*C249/(((1+C249)^C256)-1)*(C246)</f>
        <v>-4199.866641721108</v>
      </c>
      <c r="D265" s="62">
        <f t="shared" si="255"/>
        <v>-4188.2342055360041</v>
      </c>
      <c r="E265" s="62">
        <f t="shared" si="255"/>
        <v>-4171.7928747941069</v>
      </c>
      <c r="F265" s="62">
        <f t="shared" si="255"/>
        <v>-4148.7095430586614</v>
      </c>
      <c r="G265" s="62">
        <f t="shared" si="255"/>
        <v>-4116.6153324374927</v>
      </c>
      <c r="H265" s="62">
        <f t="shared" si="255"/>
        <v>-4072.6153703226773</v>
      </c>
      <c r="I265" s="62">
        <f t="shared" si="255"/>
        <v>-4013.4841360856908</v>
      </c>
      <c r="J265" s="62">
        <f t="shared" si="255"/>
        <v>-3936.1881896236077</v>
      </c>
      <c r="K265" s="62">
        <f t="shared" si="255"/>
        <v>-3838.8470097652757</v>
      </c>
      <c r="L265" s="62">
        <f t="shared" si="255"/>
        <v>-3722.0403881142815</v>
      </c>
      <c r="M265" s="62">
        <f t="shared" si="255"/>
        <v>-3589.9585377369858</v>
      </c>
      <c r="N265" s="62">
        <f t="shared" si="255"/>
        <v>-3450.5202702118704</v>
      </c>
      <c r="O265" s="62">
        <f t="shared" si="255"/>
        <v>-3313.8258869796846</v>
      </c>
      <c r="P265" s="62">
        <f t="shared" si="255"/>
        <v>-3189.3901762671421</v>
      </c>
      <c r="Q265" s="62">
        <f t="shared" si="255"/>
        <v>-3083.6375421474468</v>
      </c>
      <c r="R265" s="62">
        <f t="shared" si="255"/>
        <v>-2998.9486214412941</v>
      </c>
      <c r="S265" s="62">
        <f t="shared" si="255"/>
        <v>-2934.3272161799682</v>
      </c>
      <c r="T265" s="62">
        <f t="shared" si="255"/>
        <v>-2886.8253006686996</v>
      </c>
      <c r="U265" s="62">
        <f t="shared" si="255"/>
        <v>-2852.8621182724105</v>
      </c>
      <c r="V265" s="62">
        <f t="shared" si="255"/>
        <v>-2829.0589430835184</v>
      </c>
      <c r="W265" s="62">
        <f t="shared" si="255"/>
        <v>-2812.6094859705067</v>
      </c>
      <c r="X265" s="62">
        <f t="shared" si="255"/>
        <v>-2801.3523027601836</v>
      </c>
      <c r="Y265" s="62">
        <f t="shared" si="255"/>
        <v>-2793.6998704258613</v>
      </c>
      <c r="Z265" s="62">
        <f t="shared" si="255"/>
        <v>-2788.5215546169388</v>
      </c>
      <c r="AA265" s="62">
        <f t="shared" si="255"/>
        <v>-2785.0282573659729</v>
      </c>
      <c r="AB265" s="62">
        <f t="shared" si="255"/>
        <v>-2782.6765870098498</v>
      </c>
      <c r="AC265" s="62">
        <f t="shared" si="255"/>
        <v>-2781.0956775126119</v>
      </c>
    </row>
    <row r="266" spans="1:29" x14ac:dyDescent="0.25">
      <c r="A266" s="30" t="str">
        <f>A247</f>
        <v>Capex costumization</v>
      </c>
      <c r="B266" s="62">
        <f>((1+B249)^B257)*B249/(((1+B249)^B257)-1)*(B247)</f>
        <v>4076.0387466115117</v>
      </c>
      <c r="C266" s="62">
        <f t="shared" ref="C266:AC266" si="256">((1+C249)^C257)*C249/(((1+C249)^C257)-1)*(C247)</f>
        <v>4076.0387466115117</v>
      </c>
      <c r="D266" s="62">
        <f t="shared" si="256"/>
        <v>4076.0387466115117</v>
      </c>
      <c r="E266" s="62">
        <f t="shared" si="256"/>
        <v>4076.0387466115117</v>
      </c>
      <c r="F266" s="62">
        <f t="shared" si="256"/>
        <v>4076.0387466115117</v>
      </c>
      <c r="G266" s="62">
        <f t="shared" si="256"/>
        <v>4076.0387466115117</v>
      </c>
      <c r="H266" s="62">
        <f t="shared" si="256"/>
        <v>4076.0387466115117</v>
      </c>
      <c r="I266" s="62">
        <f t="shared" si="256"/>
        <v>4076.0387466115117</v>
      </c>
      <c r="J266" s="62">
        <f t="shared" si="256"/>
        <v>4076.0387466115117</v>
      </c>
      <c r="K266" s="62">
        <f t="shared" si="256"/>
        <v>4076.0387466115117</v>
      </c>
      <c r="L266" s="62">
        <f t="shared" si="256"/>
        <v>4076.0387466115117</v>
      </c>
      <c r="M266" s="62">
        <f t="shared" si="256"/>
        <v>4076.0387466115117</v>
      </c>
      <c r="N266" s="62">
        <f t="shared" si="256"/>
        <v>4076.0387466115117</v>
      </c>
      <c r="O266" s="62">
        <f t="shared" si="256"/>
        <v>4076.0387466115117</v>
      </c>
      <c r="P266" s="62">
        <f t="shared" si="256"/>
        <v>4076.0387466115117</v>
      </c>
      <c r="Q266" s="62">
        <f t="shared" si="256"/>
        <v>4076.0387466115117</v>
      </c>
      <c r="R266" s="62">
        <f t="shared" si="256"/>
        <v>4076.0387466115117</v>
      </c>
      <c r="S266" s="62">
        <f t="shared" si="256"/>
        <v>4076.0387466115117</v>
      </c>
      <c r="T266" s="62">
        <f t="shared" si="256"/>
        <v>4076.0387466115117</v>
      </c>
      <c r="U266" s="62">
        <f t="shared" si="256"/>
        <v>4076.0387466115117</v>
      </c>
      <c r="V266" s="62">
        <f t="shared" si="256"/>
        <v>4076.0387466115117</v>
      </c>
      <c r="W266" s="62">
        <f t="shared" si="256"/>
        <v>4076.0387466115117</v>
      </c>
      <c r="X266" s="62">
        <f t="shared" si="256"/>
        <v>4076.0387466115117</v>
      </c>
      <c r="Y266" s="62">
        <f t="shared" si="256"/>
        <v>4076.0387466115117</v>
      </c>
      <c r="Z266" s="62">
        <f t="shared" si="256"/>
        <v>4076.0387466115117</v>
      </c>
      <c r="AA266" s="62">
        <f t="shared" si="256"/>
        <v>4076.0387466115117</v>
      </c>
      <c r="AB266" s="62">
        <f t="shared" si="256"/>
        <v>4076.0387466115117</v>
      </c>
      <c r="AC266" s="62">
        <f t="shared" si="256"/>
        <v>4076.0387466115117</v>
      </c>
    </row>
    <row r="267" spans="1:29" x14ac:dyDescent="0.25">
      <c r="A267" s="30" t="str">
        <f>A248</f>
        <v>Residual value (costumization)</v>
      </c>
      <c r="B267" s="62">
        <f>((1+B249)^B257)*B249/(((1+B249)^B257)-1)*(B248)</f>
        <v>-1019.0096866528779</v>
      </c>
      <c r="C267" s="62">
        <f t="shared" ref="C267:AC267" si="257">((1+C249)^C257)*C249/(((1+C249)^C257)-1)*(C248)</f>
        <v>-1019.0096866528779</v>
      </c>
      <c r="D267" s="62">
        <f t="shared" si="257"/>
        <v>-1019.0096866528779</v>
      </c>
      <c r="E267" s="62">
        <f t="shared" si="257"/>
        <v>-1019.0096866528779</v>
      </c>
      <c r="F267" s="62">
        <f t="shared" si="257"/>
        <v>-1019.0096866528779</v>
      </c>
      <c r="G267" s="62">
        <f t="shared" si="257"/>
        <v>-1019.0096866528779</v>
      </c>
      <c r="H267" s="62">
        <f t="shared" si="257"/>
        <v>-1019.0096866528779</v>
      </c>
      <c r="I267" s="62">
        <f t="shared" si="257"/>
        <v>-1019.0096866528779</v>
      </c>
      <c r="J267" s="62">
        <f t="shared" si="257"/>
        <v>-1019.0096866528779</v>
      </c>
      <c r="K267" s="62">
        <f t="shared" si="257"/>
        <v>-1019.0096866528779</v>
      </c>
      <c r="L267" s="62">
        <f t="shared" si="257"/>
        <v>-1019.0096866528779</v>
      </c>
      <c r="M267" s="62">
        <f t="shared" si="257"/>
        <v>-1019.0096866528779</v>
      </c>
      <c r="N267" s="62">
        <f t="shared" si="257"/>
        <v>-1019.0096866528779</v>
      </c>
      <c r="O267" s="62">
        <f t="shared" si="257"/>
        <v>-1019.0096866528779</v>
      </c>
      <c r="P267" s="62">
        <f t="shared" si="257"/>
        <v>-1019.0096866528779</v>
      </c>
      <c r="Q267" s="62">
        <f t="shared" si="257"/>
        <v>-1019.0096866528779</v>
      </c>
      <c r="R267" s="62">
        <f t="shared" si="257"/>
        <v>-1019.0096866528779</v>
      </c>
      <c r="S267" s="62">
        <f t="shared" si="257"/>
        <v>-1019.0096866528779</v>
      </c>
      <c r="T267" s="62">
        <f t="shared" si="257"/>
        <v>-1019.0096866528779</v>
      </c>
      <c r="U267" s="62">
        <f t="shared" si="257"/>
        <v>-1019.0096866528779</v>
      </c>
      <c r="V267" s="62">
        <f t="shared" si="257"/>
        <v>-1019.0096866528779</v>
      </c>
      <c r="W267" s="62">
        <f t="shared" si="257"/>
        <v>-1019.0096866528779</v>
      </c>
      <c r="X267" s="62">
        <f t="shared" si="257"/>
        <v>-1019.0096866528779</v>
      </c>
      <c r="Y267" s="62">
        <f t="shared" si="257"/>
        <v>-1019.0096866528779</v>
      </c>
      <c r="Z267" s="62">
        <f t="shared" si="257"/>
        <v>-1019.0096866528779</v>
      </c>
      <c r="AA267" s="62">
        <f t="shared" si="257"/>
        <v>-1019.0096866528779</v>
      </c>
      <c r="AB267" s="62">
        <f t="shared" si="257"/>
        <v>-1019.0096866528779</v>
      </c>
      <c r="AC267" s="62">
        <f t="shared" si="257"/>
        <v>-1019.0096866528779</v>
      </c>
    </row>
    <row r="268" spans="1:29" x14ac:dyDescent="0.25">
      <c r="A268" s="30" t="str">
        <f>A250</f>
        <v>Opex fix (admin, crew, insurance)</v>
      </c>
      <c r="B268" s="62">
        <f>B250</f>
        <v>70000</v>
      </c>
      <c r="C268" s="62">
        <f t="shared" ref="C268:AC268" si="258">C250</f>
        <v>70000</v>
      </c>
      <c r="D268" s="62">
        <f t="shared" si="258"/>
        <v>70000</v>
      </c>
      <c r="E268" s="62">
        <f t="shared" si="258"/>
        <v>70000</v>
      </c>
      <c r="F268" s="62">
        <f t="shared" si="258"/>
        <v>70000</v>
      </c>
      <c r="G268" s="62">
        <f t="shared" si="258"/>
        <v>70000</v>
      </c>
      <c r="H268" s="62">
        <f t="shared" si="258"/>
        <v>70000</v>
      </c>
      <c r="I268" s="62">
        <f t="shared" si="258"/>
        <v>70000</v>
      </c>
      <c r="J268" s="62">
        <f t="shared" si="258"/>
        <v>70000</v>
      </c>
      <c r="K268" s="62">
        <f t="shared" si="258"/>
        <v>70000</v>
      </c>
      <c r="L268" s="62">
        <f t="shared" si="258"/>
        <v>70000</v>
      </c>
      <c r="M268" s="62">
        <f t="shared" si="258"/>
        <v>70000</v>
      </c>
      <c r="N268" s="62">
        <f t="shared" si="258"/>
        <v>70000</v>
      </c>
      <c r="O268" s="62">
        <f t="shared" si="258"/>
        <v>70000</v>
      </c>
      <c r="P268" s="62">
        <f t="shared" si="258"/>
        <v>70000</v>
      </c>
      <c r="Q268" s="62">
        <f t="shared" si="258"/>
        <v>70000</v>
      </c>
      <c r="R268" s="62">
        <f t="shared" si="258"/>
        <v>70000</v>
      </c>
      <c r="S268" s="62">
        <f t="shared" si="258"/>
        <v>70000</v>
      </c>
      <c r="T268" s="62">
        <f t="shared" si="258"/>
        <v>70000</v>
      </c>
      <c r="U268" s="62">
        <f t="shared" si="258"/>
        <v>70000</v>
      </c>
      <c r="V268" s="62">
        <f t="shared" si="258"/>
        <v>70000</v>
      </c>
      <c r="W268" s="62">
        <f t="shared" si="258"/>
        <v>70000</v>
      </c>
      <c r="X268" s="62">
        <f t="shared" si="258"/>
        <v>70000</v>
      </c>
      <c r="Y268" s="62">
        <f t="shared" si="258"/>
        <v>70000</v>
      </c>
      <c r="Z268" s="62">
        <f t="shared" si="258"/>
        <v>70000</v>
      </c>
      <c r="AA268" s="62">
        <f t="shared" si="258"/>
        <v>70000</v>
      </c>
      <c r="AB268" s="62">
        <f t="shared" si="258"/>
        <v>70000</v>
      </c>
      <c r="AC268" s="62">
        <f t="shared" si="258"/>
        <v>70000</v>
      </c>
    </row>
    <row r="269" spans="1:29" x14ac:dyDescent="0.25">
      <c r="A269" s="30" t="str">
        <f>A251</f>
        <v>Opex maintenance &amp; repair</v>
      </c>
      <c r="B269" s="62">
        <f>B251</f>
        <v>20000</v>
      </c>
      <c r="C269" s="62">
        <f t="shared" ref="C269:AC269" si="259">C251</f>
        <v>20000</v>
      </c>
      <c r="D269" s="62">
        <f t="shared" si="259"/>
        <v>20000</v>
      </c>
      <c r="E269" s="62">
        <f t="shared" si="259"/>
        <v>20000</v>
      </c>
      <c r="F269" s="62">
        <f t="shared" si="259"/>
        <v>20000</v>
      </c>
      <c r="G269" s="62">
        <f t="shared" si="259"/>
        <v>20000</v>
      </c>
      <c r="H269" s="62">
        <f t="shared" si="259"/>
        <v>20000</v>
      </c>
      <c r="I269" s="62">
        <f t="shared" si="259"/>
        <v>20000</v>
      </c>
      <c r="J269" s="62">
        <f t="shared" si="259"/>
        <v>20000</v>
      </c>
      <c r="K269" s="62">
        <f t="shared" si="259"/>
        <v>20000</v>
      </c>
      <c r="L269" s="62">
        <f t="shared" si="259"/>
        <v>20000</v>
      </c>
      <c r="M269" s="62">
        <f t="shared" si="259"/>
        <v>20000</v>
      </c>
      <c r="N269" s="62">
        <f t="shared" si="259"/>
        <v>20000</v>
      </c>
      <c r="O269" s="62">
        <f t="shared" si="259"/>
        <v>20000</v>
      </c>
      <c r="P269" s="62">
        <f t="shared" si="259"/>
        <v>20000</v>
      </c>
      <c r="Q269" s="62">
        <f t="shared" si="259"/>
        <v>20000</v>
      </c>
      <c r="R269" s="62">
        <f t="shared" si="259"/>
        <v>20000</v>
      </c>
      <c r="S269" s="62">
        <f t="shared" si="259"/>
        <v>20000</v>
      </c>
      <c r="T269" s="62">
        <f t="shared" si="259"/>
        <v>20000</v>
      </c>
      <c r="U269" s="62">
        <f t="shared" si="259"/>
        <v>20000</v>
      </c>
      <c r="V269" s="62">
        <f t="shared" si="259"/>
        <v>20000</v>
      </c>
      <c r="W269" s="62">
        <f t="shared" si="259"/>
        <v>20000</v>
      </c>
      <c r="X269" s="62">
        <f t="shared" si="259"/>
        <v>20000</v>
      </c>
      <c r="Y269" s="62">
        <f t="shared" si="259"/>
        <v>20000</v>
      </c>
      <c r="Z269" s="62">
        <f t="shared" si="259"/>
        <v>20000</v>
      </c>
      <c r="AA269" s="62">
        <f t="shared" si="259"/>
        <v>20000</v>
      </c>
      <c r="AB269" s="62">
        <f t="shared" si="259"/>
        <v>20000</v>
      </c>
      <c r="AC269" s="62">
        <f t="shared" si="259"/>
        <v>20000</v>
      </c>
    </row>
    <row r="270" spans="1:29" x14ac:dyDescent="0.25">
      <c r="A270" s="30" t="str">
        <f>A252</f>
        <v>Opex var (mode-fees)</v>
      </c>
      <c r="B270" s="62">
        <f>B252*B261</f>
        <v>11550</v>
      </c>
      <c r="C270" s="62">
        <f t="shared" ref="C270:AC270" si="260">C252*C261</f>
        <v>11550</v>
      </c>
      <c r="D270" s="62">
        <f t="shared" si="260"/>
        <v>11550</v>
      </c>
      <c r="E270" s="62">
        <f t="shared" si="260"/>
        <v>11550</v>
      </c>
      <c r="F270" s="62">
        <f t="shared" si="260"/>
        <v>11550</v>
      </c>
      <c r="G270" s="62">
        <f t="shared" si="260"/>
        <v>11550</v>
      </c>
      <c r="H270" s="62">
        <f t="shared" si="260"/>
        <v>11550</v>
      </c>
      <c r="I270" s="62">
        <f t="shared" si="260"/>
        <v>11550</v>
      </c>
      <c r="J270" s="62">
        <f t="shared" si="260"/>
        <v>11550</v>
      </c>
      <c r="K270" s="62">
        <f t="shared" si="260"/>
        <v>11550</v>
      </c>
      <c r="L270" s="62">
        <f t="shared" si="260"/>
        <v>11550</v>
      </c>
      <c r="M270" s="62">
        <f t="shared" si="260"/>
        <v>11550</v>
      </c>
      <c r="N270" s="62">
        <f t="shared" si="260"/>
        <v>11550</v>
      </c>
      <c r="O270" s="62">
        <f t="shared" si="260"/>
        <v>11550</v>
      </c>
      <c r="P270" s="62">
        <f t="shared" si="260"/>
        <v>11550</v>
      </c>
      <c r="Q270" s="62">
        <f t="shared" si="260"/>
        <v>11550</v>
      </c>
      <c r="R270" s="62">
        <f t="shared" si="260"/>
        <v>11550</v>
      </c>
      <c r="S270" s="62">
        <f t="shared" si="260"/>
        <v>11550</v>
      </c>
      <c r="T270" s="62">
        <f t="shared" si="260"/>
        <v>11550</v>
      </c>
      <c r="U270" s="62">
        <f t="shared" si="260"/>
        <v>11550</v>
      </c>
      <c r="V270" s="62">
        <f t="shared" si="260"/>
        <v>11550</v>
      </c>
      <c r="W270" s="62">
        <f t="shared" si="260"/>
        <v>11550</v>
      </c>
      <c r="X270" s="62">
        <f t="shared" si="260"/>
        <v>11550</v>
      </c>
      <c r="Y270" s="62">
        <f t="shared" si="260"/>
        <v>11550</v>
      </c>
      <c r="Z270" s="62">
        <f t="shared" si="260"/>
        <v>11550</v>
      </c>
      <c r="AA270" s="62">
        <f t="shared" si="260"/>
        <v>11550</v>
      </c>
      <c r="AB270" s="62">
        <f t="shared" si="260"/>
        <v>11550</v>
      </c>
      <c r="AC270" s="62">
        <f t="shared" si="260"/>
        <v>11550</v>
      </c>
    </row>
    <row r="271" spans="1:29" x14ac:dyDescent="0.25">
      <c r="A271" s="30" t="str">
        <f>A254</f>
        <v>Fuel Cost</v>
      </c>
      <c r="B271" s="62">
        <f>B253*B254*B261</f>
        <v>30380.688773267895</v>
      </c>
      <c r="C271" s="62">
        <f t="shared" ref="C271:AC271" si="261">C253*C254*C261</f>
        <v>30351.011762550061</v>
      </c>
      <c r="D271" s="62">
        <f t="shared" si="261"/>
        <v>30308.874661583282</v>
      </c>
      <c r="E271" s="62">
        <f t="shared" si="261"/>
        <v>30249.317918483626</v>
      </c>
      <c r="F271" s="62">
        <f t="shared" si="261"/>
        <v>30165.701325664351</v>
      </c>
      <c r="G271" s="62">
        <f t="shared" si="261"/>
        <v>30049.443907882425</v>
      </c>
      <c r="H271" s="62">
        <f t="shared" si="261"/>
        <v>29890.059337302064</v>
      </c>
      <c r="I271" s="62">
        <f t="shared" si="261"/>
        <v>29675.863553402171</v>
      </c>
      <c r="J271" s="62">
        <f t="shared" si="261"/>
        <v>29395.868284262757</v>
      </c>
      <c r="K271" s="62">
        <f t="shared" si="261"/>
        <v>29043.261568124653</v>
      </c>
      <c r="L271" s="62">
        <f t="shared" si="261"/>
        <v>28620.143630336297</v>
      </c>
      <c r="M271" s="62">
        <f t="shared" si="261"/>
        <v>28141.693013744603</v>
      </c>
      <c r="N271" s="62">
        <f t="shared" si="261"/>
        <v>27636.594660842227</v>
      </c>
      <c r="O271" s="62">
        <f t="shared" si="261"/>
        <v>27141.435698765006</v>
      </c>
      <c r="P271" s="62">
        <f t="shared" si="261"/>
        <v>26690.68230345464</v>
      </c>
      <c r="Q271" s="62">
        <f t="shared" si="261"/>
        <v>26307.606105958679</v>
      </c>
      <c r="R271" s="62">
        <f t="shared" si="261"/>
        <v>26000.830676824407</v>
      </c>
      <c r="S271" s="62">
        <f t="shared" si="261"/>
        <v>25766.747408729774</v>
      </c>
      <c r="T271" s="62">
        <f t="shared" si="261"/>
        <v>25594.677433174984</v>
      </c>
      <c r="U271" s="62">
        <f t="shared" si="261"/>
        <v>25471.649889931887</v>
      </c>
      <c r="V271" s="62">
        <f t="shared" si="261"/>
        <v>25385.425750783066</v>
      </c>
      <c r="W271" s="62">
        <f t="shared" si="261"/>
        <v>25325.839570881453</v>
      </c>
      <c r="X271" s="62">
        <f t="shared" si="261"/>
        <v>25285.061778681549</v>
      </c>
      <c r="Y271" s="62">
        <f t="shared" si="261"/>
        <v>25257.341762961569</v>
      </c>
      <c r="Z271" s="62">
        <f t="shared" si="261"/>
        <v>25238.583936775696</v>
      </c>
      <c r="AA271" s="62">
        <f t="shared" si="261"/>
        <v>25225.929887647155</v>
      </c>
      <c r="AB271" s="62">
        <f t="shared" si="261"/>
        <v>25217.411244633804</v>
      </c>
      <c r="AC271" s="62">
        <f t="shared" si="261"/>
        <v>25211.684590127006</v>
      </c>
    </row>
    <row r="272" spans="1:29" ht="15.75" thickBot="1" x14ac:dyDescent="0.3">
      <c r="A272" s="59" t="str">
        <f>A235</f>
        <v>Emission Cost</v>
      </c>
      <c r="B272" s="62">
        <f>B255*B261</f>
        <v>8152.1078917256045</v>
      </c>
      <c r="C272" s="62">
        <f t="shared" ref="C272:AC272" si="262">C255*C261</f>
        <v>8166.7371602643407</v>
      </c>
      <c r="D272" s="62">
        <f t="shared" si="262"/>
        <v>8187.6786323368551</v>
      </c>
      <c r="E272" s="62">
        <f t="shared" si="262"/>
        <v>8217.6368808067382</v>
      </c>
      <c r="F272" s="62">
        <f t="shared" si="262"/>
        <v>8260.4538284859318</v>
      </c>
      <c r="G272" s="62">
        <f t="shared" si="262"/>
        <v>8321.562865950249</v>
      </c>
      <c r="H272" s="62">
        <f t="shared" si="262"/>
        <v>8408.5971269873407</v>
      </c>
      <c r="I272" s="62">
        <f t="shared" si="262"/>
        <v>8532.173301143057</v>
      </c>
      <c r="J272" s="62">
        <f t="shared" si="262"/>
        <v>8706.8363484000129</v>
      </c>
      <c r="K272" s="62">
        <f t="shared" si="262"/>
        <v>8952.060115566379</v>
      </c>
      <c r="L272" s="62">
        <f t="shared" si="262"/>
        <v>9293.010170911668</v>
      </c>
      <c r="M272" s="62">
        <f t="shared" si="262"/>
        <v>9760.4399418231187</v>
      </c>
      <c r="N272" s="62">
        <f t="shared" si="262"/>
        <v>10388.615466178841</v>
      </c>
      <c r="O272" s="62">
        <f t="shared" si="262"/>
        <v>11209.762231098215</v>
      </c>
      <c r="P272" s="62">
        <f t="shared" si="262"/>
        <v>12243.857789696669</v>
      </c>
      <c r="Q272" s="62">
        <f t="shared" si="262"/>
        <v>13484.742776297157</v>
      </c>
      <c r="R272" s="62">
        <f t="shared" si="262"/>
        <v>14887.902826806201</v>
      </c>
      <c r="S272" s="62">
        <f t="shared" si="262"/>
        <v>16369.213135107773</v>
      </c>
      <c r="T272" s="62">
        <f t="shared" si="262"/>
        <v>17821.374027255191</v>
      </c>
      <c r="U272" s="62">
        <f t="shared" si="262"/>
        <v>19143.305978009823</v>
      </c>
      <c r="V272" s="62">
        <f t="shared" si="262"/>
        <v>20266.759889421428</v>
      </c>
      <c r="W272" s="62">
        <f t="shared" si="262"/>
        <v>21166.445273266021</v>
      </c>
      <c r="X272" s="62">
        <f t="shared" si="262"/>
        <v>21852.945152026303</v>
      </c>
      <c r="Y272" s="62">
        <f t="shared" si="262"/>
        <v>22357.577620284981</v>
      </c>
      <c r="Z272" s="62">
        <f t="shared" si="262"/>
        <v>22718.382534741391</v>
      </c>
      <c r="AA272" s="62">
        <f t="shared" si="262"/>
        <v>22971.253496231664</v>
      </c>
      <c r="AB272" s="62">
        <f t="shared" si="262"/>
        <v>23146.002873285426</v>
      </c>
      <c r="AC272" s="62">
        <f t="shared" si="262"/>
        <v>23265.592580098782</v>
      </c>
    </row>
    <row r="273" spans="1:29" ht="15.75" thickBot="1" x14ac:dyDescent="0.3">
      <c r="A273" s="31" t="s">
        <v>209</v>
      </c>
      <c r="B273" s="64">
        <f>B264+B265+B266+B267+B268+B269+B270+B271+B272</f>
        <v>155861.80056581137</v>
      </c>
      <c r="C273" s="64">
        <f t="shared" ref="C273:AC273" si="263">C264+C265+C266+C267+C268+C269+C270+C271+C272</f>
        <v>155864.04848887466</v>
      </c>
      <c r="D273" s="64">
        <f t="shared" si="263"/>
        <v>155867.41022526004</v>
      </c>
      <c r="E273" s="64">
        <f t="shared" si="263"/>
        <v>155872.52120664096</v>
      </c>
      <c r="F273" s="64">
        <f t="shared" si="263"/>
        <v>155880.45303960904</v>
      </c>
      <c r="G273" s="64">
        <f t="shared" si="263"/>
        <v>155893.05910393613</v>
      </c>
      <c r="H273" s="64">
        <f t="shared" si="263"/>
        <v>155913.59760330193</v>
      </c>
      <c r="I273" s="64">
        <f t="shared" si="263"/>
        <v>155947.81059916914</v>
      </c>
      <c r="J273" s="64">
        <f t="shared" si="263"/>
        <v>156005.65870870664</v>
      </c>
      <c r="K273" s="64">
        <f t="shared" si="263"/>
        <v>156103.77380610249</v>
      </c>
      <c r="L273" s="64">
        <f t="shared" si="263"/>
        <v>156268.19768047819</v>
      </c>
      <c r="M273" s="64">
        <f t="shared" si="263"/>
        <v>156536.01629670558</v>
      </c>
      <c r="N273" s="64">
        <f t="shared" si="263"/>
        <v>156953.46314404526</v>
      </c>
      <c r="O273" s="64">
        <f t="shared" si="263"/>
        <v>157568.02797815538</v>
      </c>
      <c r="P273" s="64">
        <f t="shared" si="263"/>
        <v>158414.06775294771</v>
      </c>
      <c r="Q273" s="64">
        <f t="shared" si="263"/>
        <v>159495.13210297161</v>
      </c>
      <c r="R273" s="64">
        <f t="shared" si="263"/>
        <v>160770.30444583716</v>
      </c>
      <c r="S273" s="64">
        <f t="shared" si="263"/>
        <v>162153.95445270688</v>
      </c>
      <c r="T273" s="64">
        <f t="shared" si="263"/>
        <v>163534.32719093442</v>
      </c>
      <c r="U273" s="64">
        <f t="shared" si="263"/>
        <v>164804.93165017146</v>
      </c>
      <c r="V273" s="64">
        <f t="shared" si="263"/>
        <v>165892.41257005522</v>
      </c>
      <c r="W273" s="64">
        <f t="shared" si="263"/>
        <v>166767.23840568124</v>
      </c>
      <c r="X273" s="64">
        <f t="shared" si="263"/>
        <v>167436.72565679674</v>
      </c>
      <c r="Y273" s="64">
        <f t="shared" si="263"/>
        <v>167929.79324426345</v>
      </c>
      <c r="Z273" s="64">
        <f t="shared" si="263"/>
        <v>168282.77233257503</v>
      </c>
      <c r="AA273" s="64">
        <f t="shared" si="263"/>
        <v>168530.3639835777</v>
      </c>
      <c r="AB273" s="64">
        <f t="shared" si="263"/>
        <v>168701.55935503659</v>
      </c>
      <c r="AC273" s="64">
        <f t="shared" si="263"/>
        <v>168818.75988294842</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64">A264</f>
        <v>Capex vehicle</v>
      </c>
      <c r="B276" s="65">
        <f>((1+B249)^B256)*B249/(((1+B249)^B256)-1)*(B245)/B261</f>
        <v>0.16123842062967822</v>
      </c>
      <c r="C276" s="65">
        <f t="shared" ref="C276:AC276" si="265">((1+C249)^C256)*C249/(((1+C249)^C256)-1)*(C245)/C261</f>
        <v>0.16132511569354988</v>
      </c>
      <c r="D276" s="65">
        <f t="shared" si="265"/>
        <v>0.1614482102563552</v>
      </c>
      <c r="E276" s="65">
        <f t="shared" si="265"/>
        <v>0.1616221925922483</v>
      </c>
      <c r="F276" s="65">
        <f t="shared" si="265"/>
        <v>0.16186646065294086</v>
      </c>
      <c r="G276" s="65">
        <f t="shared" si="265"/>
        <v>0.16220608192935532</v>
      </c>
      <c r="H276" s="65">
        <f t="shared" si="265"/>
        <v>0.16267168999406237</v>
      </c>
      <c r="I276" s="65">
        <f t="shared" si="265"/>
        <v>0.1632974173404855</v>
      </c>
      <c r="J276" s="65">
        <f t="shared" si="265"/>
        <v>0.16411536386389378</v>
      </c>
      <c r="K276" s="65">
        <f t="shared" si="265"/>
        <v>0.16514542925922007</v>
      </c>
      <c r="L276" s="65">
        <f t="shared" si="265"/>
        <v>0.1663814781655798</v>
      </c>
      <c r="M276" s="65">
        <f t="shared" si="265"/>
        <v>0.16777916970396387</v>
      </c>
      <c r="N276" s="65">
        <f t="shared" si="265"/>
        <v>0.16925470692645186</v>
      </c>
      <c r="O276" s="65">
        <f t="shared" si="265"/>
        <v>0.17070120833631627</v>
      </c>
      <c r="P276" s="65">
        <f t="shared" si="265"/>
        <v>0.1720179883438564</v>
      </c>
      <c r="Q276" s="65">
        <f t="shared" si="265"/>
        <v>0.17313706383718652</v>
      </c>
      <c r="R276" s="65">
        <f t="shared" si="265"/>
        <v>0.17403324289227806</v>
      </c>
      <c r="S276" s="65">
        <f t="shared" si="265"/>
        <v>0.17471706728657782</v>
      </c>
      <c r="T276" s="65">
        <f t="shared" si="265"/>
        <v>0.17521973305918384</v>
      </c>
      <c r="U276" s="65">
        <f t="shared" si="265"/>
        <v>0.17557913181470011</v>
      </c>
      <c r="V276" s="65">
        <f t="shared" si="265"/>
        <v>0.17583101726643444</v>
      </c>
      <c r="W276" s="65">
        <f t="shared" si="265"/>
        <v>0.17600508559567263</v>
      </c>
      <c r="X276" s="65">
        <f t="shared" si="265"/>
        <v>0.17612420922752789</v>
      </c>
      <c r="Y276" s="65">
        <f t="shared" si="265"/>
        <v>0.17620518734746785</v>
      </c>
      <c r="Z276" s="65">
        <f t="shared" si="265"/>
        <v>0.17625998434015486</v>
      </c>
      <c r="AA276" s="65">
        <f t="shared" si="265"/>
        <v>0.1762969504486307</v>
      </c>
      <c r="AB276" s="65">
        <f t="shared" si="265"/>
        <v>0.17632183584922459</v>
      </c>
      <c r="AC276" s="65">
        <f t="shared" si="265"/>
        <v>0.17633856505025353</v>
      </c>
    </row>
    <row r="277" spans="1:29" x14ac:dyDescent="0.25">
      <c r="A277" s="30" t="str">
        <f t="shared" si="264"/>
        <v>Residual value (vehicle)</v>
      </c>
      <c r="B277" s="66">
        <f>((1+B249)^B256)*B249/(((1+B249)^B256)-1)*(B246)/B261</f>
        <v>-4.0076755478637913E-2</v>
      </c>
      <c r="C277" s="66">
        <f t="shared" ref="C277:AC277" si="266">((1+C249)^C256)*C249/(((1+C249)^C256)-1)*(C246)/C261</f>
        <v>-3.9998729921153407E-2</v>
      </c>
      <c r="D277" s="66">
        <f t="shared" si="266"/>
        <v>-3.9887944814628609E-2</v>
      </c>
      <c r="E277" s="66">
        <f t="shared" si="266"/>
        <v>-3.9731360712324824E-2</v>
      </c>
      <c r="F277" s="66">
        <f t="shared" si="266"/>
        <v>-3.9511519457701538E-2</v>
      </c>
      <c r="G277" s="66">
        <f t="shared" si="266"/>
        <v>-3.9205860308928503E-2</v>
      </c>
      <c r="H277" s="66">
        <f t="shared" si="266"/>
        <v>-3.8786813050692162E-2</v>
      </c>
      <c r="I277" s="66">
        <f t="shared" si="266"/>
        <v>-3.8223658438911338E-2</v>
      </c>
      <c r="J277" s="66">
        <f t="shared" si="266"/>
        <v>-3.748750656784388E-2</v>
      </c>
      <c r="K277" s="66">
        <f t="shared" si="266"/>
        <v>-3.6560447712050248E-2</v>
      </c>
      <c r="L277" s="66">
        <f t="shared" si="266"/>
        <v>-3.5448003696326488E-2</v>
      </c>
      <c r="M277" s="66">
        <f t="shared" si="266"/>
        <v>-3.4190081311780821E-2</v>
      </c>
      <c r="N277" s="66">
        <f t="shared" si="266"/>
        <v>-3.2862097811541625E-2</v>
      </c>
      <c r="O277" s="66">
        <f t="shared" si="266"/>
        <v>-3.1560246542663664E-2</v>
      </c>
      <c r="P277" s="66">
        <f t="shared" si="266"/>
        <v>-3.0375144535877543E-2</v>
      </c>
      <c r="Q277" s="66">
        <f t="shared" si="266"/>
        <v>-2.9367976591880444E-2</v>
      </c>
      <c r="R277" s="66">
        <f t="shared" si="266"/>
        <v>-2.8561415442298038E-2</v>
      </c>
      <c r="S277" s="66">
        <f t="shared" si="266"/>
        <v>-2.794597348742827E-2</v>
      </c>
      <c r="T277" s="66">
        <f t="shared" si="266"/>
        <v>-2.7493574292082854E-2</v>
      </c>
      <c r="U277" s="66">
        <f t="shared" si="266"/>
        <v>-2.7170115412118195E-2</v>
      </c>
      <c r="V277" s="66">
        <f t="shared" si="266"/>
        <v>-2.6943418505557318E-2</v>
      </c>
      <c r="W277" s="66">
        <f t="shared" si="266"/>
        <v>-2.678675700924292E-2</v>
      </c>
      <c r="X277" s="66">
        <f t="shared" si="266"/>
        <v>-2.6679545740573178E-2</v>
      </c>
      <c r="Y277" s="66">
        <f t="shared" si="266"/>
        <v>-2.6606665432627252E-2</v>
      </c>
      <c r="Z277" s="66">
        <f t="shared" si="266"/>
        <v>-2.6557348139208941E-2</v>
      </c>
      <c r="AA277" s="66">
        <f t="shared" si="266"/>
        <v>-2.6524078641580694E-2</v>
      </c>
      <c r="AB277" s="66">
        <f t="shared" si="266"/>
        <v>-2.6501681781046189E-2</v>
      </c>
      <c r="AC277" s="66">
        <f t="shared" si="266"/>
        <v>-2.6486625500120115E-2</v>
      </c>
    </row>
    <row r="278" spans="1:29" x14ac:dyDescent="0.25">
      <c r="A278" s="30" t="str">
        <f t="shared" si="264"/>
        <v>Capex costumization</v>
      </c>
      <c r="B278" s="66">
        <f>((1+B249)^B257)*B249/(((1+B249)^B257)-1)*(B247)/B261</f>
        <v>3.8819416634395351E-2</v>
      </c>
      <c r="C278" s="66">
        <f t="shared" ref="C278:AC278" si="267">((1+C249)^C257)*C249/(((1+C249)^C257)-1)*(C247)/C261</f>
        <v>3.8819416634395351E-2</v>
      </c>
      <c r="D278" s="66">
        <f t="shared" si="267"/>
        <v>3.8819416634395351E-2</v>
      </c>
      <c r="E278" s="66">
        <f t="shared" si="267"/>
        <v>3.8819416634395351E-2</v>
      </c>
      <c r="F278" s="66">
        <f t="shared" si="267"/>
        <v>3.8819416634395351E-2</v>
      </c>
      <c r="G278" s="66">
        <f t="shared" si="267"/>
        <v>3.8819416634395351E-2</v>
      </c>
      <c r="H278" s="66">
        <f t="shared" si="267"/>
        <v>3.8819416634395351E-2</v>
      </c>
      <c r="I278" s="66">
        <f t="shared" si="267"/>
        <v>3.8819416634395351E-2</v>
      </c>
      <c r="J278" s="66">
        <f t="shared" si="267"/>
        <v>3.8819416634395351E-2</v>
      </c>
      <c r="K278" s="66">
        <f t="shared" si="267"/>
        <v>3.8819416634395351E-2</v>
      </c>
      <c r="L278" s="66">
        <f t="shared" si="267"/>
        <v>3.8819416634395351E-2</v>
      </c>
      <c r="M278" s="66">
        <f t="shared" si="267"/>
        <v>3.8819416634395351E-2</v>
      </c>
      <c r="N278" s="66">
        <f t="shared" si="267"/>
        <v>3.8819416634395351E-2</v>
      </c>
      <c r="O278" s="66">
        <f t="shared" si="267"/>
        <v>3.8819416634395351E-2</v>
      </c>
      <c r="P278" s="66">
        <f t="shared" si="267"/>
        <v>3.8819416634395351E-2</v>
      </c>
      <c r="Q278" s="66">
        <f t="shared" si="267"/>
        <v>3.8819416634395351E-2</v>
      </c>
      <c r="R278" s="66">
        <f t="shared" si="267"/>
        <v>3.8819416634395351E-2</v>
      </c>
      <c r="S278" s="66">
        <f t="shared" si="267"/>
        <v>3.8819416634395351E-2</v>
      </c>
      <c r="T278" s="66">
        <f t="shared" si="267"/>
        <v>3.8819416634395351E-2</v>
      </c>
      <c r="U278" s="66">
        <f t="shared" si="267"/>
        <v>3.8819416634395351E-2</v>
      </c>
      <c r="V278" s="66">
        <f t="shared" si="267"/>
        <v>3.8819416634395351E-2</v>
      </c>
      <c r="W278" s="66">
        <f t="shared" si="267"/>
        <v>3.8819416634395351E-2</v>
      </c>
      <c r="X278" s="66">
        <f t="shared" si="267"/>
        <v>3.8819416634395351E-2</v>
      </c>
      <c r="Y278" s="66">
        <f t="shared" si="267"/>
        <v>3.8819416634395351E-2</v>
      </c>
      <c r="Z278" s="66">
        <f t="shared" si="267"/>
        <v>3.8819416634395351E-2</v>
      </c>
      <c r="AA278" s="66">
        <f t="shared" si="267"/>
        <v>3.8819416634395351E-2</v>
      </c>
      <c r="AB278" s="66">
        <f t="shared" si="267"/>
        <v>3.8819416634395351E-2</v>
      </c>
      <c r="AC278" s="66">
        <f t="shared" si="267"/>
        <v>3.8819416634395351E-2</v>
      </c>
    </row>
    <row r="279" spans="1:29" x14ac:dyDescent="0.25">
      <c r="A279" s="30" t="str">
        <f t="shared" si="264"/>
        <v>Residual value (costumization)</v>
      </c>
      <c r="B279" s="66">
        <f>((1+B249)^B257)*B249/(((1+B249)^B257)-1)*(B248)/B261</f>
        <v>-9.7048541585988378E-3</v>
      </c>
      <c r="C279" s="66">
        <f t="shared" ref="C279:AC279" si="268">((1+C249)^C257)*C249/(((1+C249)^C257)-1)*(C248)/C261</f>
        <v>-9.7048541585988378E-3</v>
      </c>
      <c r="D279" s="66">
        <f t="shared" si="268"/>
        <v>-9.7048541585988378E-3</v>
      </c>
      <c r="E279" s="66">
        <f t="shared" si="268"/>
        <v>-9.7048541585988378E-3</v>
      </c>
      <c r="F279" s="66">
        <f t="shared" si="268"/>
        <v>-9.7048541585988378E-3</v>
      </c>
      <c r="G279" s="66">
        <f t="shared" si="268"/>
        <v>-9.7048541585988378E-3</v>
      </c>
      <c r="H279" s="66">
        <f t="shared" si="268"/>
        <v>-9.7048541585988378E-3</v>
      </c>
      <c r="I279" s="66">
        <f t="shared" si="268"/>
        <v>-9.7048541585988378E-3</v>
      </c>
      <c r="J279" s="66">
        <f t="shared" si="268"/>
        <v>-9.7048541585988378E-3</v>
      </c>
      <c r="K279" s="66">
        <f t="shared" si="268"/>
        <v>-9.7048541585988378E-3</v>
      </c>
      <c r="L279" s="66">
        <f t="shared" si="268"/>
        <v>-9.7048541585988378E-3</v>
      </c>
      <c r="M279" s="66">
        <f t="shared" si="268"/>
        <v>-9.7048541585988378E-3</v>
      </c>
      <c r="N279" s="66">
        <f t="shared" si="268"/>
        <v>-9.7048541585988378E-3</v>
      </c>
      <c r="O279" s="66">
        <f t="shared" si="268"/>
        <v>-9.7048541585988378E-3</v>
      </c>
      <c r="P279" s="66">
        <f t="shared" si="268"/>
        <v>-9.7048541585988378E-3</v>
      </c>
      <c r="Q279" s="66">
        <f t="shared" si="268"/>
        <v>-9.7048541585988378E-3</v>
      </c>
      <c r="R279" s="66">
        <f t="shared" si="268"/>
        <v>-9.7048541585988378E-3</v>
      </c>
      <c r="S279" s="66">
        <f t="shared" si="268"/>
        <v>-9.7048541585988378E-3</v>
      </c>
      <c r="T279" s="66">
        <f t="shared" si="268"/>
        <v>-9.7048541585988378E-3</v>
      </c>
      <c r="U279" s="66">
        <f t="shared" si="268"/>
        <v>-9.7048541585988378E-3</v>
      </c>
      <c r="V279" s="66">
        <f t="shared" si="268"/>
        <v>-9.7048541585988378E-3</v>
      </c>
      <c r="W279" s="66">
        <f t="shared" si="268"/>
        <v>-9.7048541585988378E-3</v>
      </c>
      <c r="X279" s="66">
        <f t="shared" si="268"/>
        <v>-9.7048541585988378E-3</v>
      </c>
      <c r="Y279" s="66">
        <f t="shared" si="268"/>
        <v>-9.7048541585988378E-3</v>
      </c>
      <c r="Z279" s="66">
        <f t="shared" si="268"/>
        <v>-9.7048541585988378E-3</v>
      </c>
      <c r="AA279" s="66">
        <f t="shared" si="268"/>
        <v>-9.7048541585988378E-3</v>
      </c>
      <c r="AB279" s="66">
        <f t="shared" si="268"/>
        <v>-9.7048541585988378E-3</v>
      </c>
      <c r="AC279" s="66">
        <f t="shared" si="268"/>
        <v>-9.7048541585988378E-3</v>
      </c>
    </row>
    <row r="280" spans="1:29" x14ac:dyDescent="0.25">
      <c r="A280" s="30" t="str">
        <f t="shared" si="264"/>
        <v>Opex fix (admin, crew, insurance)</v>
      </c>
      <c r="B280" s="66">
        <f>B250/B261</f>
        <v>0.66666666666666663</v>
      </c>
      <c r="C280" s="66">
        <f t="shared" ref="C280:AC280" si="269">C250/C261</f>
        <v>0.66666666666666663</v>
      </c>
      <c r="D280" s="66">
        <f t="shared" si="269"/>
        <v>0.66666666666666663</v>
      </c>
      <c r="E280" s="66">
        <f t="shared" si="269"/>
        <v>0.66666666666666663</v>
      </c>
      <c r="F280" s="66">
        <f t="shared" si="269"/>
        <v>0.66666666666666663</v>
      </c>
      <c r="G280" s="66">
        <f t="shared" si="269"/>
        <v>0.66666666666666663</v>
      </c>
      <c r="H280" s="66">
        <f t="shared" si="269"/>
        <v>0.66666666666666663</v>
      </c>
      <c r="I280" s="66">
        <f t="shared" si="269"/>
        <v>0.66666666666666663</v>
      </c>
      <c r="J280" s="66">
        <f t="shared" si="269"/>
        <v>0.66666666666666663</v>
      </c>
      <c r="K280" s="66">
        <f t="shared" si="269"/>
        <v>0.66666666666666663</v>
      </c>
      <c r="L280" s="66">
        <f t="shared" si="269"/>
        <v>0.66666666666666663</v>
      </c>
      <c r="M280" s="66">
        <f t="shared" si="269"/>
        <v>0.66666666666666663</v>
      </c>
      <c r="N280" s="66">
        <f t="shared" si="269"/>
        <v>0.66666666666666663</v>
      </c>
      <c r="O280" s="66">
        <f t="shared" si="269"/>
        <v>0.66666666666666663</v>
      </c>
      <c r="P280" s="66">
        <f t="shared" si="269"/>
        <v>0.66666666666666663</v>
      </c>
      <c r="Q280" s="66">
        <f t="shared" si="269"/>
        <v>0.66666666666666663</v>
      </c>
      <c r="R280" s="66">
        <f t="shared" si="269"/>
        <v>0.66666666666666663</v>
      </c>
      <c r="S280" s="66">
        <f t="shared" si="269"/>
        <v>0.66666666666666663</v>
      </c>
      <c r="T280" s="66">
        <f t="shared" si="269"/>
        <v>0.66666666666666663</v>
      </c>
      <c r="U280" s="66">
        <f t="shared" si="269"/>
        <v>0.66666666666666663</v>
      </c>
      <c r="V280" s="66">
        <f t="shared" si="269"/>
        <v>0.66666666666666663</v>
      </c>
      <c r="W280" s="66">
        <f t="shared" si="269"/>
        <v>0.66666666666666663</v>
      </c>
      <c r="X280" s="66">
        <f t="shared" si="269"/>
        <v>0.66666666666666663</v>
      </c>
      <c r="Y280" s="66">
        <f t="shared" si="269"/>
        <v>0.66666666666666663</v>
      </c>
      <c r="Z280" s="66">
        <f t="shared" si="269"/>
        <v>0.66666666666666663</v>
      </c>
      <c r="AA280" s="66">
        <f t="shared" si="269"/>
        <v>0.66666666666666663</v>
      </c>
      <c r="AB280" s="66">
        <f t="shared" si="269"/>
        <v>0.66666666666666663</v>
      </c>
      <c r="AC280" s="66">
        <f t="shared" si="269"/>
        <v>0.66666666666666663</v>
      </c>
    </row>
    <row r="281" spans="1:29" x14ac:dyDescent="0.25">
      <c r="A281" s="30" t="str">
        <f t="shared" si="264"/>
        <v>Opex maintenance &amp; repair</v>
      </c>
      <c r="B281" s="66">
        <f>B251/B261</f>
        <v>0.19047619047619047</v>
      </c>
      <c r="C281" s="66">
        <f t="shared" ref="C281:AC281" si="270">C251/C261</f>
        <v>0.19047619047619047</v>
      </c>
      <c r="D281" s="66">
        <f t="shared" si="270"/>
        <v>0.19047619047619047</v>
      </c>
      <c r="E281" s="66">
        <f t="shared" si="270"/>
        <v>0.19047619047619047</v>
      </c>
      <c r="F281" s="66">
        <f t="shared" si="270"/>
        <v>0.19047619047619047</v>
      </c>
      <c r="G281" s="66">
        <f t="shared" si="270"/>
        <v>0.19047619047619047</v>
      </c>
      <c r="H281" s="66">
        <f t="shared" si="270"/>
        <v>0.19047619047619047</v>
      </c>
      <c r="I281" s="66">
        <f t="shared" si="270"/>
        <v>0.19047619047619047</v>
      </c>
      <c r="J281" s="66">
        <f t="shared" si="270"/>
        <v>0.19047619047619047</v>
      </c>
      <c r="K281" s="66">
        <f t="shared" si="270"/>
        <v>0.19047619047619047</v>
      </c>
      <c r="L281" s="66">
        <f t="shared" si="270"/>
        <v>0.19047619047619047</v>
      </c>
      <c r="M281" s="66">
        <f t="shared" si="270"/>
        <v>0.19047619047619047</v>
      </c>
      <c r="N281" s="66">
        <f t="shared" si="270"/>
        <v>0.19047619047619047</v>
      </c>
      <c r="O281" s="66">
        <f t="shared" si="270"/>
        <v>0.19047619047619047</v>
      </c>
      <c r="P281" s="66">
        <f t="shared" si="270"/>
        <v>0.19047619047619047</v>
      </c>
      <c r="Q281" s="66">
        <f t="shared" si="270"/>
        <v>0.19047619047619047</v>
      </c>
      <c r="R281" s="66">
        <f t="shared" si="270"/>
        <v>0.19047619047619047</v>
      </c>
      <c r="S281" s="66">
        <f t="shared" si="270"/>
        <v>0.19047619047619047</v>
      </c>
      <c r="T281" s="66">
        <f t="shared" si="270"/>
        <v>0.19047619047619047</v>
      </c>
      <c r="U281" s="66">
        <f t="shared" si="270"/>
        <v>0.19047619047619047</v>
      </c>
      <c r="V281" s="66">
        <f t="shared" si="270"/>
        <v>0.19047619047619047</v>
      </c>
      <c r="W281" s="66">
        <f t="shared" si="270"/>
        <v>0.19047619047619047</v>
      </c>
      <c r="X281" s="66">
        <f t="shared" si="270"/>
        <v>0.19047619047619047</v>
      </c>
      <c r="Y281" s="66">
        <f t="shared" si="270"/>
        <v>0.19047619047619047</v>
      </c>
      <c r="Z281" s="66">
        <f t="shared" si="270"/>
        <v>0.19047619047619047</v>
      </c>
      <c r="AA281" s="66">
        <f t="shared" si="270"/>
        <v>0.19047619047619047</v>
      </c>
      <c r="AB281" s="66">
        <f t="shared" si="270"/>
        <v>0.19047619047619047</v>
      </c>
      <c r="AC281" s="66">
        <f t="shared" si="270"/>
        <v>0.19047619047619047</v>
      </c>
    </row>
    <row r="282" spans="1:29" x14ac:dyDescent="0.25">
      <c r="A282" s="30" t="str">
        <f t="shared" si="264"/>
        <v>Opex var (mode-fees)</v>
      </c>
      <c r="B282" s="66">
        <f>B252*B261/B261</f>
        <v>0.11</v>
      </c>
      <c r="C282" s="66">
        <f t="shared" ref="C282:AC282" si="271">C252*C261/C261</f>
        <v>0.11</v>
      </c>
      <c r="D282" s="66">
        <f t="shared" si="271"/>
        <v>0.11</v>
      </c>
      <c r="E282" s="66">
        <f t="shared" si="271"/>
        <v>0.11</v>
      </c>
      <c r="F282" s="66">
        <f t="shared" si="271"/>
        <v>0.11</v>
      </c>
      <c r="G282" s="66">
        <f t="shared" si="271"/>
        <v>0.11</v>
      </c>
      <c r="H282" s="66">
        <f t="shared" si="271"/>
        <v>0.11</v>
      </c>
      <c r="I282" s="66">
        <f t="shared" si="271"/>
        <v>0.11</v>
      </c>
      <c r="J282" s="66">
        <f t="shared" si="271"/>
        <v>0.11</v>
      </c>
      <c r="K282" s="66">
        <f t="shared" si="271"/>
        <v>0.11</v>
      </c>
      <c r="L282" s="66">
        <f t="shared" si="271"/>
        <v>0.11</v>
      </c>
      <c r="M282" s="66">
        <f t="shared" si="271"/>
        <v>0.11</v>
      </c>
      <c r="N282" s="66">
        <f t="shared" si="271"/>
        <v>0.11</v>
      </c>
      <c r="O282" s="66">
        <f t="shared" si="271"/>
        <v>0.11</v>
      </c>
      <c r="P282" s="66">
        <f t="shared" si="271"/>
        <v>0.11</v>
      </c>
      <c r="Q282" s="66">
        <f t="shared" si="271"/>
        <v>0.11</v>
      </c>
      <c r="R282" s="66">
        <f t="shared" si="271"/>
        <v>0.11</v>
      </c>
      <c r="S282" s="66">
        <f t="shared" si="271"/>
        <v>0.11</v>
      </c>
      <c r="T282" s="66">
        <f t="shared" si="271"/>
        <v>0.11</v>
      </c>
      <c r="U282" s="66">
        <f t="shared" si="271"/>
        <v>0.11</v>
      </c>
      <c r="V282" s="66">
        <f t="shared" si="271"/>
        <v>0.11</v>
      </c>
      <c r="W282" s="66">
        <f t="shared" si="271"/>
        <v>0.11</v>
      </c>
      <c r="X282" s="66">
        <f t="shared" si="271"/>
        <v>0.11</v>
      </c>
      <c r="Y282" s="66">
        <f t="shared" si="271"/>
        <v>0.11</v>
      </c>
      <c r="Z282" s="66">
        <f t="shared" si="271"/>
        <v>0.11</v>
      </c>
      <c r="AA282" s="66">
        <f t="shared" si="271"/>
        <v>0.11</v>
      </c>
      <c r="AB282" s="66">
        <f t="shared" si="271"/>
        <v>0.11</v>
      </c>
      <c r="AC282" s="66">
        <f t="shared" si="271"/>
        <v>0.11</v>
      </c>
    </row>
    <row r="283" spans="1:29" x14ac:dyDescent="0.25">
      <c r="A283" s="30" t="str">
        <f t="shared" si="264"/>
        <v>Fuel Cost</v>
      </c>
      <c r="B283" s="66">
        <f>B253*B254*B261/B261</f>
        <v>0.28933989307874186</v>
      </c>
      <c r="C283" s="66">
        <f t="shared" ref="C283:AC283" si="272">C253*C254*C261/C261</f>
        <v>0.28905725488142914</v>
      </c>
      <c r="D283" s="66">
        <f t="shared" si="272"/>
        <v>0.28865594915793602</v>
      </c>
      <c r="E283" s="66">
        <f t="shared" si="272"/>
        <v>0.28808874208079643</v>
      </c>
      <c r="F283" s="66">
        <f t="shared" si="272"/>
        <v>0.28729239357775571</v>
      </c>
      <c r="G283" s="66">
        <f t="shared" si="272"/>
        <v>0.28618518007507071</v>
      </c>
      <c r="H283" s="66">
        <f t="shared" si="272"/>
        <v>0.28466723178382919</v>
      </c>
      <c r="I283" s="66">
        <f t="shared" si="272"/>
        <v>0.28262727193716353</v>
      </c>
      <c r="J283" s="66">
        <f t="shared" si="272"/>
        <v>0.27996065032631196</v>
      </c>
      <c r="K283" s="66">
        <f t="shared" si="272"/>
        <v>0.27660249112499669</v>
      </c>
      <c r="L283" s="66">
        <f t="shared" si="272"/>
        <v>0.27257279647939331</v>
      </c>
      <c r="M283" s="66">
        <f t="shared" si="272"/>
        <v>0.26801612394042479</v>
      </c>
      <c r="N283" s="66">
        <f t="shared" si="272"/>
        <v>0.26320566343659263</v>
      </c>
      <c r="O283" s="66">
        <f t="shared" si="272"/>
        <v>0.25848986379776195</v>
      </c>
      <c r="P283" s="66">
        <f t="shared" si="272"/>
        <v>0.2541969743186156</v>
      </c>
      <c r="Q283" s="66">
        <f t="shared" si="272"/>
        <v>0.25054862958055885</v>
      </c>
      <c r="R283" s="66">
        <f t="shared" si="272"/>
        <v>0.24762695882689911</v>
      </c>
      <c r="S283" s="66">
        <f t="shared" si="272"/>
        <v>0.245397594368855</v>
      </c>
      <c r="T283" s="66">
        <f t="shared" si="272"/>
        <v>0.2437588326969046</v>
      </c>
      <c r="U283" s="66">
        <f t="shared" si="272"/>
        <v>0.24258714180887511</v>
      </c>
      <c r="V283" s="66">
        <f t="shared" si="272"/>
        <v>0.24176595953126731</v>
      </c>
      <c r="W283" s="66">
        <f t="shared" si="272"/>
        <v>0.24119847210363288</v>
      </c>
      <c r="X283" s="66">
        <f t="shared" si="272"/>
        <v>0.24081011217791951</v>
      </c>
      <c r="Y283" s="66">
        <f t="shared" si="272"/>
        <v>0.24054611202820542</v>
      </c>
      <c r="Z283" s="66">
        <f t="shared" si="272"/>
        <v>0.24036746606453044</v>
      </c>
      <c r="AA283" s="66">
        <f t="shared" si="272"/>
        <v>0.24024695131092527</v>
      </c>
      <c r="AB283" s="66">
        <f t="shared" si="272"/>
        <v>0.24016582137746481</v>
      </c>
      <c r="AC283" s="66">
        <f t="shared" si="272"/>
        <v>0.24011128181073338</v>
      </c>
    </row>
    <row r="284" spans="1:29" ht="15.75" thickBot="1" x14ac:dyDescent="0.3">
      <c r="A284" s="59" t="str">
        <f>A235</f>
        <v>Emission Cost</v>
      </c>
      <c r="B284" s="66">
        <f>B255</f>
        <v>7.7639122778339092E-2</v>
      </c>
      <c r="C284" s="66">
        <f t="shared" ref="C284:AC284" si="273">C255</f>
        <v>7.777844914537467E-2</v>
      </c>
      <c r="D284" s="66">
        <f t="shared" si="273"/>
        <v>7.7977891736541474E-2</v>
      </c>
      <c r="E284" s="66">
        <f t="shared" si="273"/>
        <v>7.8263208388635597E-2</v>
      </c>
      <c r="F284" s="66">
        <f t="shared" si="273"/>
        <v>7.8670988842723152E-2</v>
      </c>
      <c r="G284" s="66">
        <f t="shared" si="273"/>
        <v>7.925297967571665E-2</v>
      </c>
      <c r="H284" s="66">
        <f t="shared" si="273"/>
        <v>8.0081877399879431E-2</v>
      </c>
      <c r="I284" s="66">
        <f t="shared" si="273"/>
        <v>8.1258793344219593E-2</v>
      </c>
      <c r="J284" s="66">
        <f t="shared" si="273"/>
        <v>8.2922250937142977E-2</v>
      </c>
      <c r="K284" s="66">
        <f t="shared" si="273"/>
        <v>8.5257715386346467E-2</v>
      </c>
      <c r="L284" s="66">
        <f t="shared" si="273"/>
        <v>8.8504858770587308E-2</v>
      </c>
      <c r="M284" s="66">
        <f t="shared" si="273"/>
        <v>9.2956570874505887E-2</v>
      </c>
      <c r="N284" s="66">
        <f t="shared" si="273"/>
        <v>9.8939194915988959E-2</v>
      </c>
      <c r="O284" s="66">
        <f t="shared" si="273"/>
        <v>0.10675964029617348</v>
      </c>
      <c r="P284" s="66">
        <f t="shared" si="273"/>
        <v>0.11660816942568256</v>
      </c>
      <c r="Q284" s="66">
        <f t="shared" si="273"/>
        <v>0.12842612167902054</v>
      </c>
      <c r="R284" s="66">
        <f t="shared" si="273"/>
        <v>0.14178955073148763</v>
      </c>
      <c r="S284" s="66">
        <f t="shared" si="273"/>
        <v>0.15589726795340736</v>
      </c>
      <c r="T284" s="66">
        <f t="shared" si="273"/>
        <v>0.16972737168814467</v>
      </c>
      <c r="U284" s="66">
        <f t="shared" si="273"/>
        <v>0.18231719979056973</v>
      </c>
      <c r="V284" s="66">
        <f t="shared" si="273"/>
        <v>0.19301676085163266</v>
      </c>
      <c r="W284" s="66">
        <f t="shared" si="273"/>
        <v>0.20158519307872402</v>
      </c>
      <c r="X284" s="66">
        <f t="shared" si="273"/>
        <v>0.20812328716215528</v>
      </c>
      <c r="Y284" s="66">
        <f t="shared" si="273"/>
        <v>0.21292931066938076</v>
      </c>
      <c r="Z284" s="66">
        <f t="shared" si="273"/>
        <v>0.21636554794991802</v>
      </c>
      <c r="AA284" s="66">
        <f t="shared" si="273"/>
        <v>0.21877384282125395</v>
      </c>
      <c r="AB284" s="66">
        <f t="shared" si="273"/>
        <v>0.22043812260271833</v>
      </c>
      <c r="AC284" s="66">
        <f t="shared" si="273"/>
        <v>0.22157707219141698</v>
      </c>
    </row>
    <row r="285" spans="1:29" ht="15.75" thickBot="1" x14ac:dyDescent="0.3">
      <c r="A285" s="31" t="s">
        <v>63</v>
      </c>
      <c r="B285" s="76">
        <f>B276+B277+B278-B279+B280+B281+B282+B283+B284</f>
        <v>1.5038078089439726</v>
      </c>
      <c r="C285" s="76">
        <f t="shared" ref="C285:AC285" si="274">C276+C277+C278-C279+C280+C281+C282+C283+C284</f>
        <v>1.5038292177350516</v>
      </c>
      <c r="D285" s="76">
        <f t="shared" si="274"/>
        <v>1.5038612342720554</v>
      </c>
      <c r="E285" s="76">
        <f t="shared" si="274"/>
        <v>1.5039099102852069</v>
      </c>
      <c r="F285" s="76">
        <f t="shared" si="274"/>
        <v>1.5039854515515696</v>
      </c>
      <c r="G285" s="76">
        <f t="shared" si="274"/>
        <v>1.5041055093070657</v>
      </c>
      <c r="H285" s="76">
        <f t="shared" si="274"/>
        <v>1.5043011140629303</v>
      </c>
      <c r="I285" s="76">
        <f t="shared" si="274"/>
        <v>1.5046269521188087</v>
      </c>
      <c r="J285" s="76">
        <f t="shared" si="274"/>
        <v>1.5051778864953562</v>
      </c>
      <c r="K285" s="76">
        <f t="shared" si="274"/>
        <v>1.5061123159943643</v>
      </c>
      <c r="L285" s="76">
        <f t="shared" si="274"/>
        <v>1.5076782576550853</v>
      </c>
      <c r="M285" s="76">
        <f t="shared" si="274"/>
        <v>1.5102289111429652</v>
      </c>
      <c r="N285" s="76">
        <f t="shared" si="274"/>
        <v>1.5142045954033434</v>
      </c>
      <c r="O285" s="76">
        <f t="shared" si="274"/>
        <v>1.5200575938234395</v>
      </c>
      <c r="P285" s="76">
        <f t="shared" si="274"/>
        <v>1.5281151154881285</v>
      </c>
      <c r="Q285" s="76">
        <f t="shared" si="274"/>
        <v>1.5384109664407368</v>
      </c>
      <c r="R285" s="76">
        <f t="shared" si="274"/>
        <v>1.5505554649442181</v>
      </c>
      <c r="S285" s="76">
        <f t="shared" si="274"/>
        <v>1.5637330840572634</v>
      </c>
      <c r="T285" s="76">
        <f t="shared" si="274"/>
        <v>1.5768794910880017</v>
      </c>
      <c r="U285" s="76">
        <f t="shared" si="274"/>
        <v>1.5889804859378782</v>
      </c>
      <c r="V285" s="76">
        <f t="shared" si="274"/>
        <v>1.5993374470796284</v>
      </c>
      <c r="W285" s="76">
        <f t="shared" si="274"/>
        <v>1.6076691217046379</v>
      </c>
      <c r="X285" s="76">
        <f t="shared" si="274"/>
        <v>1.614045190762881</v>
      </c>
      <c r="Y285" s="76">
        <f t="shared" si="274"/>
        <v>1.618741072548278</v>
      </c>
      <c r="Z285" s="76">
        <f t="shared" si="274"/>
        <v>1.6221027781512458</v>
      </c>
      <c r="AA285" s="76">
        <f t="shared" si="274"/>
        <v>1.6244607938750808</v>
      </c>
      <c r="AB285" s="76">
        <f t="shared" si="274"/>
        <v>1.6260912259842131</v>
      </c>
      <c r="AC285" s="76">
        <f t="shared" si="274"/>
        <v>1.6272074214881351</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75">A264</f>
        <v>Capex vehicle</v>
      </c>
      <c r="B288" s="65">
        <f>((1+B249)^B256)*B249/(((1+B249)^B256)-1)*(B245)/B261/(B258)</f>
        <v>6.4495368251871292E-3</v>
      </c>
      <c r="C288" s="65">
        <f t="shared" ref="C288:AC288" si="276">((1+C249)^C256)*C249/(((1+C249)^C256)-1)*(C245)/C261/(C258)</f>
        <v>6.4530046277419947E-3</v>
      </c>
      <c r="D288" s="65">
        <f t="shared" si="276"/>
        <v>6.4579284102542081E-3</v>
      </c>
      <c r="E288" s="65">
        <f t="shared" si="276"/>
        <v>6.4648877036899317E-3</v>
      </c>
      <c r="F288" s="65">
        <f t="shared" si="276"/>
        <v>6.4746584261176346E-3</v>
      </c>
      <c r="G288" s="65">
        <f t="shared" si="276"/>
        <v>6.4882432771742127E-3</v>
      </c>
      <c r="H288" s="65">
        <f t="shared" si="276"/>
        <v>6.5068675997624944E-3</v>
      </c>
      <c r="I288" s="65">
        <f t="shared" si="276"/>
        <v>6.5318966936194203E-3</v>
      </c>
      <c r="J288" s="65">
        <f t="shared" si="276"/>
        <v>6.564614554555751E-3</v>
      </c>
      <c r="K288" s="65">
        <f t="shared" si="276"/>
        <v>6.6058171703688032E-3</v>
      </c>
      <c r="L288" s="65">
        <f t="shared" si="276"/>
        <v>6.6552591266231921E-3</v>
      </c>
      <c r="M288" s="65">
        <f t="shared" si="276"/>
        <v>6.7111667881585542E-3</v>
      </c>
      <c r="N288" s="65">
        <f t="shared" si="276"/>
        <v>6.7701882770580743E-3</v>
      </c>
      <c r="O288" s="65">
        <f t="shared" si="276"/>
        <v>6.8280483334526507E-3</v>
      </c>
      <c r="P288" s="65">
        <f t="shared" si="276"/>
        <v>6.8807195337542556E-3</v>
      </c>
      <c r="Q288" s="65">
        <f t="shared" si="276"/>
        <v>6.9254825534874609E-3</v>
      </c>
      <c r="R288" s="65">
        <f t="shared" si="276"/>
        <v>6.9613297156911223E-3</v>
      </c>
      <c r="S288" s="65">
        <f t="shared" si="276"/>
        <v>6.9886826914631129E-3</v>
      </c>
      <c r="T288" s="65">
        <f t="shared" si="276"/>
        <v>7.0087893223673538E-3</v>
      </c>
      <c r="U288" s="65">
        <f t="shared" si="276"/>
        <v>7.0231652725880047E-3</v>
      </c>
      <c r="V288" s="65">
        <f t="shared" si="276"/>
        <v>7.0332406906573773E-3</v>
      </c>
      <c r="W288" s="65">
        <f t="shared" si="276"/>
        <v>7.0402034238269051E-3</v>
      </c>
      <c r="X288" s="65">
        <f t="shared" si="276"/>
        <v>7.0449683691011155E-3</v>
      </c>
      <c r="Y288" s="65">
        <f t="shared" si="276"/>
        <v>7.0482074938987135E-3</v>
      </c>
      <c r="Z288" s="65">
        <f t="shared" si="276"/>
        <v>7.0503993736061943E-3</v>
      </c>
      <c r="AA288" s="65">
        <f t="shared" si="276"/>
        <v>7.0518780179452279E-3</v>
      </c>
      <c r="AB288" s="65">
        <f t="shared" si="276"/>
        <v>7.0528734339689834E-3</v>
      </c>
      <c r="AC288" s="65">
        <f t="shared" si="276"/>
        <v>7.0535426020101408E-3</v>
      </c>
    </row>
    <row r="289" spans="1:29" x14ac:dyDescent="0.25">
      <c r="A289" s="30" t="str">
        <f t="shared" si="275"/>
        <v>Residual value (vehicle)</v>
      </c>
      <c r="B289" s="68">
        <f>((1+B249)^B256)*B249/(((1+B249)^B256)-1)*(B246)/B261/(B258)</f>
        <v>-1.6030702191455165E-3</v>
      </c>
      <c r="C289" s="68">
        <f t="shared" ref="C289:AC289" si="277">((1+C249)^C256)*C249/(((1+C249)^C256)-1)*(C246)/C261/(C258)</f>
        <v>-1.5999491968461362E-3</v>
      </c>
      <c r="D289" s="68">
        <f t="shared" si="277"/>
        <v>-1.5955177925851443E-3</v>
      </c>
      <c r="E289" s="68">
        <f t="shared" si="277"/>
        <v>-1.5892544284929931E-3</v>
      </c>
      <c r="F289" s="68">
        <f t="shared" si="277"/>
        <v>-1.5804607783080616E-3</v>
      </c>
      <c r="G289" s="68">
        <f t="shared" si="277"/>
        <v>-1.5682344123571401E-3</v>
      </c>
      <c r="H289" s="68">
        <f t="shared" si="277"/>
        <v>-1.5514725220276864E-3</v>
      </c>
      <c r="I289" s="68">
        <f t="shared" si="277"/>
        <v>-1.5289463375564535E-3</v>
      </c>
      <c r="J289" s="68">
        <f t="shared" si="277"/>
        <v>-1.4995002627137552E-3</v>
      </c>
      <c r="K289" s="68">
        <f t="shared" si="277"/>
        <v>-1.4624179084820098E-3</v>
      </c>
      <c r="L289" s="68">
        <f t="shared" si="277"/>
        <v>-1.4179201478530595E-3</v>
      </c>
      <c r="M289" s="68">
        <f t="shared" si="277"/>
        <v>-1.3676032524712327E-3</v>
      </c>
      <c r="N289" s="68">
        <f t="shared" si="277"/>
        <v>-1.314483912461665E-3</v>
      </c>
      <c r="O289" s="68">
        <f t="shared" si="277"/>
        <v>-1.2624098617065465E-3</v>
      </c>
      <c r="P289" s="68">
        <f t="shared" si="277"/>
        <v>-1.2150057814351016E-3</v>
      </c>
      <c r="Q289" s="68">
        <f t="shared" si="277"/>
        <v>-1.1747190636752177E-3</v>
      </c>
      <c r="R289" s="68">
        <f t="shared" si="277"/>
        <v>-1.1424566176919215E-3</v>
      </c>
      <c r="S289" s="68">
        <f t="shared" si="277"/>
        <v>-1.1178389394971308E-3</v>
      </c>
      <c r="T289" s="68">
        <f t="shared" si="277"/>
        <v>-1.0997429716833142E-3</v>
      </c>
      <c r="U289" s="68">
        <f t="shared" si="277"/>
        <v>-1.0868046164847279E-3</v>
      </c>
      <c r="V289" s="68">
        <f t="shared" si="277"/>
        <v>-1.0777367402222927E-3</v>
      </c>
      <c r="W289" s="68">
        <f t="shared" si="277"/>
        <v>-1.0714702803697167E-3</v>
      </c>
      <c r="X289" s="68">
        <f t="shared" si="277"/>
        <v>-1.0671818296229272E-3</v>
      </c>
      <c r="Y289" s="68">
        <f t="shared" si="277"/>
        <v>-1.06426661730509E-3</v>
      </c>
      <c r="Z289" s="68">
        <f t="shared" si="277"/>
        <v>-1.0622939255683576E-3</v>
      </c>
      <c r="AA289" s="68">
        <f t="shared" si="277"/>
        <v>-1.0609631456632278E-3</v>
      </c>
      <c r="AB289" s="68">
        <f t="shared" si="277"/>
        <v>-1.0600672712418476E-3</v>
      </c>
      <c r="AC289" s="68">
        <f t="shared" si="277"/>
        <v>-1.0594650200048046E-3</v>
      </c>
    </row>
    <row r="290" spans="1:29" x14ac:dyDescent="0.25">
      <c r="A290" s="30" t="str">
        <f t="shared" si="275"/>
        <v>Capex costumization</v>
      </c>
      <c r="B290" s="66">
        <f>((1+B249)^B257)*B249/(((1+B249)^B257)-1)*(B247)/B261/(B258)</f>
        <v>1.552776665375814E-3</v>
      </c>
      <c r="C290" s="66">
        <f t="shared" ref="C290:AC290" si="278">((1+C249)^C257)*C249/(((1+C249)^C257)-1)*(C247)/C261/(C258)</f>
        <v>1.552776665375814E-3</v>
      </c>
      <c r="D290" s="66">
        <f t="shared" si="278"/>
        <v>1.552776665375814E-3</v>
      </c>
      <c r="E290" s="66">
        <f t="shared" si="278"/>
        <v>1.552776665375814E-3</v>
      </c>
      <c r="F290" s="66">
        <f t="shared" si="278"/>
        <v>1.552776665375814E-3</v>
      </c>
      <c r="G290" s="66">
        <f t="shared" si="278"/>
        <v>1.552776665375814E-3</v>
      </c>
      <c r="H290" s="66">
        <f t="shared" si="278"/>
        <v>1.552776665375814E-3</v>
      </c>
      <c r="I290" s="66">
        <f t="shared" si="278"/>
        <v>1.552776665375814E-3</v>
      </c>
      <c r="J290" s="66">
        <f t="shared" si="278"/>
        <v>1.552776665375814E-3</v>
      </c>
      <c r="K290" s="66">
        <f t="shared" si="278"/>
        <v>1.552776665375814E-3</v>
      </c>
      <c r="L290" s="66">
        <f t="shared" si="278"/>
        <v>1.552776665375814E-3</v>
      </c>
      <c r="M290" s="66">
        <f t="shared" si="278"/>
        <v>1.552776665375814E-3</v>
      </c>
      <c r="N290" s="66">
        <f t="shared" si="278"/>
        <v>1.552776665375814E-3</v>
      </c>
      <c r="O290" s="66">
        <f t="shared" si="278"/>
        <v>1.552776665375814E-3</v>
      </c>
      <c r="P290" s="66">
        <f t="shared" si="278"/>
        <v>1.552776665375814E-3</v>
      </c>
      <c r="Q290" s="66">
        <f t="shared" si="278"/>
        <v>1.552776665375814E-3</v>
      </c>
      <c r="R290" s="66">
        <f t="shared" si="278"/>
        <v>1.552776665375814E-3</v>
      </c>
      <c r="S290" s="66">
        <f t="shared" si="278"/>
        <v>1.552776665375814E-3</v>
      </c>
      <c r="T290" s="66">
        <f t="shared" si="278"/>
        <v>1.552776665375814E-3</v>
      </c>
      <c r="U290" s="66">
        <f t="shared" si="278"/>
        <v>1.552776665375814E-3</v>
      </c>
      <c r="V290" s="66">
        <f t="shared" si="278"/>
        <v>1.552776665375814E-3</v>
      </c>
      <c r="W290" s="66">
        <f t="shared" si="278"/>
        <v>1.552776665375814E-3</v>
      </c>
      <c r="X290" s="66">
        <f t="shared" si="278"/>
        <v>1.552776665375814E-3</v>
      </c>
      <c r="Y290" s="66">
        <f t="shared" si="278"/>
        <v>1.552776665375814E-3</v>
      </c>
      <c r="Z290" s="66">
        <f t="shared" si="278"/>
        <v>1.552776665375814E-3</v>
      </c>
      <c r="AA290" s="66">
        <f t="shared" si="278"/>
        <v>1.552776665375814E-3</v>
      </c>
      <c r="AB290" s="66">
        <f t="shared" si="278"/>
        <v>1.552776665375814E-3</v>
      </c>
      <c r="AC290" s="66">
        <f t="shared" si="278"/>
        <v>1.552776665375814E-3</v>
      </c>
    </row>
    <row r="291" spans="1:29" x14ac:dyDescent="0.25">
      <c r="A291" s="30" t="str">
        <f t="shared" si="275"/>
        <v>Residual value (costumization)</v>
      </c>
      <c r="B291" s="69">
        <f>((1+B249)^B257)*B249/(((1+B249)^B257)-1)*(B248)/B261/(B258)</f>
        <v>-3.8819416634395349E-4</v>
      </c>
      <c r="C291" s="69">
        <f t="shared" ref="C291:AC291" si="279">((1+C249)^C257)*C249/(((1+C249)^C257)-1)*(C248)/C261/(C258)</f>
        <v>-3.8819416634395349E-4</v>
      </c>
      <c r="D291" s="69">
        <f t="shared" si="279"/>
        <v>-3.8819416634395349E-4</v>
      </c>
      <c r="E291" s="69">
        <f t="shared" si="279"/>
        <v>-3.8819416634395349E-4</v>
      </c>
      <c r="F291" s="69">
        <f t="shared" si="279"/>
        <v>-3.8819416634395349E-4</v>
      </c>
      <c r="G291" s="69">
        <f t="shared" si="279"/>
        <v>-3.8819416634395349E-4</v>
      </c>
      <c r="H291" s="69">
        <f t="shared" si="279"/>
        <v>-3.8819416634395349E-4</v>
      </c>
      <c r="I291" s="69">
        <f t="shared" si="279"/>
        <v>-3.8819416634395349E-4</v>
      </c>
      <c r="J291" s="69">
        <f t="shared" si="279"/>
        <v>-3.8819416634395349E-4</v>
      </c>
      <c r="K291" s="69">
        <f t="shared" si="279"/>
        <v>-3.8819416634395349E-4</v>
      </c>
      <c r="L291" s="69">
        <f t="shared" si="279"/>
        <v>-3.8819416634395349E-4</v>
      </c>
      <c r="M291" s="69">
        <f t="shared" si="279"/>
        <v>-3.8819416634395349E-4</v>
      </c>
      <c r="N291" s="69">
        <f t="shared" si="279"/>
        <v>-3.8819416634395349E-4</v>
      </c>
      <c r="O291" s="69">
        <f t="shared" si="279"/>
        <v>-3.8819416634395349E-4</v>
      </c>
      <c r="P291" s="69">
        <f t="shared" si="279"/>
        <v>-3.8819416634395349E-4</v>
      </c>
      <c r="Q291" s="69">
        <f t="shared" si="279"/>
        <v>-3.8819416634395349E-4</v>
      </c>
      <c r="R291" s="69">
        <f t="shared" si="279"/>
        <v>-3.8819416634395349E-4</v>
      </c>
      <c r="S291" s="69">
        <f t="shared" si="279"/>
        <v>-3.8819416634395349E-4</v>
      </c>
      <c r="T291" s="69">
        <f t="shared" si="279"/>
        <v>-3.8819416634395349E-4</v>
      </c>
      <c r="U291" s="69">
        <f t="shared" si="279"/>
        <v>-3.8819416634395349E-4</v>
      </c>
      <c r="V291" s="69">
        <f t="shared" si="279"/>
        <v>-3.8819416634395349E-4</v>
      </c>
      <c r="W291" s="69">
        <f t="shared" si="279"/>
        <v>-3.8819416634395349E-4</v>
      </c>
      <c r="X291" s="69">
        <f t="shared" si="279"/>
        <v>-3.8819416634395349E-4</v>
      </c>
      <c r="Y291" s="69">
        <f t="shared" si="279"/>
        <v>-3.8819416634395349E-4</v>
      </c>
      <c r="Z291" s="69">
        <f t="shared" si="279"/>
        <v>-3.8819416634395349E-4</v>
      </c>
      <c r="AA291" s="69">
        <f t="shared" si="279"/>
        <v>-3.8819416634395349E-4</v>
      </c>
      <c r="AB291" s="69">
        <f t="shared" si="279"/>
        <v>-3.8819416634395349E-4</v>
      </c>
      <c r="AC291" s="69">
        <f t="shared" si="279"/>
        <v>-3.8819416634395349E-4</v>
      </c>
    </row>
    <row r="292" spans="1:29" x14ac:dyDescent="0.25">
      <c r="A292" s="30" t="str">
        <f t="shared" si="275"/>
        <v>Opex fix (admin, crew, insurance)</v>
      </c>
      <c r="B292" s="66">
        <f>B250/B261/(B258)</f>
        <v>2.6666666666666665E-2</v>
      </c>
      <c r="C292" s="66">
        <f t="shared" ref="C292:AC292" si="280">C250/C261/(C258)</f>
        <v>2.6666666666666665E-2</v>
      </c>
      <c r="D292" s="66">
        <f t="shared" si="280"/>
        <v>2.6666666666666665E-2</v>
      </c>
      <c r="E292" s="66">
        <f t="shared" si="280"/>
        <v>2.6666666666666665E-2</v>
      </c>
      <c r="F292" s="66">
        <f t="shared" si="280"/>
        <v>2.6666666666666665E-2</v>
      </c>
      <c r="G292" s="66">
        <f t="shared" si="280"/>
        <v>2.6666666666666665E-2</v>
      </c>
      <c r="H292" s="66">
        <f t="shared" si="280"/>
        <v>2.6666666666666665E-2</v>
      </c>
      <c r="I292" s="66">
        <f t="shared" si="280"/>
        <v>2.6666666666666665E-2</v>
      </c>
      <c r="J292" s="66">
        <f t="shared" si="280"/>
        <v>2.6666666666666665E-2</v>
      </c>
      <c r="K292" s="66">
        <f t="shared" si="280"/>
        <v>2.6666666666666665E-2</v>
      </c>
      <c r="L292" s="66">
        <f t="shared" si="280"/>
        <v>2.6666666666666665E-2</v>
      </c>
      <c r="M292" s="66">
        <f t="shared" si="280"/>
        <v>2.6666666666666665E-2</v>
      </c>
      <c r="N292" s="66">
        <f t="shared" si="280"/>
        <v>2.6666666666666665E-2</v>
      </c>
      <c r="O292" s="66">
        <f t="shared" si="280"/>
        <v>2.6666666666666665E-2</v>
      </c>
      <c r="P292" s="66">
        <f t="shared" si="280"/>
        <v>2.6666666666666665E-2</v>
      </c>
      <c r="Q292" s="66">
        <f t="shared" si="280"/>
        <v>2.6666666666666665E-2</v>
      </c>
      <c r="R292" s="66">
        <f t="shared" si="280"/>
        <v>2.6666666666666665E-2</v>
      </c>
      <c r="S292" s="66">
        <f t="shared" si="280"/>
        <v>2.6666666666666665E-2</v>
      </c>
      <c r="T292" s="66">
        <f t="shared" si="280"/>
        <v>2.6666666666666665E-2</v>
      </c>
      <c r="U292" s="66">
        <f t="shared" si="280"/>
        <v>2.6666666666666665E-2</v>
      </c>
      <c r="V292" s="66">
        <f t="shared" si="280"/>
        <v>2.6666666666666665E-2</v>
      </c>
      <c r="W292" s="66">
        <f t="shared" si="280"/>
        <v>2.6666666666666665E-2</v>
      </c>
      <c r="X292" s="66">
        <f t="shared" si="280"/>
        <v>2.6666666666666665E-2</v>
      </c>
      <c r="Y292" s="66">
        <f t="shared" si="280"/>
        <v>2.6666666666666665E-2</v>
      </c>
      <c r="Z292" s="66">
        <f t="shared" si="280"/>
        <v>2.6666666666666665E-2</v>
      </c>
      <c r="AA292" s="66">
        <f t="shared" si="280"/>
        <v>2.6666666666666665E-2</v>
      </c>
      <c r="AB292" s="66">
        <f t="shared" si="280"/>
        <v>2.6666666666666665E-2</v>
      </c>
      <c r="AC292" s="66">
        <f t="shared" si="280"/>
        <v>2.6666666666666665E-2</v>
      </c>
    </row>
    <row r="293" spans="1:29" x14ac:dyDescent="0.25">
      <c r="A293" s="30" t="str">
        <f t="shared" si="275"/>
        <v>Opex maintenance &amp; repair</v>
      </c>
      <c r="B293" s="66">
        <f>B251/B261/(B258)</f>
        <v>7.619047619047619E-3</v>
      </c>
      <c r="C293" s="66">
        <f t="shared" ref="C293:AC293" si="281">C251/C261/(C258)</f>
        <v>7.619047619047619E-3</v>
      </c>
      <c r="D293" s="66">
        <f t="shared" si="281"/>
        <v>7.619047619047619E-3</v>
      </c>
      <c r="E293" s="66">
        <f t="shared" si="281"/>
        <v>7.619047619047619E-3</v>
      </c>
      <c r="F293" s="66">
        <f t="shared" si="281"/>
        <v>7.619047619047619E-3</v>
      </c>
      <c r="G293" s="66">
        <f t="shared" si="281"/>
        <v>7.619047619047619E-3</v>
      </c>
      <c r="H293" s="66">
        <f t="shared" si="281"/>
        <v>7.619047619047619E-3</v>
      </c>
      <c r="I293" s="66">
        <f t="shared" si="281"/>
        <v>7.619047619047619E-3</v>
      </c>
      <c r="J293" s="66">
        <f t="shared" si="281"/>
        <v>7.619047619047619E-3</v>
      </c>
      <c r="K293" s="66">
        <f t="shared" si="281"/>
        <v>7.619047619047619E-3</v>
      </c>
      <c r="L293" s="66">
        <f t="shared" si="281"/>
        <v>7.619047619047619E-3</v>
      </c>
      <c r="M293" s="66">
        <f t="shared" si="281"/>
        <v>7.619047619047619E-3</v>
      </c>
      <c r="N293" s="66">
        <f t="shared" si="281"/>
        <v>7.619047619047619E-3</v>
      </c>
      <c r="O293" s="66">
        <f t="shared" si="281"/>
        <v>7.619047619047619E-3</v>
      </c>
      <c r="P293" s="66">
        <f t="shared" si="281"/>
        <v>7.619047619047619E-3</v>
      </c>
      <c r="Q293" s="66">
        <f t="shared" si="281"/>
        <v>7.619047619047619E-3</v>
      </c>
      <c r="R293" s="66">
        <f t="shared" si="281"/>
        <v>7.619047619047619E-3</v>
      </c>
      <c r="S293" s="66">
        <f t="shared" si="281"/>
        <v>7.619047619047619E-3</v>
      </c>
      <c r="T293" s="66">
        <f t="shared" si="281"/>
        <v>7.619047619047619E-3</v>
      </c>
      <c r="U293" s="66">
        <f t="shared" si="281"/>
        <v>7.619047619047619E-3</v>
      </c>
      <c r="V293" s="66">
        <f t="shared" si="281"/>
        <v>7.619047619047619E-3</v>
      </c>
      <c r="W293" s="66">
        <f t="shared" si="281"/>
        <v>7.619047619047619E-3</v>
      </c>
      <c r="X293" s="66">
        <f t="shared" si="281"/>
        <v>7.619047619047619E-3</v>
      </c>
      <c r="Y293" s="66">
        <f t="shared" si="281"/>
        <v>7.619047619047619E-3</v>
      </c>
      <c r="Z293" s="66">
        <f t="shared" si="281"/>
        <v>7.619047619047619E-3</v>
      </c>
      <c r="AA293" s="66">
        <f t="shared" si="281"/>
        <v>7.619047619047619E-3</v>
      </c>
      <c r="AB293" s="66">
        <f t="shared" si="281"/>
        <v>7.619047619047619E-3</v>
      </c>
      <c r="AC293" s="66">
        <f t="shared" si="281"/>
        <v>7.619047619047619E-3</v>
      </c>
    </row>
    <row r="294" spans="1:29" x14ac:dyDescent="0.25">
      <c r="A294" s="30" t="str">
        <f t="shared" si="275"/>
        <v>Opex var (mode-fees)</v>
      </c>
      <c r="B294" s="66">
        <f>B252*B261/B261/(B258)</f>
        <v>4.4000000000000003E-3</v>
      </c>
      <c r="C294" s="66">
        <f t="shared" ref="C294:AC294" si="282">C252*C261/C261/(C258)</f>
        <v>4.4000000000000003E-3</v>
      </c>
      <c r="D294" s="66">
        <f t="shared" si="282"/>
        <v>4.4000000000000003E-3</v>
      </c>
      <c r="E294" s="66">
        <f t="shared" si="282"/>
        <v>4.4000000000000003E-3</v>
      </c>
      <c r="F294" s="66">
        <f t="shared" si="282"/>
        <v>4.4000000000000003E-3</v>
      </c>
      <c r="G294" s="66">
        <f t="shared" si="282"/>
        <v>4.4000000000000003E-3</v>
      </c>
      <c r="H294" s="66">
        <f t="shared" si="282"/>
        <v>4.4000000000000003E-3</v>
      </c>
      <c r="I294" s="66">
        <f t="shared" si="282"/>
        <v>4.4000000000000003E-3</v>
      </c>
      <c r="J294" s="66">
        <f t="shared" si="282"/>
        <v>4.4000000000000003E-3</v>
      </c>
      <c r="K294" s="66">
        <f t="shared" si="282"/>
        <v>4.4000000000000003E-3</v>
      </c>
      <c r="L294" s="66">
        <f t="shared" si="282"/>
        <v>4.4000000000000003E-3</v>
      </c>
      <c r="M294" s="66">
        <f t="shared" si="282"/>
        <v>4.4000000000000003E-3</v>
      </c>
      <c r="N294" s="66">
        <f t="shared" si="282"/>
        <v>4.4000000000000003E-3</v>
      </c>
      <c r="O294" s="66">
        <f t="shared" si="282"/>
        <v>4.4000000000000003E-3</v>
      </c>
      <c r="P294" s="66">
        <f t="shared" si="282"/>
        <v>4.4000000000000003E-3</v>
      </c>
      <c r="Q294" s="66">
        <f t="shared" si="282"/>
        <v>4.4000000000000003E-3</v>
      </c>
      <c r="R294" s="66">
        <f t="shared" si="282"/>
        <v>4.4000000000000003E-3</v>
      </c>
      <c r="S294" s="66">
        <f t="shared" si="282"/>
        <v>4.4000000000000003E-3</v>
      </c>
      <c r="T294" s="66">
        <f t="shared" si="282"/>
        <v>4.4000000000000003E-3</v>
      </c>
      <c r="U294" s="66">
        <f t="shared" si="282"/>
        <v>4.4000000000000003E-3</v>
      </c>
      <c r="V294" s="66">
        <f t="shared" si="282"/>
        <v>4.4000000000000003E-3</v>
      </c>
      <c r="W294" s="66">
        <f t="shared" si="282"/>
        <v>4.4000000000000003E-3</v>
      </c>
      <c r="X294" s="66">
        <f t="shared" si="282"/>
        <v>4.4000000000000003E-3</v>
      </c>
      <c r="Y294" s="66">
        <f t="shared" si="282"/>
        <v>4.4000000000000003E-3</v>
      </c>
      <c r="Z294" s="66">
        <f t="shared" si="282"/>
        <v>4.4000000000000003E-3</v>
      </c>
      <c r="AA294" s="66">
        <f t="shared" si="282"/>
        <v>4.4000000000000003E-3</v>
      </c>
      <c r="AB294" s="66">
        <f t="shared" si="282"/>
        <v>4.4000000000000003E-3</v>
      </c>
      <c r="AC294" s="66">
        <f t="shared" si="282"/>
        <v>4.4000000000000003E-3</v>
      </c>
    </row>
    <row r="295" spans="1:29" x14ac:dyDescent="0.25">
      <c r="A295" s="30" t="str">
        <f t="shared" si="275"/>
        <v>Fuel Cost</v>
      </c>
      <c r="B295" s="66">
        <f>B253*B254*B261/B261/(B258)</f>
        <v>1.1573595723149675E-2</v>
      </c>
      <c r="C295" s="66">
        <f t="shared" ref="C295:AC295" si="283">C253*C254*C261/C261/(C258)</f>
        <v>1.1562290195257166E-2</v>
      </c>
      <c r="D295" s="66">
        <f t="shared" si="283"/>
        <v>1.154623796631744E-2</v>
      </c>
      <c r="E295" s="66">
        <f t="shared" si="283"/>
        <v>1.1523549683231857E-2</v>
      </c>
      <c r="F295" s="66">
        <f t="shared" si="283"/>
        <v>1.1491695743110229E-2</v>
      </c>
      <c r="G295" s="66">
        <f t="shared" si="283"/>
        <v>1.1447407203002828E-2</v>
      </c>
      <c r="H295" s="66">
        <f t="shared" si="283"/>
        <v>1.1386689271353168E-2</v>
      </c>
      <c r="I295" s="66">
        <f t="shared" si="283"/>
        <v>1.130509087748654E-2</v>
      </c>
      <c r="J295" s="66">
        <f t="shared" si="283"/>
        <v>1.1198426013052478E-2</v>
      </c>
      <c r="K295" s="66">
        <f t="shared" si="283"/>
        <v>1.1064099644999867E-2</v>
      </c>
      <c r="L295" s="66">
        <f t="shared" si="283"/>
        <v>1.0902911859175732E-2</v>
      </c>
      <c r="M295" s="66">
        <f t="shared" si="283"/>
        <v>1.0720644957616992E-2</v>
      </c>
      <c r="N295" s="66">
        <f t="shared" si="283"/>
        <v>1.0528226537463705E-2</v>
      </c>
      <c r="O295" s="66">
        <f t="shared" si="283"/>
        <v>1.0339594551910478E-2</v>
      </c>
      <c r="P295" s="66">
        <f t="shared" si="283"/>
        <v>1.0167878972744624E-2</v>
      </c>
      <c r="Q295" s="66">
        <f t="shared" si="283"/>
        <v>1.0021945183222353E-2</v>
      </c>
      <c r="R295" s="66">
        <f t="shared" si="283"/>
        <v>9.9050783530759638E-3</v>
      </c>
      <c r="S295" s="66">
        <f t="shared" si="283"/>
        <v>9.8159037747541991E-3</v>
      </c>
      <c r="T295" s="66">
        <f t="shared" si="283"/>
        <v>9.7503533078761844E-3</v>
      </c>
      <c r="U295" s="66">
        <f t="shared" si="283"/>
        <v>9.7034856723550045E-3</v>
      </c>
      <c r="V295" s="66">
        <f t="shared" si="283"/>
        <v>9.670638381250693E-3</v>
      </c>
      <c r="W295" s="66">
        <f t="shared" si="283"/>
        <v>9.6479388841453143E-3</v>
      </c>
      <c r="X295" s="66">
        <f t="shared" si="283"/>
        <v>9.6324044871167799E-3</v>
      </c>
      <c r="Y295" s="66">
        <f t="shared" si="283"/>
        <v>9.6218444811282163E-3</v>
      </c>
      <c r="Z295" s="66">
        <f t="shared" si="283"/>
        <v>9.6146986425812171E-3</v>
      </c>
      <c r="AA295" s="66">
        <f t="shared" si="283"/>
        <v>9.6098780524370101E-3</v>
      </c>
      <c r="AB295" s="66">
        <f t="shared" si="283"/>
        <v>9.606632855098593E-3</v>
      </c>
      <c r="AC295" s="66">
        <f t="shared" si="283"/>
        <v>9.604451272429336E-3</v>
      </c>
    </row>
    <row r="296" spans="1:29" x14ac:dyDescent="0.25">
      <c r="A296" s="59" t="str">
        <f>A259</f>
        <v>Market failure (av. utilization)</v>
      </c>
      <c r="B296" s="66">
        <f t="shared" ref="B296:AC296" si="284">B285/B259-B285/B258</f>
        <v>3.7922109964674072E-2</v>
      </c>
      <c r="C296" s="66">
        <f t="shared" si="284"/>
        <v>3.792264983853607E-2</v>
      </c>
      <c r="D296" s="66">
        <f t="shared" si="284"/>
        <v>3.7923457212077898E-2</v>
      </c>
      <c r="E296" s="66">
        <f t="shared" si="284"/>
        <v>3.7924684694148676E-2</v>
      </c>
      <c r="F296" s="66">
        <f t="shared" si="284"/>
        <v>3.7926589647822175E-2</v>
      </c>
      <c r="G296" s="66">
        <f t="shared" si="284"/>
        <v>3.7929617191221635E-2</v>
      </c>
      <c r="H296" s="66">
        <f t="shared" si="284"/>
        <v>3.7934549832891275E-2</v>
      </c>
      <c r="I296" s="66">
        <f t="shared" si="284"/>
        <v>3.7942766618648205E-2</v>
      </c>
      <c r="J296" s="66">
        <f t="shared" si="284"/>
        <v>3.7956659746404622E-2</v>
      </c>
      <c r="K296" s="66">
        <f t="shared" si="284"/>
        <v>3.7980223620727435E-2</v>
      </c>
      <c r="L296" s="66">
        <f t="shared" si="284"/>
        <v>3.8019712584345625E-2</v>
      </c>
      <c r="M296" s="66">
        <f t="shared" si="284"/>
        <v>3.8084033411431281E-2</v>
      </c>
      <c r="N296" s="66">
        <f t="shared" si="284"/>
        <v>3.818428979712777E-2</v>
      </c>
      <c r="O296" s="66">
        <f t="shared" si="284"/>
        <v>3.8331887148591072E-2</v>
      </c>
      <c r="P296" s="66">
        <f t="shared" si="284"/>
        <v>3.8535076825352788E-2</v>
      </c>
      <c r="Q296" s="66">
        <f t="shared" si="284"/>
        <v>3.8794711327635963E-2</v>
      </c>
      <c r="R296" s="66">
        <f t="shared" si="284"/>
        <v>3.9100963898593313E-2</v>
      </c>
      <c r="S296" s="66">
        <f t="shared" si="284"/>
        <v>3.9433269076226629E-2</v>
      </c>
      <c r="T296" s="66">
        <f t="shared" si="284"/>
        <v>3.9764787166566992E-2</v>
      </c>
      <c r="U296" s="66">
        <f t="shared" si="284"/>
        <v>4.006994268886821E-2</v>
      </c>
      <c r="V296" s="66">
        <f t="shared" si="284"/>
        <v>4.033111823070365E-2</v>
      </c>
      <c r="W296" s="66">
        <f t="shared" si="284"/>
        <v>4.0541221329943034E-2</v>
      </c>
      <c r="X296" s="66">
        <f t="shared" si="284"/>
        <v>4.0702009158368288E-2</v>
      </c>
      <c r="Y296" s="66">
        <f t="shared" si="284"/>
        <v>4.0820427046869598E-2</v>
      </c>
      <c r="Z296" s="66">
        <f t="shared" si="284"/>
        <v>4.0905200492509661E-2</v>
      </c>
      <c r="AA296" s="66">
        <f t="shared" si="284"/>
        <v>4.096466349771942E-2</v>
      </c>
      <c r="AB296" s="66">
        <f t="shared" si="284"/>
        <v>4.1005778742210577E-2</v>
      </c>
      <c r="AC296" s="66">
        <f t="shared" si="284"/>
        <v>4.1033926281005134E-2</v>
      </c>
    </row>
    <row r="297" spans="1:29" x14ac:dyDescent="0.25">
      <c r="A297" s="59" t="str">
        <f>A260</f>
        <v>Payload loss (fuel)</v>
      </c>
      <c r="B297" s="66">
        <f>B285/(B258-B260)-B285/B258</f>
        <v>0</v>
      </c>
      <c r="C297" s="66">
        <f t="shared" ref="C297:AC297" si="285">C285/(C258-C260)-C285/C258</f>
        <v>0</v>
      </c>
      <c r="D297" s="66">
        <f t="shared" si="285"/>
        <v>0</v>
      </c>
      <c r="E297" s="66">
        <f t="shared" si="285"/>
        <v>0</v>
      </c>
      <c r="F297" s="66">
        <f t="shared" si="285"/>
        <v>0</v>
      </c>
      <c r="G297" s="66">
        <f t="shared" si="285"/>
        <v>0</v>
      </c>
      <c r="H297" s="66">
        <f t="shared" si="285"/>
        <v>0</v>
      </c>
      <c r="I297" s="66">
        <f t="shared" si="285"/>
        <v>0</v>
      </c>
      <c r="J297" s="66">
        <f t="shared" si="285"/>
        <v>0</v>
      </c>
      <c r="K297" s="66">
        <f t="shared" si="285"/>
        <v>0</v>
      </c>
      <c r="L297" s="66">
        <f t="shared" si="285"/>
        <v>0</v>
      </c>
      <c r="M297" s="66">
        <f t="shared" si="285"/>
        <v>0</v>
      </c>
      <c r="N297" s="66">
        <f t="shared" si="285"/>
        <v>0</v>
      </c>
      <c r="O297" s="66">
        <f t="shared" si="285"/>
        <v>0</v>
      </c>
      <c r="P297" s="66">
        <f t="shared" si="285"/>
        <v>0</v>
      </c>
      <c r="Q297" s="66">
        <f t="shared" si="285"/>
        <v>0</v>
      </c>
      <c r="R297" s="66">
        <f t="shared" si="285"/>
        <v>0</v>
      </c>
      <c r="S297" s="66">
        <f t="shared" si="285"/>
        <v>0</v>
      </c>
      <c r="T297" s="66">
        <f t="shared" si="285"/>
        <v>0</v>
      </c>
      <c r="U297" s="66">
        <f t="shared" si="285"/>
        <v>0</v>
      </c>
      <c r="V297" s="66">
        <f t="shared" si="285"/>
        <v>0</v>
      </c>
      <c r="W297" s="66">
        <f t="shared" si="285"/>
        <v>0</v>
      </c>
      <c r="X297" s="66">
        <f t="shared" si="285"/>
        <v>0</v>
      </c>
      <c r="Y297" s="66">
        <f t="shared" si="285"/>
        <v>0</v>
      </c>
      <c r="Z297" s="66">
        <f t="shared" si="285"/>
        <v>0</v>
      </c>
      <c r="AA297" s="66">
        <f t="shared" si="285"/>
        <v>0</v>
      </c>
      <c r="AB297" s="66">
        <f t="shared" si="285"/>
        <v>0</v>
      </c>
      <c r="AC297" s="66">
        <f t="shared" si="285"/>
        <v>0</v>
      </c>
    </row>
    <row r="298" spans="1:29" ht="15.75" thickBot="1" x14ac:dyDescent="0.3">
      <c r="A298" s="59" t="str">
        <f>A235</f>
        <v>Emission Cost</v>
      </c>
      <c r="B298" s="68">
        <f>B255*B261/B261/(B258)</f>
        <v>3.1055649111335639E-3</v>
      </c>
      <c r="C298" s="68">
        <f t="shared" ref="C298:AC298" si="286">C255*C261/C261/(C258)</f>
        <v>3.1111379658149869E-3</v>
      </c>
      <c r="D298" s="68">
        <f t="shared" si="286"/>
        <v>3.1191156694616588E-3</v>
      </c>
      <c r="E298" s="68">
        <f t="shared" si="286"/>
        <v>3.130528335545424E-3</v>
      </c>
      <c r="F298" s="68">
        <f t="shared" si="286"/>
        <v>3.1468395537089266E-3</v>
      </c>
      <c r="G298" s="68">
        <f t="shared" si="286"/>
        <v>3.1701191870286667E-3</v>
      </c>
      <c r="H298" s="68">
        <f t="shared" si="286"/>
        <v>3.2032750959951773E-3</v>
      </c>
      <c r="I298" s="68">
        <f t="shared" si="286"/>
        <v>3.2503517337687839E-3</v>
      </c>
      <c r="J298" s="68">
        <f t="shared" si="286"/>
        <v>3.3168900374857192E-3</v>
      </c>
      <c r="K298" s="68">
        <f t="shared" si="286"/>
        <v>3.4103086154538588E-3</v>
      </c>
      <c r="L298" s="68">
        <f t="shared" si="286"/>
        <v>3.5401943508234922E-3</v>
      </c>
      <c r="M298" s="68">
        <f t="shared" si="286"/>
        <v>3.7182628349802355E-3</v>
      </c>
      <c r="N298" s="68">
        <f t="shared" si="286"/>
        <v>3.9575677966395585E-3</v>
      </c>
      <c r="O298" s="68">
        <f t="shared" si="286"/>
        <v>4.2703856118469392E-3</v>
      </c>
      <c r="P298" s="68">
        <f t="shared" si="286"/>
        <v>4.6643267770273026E-3</v>
      </c>
      <c r="Q298" s="68">
        <f t="shared" si="286"/>
        <v>5.1370448671608218E-3</v>
      </c>
      <c r="R298" s="68">
        <f t="shared" si="286"/>
        <v>5.6715820292595051E-3</v>
      </c>
      <c r="S298" s="68">
        <f t="shared" si="286"/>
        <v>6.2358907181362944E-3</v>
      </c>
      <c r="T298" s="68">
        <f t="shared" si="286"/>
        <v>6.7890948675257863E-3</v>
      </c>
      <c r="U298" s="68">
        <f t="shared" si="286"/>
        <v>7.292687991622789E-3</v>
      </c>
      <c r="V298" s="68">
        <f t="shared" si="286"/>
        <v>7.7206704340653052E-3</v>
      </c>
      <c r="W298" s="68">
        <f t="shared" si="286"/>
        <v>8.0634077231489607E-3</v>
      </c>
      <c r="X298" s="68">
        <f t="shared" si="286"/>
        <v>8.3249314864862096E-3</v>
      </c>
      <c r="Y298" s="68">
        <f t="shared" si="286"/>
        <v>8.5171724267752314E-3</v>
      </c>
      <c r="Z298" s="68">
        <f t="shared" si="286"/>
        <v>8.6546219179967215E-3</v>
      </c>
      <c r="AA298" s="68">
        <f t="shared" si="286"/>
        <v>8.7509537128501579E-3</v>
      </c>
      <c r="AB298" s="68">
        <f t="shared" si="286"/>
        <v>8.8175249041087325E-3</v>
      </c>
      <c r="AC298" s="68">
        <f t="shared" si="286"/>
        <v>8.8630828876566786E-3</v>
      </c>
    </row>
    <row r="299" spans="1:29" ht="15.75" thickBot="1" x14ac:dyDescent="0.3">
      <c r="A299" s="31" t="s">
        <v>210</v>
      </c>
      <c r="B299" s="67">
        <f>B288+B289+B290+B291+B292+B293+B294+B295+B296+B297+B298</f>
        <v>9.729803398974507E-2</v>
      </c>
      <c r="C299" s="67">
        <f t="shared" ref="C299:AC299" si="287">C288+C289+C290+C291+C292+C293+C294+C295+C296+C297+C298</f>
        <v>9.7299430215250227E-2</v>
      </c>
      <c r="D299" s="67">
        <f t="shared" si="287"/>
        <v>9.7301518250272223E-2</v>
      </c>
      <c r="E299" s="67">
        <f t="shared" si="287"/>
        <v>9.7304692772869045E-2</v>
      </c>
      <c r="F299" s="67">
        <f t="shared" si="287"/>
        <v>9.7309619377197051E-2</v>
      </c>
      <c r="G299" s="67">
        <f t="shared" si="287"/>
        <v>9.7317449230816352E-2</v>
      </c>
      <c r="H299" s="67">
        <f t="shared" si="287"/>
        <v>9.7330206062720567E-2</v>
      </c>
      <c r="I299" s="67">
        <f t="shared" si="287"/>
        <v>9.735145637071263E-2</v>
      </c>
      <c r="J299" s="67">
        <f t="shared" si="287"/>
        <v>9.7387386873530962E-2</v>
      </c>
      <c r="K299" s="67">
        <f t="shared" si="287"/>
        <v>9.7448327927814091E-2</v>
      </c>
      <c r="L299" s="67">
        <f t="shared" si="287"/>
        <v>9.7550454557861127E-2</v>
      </c>
      <c r="M299" s="67">
        <f t="shared" si="287"/>
        <v>9.771680152446198E-2</v>
      </c>
      <c r="N299" s="67">
        <f t="shared" si="287"/>
        <v>9.7976085280573583E-2</v>
      </c>
      <c r="O299" s="67">
        <f t="shared" si="287"/>
        <v>9.8357802568840733E-2</v>
      </c>
      <c r="P299" s="67">
        <f t="shared" si="287"/>
        <v>9.8883293112190018E-2</v>
      </c>
      <c r="Q299" s="67">
        <f t="shared" si="287"/>
        <v>9.9554761652577525E-2</v>
      </c>
      <c r="R299" s="67">
        <f t="shared" si="287"/>
        <v>0.10034679416367413</v>
      </c>
      <c r="S299" s="67">
        <f t="shared" si="287"/>
        <v>0.10120620410582926</v>
      </c>
      <c r="T299" s="67">
        <f t="shared" si="287"/>
        <v>0.10206357847739915</v>
      </c>
      <c r="U299" s="67">
        <f t="shared" si="287"/>
        <v>0.10285277379369542</v>
      </c>
      <c r="V299" s="67">
        <f t="shared" si="287"/>
        <v>0.10352822778120088</v>
      </c>
      <c r="W299" s="67">
        <f t="shared" si="287"/>
        <v>0.10407159786544064</v>
      </c>
      <c r="X299" s="67">
        <f t="shared" si="287"/>
        <v>0.10448742845619562</v>
      </c>
      <c r="Y299" s="67">
        <f t="shared" si="287"/>
        <v>0.10479368161611281</v>
      </c>
      <c r="Z299" s="67">
        <f t="shared" si="287"/>
        <v>0.10501292328587158</v>
      </c>
      <c r="AA299" s="67">
        <f t="shared" si="287"/>
        <v>0.10516670692003473</v>
      </c>
      <c r="AB299" s="67">
        <f t="shared" si="287"/>
        <v>0.10527303944889119</v>
      </c>
      <c r="AC299" s="67">
        <f t="shared" si="287"/>
        <v>0.10534583480784264</v>
      </c>
    </row>
    <row r="301" spans="1:29" x14ac:dyDescent="0.25">
      <c r="B301" s="40"/>
    </row>
    <row r="324" spans="1:44" s="3" customFormat="1" ht="21" x14ac:dyDescent="0.35">
      <c r="A324" s="2" t="str">
        <f>'Parameter Input'!A58</f>
        <v>Road long-haul: Break bulk</v>
      </c>
    </row>
    <row r="325" spans="1:44" s="3" customFormat="1" ht="21" x14ac:dyDescent="0.35">
      <c r="A325" s="2" t="s">
        <v>11</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Input'!L21</f>
        <v>105000</v>
      </c>
      <c r="C334" s="42">
        <f>'Parameter Input'!M21</f>
        <v>115000</v>
      </c>
      <c r="D334" s="1" t="s">
        <v>15</v>
      </c>
      <c r="L334" s="51">
        <f>'Parameter Input'!O21</f>
        <v>12</v>
      </c>
      <c r="M334" s="52">
        <v>0</v>
      </c>
      <c r="N334" s="52">
        <v>1</v>
      </c>
      <c r="O334" s="52">
        <f>'Parameter Input'!P21</f>
        <v>0.9</v>
      </c>
      <c r="P334" s="53">
        <f>'Parameter Input'!Q21</f>
        <v>0.4</v>
      </c>
      <c r="Q334" s="4">
        <f t="shared" ref="Q334:AR343" si="288">$N334+($M334-$N334)*((1/(1+EXP(-$P334*(Q$9-$L334)))^$O334))</f>
        <v>0.9867978615748374</v>
      </c>
      <c r="R334" s="4">
        <f t="shared" si="288"/>
        <v>0.98114509762858249</v>
      </c>
      <c r="S334" s="4">
        <f t="shared" si="288"/>
        <v>0.97311898315872036</v>
      </c>
      <c r="T334" s="4">
        <f t="shared" si="288"/>
        <v>0.96177484161592774</v>
      </c>
      <c r="U334" s="4">
        <f t="shared" si="288"/>
        <v>0.94584787155511363</v>
      </c>
      <c r="V334" s="4">
        <f t="shared" si="288"/>
        <v>0.92370360150141495</v>
      </c>
      <c r="W334" s="4">
        <f t="shared" si="288"/>
        <v>0.89334463567658451</v>
      </c>
      <c r="X334" s="4">
        <f t="shared" si="288"/>
        <v>0.85254543874327005</v>
      </c>
      <c r="Y334" s="4">
        <f t="shared" si="288"/>
        <v>0.79921300652623883</v>
      </c>
      <c r="Z334" s="4">
        <f t="shared" si="288"/>
        <v>0.73204982249993378</v>
      </c>
      <c r="AA334" s="4">
        <f t="shared" si="288"/>
        <v>0.65145592958786691</v>
      </c>
      <c r="AB334" s="4">
        <f t="shared" si="288"/>
        <v>0.56032247880849573</v>
      </c>
      <c r="AC334" s="4">
        <f t="shared" si="288"/>
        <v>0.46411326873185343</v>
      </c>
      <c r="AD334" s="4">
        <f t="shared" si="288"/>
        <v>0.36979727595523937</v>
      </c>
      <c r="AE334" s="4">
        <f t="shared" si="288"/>
        <v>0.28393948637231203</v>
      </c>
      <c r="AF334" s="4">
        <f t="shared" si="288"/>
        <v>0.21097259161117732</v>
      </c>
      <c r="AG334" s="4">
        <f t="shared" si="288"/>
        <v>0.15253917653798199</v>
      </c>
      <c r="AH334" s="4">
        <f t="shared" si="288"/>
        <v>0.10795188737709993</v>
      </c>
      <c r="AI334" s="4">
        <f t="shared" si="288"/>
        <v>7.5176653938091809E-2</v>
      </c>
      <c r="AJ334" s="4">
        <f t="shared" si="288"/>
        <v>5.1742836177502194E-2</v>
      </c>
      <c r="AK334" s="4">
        <f t="shared" si="288"/>
        <v>3.5319190625345942E-2</v>
      </c>
      <c r="AL334" s="4">
        <f t="shared" si="288"/>
        <v>2.3969442072658165E-2</v>
      </c>
      <c r="AM334" s="4">
        <f t="shared" si="288"/>
        <v>1.6202243558389728E-2</v>
      </c>
      <c r="AN334" s="4">
        <f t="shared" si="288"/>
        <v>1.0922240564108399E-2</v>
      </c>
      <c r="AO334" s="4">
        <f t="shared" si="288"/>
        <v>7.3493212906090566E-3</v>
      </c>
      <c r="AP334" s="4">
        <f t="shared" si="288"/>
        <v>4.9390262185057265E-3</v>
      </c>
      <c r="AQ334" s="4">
        <f t="shared" si="288"/>
        <v>3.3164275492956197E-3</v>
      </c>
      <c r="AR334" s="4">
        <f t="shared" si="288"/>
        <v>2.2256362146679809E-3</v>
      </c>
    </row>
    <row r="335" spans="1:44" x14ac:dyDescent="0.25">
      <c r="A335" s="24" t="s">
        <v>28</v>
      </c>
      <c r="B335" s="60">
        <f>'Parameter Input'!L22</f>
        <v>-26250</v>
      </c>
      <c r="C335" s="61">
        <f>'Parameter Input'!M22</f>
        <v>-17250</v>
      </c>
      <c r="D335" s="1" t="s">
        <v>15</v>
      </c>
      <c r="L335" s="54">
        <f>'Parameter Input'!O22</f>
        <v>12</v>
      </c>
      <c r="M335" s="37">
        <v>0</v>
      </c>
      <c r="N335" s="37">
        <v>1</v>
      </c>
      <c r="O335" s="37">
        <f>'Parameter Input'!P22</f>
        <v>0.9</v>
      </c>
      <c r="P335" s="55">
        <f>'Parameter Input'!Q22</f>
        <v>0.4</v>
      </c>
      <c r="Q335" s="4">
        <f t="shared" si="288"/>
        <v>0.9867978615748374</v>
      </c>
      <c r="R335" s="4">
        <f t="shared" si="288"/>
        <v>0.98114509762858249</v>
      </c>
      <c r="S335" s="4">
        <f t="shared" si="288"/>
        <v>0.97311898315872036</v>
      </c>
      <c r="T335" s="4">
        <f t="shared" si="288"/>
        <v>0.96177484161592774</v>
      </c>
      <c r="U335" s="4">
        <f t="shared" si="288"/>
        <v>0.94584787155511363</v>
      </c>
      <c r="V335" s="4">
        <f t="shared" si="288"/>
        <v>0.92370360150141495</v>
      </c>
      <c r="W335" s="4">
        <f t="shared" si="288"/>
        <v>0.89334463567658451</v>
      </c>
      <c r="X335" s="4">
        <f t="shared" si="288"/>
        <v>0.85254543874327005</v>
      </c>
      <c r="Y335" s="4">
        <f t="shared" si="288"/>
        <v>0.79921300652623883</v>
      </c>
      <c r="Z335" s="4">
        <f t="shared" si="288"/>
        <v>0.73204982249993378</v>
      </c>
      <c r="AA335" s="4">
        <f t="shared" si="288"/>
        <v>0.65145592958786691</v>
      </c>
      <c r="AB335" s="4">
        <f t="shared" si="288"/>
        <v>0.56032247880849573</v>
      </c>
      <c r="AC335" s="4">
        <f t="shared" si="288"/>
        <v>0.46411326873185343</v>
      </c>
      <c r="AD335" s="4">
        <f t="shared" si="288"/>
        <v>0.36979727595523937</v>
      </c>
      <c r="AE335" s="4">
        <f t="shared" si="288"/>
        <v>0.28393948637231203</v>
      </c>
      <c r="AF335" s="4">
        <f t="shared" si="288"/>
        <v>0.21097259161117732</v>
      </c>
      <c r="AG335" s="4">
        <f t="shared" si="288"/>
        <v>0.15253917653798199</v>
      </c>
      <c r="AH335" s="4">
        <f t="shared" si="288"/>
        <v>0.10795188737709993</v>
      </c>
      <c r="AI335" s="4">
        <f t="shared" si="288"/>
        <v>7.5176653938091809E-2</v>
      </c>
      <c r="AJ335" s="4">
        <f t="shared" si="288"/>
        <v>5.1742836177502194E-2</v>
      </c>
      <c r="AK335" s="4">
        <f t="shared" si="288"/>
        <v>3.5319190625345942E-2</v>
      </c>
      <c r="AL335" s="4">
        <f t="shared" si="288"/>
        <v>2.3969442072658165E-2</v>
      </c>
      <c r="AM335" s="4">
        <f t="shared" si="288"/>
        <v>1.6202243558389728E-2</v>
      </c>
      <c r="AN335" s="4">
        <f t="shared" si="288"/>
        <v>1.0922240564108399E-2</v>
      </c>
      <c r="AO335" s="4">
        <f t="shared" si="288"/>
        <v>7.3493212906090566E-3</v>
      </c>
      <c r="AP335" s="4">
        <f t="shared" si="288"/>
        <v>4.9390262185057265E-3</v>
      </c>
      <c r="AQ335" s="4">
        <f t="shared" si="288"/>
        <v>3.3164275492956197E-3</v>
      </c>
      <c r="AR335" s="4">
        <f t="shared" si="288"/>
        <v>2.2256362146679809E-3</v>
      </c>
    </row>
    <row r="336" spans="1:44" x14ac:dyDescent="0.25">
      <c r="A336" s="24" t="s">
        <v>14</v>
      </c>
      <c r="B336" s="60">
        <f>'Parameter Input'!B59</f>
        <v>40000</v>
      </c>
      <c r="C336" s="61">
        <f>'Parameter Input'!C59</f>
        <v>40000</v>
      </c>
      <c r="D336" s="1" t="s">
        <v>15</v>
      </c>
      <c r="L336" s="54">
        <f>'Parameter Input'!E59</f>
        <v>12</v>
      </c>
      <c r="M336" s="37">
        <v>0</v>
      </c>
      <c r="N336" s="37">
        <v>1</v>
      </c>
      <c r="O336" s="37">
        <f>'Parameter Input'!F59</f>
        <v>0.9</v>
      </c>
      <c r="P336" s="55">
        <f>'Parameter Input'!G59</f>
        <v>0.4</v>
      </c>
      <c r="Q336" s="4">
        <f t="shared" si="288"/>
        <v>0.9867978615748374</v>
      </c>
      <c r="R336" s="4">
        <f t="shared" si="288"/>
        <v>0.98114509762858249</v>
      </c>
      <c r="S336" s="4">
        <f t="shared" si="288"/>
        <v>0.97311898315872036</v>
      </c>
      <c r="T336" s="4">
        <f t="shared" si="288"/>
        <v>0.96177484161592774</v>
      </c>
      <c r="U336" s="4">
        <f t="shared" si="288"/>
        <v>0.94584787155511363</v>
      </c>
      <c r="V336" s="4">
        <f t="shared" si="288"/>
        <v>0.92370360150141495</v>
      </c>
      <c r="W336" s="4">
        <f t="shared" si="288"/>
        <v>0.89334463567658451</v>
      </c>
      <c r="X336" s="4">
        <f t="shared" si="288"/>
        <v>0.85254543874327005</v>
      </c>
      <c r="Y336" s="4">
        <f t="shared" si="288"/>
        <v>0.79921300652623883</v>
      </c>
      <c r="Z336" s="4">
        <f t="shared" si="288"/>
        <v>0.73204982249993378</v>
      </c>
      <c r="AA336" s="4">
        <f t="shared" si="288"/>
        <v>0.65145592958786691</v>
      </c>
      <c r="AB336" s="4">
        <f t="shared" si="288"/>
        <v>0.56032247880849573</v>
      </c>
      <c r="AC336" s="4">
        <f t="shared" si="288"/>
        <v>0.46411326873185343</v>
      </c>
      <c r="AD336" s="4">
        <f t="shared" si="288"/>
        <v>0.36979727595523937</v>
      </c>
      <c r="AE336" s="4">
        <f t="shared" si="288"/>
        <v>0.28393948637231203</v>
      </c>
      <c r="AF336" s="4">
        <f t="shared" si="288"/>
        <v>0.21097259161117732</v>
      </c>
      <c r="AG336" s="4">
        <f t="shared" si="288"/>
        <v>0.15253917653798199</v>
      </c>
      <c r="AH336" s="4">
        <f t="shared" si="288"/>
        <v>0.10795188737709993</v>
      </c>
      <c r="AI336" s="4">
        <f t="shared" si="288"/>
        <v>7.5176653938091809E-2</v>
      </c>
      <c r="AJ336" s="4">
        <f t="shared" si="288"/>
        <v>5.1742836177502194E-2</v>
      </c>
      <c r="AK336" s="4">
        <f t="shared" si="288"/>
        <v>3.5319190625345942E-2</v>
      </c>
      <c r="AL336" s="4">
        <f t="shared" si="288"/>
        <v>2.3969442072658165E-2</v>
      </c>
      <c r="AM336" s="4">
        <f t="shared" si="288"/>
        <v>1.6202243558389728E-2</v>
      </c>
      <c r="AN336" s="4">
        <f t="shared" si="288"/>
        <v>1.0922240564108399E-2</v>
      </c>
      <c r="AO336" s="4">
        <f t="shared" si="288"/>
        <v>7.3493212906090566E-3</v>
      </c>
      <c r="AP336" s="4">
        <f t="shared" si="288"/>
        <v>4.9390262185057265E-3</v>
      </c>
      <c r="AQ336" s="4">
        <f t="shared" si="288"/>
        <v>3.3164275492956197E-3</v>
      </c>
      <c r="AR336" s="4">
        <f t="shared" si="288"/>
        <v>2.2256362146679809E-3</v>
      </c>
    </row>
    <row r="337" spans="1:44" x14ac:dyDescent="0.25">
      <c r="A337" s="24" t="s">
        <v>25</v>
      </c>
      <c r="B337" s="60">
        <f>'Parameter Input'!B60</f>
        <v>-10000</v>
      </c>
      <c r="C337" s="61">
        <f>'Parameter Input'!C60</f>
        <v>-10000</v>
      </c>
      <c r="D337" s="1" t="s">
        <v>15</v>
      </c>
      <c r="L337" s="54">
        <f>'Parameter Input'!E60</f>
        <v>12</v>
      </c>
      <c r="M337" s="37">
        <v>0</v>
      </c>
      <c r="N337" s="37">
        <v>1</v>
      </c>
      <c r="O337" s="37">
        <f>'Parameter Input'!F60</f>
        <v>0.9</v>
      </c>
      <c r="P337" s="55">
        <f>'Parameter Input'!G60</f>
        <v>0.4</v>
      </c>
      <c r="Q337" s="4">
        <f t="shared" si="288"/>
        <v>0.9867978615748374</v>
      </c>
      <c r="R337" s="4">
        <f t="shared" si="288"/>
        <v>0.98114509762858249</v>
      </c>
      <c r="S337" s="4">
        <f t="shared" si="288"/>
        <v>0.97311898315872036</v>
      </c>
      <c r="T337" s="4">
        <f t="shared" si="288"/>
        <v>0.96177484161592774</v>
      </c>
      <c r="U337" s="4">
        <f t="shared" si="288"/>
        <v>0.94584787155511363</v>
      </c>
      <c r="V337" s="4">
        <f t="shared" si="288"/>
        <v>0.92370360150141495</v>
      </c>
      <c r="W337" s="4">
        <f t="shared" si="288"/>
        <v>0.89334463567658451</v>
      </c>
      <c r="X337" s="4">
        <f t="shared" si="288"/>
        <v>0.85254543874327005</v>
      </c>
      <c r="Y337" s="4">
        <f t="shared" si="288"/>
        <v>0.79921300652623883</v>
      </c>
      <c r="Z337" s="4">
        <f t="shared" si="288"/>
        <v>0.73204982249993378</v>
      </c>
      <c r="AA337" s="4">
        <f t="shared" si="288"/>
        <v>0.65145592958786691</v>
      </c>
      <c r="AB337" s="4">
        <f t="shared" si="288"/>
        <v>0.56032247880849573</v>
      </c>
      <c r="AC337" s="4">
        <f t="shared" si="288"/>
        <v>0.46411326873185343</v>
      </c>
      <c r="AD337" s="4">
        <f t="shared" si="288"/>
        <v>0.36979727595523937</v>
      </c>
      <c r="AE337" s="4">
        <f t="shared" si="288"/>
        <v>0.28393948637231203</v>
      </c>
      <c r="AF337" s="4">
        <f t="shared" si="288"/>
        <v>0.21097259161117732</v>
      </c>
      <c r="AG337" s="4">
        <f t="shared" si="288"/>
        <v>0.15253917653798199</v>
      </c>
      <c r="AH337" s="4">
        <f t="shared" si="288"/>
        <v>0.10795188737709993</v>
      </c>
      <c r="AI337" s="4">
        <f t="shared" si="288"/>
        <v>7.5176653938091809E-2</v>
      </c>
      <c r="AJ337" s="4">
        <f t="shared" si="288"/>
        <v>5.1742836177502194E-2</v>
      </c>
      <c r="AK337" s="4">
        <f t="shared" si="288"/>
        <v>3.5319190625345942E-2</v>
      </c>
      <c r="AL337" s="4">
        <f t="shared" si="288"/>
        <v>2.3969442072658165E-2</v>
      </c>
      <c r="AM337" s="4">
        <f t="shared" si="288"/>
        <v>1.6202243558389728E-2</v>
      </c>
      <c r="AN337" s="4">
        <f t="shared" si="288"/>
        <v>1.0922240564108399E-2</v>
      </c>
      <c r="AO337" s="4">
        <f t="shared" si="288"/>
        <v>7.3493212906090566E-3</v>
      </c>
      <c r="AP337" s="4">
        <f t="shared" si="288"/>
        <v>4.9390262185057265E-3</v>
      </c>
      <c r="AQ337" s="4">
        <f t="shared" si="288"/>
        <v>3.3164275492956197E-3</v>
      </c>
      <c r="AR337" s="4">
        <f t="shared" si="288"/>
        <v>2.2256362146679809E-3</v>
      </c>
    </row>
    <row r="338" spans="1:44" x14ac:dyDescent="0.25">
      <c r="A338" s="24" t="s">
        <v>79</v>
      </c>
      <c r="B338" s="60">
        <f>'Parameter Input'!L28</f>
        <v>0.06</v>
      </c>
      <c r="C338" s="61">
        <f>'Parameter Input'!M28</f>
        <v>0.06</v>
      </c>
      <c r="D338" s="1" t="s">
        <v>57</v>
      </c>
      <c r="L338" s="54">
        <f>'Parameter Input'!O28</f>
        <v>12</v>
      </c>
      <c r="M338" s="37">
        <v>0</v>
      </c>
      <c r="N338" s="37">
        <v>1</v>
      </c>
      <c r="O338" s="37">
        <f>'Parameter Input'!P28</f>
        <v>0.9</v>
      </c>
      <c r="P338" s="55">
        <f>'Parameter Input'!Q28</f>
        <v>0.4</v>
      </c>
      <c r="Q338" s="4">
        <f t="shared" si="288"/>
        <v>0.9867978615748374</v>
      </c>
      <c r="R338" s="4">
        <f t="shared" si="288"/>
        <v>0.98114509762858249</v>
      </c>
      <c r="S338" s="4">
        <f t="shared" si="288"/>
        <v>0.97311898315872036</v>
      </c>
      <c r="T338" s="4">
        <f t="shared" si="288"/>
        <v>0.96177484161592774</v>
      </c>
      <c r="U338" s="4">
        <f t="shared" si="288"/>
        <v>0.94584787155511363</v>
      </c>
      <c r="V338" s="4">
        <f t="shared" si="288"/>
        <v>0.92370360150141495</v>
      </c>
      <c r="W338" s="4">
        <f t="shared" si="288"/>
        <v>0.89334463567658451</v>
      </c>
      <c r="X338" s="4">
        <f t="shared" si="288"/>
        <v>0.85254543874327005</v>
      </c>
      <c r="Y338" s="4">
        <f t="shared" si="288"/>
        <v>0.79921300652623883</v>
      </c>
      <c r="Z338" s="4">
        <f t="shared" si="288"/>
        <v>0.73204982249993378</v>
      </c>
      <c r="AA338" s="4">
        <f t="shared" si="288"/>
        <v>0.65145592958786691</v>
      </c>
      <c r="AB338" s="4">
        <f t="shared" si="288"/>
        <v>0.56032247880849573</v>
      </c>
      <c r="AC338" s="4">
        <f t="shared" si="288"/>
        <v>0.46411326873185343</v>
      </c>
      <c r="AD338" s="4">
        <f t="shared" si="288"/>
        <v>0.36979727595523937</v>
      </c>
      <c r="AE338" s="4">
        <f t="shared" si="288"/>
        <v>0.28393948637231203</v>
      </c>
      <c r="AF338" s="4">
        <f t="shared" si="288"/>
        <v>0.21097259161117732</v>
      </c>
      <c r="AG338" s="4">
        <f t="shared" si="288"/>
        <v>0.15253917653798199</v>
      </c>
      <c r="AH338" s="4">
        <f t="shared" si="288"/>
        <v>0.10795188737709993</v>
      </c>
      <c r="AI338" s="4">
        <f t="shared" si="288"/>
        <v>7.5176653938091809E-2</v>
      </c>
      <c r="AJ338" s="4">
        <f t="shared" si="288"/>
        <v>5.1742836177502194E-2</v>
      </c>
      <c r="AK338" s="4">
        <f t="shared" si="288"/>
        <v>3.5319190625345942E-2</v>
      </c>
      <c r="AL338" s="4">
        <f t="shared" si="288"/>
        <v>2.3969442072658165E-2</v>
      </c>
      <c r="AM338" s="4">
        <f t="shared" si="288"/>
        <v>1.6202243558389728E-2</v>
      </c>
      <c r="AN338" s="4">
        <f t="shared" si="288"/>
        <v>1.0922240564108399E-2</v>
      </c>
      <c r="AO338" s="4">
        <f t="shared" si="288"/>
        <v>7.3493212906090566E-3</v>
      </c>
      <c r="AP338" s="4">
        <f t="shared" si="288"/>
        <v>4.9390262185057265E-3</v>
      </c>
      <c r="AQ338" s="4">
        <f t="shared" si="288"/>
        <v>3.3164275492956197E-3</v>
      </c>
      <c r="AR338" s="4">
        <f t="shared" si="288"/>
        <v>2.2256362146679809E-3</v>
      </c>
    </row>
    <row r="339" spans="1:44" x14ac:dyDescent="0.25">
      <c r="A339" s="24" t="s">
        <v>37</v>
      </c>
      <c r="B339" s="60">
        <f>'Parameter Input'!B61</f>
        <v>70000</v>
      </c>
      <c r="C339" s="61">
        <f>'Parameter Input'!C61</f>
        <v>70000</v>
      </c>
      <c r="D339" s="1" t="s">
        <v>38</v>
      </c>
      <c r="L339" s="54">
        <f>'Parameter Input'!E61</f>
        <v>12</v>
      </c>
      <c r="M339" s="37">
        <v>0</v>
      </c>
      <c r="N339" s="37">
        <v>1</v>
      </c>
      <c r="O339" s="37">
        <f>'Parameter Input'!F61</f>
        <v>0.9</v>
      </c>
      <c r="P339" s="55">
        <f>'Parameter Input'!G61</f>
        <v>0.4</v>
      </c>
      <c r="Q339" s="4">
        <f t="shared" si="288"/>
        <v>0.9867978615748374</v>
      </c>
      <c r="R339" s="4">
        <f t="shared" si="288"/>
        <v>0.98114509762858249</v>
      </c>
      <c r="S339" s="4">
        <f t="shared" si="288"/>
        <v>0.97311898315872036</v>
      </c>
      <c r="T339" s="4">
        <f t="shared" si="288"/>
        <v>0.96177484161592774</v>
      </c>
      <c r="U339" s="4">
        <f t="shared" si="288"/>
        <v>0.94584787155511363</v>
      </c>
      <c r="V339" s="4">
        <f t="shared" si="288"/>
        <v>0.92370360150141495</v>
      </c>
      <c r="W339" s="4">
        <f t="shared" si="288"/>
        <v>0.89334463567658451</v>
      </c>
      <c r="X339" s="4">
        <f t="shared" si="288"/>
        <v>0.85254543874327005</v>
      </c>
      <c r="Y339" s="4">
        <f t="shared" si="288"/>
        <v>0.79921300652623883</v>
      </c>
      <c r="Z339" s="4">
        <f t="shared" si="288"/>
        <v>0.73204982249993378</v>
      </c>
      <c r="AA339" s="4">
        <f t="shared" si="288"/>
        <v>0.65145592958786691</v>
      </c>
      <c r="AB339" s="4">
        <f t="shared" si="288"/>
        <v>0.56032247880849573</v>
      </c>
      <c r="AC339" s="4">
        <f t="shared" si="288"/>
        <v>0.46411326873185343</v>
      </c>
      <c r="AD339" s="4">
        <f t="shared" si="288"/>
        <v>0.36979727595523937</v>
      </c>
      <c r="AE339" s="4">
        <f t="shared" si="288"/>
        <v>0.28393948637231203</v>
      </c>
      <c r="AF339" s="4">
        <f t="shared" si="288"/>
        <v>0.21097259161117732</v>
      </c>
      <c r="AG339" s="4">
        <f t="shared" si="288"/>
        <v>0.15253917653798199</v>
      </c>
      <c r="AH339" s="4">
        <f t="shared" si="288"/>
        <v>0.10795188737709993</v>
      </c>
      <c r="AI339" s="4">
        <f t="shared" si="288"/>
        <v>7.5176653938091809E-2</v>
      </c>
      <c r="AJ339" s="4">
        <f t="shared" si="288"/>
        <v>5.1742836177502194E-2</v>
      </c>
      <c r="AK339" s="4">
        <f t="shared" si="288"/>
        <v>3.5319190625345942E-2</v>
      </c>
      <c r="AL339" s="4">
        <f t="shared" si="288"/>
        <v>2.3969442072658165E-2</v>
      </c>
      <c r="AM339" s="4">
        <f t="shared" si="288"/>
        <v>1.6202243558389728E-2</v>
      </c>
      <c r="AN339" s="4">
        <f t="shared" si="288"/>
        <v>1.0922240564108399E-2</v>
      </c>
      <c r="AO339" s="4">
        <f t="shared" si="288"/>
        <v>7.3493212906090566E-3</v>
      </c>
      <c r="AP339" s="4">
        <f t="shared" si="288"/>
        <v>4.9390262185057265E-3</v>
      </c>
      <c r="AQ339" s="4">
        <f t="shared" si="288"/>
        <v>3.3164275492956197E-3</v>
      </c>
      <c r="AR339" s="4">
        <f t="shared" si="288"/>
        <v>2.2256362146679809E-3</v>
      </c>
    </row>
    <row r="340" spans="1:44" x14ac:dyDescent="0.25">
      <c r="A340" s="24" t="s">
        <v>52</v>
      </c>
      <c r="B340" s="60">
        <f>'Parameter Input'!L24</f>
        <v>20000</v>
      </c>
      <c r="C340" s="61">
        <f>'Parameter Input'!M24</f>
        <v>20000</v>
      </c>
      <c r="D340" s="1" t="s">
        <v>38</v>
      </c>
      <c r="L340" s="54">
        <f>'Parameter Input'!O24</f>
        <v>12</v>
      </c>
      <c r="M340" s="37">
        <v>0</v>
      </c>
      <c r="N340" s="37">
        <v>1</v>
      </c>
      <c r="O340" s="37">
        <f>'Parameter Input'!P24</f>
        <v>0.9</v>
      </c>
      <c r="P340" s="55">
        <f>'Parameter Input'!Q24</f>
        <v>0.4</v>
      </c>
      <c r="Q340" s="4">
        <f t="shared" si="288"/>
        <v>0.9867978615748374</v>
      </c>
      <c r="R340" s="4">
        <f t="shared" si="288"/>
        <v>0.98114509762858249</v>
      </c>
      <c r="S340" s="4">
        <f t="shared" si="288"/>
        <v>0.97311898315872036</v>
      </c>
      <c r="T340" s="4">
        <f t="shared" si="288"/>
        <v>0.96177484161592774</v>
      </c>
      <c r="U340" s="4">
        <f t="shared" si="288"/>
        <v>0.94584787155511363</v>
      </c>
      <c r="V340" s="4">
        <f t="shared" si="288"/>
        <v>0.92370360150141495</v>
      </c>
      <c r="W340" s="4">
        <f t="shared" si="288"/>
        <v>0.89334463567658451</v>
      </c>
      <c r="X340" s="4">
        <f t="shared" si="288"/>
        <v>0.85254543874327005</v>
      </c>
      <c r="Y340" s="4">
        <f t="shared" si="288"/>
        <v>0.79921300652623883</v>
      </c>
      <c r="Z340" s="4">
        <f t="shared" si="288"/>
        <v>0.73204982249993378</v>
      </c>
      <c r="AA340" s="4">
        <f t="shared" si="288"/>
        <v>0.65145592958786691</v>
      </c>
      <c r="AB340" s="4">
        <f t="shared" si="288"/>
        <v>0.56032247880849573</v>
      </c>
      <c r="AC340" s="4">
        <f t="shared" si="288"/>
        <v>0.46411326873185343</v>
      </c>
      <c r="AD340" s="4">
        <f t="shared" si="288"/>
        <v>0.36979727595523937</v>
      </c>
      <c r="AE340" s="4">
        <f t="shared" si="288"/>
        <v>0.28393948637231203</v>
      </c>
      <c r="AF340" s="4">
        <f t="shared" si="288"/>
        <v>0.21097259161117732</v>
      </c>
      <c r="AG340" s="4">
        <f t="shared" si="288"/>
        <v>0.15253917653798199</v>
      </c>
      <c r="AH340" s="4">
        <f t="shared" si="288"/>
        <v>0.10795188737709993</v>
      </c>
      <c r="AI340" s="4">
        <f t="shared" si="288"/>
        <v>7.5176653938091809E-2</v>
      </c>
      <c r="AJ340" s="4">
        <f t="shared" si="288"/>
        <v>5.1742836177502194E-2</v>
      </c>
      <c r="AK340" s="4">
        <f t="shared" si="288"/>
        <v>3.5319190625345942E-2</v>
      </c>
      <c r="AL340" s="4">
        <f t="shared" si="288"/>
        <v>2.3969442072658165E-2</v>
      </c>
      <c r="AM340" s="4">
        <f t="shared" si="288"/>
        <v>1.6202243558389728E-2</v>
      </c>
      <c r="AN340" s="4">
        <f t="shared" si="288"/>
        <v>1.0922240564108399E-2</v>
      </c>
      <c r="AO340" s="4">
        <f t="shared" si="288"/>
        <v>7.3493212906090566E-3</v>
      </c>
      <c r="AP340" s="4">
        <f t="shared" si="288"/>
        <v>4.9390262185057265E-3</v>
      </c>
      <c r="AQ340" s="4">
        <f t="shared" si="288"/>
        <v>3.3164275492956197E-3</v>
      </c>
      <c r="AR340" s="4">
        <f t="shared" si="288"/>
        <v>2.2256362146679809E-3</v>
      </c>
    </row>
    <row r="341" spans="1:44" x14ac:dyDescent="0.25">
      <c r="A341" s="24" t="s">
        <v>272</v>
      </c>
      <c r="B341" s="60">
        <f>'Parameter Input'!B66</f>
        <v>0.11</v>
      </c>
      <c r="C341" s="61">
        <f>'Parameter Input'!C66</f>
        <v>0.11</v>
      </c>
      <c r="D341" s="1" t="s">
        <v>76</v>
      </c>
      <c r="L341" s="54">
        <f>'Parameter Input'!E66</f>
        <v>12</v>
      </c>
      <c r="M341" s="37">
        <v>0</v>
      </c>
      <c r="N341" s="37">
        <v>1</v>
      </c>
      <c r="O341" s="37">
        <f>'Parameter Input'!F66</f>
        <v>0.9</v>
      </c>
      <c r="P341" s="55">
        <f>'Parameter Input'!G66</f>
        <v>0.4</v>
      </c>
      <c r="Q341" s="4">
        <f t="shared" si="288"/>
        <v>0.9867978615748374</v>
      </c>
      <c r="R341" s="4">
        <f t="shared" si="288"/>
        <v>0.98114509762858249</v>
      </c>
      <c r="S341" s="4">
        <f t="shared" si="288"/>
        <v>0.97311898315872036</v>
      </c>
      <c r="T341" s="4">
        <f t="shared" si="288"/>
        <v>0.96177484161592774</v>
      </c>
      <c r="U341" s="4">
        <f t="shared" si="288"/>
        <v>0.94584787155511363</v>
      </c>
      <c r="V341" s="4">
        <f t="shared" si="288"/>
        <v>0.92370360150141495</v>
      </c>
      <c r="W341" s="4">
        <f t="shared" si="288"/>
        <v>0.89334463567658451</v>
      </c>
      <c r="X341" s="4">
        <f t="shared" si="288"/>
        <v>0.85254543874327005</v>
      </c>
      <c r="Y341" s="4">
        <f t="shared" si="288"/>
        <v>0.79921300652623883</v>
      </c>
      <c r="Z341" s="4">
        <f t="shared" si="288"/>
        <v>0.73204982249993378</v>
      </c>
      <c r="AA341" s="4">
        <f t="shared" si="288"/>
        <v>0.65145592958786691</v>
      </c>
      <c r="AB341" s="4">
        <f t="shared" si="288"/>
        <v>0.56032247880849573</v>
      </c>
      <c r="AC341" s="4">
        <f t="shared" si="288"/>
        <v>0.46411326873185343</v>
      </c>
      <c r="AD341" s="4">
        <f t="shared" si="288"/>
        <v>0.36979727595523937</v>
      </c>
      <c r="AE341" s="4">
        <f t="shared" si="288"/>
        <v>0.28393948637231203</v>
      </c>
      <c r="AF341" s="4">
        <f t="shared" si="288"/>
        <v>0.21097259161117732</v>
      </c>
      <c r="AG341" s="4">
        <f t="shared" si="288"/>
        <v>0.15253917653798199</v>
      </c>
      <c r="AH341" s="4">
        <f t="shared" si="288"/>
        <v>0.10795188737709993</v>
      </c>
      <c r="AI341" s="4">
        <f t="shared" si="288"/>
        <v>7.5176653938091809E-2</v>
      </c>
      <c r="AJ341" s="4">
        <f t="shared" si="288"/>
        <v>5.1742836177502194E-2</v>
      </c>
      <c r="AK341" s="4">
        <f t="shared" si="288"/>
        <v>3.5319190625345942E-2</v>
      </c>
      <c r="AL341" s="4">
        <f t="shared" si="288"/>
        <v>2.3969442072658165E-2</v>
      </c>
      <c r="AM341" s="4">
        <f t="shared" si="288"/>
        <v>1.6202243558389728E-2</v>
      </c>
      <c r="AN341" s="4">
        <f t="shared" si="288"/>
        <v>1.0922240564108399E-2</v>
      </c>
      <c r="AO341" s="4">
        <f t="shared" si="288"/>
        <v>7.3493212906090566E-3</v>
      </c>
      <c r="AP341" s="4">
        <f t="shared" si="288"/>
        <v>4.9390262185057265E-3</v>
      </c>
      <c r="AQ341" s="4">
        <f t="shared" si="288"/>
        <v>3.3164275492956197E-3</v>
      </c>
      <c r="AR341" s="4">
        <f t="shared" si="288"/>
        <v>2.2256362146679809E-3</v>
      </c>
    </row>
    <row r="342" spans="1:44" x14ac:dyDescent="0.25">
      <c r="A342" s="24" t="s">
        <v>59</v>
      </c>
      <c r="B342" s="60">
        <f>'Parameter Input'!L25</f>
        <v>2.9</v>
      </c>
      <c r="C342" s="61">
        <f>'Parameter Input'!M25</f>
        <v>2.4</v>
      </c>
      <c r="D342" s="1" t="s">
        <v>60</v>
      </c>
      <c r="L342" s="54">
        <f>'Parameter Input'!O25</f>
        <v>12</v>
      </c>
      <c r="M342" s="37">
        <v>0</v>
      </c>
      <c r="N342" s="37">
        <v>1</v>
      </c>
      <c r="O342" s="37">
        <f>'Parameter Input'!P25</f>
        <v>0.9</v>
      </c>
      <c r="P342" s="55">
        <f>'Parameter Input'!Q25</f>
        <v>0.4</v>
      </c>
      <c r="Q342" s="4">
        <f t="shared" si="288"/>
        <v>0.9867978615748374</v>
      </c>
      <c r="R342" s="4">
        <f t="shared" si="288"/>
        <v>0.98114509762858249</v>
      </c>
      <c r="S342" s="4">
        <f t="shared" si="288"/>
        <v>0.97311898315872036</v>
      </c>
      <c r="T342" s="4">
        <f t="shared" si="288"/>
        <v>0.96177484161592774</v>
      </c>
      <c r="U342" s="4">
        <f t="shared" si="288"/>
        <v>0.94584787155511363</v>
      </c>
      <c r="V342" s="4">
        <f t="shared" si="288"/>
        <v>0.92370360150141495</v>
      </c>
      <c r="W342" s="4">
        <f t="shared" si="288"/>
        <v>0.89334463567658451</v>
      </c>
      <c r="X342" s="4">
        <f t="shared" si="288"/>
        <v>0.85254543874327005</v>
      </c>
      <c r="Y342" s="4">
        <f t="shared" si="288"/>
        <v>0.79921300652623883</v>
      </c>
      <c r="Z342" s="4">
        <f t="shared" si="288"/>
        <v>0.73204982249993378</v>
      </c>
      <c r="AA342" s="4">
        <f t="shared" si="288"/>
        <v>0.65145592958786691</v>
      </c>
      <c r="AB342" s="4">
        <f t="shared" si="288"/>
        <v>0.56032247880849573</v>
      </c>
      <c r="AC342" s="4">
        <f t="shared" si="288"/>
        <v>0.46411326873185343</v>
      </c>
      <c r="AD342" s="4">
        <f t="shared" si="288"/>
        <v>0.36979727595523937</v>
      </c>
      <c r="AE342" s="4">
        <f t="shared" si="288"/>
        <v>0.28393948637231203</v>
      </c>
      <c r="AF342" s="4">
        <f t="shared" si="288"/>
        <v>0.21097259161117732</v>
      </c>
      <c r="AG342" s="4">
        <f t="shared" si="288"/>
        <v>0.15253917653798199</v>
      </c>
      <c r="AH342" s="4">
        <f t="shared" si="288"/>
        <v>0.10795188737709993</v>
      </c>
      <c r="AI342" s="4">
        <f t="shared" si="288"/>
        <v>7.5176653938091809E-2</v>
      </c>
      <c r="AJ342" s="4">
        <f t="shared" si="288"/>
        <v>5.1742836177502194E-2</v>
      </c>
      <c r="AK342" s="4">
        <f t="shared" si="288"/>
        <v>3.5319190625345942E-2</v>
      </c>
      <c r="AL342" s="4">
        <f t="shared" si="288"/>
        <v>2.3969442072658165E-2</v>
      </c>
      <c r="AM342" s="4">
        <f t="shared" si="288"/>
        <v>1.6202243558389728E-2</v>
      </c>
      <c r="AN342" s="4">
        <f t="shared" si="288"/>
        <v>1.0922240564108399E-2</v>
      </c>
      <c r="AO342" s="4">
        <f t="shared" si="288"/>
        <v>7.3493212906090566E-3</v>
      </c>
      <c r="AP342" s="4">
        <f t="shared" si="288"/>
        <v>4.9390262185057265E-3</v>
      </c>
      <c r="AQ342" s="4">
        <f t="shared" si="288"/>
        <v>3.3164275492956197E-3</v>
      </c>
      <c r="AR342" s="4">
        <f t="shared" si="288"/>
        <v>2.2256362146679809E-3</v>
      </c>
    </row>
    <row r="343" spans="1:44" x14ac:dyDescent="0.25">
      <c r="A343" s="24" t="s">
        <v>67</v>
      </c>
      <c r="B343" s="60">
        <f>'Parameter Input'!L26</f>
        <v>0.1</v>
      </c>
      <c r="C343" s="61">
        <f>'Parameter Input'!M26</f>
        <v>0.1</v>
      </c>
      <c r="D343" s="1" t="s">
        <v>68</v>
      </c>
      <c r="L343" s="54">
        <f>'Parameter Input'!O26</f>
        <v>12</v>
      </c>
      <c r="M343" s="37">
        <v>0</v>
      </c>
      <c r="N343" s="37">
        <v>1</v>
      </c>
      <c r="O343" s="37">
        <f>'Parameter Input'!P26</f>
        <v>0.9</v>
      </c>
      <c r="P343" s="55">
        <f>'Parameter Input'!Q26</f>
        <v>0.4</v>
      </c>
      <c r="Q343" s="4">
        <f t="shared" si="288"/>
        <v>0.9867978615748374</v>
      </c>
      <c r="R343" s="4">
        <f t="shared" si="288"/>
        <v>0.98114509762858249</v>
      </c>
      <c r="S343" s="4">
        <f t="shared" si="288"/>
        <v>0.97311898315872036</v>
      </c>
      <c r="T343" s="4">
        <f t="shared" ref="T343:AI350" si="289">$N343+($M343-$N343)*((1/(1+EXP(-$P343*(T$9-$L343)))^$O343))</f>
        <v>0.96177484161592774</v>
      </c>
      <c r="U343" s="4">
        <f t="shared" si="289"/>
        <v>0.94584787155511363</v>
      </c>
      <c r="V343" s="4">
        <f t="shared" si="289"/>
        <v>0.92370360150141495</v>
      </c>
      <c r="W343" s="4">
        <f t="shared" si="289"/>
        <v>0.89334463567658451</v>
      </c>
      <c r="X343" s="4">
        <f t="shared" si="289"/>
        <v>0.85254543874327005</v>
      </c>
      <c r="Y343" s="4">
        <f t="shared" si="289"/>
        <v>0.79921300652623883</v>
      </c>
      <c r="Z343" s="4">
        <f t="shared" si="289"/>
        <v>0.73204982249993378</v>
      </c>
      <c r="AA343" s="4">
        <f t="shared" si="289"/>
        <v>0.65145592958786691</v>
      </c>
      <c r="AB343" s="4">
        <f t="shared" si="289"/>
        <v>0.56032247880849573</v>
      </c>
      <c r="AC343" s="4">
        <f t="shared" si="289"/>
        <v>0.46411326873185343</v>
      </c>
      <c r="AD343" s="4">
        <f t="shared" si="289"/>
        <v>0.36979727595523937</v>
      </c>
      <c r="AE343" s="4">
        <f t="shared" si="289"/>
        <v>0.28393948637231203</v>
      </c>
      <c r="AF343" s="4">
        <f t="shared" si="289"/>
        <v>0.21097259161117732</v>
      </c>
      <c r="AG343" s="4">
        <f t="shared" si="289"/>
        <v>0.15253917653798199</v>
      </c>
      <c r="AH343" s="4">
        <f t="shared" si="289"/>
        <v>0.10795188737709993</v>
      </c>
      <c r="AI343" s="4">
        <f t="shared" si="289"/>
        <v>7.5176653938091809E-2</v>
      </c>
      <c r="AJ343" s="4">
        <f t="shared" ref="AJ343:AR350" si="290">$N343+($M343-$N343)*((1/(1+EXP(-$P343*(AJ$9-$L343)))^$O343))</f>
        <v>5.1742836177502194E-2</v>
      </c>
      <c r="AK343" s="4">
        <f t="shared" si="290"/>
        <v>3.5319190625345942E-2</v>
      </c>
      <c r="AL343" s="4">
        <f t="shared" si="290"/>
        <v>2.3969442072658165E-2</v>
      </c>
      <c r="AM343" s="4">
        <f t="shared" si="290"/>
        <v>1.6202243558389728E-2</v>
      </c>
      <c r="AN343" s="4">
        <f t="shared" si="290"/>
        <v>1.0922240564108399E-2</v>
      </c>
      <c r="AO343" s="4">
        <f t="shared" si="290"/>
        <v>7.3493212906090566E-3</v>
      </c>
      <c r="AP343" s="4">
        <f t="shared" si="290"/>
        <v>4.9390262185057265E-3</v>
      </c>
      <c r="AQ343" s="4">
        <f t="shared" si="290"/>
        <v>3.3164275492956197E-3</v>
      </c>
      <c r="AR343" s="4">
        <f t="shared" si="290"/>
        <v>2.2256362146679809E-3</v>
      </c>
    </row>
    <row r="344" spans="1:44" x14ac:dyDescent="0.25">
      <c r="A344" s="24" t="s">
        <v>206</v>
      </c>
      <c r="B344" s="45">
        <f>'Parameter Input'!$L$29</f>
        <v>7.7317073170731707E-2</v>
      </c>
      <c r="C344" s="46">
        <f>'Parameter Input'!$M$29</f>
        <v>0.22395290159798151</v>
      </c>
      <c r="D344" s="1" t="s">
        <v>76</v>
      </c>
      <c r="L344" s="54">
        <f>'Parameter Input'!$O$29</f>
        <v>17</v>
      </c>
      <c r="M344" s="37">
        <v>0</v>
      </c>
      <c r="N344" s="37">
        <v>1</v>
      </c>
      <c r="O344" s="37">
        <f>'Parameter Input'!$P$29</f>
        <v>0.9</v>
      </c>
      <c r="P344" s="55">
        <f>'Parameter Input'!$Q$29</f>
        <v>0.4</v>
      </c>
      <c r="Q344" s="4">
        <f t="shared" ref="Q344:AR344" si="291">$N344+($M344-$N344)*((1/(1+EXP(-$P344*(Q$9-$L344)))^$O344))</f>
        <v>0.99780374543478534</v>
      </c>
      <c r="R344" s="4">
        <f t="shared" si="291"/>
        <v>0.99685359315256394</v>
      </c>
      <c r="S344" s="4">
        <f t="shared" si="291"/>
        <v>0.99549347132349975</v>
      </c>
      <c r="T344" s="4">
        <f t="shared" si="291"/>
        <v>0.99354772139898062</v>
      </c>
      <c r="U344" s="4">
        <f t="shared" si="291"/>
        <v>0.99076681540580536</v>
      </c>
      <c r="V344" s="4">
        <f t="shared" si="291"/>
        <v>0.9867978615748374</v>
      </c>
      <c r="W344" s="4">
        <f t="shared" si="291"/>
        <v>0.98114509762858249</v>
      </c>
      <c r="X344" s="4">
        <f t="shared" si="291"/>
        <v>0.97311898315872036</v>
      </c>
      <c r="Y344" s="4">
        <f t="shared" si="291"/>
        <v>0.96177484161592774</v>
      </c>
      <c r="Z344" s="4">
        <f t="shared" si="291"/>
        <v>0.94584787155511363</v>
      </c>
      <c r="AA344" s="4">
        <f t="shared" si="291"/>
        <v>0.92370360150141495</v>
      </c>
      <c r="AB344" s="4">
        <f t="shared" si="291"/>
        <v>0.89334463567658451</v>
      </c>
      <c r="AC344" s="4">
        <f t="shared" si="291"/>
        <v>0.85254543874327005</v>
      </c>
      <c r="AD344" s="4">
        <f t="shared" si="291"/>
        <v>0.79921300652623883</v>
      </c>
      <c r="AE344" s="4">
        <f t="shared" si="291"/>
        <v>0.73204982249993378</v>
      </c>
      <c r="AF344" s="4">
        <f t="shared" si="291"/>
        <v>0.65145592958786691</v>
      </c>
      <c r="AG344" s="4">
        <f t="shared" si="291"/>
        <v>0.56032247880849573</v>
      </c>
      <c r="AH344" s="4">
        <f t="shared" si="291"/>
        <v>0.46411326873185343</v>
      </c>
      <c r="AI344" s="4">
        <f t="shared" si="291"/>
        <v>0.36979727595523937</v>
      </c>
      <c r="AJ344" s="4">
        <f t="shared" si="291"/>
        <v>0.28393948637231203</v>
      </c>
      <c r="AK344" s="4">
        <f t="shared" si="291"/>
        <v>0.21097259161117732</v>
      </c>
      <c r="AL344" s="4">
        <f t="shared" si="291"/>
        <v>0.15253917653798199</v>
      </c>
      <c r="AM344" s="4">
        <f t="shared" si="291"/>
        <v>0.10795188737709993</v>
      </c>
      <c r="AN344" s="4">
        <f t="shared" si="291"/>
        <v>7.5176653938091809E-2</v>
      </c>
      <c r="AO344" s="4">
        <f t="shared" si="291"/>
        <v>5.1742836177502194E-2</v>
      </c>
      <c r="AP344" s="4">
        <f t="shared" si="291"/>
        <v>3.5319190625345942E-2</v>
      </c>
      <c r="AQ344" s="4">
        <f t="shared" si="291"/>
        <v>2.3969442072658165E-2</v>
      </c>
      <c r="AR344" s="4">
        <f t="shared" si="291"/>
        <v>1.6202243558389728E-2</v>
      </c>
    </row>
    <row r="345" spans="1:44" x14ac:dyDescent="0.25">
      <c r="A345" s="24" t="s">
        <v>41</v>
      </c>
      <c r="B345" s="60">
        <f>'Parameter Input'!L23</f>
        <v>8</v>
      </c>
      <c r="C345" s="61">
        <f>'Parameter Input'!M23</f>
        <v>8</v>
      </c>
      <c r="D345" s="1" t="s">
        <v>42</v>
      </c>
      <c r="L345" s="54">
        <f>'Parameter Input'!O23</f>
        <v>12</v>
      </c>
      <c r="M345" s="37">
        <v>0</v>
      </c>
      <c r="N345" s="37">
        <v>1</v>
      </c>
      <c r="O345" s="37">
        <f>'Parameter Input'!P23</f>
        <v>0.9</v>
      </c>
      <c r="P345" s="55">
        <f>'Parameter Input'!Q23</f>
        <v>0.4</v>
      </c>
      <c r="Q345" s="4">
        <f t="shared" ref="Q345:AF350" si="292">$N345+($M345-$N345)*((1/(1+EXP(-$P345*(Q$9-$L345)))^$O345))</f>
        <v>0.9867978615748374</v>
      </c>
      <c r="R345" s="4">
        <f t="shared" si="292"/>
        <v>0.98114509762858249</v>
      </c>
      <c r="S345" s="4">
        <f t="shared" si="292"/>
        <v>0.97311898315872036</v>
      </c>
      <c r="T345" s="4">
        <f t="shared" si="292"/>
        <v>0.96177484161592774</v>
      </c>
      <c r="U345" s="4">
        <f t="shared" si="292"/>
        <v>0.94584787155511363</v>
      </c>
      <c r="V345" s="4">
        <f t="shared" si="292"/>
        <v>0.92370360150141495</v>
      </c>
      <c r="W345" s="4">
        <f t="shared" si="292"/>
        <v>0.89334463567658451</v>
      </c>
      <c r="X345" s="4">
        <f t="shared" si="292"/>
        <v>0.85254543874327005</v>
      </c>
      <c r="Y345" s="4">
        <f t="shared" si="292"/>
        <v>0.79921300652623883</v>
      </c>
      <c r="Z345" s="4">
        <f t="shared" si="292"/>
        <v>0.73204982249993378</v>
      </c>
      <c r="AA345" s="4">
        <f t="shared" si="292"/>
        <v>0.65145592958786691</v>
      </c>
      <c r="AB345" s="4">
        <f t="shared" si="292"/>
        <v>0.56032247880849573</v>
      </c>
      <c r="AC345" s="4">
        <f t="shared" si="292"/>
        <v>0.46411326873185343</v>
      </c>
      <c r="AD345" s="4">
        <f t="shared" si="292"/>
        <v>0.36979727595523937</v>
      </c>
      <c r="AE345" s="4">
        <f t="shared" si="292"/>
        <v>0.28393948637231203</v>
      </c>
      <c r="AF345" s="4">
        <f t="shared" si="292"/>
        <v>0.21097259161117732</v>
      </c>
      <c r="AG345" s="4">
        <f t="shared" si="289"/>
        <v>0.15253917653798199</v>
      </c>
      <c r="AH345" s="4">
        <f t="shared" si="289"/>
        <v>0.10795188737709993</v>
      </c>
      <c r="AI345" s="4">
        <f t="shared" si="289"/>
        <v>7.5176653938091809E-2</v>
      </c>
      <c r="AJ345" s="4">
        <f t="shared" si="290"/>
        <v>5.1742836177502194E-2</v>
      </c>
      <c r="AK345" s="4">
        <f t="shared" si="290"/>
        <v>3.5319190625345942E-2</v>
      </c>
      <c r="AL345" s="4">
        <f t="shared" si="290"/>
        <v>2.3969442072658165E-2</v>
      </c>
      <c r="AM345" s="4">
        <f t="shared" si="290"/>
        <v>1.6202243558389728E-2</v>
      </c>
      <c r="AN345" s="4">
        <f t="shared" si="290"/>
        <v>1.0922240564108399E-2</v>
      </c>
      <c r="AO345" s="4">
        <f t="shared" si="290"/>
        <v>7.3493212906090566E-3</v>
      </c>
      <c r="AP345" s="4">
        <f t="shared" si="290"/>
        <v>4.9390262185057265E-3</v>
      </c>
      <c r="AQ345" s="4">
        <f t="shared" si="290"/>
        <v>3.3164275492956197E-3</v>
      </c>
      <c r="AR345" s="4">
        <f t="shared" si="290"/>
        <v>2.2256362146679809E-3</v>
      </c>
    </row>
    <row r="346" spans="1:44" x14ac:dyDescent="0.25">
      <c r="A346" s="24" t="s">
        <v>70</v>
      </c>
      <c r="B346" s="60">
        <f>'Parameter Input'!B65</f>
        <v>10</v>
      </c>
      <c r="C346" s="61">
        <f>'Parameter Input'!C65</f>
        <v>10</v>
      </c>
      <c r="D346" s="1" t="s">
        <v>42</v>
      </c>
      <c r="L346" s="54">
        <f>'Parameter Input'!E65</f>
        <v>12</v>
      </c>
      <c r="M346" s="37">
        <v>0</v>
      </c>
      <c r="N346" s="37">
        <v>1</v>
      </c>
      <c r="O346" s="37">
        <f>'Parameter Input'!F65</f>
        <v>0.9</v>
      </c>
      <c r="P346" s="55">
        <f>'Parameter Input'!G65</f>
        <v>0.4</v>
      </c>
      <c r="Q346" s="4">
        <f t="shared" si="292"/>
        <v>0.9867978615748374</v>
      </c>
      <c r="R346" s="4">
        <f t="shared" si="292"/>
        <v>0.98114509762858249</v>
      </c>
      <c r="S346" s="4">
        <f t="shared" si="292"/>
        <v>0.97311898315872036</v>
      </c>
      <c r="T346" s="4">
        <f t="shared" si="292"/>
        <v>0.96177484161592774</v>
      </c>
      <c r="U346" s="4">
        <f t="shared" si="292"/>
        <v>0.94584787155511363</v>
      </c>
      <c r="V346" s="4">
        <f t="shared" si="292"/>
        <v>0.92370360150141495</v>
      </c>
      <c r="W346" s="4">
        <f t="shared" si="292"/>
        <v>0.89334463567658451</v>
      </c>
      <c r="X346" s="4">
        <f t="shared" si="292"/>
        <v>0.85254543874327005</v>
      </c>
      <c r="Y346" s="4">
        <f t="shared" si="292"/>
        <v>0.79921300652623883</v>
      </c>
      <c r="Z346" s="4">
        <f t="shared" si="292"/>
        <v>0.73204982249993378</v>
      </c>
      <c r="AA346" s="4">
        <f t="shared" si="292"/>
        <v>0.65145592958786691</v>
      </c>
      <c r="AB346" s="4">
        <f t="shared" si="292"/>
        <v>0.56032247880849573</v>
      </c>
      <c r="AC346" s="4">
        <f t="shared" si="292"/>
        <v>0.46411326873185343</v>
      </c>
      <c r="AD346" s="4">
        <f t="shared" si="292"/>
        <v>0.36979727595523937</v>
      </c>
      <c r="AE346" s="4">
        <f t="shared" si="292"/>
        <v>0.28393948637231203</v>
      </c>
      <c r="AF346" s="4">
        <f t="shared" si="292"/>
        <v>0.21097259161117732</v>
      </c>
      <c r="AG346" s="4">
        <f t="shared" si="289"/>
        <v>0.15253917653798199</v>
      </c>
      <c r="AH346" s="4">
        <f t="shared" si="289"/>
        <v>0.10795188737709993</v>
      </c>
      <c r="AI346" s="4">
        <f t="shared" si="289"/>
        <v>7.5176653938091809E-2</v>
      </c>
      <c r="AJ346" s="4">
        <f t="shared" si="290"/>
        <v>5.1742836177502194E-2</v>
      </c>
      <c r="AK346" s="4">
        <f t="shared" si="290"/>
        <v>3.5319190625345942E-2</v>
      </c>
      <c r="AL346" s="4">
        <f t="shared" si="290"/>
        <v>2.3969442072658165E-2</v>
      </c>
      <c r="AM346" s="4">
        <f t="shared" si="290"/>
        <v>1.6202243558389728E-2</v>
      </c>
      <c r="AN346" s="4">
        <f t="shared" si="290"/>
        <v>1.0922240564108399E-2</v>
      </c>
      <c r="AO346" s="4">
        <f t="shared" si="290"/>
        <v>7.3493212906090566E-3</v>
      </c>
      <c r="AP346" s="4">
        <f t="shared" si="290"/>
        <v>4.9390262185057265E-3</v>
      </c>
      <c r="AQ346" s="4">
        <f t="shared" si="290"/>
        <v>3.3164275492956197E-3</v>
      </c>
      <c r="AR346" s="4">
        <f t="shared" si="290"/>
        <v>2.2256362146679809E-3</v>
      </c>
    </row>
    <row r="347" spans="1:44" x14ac:dyDescent="0.25">
      <c r="A347" s="24" t="s">
        <v>207</v>
      </c>
      <c r="B347" s="43">
        <f>'Parameter Input'!B62</f>
        <v>25</v>
      </c>
      <c r="C347" s="44">
        <f>'Parameter Input'!C62</f>
        <v>25</v>
      </c>
      <c r="D347" s="1" t="s">
        <v>49</v>
      </c>
      <c r="L347" s="54">
        <f>'Parameter Input'!E62</f>
        <v>12</v>
      </c>
      <c r="M347" s="37">
        <v>0</v>
      </c>
      <c r="N347" s="37">
        <v>1</v>
      </c>
      <c r="O347" s="37">
        <f>'Parameter Input'!F62</f>
        <v>0.9</v>
      </c>
      <c r="P347" s="55">
        <f>'Parameter Input'!G62</f>
        <v>0.4</v>
      </c>
      <c r="Q347" s="4">
        <f t="shared" si="292"/>
        <v>0.9867978615748374</v>
      </c>
      <c r="R347" s="4">
        <f t="shared" si="292"/>
        <v>0.98114509762858249</v>
      </c>
      <c r="S347" s="4">
        <f t="shared" si="292"/>
        <v>0.97311898315872036</v>
      </c>
      <c r="T347" s="4">
        <f t="shared" si="292"/>
        <v>0.96177484161592774</v>
      </c>
      <c r="U347" s="4">
        <f t="shared" si="292"/>
        <v>0.94584787155511363</v>
      </c>
      <c r="V347" s="4">
        <f t="shared" si="292"/>
        <v>0.92370360150141495</v>
      </c>
      <c r="W347" s="4">
        <f t="shared" si="292"/>
        <v>0.89334463567658451</v>
      </c>
      <c r="X347" s="4">
        <f t="shared" si="292"/>
        <v>0.85254543874327005</v>
      </c>
      <c r="Y347" s="4">
        <f t="shared" si="292"/>
        <v>0.79921300652623883</v>
      </c>
      <c r="Z347" s="4">
        <f t="shared" si="292"/>
        <v>0.73204982249993378</v>
      </c>
      <c r="AA347" s="4">
        <f t="shared" si="292"/>
        <v>0.65145592958786691</v>
      </c>
      <c r="AB347" s="4">
        <f t="shared" si="292"/>
        <v>0.56032247880849573</v>
      </c>
      <c r="AC347" s="4">
        <f t="shared" si="292"/>
        <v>0.46411326873185343</v>
      </c>
      <c r="AD347" s="4">
        <f t="shared" si="292"/>
        <v>0.36979727595523937</v>
      </c>
      <c r="AE347" s="4">
        <f t="shared" si="292"/>
        <v>0.28393948637231203</v>
      </c>
      <c r="AF347" s="4">
        <f t="shared" si="292"/>
        <v>0.21097259161117732</v>
      </c>
      <c r="AG347" s="4">
        <f t="shared" si="289"/>
        <v>0.15253917653798199</v>
      </c>
      <c r="AH347" s="4">
        <f t="shared" si="289"/>
        <v>0.10795188737709993</v>
      </c>
      <c r="AI347" s="4">
        <f t="shared" si="289"/>
        <v>7.5176653938091809E-2</v>
      </c>
      <c r="AJ347" s="4">
        <f t="shared" si="290"/>
        <v>5.1742836177502194E-2</v>
      </c>
      <c r="AK347" s="4">
        <f t="shared" si="290"/>
        <v>3.5319190625345942E-2</v>
      </c>
      <c r="AL347" s="4">
        <f t="shared" si="290"/>
        <v>2.3969442072658165E-2</v>
      </c>
      <c r="AM347" s="4">
        <f t="shared" si="290"/>
        <v>1.6202243558389728E-2</v>
      </c>
      <c r="AN347" s="4">
        <f t="shared" si="290"/>
        <v>1.0922240564108399E-2</v>
      </c>
      <c r="AO347" s="4">
        <f t="shared" si="290"/>
        <v>7.3493212906090566E-3</v>
      </c>
      <c r="AP347" s="4">
        <f t="shared" si="290"/>
        <v>4.9390262185057265E-3</v>
      </c>
      <c r="AQ347" s="4">
        <f t="shared" si="290"/>
        <v>3.3164275492956197E-3</v>
      </c>
      <c r="AR347" s="4">
        <f t="shared" si="290"/>
        <v>2.2256362146679809E-3</v>
      </c>
    </row>
    <row r="348" spans="1:44" x14ac:dyDescent="0.25">
      <c r="A348" s="24" t="s">
        <v>56</v>
      </c>
      <c r="B348" s="45">
        <f>'Parameter Input'!B63</f>
        <v>0.6133333333333334</v>
      </c>
      <c r="C348" s="46">
        <f>'Parameter Input'!C63</f>
        <v>0.6133333333333334</v>
      </c>
      <c r="D348" s="1" t="s">
        <v>57</v>
      </c>
      <c r="L348" s="54">
        <f>'Parameter Input'!E63</f>
        <v>12</v>
      </c>
      <c r="M348" s="37">
        <v>0</v>
      </c>
      <c r="N348" s="37">
        <v>1</v>
      </c>
      <c r="O348" s="37">
        <f>'Parameter Input'!F63</f>
        <v>0.9</v>
      </c>
      <c r="P348" s="55">
        <f>'Parameter Input'!G63</f>
        <v>0.4</v>
      </c>
      <c r="Q348" s="4">
        <f t="shared" si="292"/>
        <v>0.9867978615748374</v>
      </c>
      <c r="R348" s="4">
        <f t="shared" si="292"/>
        <v>0.98114509762858249</v>
      </c>
      <c r="S348" s="4">
        <f t="shared" si="292"/>
        <v>0.97311898315872036</v>
      </c>
      <c r="T348" s="4">
        <f t="shared" si="292"/>
        <v>0.96177484161592774</v>
      </c>
      <c r="U348" s="4">
        <f t="shared" si="292"/>
        <v>0.94584787155511363</v>
      </c>
      <c r="V348" s="4">
        <f t="shared" si="292"/>
        <v>0.92370360150141495</v>
      </c>
      <c r="W348" s="4">
        <f t="shared" si="292"/>
        <v>0.89334463567658451</v>
      </c>
      <c r="X348" s="4">
        <f t="shared" si="292"/>
        <v>0.85254543874327005</v>
      </c>
      <c r="Y348" s="4">
        <f t="shared" si="292"/>
        <v>0.79921300652623883</v>
      </c>
      <c r="Z348" s="4">
        <f t="shared" si="292"/>
        <v>0.73204982249993378</v>
      </c>
      <c r="AA348" s="4">
        <f t="shared" si="292"/>
        <v>0.65145592958786691</v>
      </c>
      <c r="AB348" s="4">
        <f t="shared" si="292"/>
        <v>0.56032247880849573</v>
      </c>
      <c r="AC348" s="4">
        <f t="shared" si="292"/>
        <v>0.46411326873185343</v>
      </c>
      <c r="AD348" s="4">
        <f t="shared" si="292"/>
        <v>0.36979727595523937</v>
      </c>
      <c r="AE348" s="4">
        <f t="shared" si="292"/>
        <v>0.28393948637231203</v>
      </c>
      <c r="AF348" s="4">
        <f t="shared" si="292"/>
        <v>0.21097259161117732</v>
      </c>
      <c r="AG348" s="4">
        <f t="shared" si="289"/>
        <v>0.15253917653798199</v>
      </c>
      <c r="AH348" s="4">
        <f t="shared" si="289"/>
        <v>0.10795188737709993</v>
      </c>
      <c r="AI348" s="4">
        <f t="shared" si="289"/>
        <v>7.5176653938091809E-2</v>
      </c>
      <c r="AJ348" s="4">
        <f t="shared" si="290"/>
        <v>5.1742836177502194E-2</v>
      </c>
      <c r="AK348" s="4">
        <f t="shared" si="290"/>
        <v>3.5319190625345942E-2</v>
      </c>
      <c r="AL348" s="4">
        <f t="shared" si="290"/>
        <v>2.3969442072658165E-2</v>
      </c>
      <c r="AM348" s="4">
        <f t="shared" si="290"/>
        <v>1.6202243558389728E-2</v>
      </c>
      <c r="AN348" s="4">
        <f t="shared" si="290"/>
        <v>1.0922240564108399E-2</v>
      </c>
      <c r="AO348" s="4">
        <f t="shared" si="290"/>
        <v>7.3493212906090566E-3</v>
      </c>
      <c r="AP348" s="4">
        <f t="shared" si="290"/>
        <v>4.9390262185057265E-3</v>
      </c>
      <c r="AQ348" s="4">
        <f t="shared" si="290"/>
        <v>3.3164275492956197E-3</v>
      </c>
      <c r="AR348" s="4">
        <f t="shared" si="290"/>
        <v>2.2256362146679809E-3</v>
      </c>
    </row>
    <row r="349" spans="1:44" x14ac:dyDescent="0.25">
      <c r="A349" s="24" t="s">
        <v>73</v>
      </c>
      <c r="B349" s="45">
        <f>'Parameter Input'!L27</f>
        <v>0</v>
      </c>
      <c r="C349" s="46">
        <f>'Parameter Input'!M27</f>
        <v>0</v>
      </c>
      <c r="D349" s="1" t="s">
        <v>57</v>
      </c>
      <c r="L349" s="54">
        <f>'Parameter Input'!O27</f>
        <v>12</v>
      </c>
      <c r="M349" s="37">
        <v>0</v>
      </c>
      <c r="N349" s="37">
        <v>1</v>
      </c>
      <c r="O349" s="37">
        <f>'Parameter Input'!P27</f>
        <v>0.9</v>
      </c>
      <c r="P349" s="55">
        <f>'Parameter Input'!Q27</f>
        <v>0.4</v>
      </c>
      <c r="Q349" s="4">
        <f t="shared" si="292"/>
        <v>0.9867978615748374</v>
      </c>
      <c r="R349" s="4">
        <f t="shared" si="292"/>
        <v>0.98114509762858249</v>
      </c>
      <c r="S349" s="4">
        <f t="shared" si="292"/>
        <v>0.97311898315872036</v>
      </c>
      <c r="T349" s="4">
        <f t="shared" si="292"/>
        <v>0.96177484161592774</v>
      </c>
      <c r="U349" s="4">
        <f t="shared" si="292"/>
        <v>0.94584787155511363</v>
      </c>
      <c r="V349" s="4">
        <f t="shared" si="292"/>
        <v>0.92370360150141495</v>
      </c>
      <c r="W349" s="4">
        <f t="shared" si="292"/>
        <v>0.89334463567658451</v>
      </c>
      <c r="X349" s="4">
        <f t="shared" si="292"/>
        <v>0.85254543874327005</v>
      </c>
      <c r="Y349" s="4">
        <f t="shared" si="292"/>
        <v>0.79921300652623883</v>
      </c>
      <c r="Z349" s="4">
        <f t="shared" si="292"/>
        <v>0.73204982249993378</v>
      </c>
      <c r="AA349" s="4">
        <f t="shared" si="292"/>
        <v>0.65145592958786691</v>
      </c>
      <c r="AB349" s="4">
        <f t="shared" si="292"/>
        <v>0.56032247880849573</v>
      </c>
      <c r="AC349" s="4">
        <f t="shared" si="292"/>
        <v>0.46411326873185343</v>
      </c>
      <c r="AD349" s="4">
        <f t="shared" si="292"/>
        <v>0.36979727595523937</v>
      </c>
      <c r="AE349" s="4">
        <f t="shared" si="292"/>
        <v>0.28393948637231203</v>
      </c>
      <c r="AF349" s="4">
        <f t="shared" si="292"/>
        <v>0.21097259161117732</v>
      </c>
      <c r="AG349" s="4">
        <f t="shared" si="289"/>
        <v>0.15253917653798199</v>
      </c>
      <c r="AH349" s="4">
        <f t="shared" si="289"/>
        <v>0.10795188737709993</v>
      </c>
      <c r="AI349" s="4">
        <f t="shared" si="289"/>
        <v>7.5176653938091809E-2</v>
      </c>
      <c r="AJ349" s="4">
        <f t="shared" si="290"/>
        <v>5.1742836177502194E-2</v>
      </c>
      <c r="AK349" s="4">
        <f t="shared" si="290"/>
        <v>3.5319190625345942E-2</v>
      </c>
      <c r="AL349" s="4">
        <f t="shared" si="290"/>
        <v>2.3969442072658165E-2</v>
      </c>
      <c r="AM349" s="4">
        <f t="shared" si="290"/>
        <v>1.6202243558389728E-2</v>
      </c>
      <c r="AN349" s="4">
        <f t="shared" si="290"/>
        <v>1.0922240564108399E-2</v>
      </c>
      <c r="AO349" s="4">
        <f t="shared" si="290"/>
        <v>7.3493212906090566E-3</v>
      </c>
      <c r="AP349" s="4">
        <f t="shared" si="290"/>
        <v>4.9390262185057265E-3</v>
      </c>
      <c r="AQ349" s="4">
        <f t="shared" si="290"/>
        <v>3.3164275492956197E-3</v>
      </c>
      <c r="AR349" s="4">
        <f t="shared" si="290"/>
        <v>2.2256362146679809E-3</v>
      </c>
    </row>
    <row r="350" spans="1:44" ht="15.75" thickBot="1" x14ac:dyDescent="0.3">
      <c r="A350" s="24" t="s">
        <v>64</v>
      </c>
      <c r="B350" s="49">
        <f>'Parameter Input'!B64</f>
        <v>78000</v>
      </c>
      <c r="C350" s="50">
        <f>'Parameter Input'!C64</f>
        <v>78000</v>
      </c>
      <c r="D350" s="1" t="s">
        <v>65</v>
      </c>
      <c r="L350" s="56">
        <f>'Parameter Input'!E64</f>
        <v>12</v>
      </c>
      <c r="M350" s="57">
        <v>0</v>
      </c>
      <c r="N350" s="57">
        <v>1</v>
      </c>
      <c r="O350" s="57">
        <f>'Parameter Input'!F64</f>
        <v>0.9</v>
      </c>
      <c r="P350" s="58">
        <f>'Parameter Input'!G64</f>
        <v>0.4</v>
      </c>
      <c r="Q350" s="4">
        <f t="shared" si="292"/>
        <v>0.9867978615748374</v>
      </c>
      <c r="R350" s="4">
        <f t="shared" si="292"/>
        <v>0.98114509762858249</v>
      </c>
      <c r="S350" s="4">
        <f t="shared" si="292"/>
        <v>0.97311898315872036</v>
      </c>
      <c r="T350" s="4">
        <f t="shared" si="292"/>
        <v>0.96177484161592774</v>
      </c>
      <c r="U350" s="4">
        <f t="shared" si="292"/>
        <v>0.94584787155511363</v>
      </c>
      <c r="V350" s="4">
        <f t="shared" si="292"/>
        <v>0.92370360150141495</v>
      </c>
      <c r="W350" s="4">
        <f t="shared" si="292"/>
        <v>0.89334463567658451</v>
      </c>
      <c r="X350" s="4">
        <f t="shared" si="292"/>
        <v>0.85254543874327005</v>
      </c>
      <c r="Y350" s="4">
        <f t="shared" si="292"/>
        <v>0.79921300652623883</v>
      </c>
      <c r="Z350" s="4">
        <f t="shared" si="292"/>
        <v>0.73204982249993378</v>
      </c>
      <c r="AA350" s="4">
        <f t="shared" si="292"/>
        <v>0.65145592958786691</v>
      </c>
      <c r="AB350" s="4">
        <f t="shared" si="292"/>
        <v>0.56032247880849573</v>
      </c>
      <c r="AC350" s="4">
        <f t="shared" si="292"/>
        <v>0.46411326873185343</v>
      </c>
      <c r="AD350" s="4">
        <f t="shared" si="292"/>
        <v>0.36979727595523937</v>
      </c>
      <c r="AE350" s="4">
        <f t="shared" si="292"/>
        <v>0.28393948637231203</v>
      </c>
      <c r="AF350" s="4">
        <f t="shared" si="292"/>
        <v>0.21097259161117732</v>
      </c>
      <c r="AG350" s="4">
        <f t="shared" si="289"/>
        <v>0.15253917653798199</v>
      </c>
      <c r="AH350" s="4">
        <f t="shared" si="289"/>
        <v>0.10795188737709993</v>
      </c>
      <c r="AI350" s="4">
        <f t="shared" si="289"/>
        <v>7.5176653938091809E-2</v>
      </c>
      <c r="AJ350" s="4">
        <f t="shared" si="290"/>
        <v>5.1742836177502194E-2</v>
      </c>
      <c r="AK350" s="4">
        <f t="shared" si="290"/>
        <v>3.5319190625345942E-2</v>
      </c>
      <c r="AL350" s="4">
        <f t="shared" si="290"/>
        <v>2.3969442072658165E-2</v>
      </c>
      <c r="AM350" s="4">
        <f t="shared" si="290"/>
        <v>1.6202243558389728E-2</v>
      </c>
      <c r="AN350" s="4">
        <f t="shared" si="290"/>
        <v>1.0922240564108399E-2</v>
      </c>
      <c r="AO350" s="4">
        <f t="shared" si="290"/>
        <v>7.3493212906090566E-3</v>
      </c>
      <c r="AP350" s="4">
        <f t="shared" si="290"/>
        <v>4.9390262185057265E-3</v>
      </c>
      <c r="AQ350" s="4">
        <f t="shared" si="290"/>
        <v>3.3164275492956197E-3</v>
      </c>
      <c r="AR350" s="4">
        <f t="shared" si="290"/>
        <v>2.2256362146679809E-3</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8" si="293">A334</f>
        <v>Capex vehicle</v>
      </c>
      <c r="B354" s="62">
        <f t="shared" ref="B354:B363" si="294">$B334+($C334-$B334)*(1-Q334)</f>
        <v>105132.02138425162</v>
      </c>
      <c r="C354" s="62">
        <f t="shared" ref="C354:C363" si="295">$B334+($C334-$B334)*(1-R334)</f>
        <v>105188.54902371418</v>
      </c>
      <c r="D354" s="62">
        <f t="shared" ref="D354:D363" si="296">$B334+($C334-$B334)*(1-S334)</f>
        <v>105268.81016841279</v>
      </c>
      <c r="E354" s="62">
        <f t="shared" ref="E354:E363" si="297">$B334+($C334-$B334)*(1-T334)</f>
        <v>105382.25158384073</v>
      </c>
      <c r="F354" s="62">
        <f t="shared" ref="F354:F363" si="298">$B334+($C334-$B334)*(1-U334)</f>
        <v>105541.52128444887</v>
      </c>
      <c r="G354" s="62">
        <f t="shared" ref="G354:G363" si="299">$B334+($C334-$B334)*(1-V334)</f>
        <v>105762.96398498585</v>
      </c>
      <c r="H354" s="62">
        <f t="shared" ref="H354:H363" si="300">$B334+($C334-$B334)*(1-W334)</f>
        <v>106066.55364323416</v>
      </c>
      <c r="I354" s="62">
        <f t="shared" ref="I354:I363" si="301">$B334+($C334-$B334)*(1-X334)</f>
        <v>106474.54561256729</v>
      </c>
      <c r="J354" s="62">
        <f t="shared" ref="J354:J363" si="302">$B334+($C334-$B334)*(1-Y334)</f>
        <v>107007.86993473761</v>
      </c>
      <c r="K354" s="62">
        <f t="shared" ref="K354:K363" si="303">$B334+($C334-$B334)*(1-Z334)</f>
        <v>107679.50177500067</v>
      </c>
      <c r="L354" s="62">
        <f t="shared" ref="L354:L363" si="304">$B334+($C334-$B334)*(1-AA334)</f>
        <v>108485.44070412133</v>
      </c>
      <c r="M354" s="62">
        <f t="shared" ref="M354:M363" si="305">$B334+($C334-$B334)*(1-AB334)</f>
        <v>109396.77521191504</v>
      </c>
      <c r="N354" s="62">
        <f t="shared" ref="N354:N363" si="306">$B334+($C334-$B334)*(1-AC334)</f>
        <v>110358.86731268147</v>
      </c>
      <c r="O354" s="62">
        <f t="shared" ref="O354:O363" si="307">$B334+($C334-$B334)*(1-AD334)</f>
        <v>111302.02724044761</v>
      </c>
      <c r="P354" s="62">
        <f t="shared" ref="P354:P363" si="308">$B334+($C334-$B334)*(1-AE334)</f>
        <v>112160.60513627688</v>
      </c>
      <c r="Q354" s="62">
        <f t="shared" ref="Q354:Q363" si="309">$B334+($C334-$B334)*(1-AF334)</f>
        <v>112890.27408388823</v>
      </c>
      <c r="R354" s="62">
        <f t="shared" ref="R354:R363" si="310">$B334+($C334-$B334)*(1-AG334)</f>
        <v>113474.60823462019</v>
      </c>
      <c r="S354" s="62">
        <f t="shared" ref="S354:S363" si="311">$B334+($C334-$B334)*(1-AH334)</f>
        <v>113920.481126229</v>
      </c>
      <c r="T354" s="62">
        <f t="shared" ref="T354:T363" si="312">$B334+($C334-$B334)*(1-AI334)</f>
        <v>114248.23346061909</v>
      </c>
      <c r="U354" s="62">
        <f t="shared" ref="U354:U363" si="313">$B334+($C334-$B334)*(1-AJ334)</f>
        <v>114482.57163822498</v>
      </c>
      <c r="V354" s="62">
        <f t="shared" ref="V354:V363" si="314">$B334+($C334-$B334)*(1-AK334)</f>
        <v>114646.80809374654</v>
      </c>
      <c r="W354" s="62">
        <f t="shared" ref="W354:W363" si="315">$B334+($C334-$B334)*(1-AL334)</f>
        <v>114760.30557927342</v>
      </c>
      <c r="X354" s="62">
        <f t="shared" ref="X354:X363" si="316">$B334+($C334-$B334)*(1-AM334)</f>
        <v>114837.9775644161</v>
      </c>
      <c r="Y354" s="62">
        <f t="shared" ref="Y354:Y363" si="317">$B334+($C334-$B334)*(1-AN334)</f>
        <v>114890.77759435892</v>
      </c>
      <c r="Z354" s="62">
        <f t="shared" ref="Z354:Z363" si="318">$B334+($C334-$B334)*(1-AO334)</f>
        <v>114926.50678709391</v>
      </c>
      <c r="AA354" s="62">
        <f t="shared" ref="AA354:AA363" si="319">$B334+($C334-$B334)*(1-AP334)</f>
        <v>114950.60973781494</v>
      </c>
      <c r="AB354" s="62">
        <f t="shared" ref="AB354:AB363" si="320">$B334+($C334-$B334)*(1-AQ334)</f>
        <v>114966.83572450705</v>
      </c>
      <c r="AC354" s="62">
        <f t="shared" ref="AC354:AC363" si="321">$B334+($C334-$B334)*(1-AR334)</f>
        <v>114977.74363785332</v>
      </c>
    </row>
    <row r="355" spans="1:29" x14ac:dyDescent="0.25">
      <c r="A355" s="30" t="str">
        <f t="shared" si="293"/>
        <v>Residual value (vehicle)</v>
      </c>
      <c r="B355" s="62">
        <f t="shared" si="294"/>
        <v>-26131.180754173536</v>
      </c>
      <c r="C355" s="62">
        <f t="shared" si="295"/>
        <v>-26080.305878657244</v>
      </c>
      <c r="D355" s="62">
        <f t="shared" si="296"/>
        <v>-26008.070848428484</v>
      </c>
      <c r="E355" s="62">
        <f t="shared" si="297"/>
        <v>-25905.97357454335</v>
      </c>
      <c r="F355" s="62">
        <f t="shared" si="298"/>
        <v>-25762.630843996023</v>
      </c>
      <c r="G355" s="62">
        <f t="shared" si="299"/>
        <v>-25563.332413512733</v>
      </c>
      <c r="H355" s="62">
        <f t="shared" si="300"/>
        <v>-25290.101721089261</v>
      </c>
      <c r="I355" s="62">
        <f t="shared" si="301"/>
        <v>-24922.90894868943</v>
      </c>
      <c r="J355" s="62">
        <f t="shared" si="302"/>
        <v>-24442.917058736151</v>
      </c>
      <c r="K355" s="62">
        <f t="shared" si="303"/>
        <v>-23838.448402499405</v>
      </c>
      <c r="L355" s="62">
        <f t="shared" si="304"/>
        <v>-23113.103366290801</v>
      </c>
      <c r="M355" s="62">
        <f t="shared" si="305"/>
        <v>-22292.902309276462</v>
      </c>
      <c r="N355" s="62">
        <f t="shared" si="306"/>
        <v>-21427.019418586682</v>
      </c>
      <c r="O355" s="62">
        <f t="shared" si="307"/>
        <v>-20578.175483597155</v>
      </c>
      <c r="P355" s="62">
        <f t="shared" si="308"/>
        <v>-19805.455377350809</v>
      </c>
      <c r="Q355" s="62">
        <f t="shared" si="309"/>
        <v>-19148.753324500598</v>
      </c>
      <c r="R355" s="62">
        <f t="shared" si="310"/>
        <v>-18622.852588841837</v>
      </c>
      <c r="S355" s="62">
        <f t="shared" si="311"/>
        <v>-18221.5669863939</v>
      </c>
      <c r="T355" s="62">
        <f t="shared" si="312"/>
        <v>-17926.589885442827</v>
      </c>
      <c r="U355" s="62">
        <f t="shared" si="313"/>
        <v>-17715.685525597521</v>
      </c>
      <c r="V355" s="62">
        <f t="shared" si="314"/>
        <v>-17567.872715628113</v>
      </c>
      <c r="W355" s="62">
        <f t="shared" si="315"/>
        <v>-17465.724978653925</v>
      </c>
      <c r="X355" s="62">
        <f t="shared" si="316"/>
        <v>-17395.820192025509</v>
      </c>
      <c r="Y355" s="62">
        <f t="shared" si="317"/>
        <v>-17348.300165076973</v>
      </c>
      <c r="Z355" s="62">
        <f t="shared" si="318"/>
        <v>-17316.14389161548</v>
      </c>
      <c r="AA355" s="62">
        <f t="shared" si="319"/>
        <v>-17294.451235966553</v>
      </c>
      <c r="AB355" s="62">
        <f t="shared" si="320"/>
        <v>-17279.84784794366</v>
      </c>
      <c r="AC355" s="62">
        <f t="shared" si="321"/>
        <v>-17270.030725932011</v>
      </c>
    </row>
    <row r="356" spans="1:29" x14ac:dyDescent="0.25">
      <c r="A356" s="30" t="str">
        <f t="shared" si="293"/>
        <v>Capex costumization</v>
      </c>
      <c r="B356" s="62">
        <f t="shared" si="294"/>
        <v>40000</v>
      </c>
      <c r="C356" s="62">
        <f t="shared" si="295"/>
        <v>40000</v>
      </c>
      <c r="D356" s="62">
        <f t="shared" si="296"/>
        <v>40000</v>
      </c>
      <c r="E356" s="62">
        <f t="shared" si="297"/>
        <v>40000</v>
      </c>
      <c r="F356" s="62">
        <f t="shared" si="298"/>
        <v>40000</v>
      </c>
      <c r="G356" s="62">
        <f t="shared" si="299"/>
        <v>40000</v>
      </c>
      <c r="H356" s="62">
        <f t="shared" si="300"/>
        <v>40000</v>
      </c>
      <c r="I356" s="62">
        <f t="shared" si="301"/>
        <v>40000</v>
      </c>
      <c r="J356" s="62">
        <f t="shared" si="302"/>
        <v>40000</v>
      </c>
      <c r="K356" s="62">
        <f t="shared" si="303"/>
        <v>40000</v>
      </c>
      <c r="L356" s="62">
        <f t="shared" si="304"/>
        <v>40000</v>
      </c>
      <c r="M356" s="62">
        <f t="shared" si="305"/>
        <v>40000</v>
      </c>
      <c r="N356" s="62">
        <f t="shared" si="306"/>
        <v>40000</v>
      </c>
      <c r="O356" s="62">
        <f t="shared" si="307"/>
        <v>40000</v>
      </c>
      <c r="P356" s="62">
        <f t="shared" si="308"/>
        <v>40000</v>
      </c>
      <c r="Q356" s="62">
        <f t="shared" si="309"/>
        <v>40000</v>
      </c>
      <c r="R356" s="62">
        <f t="shared" si="310"/>
        <v>40000</v>
      </c>
      <c r="S356" s="62">
        <f t="shared" si="311"/>
        <v>40000</v>
      </c>
      <c r="T356" s="62">
        <f t="shared" si="312"/>
        <v>40000</v>
      </c>
      <c r="U356" s="62">
        <f t="shared" si="313"/>
        <v>40000</v>
      </c>
      <c r="V356" s="62">
        <f t="shared" si="314"/>
        <v>40000</v>
      </c>
      <c r="W356" s="62">
        <f t="shared" si="315"/>
        <v>40000</v>
      </c>
      <c r="X356" s="62">
        <f t="shared" si="316"/>
        <v>40000</v>
      </c>
      <c r="Y356" s="62">
        <f t="shared" si="317"/>
        <v>40000</v>
      </c>
      <c r="Z356" s="62">
        <f t="shared" si="318"/>
        <v>40000</v>
      </c>
      <c r="AA356" s="62">
        <f t="shared" si="319"/>
        <v>40000</v>
      </c>
      <c r="AB356" s="62">
        <f t="shared" si="320"/>
        <v>40000</v>
      </c>
      <c r="AC356" s="62">
        <f t="shared" si="321"/>
        <v>40000</v>
      </c>
    </row>
    <row r="357" spans="1:29" x14ac:dyDescent="0.25">
      <c r="A357" s="30" t="str">
        <f t="shared" si="293"/>
        <v>Residual value (costumization)</v>
      </c>
      <c r="B357" s="62">
        <f t="shared" si="294"/>
        <v>-10000</v>
      </c>
      <c r="C357" s="62">
        <f t="shared" si="295"/>
        <v>-10000</v>
      </c>
      <c r="D357" s="62">
        <f t="shared" si="296"/>
        <v>-10000</v>
      </c>
      <c r="E357" s="62">
        <f t="shared" si="297"/>
        <v>-10000</v>
      </c>
      <c r="F357" s="62">
        <f t="shared" si="298"/>
        <v>-10000</v>
      </c>
      <c r="G357" s="62">
        <f t="shared" si="299"/>
        <v>-10000</v>
      </c>
      <c r="H357" s="62">
        <f t="shared" si="300"/>
        <v>-10000</v>
      </c>
      <c r="I357" s="62">
        <f t="shared" si="301"/>
        <v>-10000</v>
      </c>
      <c r="J357" s="62">
        <f t="shared" si="302"/>
        <v>-10000</v>
      </c>
      <c r="K357" s="62">
        <f t="shared" si="303"/>
        <v>-10000</v>
      </c>
      <c r="L357" s="62">
        <f t="shared" si="304"/>
        <v>-10000</v>
      </c>
      <c r="M357" s="62">
        <f t="shared" si="305"/>
        <v>-10000</v>
      </c>
      <c r="N357" s="62">
        <f t="shared" si="306"/>
        <v>-10000</v>
      </c>
      <c r="O357" s="62">
        <f t="shared" si="307"/>
        <v>-10000</v>
      </c>
      <c r="P357" s="62">
        <f t="shared" si="308"/>
        <v>-10000</v>
      </c>
      <c r="Q357" s="62">
        <f t="shared" si="309"/>
        <v>-10000</v>
      </c>
      <c r="R357" s="62">
        <f t="shared" si="310"/>
        <v>-10000</v>
      </c>
      <c r="S357" s="62">
        <f t="shared" si="311"/>
        <v>-10000</v>
      </c>
      <c r="T357" s="62">
        <f t="shared" si="312"/>
        <v>-10000</v>
      </c>
      <c r="U357" s="62">
        <f t="shared" si="313"/>
        <v>-10000</v>
      </c>
      <c r="V357" s="62">
        <f t="shared" si="314"/>
        <v>-10000</v>
      </c>
      <c r="W357" s="62">
        <f t="shared" si="315"/>
        <v>-10000</v>
      </c>
      <c r="X357" s="62">
        <f t="shared" si="316"/>
        <v>-10000</v>
      </c>
      <c r="Y357" s="62">
        <f t="shared" si="317"/>
        <v>-10000</v>
      </c>
      <c r="Z357" s="62">
        <f t="shared" si="318"/>
        <v>-10000</v>
      </c>
      <c r="AA357" s="62">
        <f t="shared" si="319"/>
        <v>-10000</v>
      </c>
      <c r="AB357" s="62">
        <f t="shared" si="320"/>
        <v>-10000</v>
      </c>
      <c r="AC357" s="62">
        <f t="shared" si="321"/>
        <v>-10000</v>
      </c>
    </row>
    <row r="358" spans="1:29" x14ac:dyDescent="0.25">
      <c r="A358" s="30" t="str">
        <f t="shared" si="293"/>
        <v>WACC</v>
      </c>
      <c r="B358" s="62">
        <f t="shared" si="294"/>
        <v>0.06</v>
      </c>
      <c r="C358" s="62">
        <f t="shared" si="295"/>
        <v>0.06</v>
      </c>
      <c r="D358" s="62">
        <f t="shared" si="296"/>
        <v>0.06</v>
      </c>
      <c r="E358" s="62">
        <f t="shared" si="297"/>
        <v>0.06</v>
      </c>
      <c r="F358" s="62">
        <f t="shared" si="298"/>
        <v>0.06</v>
      </c>
      <c r="G358" s="62">
        <f t="shared" si="299"/>
        <v>0.06</v>
      </c>
      <c r="H358" s="62">
        <f t="shared" si="300"/>
        <v>0.06</v>
      </c>
      <c r="I358" s="62">
        <f t="shared" si="301"/>
        <v>0.06</v>
      </c>
      <c r="J358" s="62">
        <f t="shared" si="302"/>
        <v>0.06</v>
      </c>
      <c r="K358" s="62">
        <f t="shared" si="303"/>
        <v>0.06</v>
      </c>
      <c r="L358" s="62">
        <f t="shared" si="304"/>
        <v>0.06</v>
      </c>
      <c r="M358" s="62">
        <f t="shared" si="305"/>
        <v>0.06</v>
      </c>
      <c r="N358" s="62">
        <f t="shared" si="306"/>
        <v>0.06</v>
      </c>
      <c r="O358" s="62">
        <f t="shared" si="307"/>
        <v>0.06</v>
      </c>
      <c r="P358" s="62">
        <f t="shared" si="308"/>
        <v>0.06</v>
      </c>
      <c r="Q358" s="62">
        <f t="shared" si="309"/>
        <v>0.06</v>
      </c>
      <c r="R358" s="62">
        <f t="shared" si="310"/>
        <v>0.06</v>
      </c>
      <c r="S358" s="62">
        <f t="shared" si="311"/>
        <v>0.06</v>
      </c>
      <c r="T358" s="62">
        <f t="shared" si="312"/>
        <v>0.06</v>
      </c>
      <c r="U358" s="62">
        <f t="shared" si="313"/>
        <v>0.06</v>
      </c>
      <c r="V358" s="62">
        <f t="shared" si="314"/>
        <v>0.06</v>
      </c>
      <c r="W358" s="62">
        <f t="shared" si="315"/>
        <v>0.06</v>
      </c>
      <c r="X358" s="62">
        <f t="shared" si="316"/>
        <v>0.06</v>
      </c>
      <c r="Y358" s="62">
        <f t="shared" si="317"/>
        <v>0.06</v>
      </c>
      <c r="Z358" s="62">
        <f t="shared" si="318"/>
        <v>0.06</v>
      </c>
      <c r="AA358" s="62">
        <f t="shared" si="319"/>
        <v>0.06</v>
      </c>
      <c r="AB358" s="62">
        <f t="shared" si="320"/>
        <v>0.06</v>
      </c>
      <c r="AC358" s="62">
        <f t="shared" si="321"/>
        <v>0.06</v>
      </c>
    </row>
    <row r="359" spans="1:29" x14ac:dyDescent="0.25">
      <c r="A359" s="30" t="str">
        <f t="shared" si="293"/>
        <v>Opex fix (admin, crew, insurance)</v>
      </c>
      <c r="B359" s="62">
        <f t="shared" si="294"/>
        <v>70000</v>
      </c>
      <c r="C359" s="62">
        <f t="shared" si="295"/>
        <v>70000</v>
      </c>
      <c r="D359" s="62">
        <f t="shared" si="296"/>
        <v>70000</v>
      </c>
      <c r="E359" s="62">
        <f t="shared" si="297"/>
        <v>70000</v>
      </c>
      <c r="F359" s="62">
        <f t="shared" si="298"/>
        <v>70000</v>
      </c>
      <c r="G359" s="62">
        <f t="shared" si="299"/>
        <v>70000</v>
      </c>
      <c r="H359" s="62">
        <f t="shared" si="300"/>
        <v>70000</v>
      </c>
      <c r="I359" s="62">
        <f t="shared" si="301"/>
        <v>70000</v>
      </c>
      <c r="J359" s="62">
        <f t="shared" si="302"/>
        <v>70000</v>
      </c>
      <c r="K359" s="62">
        <f t="shared" si="303"/>
        <v>70000</v>
      </c>
      <c r="L359" s="62">
        <f t="shared" si="304"/>
        <v>70000</v>
      </c>
      <c r="M359" s="62">
        <f t="shared" si="305"/>
        <v>70000</v>
      </c>
      <c r="N359" s="62">
        <f t="shared" si="306"/>
        <v>70000</v>
      </c>
      <c r="O359" s="62">
        <f t="shared" si="307"/>
        <v>70000</v>
      </c>
      <c r="P359" s="62">
        <f t="shared" si="308"/>
        <v>70000</v>
      </c>
      <c r="Q359" s="62">
        <f t="shared" si="309"/>
        <v>70000</v>
      </c>
      <c r="R359" s="62">
        <f t="shared" si="310"/>
        <v>70000</v>
      </c>
      <c r="S359" s="62">
        <f t="shared" si="311"/>
        <v>70000</v>
      </c>
      <c r="T359" s="62">
        <f t="shared" si="312"/>
        <v>70000</v>
      </c>
      <c r="U359" s="62">
        <f t="shared" si="313"/>
        <v>70000</v>
      </c>
      <c r="V359" s="62">
        <f t="shared" si="314"/>
        <v>70000</v>
      </c>
      <c r="W359" s="62">
        <f t="shared" si="315"/>
        <v>70000</v>
      </c>
      <c r="X359" s="62">
        <f t="shared" si="316"/>
        <v>70000</v>
      </c>
      <c r="Y359" s="62">
        <f t="shared" si="317"/>
        <v>70000</v>
      </c>
      <c r="Z359" s="62">
        <f t="shared" si="318"/>
        <v>70000</v>
      </c>
      <c r="AA359" s="62">
        <f t="shared" si="319"/>
        <v>70000</v>
      </c>
      <c r="AB359" s="62">
        <f t="shared" si="320"/>
        <v>70000</v>
      </c>
      <c r="AC359" s="62">
        <f t="shared" si="321"/>
        <v>70000</v>
      </c>
    </row>
    <row r="360" spans="1:29" x14ac:dyDescent="0.25">
      <c r="A360" s="30" t="str">
        <f t="shared" si="293"/>
        <v>Opex maintenance &amp; repair</v>
      </c>
      <c r="B360" s="62">
        <f t="shared" si="294"/>
        <v>20000</v>
      </c>
      <c r="C360" s="62">
        <f t="shared" si="295"/>
        <v>20000</v>
      </c>
      <c r="D360" s="62">
        <f t="shared" si="296"/>
        <v>20000</v>
      </c>
      <c r="E360" s="62">
        <f t="shared" si="297"/>
        <v>20000</v>
      </c>
      <c r="F360" s="62">
        <f t="shared" si="298"/>
        <v>20000</v>
      </c>
      <c r="G360" s="62">
        <f t="shared" si="299"/>
        <v>20000</v>
      </c>
      <c r="H360" s="62">
        <f t="shared" si="300"/>
        <v>20000</v>
      </c>
      <c r="I360" s="62">
        <f t="shared" si="301"/>
        <v>20000</v>
      </c>
      <c r="J360" s="62">
        <f t="shared" si="302"/>
        <v>20000</v>
      </c>
      <c r="K360" s="62">
        <f t="shared" si="303"/>
        <v>20000</v>
      </c>
      <c r="L360" s="62">
        <f t="shared" si="304"/>
        <v>20000</v>
      </c>
      <c r="M360" s="62">
        <f t="shared" si="305"/>
        <v>20000</v>
      </c>
      <c r="N360" s="62">
        <f t="shared" si="306"/>
        <v>20000</v>
      </c>
      <c r="O360" s="62">
        <f t="shared" si="307"/>
        <v>20000</v>
      </c>
      <c r="P360" s="62">
        <f t="shared" si="308"/>
        <v>20000</v>
      </c>
      <c r="Q360" s="62">
        <f t="shared" si="309"/>
        <v>20000</v>
      </c>
      <c r="R360" s="62">
        <f t="shared" si="310"/>
        <v>20000</v>
      </c>
      <c r="S360" s="62">
        <f t="shared" si="311"/>
        <v>20000</v>
      </c>
      <c r="T360" s="62">
        <f t="shared" si="312"/>
        <v>20000</v>
      </c>
      <c r="U360" s="62">
        <f t="shared" si="313"/>
        <v>20000</v>
      </c>
      <c r="V360" s="62">
        <f t="shared" si="314"/>
        <v>20000</v>
      </c>
      <c r="W360" s="62">
        <f t="shared" si="315"/>
        <v>20000</v>
      </c>
      <c r="X360" s="62">
        <f t="shared" si="316"/>
        <v>20000</v>
      </c>
      <c r="Y360" s="62">
        <f t="shared" si="317"/>
        <v>20000</v>
      </c>
      <c r="Z360" s="62">
        <f t="shared" si="318"/>
        <v>20000</v>
      </c>
      <c r="AA360" s="62">
        <f t="shared" si="319"/>
        <v>20000</v>
      </c>
      <c r="AB360" s="62">
        <f t="shared" si="320"/>
        <v>20000</v>
      </c>
      <c r="AC360" s="62">
        <f t="shared" si="321"/>
        <v>20000</v>
      </c>
    </row>
    <row r="361" spans="1:29" x14ac:dyDescent="0.25">
      <c r="A361" s="30" t="str">
        <f t="shared" si="293"/>
        <v>Opex var (mode-fees)</v>
      </c>
      <c r="B361" s="62">
        <f t="shared" si="294"/>
        <v>0.11</v>
      </c>
      <c r="C361" s="62">
        <f t="shared" si="295"/>
        <v>0.11</v>
      </c>
      <c r="D361" s="62">
        <f t="shared" si="296"/>
        <v>0.11</v>
      </c>
      <c r="E361" s="62">
        <f t="shared" si="297"/>
        <v>0.11</v>
      </c>
      <c r="F361" s="62">
        <f t="shared" si="298"/>
        <v>0.11</v>
      </c>
      <c r="G361" s="62">
        <f t="shared" si="299"/>
        <v>0.11</v>
      </c>
      <c r="H361" s="62">
        <f t="shared" si="300"/>
        <v>0.11</v>
      </c>
      <c r="I361" s="62">
        <f t="shared" si="301"/>
        <v>0.11</v>
      </c>
      <c r="J361" s="62">
        <f t="shared" si="302"/>
        <v>0.11</v>
      </c>
      <c r="K361" s="62">
        <f t="shared" si="303"/>
        <v>0.11</v>
      </c>
      <c r="L361" s="62">
        <f t="shared" si="304"/>
        <v>0.11</v>
      </c>
      <c r="M361" s="62">
        <f t="shared" si="305"/>
        <v>0.11</v>
      </c>
      <c r="N361" s="62">
        <f t="shared" si="306"/>
        <v>0.11</v>
      </c>
      <c r="O361" s="62">
        <f t="shared" si="307"/>
        <v>0.11</v>
      </c>
      <c r="P361" s="62">
        <f t="shared" si="308"/>
        <v>0.11</v>
      </c>
      <c r="Q361" s="62">
        <f t="shared" si="309"/>
        <v>0.11</v>
      </c>
      <c r="R361" s="62">
        <f t="shared" si="310"/>
        <v>0.11</v>
      </c>
      <c r="S361" s="62">
        <f t="shared" si="311"/>
        <v>0.11</v>
      </c>
      <c r="T361" s="62">
        <f t="shared" si="312"/>
        <v>0.11</v>
      </c>
      <c r="U361" s="62">
        <f t="shared" si="313"/>
        <v>0.11</v>
      </c>
      <c r="V361" s="62">
        <f t="shared" si="314"/>
        <v>0.11</v>
      </c>
      <c r="W361" s="62">
        <f t="shared" si="315"/>
        <v>0.11</v>
      </c>
      <c r="X361" s="62">
        <f t="shared" si="316"/>
        <v>0.11</v>
      </c>
      <c r="Y361" s="62">
        <f t="shared" si="317"/>
        <v>0.11</v>
      </c>
      <c r="Z361" s="62">
        <f t="shared" si="318"/>
        <v>0.11</v>
      </c>
      <c r="AA361" s="62">
        <f t="shared" si="319"/>
        <v>0.11</v>
      </c>
      <c r="AB361" s="62">
        <f t="shared" si="320"/>
        <v>0.11</v>
      </c>
      <c r="AC361" s="62">
        <f t="shared" si="321"/>
        <v>0.11</v>
      </c>
    </row>
    <row r="362" spans="1:29" x14ac:dyDescent="0.25">
      <c r="A362" s="30" t="str">
        <f t="shared" si="293"/>
        <v>Fuel Economy</v>
      </c>
      <c r="B362" s="62">
        <f t="shared" si="294"/>
        <v>2.8933989307874186</v>
      </c>
      <c r="C362" s="62">
        <f t="shared" si="295"/>
        <v>2.890572548814291</v>
      </c>
      <c r="D362" s="62">
        <f t="shared" si="296"/>
        <v>2.88655949157936</v>
      </c>
      <c r="E362" s="62">
        <f t="shared" si="297"/>
        <v>2.880887420807964</v>
      </c>
      <c r="F362" s="62">
        <f t="shared" si="298"/>
        <v>2.8729239357775569</v>
      </c>
      <c r="G362" s="62">
        <f t="shared" si="299"/>
        <v>2.8618518007507072</v>
      </c>
      <c r="H362" s="62">
        <f t="shared" si="300"/>
        <v>2.846672317838292</v>
      </c>
      <c r="I362" s="62">
        <f t="shared" si="301"/>
        <v>2.826272719371635</v>
      </c>
      <c r="J362" s="62">
        <f t="shared" si="302"/>
        <v>2.7996065032631194</v>
      </c>
      <c r="K362" s="62">
        <f t="shared" si="303"/>
        <v>2.7660249112499669</v>
      </c>
      <c r="L362" s="62">
        <f t="shared" si="304"/>
        <v>2.7257279647939332</v>
      </c>
      <c r="M362" s="62">
        <f t="shared" si="305"/>
        <v>2.6801612394042476</v>
      </c>
      <c r="N362" s="62">
        <f t="shared" si="306"/>
        <v>2.6320566343659264</v>
      </c>
      <c r="O362" s="62">
        <f t="shared" si="307"/>
        <v>2.5848986379776195</v>
      </c>
      <c r="P362" s="62">
        <f t="shared" si="308"/>
        <v>2.5419697431861561</v>
      </c>
      <c r="Q362" s="62">
        <f t="shared" si="309"/>
        <v>2.5054862958055883</v>
      </c>
      <c r="R362" s="62">
        <f t="shared" si="310"/>
        <v>2.4762695882689911</v>
      </c>
      <c r="S362" s="62">
        <f t="shared" si="311"/>
        <v>2.4539759436885498</v>
      </c>
      <c r="T362" s="62">
        <f t="shared" si="312"/>
        <v>2.4375883269690459</v>
      </c>
      <c r="U362" s="62">
        <f t="shared" si="313"/>
        <v>2.4258714180887511</v>
      </c>
      <c r="V362" s="62">
        <f t="shared" si="314"/>
        <v>2.4176595953126729</v>
      </c>
      <c r="W362" s="62">
        <f t="shared" si="315"/>
        <v>2.4119847210363288</v>
      </c>
      <c r="X362" s="62">
        <f t="shared" si="316"/>
        <v>2.408101121779195</v>
      </c>
      <c r="Y362" s="62">
        <f t="shared" si="317"/>
        <v>2.4054611202820539</v>
      </c>
      <c r="Z362" s="62">
        <f t="shared" si="318"/>
        <v>2.4036746606453043</v>
      </c>
      <c r="AA362" s="62">
        <f t="shared" si="319"/>
        <v>2.4024695131092528</v>
      </c>
      <c r="AB362" s="62">
        <f t="shared" si="320"/>
        <v>2.4016582137746476</v>
      </c>
      <c r="AC362" s="62">
        <f t="shared" si="321"/>
        <v>2.4011128181073338</v>
      </c>
    </row>
    <row r="363" spans="1:29" x14ac:dyDescent="0.25">
      <c r="A363" s="30" t="str">
        <f t="shared" si="293"/>
        <v>Fuel Cost</v>
      </c>
      <c r="B363" s="62">
        <f t="shared" si="294"/>
        <v>0.1</v>
      </c>
      <c r="C363" s="62">
        <f t="shared" si="295"/>
        <v>0.1</v>
      </c>
      <c r="D363" s="62">
        <f t="shared" si="296"/>
        <v>0.1</v>
      </c>
      <c r="E363" s="62">
        <f t="shared" si="297"/>
        <v>0.1</v>
      </c>
      <c r="F363" s="62">
        <f t="shared" si="298"/>
        <v>0.1</v>
      </c>
      <c r="G363" s="62">
        <f t="shared" si="299"/>
        <v>0.1</v>
      </c>
      <c r="H363" s="62">
        <f t="shared" si="300"/>
        <v>0.1</v>
      </c>
      <c r="I363" s="62">
        <f t="shared" si="301"/>
        <v>0.1</v>
      </c>
      <c r="J363" s="62">
        <f t="shared" si="302"/>
        <v>0.1</v>
      </c>
      <c r="K363" s="62">
        <f t="shared" si="303"/>
        <v>0.1</v>
      </c>
      <c r="L363" s="62">
        <f t="shared" si="304"/>
        <v>0.1</v>
      </c>
      <c r="M363" s="62">
        <f t="shared" si="305"/>
        <v>0.1</v>
      </c>
      <c r="N363" s="62">
        <f t="shared" si="306"/>
        <v>0.1</v>
      </c>
      <c r="O363" s="62">
        <f t="shared" si="307"/>
        <v>0.1</v>
      </c>
      <c r="P363" s="62">
        <f t="shared" si="308"/>
        <v>0.1</v>
      </c>
      <c r="Q363" s="62">
        <f t="shared" si="309"/>
        <v>0.1</v>
      </c>
      <c r="R363" s="62">
        <f t="shared" si="310"/>
        <v>0.1</v>
      </c>
      <c r="S363" s="62">
        <f t="shared" si="311"/>
        <v>0.1</v>
      </c>
      <c r="T363" s="62">
        <f t="shared" si="312"/>
        <v>0.1</v>
      </c>
      <c r="U363" s="62">
        <f t="shared" si="313"/>
        <v>0.1</v>
      </c>
      <c r="V363" s="62">
        <f t="shared" si="314"/>
        <v>0.1</v>
      </c>
      <c r="W363" s="62">
        <f t="shared" si="315"/>
        <v>0.1</v>
      </c>
      <c r="X363" s="62">
        <f t="shared" si="316"/>
        <v>0.1</v>
      </c>
      <c r="Y363" s="62">
        <f t="shared" si="317"/>
        <v>0.1</v>
      </c>
      <c r="Z363" s="62">
        <f t="shared" si="318"/>
        <v>0.1</v>
      </c>
      <c r="AA363" s="62">
        <f t="shared" si="319"/>
        <v>0.1</v>
      </c>
      <c r="AB363" s="62">
        <f t="shared" si="320"/>
        <v>0.1</v>
      </c>
      <c r="AC363" s="62">
        <f t="shared" si="321"/>
        <v>0.1</v>
      </c>
    </row>
    <row r="364" spans="1:29" x14ac:dyDescent="0.25">
      <c r="A364" s="30" t="str">
        <f t="shared" si="293"/>
        <v>Emission Cost</v>
      </c>
      <c r="B364" s="62">
        <f>$B344+($C344-$B344)*(1-Q344)</f>
        <v>7.7639122778339092E-2</v>
      </c>
      <c r="C364" s="62">
        <f t="shared" ref="C364:AC364" si="322">$B344+($C344-$B344)*(1-R344)</f>
        <v>7.777844914537467E-2</v>
      </c>
      <c r="D364" s="62">
        <f t="shared" si="322"/>
        <v>7.7977891736541474E-2</v>
      </c>
      <c r="E364" s="62">
        <f t="shared" si="322"/>
        <v>7.8263208388635597E-2</v>
      </c>
      <c r="F364" s="62">
        <f t="shared" si="322"/>
        <v>7.8670988842723152E-2</v>
      </c>
      <c r="G364" s="62">
        <f t="shared" si="322"/>
        <v>7.925297967571665E-2</v>
      </c>
      <c r="H364" s="62">
        <f t="shared" si="322"/>
        <v>8.0081877399879431E-2</v>
      </c>
      <c r="I364" s="62">
        <f t="shared" si="322"/>
        <v>8.1258793344219593E-2</v>
      </c>
      <c r="J364" s="62">
        <f t="shared" si="322"/>
        <v>8.2922250937142977E-2</v>
      </c>
      <c r="K364" s="62">
        <f t="shared" si="322"/>
        <v>8.5257715386346467E-2</v>
      </c>
      <c r="L364" s="62">
        <f t="shared" si="322"/>
        <v>8.8504858770587308E-2</v>
      </c>
      <c r="M364" s="62">
        <f t="shared" si="322"/>
        <v>9.2956570874505887E-2</v>
      </c>
      <c r="N364" s="62">
        <f t="shared" si="322"/>
        <v>9.8939194915988959E-2</v>
      </c>
      <c r="O364" s="62">
        <f t="shared" si="322"/>
        <v>0.10675964029617348</v>
      </c>
      <c r="P364" s="62">
        <f t="shared" si="322"/>
        <v>0.11660816942568256</v>
      </c>
      <c r="Q364" s="62">
        <f t="shared" si="322"/>
        <v>0.12842612167902054</v>
      </c>
      <c r="R364" s="62">
        <f t="shared" si="322"/>
        <v>0.14178955073148763</v>
      </c>
      <c r="S364" s="62">
        <f t="shared" si="322"/>
        <v>0.15589726795340736</v>
      </c>
      <c r="T364" s="62">
        <f t="shared" si="322"/>
        <v>0.16972737168814467</v>
      </c>
      <c r="U364" s="62">
        <f t="shared" si="322"/>
        <v>0.18231719979056973</v>
      </c>
      <c r="V364" s="62">
        <f t="shared" si="322"/>
        <v>0.19301676085163266</v>
      </c>
      <c r="W364" s="62">
        <f t="shared" si="322"/>
        <v>0.20158519307872402</v>
      </c>
      <c r="X364" s="62">
        <f t="shared" si="322"/>
        <v>0.20812328716215528</v>
      </c>
      <c r="Y364" s="62">
        <f t="shared" si="322"/>
        <v>0.21292931066938076</v>
      </c>
      <c r="Z364" s="62">
        <f t="shared" si="322"/>
        <v>0.21636554794991802</v>
      </c>
      <c r="AA364" s="62">
        <f t="shared" si="322"/>
        <v>0.21877384282125395</v>
      </c>
      <c r="AB364" s="62">
        <f t="shared" si="322"/>
        <v>0.22043812260271833</v>
      </c>
      <c r="AC364" s="62">
        <f t="shared" si="322"/>
        <v>0.22157707219141698</v>
      </c>
    </row>
    <row r="365" spans="1:29" x14ac:dyDescent="0.25">
      <c r="A365" s="30" t="str">
        <f t="shared" si="293"/>
        <v>Lifetime vehicle</v>
      </c>
      <c r="B365" s="62">
        <f>$B345+($C345-$B345)*(1-Q345)</f>
        <v>8</v>
      </c>
      <c r="C365" s="62">
        <f t="shared" ref="C365:L367" si="323">$B345+($C345-$B345)*(1-R345)</f>
        <v>8</v>
      </c>
      <c r="D365" s="62">
        <f t="shared" si="323"/>
        <v>8</v>
      </c>
      <c r="E365" s="62">
        <f t="shared" si="323"/>
        <v>8</v>
      </c>
      <c r="F365" s="62">
        <f t="shared" si="323"/>
        <v>8</v>
      </c>
      <c r="G365" s="62">
        <f t="shared" si="323"/>
        <v>8</v>
      </c>
      <c r="H365" s="62">
        <f t="shared" si="323"/>
        <v>8</v>
      </c>
      <c r="I365" s="62">
        <f t="shared" si="323"/>
        <v>8</v>
      </c>
      <c r="J365" s="62">
        <f t="shared" si="323"/>
        <v>8</v>
      </c>
      <c r="K365" s="62">
        <f t="shared" si="323"/>
        <v>8</v>
      </c>
      <c r="L365" s="62">
        <f t="shared" si="323"/>
        <v>8</v>
      </c>
      <c r="M365" s="62">
        <f t="shared" ref="M365:V367" si="324">$B345+($C345-$B345)*(1-AB345)</f>
        <v>8</v>
      </c>
      <c r="N365" s="62">
        <f t="shared" si="324"/>
        <v>8</v>
      </c>
      <c r="O365" s="62">
        <f t="shared" si="324"/>
        <v>8</v>
      </c>
      <c r="P365" s="62">
        <f t="shared" si="324"/>
        <v>8</v>
      </c>
      <c r="Q365" s="62">
        <f t="shared" si="324"/>
        <v>8</v>
      </c>
      <c r="R365" s="62">
        <f t="shared" si="324"/>
        <v>8</v>
      </c>
      <c r="S365" s="62">
        <f t="shared" si="324"/>
        <v>8</v>
      </c>
      <c r="T365" s="62">
        <f t="shared" si="324"/>
        <v>8</v>
      </c>
      <c r="U365" s="62">
        <f t="shared" si="324"/>
        <v>8</v>
      </c>
      <c r="V365" s="62">
        <f t="shared" si="324"/>
        <v>8</v>
      </c>
      <c r="W365" s="62">
        <f t="shared" ref="W365:AC367" si="325">$B345+($C345-$B345)*(1-AL345)</f>
        <v>8</v>
      </c>
      <c r="X365" s="62">
        <f t="shared" si="325"/>
        <v>8</v>
      </c>
      <c r="Y365" s="62">
        <f t="shared" si="325"/>
        <v>8</v>
      </c>
      <c r="Z365" s="62">
        <f t="shared" si="325"/>
        <v>8</v>
      </c>
      <c r="AA365" s="62">
        <f t="shared" si="325"/>
        <v>8</v>
      </c>
      <c r="AB365" s="62">
        <f t="shared" si="325"/>
        <v>8</v>
      </c>
      <c r="AC365" s="62">
        <f t="shared" si="325"/>
        <v>8</v>
      </c>
    </row>
    <row r="366" spans="1:29" x14ac:dyDescent="0.25">
      <c r="A366" s="30" t="str">
        <f t="shared" si="293"/>
        <v>Lifetime costumization</v>
      </c>
      <c r="B366" s="62">
        <f>$B346+($C346-$B346)*(1-Q346)</f>
        <v>10</v>
      </c>
      <c r="C366" s="62">
        <f t="shared" si="323"/>
        <v>10</v>
      </c>
      <c r="D366" s="62">
        <f t="shared" si="323"/>
        <v>10</v>
      </c>
      <c r="E366" s="62">
        <f t="shared" si="323"/>
        <v>10</v>
      </c>
      <c r="F366" s="62">
        <f t="shared" si="323"/>
        <v>10</v>
      </c>
      <c r="G366" s="62">
        <f t="shared" si="323"/>
        <v>10</v>
      </c>
      <c r="H366" s="62">
        <f t="shared" si="323"/>
        <v>10</v>
      </c>
      <c r="I366" s="62">
        <f t="shared" si="323"/>
        <v>10</v>
      </c>
      <c r="J366" s="62">
        <f t="shared" si="323"/>
        <v>10</v>
      </c>
      <c r="K366" s="62">
        <f t="shared" si="323"/>
        <v>10</v>
      </c>
      <c r="L366" s="62">
        <f t="shared" si="323"/>
        <v>10</v>
      </c>
      <c r="M366" s="62">
        <f t="shared" si="324"/>
        <v>10</v>
      </c>
      <c r="N366" s="62">
        <f t="shared" si="324"/>
        <v>10</v>
      </c>
      <c r="O366" s="62">
        <f t="shared" si="324"/>
        <v>10</v>
      </c>
      <c r="P366" s="62">
        <f t="shared" si="324"/>
        <v>10</v>
      </c>
      <c r="Q366" s="62">
        <f t="shared" si="324"/>
        <v>10</v>
      </c>
      <c r="R366" s="62">
        <f t="shared" si="324"/>
        <v>10</v>
      </c>
      <c r="S366" s="62">
        <f t="shared" si="324"/>
        <v>10</v>
      </c>
      <c r="T366" s="62">
        <f t="shared" si="324"/>
        <v>10</v>
      </c>
      <c r="U366" s="62">
        <f t="shared" si="324"/>
        <v>10</v>
      </c>
      <c r="V366" s="62">
        <f t="shared" si="324"/>
        <v>10</v>
      </c>
      <c r="W366" s="62">
        <f t="shared" si="325"/>
        <v>10</v>
      </c>
      <c r="X366" s="62">
        <f t="shared" si="325"/>
        <v>10</v>
      </c>
      <c r="Y366" s="62">
        <f t="shared" si="325"/>
        <v>10</v>
      </c>
      <c r="Z366" s="62">
        <f t="shared" si="325"/>
        <v>10</v>
      </c>
      <c r="AA366" s="62">
        <f t="shared" si="325"/>
        <v>10</v>
      </c>
      <c r="AB366" s="62">
        <f t="shared" si="325"/>
        <v>10</v>
      </c>
      <c r="AC366" s="62">
        <f t="shared" si="325"/>
        <v>10</v>
      </c>
    </row>
    <row r="367" spans="1:29" x14ac:dyDescent="0.25">
      <c r="A367" s="30" t="str">
        <f t="shared" si="293"/>
        <v>Tonnage .</v>
      </c>
      <c r="B367" s="62">
        <f>$B347+($C347-$B347)*(1-Q347)</f>
        <v>25</v>
      </c>
      <c r="C367" s="62">
        <f t="shared" si="323"/>
        <v>25</v>
      </c>
      <c r="D367" s="62">
        <f t="shared" si="323"/>
        <v>25</v>
      </c>
      <c r="E367" s="62">
        <f t="shared" si="323"/>
        <v>25</v>
      </c>
      <c r="F367" s="62">
        <f t="shared" si="323"/>
        <v>25</v>
      </c>
      <c r="G367" s="62">
        <f t="shared" si="323"/>
        <v>25</v>
      </c>
      <c r="H367" s="62">
        <f t="shared" si="323"/>
        <v>25</v>
      </c>
      <c r="I367" s="62">
        <f t="shared" si="323"/>
        <v>25</v>
      </c>
      <c r="J367" s="62">
        <f t="shared" si="323"/>
        <v>25</v>
      </c>
      <c r="K367" s="62">
        <f t="shared" si="323"/>
        <v>25</v>
      </c>
      <c r="L367" s="62">
        <f t="shared" si="323"/>
        <v>25</v>
      </c>
      <c r="M367" s="62">
        <f t="shared" si="324"/>
        <v>25</v>
      </c>
      <c r="N367" s="62">
        <f t="shared" si="324"/>
        <v>25</v>
      </c>
      <c r="O367" s="62">
        <f t="shared" si="324"/>
        <v>25</v>
      </c>
      <c r="P367" s="62">
        <f t="shared" si="324"/>
        <v>25</v>
      </c>
      <c r="Q367" s="62">
        <f t="shared" si="324"/>
        <v>25</v>
      </c>
      <c r="R367" s="62">
        <f t="shared" si="324"/>
        <v>25</v>
      </c>
      <c r="S367" s="62">
        <f t="shared" si="324"/>
        <v>25</v>
      </c>
      <c r="T367" s="62">
        <f t="shared" si="324"/>
        <v>25</v>
      </c>
      <c r="U367" s="62">
        <f t="shared" si="324"/>
        <v>25</v>
      </c>
      <c r="V367" s="62">
        <f t="shared" si="324"/>
        <v>25</v>
      </c>
      <c r="W367" s="62">
        <f t="shared" si="325"/>
        <v>25</v>
      </c>
      <c r="X367" s="62">
        <f t="shared" si="325"/>
        <v>25</v>
      </c>
      <c r="Y367" s="62">
        <f t="shared" si="325"/>
        <v>25</v>
      </c>
      <c r="Z367" s="62">
        <f t="shared" si="325"/>
        <v>25</v>
      </c>
      <c r="AA367" s="62">
        <f t="shared" si="325"/>
        <v>25</v>
      </c>
      <c r="AB367" s="62">
        <f t="shared" si="325"/>
        <v>25</v>
      </c>
      <c r="AC367" s="62">
        <f t="shared" si="325"/>
        <v>25</v>
      </c>
    </row>
    <row r="368" spans="1:29" x14ac:dyDescent="0.25">
      <c r="A368" s="30" t="str">
        <f t="shared" si="293"/>
        <v>Market failure (av. utilization)</v>
      </c>
      <c r="B368" s="62">
        <f t="shared" ref="B368:K369" si="326">($B348+($C348-$B348)*(1-Q348))*B$44</f>
        <v>15.333333333333336</v>
      </c>
      <c r="C368" s="62">
        <f t="shared" si="326"/>
        <v>15.333333333333336</v>
      </c>
      <c r="D368" s="62">
        <f t="shared" si="326"/>
        <v>15.333333333333336</v>
      </c>
      <c r="E368" s="62">
        <f t="shared" si="326"/>
        <v>15.333333333333336</v>
      </c>
      <c r="F368" s="62">
        <f t="shared" si="326"/>
        <v>15.333333333333336</v>
      </c>
      <c r="G368" s="62">
        <f t="shared" si="326"/>
        <v>15.333333333333336</v>
      </c>
      <c r="H368" s="62">
        <f t="shared" si="326"/>
        <v>15.333333333333336</v>
      </c>
      <c r="I368" s="62">
        <f t="shared" si="326"/>
        <v>15.333333333333336</v>
      </c>
      <c r="J368" s="62">
        <f t="shared" si="326"/>
        <v>15.333333333333336</v>
      </c>
      <c r="K368" s="62">
        <f t="shared" si="326"/>
        <v>15.333333333333336</v>
      </c>
      <c r="L368" s="62">
        <f t="shared" ref="L368:U369" si="327">($B348+($C348-$B348)*(1-AA348))*L$44</f>
        <v>15.333333333333336</v>
      </c>
      <c r="M368" s="62">
        <f t="shared" si="327"/>
        <v>15.333333333333336</v>
      </c>
      <c r="N368" s="62">
        <f t="shared" si="327"/>
        <v>15.333333333333336</v>
      </c>
      <c r="O368" s="62">
        <f t="shared" si="327"/>
        <v>15.333333333333336</v>
      </c>
      <c r="P368" s="62">
        <f t="shared" si="327"/>
        <v>15.333333333333336</v>
      </c>
      <c r="Q368" s="62">
        <f t="shared" si="327"/>
        <v>15.333333333333336</v>
      </c>
      <c r="R368" s="62">
        <f t="shared" si="327"/>
        <v>15.333333333333336</v>
      </c>
      <c r="S368" s="62">
        <f t="shared" si="327"/>
        <v>15.333333333333336</v>
      </c>
      <c r="T368" s="62">
        <f t="shared" si="327"/>
        <v>15.333333333333336</v>
      </c>
      <c r="U368" s="62">
        <f t="shared" si="327"/>
        <v>15.333333333333336</v>
      </c>
      <c r="V368" s="62">
        <f t="shared" ref="V368:AC369" si="328">($B348+($C348-$B348)*(1-AK348))*V$44</f>
        <v>15.333333333333336</v>
      </c>
      <c r="W368" s="62">
        <f t="shared" si="328"/>
        <v>15.333333333333336</v>
      </c>
      <c r="X368" s="62">
        <f t="shared" si="328"/>
        <v>15.333333333333336</v>
      </c>
      <c r="Y368" s="62">
        <f t="shared" si="328"/>
        <v>15.333333333333336</v>
      </c>
      <c r="Z368" s="62">
        <f t="shared" si="328"/>
        <v>15.333333333333336</v>
      </c>
      <c r="AA368" s="62">
        <f t="shared" si="328"/>
        <v>15.333333333333336</v>
      </c>
      <c r="AB368" s="62">
        <f t="shared" si="328"/>
        <v>15.333333333333336</v>
      </c>
      <c r="AC368" s="62">
        <f t="shared" si="328"/>
        <v>15.333333333333336</v>
      </c>
    </row>
    <row r="369" spans="1:29" x14ac:dyDescent="0.25">
      <c r="A369" s="30" t="s">
        <v>73</v>
      </c>
      <c r="B369" s="62">
        <f t="shared" si="326"/>
        <v>0</v>
      </c>
      <c r="C369" s="62">
        <f t="shared" si="326"/>
        <v>0</v>
      </c>
      <c r="D369" s="62">
        <f t="shared" si="326"/>
        <v>0</v>
      </c>
      <c r="E369" s="62">
        <f t="shared" si="326"/>
        <v>0</v>
      </c>
      <c r="F369" s="62">
        <f t="shared" si="326"/>
        <v>0</v>
      </c>
      <c r="G369" s="62">
        <f t="shared" si="326"/>
        <v>0</v>
      </c>
      <c r="H369" s="62">
        <f t="shared" si="326"/>
        <v>0</v>
      </c>
      <c r="I369" s="62">
        <f t="shared" si="326"/>
        <v>0</v>
      </c>
      <c r="J369" s="62">
        <f t="shared" si="326"/>
        <v>0</v>
      </c>
      <c r="K369" s="62">
        <f t="shared" si="326"/>
        <v>0</v>
      </c>
      <c r="L369" s="62">
        <f t="shared" si="327"/>
        <v>0</v>
      </c>
      <c r="M369" s="62">
        <f t="shared" si="327"/>
        <v>0</v>
      </c>
      <c r="N369" s="62">
        <f t="shared" si="327"/>
        <v>0</v>
      </c>
      <c r="O369" s="62">
        <f t="shared" si="327"/>
        <v>0</v>
      </c>
      <c r="P369" s="62">
        <f t="shared" si="327"/>
        <v>0</v>
      </c>
      <c r="Q369" s="62">
        <f t="shared" si="327"/>
        <v>0</v>
      </c>
      <c r="R369" s="62">
        <f t="shared" si="327"/>
        <v>0</v>
      </c>
      <c r="S369" s="62">
        <f t="shared" si="327"/>
        <v>0</v>
      </c>
      <c r="T369" s="62">
        <f t="shared" si="327"/>
        <v>0</v>
      </c>
      <c r="U369" s="62">
        <f t="shared" si="327"/>
        <v>0</v>
      </c>
      <c r="V369" s="62">
        <f t="shared" si="328"/>
        <v>0</v>
      </c>
      <c r="W369" s="62">
        <f t="shared" si="328"/>
        <v>0</v>
      </c>
      <c r="X369" s="62">
        <f t="shared" si="328"/>
        <v>0</v>
      </c>
      <c r="Y369" s="62">
        <f t="shared" si="328"/>
        <v>0</v>
      </c>
      <c r="Z369" s="62">
        <f t="shared" si="328"/>
        <v>0</v>
      </c>
      <c r="AA369" s="62">
        <f t="shared" si="328"/>
        <v>0</v>
      </c>
      <c r="AB369" s="62">
        <f t="shared" si="328"/>
        <v>0</v>
      </c>
      <c r="AC369" s="62">
        <f t="shared" si="328"/>
        <v>0</v>
      </c>
    </row>
    <row r="370" spans="1:29" x14ac:dyDescent="0.25">
      <c r="A370" s="30" t="str">
        <f>A350</f>
        <v>Annual Mileage</v>
      </c>
      <c r="B370" s="62">
        <f t="shared" ref="B370" si="329">$B350+($C350-$B350)*(1-Q350)</f>
        <v>78000</v>
      </c>
      <c r="C370" s="62">
        <f t="shared" ref="C370" si="330">$B350+($C350-$B350)*(1-R350)</f>
        <v>78000</v>
      </c>
      <c r="D370" s="62">
        <f t="shared" ref="D370" si="331">$B350+($C350-$B350)*(1-S350)</f>
        <v>78000</v>
      </c>
      <c r="E370" s="62">
        <f t="shared" ref="E370" si="332">$B350+($C350-$B350)*(1-T350)</f>
        <v>78000</v>
      </c>
      <c r="F370" s="62">
        <f t="shared" ref="F370" si="333">$B350+($C350-$B350)*(1-U350)</f>
        <v>78000</v>
      </c>
      <c r="G370" s="62">
        <f t="shared" ref="G370" si="334">$B350+($C350-$B350)*(1-V350)</f>
        <v>78000</v>
      </c>
      <c r="H370" s="62">
        <f t="shared" ref="H370" si="335">$B350+($C350-$B350)*(1-W350)</f>
        <v>78000</v>
      </c>
      <c r="I370" s="62">
        <f t="shared" ref="I370" si="336">$B350+($C350-$B350)*(1-X350)</f>
        <v>78000</v>
      </c>
      <c r="J370" s="62">
        <f t="shared" ref="J370" si="337">$B350+($C350-$B350)*(1-Y350)</f>
        <v>78000</v>
      </c>
      <c r="K370" s="62">
        <f t="shared" ref="K370" si="338">$B350+($C350-$B350)*(1-Z350)</f>
        <v>78000</v>
      </c>
      <c r="L370" s="62">
        <f t="shared" ref="L370" si="339">$B350+($C350-$B350)*(1-AA350)</f>
        <v>78000</v>
      </c>
      <c r="M370" s="62">
        <f t="shared" ref="M370" si="340">$B350+($C350-$B350)*(1-AB350)</f>
        <v>78000</v>
      </c>
      <c r="N370" s="62">
        <f t="shared" ref="N370" si="341">$B350+($C350-$B350)*(1-AC350)</f>
        <v>78000</v>
      </c>
      <c r="O370" s="62">
        <f t="shared" ref="O370" si="342">$B350+($C350-$B350)*(1-AD350)</f>
        <v>78000</v>
      </c>
      <c r="P370" s="62">
        <f t="shared" ref="P370" si="343">$B350+($C350-$B350)*(1-AE350)</f>
        <v>78000</v>
      </c>
      <c r="Q370" s="62">
        <f t="shared" ref="Q370" si="344">$B350+($C350-$B350)*(1-AF350)</f>
        <v>78000</v>
      </c>
      <c r="R370" s="62">
        <f t="shared" ref="R370" si="345">$B350+($C350-$B350)*(1-AG350)</f>
        <v>78000</v>
      </c>
      <c r="S370" s="62">
        <f t="shared" ref="S370" si="346">$B350+($C350-$B350)*(1-AH350)</f>
        <v>78000</v>
      </c>
      <c r="T370" s="62">
        <f t="shared" ref="T370" si="347">$B350+($C350-$B350)*(1-AI350)</f>
        <v>78000</v>
      </c>
      <c r="U370" s="62">
        <f t="shared" ref="U370" si="348">$B350+($C350-$B350)*(1-AJ350)</f>
        <v>78000</v>
      </c>
      <c r="V370" s="62">
        <f t="shared" ref="V370" si="349">$B350+($C350-$B350)*(1-AK350)</f>
        <v>78000</v>
      </c>
      <c r="W370" s="62">
        <f t="shared" ref="W370" si="350">$B350+($C350-$B350)*(1-AL350)</f>
        <v>78000</v>
      </c>
      <c r="X370" s="62">
        <f t="shared" ref="X370" si="351">$B350+($C350-$B350)*(1-AM350)</f>
        <v>78000</v>
      </c>
      <c r="Y370" s="62">
        <f t="shared" ref="Y370" si="352">$B350+($C350-$B350)*(1-AN350)</f>
        <v>78000</v>
      </c>
      <c r="Z370" s="62">
        <f t="shared" ref="Z370" si="353">$B350+($C350-$B350)*(1-AO350)</f>
        <v>78000</v>
      </c>
      <c r="AA370" s="62">
        <f t="shared" ref="AA370" si="354">$B350+($C350-$B350)*(1-AP350)</f>
        <v>78000</v>
      </c>
      <c r="AB370" s="62">
        <f t="shared" ref="AB370" si="355">$B350+($C350-$B350)*(1-AQ350)</f>
        <v>78000</v>
      </c>
      <c r="AC370" s="62">
        <f t="shared" ref="AC370" si="356">$B350+($C350-$B350)*(1-AR350)</f>
        <v>78000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16930.034166116213</v>
      </c>
      <c r="C373" s="63">
        <f t="shared" ref="C373:AC373" si="357">((1+C358)^C365)*C358/(((1+C358)^C365)-1)*(C354)</f>
        <v>16939.137147822737</v>
      </c>
      <c r="D373" s="63">
        <f t="shared" si="357"/>
        <v>16952.062076917297</v>
      </c>
      <c r="E373" s="63">
        <f t="shared" si="357"/>
        <v>16970.330222186072</v>
      </c>
      <c r="F373" s="63">
        <f t="shared" si="357"/>
        <v>16995.97836855879</v>
      </c>
      <c r="G373" s="63">
        <f t="shared" si="357"/>
        <v>17031.638602582309</v>
      </c>
      <c r="H373" s="63">
        <f t="shared" si="357"/>
        <v>17080.52744937655</v>
      </c>
      <c r="I373" s="63">
        <f t="shared" si="357"/>
        <v>17146.228820750977</v>
      </c>
      <c r="J373" s="63">
        <f t="shared" si="357"/>
        <v>17232.113205708847</v>
      </c>
      <c r="K373" s="63">
        <f t="shared" si="357"/>
        <v>17340.270072218107</v>
      </c>
      <c r="L373" s="63">
        <f t="shared" si="357"/>
        <v>17470.055207385878</v>
      </c>
      <c r="M373" s="63">
        <f t="shared" si="357"/>
        <v>17616.812818916205</v>
      </c>
      <c r="N373" s="63">
        <f t="shared" si="357"/>
        <v>17771.744227277446</v>
      </c>
      <c r="O373" s="63">
        <f t="shared" si="357"/>
        <v>17923.62687531321</v>
      </c>
      <c r="P373" s="63">
        <f t="shared" si="357"/>
        <v>18061.888776104923</v>
      </c>
      <c r="Q373" s="63">
        <f t="shared" si="357"/>
        <v>18179.391702904584</v>
      </c>
      <c r="R373" s="63">
        <f t="shared" si="357"/>
        <v>18273.490503689198</v>
      </c>
      <c r="S373" s="63">
        <f t="shared" si="357"/>
        <v>18345.292065090671</v>
      </c>
      <c r="T373" s="63">
        <f t="shared" si="357"/>
        <v>18398.071971214304</v>
      </c>
      <c r="U373" s="63">
        <f t="shared" si="357"/>
        <v>18435.808840543512</v>
      </c>
      <c r="V373" s="63">
        <f t="shared" si="357"/>
        <v>18462.256812975615</v>
      </c>
      <c r="W373" s="63">
        <f t="shared" si="357"/>
        <v>18480.533987545627</v>
      </c>
      <c r="X373" s="63">
        <f t="shared" si="357"/>
        <v>18493.041968890429</v>
      </c>
      <c r="Y373" s="63">
        <f t="shared" si="357"/>
        <v>18501.544671484124</v>
      </c>
      <c r="Z373" s="63">
        <f t="shared" si="357"/>
        <v>18507.298355716259</v>
      </c>
      <c r="AA373" s="63">
        <f t="shared" si="357"/>
        <v>18511.179797106222</v>
      </c>
      <c r="AB373" s="63">
        <f t="shared" si="357"/>
        <v>18513.792764168582</v>
      </c>
      <c r="AC373" s="63">
        <f t="shared" si="357"/>
        <v>18515.549330276619</v>
      </c>
    </row>
    <row r="374" spans="1:29" x14ac:dyDescent="0.25">
      <c r="A374" s="30" t="str">
        <f>A355</f>
        <v>Residual value (vehicle)</v>
      </c>
      <c r="B374" s="62">
        <f>((1+B358)^B365)*B358/(((1+B358)^B365)-1)*(B355)</f>
        <v>-4208.0593252569806</v>
      </c>
      <c r="C374" s="62">
        <f t="shared" ref="C374:AC374" si="358">((1+C358)^C365)*C358/(((1+C358)^C365)-1)*(C355)</f>
        <v>-4199.866641721108</v>
      </c>
      <c r="D374" s="62">
        <f t="shared" si="358"/>
        <v>-4188.2342055360041</v>
      </c>
      <c r="E374" s="62">
        <f t="shared" si="358"/>
        <v>-4171.7928747941069</v>
      </c>
      <c r="F374" s="62">
        <f t="shared" si="358"/>
        <v>-4148.7095430586614</v>
      </c>
      <c r="G374" s="62">
        <f t="shared" si="358"/>
        <v>-4116.6153324374927</v>
      </c>
      <c r="H374" s="62">
        <f t="shared" si="358"/>
        <v>-4072.6153703226773</v>
      </c>
      <c r="I374" s="62">
        <f t="shared" si="358"/>
        <v>-4013.4841360856908</v>
      </c>
      <c r="J374" s="62">
        <f t="shared" si="358"/>
        <v>-3936.1881896236077</v>
      </c>
      <c r="K374" s="62">
        <f t="shared" si="358"/>
        <v>-3838.8470097652757</v>
      </c>
      <c r="L374" s="62">
        <f t="shared" si="358"/>
        <v>-3722.0403881142815</v>
      </c>
      <c r="M374" s="62">
        <f t="shared" si="358"/>
        <v>-3589.9585377369858</v>
      </c>
      <c r="N374" s="62">
        <f t="shared" si="358"/>
        <v>-3450.5202702118704</v>
      </c>
      <c r="O374" s="62">
        <f t="shared" si="358"/>
        <v>-3313.8258869796846</v>
      </c>
      <c r="P374" s="62">
        <f t="shared" si="358"/>
        <v>-3189.3901762671421</v>
      </c>
      <c r="Q374" s="62">
        <f t="shared" si="358"/>
        <v>-3083.6375421474468</v>
      </c>
      <c r="R374" s="62">
        <f t="shared" si="358"/>
        <v>-2998.9486214412941</v>
      </c>
      <c r="S374" s="62">
        <f t="shared" si="358"/>
        <v>-2934.3272161799682</v>
      </c>
      <c r="T374" s="62">
        <f t="shared" si="358"/>
        <v>-2886.8253006686996</v>
      </c>
      <c r="U374" s="62">
        <f t="shared" si="358"/>
        <v>-2852.8621182724105</v>
      </c>
      <c r="V374" s="62">
        <f t="shared" si="358"/>
        <v>-2829.0589430835184</v>
      </c>
      <c r="W374" s="62">
        <f t="shared" si="358"/>
        <v>-2812.6094859705067</v>
      </c>
      <c r="X374" s="62">
        <f t="shared" si="358"/>
        <v>-2801.3523027601836</v>
      </c>
      <c r="Y374" s="62">
        <f t="shared" si="358"/>
        <v>-2793.6998704258613</v>
      </c>
      <c r="Z374" s="62">
        <f t="shared" si="358"/>
        <v>-2788.5215546169388</v>
      </c>
      <c r="AA374" s="62">
        <f t="shared" si="358"/>
        <v>-2785.0282573659729</v>
      </c>
      <c r="AB374" s="62">
        <f t="shared" si="358"/>
        <v>-2782.6765870098498</v>
      </c>
      <c r="AC374" s="62">
        <f t="shared" si="358"/>
        <v>-2781.0956775126119</v>
      </c>
    </row>
    <row r="375" spans="1:29" x14ac:dyDescent="0.25">
      <c r="A375" s="30" t="str">
        <f>A356</f>
        <v>Capex costumization</v>
      </c>
      <c r="B375" s="62">
        <f>((1+B358)^B366)*B358/(((1+B358)^B366)-1)*(B356)</f>
        <v>5434.7183288153492</v>
      </c>
      <c r="C375" s="62">
        <f t="shared" ref="C375:AC375" si="359">((1+C358)^C366)*C358/(((1+C358)^C366)-1)*(C356)</f>
        <v>5434.7183288153492</v>
      </c>
      <c r="D375" s="62">
        <f t="shared" si="359"/>
        <v>5434.7183288153492</v>
      </c>
      <c r="E375" s="62">
        <f t="shared" si="359"/>
        <v>5434.7183288153492</v>
      </c>
      <c r="F375" s="62">
        <f t="shared" si="359"/>
        <v>5434.7183288153492</v>
      </c>
      <c r="G375" s="62">
        <f t="shared" si="359"/>
        <v>5434.7183288153492</v>
      </c>
      <c r="H375" s="62">
        <f t="shared" si="359"/>
        <v>5434.7183288153492</v>
      </c>
      <c r="I375" s="62">
        <f t="shared" si="359"/>
        <v>5434.7183288153492</v>
      </c>
      <c r="J375" s="62">
        <f t="shared" si="359"/>
        <v>5434.7183288153492</v>
      </c>
      <c r="K375" s="62">
        <f t="shared" si="359"/>
        <v>5434.7183288153492</v>
      </c>
      <c r="L375" s="62">
        <f t="shared" si="359"/>
        <v>5434.7183288153492</v>
      </c>
      <c r="M375" s="62">
        <f t="shared" si="359"/>
        <v>5434.7183288153492</v>
      </c>
      <c r="N375" s="62">
        <f t="shared" si="359"/>
        <v>5434.7183288153492</v>
      </c>
      <c r="O375" s="62">
        <f t="shared" si="359"/>
        <v>5434.7183288153492</v>
      </c>
      <c r="P375" s="62">
        <f t="shared" si="359"/>
        <v>5434.7183288153492</v>
      </c>
      <c r="Q375" s="62">
        <f t="shared" si="359"/>
        <v>5434.7183288153492</v>
      </c>
      <c r="R375" s="62">
        <f t="shared" si="359"/>
        <v>5434.7183288153492</v>
      </c>
      <c r="S375" s="62">
        <f t="shared" si="359"/>
        <v>5434.7183288153492</v>
      </c>
      <c r="T375" s="62">
        <f t="shared" si="359"/>
        <v>5434.7183288153492</v>
      </c>
      <c r="U375" s="62">
        <f t="shared" si="359"/>
        <v>5434.7183288153492</v>
      </c>
      <c r="V375" s="62">
        <f t="shared" si="359"/>
        <v>5434.7183288153492</v>
      </c>
      <c r="W375" s="62">
        <f t="shared" si="359"/>
        <v>5434.7183288153492</v>
      </c>
      <c r="X375" s="62">
        <f t="shared" si="359"/>
        <v>5434.7183288153492</v>
      </c>
      <c r="Y375" s="62">
        <f t="shared" si="359"/>
        <v>5434.7183288153492</v>
      </c>
      <c r="Z375" s="62">
        <f t="shared" si="359"/>
        <v>5434.7183288153492</v>
      </c>
      <c r="AA375" s="62">
        <f t="shared" si="359"/>
        <v>5434.7183288153492</v>
      </c>
      <c r="AB375" s="62">
        <f t="shared" si="359"/>
        <v>5434.7183288153492</v>
      </c>
      <c r="AC375" s="62">
        <f t="shared" si="359"/>
        <v>5434.7183288153492</v>
      </c>
    </row>
    <row r="376" spans="1:29" x14ac:dyDescent="0.25">
      <c r="A376" s="30" t="str">
        <f>A357</f>
        <v>Residual value (costumization)</v>
      </c>
      <c r="B376" s="62">
        <f>((1+B358)^B366)*B358/(((1+B358)^B366)-1)*(B357)</f>
        <v>-1358.6795822038373</v>
      </c>
      <c r="C376" s="62">
        <f t="shared" ref="C376:AC376" si="360">((1+C358)^C366)*C358/(((1+C358)^C366)-1)*(C357)</f>
        <v>-1358.6795822038373</v>
      </c>
      <c r="D376" s="62">
        <f t="shared" si="360"/>
        <v>-1358.6795822038373</v>
      </c>
      <c r="E376" s="62">
        <f t="shared" si="360"/>
        <v>-1358.6795822038373</v>
      </c>
      <c r="F376" s="62">
        <f t="shared" si="360"/>
        <v>-1358.6795822038373</v>
      </c>
      <c r="G376" s="62">
        <f t="shared" si="360"/>
        <v>-1358.6795822038373</v>
      </c>
      <c r="H376" s="62">
        <f t="shared" si="360"/>
        <v>-1358.6795822038373</v>
      </c>
      <c r="I376" s="62">
        <f t="shared" si="360"/>
        <v>-1358.6795822038373</v>
      </c>
      <c r="J376" s="62">
        <f t="shared" si="360"/>
        <v>-1358.6795822038373</v>
      </c>
      <c r="K376" s="62">
        <f t="shared" si="360"/>
        <v>-1358.6795822038373</v>
      </c>
      <c r="L376" s="62">
        <f t="shared" si="360"/>
        <v>-1358.6795822038373</v>
      </c>
      <c r="M376" s="62">
        <f t="shared" si="360"/>
        <v>-1358.6795822038373</v>
      </c>
      <c r="N376" s="62">
        <f t="shared" si="360"/>
        <v>-1358.6795822038373</v>
      </c>
      <c r="O376" s="62">
        <f t="shared" si="360"/>
        <v>-1358.6795822038373</v>
      </c>
      <c r="P376" s="62">
        <f t="shared" si="360"/>
        <v>-1358.6795822038373</v>
      </c>
      <c r="Q376" s="62">
        <f t="shared" si="360"/>
        <v>-1358.6795822038373</v>
      </c>
      <c r="R376" s="62">
        <f t="shared" si="360"/>
        <v>-1358.6795822038373</v>
      </c>
      <c r="S376" s="62">
        <f t="shared" si="360"/>
        <v>-1358.6795822038373</v>
      </c>
      <c r="T376" s="62">
        <f t="shared" si="360"/>
        <v>-1358.6795822038373</v>
      </c>
      <c r="U376" s="62">
        <f t="shared" si="360"/>
        <v>-1358.6795822038373</v>
      </c>
      <c r="V376" s="62">
        <f t="shared" si="360"/>
        <v>-1358.6795822038373</v>
      </c>
      <c r="W376" s="62">
        <f t="shared" si="360"/>
        <v>-1358.6795822038373</v>
      </c>
      <c r="X376" s="62">
        <f t="shared" si="360"/>
        <v>-1358.6795822038373</v>
      </c>
      <c r="Y376" s="62">
        <f t="shared" si="360"/>
        <v>-1358.6795822038373</v>
      </c>
      <c r="Z376" s="62">
        <f t="shared" si="360"/>
        <v>-1358.6795822038373</v>
      </c>
      <c r="AA376" s="62">
        <f t="shared" si="360"/>
        <v>-1358.6795822038373</v>
      </c>
      <c r="AB376" s="62">
        <f t="shared" si="360"/>
        <v>-1358.6795822038373</v>
      </c>
      <c r="AC376" s="62">
        <f t="shared" si="360"/>
        <v>-1358.6795822038373</v>
      </c>
    </row>
    <row r="377" spans="1:29" x14ac:dyDescent="0.25">
      <c r="A377" s="30" t="str">
        <f>A359</f>
        <v>Opex fix (admin, crew, insurance)</v>
      </c>
      <c r="B377" s="62">
        <f>B359</f>
        <v>70000</v>
      </c>
      <c r="C377" s="62">
        <f t="shared" ref="C377:AC377" si="361">C359</f>
        <v>70000</v>
      </c>
      <c r="D377" s="62">
        <f t="shared" si="361"/>
        <v>70000</v>
      </c>
      <c r="E377" s="62">
        <f t="shared" si="361"/>
        <v>70000</v>
      </c>
      <c r="F377" s="62">
        <f t="shared" si="361"/>
        <v>70000</v>
      </c>
      <c r="G377" s="62">
        <f t="shared" si="361"/>
        <v>70000</v>
      </c>
      <c r="H377" s="62">
        <f t="shared" si="361"/>
        <v>70000</v>
      </c>
      <c r="I377" s="62">
        <f t="shared" si="361"/>
        <v>70000</v>
      </c>
      <c r="J377" s="62">
        <f t="shared" si="361"/>
        <v>70000</v>
      </c>
      <c r="K377" s="62">
        <f t="shared" si="361"/>
        <v>70000</v>
      </c>
      <c r="L377" s="62">
        <f t="shared" si="361"/>
        <v>70000</v>
      </c>
      <c r="M377" s="62">
        <f t="shared" si="361"/>
        <v>70000</v>
      </c>
      <c r="N377" s="62">
        <f t="shared" si="361"/>
        <v>70000</v>
      </c>
      <c r="O377" s="62">
        <f t="shared" si="361"/>
        <v>70000</v>
      </c>
      <c r="P377" s="62">
        <f t="shared" si="361"/>
        <v>70000</v>
      </c>
      <c r="Q377" s="62">
        <f t="shared" si="361"/>
        <v>70000</v>
      </c>
      <c r="R377" s="62">
        <f t="shared" si="361"/>
        <v>70000</v>
      </c>
      <c r="S377" s="62">
        <f t="shared" si="361"/>
        <v>70000</v>
      </c>
      <c r="T377" s="62">
        <f t="shared" si="361"/>
        <v>70000</v>
      </c>
      <c r="U377" s="62">
        <f t="shared" si="361"/>
        <v>70000</v>
      </c>
      <c r="V377" s="62">
        <f t="shared" si="361"/>
        <v>70000</v>
      </c>
      <c r="W377" s="62">
        <f t="shared" si="361"/>
        <v>70000</v>
      </c>
      <c r="X377" s="62">
        <f t="shared" si="361"/>
        <v>70000</v>
      </c>
      <c r="Y377" s="62">
        <f t="shared" si="361"/>
        <v>70000</v>
      </c>
      <c r="Z377" s="62">
        <f t="shared" si="361"/>
        <v>70000</v>
      </c>
      <c r="AA377" s="62">
        <f t="shared" si="361"/>
        <v>70000</v>
      </c>
      <c r="AB377" s="62">
        <f t="shared" si="361"/>
        <v>70000</v>
      </c>
      <c r="AC377" s="62">
        <f t="shared" si="361"/>
        <v>70000</v>
      </c>
    </row>
    <row r="378" spans="1:29" x14ac:dyDescent="0.25">
      <c r="A378" s="30" t="str">
        <f>A360</f>
        <v>Opex maintenance &amp; repair</v>
      </c>
      <c r="B378" s="62">
        <f>B360</f>
        <v>20000</v>
      </c>
      <c r="C378" s="62">
        <f t="shared" ref="C378:AC378" si="362">C360</f>
        <v>20000</v>
      </c>
      <c r="D378" s="62">
        <f t="shared" si="362"/>
        <v>20000</v>
      </c>
      <c r="E378" s="62">
        <f t="shared" si="362"/>
        <v>20000</v>
      </c>
      <c r="F378" s="62">
        <f t="shared" si="362"/>
        <v>20000</v>
      </c>
      <c r="G378" s="62">
        <f t="shared" si="362"/>
        <v>20000</v>
      </c>
      <c r="H378" s="62">
        <f t="shared" si="362"/>
        <v>20000</v>
      </c>
      <c r="I378" s="62">
        <f t="shared" si="362"/>
        <v>20000</v>
      </c>
      <c r="J378" s="62">
        <f t="shared" si="362"/>
        <v>20000</v>
      </c>
      <c r="K378" s="62">
        <f t="shared" si="362"/>
        <v>20000</v>
      </c>
      <c r="L378" s="62">
        <f t="shared" si="362"/>
        <v>20000</v>
      </c>
      <c r="M378" s="62">
        <f t="shared" si="362"/>
        <v>20000</v>
      </c>
      <c r="N378" s="62">
        <f t="shared" si="362"/>
        <v>20000</v>
      </c>
      <c r="O378" s="62">
        <f t="shared" si="362"/>
        <v>20000</v>
      </c>
      <c r="P378" s="62">
        <f t="shared" si="362"/>
        <v>20000</v>
      </c>
      <c r="Q378" s="62">
        <f t="shared" si="362"/>
        <v>20000</v>
      </c>
      <c r="R378" s="62">
        <f t="shared" si="362"/>
        <v>20000</v>
      </c>
      <c r="S378" s="62">
        <f t="shared" si="362"/>
        <v>20000</v>
      </c>
      <c r="T378" s="62">
        <f t="shared" si="362"/>
        <v>20000</v>
      </c>
      <c r="U378" s="62">
        <f t="shared" si="362"/>
        <v>20000</v>
      </c>
      <c r="V378" s="62">
        <f t="shared" si="362"/>
        <v>20000</v>
      </c>
      <c r="W378" s="62">
        <f t="shared" si="362"/>
        <v>20000</v>
      </c>
      <c r="X378" s="62">
        <f t="shared" si="362"/>
        <v>20000</v>
      </c>
      <c r="Y378" s="62">
        <f t="shared" si="362"/>
        <v>20000</v>
      </c>
      <c r="Z378" s="62">
        <f t="shared" si="362"/>
        <v>20000</v>
      </c>
      <c r="AA378" s="62">
        <f t="shared" si="362"/>
        <v>20000</v>
      </c>
      <c r="AB378" s="62">
        <f t="shared" si="362"/>
        <v>20000</v>
      </c>
      <c r="AC378" s="62">
        <f t="shared" si="362"/>
        <v>20000</v>
      </c>
    </row>
    <row r="379" spans="1:29" x14ac:dyDescent="0.25">
      <c r="A379" s="30" t="str">
        <f>A361</f>
        <v>Opex var (mode-fees)</v>
      </c>
      <c r="B379" s="62">
        <f>B361*B370</f>
        <v>8580</v>
      </c>
      <c r="C379" s="62">
        <f t="shared" ref="C379:AC379" si="363">C361*C370</f>
        <v>8580</v>
      </c>
      <c r="D379" s="62">
        <f t="shared" si="363"/>
        <v>8580</v>
      </c>
      <c r="E379" s="62">
        <f t="shared" si="363"/>
        <v>8580</v>
      </c>
      <c r="F379" s="62">
        <f t="shared" si="363"/>
        <v>8580</v>
      </c>
      <c r="G379" s="62">
        <f t="shared" si="363"/>
        <v>8580</v>
      </c>
      <c r="H379" s="62">
        <f t="shared" si="363"/>
        <v>8580</v>
      </c>
      <c r="I379" s="62">
        <f t="shared" si="363"/>
        <v>8580</v>
      </c>
      <c r="J379" s="62">
        <f t="shared" si="363"/>
        <v>8580</v>
      </c>
      <c r="K379" s="62">
        <f t="shared" si="363"/>
        <v>8580</v>
      </c>
      <c r="L379" s="62">
        <f t="shared" si="363"/>
        <v>8580</v>
      </c>
      <c r="M379" s="62">
        <f t="shared" si="363"/>
        <v>8580</v>
      </c>
      <c r="N379" s="62">
        <f t="shared" si="363"/>
        <v>8580</v>
      </c>
      <c r="O379" s="62">
        <f t="shared" si="363"/>
        <v>8580</v>
      </c>
      <c r="P379" s="62">
        <f t="shared" si="363"/>
        <v>8580</v>
      </c>
      <c r="Q379" s="62">
        <f t="shared" si="363"/>
        <v>8580</v>
      </c>
      <c r="R379" s="62">
        <f t="shared" si="363"/>
        <v>8580</v>
      </c>
      <c r="S379" s="62">
        <f t="shared" si="363"/>
        <v>8580</v>
      </c>
      <c r="T379" s="62">
        <f t="shared" si="363"/>
        <v>8580</v>
      </c>
      <c r="U379" s="62">
        <f t="shared" si="363"/>
        <v>8580</v>
      </c>
      <c r="V379" s="62">
        <f t="shared" si="363"/>
        <v>8580</v>
      </c>
      <c r="W379" s="62">
        <f t="shared" si="363"/>
        <v>8580</v>
      </c>
      <c r="X379" s="62">
        <f t="shared" si="363"/>
        <v>8580</v>
      </c>
      <c r="Y379" s="62">
        <f t="shared" si="363"/>
        <v>8580</v>
      </c>
      <c r="Z379" s="62">
        <f t="shared" si="363"/>
        <v>8580</v>
      </c>
      <c r="AA379" s="62">
        <f t="shared" si="363"/>
        <v>8580</v>
      </c>
      <c r="AB379" s="62">
        <f t="shared" si="363"/>
        <v>8580</v>
      </c>
      <c r="AC379" s="62">
        <f t="shared" si="363"/>
        <v>8580</v>
      </c>
    </row>
    <row r="380" spans="1:29" x14ac:dyDescent="0.25">
      <c r="A380" s="30" t="str">
        <f>A363</f>
        <v>Fuel Cost</v>
      </c>
      <c r="B380" s="62">
        <f>B362*B363*B370</f>
        <v>22568.511660141867</v>
      </c>
      <c r="C380" s="62">
        <f t="shared" ref="C380:AC380" si="364">C362*C363*C370</f>
        <v>22546.465880751472</v>
      </c>
      <c r="D380" s="62">
        <f t="shared" si="364"/>
        <v>22515.164034319008</v>
      </c>
      <c r="E380" s="62">
        <f t="shared" si="364"/>
        <v>22470.921882302122</v>
      </c>
      <c r="F380" s="62">
        <f t="shared" si="364"/>
        <v>22408.806699064946</v>
      </c>
      <c r="G380" s="62">
        <f t="shared" si="364"/>
        <v>22322.444045855515</v>
      </c>
      <c r="H380" s="62">
        <f t="shared" si="364"/>
        <v>22204.044079138675</v>
      </c>
      <c r="I380" s="62">
        <f t="shared" si="364"/>
        <v>22044.927211098755</v>
      </c>
      <c r="J380" s="62">
        <f t="shared" si="364"/>
        <v>21836.930725452334</v>
      </c>
      <c r="K380" s="62">
        <f t="shared" si="364"/>
        <v>21574.994307749741</v>
      </c>
      <c r="L380" s="62">
        <f t="shared" si="364"/>
        <v>21260.678125392678</v>
      </c>
      <c r="M380" s="62">
        <f t="shared" si="364"/>
        <v>20905.257667353133</v>
      </c>
      <c r="N380" s="62">
        <f t="shared" si="364"/>
        <v>20530.041748054224</v>
      </c>
      <c r="O380" s="62">
        <f t="shared" si="364"/>
        <v>20162.209376225434</v>
      </c>
      <c r="P380" s="62">
        <f t="shared" si="364"/>
        <v>19827.363996852018</v>
      </c>
      <c r="Q380" s="62">
        <f t="shared" si="364"/>
        <v>19542.793107283589</v>
      </c>
      <c r="R380" s="62">
        <f t="shared" si="364"/>
        <v>19314.90278849813</v>
      </c>
      <c r="S380" s="62">
        <f t="shared" si="364"/>
        <v>19141.012360770688</v>
      </c>
      <c r="T380" s="62">
        <f t="shared" si="364"/>
        <v>19013.188950358559</v>
      </c>
      <c r="U380" s="62">
        <f t="shared" si="364"/>
        <v>18921.79706109226</v>
      </c>
      <c r="V380" s="62">
        <f t="shared" si="364"/>
        <v>18857.74484343885</v>
      </c>
      <c r="W380" s="62">
        <f t="shared" si="364"/>
        <v>18813.480824083363</v>
      </c>
      <c r="X380" s="62">
        <f t="shared" si="364"/>
        <v>18783.188749877721</v>
      </c>
      <c r="Y380" s="62">
        <f t="shared" si="364"/>
        <v>18762.596738200024</v>
      </c>
      <c r="Z380" s="62">
        <f t="shared" si="364"/>
        <v>18748.662353033375</v>
      </c>
      <c r="AA380" s="62">
        <f t="shared" si="364"/>
        <v>18739.262202252172</v>
      </c>
      <c r="AB380" s="62">
        <f t="shared" si="364"/>
        <v>18732.934067442253</v>
      </c>
      <c r="AC380" s="62">
        <f t="shared" si="364"/>
        <v>18728.679981237205</v>
      </c>
    </row>
    <row r="381" spans="1:29" ht="15.75" thickBot="1" x14ac:dyDescent="0.3">
      <c r="A381" s="59" t="str">
        <f>A344</f>
        <v>Emission Cost</v>
      </c>
      <c r="B381" s="62">
        <f>B364*B370</f>
        <v>6055.8515767104491</v>
      </c>
      <c r="C381" s="62">
        <f t="shared" ref="C381:AC381" si="365">C364*C370</f>
        <v>6066.7190333392246</v>
      </c>
      <c r="D381" s="62">
        <f t="shared" si="365"/>
        <v>6082.2755554502346</v>
      </c>
      <c r="E381" s="62">
        <f t="shared" si="365"/>
        <v>6104.5302543135767</v>
      </c>
      <c r="F381" s="62">
        <f t="shared" si="365"/>
        <v>6136.3371297324056</v>
      </c>
      <c r="G381" s="62">
        <f t="shared" si="365"/>
        <v>6181.7324147058989</v>
      </c>
      <c r="H381" s="62">
        <f t="shared" si="365"/>
        <v>6246.3864371905956</v>
      </c>
      <c r="I381" s="62">
        <f t="shared" si="365"/>
        <v>6338.1858808491279</v>
      </c>
      <c r="J381" s="62">
        <f t="shared" si="365"/>
        <v>6467.935573097152</v>
      </c>
      <c r="K381" s="62">
        <f t="shared" si="365"/>
        <v>6650.101800135024</v>
      </c>
      <c r="L381" s="62">
        <f t="shared" si="365"/>
        <v>6903.3789841058096</v>
      </c>
      <c r="M381" s="62">
        <f t="shared" si="365"/>
        <v>7250.612528211459</v>
      </c>
      <c r="N381" s="62">
        <f t="shared" si="365"/>
        <v>7717.2572034471386</v>
      </c>
      <c r="O381" s="62">
        <f t="shared" si="365"/>
        <v>8327.2519431015317</v>
      </c>
      <c r="P381" s="62">
        <f t="shared" si="365"/>
        <v>9095.4372152032392</v>
      </c>
      <c r="Q381" s="62">
        <f t="shared" si="365"/>
        <v>10017.237490963602</v>
      </c>
      <c r="R381" s="62">
        <f t="shared" si="365"/>
        <v>11059.584957056035</v>
      </c>
      <c r="S381" s="62">
        <f t="shared" si="365"/>
        <v>12159.986900365773</v>
      </c>
      <c r="T381" s="62">
        <f t="shared" si="365"/>
        <v>13238.734991675285</v>
      </c>
      <c r="U381" s="62">
        <f t="shared" si="365"/>
        <v>14220.74158366444</v>
      </c>
      <c r="V381" s="62">
        <f t="shared" si="365"/>
        <v>15055.307346427348</v>
      </c>
      <c r="W381" s="62">
        <f t="shared" si="365"/>
        <v>15723.645060140474</v>
      </c>
      <c r="X381" s="62">
        <f t="shared" si="365"/>
        <v>16233.616398648111</v>
      </c>
      <c r="Y381" s="62">
        <f t="shared" si="365"/>
        <v>16608.486232211701</v>
      </c>
      <c r="Z381" s="62">
        <f t="shared" si="365"/>
        <v>16876.512740093607</v>
      </c>
      <c r="AA381" s="62">
        <f t="shared" si="365"/>
        <v>17064.359740057807</v>
      </c>
      <c r="AB381" s="62">
        <f t="shared" si="365"/>
        <v>17194.173563012031</v>
      </c>
      <c r="AC381" s="62">
        <f t="shared" si="365"/>
        <v>17283.011630930523</v>
      </c>
    </row>
    <row r="382" spans="1:29" ht="15.75" thickBot="1" x14ac:dyDescent="0.3">
      <c r="A382" s="31" t="s">
        <v>209</v>
      </c>
      <c r="B382" s="64">
        <f>B373+B374+B375+B376+B377+B378+B379+B380+B381</f>
        <v>144002.37682432306</v>
      </c>
      <c r="C382" s="64">
        <f t="shared" ref="C382:AC382" si="366">C373+C374+C375+C376+C377+C378+C379+C380+C381</f>
        <v>144008.49416680384</v>
      </c>
      <c r="D382" s="64">
        <f t="shared" si="366"/>
        <v>144017.30620776204</v>
      </c>
      <c r="E382" s="64">
        <f t="shared" si="366"/>
        <v>144030.02823061918</v>
      </c>
      <c r="F382" s="64">
        <f t="shared" si="366"/>
        <v>144048.45140090899</v>
      </c>
      <c r="G382" s="64">
        <f t="shared" si="366"/>
        <v>144075.23847731776</v>
      </c>
      <c r="H382" s="64">
        <f t="shared" si="366"/>
        <v>144114.38134199465</v>
      </c>
      <c r="I382" s="64">
        <f t="shared" si="366"/>
        <v>144171.89652322468</v>
      </c>
      <c r="J382" s="64">
        <f t="shared" si="366"/>
        <v>144256.83006124623</v>
      </c>
      <c r="K382" s="64">
        <f t="shared" si="366"/>
        <v>144382.5579169491</v>
      </c>
      <c r="L382" s="64">
        <f t="shared" si="366"/>
        <v>144568.11067538158</v>
      </c>
      <c r="M382" s="64">
        <f t="shared" si="366"/>
        <v>144838.76322335534</v>
      </c>
      <c r="N382" s="64">
        <f t="shared" si="366"/>
        <v>145224.56165517846</v>
      </c>
      <c r="O382" s="64">
        <f t="shared" si="366"/>
        <v>145755.30105427199</v>
      </c>
      <c r="P382" s="64">
        <f t="shared" si="366"/>
        <v>146451.33855850456</v>
      </c>
      <c r="Q382" s="64">
        <f t="shared" si="366"/>
        <v>147311.82350561584</v>
      </c>
      <c r="R382" s="64">
        <f t="shared" si="366"/>
        <v>148305.06837441359</v>
      </c>
      <c r="S382" s="64">
        <f t="shared" si="366"/>
        <v>149368.00285665866</v>
      </c>
      <c r="T382" s="64">
        <f t="shared" si="366"/>
        <v>150419.20935919095</v>
      </c>
      <c r="U382" s="64">
        <f t="shared" si="366"/>
        <v>151381.52411363932</v>
      </c>
      <c r="V382" s="64">
        <f t="shared" si="366"/>
        <v>152202.28880636982</v>
      </c>
      <c r="W382" s="64">
        <f t="shared" si="366"/>
        <v>152861.08913241045</v>
      </c>
      <c r="X382" s="64">
        <f t="shared" si="366"/>
        <v>153364.5335612676</v>
      </c>
      <c r="Y382" s="64">
        <f t="shared" si="366"/>
        <v>153734.96651808149</v>
      </c>
      <c r="Z382" s="64">
        <f t="shared" si="366"/>
        <v>153999.99064083782</v>
      </c>
      <c r="AA382" s="64">
        <f t="shared" si="366"/>
        <v>154185.81222866176</v>
      </c>
      <c r="AB382" s="64">
        <f t="shared" si="366"/>
        <v>154314.26255422452</v>
      </c>
      <c r="AC382" s="64">
        <f t="shared" si="366"/>
        <v>154402.18401154326</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367">A373</f>
        <v>Capex vehicle</v>
      </c>
      <c r="B385" s="65">
        <f>((1+B358)^B365)*B358/(((1+B358)^B365)-1)*(B354)/B370</f>
        <v>0.21705172007841297</v>
      </c>
      <c r="C385" s="65">
        <f t="shared" ref="C385:AC385" si="368">((1+C358)^C365)*C358/(((1+C358)^C365)-1)*(C354)/C370</f>
        <v>0.21716842497208638</v>
      </c>
      <c r="D385" s="65">
        <f t="shared" si="368"/>
        <v>0.21733412919124739</v>
      </c>
      <c r="E385" s="65">
        <f t="shared" si="368"/>
        <v>0.21756833618187271</v>
      </c>
      <c r="F385" s="65">
        <f t="shared" si="368"/>
        <v>0.21789715857126654</v>
      </c>
      <c r="G385" s="65">
        <f t="shared" si="368"/>
        <v>0.21835434105874754</v>
      </c>
      <c r="H385" s="65">
        <f t="shared" si="368"/>
        <v>0.21898112114585322</v>
      </c>
      <c r="I385" s="65">
        <f t="shared" si="368"/>
        <v>0.21982344641988433</v>
      </c>
      <c r="J385" s="65">
        <f t="shared" si="368"/>
        <v>0.22092452827831854</v>
      </c>
      <c r="K385" s="65">
        <f t="shared" si="368"/>
        <v>0.22231115477202701</v>
      </c>
      <c r="L385" s="65">
        <f t="shared" si="368"/>
        <v>0.22397506676135742</v>
      </c>
      <c r="M385" s="65">
        <f t="shared" si="368"/>
        <v>0.22585657460148981</v>
      </c>
      <c r="N385" s="65">
        <f t="shared" si="368"/>
        <v>0.22784287470868519</v>
      </c>
      <c r="O385" s="65">
        <f t="shared" si="368"/>
        <v>0.22979008814504115</v>
      </c>
      <c r="P385" s="65">
        <f t="shared" si="368"/>
        <v>0.23156267661672977</v>
      </c>
      <c r="Q385" s="65">
        <f t="shared" si="368"/>
        <v>0.23306912439621261</v>
      </c>
      <c r="R385" s="65">
        <f t="shared" si="368"/>
        <v>0.23427551927806664</v>
      </c>
      <c r="S385" s="65">
        <f t="shared" si="368"/>
        <v>0.23519605211654707</v>
      </c>
      <c r="T385" s="65">
        <f t="shared" si="368"/>
        <v>0.23587271757967057</v>
      </c>
      <c r="U385" s="65">
        <f t="shared" si="368"/>
        <v>0.23635652359671169</v>
      </c>
      <c r="V385" s="65">
        <f t="shared" si="368"/>
        <v>0.23669560016635402</v>
      </c>
      <c r="W385" s="65">
        <f t="shared" si="368"/>
        <v>0.23692992291725162</v>
      </c>
      <c r="X385" s="65">
        <f t="shared" si="368"/>
        <v>0.23709028165244139</v>
      </c>
      <c r="Y385" s="65">
        <f t="shared" si="368"/>
        <v>0.23719929066005288</v>
      </c>
      <c r="Z385" s="65">
        <f t="shared" si="368"/>
        <v>0.23727305584251615</v>
      </c>
      <c r="AA385" s="65">
        <f t="shared" si="368"/>
        <v>0.23732281791161824</v>
      </c>
      <c r="AB385" s="65">
        <f t="shared" si="368"/>
        <v>0.2373563174893408</v>
      </c>
      <c r="AC385" s="65">
        <f t="shared" si="368"/>
        <v>0.23737883756764896</v>
      </c>
    </row>
    <row r="386" spans="1:29" x14ac:dyDescent="0.25">
      <c r="A386" s="30" t="str">
        <f t="shared" si="367"/>
        <v>Residual value (vehicle)</v>
      </c>
      <c r="B386" s="66">
        <f>((1+B358)^B365)*B358/(((1+B358)^B365)-1)*(B355)/B370</f>
        <v>-5.3949478528935647E-2</v>
      </c>
      <c r="C386" s="66">
        <f t="shared" ref="C386:AC386" si="369">((1+C358)^C365)*C358/(((1+C358)^C365)-1)*(C355)/C370</f>
        <v>-5.384444412462959E-2</v>
      </c>
      <c r="D386" s="66">
        <f t="shared" si="369"/>
        <v>-5.3695310327384671E-2</v>
      </c>
      <c r="E386" s="66">
        <f t="shared" si="369"/>
        <v>-5.3484524035821886E-2</v>
      </c>
      <c r="F386" s="66">
        <f t="shared" si="369"/>
        <v>-5.3188583885367458E-2</v>
      </c>
      <c r="G386" s="66">
        <f t="shared" si="369"/>
        <v>-5.2777119646634521E-2</v>
      </c>
      <c r="H386" s="66">
        <f t="shared" si="369"/>
        <v>-5.2213017568239456E-2</v>
      </c>
      <c r="I386" s="66">
        <f t="shared" si="369"/>
        <v>-5.1454924821611424E-2</v>
      </c>
      <c r="J386" s="66">
        <f t="shared" si="369"/>
        <v>-5.0463951149020615E-2</v>
      </c>
      <c r="K386" s="66">
        <f t="shared" si="369"/>
        <v>-4.9215987304683025E-2</v>
      </c>
      <c r="L386" s="66">
        <f t="shared" si="369"/>
        <v>-4.7718466514285664E-2</v>
      </c>
      <c r="M386" s="66">
        <f t="shared" si="369"/>
        <v>-4.6025109458166485E-2</v>
      </c>
      <c r="N386" s="66">
        <f t="shared" si="369"/>
        <v>-4.4237439361690646E-2</v>
      </c>
      <c r="O386" s="66">
        <f t="shared" si="369"/>
        <v>-4.2484947268970313E-2</v>
      </c>
      <c r="P386" s="66">
        <f t="shared" si="369"/>
        <v>-4.0889617644450538E-2</v>
      </c>
      <c r="Q386" s="66">
        <f t="shared" si="369"/>
        <v>-3.9533814642915985E-2</v>
      </c>
      <c r="R386" s="66">
        <f t="shared" si="369"/>
        <v>-3.8448059249247359E-2</v>
      </c>
      <c r="S386" s="66">
        <f t="shared" si="369"/>
        <v>-3.7619579694614977E-2</v>
      </c>
      <c r="T386" s="66">
        <f t="shared" si="369"/>
        <v>-3.7010580777803843E-2</v>
      </c>
      <c r="U386" s="66">
        <f t="shared" si="369"/>
        <v>-3.6575155362466805E-2</v>
      </c>
      <c r="V386" s="66">
        <f t="shared" si="369"/>
        <v>-3.6269986449788696E-2</v>
      </c>
      <c r="W386" s="66">
        <f t="shared" si="369"/>
        <v>-3.6059095973980854E-2</v>
      </c>
      <c r="X386" s="66">
        <f t="shared" si="369"/>
        <v>-3.5914773112310047E-2</v>
      </c>
      <c r="Y386" s="66">
        <f t="shared" si="369"/>
        <v>-3.5816665005459762E-2</v>
      </c>
      <c r="Z386" s="66">
        <f t="shared" si="369"/>
        <v>-3.5750276341242802E-2</v>
      </c>
      <c r="AA386" s="66">
        <f t="shared" si="369"/>
        <v>-3.5705490479050937E-2</v>
      </c>
      <c r="AB386" s="66">
        <f t="shared" si="369"/>
        <v>-3.5675340859100638E-2</v>
      </c>
      <c r="AC386" s="66">
        <f t="shared" si="369"/>
        <v>-3.5655072788623232E-2</v>
      </c>
    </row>
    <row r="387" spans="1:29" x14ac:dyDescent="0.25">
      <c r="A387" s="30" t="str">
        <f t="shared" si="367"/>
        <v>Capex costumization</v>
      </c>
      <c r="B387" s="66">
        <f>((1+B358)^B366)*B358/(((1+B358)^B366)-1)*(B356)/B370</f>
        <v>6.9675876010453192E-2</v>
      </c>
      <c r="C387" s="66">
        <f t="shared" ref="C387:AC387" si="370">((1+C358)^C366)*C358/(((1+C358)^C366)-1)*(C356)/C370</f>
        <v>6.9675876010453192E-2</v>
      </c>
      <c r="D387" s="66">
        <f t="shared" si="370"/>
        <v>6.9675876010453192E-2</v>
      </c>
      <c r="E387" s="66">
        <f t="shared" si="370"/>
        <v>6.9675876010453192E-2</v>
      </c>
      <c r="F387" s="66">
        <f t="shared" si="370"/>
        <v>6.9675876010453192E-2</v>
      </c>
      <c r="G387" s="66">
        <f t="shared" si="370"/>
        <v>6.9675876010453192E-2</v>
      </c>
      <c r="H387" s="66">
        <f t="shared" si="370"/>
        <v>6.9675876010453192E-2</v>
      </c>
      <c r="I387" s="66">
        <f t="shared" si="370"/>
        <v>6.9675876010453192E-2</v>
      </c>
      <c r="J387" s="66">
        <f t="shared" si="370"/>
        <v>6.9675876010453192E-2</v>
      </c>
      <c r="K387" s="66">
        <f t="shared" si="370"/>
        <v>6.9675876010453192E-2</v>
      </c>
      <c r="L387" s="66">
        <f t="shared" si="370"/>
        <v>6.9675876010453192E-2</v>
      </c>
      <c r="M387" s="66">
        <f t="shared" si="370"/>
        <v>6.9675876010453192E-2</v>
      </c>
      <c r="N387" s="66">
        <f t="shared" si="370"/>
        <v>6.9675876010453192E-2</v>
      </c>
      <c r="O387" s="66">
        <f t="shared" si="370"/>
        <v>6.9675876010453192E-2</v>
      </c>
      <c r="P387" s="66">
        <f t="shared" si="370"/>
        <v>6.9675876010453192E-2</v>
      </c>
      <c r="Q387" s="66">
        <f t="shared" si="370"/>
        <v>6.9675876010453192E-2</v>
      </c>
      <c r="R387" s="66">
        <f t="shared" si="370"/>
        <v>6.9675876010453192E-2</v>
      </c>
      <c r="S387" s="66">
        <f t="shared" si="370"/>
        <v>6.9675876010453192E-2</v>
      </c>
      <c r="T387" s="66">
        <f t="shared" si="370"/>
        <v>6.9675876010453192E-2</v>
      </c>
      <c r="U387" s="66">
        <f t="shared" si="370"/>
        <v>6.9675876010453192E-2</v>
      </c>
      <c r="V387" s="66">
        <f t="shared" si="370"/>
        <v>6.9675876010453192E-2</v>
      </c>
      <c r="W387" s="66">
        <f t="shared" si="370"/>
        <v>6.9675876010453192E-2</v>
      </c>
      <c r="X387" s="66">
        <f t="shared" si="370"/>
        <v>6.9675876010453192E-2</v>
      </c>
      <c r="Y387" s="66">
        <f t="shared" si="370"/>
        <v>6.9675876010453192E-2</v>
      </c>
      <c r="Z387" s="66">
        <f t="shared" si="370"/>
        <v>6.9675876010453192E-2</v>
      </c>
      <c r="AA387" s="66">
        <f t="shared" si="370"/>
        <v>6.9675876010453192E-2</v>
      </c>
      <c r="AB387" s="66">
        <f t="shared" si="370"/>
        <v>6.9675876010453192E-2</v>
      </c>
      <c r="AC387" s="66">
        <f t="shared" si="370"/>
        <v>6.9675876010453192E-2</v>
      </c>
    </row>
    <row r="388" spans="1:29" x14ac:dyDescent="0.25">
      <c r="A388" s="30" t="str">
        <f t="shared" si="367"/>
        <v>Residual value (costumization)</v>
      </c>
      <c r="B388" s="66">
        <f>((1+B358)^B366)*B358/(((1+B358)^B366)-1)*(B357)/B370</f>
        <v>-1.7418969002613298E-2</v>
      </c>
      <c r="C388" s="66">
        <f t="shared" ref="C388:AC388" si="371">((1+C358)^C366)*C358/(((1+C358)^C366)-1)*(C357)/C370</f>
        <v>-1.7418969002613298E-2</v>
      </c>
      <c r="D388" s="66">
        <f t="shared" si="371"/>
        <v>-1.7418969002613298E-2</v>
      </c>
      <c r="E388" s="66">
        <f t="shared" si="371"/>
        <v>-1.7418969002613298E-2</v>
      </c>
      <c r="F388" s="66">
        <f t="shared" si="371"/>
        <v>-1.7418969002613298E-2</v>
      </c>
      <c r="G388" s="66">
        <f t="shared" si="371"/>
        <v>-1.7418969002613298E-2</v>
      </c>
      <c r="H388" s="66">
        <f t="shared" si="371"/>
        <v>-1.7418969002613298E-2</v>
      </c>
      <c r="I388" s="66">
        <f t="shared" si="371"/>
        <v>-1.7418969002613298E-2</v>
      </c>
      <c r="J388" s="66">
        <f t="shared" si="371"/>
        <v>-1.7418969002613298E-2</v>
      </c>
      <c r="K388" s="66">
        <f t="shared" si="371"/>
        <v>-1.7418969002613298E-2</v>
      </c>
      <c r="L388" s="66">
        <f t="shared" si="371"/>
        <v>-1.7418969002613298E-2</v>
      </c>
      <c r="M388" s="66">
        <f t="shared" si="371"/>
        <v>-1.7418969002613298E-2</v>
      </c>
      <c r="N388" s="66">
        <f t="shared" si="371"/>
        <v>-1.7418969002613298E-2</v>
      </c>
      <c r="O388" s="66">
        <f t="shared" si="371"/>
        <v>-1.7418969002613298E-2</v>
      </c>
      <c r="P388" s="66">
        <f t="shared" si="371"/>
        <v>-1.7418969002613298E-2</v>
      </c>
      <c r="Q388" s="66">
        <f t="shared" si="371"/>
        <v>-1.7418969002613298E-2</v>
      </c>
      <c r="R388" s="66">
        <f t="shared" si="371"/>
        <v>-1.7418969002613298E-2</v>
      </c>
      <c r="S388" s="66">
        <f t="shared" si="371"/>
        <v>-1.7418969002613298E-2</v>
      </c>
      <c r="T388" s="66">
        <f t="shared" si="371"/>
        <v>-1.7418969002613298E-2</v>
      </c>
      <c r="U388" s="66">
        <f t="shared" si="371"/>
        <v>-1.7418969002613298E-2</v>
      </c>
      <c r="V388" s="66">
        <f t="shared" si="371"/>
        <v>-1.7418969002613298E-2</v>
      </c>
      <c r="W388" s="66">
        <f t="shared" si="371"/>
        <v>-1.7418969002613298E-2</v>
      </c>
      <c r="X388" s="66">
        <f t="shared" si="371"/>
        <v>-1.7418969002613298E-2</v>
      </c>
      <c r="Y388" s="66">
        <f t="shared" si="371"/>
        <v>-1.7418969002613298E-2</v>
      </c>
      <c r="Z388" s="66">
        <f t="shared" si="371"/>
        <v>-1.7418969002613298E-2</v>
      </c>
      <c r="AA388" s="66">
        <f t="shared" si="371"/>
        <v>-1.7418969002613298E-2</v>
      </c>
      <c r="AB388" s="66">
        <f t="shared" si="371"/>
        <v>-1.7418969002613298E-2</v>
      </c>
      <c r="AC388" s="66">
        <f t="shared" si="371"/>
        <v>-1.7418969002613298E-2</v>
      </c>
    </row>
    <row r="389" spans="1:29" x14ac:dyDescent="0.25">
      <c r="A389" s="30" t="str">
        <f t="shared" si="367"/>
        <v>Opex fix (admin, crew, insurance)</v>
      </c>
      <c r="B389" s="66">
        <f>B359/B370</f>
        <v>0.89743589743589747</v>
      </c>
      <c r="C389" s="66">
        <f t="shared" ref="C389:AC389" si="372">C359/C370</f>
        <v>0.89743589743589747</v>
      </c>
      <c r="D389" s="66">
        <f t="shared" si="372"/>
        <v>0.89743589743589747</v>
      </c>
      <c r="E389" s="66">
        <f t="shared" si="372"/>
        <v>0.89743589743589747</v>
      </c>
      <c r="F389" s="66">
        <f t="shared" si="372"/>
        <v>0.89743589743589747</v>
      </c>
      <c r="G389" s="66">
        <f t="shared" si="372"/>
        <v>0.89743589743589747</v>
      </c>
      <c r="H389" s="66">
        <f t="shared" si="372"/>
        <v>0.89743589743589747</v>
      </c>
      <c r="I389" s="66">
        <f t="shared" si="372"/>
        <v>0.89743589743589747</v>
      </c>
      <c r="J389" s="66">
        <f t="shared" si="372"/>
        <v>0.89743589743589747</v>
      </c>
      <c r="K389" s="66">
        <f t="shared" si="372"/>
        <v>0.89743589743589747</v>
      </c>
      <c r="L389" s="66">
        <f t="shared" si="372"/>
        <v>0.89743589743589747</v>
      </c>
      <c r="M389" s="66">
        <f t="shared" si="372"/>
        <v>0.89743589743589747</v>
      </c>
      <c r="N389" s="66">
        <f t="shared" si="372"/>
        <v>0.89743589743589747</v>
      </c>
      <c r="O389" s="66">
        <f t="shared" si="372"/>
        <v>0.89743589743589747</v>
      </c>
      <c r="P389" s="66">
        <f t="shared" si="372"/>
        <v>0.89743589743589747</v>
      </c>
      <c r="Q389" s="66">
        <f t="shared" si="372"/>
        <v>0.89743589743589747</v>
      </c>
      <c r="R389" s="66">
        <f t="shared" si="372"/>
        <v>0.89743589743589747</v>
      </c>
      <c r="S389" s="66">
        <f t="shared" si="372"/>
        <v>0.89743589743589747</v>
      </c>
      <c r="T389" s="66">
        <f t="shared" si="372"/>
        <v>0.89743589743589747</v>
      </c>
      <c r="U389" s="66">
        <f t="shared" si="372"/>
        <v>0.89743589743589747</v>
      </c>
      <c r="V389" s="66">
        <f t="shared" si="372"/>
        <v>0.89743589743589747</v>
      </c>
      <c r="W389" s="66">
        <f t="shared" si="372"/>
        <v>0.89743589743589747</v>
      </c>
      <c r="X389" s="66">
        <f t="shared" si="372"/>
        <v>0.89743589743589747</v>
      </c>
      <c r="Y389" s="66">
        <f t="shared" si="372"/>
        <v>0.89743589743589747</v>
      </c>
      <c r="Z389" s="66">
        <f t="shared" si="372"/>
        <v>0.89743589743589747</v>
      </c>
      <c r="AA389" s="66">
        <f t="shared" si="372"/>
        <v>0.89743589743589747</v>
      </c>
      <c r="AB389" s="66">
        <f t="shared" si="372"/>
        <v>0.89743589743589747</v>
      </c>
      <c r="AC389" s="66">
        <f t="shared" si="372"/>
        <v>0.89743589743589747</v>
      </c>
    </row>
    <row r="390" spans="1:29" x14ac:dyDescent="0.25">
      <c r="A390" s="30" t="str">
        <f t="shared" si="367"/>
        <v>Opex maintenance &amp; repair</v>
      </c>
      <c r="B390" s="66">
        <f>B360/B370</f>
        <v>0.25641025641025639</v>
      </c>
      <c r="C390" s="66">
        <f t="shared" ref="C390:AC390" si="373">C360/C370</f>
        <v>0.25641025641025639</v>
      </c>
      <c r="D390" s="66">
        <f t="shared" si="373"/>
        <v>0.25641025641025639</v>
      </c>
      <c r="E390" s="66">
        <f t="shared" si="373"/>
        <v>0.25641025641025639</v>
      </c>
      <c r="F390" s="66">
        <f t="shared" si="373"/>
        <v>0.25641025641025639</v>
      </c>
      <c r="G390" s="66">
        <f t="shared" si="373"/>
        <v>0.25641025641025639</v>
      </c>
      <c r="H390" s="66">
        <f t="shared" si="373"/>
        <v>0.25641025641025639</v>
      </c>
      <c r="I390" s="66">
        <f t="shared" si="373"/>
        <v>0.25641025641025639</v>
      </c>
      <c r="J390" s="66">
        <f t="shared" si="373"/>
        <v>0.25641025641025639</v>
      </c>
      <c r="K390" s="66">
        <f t="shared" si="373"/>
        <v>0.25641025641025639</v>
      </c>
      <c r="L390" s="66">
        <f t="shared" si="373"/>
        <v>0.25641025641025639</v>
      </c>
      <c r="M390" s="66">
        <f t="shared" si="373"/>
        <v>0.25641025641025639</v>
      </c>
      <c r="N390" s="66">
        <f t="shared" si="373"/>
        <v>0.25641025641025639</v>
      </c>
      <c r="O390" s="66">
        <f t="shared" si="373"/>
        <v>0.25641025641025639</v>
      </c>
      <c r="P390" s="66">
        <f t="shared" si="373"/>
        <v>0.25641025641025639</v>
      </c>
      <c r="Q390" s="66">
        <f t="shared" si="373"/>
        <v>0.25641025641025639</v>
      </c>
      <c r="R390" s="66">
        <f t="shared" si="373"/>
        <v>0.25641025641025639</v>
      </c>
      <c r="S390" s="66">
        <f t="shared" si="373"/>
        <v>0.25641025641025639</v>
      </c>
      <c r="T390" s="66">
        <f t="shared" si="373"/>
        <v>0.25641025641025639</v>
      </c>
      <c r="U390" s="66">
        <f t="shared" si="373"/>
        <v>0.25641025641025639</v>
      </c>
      <c r="V390" s="66">
        <f t="shared" si="373"/>
        <v>0.25641025641025639</v>
      </c>
      <c r="W390" s="66">
        <f t="shared" si="373"/>
        <v>0.25641025641025639</v>
      </c>
      <c r="X390" s="66">
        <f t="shared" si="373"/>
        <v>0.25641025641025639</v>
      </c>
      <c r="Y390" s="66">
        <f t="shared" si="373"/>
        <v>0.25641025641025639</v>
      </c>
      <c r="Z390" s="66">
        <f t="shared" si="373"/>
        <v>0.25641025641025639</v>
      </c>
      <c r="AA390" s="66">
        <f t="shared" si="373"/>
        <v>0.25641025641025639</v>
      </c>
      <c r="AB390" s="66">
        <f t="shared" si="373"/>
        <v>0.25641025641025639</v>
      </c>
      <c r="AC390" s="66">
        <f t="shared" si="373"/>
        <v>0.25641025641025639</v>
      </c>
    </row>
    <row r="391" spans="1:29" x14ac:dyDescent="0.25">
      <c r="A391" s="30" t="str">
        <f t="shared" si="367"/>
        <v>Opex var (mode-fees)</v>
      </c>
      <c r="B391" s="66">
        <f>B361*B370/B370</f>
        <v>0.11</v>
      </c>
      <c r="C391" s="66">
        <f t="shared" ref="C391:AC391" si="374">C361*C370/C370</f>
        <v>0.11</v>
      </c>
      <c r="D391" s="66">
        <f t="shared" si="374"/>
        <v>0.11</v>
      </c>
      <c r="E391" s="66">
        <f t="shared" si="374"/>
        <v>0.11</v>
      </c>
      <c r="F391" s="66">
        <f t="shared" si="374"/>
        <v>0.11</v>
      </c>
      <c r="G391" s="66">
        <f t="shared" si="374"/>
        <v>0.11</v>
      </c>
      <c r="H391" s="66">
        <f t="shared" si="374"/>
        <v>0.11</v>
      </c>
      <c r="I391" s="66">
        <f t="shared" si="374"/>
        <v>0.11</v>
      </c>
      <c r="J391" s="66">
        <f t="shared" si="374"/>
        <v>0.11</v>
      </c>
      <c r="K391" s="66">
        <f t="shared" si="374"/>
        <v>0.11</v>
      </c>
      <c r="L391" s="66">
        <f t="shared" si="374"/>
        <v>0.11</v>
      </c>
      <c r="M391" s="66">
        <f t="shared" si="374"/>
        <v>0.11</v>
      </c>
      <c r="N391" s="66">
        <f t="shared" si="374"/>
        <v>0.11</v>
      </c>
      <c r="O391" s="66">
        <f t="shared" si="374"/>
        <v>0.11</v>
      </c>
      <c r="P391" s="66">
        <f t="shared" si="374"/>
        <v>0.11</v>
      </c>
      <c r="Q391" s="66">
        <f t="shared" si="374"/>
        <v>0.11</v>
      </c>
      <c r="R391" s="66">
        <f t="shared" si="374"/>
        <v>0.11</v>
      </c>
      <c r="S391" s="66">
        <f t="shared" si="374"/>
        <v>0.11</v>
      </c>
      <c r="T391" s="66">
        <f t="shared" si="374"/>
        <v>0.11</v>
      </c>
      <c r="U391" s="66">
        <f t="shared" si="374"/>
        <v>0.11</v>
      </c>
      <c r="V391" s="66">
        <f t="shared" si="374"/>
        <v>0.11</v>
      </c>
      <c r="W391" s="66">
        <f t="shared" si="374"/>
        <v>0.11</v>
      </c>
      <c r="X391" s="66">
        <f t="shared" si="374"/>
        <v>0.11</v>
      </c>
      <c r="Y391" s="66">
        <f t="shared" si="374"/>
        <v>0.11</v>
      </c>
      <c r="Z391" s="66">
        <f t="shared" si="374"/>
        <v>0.11</v>
      </c>
      <c r="AA391" s="66">
        <f t="shared" si="374"/>
        <v>0.11</v>
      </c>
      <c r="AB391" s="66">
        <f t="shared" si="374"/>
        <v>0.11</v>
      </c>
      <c r="AC391" s="66">
        <f t="shared" si="374"/>
        <v>0.11</v>
      </c>
    </row>
    <row r="392" spans="1:29" x14ac:dyDescent="0.25">
      <c r="A392" s="30" t="str">
        <f t="shared" si="367"/>
        <v>Fuel Cost</v>
      </c>
      <c r="B392" s="66">
        <f>B362*B363*B370/B370</f>
        <v>0.28933989307874186</v>
      </c>
      <c r="C392" s="66">
        <f t="shared" ref="C392:AC392" si="375">C362*C363*C370/C370</f>
        <v>0.28905725488142914</v>
      </c>
      <c r="D392" s="66">
        <f t="shared" si="375"/>
        <v>0.28865594915793602</v>
      </c>
      <c r="E392" s="66">
        <f t="shared" si="375"/>
        <v>0.28808874208079643</v>
      </c>
      <c r="F392" s="66">
        <f t="shared" si="375"/>
        <v>0.28729239357775571</v>
      </c>
      <c r="G392" s="66">
        <f t="shared" si="375"/>
        <v>0.28618518007507071</v>
      </c>
      <c r="H392" s="66">
        <f t="shared" si="375"/>
        <v>0.28466723178382919</v>
      </c>
      <c r="I392" s="66">
        <f t="shared" si="375"/>
        <v>0.28262727193716353</v>
      </c>
      <c r="J392" s="66">
        <f t="shared" si="375"/>
        <v>0.27996065032631196</v>
      </c>
      <c r="K392" s="66">
        <f t="shared" si="375"/>
        <v>0.27660249112499669</v>
      </c>
      <c r="L392" s="66">
        <f t="shared" si="375"/>
        <v>0.27257279647939331</v>
      </c>
      <c r="M392" s="66">
        <f t="shared" si="375"/>
        <v>0.26801612394042479</v>
      </c>
      <c r="N392" s="66">
        <f t="shared" si="375"/>
        <v>0.26320566343659263</v>
      </c>
      <c r="O392" s="66">
        <f t="shared" si="375"/>
        <v>0.25848986379776195</v>
      </c>
      <c r="P392" s="66">
        <f t="shared" si="375"/>
        <v>0.2541969743186156</v>
      </c>
      <c r="Q392" s="66">
        <f t="shared" si="375"/>
        <v>0.25054862958055885</v>
      </c>
      <c r="R392" s="66">
        <f t="shared" si="375"/>
        <v>0.24762695882689909</v>
      </c>
      <c r="S392" s="66">
        <f t="shared" si="375"/>
        <v>0.24539759436885497</v>
      </c>
      <c r="T392" s="66">
        <f t="shared" si="375"/>
        <v>0.2437588326969046</v>
      </c>
      <c r="U392" s="66">
        <f t="shared" si="375"/>
        <v>0.24258714180887514</v>
      </c>
      <c r="V392" s="66">
        <f t="shared" si="375"/>
        <v>0.24176595953126731</v>
      </c>
      <c r="W392" s="66">
        <f t="shared" si="375"/>
        <v>0.24119847210363285</v>
      </c>
      <c r="X392" s="66">
        <f t="shared" si="375"/>
        <v>0.24081011217791951</v>
      </c>
      <c r="Y392" s="66">
        <f t="shared" si="375"/>
        <v>0.24054611202820542</v>
      </c>
      <c r="Z392" s="66">
        <f t="shared" si="375"/>
        <v>0.24036746606453044</v>
      </c>
      <c r="AA392" s="66">
        <f t="shared" si="375"/>
        <v>0.24024695131092527</v>
      </c>
      <c r="AB392" s="66">
        <f t="shared" si="375"/>
        <v>0.24016582137746478</v>
      </c>
      <c r="AC392" s="66">
        <f t="shared" si="375"/>
        <v>0.24011128181073338</v>
      </c>
    </row>
    <row r="393" spans="1:29" ht="15.75" thickBot="1" x14ac:dyDescent="0.3">
      <c r="A393" s="59" t="str">
        <f>A344</f>
        <v>Emission Cost</v>
      </c>
      <c r="B393" s="66">
        <f>B364</f>
        <v>7.7639122778339092E-2</v>
      </c>
      <c r="C393" s="66">
        <f t="shared" ref="C393:AC393" si="376">C364</f>
        <v>7.777844914537467E-2</v>
      </c>
      <c r="D393" s="66">
        <f t="shared" si="376"/>
        <v>7.7977891736541474E-2</v>
      </c>
      <c r="E393" s="66">
        <f t="shared" si="376"/>
        <v>7.8263208388635597E-2</v>
      </c>
      <c r="F393" s="66">
        <f t="shared" si="376"/>
        <v>7.8670988842723152E-2</v>
      </c>
      <c r="G393" s="66">
        <f t="shared" si="376"/>
        <v>7.925297967571665E-2</v>
      </c>
      <c r="H393" s="66">
        <f t="shared" si="376"/>
        <v>8.0081877399879431E-2</v>
      </c>
      <c r="I393" s="66">
        <f t="shared" si="376"/>
        <v>8.1258793344219593E-2</v>
      </c>
      <c r="J393" s="66">
        <f t="shared" si="376"/>
        <v>8.2922250937142977E-2</v>
      </c>
      <c r="K393" s="66">
        <f t="shared" si="376"/>
        <v>8.5257715386346467E-2</v>
      </c>
      <c r="L393" s="66">
        <f t="shared" si="376"/>
        <v>8.8504858770587308E-2</v>
      </c>
      <c r="M393" s="66">
        <f t="shared" si="376"/>
        <v>9.2956570874505887E-2</v>
      </c>
      <c r="N393" s="66">
        <f t="shared" si="376"/>
        <v>9.8939194915988959E-2</v>
      </c>
      <c r="O393" s="66">
        <f t="shared" si="376"/>
        <v>0.10675964029617348</v>
      </c>
      <c r="P393" s="66">
        <f t="shared" si="376"/>
        <v>0.11660816942568256</v>
      </c>
      <c r="Q393" s="66">
        <f t="shared" si="376"/>
        <v>0.12842612167902054</v>
      </c>
      <c r="R393" s="66">
        <f t="shared" si="376"/>
        <v>0.14178955073148763</v>
      </c>
      <c r="S393" s="66">
        <f t="shared" si="376"/>
        <v>0.15589726795340736</v>
      </c>
      <c r="T393" s="66">
        <f t="shared" si="376"/>
        <v>0.16972737168814467</v>
      </c>
      <c r="U393" s="66">
        <f t="shared" si="376"/>
        <v>0.18231719979056973</v>
      </c>
      <c r="V393" s="66">
        <f t="shared" si="376"/>
        <v>0.19301676085163266</v>
      </c>
      <c r="W393" s="66">
        <f t="shared" si="376"/>
        <v>0.20158519307872402</v>
      </c>
      <c r="X393" s="66">
        <f t="shared" si="376"/>
        <v>0.20812328716215528</v>
      </c>
      <c r="Y393" s="66">
        <f t="shared" si="376"/>
        <v>0.21292931066938076</v>
      </c>
      <c r="Z393" s="66">
        <f t="shared" si="376"/>
        <v>0.21636554794991802</v>
      </c>
      <c r="AA393" s="66">
        <f t="shared" si="376"/>
        <v>0.21877384282125395</v>
      </c>
      <c r="AB393" s="66">
        <f t="shared" si="376"/>
        <v>0.22043812260271833</v>
      </c>
      <c r="AC393" s="66">
        <f t="shared" si="376"/>
        <v>0.22157707219141698</v>
      </c>
    </row>
    <row r="394" spans="1:29" ht="15.75" thickBot="1" x14ac:dyDescent="0.3">
      <c r="A394" s="31" t="s">
        <v>63</v>
      </c>
      <c r="B394" s="76">
        <f>B385+B386+B387-B388+B389+B390+B391+B392+B393</f>
        <v>1.8810222562657786</v>
      </c>
      <c r="C394" s="76">
        <f t="shared" ref="C394:AC394" si="377">C385+C386+C387-C388+C389+C390+C391+C392+C393</f>
        <v>1.8811006837334809</v>
      </c>
      <c r="D394" s="76">
        <f t="shared" si="377"/>
        <v>1.8812136586175605</v>
      </c>
      <c r="E394" s="76">
        <f t="shared" si="377"/>
        <v>1.8813767614747035</v>
      </c>
      <c r="F394" s="76">
        <f t="shared" si="377"/>
        <v>1.8816129559655983</v>
      </c>
      <c r="G394" s="76">
        <f t="shared" si="377"/>
        <v>1.8819563800221208</v>
      </c>
      <c r="H394" s="76">
        <f t="shared" si="377"/>
        <v>1.8824582116205431</v>
      </c>
      <c r="I394" s="76">
        <f t="shared" si="377"/>
        <v>1.8831955857388767</v>
      </c>
      <c r="J394" s="76">
        <f t="shared" si="377"/>
        <v>1.8842844772519733</v>
      </c>
      <c r="K394" s="76">
        <f t="shared" si="377"/>
        <v>1.8858963728379077</v>
      </c>
      <c r="L394" s="76">
        <f t="shared" si="377"/>
        <v>1.8882752543562729</v>
      </c>
      <c r="M394" s="76">
        <f t="shared" si="377"/>
        <v>1.8917451588174745</v>
      </c>
      <c r="N394" s="76">
        <f t="shared" si="377"/>
        <v>1.8966912925587966</v>
      </c>
      <c r="O394" s="76">
        <f t="shared" si="377"/>
        <v>1.9034956438292268</v>
      </c>
      <c r="P394" s="76">
        <f t="shared" si="377"/>
        <v>1.9124192015757979</v>
      </c>
      <c r="Q394" s="76">
        <f t="shared" si="377"/>
        <v>1.9234510598720964</v>
      </c>
      <c r="R394" s="76">
        <f t="shared" si="377"/>
        <v>1.9361849684464265</v>
      </c>
      <c r="S394" s="76">
        <f t="shared" si="377"/>
        <v>1.9498123336034148</v>
      </c>
      <c r="T394" s="76">
        <f t="shared" si="377"/>
        <v>1.9632893400461366</v>
      </c>
      <c r="U394" s="76">
        <f t="shared" si="377"/>
        <v>1.9756267086929102</v>
      </c>
      <c r="V394" s="76">
        <f t="shared" si="377"/>
        <v>1.9861493329586857</v>
      </c>
      <c r="W394" s="76">
        <f t="shared" si="377"/>
        <v>1.9945954909848482</v>
      </c>
      <c r="X394" s="76">
        <f t="shared" si="377"/>
        <v>2.0010499067394267</v>
      </c>
      <c r="Y394" s="76">
        <f t="shared" si="377"/>
        <v>2.0057990472113998</v>
      </c>
      <c r="Z394" s="76">
        <f t="shared" si="377"/>
        <v>2.0091967923749423</v>
      </c>
      <c r="AA394" s="76">
        <f t="shared" si="377"/>
        <v>2.011579120423967</v>
      </c>
      <c r="AB394" s="76">
        <f t="shared" si="377"/>
        <v>2.0132259194696438</v>
      </c>
      <c r="AC394" s="76">
        <f t="shared" si="377"/>
        <v>2.0143531176403968</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378">A373</f>
        <v>Capex vehicle</v>
      </c>
      <c r="B397" s="65">
        <f>((1+B358)^B365)*B358/(((1+B358)^B365)-1)*(B354)/B370/(B367)</f>
        <v>8.6820688031365185E-3</v>
      </c>
      <c r="C397" s="65">
        <f t="shared" ref="C397:AC397" si="379">((1+C358)^C365)*C358/(((1+C358)^C365)-1)*(C354)/C370/(C367)</f>
        <v>8.6867369988834556E-3</v>
      </c>
      <c r="D397" s="65">
        <f t="shared" si="379"/>
        <v>8.6933651676498955E-3</v>
      </c>
      <c r="E397" s="65">
        <f t="shared" si="379"/>
        <v>8.7027334472749088E-3</v>
      </c>
      <c r="F397" s="65">
        <f t="shared" si="379"/>
        <v>8.7158863428506619E-3</v>
      </c>
      <c r="G397" s="65">
        <f t="shared" si="379"/>
        <v>8.734173642349902E-3</v>
      </c>
      <c r="H397" s="65">
        <f t="shared" si="379"/>
        <v>8.7592448458341295E-3</v>
      </c>
      <c r="I397" s="65">
        <f t="shared" si="379"/>
        <v>8.7929378567953732E-3</v>
      </c>
      <c r="J397" s="65">
        <f t="shared" si="379"/>
        <v>8.8369811311327425E-3</v>
      </c>
      <c r="K397" s="65">
        <f t="shared" si="379"/>
        <v>8.8924461908810801E-3</v>
      </c>
      <c r="L397" s="65">
        <f t="shared" si="379"/>
        <v>8.9590026704542969E-3</v>
      </c>
      <c r="M397" s="65">
        <f t="shared" si="379"/>
        <v>9.034262984059592E-3</v>
      </c>
      <c r="N397" s="65">
        <f t="shared" si="379"/>
        <v>9.1137149883474076E-3</v>
      </c>
      <c r="O397" s="65">
        <f t="shared" si="379"/>
        <v>9.1916035258016466E-3</v>
      </c>
      <c r="P397" s="65">
        <f t="shared" si="379"/>
        <v>9.2625070646691916E-3</v>
      </c>
      <c r="Q397" s="65">
        <f t="shared" si="379"/>
        <v>9.3227649758485034E-3</v>
      </c>
      <c r="R397" s="65">
        <f t="shared" si="379"/>
        <v>9.3710207711226665E-3</v>
      </c>
      <c r="S397" s="65">
        <f t="shared" si="379"/>
        <v>9.407842084661883E-3</v>
      </c>
      <c r="T397" s="65">
        <f t="shared" si="379"/>
        <v>9.4349087031868235E-3</v>
      </c>
      <c r="U397" s="65">
        <f t="shared" si="379"/>
        <v>9.4542609438684685E-3</v>
      </c>
      <c r="V397" s="65">
        <f t="shared" si="379"/>
        <v>9.4678240066541613E-3</v>
      </c>
      <c r="W397" s="65">
        <f t="shared" si="379"/>
        <v>9.4771969166900644E-3</v>
      </c>
      <c r="X397" s="65">
        <f t="shared" si="379"/>
        <v>9.4836112660976555E-3</v>
      </c>
      <c r="Y397" s="65">
        <f t="shared" si="379"/>
        <v>9.4879716264021155E-3</v>
      </c>
      <c r="Z397" s="65">
        <f t="shared" si="379"/>
        <v>9.4909222337006462E-3</v>
      </c>
      <c r="AA397" s="65">
        <f t="shared" si="379"/>
        <v>9.4929127164647305E-3</v>
      </c>
      <c r="AB397" s="65">
        <f t="shared" si="379"/>
        <v>9.4942526995736316E-3</v>
      </c>
      <c r="AC397" s="65">
        <f t="shared" si="379"/>
        <v>9.4951535027059594E-3</v>
      </c>
    </row>
    <row r="398" spans="1:29" x14ac:dyDescent="0.25">
      <c r="A398" s="30" t="str">
        <f t="shared" si="378"/>
        <v>Residual value (vehicle)</v>
      </c>
      <c r="B398" s="68">
        <f>((1+B358)^B365)*B358/(((1+B358)^B365)-1)*(B355)/B370/(B367)</f>
        <v>-2.157979141157426E-3</v>
      </c>
      <c r="C398" s="68">
        <f t="shared" ref="C398:AC398" si="380">((1+C358)^C365)*C358/(((1+C358)^C365)-1)*(C355)/C370/(C367)</f>
        <v>-2.1537777649851837E-3</v>
      </c>
      <c r="D398" s="68">
        <f t="shared" si="380"/>
        <v>-2.1478124130953867E-3</v>
      </c>
      <c r="E398" s="68">
        <f t="shared" si="380"/>
        <v>-2.1393809614328753E-3</v>
      </c>
      <c r="F398" s="68">
        <f t="shared" si="380"/>
        <v>-2.1275433554146985E-3</v>
      </c>
      <c r="G398" s="68">
        <f t="shared" si="380"/>
        <v>-2.1110847858653806E-3</v>
      </c>
      <c r="H398" s="68">
        <f t="shared" si="380"/>
        <v>-2.088520702729578E-3</v>
      </c>
      <c r="I398" s="68">
        <f t="shared" si="380"/>
        <v>-2.0581969928644569E-3</v>
      </c>
      <c r="J398" s="68">
        <f t="shared" si="380"/>
        <v>-2.0185580459608247E-3</v>
      </c>
      <c r="K398" s="68">
        <f t="shared" si="380"/>
        <v>-1.9686394921873212E-3</v>
      </c>
      <c r="L398" s="68">
        <f t="shared" si="380"/>
        <v>-1.9087386605714267E-3</v>
      </c>
      <c r="M398" s="68">
        <f t="shared" si="380"/>
        <v>-1.8410043783266593E-3</v>
      </c>
      <c r="N398" s="68">
        <f t="shared" si="380"/>
        <v>-1.7694975744676259E-3</v>
      </c>
      <c r="O398" s="68">
        <f t="shared" si="380"/>
        <v>-1.6993978907588125E-3</v>
      </c>
      <c r="P398" s="68">
        <f t="shared" si="380"/>
        <v>-1.6355847057780216E-3</v>
      </c>
      <c r="Q398" s="68">
        <f t="shared" si="380"/>
        <v>-1.5813525857166393E-3</v>
      </c>
      <c r="R398" s="68">
        <f t="shared" si="380"/>
        <v>-1.5379223699698943E-3</v>
      </c>
      <c r="S398" s="68">
        <f t="shared" si="380"/>
        <v>-1.5047831877845991E-3</v>
      </c>
      <c r="T398" s="68">
        <f t="shared" si="380"/>
        <v>-1.4804232311121537E-3</v>
      </c>
      <c r="U398" s="68">
        <f t="shared" si="380"/>
        <v>-1.4630062144986723E-3</v>
      </c>
      <c r="V398" s="68">
        <f t="shared" si="380"/>
        <v>-1.4507994579915479E-3</v>
      </c>
      <c r="W398" s="68">
        <f t="shared" si="380"/>
        <v>-1.4423638389592342E-3</v>
      </c>
      <c r="X398" s="68">
        <f t="shared" si="380"/>
        <v>-1.4365909244924019E-3</v>
      </c>
      <c r="Y398" s="68">
        <f t="shared" si="380"/>
        <v>-1.4326666002183906E-3</v>
      </c>
      <c r="Z398" s="68">
        <f t="shared" si="380"/>
        <v>-1.4300110536497122E-3</v>
      </c>
      <c r="AA398" s="68">
        <f t="shared" si="380"/>
        <v>-1.4282196191620375E-3</v>
      </c>
      <c r="AB398" s="68">
        <f t="shared" si="380"/>
        <v>-1.4270136343640255E-3</v>
      </c>
      <c r="AC398" s="68">
        <f t="shared" si="380"/>
        <v>-1.4262029115449293E-3</v>
      </c>
    </row>
    <row r="399" spans="1:29" x14ac:dyDescent="0.25">
      <c r="A399" s="30" t="str">
        <f t="shared" si="378"/>
        <v>Capex costumization</v>
      </c>
      <c r="B399" s="66">
        <f>((1+B358)^B366)*B358/(((1+B358)^B366)-1)*(B356)/B370/(B367)</f>
        <v>2.7870350404181278E-3</v>
      </c>
      <c r="C399" s="66">
        <f t="shared" ref="C399:AC399" si="381">((1+C358)^C366)*C358/(((1+C358)^C366)-1)*(C356)/C370/(C367)</f>
        <v>2.7870350404181278E-3</v>
      </c>
      <c r="D399" s="66">
        <f t="shared" si="381"/>
        <v>2.7870350404181278E-3</v>
      </c>
      <c r="E399" s="66">
        <f t="shared" si="381"/>
        <v>2.7870350404181278E-3</v>
      </c>
      <c r="F399" s="66">
        <f t="shared" si="381"/>
        <v>2.7870350404181278E-3</v>
      </c>
      <c r="G399" s="66">
        <f t="shared" si="381"/>
        <v>2.7870350404181278E-3</v>
      </c>
      <c r="H399" s="66">
        <f t="shared" si="381"/>
        <v>2.7870350404181278E-3</v>
      </c>
      <c r="I399" s="66">
        <f t="shared" si="381"/>
        <v>2.7870350404181278E-3</v>
      </c>
      <c r="J399" s="66">
        <f t="shared" si="381"/>
        <v>2.7870350404181278E-3</v>
      </c>
      <c r="K399" s="66">
        <f t="shared" si="381"/>
        <v>2.7870350404181278E-3</v>
      </c>
      <c r="L399" s="66">
        <f t="shared" si="381"/>
        <v>2.7870350404181278E-3</v>
      </c>
      <c r="M399" s="66">
        <f t="shared" si="381"/>
        <v>2.7870350404181278E-3</v>
      </c>
      <c r="N399" s="66">
        <f t="shared" si="381"/>
        <v>2.7870350404181278E-3</v>
      </c>
      <c r="O399" s="66">
        <f t="shared" si="381"/>
        <v>2.7870350404181278E-3</v>
      </c>
      <c r="P399" s="66">
        <f t="shared" si="381"/>
        <v>2.7870350404181278E-3</v>
      </c>
      <c r="Q399" s="66">
        <f t="shared" si="381"/>
        <v>2.7870350404181278E-3</v>
      </c>
      <c r="R399" s="66">
        <f t="shared" si="381"/>
        <v>2.7870350404181278E-3</v>
      </c>
      <c r="S399" s="66">
        <f t="shared" si="381"/>
        <v>2.7870350404181278E-3</v>
      </c>
      <c r="T399" s="66">
        <f t="shared" si="381"/>
        <v>2.7870350404181278E-3</v>
      </c>
      <c r="U399" s="66">
        <f t="shared" si="381"/>
        <v>2.7870350404181278E-3</v>
      </c>
      <c r="V399" s="66">
        <f t="shared" si="381"/>
        <v>2.7870350404181278E-3</v>
      </c>
      <c r="W399" s="66">
        <f t="shared" si="381"/>
        <v>2.7870350404181278E-3</v>
      </c>
      <c r="X399" s="66">
        <f t="shared" si="381"/>
        <v>2.7870350404181278E-3</v>
      </c>
      <c r="Y399" s="66">
        <f t="shared" si="381"/>
        <v>2.7870350404181278E-3</v>
      </c>
      <c r="Z399" s="66">
        <f t="shared" si="381"/>
        <v>2.7870350404181278E-3</v>
      </c>
      <c r="AA399" s="66">
        <f t="shared" si="381"/>
        <v>2.7870350404181278E-3</v>
      </c>
      <c r="AB399" s="66">
        <f t="shared" si="381"/>
        <v>2.7870350404181278E-3</v>
      </c>
      <c r="AC399" s="66">
        <f t="shared" si="381"/>
        <v>2.7870350404181278E-3</v>
      </c>
    </row>
    <row r="400" spans="1:29" x14ac:dyDescent="0.25">
      <c r="A400" s="30" t="str">
        <f t="shared" si="378"/>
        <v>Residual value (costumization)</v>
      </c>
      <c r="B400" s="69">
        <f>((1+B358)^B366)*B358/(((1+B358)^B366)-1)*(B357)/B370/(B367)</f>
        <v>-6.9675876010453195E-4</v>
      </c>
      <c r="C400" s="69">
        <f t="shared" ref="C400:AC400" si="382">((1+C358)^C366)*C358/(((1+C358)^C366)-1)*(C357)/C370/(C367)</f>
        <v>-6.9675876010453195E-4</v>
      </c>
      <c r="D400" s="69">
        <f t="shared" si="382"/>
        <v>-6.9675876010453195E-4</v>
      </c>
      <c r="E400" s="69">
        <f t="shared" si="382"/>
        <v>-6.9675876010453195E-4</v>
      </c>
      <c r="F400" s="69">
        <f t="shared" si="382"/>
        <v>-6.9675876010453195E-4</v>
      </c>
      <c r="G400" s="69">
        <f t="shared" si="382"/>
        <v>-6.9675876010453195E-4</v>
      </c>
      <c r="H400" s="69">
        <f t="shared" si="382"/>
        <v>-6.9675876010453195E-4</v>
      </c>
      <c r="I400" s="69">
        <f t="shared" si="382"/>
        <v>-6.9675876010453195E-4</v>
      </c>
      <c r="J400" s="69">
        <f t="shared" si="382"/>
        <v>-6.9675876010453195E-4</v>
      </c>
      <c r="K400" s="69">
        <f t="shared" si="382"/>
        <v>-6.9675876010453195E-4</v>
      </c>
      <c r="L400" s="69">
        <f t="shared" si="382"/>
        <v>-6.9675876010453195E-4</v>
      </c>
      <c r="M400" s="69">
        <f t="shared" si="382"/>
        <v>-6.9675876010453195E-4</v>
      </c>
      <c r="N400" s="69">
        <f t="shared" si="382"/>
        <v>-6.9675876010453195E-4</v>
      </c>
      <c r="O400" s="69">
        <f t="shared" si="382"/>
        <v>-6.9675876010453195E-4</v>
      </c>
      <c r="P400" s="69">
        <f t="shared" si="382"/>
        <v>-6.9675876010453195E-4</v>
      </c>
      <c r="Q400" s="69">
        <f t="shared" si="382"/>
        <v>-6.9675876010453195E-4</v>
      </c>
      <c r="R400" s="69">
        <f t="shared" si="382"/>
        <v>-6.9675876010453195E-4</v>
      </c>
      <c r="S400" s="69">
        <f t="shared" si="382"/>
        <v>-6.9675876010453195E-4</v>
      </c>
      <c r="T400" s="69">
        <f t="shared" si="382"/>
        <v>-6.9675876010453195E-4</v>
      </c>
      <c r="U400" s="69">
        <f t="shared" si="382"/>
        <v>-6.9675876010453195E-4</v>
      </c>
      <c r="V400" s="69">
        <f t="shared" si="382"/>
        <v>-6.9675876010453195E-4</v>
      </c>
      <c r="W400" s="69">
        <f t="shared" si="382"/>
        <v>-6.9675876010453195E-4</v>
      </c>
      <c r="X400" s="69">
        <f t="shared" si="382"/>
        <v>-6.9675876010453195E-4</v>
      </c>
      <c r="Y400" s="69">
        <f t="shared" si="382"/>
        <v>-6.9675876010453195E-4</v>
      </c>
      <c r="Z400" s="69">
        <f t="shared" si="382"/>
        <v>-6.9675876010453195E-4</v>
      </c>
      <c r="AA400" s="69">
        <f t="shared" si="382"/>
        <v>-6.9675876010453195E-4</v>
      </c>
      <c r="AB400" s="69">
        <f t="shared" si="382"/>
        <v>-6.9675876010453195E-4</v>
      </c>
      <c r="AC400" s="69">
        <f t="shared" si="382"/>
        <v>-6.9675876010453195E-4</v>
      </c>
    </row>
    <row r="401" spans="1:29" x14ac:dyDescent="0.25">
      <c r="A401" s="30" t="str">
        <f t="shared" si="378"/>
        <v>Opex fix (admin, crew, insurance)</v>
      </c>
      <c r="B401" s="66">
        <f>B359/B370/(B367)</f>
        <v>3.5897435897435902E-2</v>
      </c>
      <c r="C401" s="66">
        <f t="shared" ref="C401:AC401" si="383">C359/C370/(C367)</f>
        <v>3.5897435897435902E-2</v>
      </c>
      <c r="D401" s="66">
        <f t="shared" si="383"/>
        <v>3.5897435897435902E-2</v>
      </c>
      <c r="E401" s="66">
        <f t="shared" si="383"/>
        <v>3.5897435897435902E-2</v>
      </c>
      <c r="F401" s="66">
        <f t="shared" si="383"/>
        <v>3.5897435897435902E-2</v>
      </c>
      <c r="G401" s="66">
        <f t="shared" si="383"/>
        <v>3.5897435897435902E-2</v>
      </c>
      <c r="H401" s="66">
        <f t="shared" si="383"/>
        <v>3.5897435897435902E-2</v>
      </c>
      <c r="I401" s="66">
        <f t="shared" si="383"/>
        <v>3.5897435897435902E-2</v>
      </c>
      <c r="J401" s="66">
        <f t="shared" si="383"/>
        <v>3.5897435897435902E-2</v>
      </c>
      <c r="K401" s="66">
        <f t="shared" si="383"/>
        <v>3.5897435897435902E-2</v>
      </c>
      <c r="L401" s="66">
        <f t="shared" si="383"/>
        <v>3.5897435897435902E-2</v>
      </c>
      <c r="M401" s="66">
        <f t="shared" si="383"/>
        <v>3.5897435897435902E-2</v>
      </c>
      <c r="N401" s="66">
        <f t="shared" si="383"/>
        <v>3.5897435897435902E-2</v>
      </c>
      <c r="O401" s="66">
        <f t="shared" si="383"/>
        <v>3.5897435897435902E-2</v>
      </c>
      <c r="P401" s="66">
        <f t="shared" si="383"/>
        <v>3.5897435897435902E-2</v>
      </c>
      <c r="Q401" s="66">
        <f t="shared" si="383"/>
        <v>3.5897435897435902E-2</v>
      </c>
      <c r="R401" s="66">
        <f t="shared" si="383"/>
        <v>3.5897435897435902E-2</v>
      </c>
      <c r="S401" s="66">
        <f t="shared" si="383"/>
        <v>3.5897435897435902E-2</v>
      </c>
      <c r="T401" s="66">
        <f t="shared" si="383"/>
        <v>3.5897435897435902E-2</v>
      </c>
      <c r="U401" s="66">
        <f t="shared" si="383"/>
        <v>3.5897435897435902E-2</v>
      </c>
      <c r="V401" s="66">
        <f t="shared" si="383"/>
        <v>3.5897435897435902E-2</v>
      </c>
      <c r="W401" s="66">
        <f t="shared" si="383"/>
        <v>3.5897435897435902E-2</v>
      </c>
      <c r="X401" s="66">
        <f t="shared" si="383"/>
        <v>3.5897435897435902E-2</v>
      </c>
      <c r="Y401" s="66">
        <f t="shared" si="383"/>
        <v>3.5897435897435902E-2</v>
      </c>
      <c r="Z401" s="66">
        <f t="shared" si="383"/>
        <v>3.5897435897435902E-2</v>
      </c>
      <c r="AA401" s="66">
        <f t="shared" si="383"/>
        <v>3.5897435897435902E-2</v>
      </c>
      <c r="AB401" s="66">
        <f t="shared" si="383"/>
        <v>3.5897435897435902E-2</v>
      </c>
      <c r="AC401" s="66">
        <f t="shared" si="383"/>
        <v>3.5897435897435902E-2</v>
      </c>
    </row>
    <row r="402" spans="1:29" x14ac:dyDescent="0.25">
      <c r="A402" s="30" t="str">
        <f t="shared" si="378"/>
        <v>Opex maintenance &amp; repair</v>
      </c>
      <c r="B402" s="66">
        <f>B360/B370/(B367)</f>
        <v>1.0256410256410255E-2</v>
      </c>
      <c r="C402" s="66">
        <f t="shared" ref="C402:AC402" si="384">C360/C370/(C367)</f>
        <v>1.0256410256410255E-2</v>
      </c>
      <c r="D402" s="66">
        <f t="shared" si="384"/>
        <v>1.0256410256410255E-2</v>
      </c>
      <c r="E402" s="66">
        <f t="shared" si="384"/>
        <v>1.0256410256410255E-2</v>
      </c>
      <c r="F402" s="66">
        <f t="shared" si="384"/>
        <v>1.0256410256410255E-2</v>
      </c>
      <c r="G402" s="66">
        <f t="shared" si="384"/>
        <v>1.0256410256410255E-2</v>
      </c>
      <c r="H402" s="66">
        <f t="shared" si="384"/>
        <v>1.0256410256410255E-2</v>
      </c>
      <c r="I402" s="66">
        <f t="shared" si="384"/>
        <v>1.0256410256410255E-2</v>
      </c>
      <c r="J402" s="66">
        <f t="shared" si="384"/>
        <v>1.0256410256410255E-2</v>
      </c>
      <c r="K402" s="66">
        <f t="shared" si="384"/>
        <v>1.0256410256410255E-2</v>
      </c>
      <c r="L402" s="66">
        <f t="shared" si="384"/>
        <v>1.0256410256410255E-2</v>
      </c>
      <c r="M402" s="66">
        <f t="shared" si="384"/>
        <v>1.0256410256410255E-2</v>
      </c>
      <c r="N402" s="66">
        <f t="shared" si="384"/>
        <v>1.0256410256410255E-2</v>
      </c>
      <c r="O402" s="66">
        <f t="shared" si="384"/>
        <v>1.0256410256410255E-2</v>
      </c>
      <c r="P402" s="66">
        <f t="shared" si="384"/>
        <v>1.0256410256410255E-2</v>
      </c>
      <c r="Q402" s="66">
        <f t="shared" si="384"/>
        <v>1.0256410256410255E-2</v>
      </c>
      <c r="R402" s="66">
        <f t="shared" si="384"/>
        <v>1.0256410256410255E-2</v>
      </c>
      <c r="S402" s="66">
        <f t="shared" si="384"/>
        <v>1.0256410256410255E-2</v>
      </c>
      <c r="T402" s="66">
        <f t="shared" si="384"/>
        <v>1.0256410256410255E-2</v>
      </c>
      <c r="U402" s="66">
        <f t="shared" si="384"/>
        <v>1.0256410256410255E-2</v>
      </c>
      <c r="V402" s="66">
        <f t="shared" si="384"/>
        <v>1.0256410256410255E-2</v>
      </c>
      <c r="W402" s="66">
        <f t="shared" si="384"/>
        <v>1.0256410256410255E-2</v>
      </c>
      <c r="X402" s="66">
        <f t="shared" si="384"/>
        <v>1.0256410256410255E-2</v>
      </c>
      <c r="Y402" s="66">
        <f t="shared" si="384"/>
        <v>1.0256410256410255E-2</v>
      </c>
      <c r="Z402" s="66">
        <f t="shared" si="384"/>
        <v>1.0256410256410255E-2</v>
      </c>
      <c r="AA402" s="66">
        <f t="shared" si="384"/>
        <v>1.0256410256410255E-2</v>
      </c>
      <c r="AB402" s="66">
        <f t="shared" si="384"/>
        <v>1.0256410256410255E-2</v>
      </c>
      <c r="AC402" s="66">
        <f t="shared" si="384"/>
        <v>1.0256410256410255E-2</v>
      </c>
    </row>
    <row r="403" spans="1:29" x14ac:dyDescent="0.25">
      <c r="A403" s="30" t="str">
        <f t="shared" si="378"/>
        <v>Opex var (mode-fees)</v>
      </c>
      <c r="B403" s="66">
        <f>B361*B370/B370/(B367)</f>
        <v>4.4000000000000003E-3</v>
      </c>
      <c r="C403" s="66">
        <f t="shared" ref="C403:AC403" si="385">C361*C370/C370/(C367)</f>
        <v>4.4000000000000003E-3</v>
      </c>
      <c r="D403" s="66">
        <f t="shared" si="385"/>
        <v>4.4000000000000003E-3</v>
      </c>
      <c r="E403" s="66">
        <f t="shared" si="385"/>
        <v>4.4000000000000003E-3</v>
      </c>
      <c r="F403" s="66">
        <f t="shared" si="385"/>
        <v>4.4000000000000003E-3</v>
      </c>
      <c r="G403" s="66">
        <f t="shared" si="385"/>
        <v>4.4000000000000003E-3</v>
      </c>
      <c r="H403" s="66">
        <f t="shared" si="385"/>
        <v>4.4000000000000003E-3</v>
      </c>
      <c r="I403" s="66">
        <f t="shared" si="385"/>
        <v>4.4000000000000003E-3</v>
      </c>
      <c r="J403" s="66">
        <f t="shared" si="385"/>
        <v>4.4000000000000003E-3</v>
      </c>
      <c r="K403" s="66">
        <f t="shared" si="385"/>
        <v>4.4000000000000003E-3</v>
      </c>
      <c r="L403" s="66">
        <f t="shared" si="385"/>
        <v>4.4000000000000003E-3</v>
      </c>
      <c r="M403" s="66">
        <f t="shared" si="385"/>
        <v>4.4000000000000003E-3</v>
      </c>
      <c r="N403" s="66">
        <f t="shared" si="385"/>
        <v>4.4000000000000003E-3</v>
      </c>
      <c r="O403" s="66">
        <f t="shared" si="385"/>
        <v>4.4000000000000003E-3</v>
      </c>
      <c r="P403" s="66">
        <f t="shared" si="385"/>
        <v>4.4000000000000003E-3</v>
      </c>
      <c r="Q403" s="66">
        <f t="shared" si="385"/>
        <v>4.4000000000000003E-3</v>
      </c>
      <c r="R403" s="66">
        <f t="shared" si="385"/>
        <v>4.4000000000000003E-3</v>
      </c>
      <c r="S403" s="66">
        <f t="shared" si="385"/>
        <v>4.4000000000000003E-3</v>
      </c>
      <c r="T403" s="66">
        <f t="shared" si="385"/>
        <v>4.4000000000000003E-3</v>
      </c>
      <c r="U403" s="66">
        <f t="shared" si="385"/>
        <v>4.4000000000000003E-3</v>
      </c>
      <c r="V403" s="66">
        <f t="shared" si="385"/>
        <v>4.4000000000000003E-3</v>
      </c>
      <c r="W403" s="66">
        <f t="shared" si="385"/>
        <v>4.4000000000000003E-3</v>
      </c>
      <c r="X403" s="66">
        <f t="shared" si="385"/>
        <v>4.4000000000000003E-3</v>
      </c>
      <c r="Y403" s="66">
        <f t="shared" si="385"/>
        <v>4.4000000000000003E-3</v>
      </c>
      <c r="Z403" s="66">
        <f t="shared" si="385"/>
        <v>4.4000000000000003E-3</v>
      </c>
      <c r="AA403" s="66">
        <f t="shared" si="385"/>
        <v>4.4000000000000003E-3</v>
      </c>
      <c r="AB403" s="66">
        <f t="shared" si="385"/>
        <v>4.4000000000000003E-3</v>
      </c>
      <c r="AC403" s="66">
        <f t="shared" si="385"/>
        <v>4.4000000000000003E-3</v>
      </c>
    </row>
    <row r="404" spans="1:29" x14ac:dyDescent="0.25">
      <c r="A404" s="30" t="str">
        <f t="shared" si="378"/>
        <v>Fuel Cost</v>
      </c>
      <c r="B404" s="66">
        <f>B362*B363*B370/B370/(B367)</f>
        <v>1.1573595723149675E-2</v>
      </c>
      <c r="C404" s="66">
        <f t="shared" ref="C404:AC404" si="386">C362*C363*C370/C370/(C367)</f>
        <v>1.1562290195257166E-2</v>
      </c>
      <c r="D404" s="66">
        <f t="shared" si="386"/>
        <v>1.154623796631744E-2</v>
      </c>
      <c r="E404" s="66">
        <f t="shared" si="386"/>
        <v>1.1523549683231857E-2</v>
      </c>
      <c r="F404" s="66">
        <f t="shared" si="386"/>
        <v>1.1491695743110229E-2</v>
      </c>
      <c r="G404" s="66">
        <f t="shared" si="386"/>
        <v>1.1447407203002828E-2</v>
      </c>
      <c r="H404" s="66">
        <f t="shared" si="386"/>
        <v>1.1386689271353168E-2</v>
      </c>
      <c r="I404" s="66">
        <f t="shared" si="386"/>
        <v>1.130509087748654E-2</v>
      </c>
      <c r="J404" s="66">
        <f t="shared" si="386"/>
        <v>1.1198426013052478E-2</v>
      </c>
      <c r="K404" s="66">
        <f t="shared" si="386"/>
        <v>1.1064099644999867E-2</v>
      </c>
      <c r="L404" s="66">
        <f t="shared" si="386"/>
        <v>1.0902911859175732E-2</v>
      </c>
      <c r="M404" s="66">
        <f t="shared" si="386"/>
        <v>1.0720644957616992E-2</v>
      </c>
      <c r="N404" s="66">
        <f t="shared" si="386"/>
        <v>1.0528226537463705E-2</v>
      </c>
      <c r="O404" s="66">
        <f t="shared" si="386"/>
        <v>1.0339594551910478E-2</v>
      </c>
      <c r="P404" s="66">
        <f t="shared" si="386"/>
        <v>1.0167878972744624E-2</v>
      </c>
      <c r="Q404" s="66">
        <f t="shared" si="386"/>
        <v>1.0021945183222353E-2</v>
      </c>
      <c r="R404" s="66">
        <f t="shared" si="386"/>
        <v>9.9050783530759638E-3</v>
      </c>
      <c r="S404" s="66">
        <f t="shared" si="386"/>
        <v>9.8159037747541991E-3</v>
      </c>
      <c r="T404" s="66">
        <f t="shared" si="386"/>
        <v>9.7503533078761844E-3</v>
      </c>
      <c r="U404" s="66">
        <f t="shared" si="386"/>
        <v>9.7034856723550063E-3</v>
      </c>
      <c r="V404" s="66">
        <f t="shared" si="386"/>
        <v>9.670638381250693E-3</v>
      </c>
      <c r="W404" s="66">
        <f t="shared" si="386"/>
        <v>9.6479388841453143E-3</v>
      </c>
      <c r="X404" s="66">
        <f t="shared" si="386"/>
        <v>9.6324044871167799E-3</v>
      </c>
      <c r="Y404" s="66">
        <f t="shared" si="386"/>
        <v>9.6218444811282163E-3</v>
      </c>
      <c r="Z404" s="66">
        <f t="shared" si="386"/>
        <v>9.6146986425812171E-3</v>
      </c>
      <c r="AA404" s="66">
        <f t="shared" si="386"/>
        <v>9.6098780524370101E-3</v>
      </c>
      <c r="AB404" s="66">
        <f t="shared" si="386"/>
        <v>9.6066328550985913E-3</v>
      </c>
      <c r="AC404" s="66">
        <f t="shared" si="386"/>
        <v>9.604451272429336E-3</v>
      </c>
    </row>
    <row r="405" spans="1:29" x14ac:dyDescent="0.25">
      <c r="A405" s="59" t="str">
        <f>A368</f>
        <v>Market failure (av. utilization)</v>
      </c>
      <c r="B405" s="66">
        <f t="shared" ref="B405:AC405" si="387">B394/B368-B394/B367</f>
        <v>4.7434474288441345E-2</v>
      </c>
      <c r="C405" s="66">
        <f t="shared" si="387"/>
        <v>4.7436452024583409E-2</v>
      </c>
      <c r="D405" s="66">
        <f t="shared" si="387"/>
        <v>4.7439300956442818E-2</v>
      </c>
      <c r="E405" s="66">
        <f t="shared" si="387"/>
        <v>4.7443413985014254E-2</v>
      </c>
      <c r="F405" s="66">
        <f t="shared" si="387"/>
        <v>4.7449370193915069E-2</v>
      </c>
      <c r="G405" s="66">
        <f t="shared" si="387"/>
        <v>4.7458030452731725E-2</v>
      </c>
      <c r="H405" s="66">
        <f t="shared" si="387"/>
        <v>4.747068533651802E-2</v>
      </c>
      <c r="I405" s="66">
        <f t="shared" si="387"/>
        <v>4.7489279988197741E-2</v>
      </c>
      <c r="J405" s="66">
        <f t="shared" si="387"/>
        <v>4.7516738991571481E-2</v>
      </c>
      <c r="K405" s="66">
        <f t="shared" si="387"/>
        <v>4.7557386793303749E-2</v>
      </c>
      <c r="L405" s="66">
        <f t="shared" si="387"/>
        <v>4.7617375979419035E-2</v>
      </c>
      <c r="M405" s="66">
        <f t="shared" si="387"/>
        <v>4.7704877918005859E-2</v>
      </c>
      <c r="N405" s="66">
        <f t="shared" si="387"/>
        <v>4.7829606508004413E-2</v>
      </c>
      <c r="O405" s="66">
        <f t="shared" si="387"/>
        <v>4.8001194496563079E-2</v>
      </c>
      <c r="P405" s="66">
        <f t="shared" si="387"/>
        <v>4.8226223344085314E-2</v>
      </c>
      <c r="Q405" s="66">
        <f t="shared" si="387"/>
        <v>4.8504418031557195E-2</v>
      </c>
      <c r="R405" s="66">
        <f t="shared" si="387"/>
        <v>4.8825533986909864E-2</v>
      </c>
      <c r="S405" s="66">
        <f t="shared" si="387"/>
        <v>4.916918058652088E-2</v>
      </c>
      <c r="T405" s="66">
        <f t="shared" si="387"/>
        <v>4.9509035531598203E-2</v>
      </c>
      <c r="U405" s="66">
        <f t="shared" si="387"/>
        <v>4.9820151784429889E-2</v>
      </c>
      <c r="V405" s="66">
        <f t="shared" si="387"/>
        <v>5.0085504918088594E-2</v>
      </c>
      <c r="W405" s="66">
        <f t="shared" si="387"/>
        <v>5.0298494990052678E-2</v>
      </c>
      <c r="X405" s="66">
        <f t="shared" si="387"/>
        <v>5.0461258517776816E-2</v>
      </c>
      <c r="Y405" s="66">
        <f t="shared" si="387"/>
        <v>5.058101945141788E-2</v>
      </c>
      <c r="Z405" s="66">
        <f t="shared" si="387"/>
        <v>5.0666701720759391E-2</v>
      </c>
      <c r="AA405" s="66">
        <f t="shared" si="387"/>
        <v>5.0726777819386962E-2</v>
      </c>
      <c r="AB405" s="66">
        <f t="shared" si="387"/>
        <v>5.0768305795321433E-2</v>
      </c>
      <c r="AC405" s="66">
        <f t="shared" si="387"/>
        <v>5.0796730792670858E-2</v>
      </c>
    </row>
    <row r="406" spans="1:29" x14ac:dyDescent="0.25">
      <c r="A406" s="59" t="str">
        <f>A369</f>
        <v>Payload loss (fuel)</v>
      </c>
      <c r="B406" s="66">
        <f>B394/(B367-B369)-B394/B367</f>
        <v>0</v>
      </c>
      <c r="C406" s="66">
        <f t="shared" ref="C406:AC406" si="388">C394/(C367-C369)-C394/C367</f>
        <v>0</v>
      </c>
      <c r="D406" s="66">
        <f t="shared" si="388"/>
        <v>0</v>
      </c>
      <c r="E406" s="66">
        <f t="shared" si="388"/>
        <v>0</v>
      </c>
      <c r="F406" s="66">
        <f t="shared" si="388"/>
        <v>0</v>
      </c>
      <c r="G406" s="66">
        <f t="shared" si="388"/>
        <v>0</v>
      </c>
      <c r="H406" s="66">
        <f t="shared" si="388"/>
        <v>0</v>
      </c>
      <c r="I406" s="66">
        <f t="shared" si="388"/>
        <v>0</v>
      </c>
      <c r="J406" s="66">
        <f t="shared" si="388"/>
        <v>0</v>
      </c>
      <c r="K406" s="66">
        <f t="shared" si="388"/>
        <v>0</v>
      </c>
      <c r="L406" s="66">
        <f t="shared" si="388"/>
        <v>0</v>
      </c>
      <c r="M406" s="66">
        <f t="shared" si="388"/>
        <v>0</v>
      </c>
      <c r="N406" s="66">
        <f t="shared" si="388"/>
        <v>0</v>
      </c>
      <c r="O406" s="66">
        <f t="shared" si="388"/>
        <v>0</v>
      </c>
      <c r="P406" s="66">
        <f t="shared" si="388"/>
        <v>0</v>
      </c>
      <c r="Q406" s="66">
        <f t="shared" si="388"/>
        <v>0</v>
      </c>
      <c r="R406" s="66">
        <f t="shared" si="388"/>
        <v>0</v>
      </c>
      <c r="S406" s="66">
        <f t="shared" si="388"/>
        <v>0</v>
      </c>
      <c r="T406" s="66">
        <f t="shared" si="388"/>
        <v>0</v>
      </c>
      <c r="U406" s="66">
        <f t="shared" si="388"/>
        <v>0</v>
      </c>
      <c r="V406" s="66">
        <f t="shared" si="388"/>
        <v>0</v>
      </c>
      <c r="W406" s="66">
        <f t="shared" si="388"/>
        <v>0</v>
      </c>
      <c r="X406" s="66">
        <f t="shared" si="388"/>
        <v>0</v>
      </c>
      <c r="Y406" s="66">
        <f t="shared" si="388"/>
        <v>0</v>
      </c>
      <c r="Z406" s="66">
        <f t="shared" si="388"/>
        <v>0</v>
      </c>
      <c r="AA406" s="66">
        <f t="shared" si="388"/>
        <v>0</v>
      </c>
      <c r="AB406" s="66">
        <f t="shared" si="388"/>
        <v>0</v>
      </c>
      <c r="AC406" s="66">
        <f t="shared" si="388"/>
        <v>0</v>
      </c>
    </row>
    <row r="407" spans="1:29" ht="15.75" thickBot="1" x14ac:dyDescent="0.3">
      <c r="A407" s="59" t="str">
        <f>A344</f>
        <v>Emission Cost</v>
      </c>
      <c r="B407" s="68">
        <f>B364*B370/B370/(B367)</f>
        <v>3.1055649111335639E-3</v>
      </c>
      <c r="C407" s="68">
        <f t="shared" ref="C407:AC407" si="389">C364*C370/C370/(C367)</f>
        <v>3.1111379658149869E-3</v>
      </c>
      <c r="D407" s="68">
        <f t="shared" si="389"/>
        <v>3.1191156694616588E-3</v>
      </c>
      <c r="E407" s="68">
        <f t="shared" si="389"/>
        <v>3.130528335545424E-3</v>
      </c>
      <c r="F407" s="68">
        <f t="shared" si="389"/>
        <v>3.1468395537089262E-3</v>
      </c>
      <c r="G407" s="68">
        <f t="shared" si="389"/>
        <v>3.1701191870286659E-3</v>
      </c>
      <c r="H407" s="68">
        <f t="shared" si="389"/>
        <v>3.2032750959951773E-3</v>
      </c>
      <c r="I407" s="68">
        <f t="shared" si="389"/>
        <v>3.2503517337687839E-3</v>
      </c>
      <c r="J407" s="68">
        <f t="shared" si="389"/>
        <v>3.3168900374857192E-3</v>
      </c>
      <c r="K407" s="68">
        <f t="shared" si="389"/>
        <v>3.4103086154538588E-3</v>
      </c>
      <c r="L407" s="68">
        <f t="shared" si="389"/>
        <v>3.5401943508234922E-3</v>
      </c>
      <c r="M407" s="68">
        <f t="shared" si="389"/>
        <v>3.7182628349802355E-3</v>
      </c>
      <c r="N407" s="68">
        <f t="shared" si="389"/>
        <v>3.9575677966395585E-3</v>
      </c>
      <c r="O407" s="68">
        <f t="shared" si="389"/>
        <v>4.2703856118469392E-3</v>
      </c>
      <c r="P407" s="68">
        <f t="shared" si="389"/>
        <v>4.6643267770273026E-3</v>
      </c>
      <c r="Q407" s="68">
        <f t="shared" si="389"/>
        <v>5.1370448671608218E-3</v>
      </c>
      <c r="R407" s="68">
        <f t="shared" si="389"/>
        <v>5.6715820292595051E-3</v>
      </c>
      <c r="S407" s="68">
        <f t="shared" si="389"/>
        <v>6.2358907181362944E-3</v>
      </c>
      <c r="T407" s="68">
        <f t="shared" si="389"/>
        <v>6.7890948675257863E-3</v>
      </c>
      <c r="U407" s="68">
        <f t="shared" si="389"/>
        <v>7.292687991622789E-3</v>
      </c>
      <c r="V407" s="68">
        <f t="shared" si="389"/>
        <v>7.7206704340653069E-3</v>
      </c>
      <c r="W407" s="68">
        <f t="shared" si="389"/>
        <v>8.0634077231489607E-3</v>
      </c>
      <c r="X407" s="68">
        <f t="shared" si="389"/>
        <v>8.3249314864862114E-3</v>
      </c>
      <c r="Y407" s="68">
        <f t="shared" si="389"/>
        <v>8.5171724267752314E-3</v>
      </c>
      <c r="Z407" s="68">
        <f t="shared" si="389"/>
        <v>8.6546219179967215E-3</v>
      </c>
      <c r="AA407" s="68">
        <f t="shared" si="389"/>
        <v>8.7509537128501579E-3</v>
      </c>
      <c r="AB407" s="68">
        <f t="shared" si="389"/>
        <v>8.8175249041087325E-3</v>
      </c>
      <c r="AC407" s="68">
        <f t="shared" si="389"/>
        <v>8.8630828876566786E-3</v>
      </c>
    </row>
    <row r="408" spans="1:29" ht="15.75" thickBot="1" x14ac:dyDescent="0.3">
      <c r="A408" s="31" t="s">
        <v>210</v>
      </c>
      <c r="B408" s="67">
        <f>B397+B398+B399+B400+B401+B402+B403+B404+B405+B406+B407</f>
        <v>0.12128184701886342</v>
      </c>
      <c r="C408" s="67">
        <f t="shared" ref="C408:AC408" si="390">C397+C398+C399+C400+C401+C402+C403+C404+C405+C406+C407</f>
        <v>0.12128696185371358</v>
      </c>
      <c r="D408" s="67">
        <f t="shared" si="390"/>
        <v>0.12129432978093618</v>
      </c>
      <c r="E408" s="67">
        <f t="shared" si="390"/>
        <v>0.12130496692379332</v>
      </c>
      <c r="F408" s="67">
        <f t="shared" si="390"/>
        <v>0.12132037091232994</v>
      </c>
      <c r="G408" s="67">
        <f t="shared" si="390"/>
        <v>0.1213427681334075</v>
      </c>
      <c r="H408" s="67">
        <f t="shared" si="390"/>
        <v>0.12137549628113066</v>
      </c>
      <c r="I408" s="67">
        <f t="shared" si="390"/>
        <v>0.12142358589754373</v>
      </c>
      <c r="J408" s="67">
        <f t="shared" si="390"/>
        <v>0.12149460056144136</v>
      </c>
      <c r="K408" s="67">
        <f t="shared" si="390"/>
        <v>0.12159972418661098</v>
      </c>
      <c r="L408" s="67">
        <f t="shared" si="390"/>
        <v>0.12175486863346088</v>
      </c>
      <c r="M408" s="67">
        <f t="shared" si="390"/>
        <v>0.12198116675049578</v>
      </c>
      <c r="N408" s="67">
        <f t="shared" si="390"/>
        <v>0.12230374069014721</v>
      </c>
      <c r="O408" s="67">
        <f t="shared" si="390"/>
        <v>0.12274750272952308</v>
      </c>
      <c r="P408" s="67">
        <f t="shared" si="390"/>
        <v>0.12332947388690815</v>
      </c>
      <c r="Q408" s="67">
        <f t="shared" si="390"/>
        <v>0.12404894290623199</v>
      </c>
      <c r="R408" s="67">
        <f t="shared" si="390"/>
        <v>0.12487941520455786</v>
      </c>
      <c r="S408" s="67">
        <f t="shared" si="390"/>
        <v>0.12576815641044842</v>
      </c>
      <c r="T408" s="67">
        <f t="shared" si="390"/>
        <v>0.12664709161323459</v>
      </c>
      <c r="U408" s="67">
        <f t="shared" si="390"/>
        <v>0.12745170261193722</v>
      </c>
      <c r="V408" s="67">
        <f t="shared" si="390"/>
        <v>0.12813796071622696</v>
      </c>
      <c r="W408" s="67">
        <f t="shared" si="390"/>
        <v>0.12868879710923753</v>
      </c>
      <c r="X408" s="67">
        <f t="shared" si="390"/>
        <v>0.12910973726714481</v>
      </c>
      <c r="Y408" s="67">
        <f t="shared" si="390"/>
        <v>0.12941946381966482</v>
      </c>
      <c r="Z408" s="67">
        <f t="shared" si="390"/>
        <v>0.12964105589554803</v>
      </c>
      <c r="AA408" s="67">
        <f t="shared" si="390"/>
        <v>0.12979642511613657</v>
      </c>
      <c r="AB408" s="67">
        <f t="shared" si="390"/>
        <v>0.12990382505389811</v>
      </c>
      <c r="AC408" s="67">
        <f t="shared" si="390"/>
        <v>0.12997733797807764</v>
      </c>
    </row>
    <row r="410" spans="1:29" x14ac:dyDescent="0.25">
      <c r="B410" s="40"/>
    </row>
    <row r="429" spans="1:1" s="3" customFormat="1" ht="21" x14ac:dyDescent="0.35">
      <c r="A429" s="2" t="str">
        <f>'Parameter Input'!A72</f>
        <v>Road long-haul:  Neo bulk</v>
      </c>
    </row>
    <row r="430" spans="1:1" s="3" customFormat="1" ht="21" x14ac:dyDescent="0.35">
      <c r="A430" s="2" t="s">
        <v>11</v>
      </c>
    </row>
    <row r="431" spans="1:1" x14ac:dyDescent="0.25">
      <c r="A431" s="33" t="s">
        <v>195</v>
      </c>
    </row>
    <row r="432" spans="1:1" x14ac:dyDescent="0.25">
      <c r="A432" s="33" t="s">
        <v>196</v>
      </c>
    </row>
    <row r="433" spans="1:44" ht="15.75" thickBot="1" x14ac:dyDescent="0.3">
      <c r="A433" s="34" t="s">
        <v>197</v>
      </c>
      <c r="B433" s="34"/>
    </row>
    <row r="434" spans="1:44" ht="15.75" thickBot="1" x14ac:dyDescent="0.3">
      <c r="A434" s="39" t="s">
        <v>198</v>
      </c>
      <c r="B434" s="35"/>
    </row>
    <row r="435" spans="1:44" ht="15.75" thickBot="1" x14ac:dyDescent="0.3">
      <c r="A435" s="38" t="s">
        <v>199</v>
      </c>
      <c r="B435" s="36"/>
    </row>
    <row r="436" spans="1:44" ht="15.75" thickBot="1" x14ac:dyDescent="0.3"/>
    <row r="437" spans="1:44" x14ac:dyDescent="0.25">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18</v>
      </c>
      <c r="B439" s="41">
        <f>'Parameter Input'!L21</f>
        <v>105000</v>
      </c>
      <c r="C439" s="42">
        <f>'Parameter Input'!M21</f>
        <v>115000</v>
      </c>
      <c r="D439" s="1" t="s">
        <v>15</v>
      </c>
      <c r="L439" s="51">
        <f>'Parameter Input'!O21</f>
        <v>12</v>
      </c>
      <c r="M439" s="52">
        <v>0</v>
      </c>
      <c r="N439" s="52">
        <v>1</v>
      </c>
      <c r="O439" s="52">
        <f>'Parameter Input'!P21</f>
        <v>0.9</v>
      </c>
      <c r="P439" s="53">
        <f>'Parameter Input'!Q21</f>
        <v>0.4</v>
      </c>
      <c r="Q439" s="4">
        <f t="shared" ref="Q439:AR448" si="391">$N439+($M439-$N439)*((1/(1+EXP(-$P439*(Q$9-$L439)))^$O439))</f>
        <v>0.9867978615748374</v>
      </c>
      <c r="R439" s="4">
        <f t="shared" si="391"/>
        <v>0.98114509762858249</v>
      </c>
      <c r="S439" s="4">
        <f t="shared" si="391"/>
        <v>0.97311898315872036</v>
      </c>
      <c r="T439" s="4">
        <f t="shared" si="391"/>
        <v>0.96177484161592774</v>
      </c>
      <c r="U439" s="4">
        <f t="shared" si="391"/>
        <v>0.94584787155511363</v>
      </c>
      <c r="V439" s="4">
        <f t="shared" si="391"/>
        <v>0.92370360150141495</v>
      </c>
      <c r="W439" s="4">
        <f t="shared" si="391"/>
        <v>0.89334463567658451</v>
      </c>
      <c r="X439" s="4">
        <f t="shared" si="391"/>
        <v>0.85254543874327005</v>
      </c>
      <c r="Y439" s="4">
        <f t="shared" si="391"/>
        <v>0.79921300652623883</v>
      </c>
      <c r="Z439" s="4">
        <f t="shared" si="391"/>
        <v>0.73204982249993378</v>
      </c>
      <c r="AA439" s="4">
        <f t="shared" si="391"/>
        <v>0.65145592958786691</v>
      </c>
      <c r="AB439" s="4">
        <f t="shared" si="391"/>
        <v>0.56032247880849573</v>
      </c>
      <c r="AC439" s="4">
        <f t="shared" si="391"/>
        <v>0.46411326873185343</v>
      </c>
      <c r="AD439" s="4">
        <f t="shared" si="391"/>
        <v>0.36979727595523937</v>
      </c>
      <c r="AE439" s="4">
        <f t="shared" si="391"/>
        <v>0.28393948637231203</v>
      </c>
      <c r="AF439" s="4">
        <f t="shared" si="391"/>
        <v>0.21097259161117732</v>
      </c>
      <c r="AG439" s="4">
        <f t="shared" si="391"/>
        <v>0.15253917653798199</v>
      </c>
      <c r="AH439" s="4">
        <f t="shared" si="391"/>
        <v>0.10795188737709993</v>
      </c>
      <c r="AI439" s="4">
        <f t="shared" si="391"/>
        <v>7.5176653938091809E-2</v>
      </c>
      <c r="AJ439" s="4">
        <f t="shared" si="391"/>
        <v>5.1742836177502194E-2</v>
      </c>
      <c r="AK439" s="4">
        <f t="shared" si="391"/>
        <v>3.5319190625345942E-2</v>
      </c>
      <c r="AL439" s="4">
        <f t="shared" si="391"/>
        <v>2.3969442072658165E-2</v>
      </c>
      <c r="AM439" s="4">
        <f t="shared" si="391"/>
        <v>1.6202243558389728E-2</v>
      </c>
      <c r="AN439" s="4">
        <f t="shared" si="391"/>
        <v>1.0922240564108399E-2</v>
      </c>
      <c r="AO439" s="4">
        <f t="shared" si="391"/>
        <v>7.3493212906090566E-3</v>
      </c>
      <c r="AP439" s="4">
        <f t="shared" si="391"/>
        <v>4.9390262185057265E-3</v>
      </c>
      <c r="AQ439" s="4">
        <f t="shared" si="391"/>
        <v>3.3164275492956197E-3</v>
      </c>
      <c r="AR439" s="4">
        <f t="shared" si="391"/>
        <v>2.2256362146679809E-3</v>
      </c>
    </row>
    <row r="440" spans="1:44" x14ac:dyDescent="0.25">
      <c r="A440" s="24" t="s">
        <v>28</v>
      </c>
      <c r="B440" s="60">
        <f>'Parameter Input'!L22</f>
        <v>-26250</v>
      </c>
      <c r="C440" s="61">
        <f>'Parameter Input'!M22</f>
        <v>-17250</v>
      </c>
      <c r="D440" s="1" t="s">
        <v>15</v>
      </c>
      <c r="L440" s="54">
        <f>'Parameter Input'!O22</f>
        <v>12</v>
      </c>
      <c r="M440" s="37">
        <v>0</v>
      </c>
      <c r="N440" s="37">
        <v>1</v>
      </c>
      <c r="O440" s="37">
        <f>'Parameter Input'!P22</f>
        <v>0.9</v>
      </c>
      <c r="P440" s="55">
        <f>'Parameter Input'!Q22</f>
        <v>0.4</v>
      </c>
      <c r="Q440" s="4">
        <f t="shared" si="391"/>
        <v>0.9867978615748374</v>
      </c>
      <c r="R440" s="4">
        <f t="shared" si="391"/>
        <v>0.98114509762858249</v>
      </c>
      <c r="S440" s="4">
        <f t="shared" si="391"/>
        <v>0.97311898315872036</v>
      </c>
      <c r="T440" s="4">
        <f t="shared" si="391"/>
        <v>0.96177484161592774</v>
      </c>
      <c r="U440" s="4">
        <f t="shared" si="391"/>
        <v>0.94584787155511363</v>
      </c>
      <c r="V440" s="4">
        <f t="shared" si="391"/>
        <v>0.92370360150141495</v>
      </c>
      <c r="W440" s="4">
        <f t="shared" si="391"/>
        <v>0.89334463567658451</v>
      </c>
      <c r="X440" s="4">
        <f t="shared" si="391"/>
        <v>0.85254543874327005</v>
      </c>
      <c r="Y440" s="4">
        <f t="shared" si="391"/>
        <v>0.79921300652623883</v>
      </c>
      <c r="Z440" s="4">
        <f t="shared" si="391"/>
        <v>0.73204982249993378</v>
      </c>
      <c r="AA440" s="4">
        <f t="shared" si="391"/>
        <v>0.65145592958786691</v>
      </c>
      <c r="AB440" s="4">
        <f t="shared" si="391"/>
        <v>0.56032247880849573</v>
      </c>
      <c r="AC440" s="4">
        <f t="shared" si="391"/>
        <v>0.46411326873185343</v>
      </c>
      <c r="AD440" s="4">
        <f t="shared" si="391"/>
        <v>0.36979727595523937</v>
      </c>
      <c r="AE440" s="4">
        <f t="shared" si="391"/>
        <v>0.28393948637231203</v>
      </c>
      <c r="AF440" s="4">
        <f t="shared" si="391"/>
        <v>0.21097259161117732</v>
      </c>
      <c r="AG440" s="4">
        <f t="shared" si="391"/>
        <v>0.15253917653798199</v>
      </c>
      <c r="AH440" s="4">
        <f t="shared" si="391"/>
        <v>0.10795188737709993</v>
      </c>
      <c r="AI440" s="4">
        <f t="shared" si="391"/>
        <v>7.5176653938091809E-2</v>
      </c>
      <c r="AJ440" s="4">
        <f t="shared" si="391"/>
        <v>5.1742836177502194E-2</v>
      </c>
      <c r="AK440" s="4">
        <f t="shared" si="391"/>
        <v>3.5319190625345942E-2</v>
      </c>
      <c r="AL440" s="4">
        <f t="shared" si="391"/>
        <v>2.3969442072658165E-2</v>
      </c>
      <c r="AM440" s="4">
        <f t="shared" si="391"/>
        <v>1.6202243558389728E-2</v>
      </c>
      <c r="AN440" s="4">
        <f t="shared" si="391"/>
        <v>1.0922240564108399E-2</v>
      </c>
      <c r="AO440" s="4">
        <f t="shared" si="391"/>
        <v>7.3493212906090566E-3</v>
      </c>
      <c r="AP440" s="4">
        <f t="shared" si="391"/>
        <v>4.9390262185057265E-3</v>
      </c>
      <c r="AQ440" s="4">
        <f t="shared" si="391"/>
        <v>3.3164275492956197E-3</v>
      </c>
      <c r="AR440" s="4">
        <f t="shared" si="391"/>
        <v>2.2256362146679809E-3</v>
      </c>
    </row>
    <row r="441" spans="1:44" x14ac:dyDescent="0.25">
      <c r="A441" s="24" t="s">
        <v>14</v>
      </c>
      <c r="B441" s="60">
        <f>'Parameter Input'!B73</f>
        <v>35000</v>
      </c>
      <c r="C441" s="61">
        <f>'Parameter Input'!C73</f>
        <v>35000</v>
      </c>
      <c r="D441" s="1" t="s">
        <v>15</v>
      </c>
      <c r="L441" s="54">
        <f>'Parameter Input'!E73</f>
        <v>12</v>
      </c>
      <c r="M441" s="37">
        <v>0</v>
      </c>
      <c r="N441" s="37">
        <v>1</v>
      </c>
      <c r="O441" s="37">
        <f>'Parameter Input'!F59</f>
        <v>0.9</v>
      </c>
      <c r="P441" s="55">
        <f>'Parameter Input'!G73</f>
        <v>0.4</v>
      </c>
      <c r="Q441" s="4">
        <f t="shared" si="391"/>
        <v>0.9867978615748374</v>
      </c>
      <c r="R441" s="4">
        <f t="shared" si="391"/>
        <v>0.98114509762858249</v>
      </c>
      <c r="S441" s="4">
        <f t="shared" si="391"/>
        <v>0.97311898315872036</v>
      </c>
      <c r="T441" s="4">
        <f t="shared" si="391"/>
        <v>0.96177484161592774</v>
      </c>
      <c r="U441" s="4">
        <f t="shared" si="391"/>
        <v>0.94584787155511363</v>
      </c>
      <c r="V441" s="4">
        <f t="shared" si="391"/>
        <v>0.92370360150141495</v>
      </c>
      <c r="W441" s="4">
        <f t="shared" si="391"/>
        <v>0.89334463567658451</v>
      </c>
      <c r="X441" s="4">
        <f t="shared" si="391"/>
        <v>0.85254543874327005</v>
      </c>
      <c r="Y441" s="4">
        <f t="shared" si="391"/>
        <v>0.79921300652623883</v>
      </c>
      <c r="Z441" s="4">
        <f t="shared" si="391"/>
        <v>0.73204982249993378</v>
      </c>
      <c r="AA441" s="4">
        <f t="shared" si="391"/>
        <v>0.65145592958786691</v>
      </c>
      <c r="AB441" s="4">
        <f t="shared" si="391"/>
        <v>0.56032247880849573</v>
      </c>
      <c r="AC441" s="4">
        <f t="shared" si="391"/>
        <v>0.46411326873185343</v>
      </c>
      <c r="AD441" s="4">
        <f t="shared" si="391"/>
        <v>0.36979727595523937</v>
      </c>
      <c r="AE441" s="4">
        <f t="shared" si="391"/>
        <v>0.28393948637231203</v>
      </c>
      <c r="AF441" s="4">
        <f t="shared" si="391"/>
        <v>0.21097259161117732</v>
      </c>
      <c r="AG441" s="4">
        <f t="shared" si="391"/>
        <v>0.15253917653798199</v>
      </c>
      <c r="AH441" s="4">
        <f t="shared" si="391"/>
        <v>0.10795188737709993</v>
      </c>
      <c r="AI441" s="4">
        <f t="shared" si="391"/>
        <v>7.5176653938091809E-2</v>
      </c>
      <c r="AJ441" s="4">
        <f t="shared" si="391"/>
        <v>5.1742836177502194E-2</v>
      </c>
      <c r="AK441" s="4">
        <f t="shared" si="391"/>
        <v>3.5319190625345942E-2</v>
      </c>
      <c r="AL441" s="4">
        <f t="shared" si="391"/>
        <v>2.3969442072658165E-2</v>
      </c>
      <c r="AM441" s="4">
        <f t="shared" si="391"/>
        <v>1.6202243558389728E-2</v>
      </c>
      <c r="AN441" s="4">
        <f t="shared" si="391"/>
        <v>1.0922240564108399E-2</v>
      </c>
      <c r="AO441" s="4">
        <f t="shared" si="391"/>
        <v>7.3493212906090566E-3</v>
      </c>
      <c r="AP441" s="4">
        <f t="shared" si="391"/>
        <v>4.9390262185057265E-3</v>
      </c>
      <c r="AQ441" s="4">
        <f t="shared" si="391"/>
        <v>3.3164275492956197E-3</v>
      </c>
      <c r="AR441" s="4">
        <f t="shared" si="391"/>
        <v>2.2256362146679809E-3</v>
      </c>
    </row>
    <row r="442" spans="1:44" x14ac:dyDescent="0.25">
      <c r="A442" s="24" t="s">
        <v>25</v>
      </c>
      <c r="B442" s="60">
        <f>'Parameter Input'!B74</f>
        <v>-8750</v>
      </c>
      <c r="C442" s="61">
        <f>'Parameter Input'!C74</f>
        <v>-8750</v>
      </c>
      <c r="D442" s="1" t="s">
        <v>15</v>
      </c>
      <c r="L442" s="54">
        <f>'Parameter Input'!E74</f>
        <v>12</v>
      </c>
      <c r="M442" s="37">
        <v>0</v>
      </c>
      <c r="N442" s="37">
        <v>1</v>
      </c>
      <c r="O442" s="37">
        <f>'Parameter Input'!F74</f>
        <v>0.9</v>
      </c>
      <c r="P442" s="55">
        <f>'Parameter Input'!G74</f>
        <v>0.4</v>
      </c>
      <c r="Q442" s="4">
        <f t="shared" si="391"/>
        <v>0.9867978615748374</v>
      </c>
      <c r="R442" s="4">
        <f t="shared" si="391"/>
        <v>0.98114509762858249</v>
      </c>
      <c r="S442" s="4">
        <f t="shared" si="391"/>
        <v>0.97311898315872036</v>
      </c>
      <c r="T442" s="4">
        <f t="shared" si="391"/>
        <v>0.96177484161592774</v>
      </c>
      <c r="U442" s="4">
        <f t="shared" si="391"/>
        <v>0.94584787155511363</v>
      </c>
      <c r="V442" s="4">
        <f t="shared" si="391"/>
        <v>0.92370360150141495</v>
      </c>
      <c r="W442" s="4">
        <f t="shared" si="391"/>
        <v>0.89334463567658451</v>
      </c>
      <c r="X442" s="4">
        <f t="shared" si="391"/>
        <v>0.85254543874327005</v>
      </c>
      <c r="Y442" s="4">
        <f t="shared" si="391"/>
        <v>0.79921300652623883</v>
      </c>
      <c r="Z442" s="4">
        <f t="shared" si="391"/>
        <v>0.73204982249993378</v>
      </c>
      <c r="AA442" s="4">
        <f t="shared" si="391"/>
        <v>0.65145592958786691</v>
      </c>
      <c r="AB442" s="4">
        <f t="shared" si="391"/>
        <v>0.56032247880849573</v>
      </c>
      <c r="AC442" s="4">
        <f t="shared" si="391"/>
        <v>0.46411326873185343</v>
      </c>
      <c r="AD442" s="4">
        <f t="shared" si="391"/>
        <v>0.36979727595523937</v>
      </c>
      <c r="AE442" s="4">
        <f t="shared" si="391"/>
        <v>0.28393948637231203</v>
      </c>
      <c r="AF442" s="4">
        <f t="shared" si="391"/>
        <v>0.21097259161117732</v>
      </c>
      <c r="AG442" s="4">
        <f t="shared" si="391"/>
        <v>0.15253917653798199</v>
      </c>
      <c r="AH442" s="4">
        <f t="shared" si="391"/>
        <v>0.10795188737709993</v>
      </c>
      <c r="AI442" s="4">
        <f t="shared" si="391"/>
        <v>7.5176653938091809E-2</v>
      </c>
      <c r="AJ442" s="4">
        <f t="shared" si="391"/>
        <v>5.1742836177502194E-2</v>
      </c>
      <c r="AK442" s="4">
        <f t="shared" si="391"/>
        <v>3.5319190625345942E-2</v>
      </c>
      <c r="AL442" s="4">
        <f t="shared" si="391"/>
        <v>2.3969442072658165E-2</v>
      </c>
      <c r="AM442" s="4">
        <f t="shared" si="391"/>
        <v>1.6202243558389728E-2</v>
      </c>
      <c r="AN442" s="4">
        <f t="shared" si="391"/>
        <v>1.0922240564108399E-2</v>
      </c>
      <c r="AO442" s="4">
        <f t="shared" si="391"/>
        <v>7.3493212906090566E-3</v>
      </c>
      <c r="AP442" s="4">
        <f t="shared" si="391"/>
        <v>4.9390262185057265E-3</v>
      </c>
      <c r="AQ442" s="4">
        <f t="shared" si="391"/>
        <v>3.3164275492956197E-3</v>
      </c>
      <c r="AR442" s="4">
        <f t="shared" si="391"/>
        <v>2.2256362146679809E-3</v>
      </c>
    </row>
    <row r="443" spans="1:44" x14ac:dyDescent="0.25">
      <c r="A443" s="24" t="s">
        <v>79</v>
      </c>
      <c r="B443" s="60">
        <f>'Parameter Input'!L28</f>
        <v>0.06</v>
      </c>
      <c r="C443" s="61">
        <f>'Parameter Input'!M28</f>
        <v>0.06</v>
      </c>
      <c r="D443" s="1" t="s">
        <v>57</v>
      </c>
      <c r="L443" s="54">
        <f>'Parameter Input'!O28</f>
        <v>12</v>
      </c>
      <c r="M443" s="37">
        <v>0</v>
      </c>
      <c r="N443" s="37">
        <v>1</v>
      </c>
      <c r="O443" s="37">
        <f>'Parameter Input'!P28</f>
        <v>0.9</v>
      </c>
      <c r="P443" s="55">
        <f>'Parameter Input'!Q28</f>
        <v>0.4</v>
      </c>
      <c r="Q443" s="4">
        <f t="shared" si="391"/>
        <v>0.9867978615748374</v>
      </c>
      <c r="R443" s="4">
        <f t="shared" si="391"/>
        <v>0.98114509762858249</v>
      </c>
      <c r="S443" s="4">
        <f t="shared" si="391"/>
        <v>0.97311898315872036</v>
      </c>
      <c r="T443" s="4">
        <f t="shared" si="391"/>
        <v>0.96177484161592774</v>
      </c>
      <c r="U443" s="4">
        <f t="shared" si="391"/>
        <v>0.94584787155511363</v>
      </c>
      <c r="V443" s="4">
        <f t="shared" si="391"/>
        <v>0.92370360150141495</v>
      </c>
      <c r="W443" s="4">
        <f t="shared" si="391"/>
        <v>0.89334463567658451</v>
      </c>
      <c r="X443" s="4">
        <f t="shared" si="391"/>
        <v>0.85254543874327005</v>
      </c>
      <c r="Y443" s="4">
        <f t="shared" si="391"/>
        <v>0.79921300652623883</v>
      </c>
      <c r="Z443" s="4">
        <f t="shared" si="391"/>
        <v>0.73204982249993378</v>
      </c>
      <c r="AA443" s="4">
        <f t="shared" si="391"/>
        <v>0.65145592958786691</v>
      </c>
      <c r="AB443" s="4">
        <f t="shared" si="391"/>
        <v>0.56032247880849573</v>
      </c>
      <c r="AC443" s="4">
        <f t="shared" si="391"/>
        <v>0.46411326873185343</v>
      </c>
      <c r="AD443" s="4">
        <f t="shared" si="391"/>
        <v>0.36979727595523937</v>
      </c>
      <c r="AE443" s="4">
        <f t="shared" si="391"/>
        <v>0.28393948637231203</v>
      </c>
      <c r="AF443" s="4">
        <f t="shared" si="391"/>
        <v>0.21097259161117732</v>
      </c>
      <c r="AG443" s="4">
        <f t="shared" si="391"/>
        <v>0.15253917653798199</v>
      </c>
      <c r="AH443" s="4">
        <f t="shared" si="391"/>
        <v>0.10795188737709993</v>
      </c>
      <c r="AI443" s="4">
        <f t="shared" si="391"/>
        <v>7.5176653938091809E-2</v>
      </c>
      <c r="AJ443" s="4">
        <f t="shared" si="391"/>
        <v>5.1742836177502194E-2</v>
      </c>
      <c r="AK443" s="4">
        <f t="shared" si="391"/>
        <v>3.5319190625345942E-2</v>
      </c>
      <c r="AL443" s="4">
        <f t="shared" si="391"/>
        <v>2.3969442072658165E-2</v>
      </c>
      <c r="AM443" s="4">
        <f t="shared" si="391"/>
        <v>1.6202243558389728E-2</v>
      </c>
      <c r="AN443" s="4">
        <f t="shared" si="391"/>
        <v>1.0922240564108399E-2</v>
      </c>
      <c r="AO443" s="4">
        <f t="shared" si="391"/>
        <v>7.3493212906090566E-3</v>
      </c>
      <c r="AP443" s="4">
        <f t="shared" si="391"/>
        <v>4.9390262185057265E-3</v>
      </c>
      <c r="AQ443" s="4">
        <f t="shared" si="391"/>
        <v>3.3164275492956197E-3</v>
      </c>
      <c r="AR443" s="4">
        <f t="shared" si="391"/>
        <v>2.2256362146679809E-3</v>
      </c>
    </row>
    <row r="444" spans="1:44" x14ac:dyDescent="0.25">
      <c r="A444" s="24" t="s">
        <v>37</v>
      </c>
      <c r="B444" s="60">
        <f>'Parameter Input'!B75</f>
        <v>70000</v>
      </c>
      <c r="C444" s="61">
        <f>'Parameter Input'!C75</f>
        <v>70000</v>
      </c>
      <c r="D444" s="1" t="s">
        <v>38</v>
      </c>
      <c r="L444" s="54">
        <f>'Parameter Input'!E75</f>
        <v>12</v>
      </c>
      <c r="M444" s="37">
        <v>0</v>
      </c>
      <c r="N444" s="37">
        <v>1</v>
      </c>
      <c r="O444" s="37">
        <f>'Parameter Input'!F75</f>
        <v>0.9</v>
      </c>
      <c r="P444" s="55">
        <f>'Parameter Input'!G75</f>
        <v>0.4</v>
      </c>
      <c r="Q444" s="4">
        <f t="shared" si="391"/>
        <v>0.9867978615748374</v>
      </c>
      <c r="R444" s="4">
        <f t="shared" si="391"/>
        <v>0.98114509762858249</v>
      </c>
      <c r="S444" s="4">
        <f t="shared" si="391"/>
        <v>0.97311898315872036</v>
      </c>
      <c r="T444" s="4">
        <f t="shared" si="391"/>
        <v>0.96177484161592774</v>
      </c>
      <c r="U444" s="4">
        <f t="shared" si="391"/>
        <v>0.94584787155511363</v>
      </c>
      <c r="V444" s="4">
        <f t="shared" si="391"/>
        <v>0.92370360150141495</v>
      </c>
      <c r="W444" s="4">
        <f t="shared" si="391"/>
        <v>0.89334463567658451</v>
      </c>
      <c r="X444" s="4">
        <f t="shared" si="391"/>
        <v>0.85254543874327005</v>
      </c>
      <c r="Y444" s="4">
        <f t="shared" si="391"/>
        <v>0.79921300652623883</v>
      </c>
      <c r="Z444" s="4">
        <f t="shared" si="391"/>
        <v>0.73204982249993378</v>
      </c>
      <c r="AA444" s="4">
        <f t="shared" si="391"/>
        <v>0.65145592958786691</v>
      </c>
      <c r="AB444" s="4">
        <f t="shared" si="391"/>
        <v>0.56032247880849573</v>
      </c>
      <c r="AC444" s="4">
        <f t="shared" si="391"/>
        <v>0.46411326873185343</v>
      </c>
      <c r="AD444" s="4">
        <f t="shared" si="391"/>
        <v>0.36979727595523937</v>
      </c>
      <c r="AE444" s="4">
        <f t="shared" si="391"/>
        <v>0.28393948637231203</v>
      </c>
      <c r="AF444" s="4">
        <f t="shared" si="391"/>
        <v>0.21097259161117732</v>
      </c>
      <c r="AG444" s="4">
        <f t="shared" si="391"/>
        <v>0.15253917653798199</v>
      </c>
      <c r="AH444" s="4">
        <f t="shared" si="391"/>
        <v>0.10795188737709993</v>
      </c>
      <c r="AI444" s="4">
        <f t="shared" si="391"/>
        <v>7.5176653938091809E-2</v>
      </c>
      <c r="AJ444" s="4">
        <f t="shared" si="391"/>
        <v>5.1742836177502194E-2</v>
      </c>
      <c r="AK444" s="4">
        <f t="shared" si="391"/>
        <v>3.5319190625345942E-2</v>
      </c>
      <c r="AL444" s="4">
        <f t="shared" si="391"/>
        <v>2.3969442072658165E-2</v>
      </c>
      <c r="AM444" s="4">
        <f t="shared" si="391"/>
        <v>1.6202243558389728E-2</v>
      </c>
      <c r="AN444" s="4">
        <f t="shared" si="391"/>
        <v>1.0922240564108399E-2</v>
      </c>
      <c r="AO444" s="4">
        <f t="shared" si="391"/>
        <v>7.3493212906090566E-3</v>
      </c>
      <c r="AP444" s="4">
        <f t="shared" si="391"/>
        <v>4.9390262185057265E-3</v>
      </c>
      <c r="AQ444" s="4">
        <f t="shared" si="391"/>
        <v>3.3164275492956197E-3</v>
      </c>
      <c r="AR444" s="4">
        <f t="shared" si="391"/>
        <v>2.2256362146679809E-3</v>
      </c>
    </row>
    <row r="445" spans="1:44" x14ac:dyDescent="0.25">
      <c r="A445" s="24" t="s">
        <v>52</v>
      </c>
      <c r="B445" s="60">
        <f>'Parameter Input'!L24</f>
        <v>20000</v>
      </c>
      <c r="C445" s="61">
        <f>'Parameter Input'!M24</f>
        <v>20000</v>
      </c>
      <c r="D445" s="1" t="s">
        <v>38</v>
      </c>
      <c r="L445" s="54">
        <f>'Parameter Input'!O24</f>
        <v>12</v>
      </c>
      <c r="M445" s="37">
        <v>0</v>
      </c>
      <c r="N445" s="37">
        <v>1</v>
      </c>
      <c r="O445" s="37">
        <f>'Parameter Input'!P24</f>
        <v>0.9</v>
      </c>
      <c r="P445" s="55">
        <f>'Parameter Input'!Q24</f>
        <v>0.4</v>
      </c>
      <c r="Q445" s="4">
        <f t="shared" si="391"/>
        <v>0.9867978615748374</v>
      </c>
      <c r="R445" s="4">
        <f t="shared" si="391"/>
        <v>0.98114509762858249</v>
      </c>
      <c r="S445" s="4">
        <f t="shared" si="391"/>
        <v>0.97311898315872036</v>
      </c>
      <c r="T445" s="4">
        <f t="shared" si="391"/>
        <v>0.96177484161592774</v>
      </c>
      <c r="U445" s="4">
        <f t="shared" si="391"/>
        <v>0.94584787155511363</v>
      </c>
      <c r="V445" s="4">
        <f t="shared" si="391"/>
        <v>0.92370360150141495</v>
      </c>
      <c r="W445" s="4">
        <f t="shared" si="391"/>
        <v>0.89334463567658451</v>
      </c>
      <c r="X445" s="4">
        <f t="shared" si="391"/>
        <v>0.85254543874327005</v>
      </c>
      <c r="Y445" s="4">
        <f t="shared" si="391"/>
        <v>0.79921300652623883</v>
      </c>
      <c r="Z445" s="4">
        <f t="shared" si="391"/>
        <v>0.73204982249993378</v>
      </c>
      <c r="AA445" s="4">
        <f t="shared" si="391"/>
        <v>0.65145592958786691</v>
      </c>
      <c r="AB445" s="4">
        <f t="shared" si="391"/>
        <v>0.56032247880849573</v>
      </c>
      <c r="AC445" s="4">
        <f t="shared" si="391"/>
        <v>0.46411326873185343</v>
      </c>
      <c r="AD445" s="4">
        <f t="shared" si="391"/>
        <v>0.36979727595523937</v>
      </c>
      <c r="AE445" s="4">
        <f t="shared" si="391"/>
        <v>0.28393948637231203</v>
      </c>
      <c r="AF445" s="4">
        <f t="shared" si="391"/>
        <v>0.21097259161117732</v>
      </c>
      <c r="AG445" s="4">
        <f t="shared" si="391"/>
        <v>0.15253917653798199</v>
      </c>
      <c r="AH445" s="4">
        <f t="shared" si="391"/>
        <v>0.10795188737709993</v>
      </c>
      <c r="AI445" s="4">
        <f t="shared" si="391"/>
        <v>7.5176653938091809E-2</v>
      </c>
      <c r="AJ445" s="4">
        <f t="shared" si="391"/>
        <v>5.1742836177502194E-2</v>
      </c>
      <c r="AK445" s="4">
        <f t="shared" si="391"/>
        <v>3.5319190625345942E-2</v>
      </c>
      <c r="AL445" s="4">
        <f t="shared" si="391"/>
        <v>2.3969442072658165E-2</v>
      </c>
      <c r="AM445" s="4">
        <f t="shared" si="391"/>
        <v>1.6202243558389728E-2</v>
      </c>
      <c r="AN445" s="4">
        <f t="shared" si="391"/>
        <v>1.0922240564108399E-2</v>
      </c>
      <c r="AO445" s="4">
        <f t="shared" si="391"/>
        <v>7.3493212906090566E-3</v>
      </c>
      <c r="AP445" s="4">
        <f t="shared" si="391"/>
        <v>4.9390262185057265E-3</v>
      </c>
      <c r="AQ445" s="4">
        <f t="shared" si="391"/>
        <v>3.3164275492956197E-3</v>
      </c>
      <c r="AR445" s="4">
        <f t="shared" si="391"/>
        <v>2.2256362146679809E-3</v>
      </c>
    </row>
    <row r="446" spans="1:44" x14ac:dyDescent="0.25">
      <c r="A446" s="24" t="s">
        <v>272</v>
      </c>
      <c r="B446" s="60">
        <f>'Parameter Input'!B80</f>
        <v>0.11</v>
      </c>
      <c r="C446" s="61">
        <f>'Parameter Input'!C80</f>
        <v>0.11</v>
      </c>
      <c r="D446" s="1" t="s">
        <v>76</v>
      </c>
      <c r="L446" s="54">
        <f>'Parameter Input'!E80</f>
        <v>12</v>
      </c>
      <c r="M446" s="37">
        <v>0</v>
      </c>
      <c r="N446" s="37">
        <v>1</v>
      </c>
      <c r="O446" s="37">
        <f>'Parameter Input'!F80</f>
        <v>0.9</v>
      </c>
      <c r="P446" s="55">
        <f>'Parameter Input'!G80</f>
        <v>0.4</v>
      </c>
      <c r="Q446" s="4">
        <f t="shared" si="391"/>
        <v>0.9867978615748374</v>
      </c>
      <c r="R446" s="4">
        <f t="shared" si="391"/>
        <v>0.98114509762858249</v>
      </c>
      <c r="S446" s="4">
        <f t="shared" si="391"/>
        <v>0.97311898315872036</v>
      </c>
      <c r="T446" s="4">
        <f t="shared" si="391"/>
        <v>0.96177484161592774</v>
      </c>
      <c r="U446" s="4">
        <f t="shared" si="391"/>
        <v>0.94584787155511363</v>
      </c>
      <c r="V446" s="4">
        <f t="shared" si="391"/>
        <v>0.92370360150141495</v>
      </c>
      <c r="W446" s="4">
        <f t="shared" si="391"/>
        <v>0.89334463567658451</v>
      </c>
      <c r="X446" s="4">
        <f t="shared" si="391"/>
        <v>0.85254543874327005</v>
      </c>
      <c r="Y446" s="4">
        <f t="shared" si="391"/>
        <v>0.79921300652623883</v>
      </c>
      <c r="Z446" s="4">
        <f t="shared" si="391"/>
        <v>0.73204982249993378</v>
      </c>
      <c r="AA446" s="4">
        <f t="shared" si="391"/>
        <v>0.65145592958786691</v>
      </c>
      <c r="AB446" s="4">
        <f t="shared" si="391"/>
        <v>0.56032247880849573</v>
      </c>
      <c r="AC446" s="4">
        <f t="shared" si="391"/>
        <v>0.46411326873185343</v>
      </c>
      <c r="AD446" s="4">
        <f t="shared" si="391"/>
        <v>0.36979727595523937</v>
      </c>
      <c r="AE446" s="4">
        <f t="shared" si="391"/>
        <v>0.28393948637231203</v>
      </c>
      <c r="AF446" s="4">
        <f t="shared" si="391"/>
        <v>0.21097259161117732</v>
      </c>
      <c r="AG446" s="4">
        <f t="shared" si="391"/>
        <v>0.15253917653798199</v>
      </c>
      <c r="AH446" s="4">
        <f t="shared" si="391"/>
        <v>0.10795188737709993</v>
      </c>
      <c r="AI446" s="4">
        <f t="shared" si="391"/>
        <v>7.5176653938091809E-2</v>
      </c>
      <c r="AJ446" s="4">
        <f t="shared" si="391"/>
        <v>5.1742836177502194E-2</v>
      </c>
      <c r="AK446" s="4">
        <f t="shared" si="391"/>
        <v>3.5319190625345942E-2</v>
      </c>
      <c r="AL446" s="4">
        <f t="shared" si="391"/>
        <v>2.3969442072658165E-2</v>
      </c>
      <c r="AM446" s="4">
        <f t="shared" si="391"/>
        <v>1.6202243558389728E-2</v>
      </c>
      <c r="AN446" s="4">
        <f t="shared" si="391"/>
        <v>1.0922240564108399E-2</v>
      </c>
      <c r="AO446" s="4">
        <f t="shared" si="391"/>
        <v>7.3493212906090566E-3</v>
      </c>
      <c r="AP446" s="4">
        <f t="shared" si="391"/>
        <v>4.9390262185057265E-3</v>
      </c>
      <c r="AQ446" s="4">
        <f t="shared" si="391"/>
        <v>3.3164275492956197E-3</v>
      </c>
      <c r="AR446" s="4">
        <f t="shared" si="391"/>
        <v>2.2256362146679809E-3</v>
      </c>
    </row>
    <row r="447" spans="1:44" x14ac:dyDescent="0.25">
      <c r="A447" s="24" t="s">
        <v>59</v>
      </c>
      <c r="B447" s="60">
        <f>'Parameter Input'!L25</f>
        <v>2.9</v>
      </c>
      <c r="C447" s="61">
        <f>'Parameter Input'!M25</f>
        <v>2.4</v>
      </c>
      <c r="D447" s="1" t="s">
        <v>60</v>
      </c>
      <c r="L447" s="54">
        <f>'Parameter Input'!O25</f>
        <v>12</v>
      </c>
      <c r="M447" s="37">
        <v>0</v>
      </c>
      <c r="N447" s="37">
        <v>1</v>
      </c>
      <c r="O447" s="37">
        <f>'Parameter Input'!P25</f>
        <v>0.9</v>
      </c>
      <c r="P447" s="55">
        <f>'Parameter Input'!Q25</f>
        <v>0.4</v>
      </c>
      <c r="Q447" s="4">
        <f t="shared" si="391"/>
        <v>0.9867978615748374</v>
      </c>
      <c r="R447" s="4">
        <f t="shared" si="391"/>
        <v>0.98114509762858249</v>
      </c>
      <c r="S447" s="4">
        <f t="shared" si="391"/>
        <v>0.97311898315872036</v>
      </c>
      <c r="T447" s="4">
        <f t="shared" si="391"/>
        <v>0.96177484161592774</v>
      </c>
      <c r="U447" s="4">
        <f t="shared" si="391"/>
        <v>0.94584787155511363</v>
      </c>
      <c r="V447" s="4">
        <f t="shared" si="391"/>
        <v>0.92370360150141495</v>
      </c>
      <c r="W447" s="4">
        <f t="shared" si="391"/>
        <v>0.89334463567658451</v>
      </c>
      <c r="X447" s="4">
        <f t="shared" si="391"/>
        <v>0.85254543874327005</v>
      </c>
      <c r="Y447" s="4">
        <f t="shared" si="391"/>
        <v>0.79921300652623883</v>
      </c>
      <c r="Z447" s="4">
        <f t="shared" si="391"/>
        <v>0.73204982249993378</v>
      </c>
      <c r="AA447" s="4">
        <f t="shared" si="391"/>
        <v>0.65145592958786691</v>
      </c>
      <c r="AB447" s="4">
        <f t="shared" si="391"/>
        <v>0.56032247880849573</v>
      </c>
      <c r="AC447" s="4">
        <f t="shared" si="391"/>
        <v>0.46411326873185343</v>
      </c>
      <c r="AD447" s="4">
        <f t="shared" si="391"/>
        <v>0.36979727595523937</v>
      </c>
      <c r="AE447" s="4">
        <f t="shared" si="391"/>
        <v>0.28393948637231203</v>
      </c>
      <c r="AF447" s="4">
        <f t="shared" si="391"/>
        <v>0.21097259161117732</v>
      </c>
      <c r="AG447" s="4">
        <f t="shared" si="391"/>
        <v>0.15253917653798199</v>
      </c>
      <c r="AH447" s="4">
        <f t="shared" si="391"/>
        <v>0.10795188737709993</v>
      </c>
      <c r="AI447" s="4">
        <f t="shared" si="391"/>
        <v>7.5176653938091809E-2</v>
      </c>
      <c r="AJ447" s="4">
        <f t="shared" si="391"/>
        <v>5.1742836177502194E-2</v>
      </c>
      <c r="AK447" s="4">
        <f t="shared" si="391"/>
        <v>3.5319190625345942E-2</v>
      </c>
      <c r="AL447" s="4">
        <f t="shared" si="391"/>
        <v>2.3969442072658165E-2</v>
      </c>
      <c r="AM447" s="4">
        <f t="shared" si="391"/>
        <v>1.6202243558389728E-2</v>
      </c>
      <c r="AN447" s="4">
        <f t="shared" si="391"/>
        <v>1.0922240564108399E-2</v>
      </c>
      <c r="AO447" s="4">
        <f t="shared" si="391"/>
        <v>7.3493212906090566E-3</v>
      </c>
      <c r="AP447" s="4">
        <f t="shared" si="391"/>
        <v>4.9390262185057265E-3</v>
      </c>
      <c r="AQ447" s="4">
        <f t="shared" si="391"/>
        <v>3.3164275492956197E-3</v>
      </c>
      <c r="AR447" s="4">
        <f t="shared" si="391"/>
        <v>2.2256362146679809E-3</v>
      </c>
    </row>
    <row r="448" spans="1:44" x14ac:dyDescent="0.25">
      <c r="A448" s="24" t="s">
        <v>67</v>
      </c>
      <c r="B448" s="60">
        <f>'Parameter Input'!L26</f>
        <v>0.1</v>
      </c>
      <c r="C448" s="61">
        <f>'Parameter Input'!M26</f>
        <v>0.1</v>
      </c>
      <c r="D448" s="1" t="s">
        <v>68</v>
      </c>
      <c r="L448" s="54">
        <f>'Parameter Input'!O26</f>
        <v>12</v>
      </c>
      <c r="M448" s="37">
        <v>0</v>
      </c>
      <c r="N448" s="37">
        <v>1</v>
      </c>
      <c r="O448" s="37">
        <f>'Parameter Input'!P26</f>
        <v>0.9</v>
      </c>
      <c r="P448" s="55">
        <f>'Parameter Input'!Q26</f>
        <v>0.4</v>
      </c>
      <c r="Q448" s="4">
        <f t="shared" si="391"/>
        <v>0.9867978615748374</v>
      </c>
      <c r="R448" s="4">
        <f t="shared" si="391"/>
        <v>0.98114509762858249</v>
      </c>
      <c r="S448" s="4">
        <f t="shared" si="391"/>
        <v>0.97311898315872036</v>
      </c>
      <c r="T448" s="4">
        <f t="shared" ref="T448:AI455" si="392">$N448+($M448-$N448)*((1/(1+EXP(-$P448*(T$9-$L448)))^$O448))</f>
        <v>0.96177484161592774</v>
      </c>
      <c r="U448" s="4">
        <f t="shared" si="392"/>
        <v>0.94584787155511363</v>
      </c>
      <c r="V448" s="4">
        <f t="shared" si="392"/>
        <v>0.92370360150141495</v>
      </c>
      <c r="W448" s="4">
        <f t="shared" si="392"/>
        <v>0.89334463567658451</v>
      </c>
      <c r="X448" s="4">
        <f t="shared" si="392"/>
        <v>0.85254543874327005</v>
      </c>
      <c r="Y448" s="4">
        <f t="shared" si="392"/>
        <v>0.79921300652623883</v>
      </c>
      <c r="Z448" s="4">
        <f t="shared" si="392"/>
        <v>0.73204982249993378</v>
      </c>
      <c r="AA448" s="4">
        <f t="shared" si="392"/>
        <v>0.65145592958786691</v>
      </c>
      <c r="AB448" s="4">
        <f t="shared" si="392"/>
        <v>0.56032247880849573</v>
      </c>
      <c r="AC448" s="4">
        <f t="shared" si="392"/>
        <v>0.46411326873185343</v>
      </c>
      <c r="AD448" s="4">
        <f t="shared" si="392"/>
        <v>0.36979727595523937</v>
      </c>
      <c r="AE448" s="4">
        <f t="shared" si="392"/>
        <v>0.28393948637231203</v>
      </c>
      <c r="AF448" s="4">
        <f t="shared" si="392"/>
        <v>0.21097259161117732</v>
      </c>
      <c r="AG448" s="4">
        <f t="shared" si="392"/>
        <v>0.15253917653798199</v>
      </c>
      <c r="AH448" s="4">
        <f t="shared" si="392"/>
        <v>0.10795188737709993</v>
      </c>
      <c r="AI448" s="4">
        <f t="shared" si="392"/>
        <v>7.5176653938091809E-2</v>
      </c>
      <c r="AJ448" s="4">
        <f t="shared" ref="AJ448:AR455" si="393">$N448+($M448-$N448)*((1/(1+EXP(-$P448*(AJ$9-$L448)))^$O448))</f>
        <v>5.1742836177502194E-2</v>
      </c>
      <c r="AK448" s="4">
        <f t="shared" si="393"/>
        <v>3.5319190625345942E-2</v>
      </c>
      <c r="AL448" s="4">
        <f t="shared" si="393"/>
        <v>2.3969442072658165E-2</v>
      </c>
      <c r="AM448" s="4">
        <f t="shared" si="393"/>
        <v>1.6202243558389728E-2</v>
      </c>
      <c r="AN448" s="4">
        <f t="shared" si="393"/>
        <v>1.0922240564108399E-2</v>
      </c>
      <c r="AO448" s="4">
        <f t="shared" si="393"/>
        <v>7.3493212906090566E-3</v>
      </c>
      <c r="AP448" s="4">
        <f t="shared" si="393"/>
        <v>4.9390262185057265E-3</v>
      </c>
      <c r="AQ448" s="4">
        <f t="shared" si="393"/>
        <v>3.3164275492956197E-3</v>
      </c>
      <c r="AR448" s="4">
        <f t="shared" si="393"/>
        <v>2.2256362146679809E-3</v>
      </c>
    </row>
    <row r="449" spans="1:44" x14ac:dyDescent="0.25">
      <c r="A449" s="24" t="s">
        <v>206</v>
      </c>
      <c r="B449" s="45">
        <f>'Parameter Input'!$L$29</f>
        <v>7.7317073170731707E-2</v>
      </c>
      <c r="C449" s="46">
        <f>'Parameter Input'!$M$29</f>
        <v>0.22395290159798151</v>
      </c>
      <c r="D449" s="1" t="s">
        <v>76</v>
      </c>
      <c r="L449" s="54">
        <f>'Parameter Input'!$O$29</f>
        <v>17</v>
      </c>
      <c r="M449" s="37">
        <v>0</v>
      </c>
      <c r="N449" s="37">
        <v>1</v>
      </c>
      <c r="O449" s="37">
        <f>'Parameter Input'!$P$29</f>
        <v>0.9</v>
      </c>
      <c r="P449" s="55">
        <f>'Parameter Input'!$Q$29</f>
        <v>0.4</v>
      </c>
      <c r="Q449" s="4">
        <f t="shared" ref="Q449:AR449" si="394">$N449+($M449-$N449)*((1/(1+EXP(-$P449*(Q$9-$L449)))^$O449))</f>
        <v>0.99780374543478534</v>
      </c>
      <c r="R449" s="4">
        <f t="shared" si="394"/>
        <v>0.99685359315256394</v>
      </c>
      <c r="S449" s="4">
        <f t="shared" si="394"/>
        <v>0.99549347132349975</v>
      </c>
      <c r="T449" s="4">
        <f t="shared" si="394"/>
        <v>0.99354772139898062</v>
      </c>
      <c r="U449" s="4">
        <f t="shared" si="394"/>
        <v>0.99076681540580536</v>
      </c>
      <c r="V449" s="4">
        <f t="shared" si="394"/>
        <v>0.9867978615748374</v>
      </c>
      <c r="W449" s="4">
        <f t="shared" si="394"/>
        <v>0.98114509762858249</v>
      </c>
      <c r="X449" s="4">
        <f t="shared" si="394"/>
        <v>0.97311898315872036</v>
      </c>
      <c r="Y449" s="4">
        <f t="shared" si="394"/>
        <v>0.96177484161592774</v>
      </c>
      <c r="Z449" s="4">
        <f t="shared" si="394"/>
        <v>0.94584787155511363</v>
      </c>
      <c r="AA449" s="4">
        <f t="shared" si="394"/>
        <v>0.92370360150141495</v>
      </c>
      <c r="AB449" s="4">
        <f t="shared" si="394"/>
        <v>0.89334463567658451</v>
      </c>
      <c r="AC449" s="4">
        <f t="shared" si="394"/>
        <v>0.85254543874327005</v>
      </c>
      <c r="AD449" s="4">
        <f t="shared" si="394"/>
        <v>0.79921300652623883</v>
      </c>
      <c r="AE449" s="4">
        <f t="shared" si="394"/>
        <v>0.73204982249993378</v>
      </c>
      <c r="AF449" s="4">
        <f t="shared" si="394"/>
        <v>0.65145592958786691</v>
      </c>
      <c r="AG449" s="4">
        <f t="shared" si="394"/>
        <v>0.56032247880849573</v>
      </c>
      <c r="AH449" s="4">
        <f t="shared" si="394"/>
        <v>0.46411326873185343</v>
      </c>
      <c r="AI449" s="4">
        <f t="shared" si="394"/>
        <v>0.36979727595523937</v>
      </c>
      <c r="AJ449" s="4">
        <f t="shared" si="394"/>
        <v>0.28393948637231203</v>
      </c>
      <c r="AK449" s="4">
        <f t="shared" si="394"/>
        <v>0.21097259161117732</v>
      </c>
      <c r="AL449" s="4">
        <f t="shared" si="394"/>
        <v>0.15253917653798199</v>
      </c>
      <c r="AM449" s="4">
        <f t="shared" si="394"/>
        <v>0.10795188737709993</v>
      </c>
      <c r="AN449" s="4">
        <f t="shared" si="394"/>
        <v>7.5176653938091809E-2</v>
      </c>
      <c r="AO449" s="4">
        <f t="shared" si="394"/>
        <v>5.1742836177502194E-2</v>
      </c>
      <c r="AP449" s="4">
        <f t="shared" si="394"/>
        <v>3.5319190625345942E-2</v>
      </c>
      <c r="AQ449" s="4">
        <f t="shared" si="394"/>
        <v>2.3969442072658165E-2</v>
      </c>
      <c r="AR449" s="4">
        <f t="shared" si="394"/>
        <v>1.6202243558389728E-2</v>
      </c>
    </row>
    <row r="450" spans="1:44" x14ac:dyDescent="0.25">
      <c r="A450" s="24" t="s">
        <v>41</v>
      </c>
      <c r="B450" s="60">
        <f>'Parameter Input'!L23</f>
        <v>8</v>
      </c>
      <c r="C450" s="61">
        <f>'Parameter Input'!M23</f>
        <v>8</v>
      </c>
      <c r="D450" s="1" t="s">
        <v>42</v>
      </c>
      <c r="L450" s="54">
        <f>'Parameter Input'!O23</f>
        <v>12</v>
      </c>
      <c r="M450" s="37">
        <v>0</v>
      </c>
      <c r="N450" s="37">
        <v>1</v>
      </c>
      <c r="O450" s="37">
        <f>'Parameter Input'!P23</f>
        <v>0.9</v>
      </c>
      <c r="P450" s="55">
        <f>'Parameter Input'!Q23</f>
        <v>0.4</v>
      </c>
      <c r="Q450" s="4">
        <f t="shared" ref="Q450:AF455" si="395">$N450+($M450-$N450)*((1/(1+EXP(-$P450*(Q$9-$L450)))^$O450))</f>
        <v>0.9867978615748374</v>
      </c>
      <c r="R450" s="4">
        <f t="shared" si="395"/>
        <v>0.98114509762858249</v>
      </c>
      <c r="S450" s="4">
        <f t="shared" si="395"/>
        <v>0.97311898315872036</v>
      </c>
      <c r="T450" s="4">
        <f t="shared" si="395"/>
        <v>0.96177484161592774</v>
      </c>
      <c r="U450" s="4">
        <f t="shared" si="395"/>
        <v>0.94584787155511363</v>
      </c>
      <c r="V450" s="4">
        <f t="shared" si="395"/>
        <v>0.92370360150141495</v>
      </c>
      <c r="W450" s="4">
        <f t="shared" si="395"/>
        <v>0.89334463567658451</v>
      </c>
      <c r="X450" s="4">
        <f t="shared" si="395"/>
        <v>0.85254543874327005</v>
      </c>
      <c r="Y450" s="4">
        <f t="shared" si="395"/>
        <v>0.79921300652623883</v>
      </c>
      <c r="Z450" s="4">
        <f t="shared" si="395"/>
        <v>0.73204982249993378</v>
      </c>
      <c r="AA450" s="4">
        <f t="shared" si="395"/>
        <v>0.65145592958786691</v>
      </c>
      <c r="AB450" s="4">
        <f t="shared" si="395"/>
        <v>0.56032247880849573</v>
      </c>
      <c r="AC450" s="4">
        <f t="shared" si="395"/>
        <v>0.46411326873185343</v>
      </c>
      <c r="AD450" s="4">
        <f t="shared" si="395"/>
        <v>0.36979727595523937</v>
      </c>
      <c r="AE450" s="4">
        <f t="shared" si="395"/>
        <v>0.28393948637231203</v>
      </c>
      <c r="AF450" s="4">
        <f t="shared" si="395"/>
        <v>0.21097259161117732</v>
      </c>
      <c r="AG450" s="4">
        <f t="shared" si="392"/>
        <v>0.15253917653798199</v>
      </c>
      <c r="AH450" s="4">
        <f t="shared" si="392"/>
        <v>0.10795188737709993</v>
      </c>
      <c r="AI450" s="4">
        <f t="shared" si="392"/>
        <v>7.5176653938091809E-2</v>
      </c>
      <c r="AJ450" s="4">
        <f t="shared" si="393"/>
        <v>5.1742836177502194E-2</v>
      </c>
      <c r="AK450" s="4">
        <f t="shared" si="393"/>
        <v>3.5319190625345942E-2</v>
      </c>
      <c r="AL450" s="4">
        <f t="shared" si="393"/>
        <v>2.3969442072658165E-2</v>
      </c>
      <c r="AM450" s="4">
        <f t="shared" si="393"/>
        <v>1.6202243558389728E-2</v>
      </c>
      <c r="AN450" s="4">
        <f t="shared" si="393"/>
        <v>1.0922240564108399E-2</v>
      </c>
      <c r="AO450" s="4">
        <f t="shared" si="393"/>
        <v>7.3493212906090566E-3</v>
      </c>
      <c r="AP450" s="4">
        <f t="shared" si="393"/>
        <v>4.9390262185057265E-3</v>
      </c>
      <c r="AQ450" s="4">
        <f t="shared" si="393"/>
        <v>3.3164275492956197E-3</v>
      </c>
      <c r="AR450" s="4">
        <f t="shared" si="393"/>
        <v>2.2256362146679809E-3</v>
      </c>
    </row>
    <row r="451" spans="1:44" x14ac:dyDescent="0.25">
      <c r="A451" s="24" t="s">
        <v>70</v>
      </c>
      <c r="B451" s="60">
        <f>'Parameter Input'!B79</f>
        <v>10</v>
      </c>
      <c r="C451" s="61">
        <f>'Parameter Input'!C79</f>
        <v>10</v>
      </c>
      <c r="D451" s="1" t="s">
        <v>42</v>
      </c>
      <c r="L451" s="54">
        <f>'Parameter Input'!E79</f>
        <v>12</v>
      </c>
      <c r="M451" s="37">
        <v>0</v>
      </c>
      <c r="N451" s="37">
        <v>1</v>
      </c>
      <c r="O451" s="37">
        <f>'Parameter Input'!F79</f>
        <v>0.9</v>
      </c>
      <c r="P451" s="55">
        <f>'Parameter Input'!G79</f>
        <v>0.4</v>
      </c>
      <c r="Q451" s="4">
        <f t="shared" si="395"/>
        <v>0.9867978615748374</v>
      </c>
      <c r="R451" s="4">
        <f t="shared" si="395"/>
        <v>0.98114509762858249</v>
      </c>
      <c r="S451" s="4">
        <f t="shared" si="395"/>
        <v>0.97311898315872036</v>
      </c>
      <c r="T451" s="4">
        <f t="shared" si="395"/>
        <v>0.96177484161592774</v>
      </c>
      <c r="U451" s="4">
        <f t="shared" si="395"/>
        <v>0.94584787155511363</v>
      </c>
      <c r="V451" s="4">
        <f t="shared" si="395"/>
        <v>0.92370360150141495</v>
      </c>
      <c r="W451" s="4">
        <f t="shared" si="395"/>
        <v>0.89334463567658451</v>
      </c>
      <c r="X451" s="4">
        <f t="shared" si="395"/>
        <v>0.85254543874327005</v>
      </c>
      <c r="Y451" s="4">
        <f t="shared" si="395"/>
        <v>0.79921300652623883</v>
      </c>
      <c r="Z451" s="4">
        <f t="shared" si="395"/>
        <v>0.73204982249993378</v>
      </c>
      <c r="AA451" s="4">
        <f t="shared" si="395"/>
        <v>0.65145592958786691</v>
      </c>
      <c r="AB451" s="4">
        <f t="shared" si="395"/>
        <v>0.56032247880849573</v>
      </c>
      <c r="AC451" s="4">
        <f t="shared" si="395"/>
        <v>0.46411326873185343</v>
      </c>
      <c r="AD451" s="4">
        <f t="shared" si="395"/>
        <v>0.36979727595523937</v>
      </c>
      <c r="AE451" s="4">
        <f t="shared" si="395"/>
        <v>0.28393948637231203</v>
      </c>
      <c r="AF451" s="4">
        <f t="shared" si="395"/>
        <v>0.21097259161117732</v>
      </c>
      <c r="AG451" s="4">
        <f t="shared" si="392"/>
        <v>0.15253917653798199</v>
      </c>
      <c r="AH451" s="4">
        <f t="shared" si="392"/>
        <v>0.10795188737709993</v>
      </c>
      <c r="AI451" s="4">
        <f t="shared" si="392"/>
        <v>7.5176653938091809E-2</v>
      </c>
      <c r="AJ451" s="4">
        <f t="shared" si="393"/>
        <v>5.1742836177502194E-2</v>
      </c>
      <c r="AK451" s="4">
        <f t="shared" si="393"/>
        <v>3.5319190625345942E-2</v>
      </c>
      <c r="AL451" s="4">
        <f t="shared" si="393"/>
        <v>2.3969442072658165E-2</v>
      </c>
      <c r="AM451" s="4">
        <f t="shared" si="393"/>
        <v>1.6202243558389728E-2</v>
      </c>
      <c r="AN451" s="4">
        <f t="shared" si="393"/>
        <v>1.0922240564108399E-2</v>
      </c>
      <c r="AO451" s="4">
        <f t="shared" si="393"/>
        <v>7.3493212906090566E-3</v>
      </c>
      <c r="AP451" s="4">
        <f t="shared" si="393"/>
        <v>4.9390262185057265E-3</v>
      </c>
      <c r="AQ451" s="4">
        <f t="shared" si="393"/>
        <v>3.3164275492956197E-3</v>
      </c>
      <c r="AR451" s="4">
        <f t="shared" si="393"/>
        <v>2.2256362146679809E-3</v>
      </c>
    </row>
    <row r="452" spans="1:44" x14ac:dyDescent="0.25">
      <c r="A452" s="24" t="s">
        <v>207</v>
      </c>
      <c r="B452" s="43">
        <f>'Parameter Input'!B76</f>
        <v>25</v>
      </c>
      <c r="C452" s="44">
        <f>'Parameter Input'!C76</f>
        <v>25</v>
      </c>
      <c r="D452" s="1" t="s">
        <v>49</v>
      </c>
      <c r="L452" s="54">
        <f>'Parameter Input'!E76</f>
        <v>12</v>
      </c>
      <c r="M452" s="37">
        <v>0</v>
      </c>
      <c r="N452" s="37">
        <v>1</v>
      </c>
      <c r="O452" s="37">
        <f>'Parameter Input'!F76</f>
        <v>0.9</v>
      </c>
      <c r="P452" s="55">
        <f>'Parameter Input'!G76</f>
        <v>0.4</v>
      </c>
      <c r="Q452" s="4">
        <f t="shared" si="395"/>
        <v>0.9867978615748374</v>
      </c>
      <c r="R452" s="4">
        <f t="shared" si="395"/>
        <v>0.98114509762858249</v>
      </c>
      <c r="S452" s="4">
        <f t="shared" si="395"/>
        <v>0.97311898315872036</v>
      </c>
      <c r="T452" s="4">
        <f t="shared" si="395"/>
        <v>0.96177484161592774</v>
      </c>
      <c r="U452" s="4">
        <f t="shared" si="395"/>
        <v>0.94584787155511363</v>
      </c>
      <c r="V452" s="4">
        <f t="shared" si="395"/>
        <v>0.92370360150141495</v>
      </c>
      <c r="W452" s="4">
        <f t="shared" si="395"/>
        <v>0.89334463567658451</v>
      </c>
      <c r="X452" s="4">
        <f t="shared" si="395"/>
        <v>0.85254543874327005</v>
      </c>
      <c r="Y452" s="4">
        <f t="shared" si="395"/>
        <v>0.79921300652623883</v>
      </c>
      <c r="Z452" s="4">
        <f t="shared" si="395"/>
        <v>0.73204982249993378</v>
      </c>
      <c r="AA452" s="4">
        <f t="shared" si="395"/>
        <v>0.65145592958786691</v>
      </c>
      <c r="AB452" s="4">
        <f t="shared" si="395"/>
        <v>0.56032247880849573</v>
      </c>
      <c r="AC452" s="4">
        <f t="shared" si="395"/>
        <v>0.46411326873185343</v>
      </c>
      <c r="AD452" s="4">
        <f t="shared" si="395"/>
        <v>0.36979727595523937</v>
      </c>
      <c r="AE452" s="4">
        <f t="shared" si="395"/>
        <v>0.28393948637231203</v>
      </c>
      <c r="AF452" s="4">
        <f t="shared" si="395"/>
        <v>0.21097259161117732</v>
      </c>
      <c r="AG452" s="4">
        <f t="shared" si="392"/>
        <v>0.15253917653798199</v>
      </c>
      <c r="AH452" s="4">
        <f t="shared" si="392"/>
        <v>0.10795188737709993</v>
      </c>
      <c r="AI452" s="4">
        <f t="shared" si="392"/>
        <v>7.5176653938091809E-2</v>
      </c>
      <c r="AJ452" s="4">
        <f t="shared" si="393"/>
        <v>5.1742836177502194E-2</v>
      </c>
      <c r="AK452" s="4">
        <f t="shared" si="393"/>
        <v>3.5319190625345942E-2</v>
      </c>
      <c r="AL452" s="4">
        <f t="shared" si="393"/>
        <v>2.3969442072658165E-2</v>
      </c>
      <c r="AM452" s="4">
        <f t="shared" si="393"/>
        <v>1.6202243558389728E-2</v>
      </c>
      <c r="AN452" s="4">
        <f t="shared" si="393"/>
        <v>1.0922240564108399E-2</v>
      </c>
      <c r="AO452" s="4">
        <f t="shared" si="393"/>
        <v>7.3493212906090566E-3</v>
      </c>
      <c r="AP452" s="4">
        <f t="shared" si="393"/>
        <v>4.9390262185057265E-3</v>
      </c>
      <c r="AQ452" s="4">
        <f t="shared" si="393"/>
        <v>3.3164275492956197E-3</v>
      </c>
      <c r="AR452" s="4">
        <f t="shared" si="393"/>
        <v>2.2256362146679809E-3</v>
      </c>
    </row>
    <row r="453" spans="1:44" x14ac:dyDescent="0.25">
      <c r="A453" s="24" t="s">
        <v>56</v>
      </c>
      <c r="B453" s="45">
        <f>'Parameter Input'!B77</f>
        <v>0.64</v>
      </c>
      <c r="C453" s="46">
        <f>'Parameter Input'!C77</f>
        <v>0.64</v>
      </c>
      <c r="D453" s="1" t="s">
        <v>57</v>
      </c>
      <c r="L453" s="54">
        <f>'Parameter Input'!E77</f>
        <v>12</v>
      </c>
      <c r="M453" s="37">
        <v>0</v>
      </c>
      <c r="N453" s="37">
        <v>1</v>
      </c>
      <c r="O453" s="37">
        <f>'Parameter Input'!F77</f>
        <v>0.9</v>
      </c>
      <c r="P453" s="55">
        <f>'Parameter Input'!G77</f>
        <v>0.4</v>
      </c>
      <c r="Q453" s="4">
        <f t="shared" si="395"/>
        <v>0.9867978615748374</v>
      </c>
      <c r="R453" s="4">
        <f t="shared" si="395"/>
        <v>0.98114509762858249</v>
      </c>
      <c r="S453" s="4">
        <f t="shared" si="395"/>
        <v>0.97311898315872036</v>
      </c>
      <c r="T453" s="4">
        <f t="shared" si="395"/>
        <v>0.96177484161592774</v>
      </c>
      <c r="U453" s="4">
        <f t="shared" si="395"/>
        <v>0.94584787155511363</v>
      </c>
      <c r="V453" s="4">
        <f t="shared" si="395"/>
        <v>0.92370360150141495</v>
      </c>
      <c r="W453" s="4">
        <f t="shared" si="395"/>
        <v>0.89334463567658451</v>
      </c>
      <c r="X453" s="4">
        <f t="shared" si="395"/>
        <v>0.85254543874327005</v>
      </c>
      <c r="Y453" s="4">
        <f t="shared" si="395"/>
        <v>0.79921300652623883</v>
      </c>
      <c r="Z453" s="4">
        <f t="shared" si="395"/>
        <v>0.73204982249993378</v>
      </c>
      <c r="AA453" s="4">
        <f t="shared" si="395"/>
        <v>0.65145592958786691</v>
      </c>
      <c r="AB453" s="4">
        <f t="shared" si="395"/>
        <v>0.56032247880849573</v>
      </c>
      <c r="AC453" s="4">
        <f t="shared" si="395"/>
        <v>0.46411326873185343</v>
      </c>
      <c r="AD453" s="4">
        <f t="shared" si="395"/>
        <v>0.36979727595523937</v>
      </c>
      <c r="AE453" s="4">
        <f t="shared" si="395"/>
        <v>0.28393948637231203</v>
      </c>
      <c r="AF453" s="4">
        <f t="shared" si="395"/>
        <v>0.21097259161117732</v>
      </c>
      <c r="AG453" s="4">
        <f t="shared" si="392"/>
        <v>0.15253917653798199</v>
      </c>
      <c r="AH453" s="4">
        <f t="shared" si="392"/>
        <v>0.10795188737709993</v>
      </c>
      <c r="AI453" s="4">
        <f t="shared" si="392"/>
        <v>7.5176653938091809E-2</v>
      </c>
      <c r="AJ453" s="4">
        <f t="shared" si="393"/>
        <v>5.1742836177502194E-2</v>
      </c>
      <c r="AK453" s="4">
        <f t="shared" si="393"/>
        <v>3.5319190625345942E-2</v>
      </c>
      <c r="AL453" s="4">
        <f t="shared" si="393"/>
        <v>2.3969442072658165E-2</v>
      </c>
      <c r="AM453" s="4">
        <f t="shared" si="393"/>
        <v>1.6202243558389728E-2</v>
      </c>
      <c r="AN453" s="4">
        <f t="shared" si="393"/>
        <v>1.0922240564108399E-2</v>
      </c>
      <c r="AO453" s="4">
        <f t="shared" si="393"/>
        <v>7.3493212906090566E-3</v>
      </c>
      <c r="AP453" s="4">
        <f t="shared" si="393"/>
        <v>4.9390262185057265E-3</v>
      </c>
      <c r="AQ453" s="4">
        <f t="shared" si="393"/>
        <v>3.3164275492956197E-3</v>
      </c>
      <c r="AR453" s="4">
        <f t="shared" si="393"/>
        <v>2.2256362146679809E-3</v>
      </c>
    </row>
    <row r="454" spans="1:44" x14ac:dyDescent="0.25">
      <c r="A454" s="24" t="s">
        <v>73</v>
      </c>
      <c r="B454" s="45">
        <f>'Parameter Input'!L27</f>
        <v>0</v>
      </c>
      <c r="C454" s="46">
        <f>'Parameter Input'!M27</f>
        <v>0</v>
      </c>
      <c r="D454" s="1" t="s">
        <v>57</v>
      </c>
      <c r="L454" s="54">
        <f>'Parameter Input'!O27</f>
        <v>12</v>
      </c>
      <c r="M454" s="37">
        <v>0</v>
      </c>
      <c r="N454" s="37">
        <v>1</v>
      </c>
      <c r="O454" s="37">
        <f>'Parameter Input'!P27</f>
        <v>0.9</v>
      </c>
      <c r="P454" s="55">
        <f>'Parameter Input'!Q27</f>
        <v>0.4</v>
      </c>
      <c r="Q454" s="4">
        <f t="shared" si="395"/>
        <v>0.9867978615748374</v>
      </c>
      <c r="R454" s="4">
        <f t="shared" si="395"/>
        <v>0.98114509762858249</v>
      </c>
      <c r="S454" s="4">
        <f t="shared" si="395"/>
        <v>0.97311898315872036</v>
      </c>
      <c r="T454" s="4">
        <f t="shared" si="395"/>
        <v>0.96177484161592774</v>
      </c>
      <c r="U454" s="4">
        <f t="shared" si="395"/>
        <v>0.94584787155511363</v>
      </c>
      <c r="V454" s="4">
        <f t="shared" si="395"/>
        <v>0.92370360150141495</v>
      </c>
      <c r="W454" s="4">
        <f t="shared" si="395"/>
        <v>0.89334463567658451</v>
      </c>
      <c r="X454" s="4">
        <f t="shared" si="395"/>
        <v>0.85254543874327005</v>
      </c>
      <c r="Y454" s="4">
        <f t="shared" si="395"/>
        <v>0.79921300652623883</v>
      </c>
      <c r="Z454" s="4">
        <f t="shared" si="395"/>
        <v>0.73204982249993378</v>
      </c>
      <c r="AA454" s="4">
        <f t="shared" si="395"/>
        <v>0.65145592958786691</v>
      </c>
      <c r="AB454" s="4">
        <f t="shared" si="395"/>
        <v>0.56032247880849573</v>
      </c>
      <c r="AC454" s="4">
        <f t="shared" si="395"/>
        <v>0.46411326873185343</v>
      </c>
      <c r="AD454" s="4">
        <f t="shared" si="395"/>
        <v>0.36979727595523937</v>
      </c>
      <c r="AE454" s="4">
        <f t="shared" si="395"/>
        <v>0.28393948637231203</v>
      </c>
      <c r="AF454" s="4">
        <f t="shared" si="395"/>
        <v>0.21097259161117732</v>
      </c>
      <c r="AG454" s="4">
        <f t="shared" si="392"/>
        <v>0.15253917653798199</v>
      </c>
      <c r="AH454" s="4">
        <f t="shared" si="392"/>
        <v>0.10795188737709993</v>
      </c>
      <c r="AI454" s="4">
        <f t="shared" si="392"/>
        <v>7.5176653938091809E-2</v>
      </c>
      <c r="AJ454" s="4">
        <f t="shared" si="393"/>
        <v>5.1742836177502194E-2</v>
      </c>
      <c r="AK454" s="4">
        <f t="shared" si="393"/>
        <v>3.5319190625345942E-2</v>
      </c>
      <c r="AL454" s="4">
        <f t="shared" si="393"/>
        <v>2.3969442072658165E-2</v>
      </c>
      <c r="AM454" s="4">
        <f t="shared" si="393"/>
        <v>1.6202243558389728E-2</v>
      </c>
      <c r="AN454" s="4">
        <f t="shared" si="393"/>
        <v>1.0922240564108399E-2</v>
      </c>
      <c r="AO454" s="4">
        <f t="shared" si="393"/>
        <v>7.3493212906090566E-3</v>
      </c>
      <c r="AP454" s="4">
        <f t="shared" si="393"/>
        <v>4.9390262185057265E-3</v>
      </c>
      <c r="AQ454" s="4">
        <f t="shared" si="393"/>
        <v>3.3164275492956197E-3</v>
      </c>
      <c r="AR454" s="4">
        <f t="shared" si="393"/>
        <v>2.2256362146679809E-3</v>
      </c>
    </row>
    <row r="455" spans="1:44" ht="15.75" thickBot="1" x14ac:dyDescent="0.3">
      <c r="A455" s="24" t="s">
        <v>64</v>
      </c>
      <c r="B455" s="49">
        <f>'Parameter Input'!B78</f>
        <v>90000</v>
      </c>
      <c r="C455" s="50">
        <f>'Parameter Input'!C78</f>
        <v>90000</v>
      </c>
      <c r="D455" s="1" t="s">
        <v>65</v>
      </c>
      <c r="L455" s="56">
        <f>'Parameter Input'!E78</f>
        <v>12</v>
      </c>
      <c r="M455" s="57">
        <v>0</v>
      </c>
      <c r="N455" s="57">
        <v>1</v>
      </c>
      <c r="O455" s="57">
        <f>'Parameter Input'!F78</f>
        <v>0.9</v>
      </c>
      <c r="P455" s="58">
        <f>'Parameter Input'!G78</f>
        <v>0.4</v>
      </c>
      <c r="Q455" s="4">
        <f t="shared" si="395"/>
        <v>0.9867978615748374</v>
      </c>
      <c r="R455" s="4">
        <f t="shared" si="395"/>
        <v>0.98114509762858249</v>
      </c>
      <c r="S455" s="4">
        <f t="shared" si="395"/>
        <v>0.97311898315872036</v>
      </c>
      <c r="T455" s="4">
        <f t="shared" si="395"/>
        <v>0.96177484161592774</v>
      </c>
      <c r="U455" s="4">
        <f t="shared" si="395"/>
        <v>0.94584787155511363</v>
      </c>
      <c r="V455" s="4">
        <f t="shared" si="395"/>
        <v>0.92370360150141495</v>
      </c>
      <c r="W455" s="4">
        <f t="shared" si="395"/>
        <v>0.89334463567658451</v>
      </c>
      <c r="X455" s="4">
        <f t="shared" si="395"/>
        <v>0.85254543874327005</v>
      </c>
      <c r="Y455" s="4">
        <f t="shared" si="395"/>
        <v>0.79921300652623883</v>
      </c>
      <c r="Z455" s="4">
        <f t="shared" si="395"/>
        <v>0.73204982249993378</v>
      </c>
      <c r="AA455" s="4">
        <f t="shared" si="395"/>
        <v>0.65145592958786691</v>
      </c>
      <c r="AB455" s="4">
        <f t="shared" si="395"/>
        <v>0.56032247880849573</v>
      </c>
      <c r="AC455" s="4">
        <f t="shared" si="395"/>
        <v>0.46411326873185343</v>
      </c>
      <c r="AD455" s="4">
        <f t="shared" si="395"/>
        <v>0.36979727595523937</v>
      </c>
      <c r="AE455" s="4">
        <f t="shared" si="395"/>
        <v>0.28393948637231203</v>
      </c>
      <c r="AF455" s="4">
        <f t="shared" si="395"/>
        <v>0.21097259161117732</v>
      </c>
      <c r="AG455" s="4">
        <f t="shared" si="392"/>
        <v>0.15253917653798199</v>
      </c>
      <c r="AH455" s="4">
        <f t="shared" si="392"/>
        <v>0.10795188737709993</v>
      </c>
      <c r="AI455" s="4">
        <f t="shared" si="392"/>
        <v>7.5176653938091809E-2</v>
      </c>
      <c r="AJ455" s="4">
        <f t="shared" si="393"/>
        <v>5.1742836177502194E-2</v>
      </c>
      <c r="AK455" s="4">
        <f t="shared" si="393"/>
        <v>3.5319190625345942E-2</v>
      </c>
      <c r="AL455" s="4">
        <f t="shared" si="393"/>
        <v>2.3969442072658165E-2</v>
      </c>
      <c r="AM455" s="4">
        <f t="shared" si="393"/>
        <v>1.6202243558389728E-2</v>
      </c>
      <c r="AN455" s="4">
        <f t="shared" si="393"/>
        <v>1.0922240564108399E-2</v>
      </c>
      <c r="AO455" s="4">
        <f t="shared" si="393"/>
        <v>7.3493212906090566E-3</v>
      </c>
      <c r="AP455" s="4">
        <f t="shared" si="393"/>
        <v>4.9390262185057265E-3</v>
      </c>
      <c r="AQ455" s="4">
        <f t="shared" si="393"/>
        <v>3.3164275492956197E-3</v>
      </c>
      <c r="AR455" s="4">
        <f t="shared" si="393"/>
        <v>2.2256362146679809E-3</v>
      </c>
    </row>
    <row r="456" spans="1:44" x14ac:dyDescent="0.25">
      <c r="A456" s="25"/>
      <c r="B456" s="40"/>
    </row>
    <row r="457" spans="1:44" ht="15.75" thickBot="1" x14ac:dyDescent="0.3"/>
    <row r="458" spans="1:44" ht="15.75" thickBot="1" x14ac:dyDescent="0.3">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73" si="396">A439</f>
        <v>Capex vehicle</v>
      </c>
      <c r="B459" s="62">
        <f t="shared" ref="B459:B468" si="397">$B439+($C439-$B439)*(1-Q439)</f>
        <v>105132.02138425162</v>
      </c>
      <c r="C459" s="62">
        <f t="shared" ref="C459:C468" si="398">$B439+($C439-$B439)*(1-R439)</f>
        <v>105188.54902371418</v>
      </c>
      <c r="D459" s="62">
        <f t="shared" ref="D459:D468" si="399">$B439+($C439-$B439)*(1-S439)</f>
        <v>105268.81016841279</v>
      </c>
      <c r="E459" s="62">
        <f t="shared" ref="E459:E468" si="400">$B439+($C439-$B439)*(1-T439)</f>
        <v>105382.25158384073</v>
      </c>
      <c r="F459" s="62">
        <f t="shared" ref="F459:F468" si="401">$B439+($C439-$B439)*(1-U439)</f>
        <v>105541.52128444887</v>
      </c>
      <c r="G459" s="62">
        <f t="shared" ref="G459:G468" si="402">$B439+($C439-$B439)*(1-V439)</f>
        <v>105762.96398498585</v>
      </c>
      <c r="H459" s="62">
        <f t="shared" ref="H459:H468" si="403">$B439+($C439-$B439)*(1-W439)</f>
        <v>106066.55364323416</v>
      </c>
      <c r="I459" s="62">
        <f t="shared" ref="I459:I468" si="404">$B439+($C439-$B439)*(1-X439)</f>
        <v>106474.54561256729</v>
      </c>
      <c r="J459" s="62">
        <f t="shared" ref="J459:J468" si="405">$B439+($C439-$B439)*(1-Y439)</f>
        <v>107007.86993473761</v>
      </c>
      <c r="K459" s="62">
        <f t="shared" ref="K459:K468" si="406">$B439+($C439-$B439)*(1-Z439)</f>
        <v>107679.50177500067</v>
      </c>
      <c r="L459" s="62">
        <f t="shared" ref="L459:L468" si="407">$B439+($C439-$B439)*(1-AA439)</f>
        <v>108485.44070412133</v>
      </c>
      <c r="M459" s="62">
        <f t="shared" ref="M459:M468" si="408">$B439+($C439-$B439)*(1-AB439)</f>
        <v>109396.77521191504</v>
      </c>
      <c r="N459" s="62">
        <f t="shared" ref="N459:N468" si="409">$B439+($C439-$B439)*(1-AC439)</f>
        <v>110358.86731268147</v>
      </c>
      <c r="O459" s="62">
        <f t="shared" ref="O459:O468" si="410">$B439+($C439-$B439)*(1-AD439)</f>
        <v>111302.02724044761</v>
      </c>
      <c r="P459" s="62">
        <f t="shared" ref="P459:P468" si="411">$B439+($C439-$B439)*(1-AE439)</f>
        <v>112160.60513627688</v>
      </c>
      <c r="Q459" s="62">
        <f t="shared" ref="Q459:Q468" si="412">$B439+($C439-$B439)*(1-AF439)</f>
        <v>112890.27408388823</v>
      </c>
      <c r="R459" s="62">
        <f t="shared" ref="R459:R468" si="413">$B439+($C439-$B439)*(1-AG439)</f>
        <v>113474.60823462019</v>
      </c>
      <c r="S459" s="62">
        <f t="shared" ref="S459:S468" si="414">$B439+($C439-$B439)*(1-AH439)</f>
        <v>113920.481126229</v>
      </c>
      <c r="T459" s="62">
        <f t="shared" ref="T459:T468" si="415">$B439+($C439-$B439)*(1-AI439)</f>
        <v>114248.23346061909</v>
      </c>
      <c r="U459" s="62">
        <f t="shared" ref="U459:U468" si="416">$B439+($C439-$B439)*(1-AJ439)</f>
        <v>114482.57163822498</v>
      </c>
      <c r="V459" s="62">
        <f t="shared" ref="V459:V468" si="417">$B439+($C439-$B439)*(1-AK439)</f>
        <v>114646.80809374654</v>
      </c>
      <c r="W459" s="62">
        <f t="shared" ref="W459:W468" si="418">$B439+($C439-$B439)*(1-AL439)</f>
        <v>114760.30557927342</v>
      </c>
      <c r="X459" s="62">
        <f t="shared" ref="X459:X468" si="419">$B439+($C439-$B439)*(1-AM439)</f>
        <v>114837.9775644161</v>
      </c>
      <c r="Y459" s="62">
        <f t="shared" ref="Y459:Y468" si="420">$B439+($C439-$B439)*(1-AN439)</f>
        <v>114890.77759435892</v>
      </c>
      <c r="Z459" s="62">
        <f t="shared" ref="Z459:Z468" si="421">$B439+($C439-$B439)*(1-AO439)</f>
        <v>114926.50678709391</v>
      </c>
      <c r="AA459" s="62">
        <f t="shared" ref="AA459:AA468" si="422">$B439+($C439-$B439)*(1-AP439)</f>
        <v>114950.60973781494</v>
      </c>
      <c r="AB459" s="62">
        <f t="shared" ref="AB459:AB468" si="423">$B439+($C439-$B439)*(1-AQ439)</f>
        <v>114966.83572450705</v>
      </c>
      <c r="AC459" s="62">
        <f t="shared" ref="AC459:AC468" si="424">$B439+($C439-$B439)*(1-AR439)</f>
        <v>114977.74363785332</v>
      </c>
    </row>
    <row r="460" spans="1:44" x14ac:dyDescent="0.25">
      <c r="A460" s="30" t="str">
        <f t="shared" si="396"/>
        <v>Residual value (vehicle)</v>
      </c>
      <c r="B460" s="62">
        <f t="shared" si="397"/>
        <v>-26131.180754173536</v>
      </c>
      <c r="C460" s="62">
        <f t="shared" si="398"/>
        <v>-26080.305878657244</v>
      </c>
      <c r="D460" s="62">
        <f t="shared" si="399"/>
        <v>-26008.070848428484</v>
      </c>
      <c r="E460" s="62">
        <f t="shared" si="400"/>
        <v>-25905.97357454335</v>
      </c>
      <c r="F460" s="62">
        <f t="shared" si="401"/>
        <v>-25762.630843996023</v>
      </c>
      <c r="G460" s="62">
        <f t="shared" si="402"/>
        <v>-25563.332413512733</v>
      </c>
      <c r="H460" s="62">
        <f t="shared" si="403"/>
        <v>-25290.101721089261</v>
      </c>
      <c r="I460" s="62">
        <f t="shared" si="404"/>
        <v>-24922.90894868943</v>
      </c>
      <c r="J460" s="62">
        <f t="shared" si="405"/>
        <v>-24442.917058736151</v>
      </c>
      <c r="K460" s="62">
        <f t="shared" si="406"/>
        <v>-23838.448402499405</v>
      </c>
      <c r="L460" s="62">
        <f t="shared" si="407"/>
        <v>-23113.103366290801</v>
      </c>
      <c r="M460" s="62">
        <f t="shared" si="408"/>
        <v>-22292.902309276462</v>
      </c>
      <c r="N460" s="62">
        <f t="shared" si="409"/>
        <v>-21427.019418586682</v>
      </c>
      <c r="O460" s="62">
        <f t="shared" si="410"/>
        <v>-20578.175483597155</v>
      </c>
      <c r="P460" s="62">
        <f t="shared" si="411"/>
        <v>-19805.455377350809</v>
      </c>
      <c r="Q460" s="62">
        <f t="shared" si="412"/>
        <v>-19148.753324500598</v>
      </c>
      <c r="R460" s="62">
        <f t="shared" si="413"/>
        <v>-18622.852588841837</v>
      </c>
      <c r="S460" s="62">
        <f t="shared" si="414"/>
        <v>-18221.5669863939</v>
      </c>
      <c r="T460" s="62">
        <f t="shared" si="415"/>
        <v>-17926.589885442827</v>
      </c>
      <c r="U460" s="62">
        <f t="shared" si="416"/>
        <v>-17715.685525597521</v>
      </c>
      <c r="V460" s="62">
        <f t="shared" si="417"/>
        <v>-17567.872715628113</v>
      </c>
      <c r="W460" s="62">
        <f t="shared" si="418"/>
        <v>-17465.724978653925</v>
      </c>
      <c r="X460" s="62">
        <f t="shared" si="419"/>
        <v>-17395.820192025509</v>
      </c>
      <c r="Y460" s="62">
        <f t="shared" si="420"/>
        <v>-17348.300165076973</v>
      </c>
      <c r="Z460" s="62">
        <f t="shared" si="421"/>
        <v>-17316.14389161548</v>
      </c>
      <c r="AA460" s="62">
        <f t="shared" si="422"/>
        <v>-17294.451235966553</v>
      </c>
      <c r="AB460" s="62">
        <f t="shared" si="423"/>
        <v>-17279.84784794366</v>
      </c>
      <c r="AC460" s="62">
        <f t="shared" si="424"/>
        <v>-17270.030725932011</v>
      </c>
    </row>
    <row r="461" spans="1:44" x14ac:dyDescent="0.25">
      <c r="A461" s="30" t="str">
        <f t="shared" si="396"/>
        <v>Capex costumization</v>
      </c>
      <c r="B461" s="62">
        <f t="shared" si="397"/>
        <v>35000</v>
      </c>
      <c r="C461" s="62">
        <f t="shared" si="398"/>
        <v>35000</v>
      </c>
      <c r="D461" s="62">
        <f t="shared" si="399"/>
        <v>35000</v>
      </c>
      <c r="E461" s="62">
        <f t="shared" si="400"/>
        <v>35000</v>
      </c>
      <c r="F461" s="62">
        <f t="shared" si="401"/>
        <v>35000</v>
      </c>
      <c r="G461" s="62">
        <f t="shared" si="402"/>
        <v>35000</v>
      </c>
      <c r="H461" s="62">
        <f t="shared" si="403"/>
        <v>35000</v>
      </c>
      <c r="I461" s="62">
        <f t="shared" si="404"/>
        <v>35000</v>
      </c>
      <c r="J461" s="62">
        <f t="shared" si="405"/>
        <v>35000</v>
      </c>
      <c r="K461" s="62">
        <f t="shared" si="406"/>
        <v>35000</v>
      </c>
      <c r="L461" s="62">
        <f t="shared" si="407"/>
        <v>35000</v>
      </c>
      <c r="M461" s="62">
        <f t="shared" si="408"/>
        <v>35000</v>
      </c>
      <c r="N461" s="62">
        <f t="shared" si="409"/>
        <v>35000</v>
      </c>
      <c r="O461" s="62">
        <f t="shared" si="410"/>
        <v>35000</v>
      </c>
      <c r="P461" s="62">
        <f t="shared" si="411"/>
        <v>35000</v>
      </c>
      <c r="Q461" s="62">
        <f t="shared" si="412"/>
        <v>35000</v>
      </c>
      <c r="R461" s="62">
        <f t="shared" si="413"/>
        <v>35000</v>
      </c>
      <c r="S461" s="62">
        <f t="shared" si="414"/>
        <v>35000</v>
      </c>
      <c r="T461" s="62">
        <f t="shared" si="415"/>
        <v>35000</v>
      </c>
      <c r="U461" s="62">
        <f t="shared" si="416"/>
        <v>35000</v>
      </c>
      <c r="V461" s="62">
        <f t="shared" si="417"/>
        <v>35000</v>
      </c>
      <c r="W461" s="62">
        <f t="shared" si="418"/>
        <v>35000</v>
      </c>
      <c r="X461" s="62">
        <f t="shared" si="419"/>
        <v>35000</v>
      </c>
      <c r="Y461" s="62">
        <f t="shared" si="420"/>
        <v>35000</v>
      </c>
      <c r="Z461" s="62">
        <f t="shared" si="421"/>
        <v>35000</v>
      </c>
      <c r="AA461" s="62">
        <f t="shared" si="422"/>
        <v>35000</v>
      </c>
      <c r="AB461" s="62">
        <f t="shared" si="423"/>
        <v>35000</v>
      </c>
      <c r="AC461" s="62">
        <f t="shared" si="424"/>
        <v>35000</v>
      </c>
    </row>
    <row r="462" spans="1:44" x14ac:dyDescent="0.25">
      <c r="A462" s="30" t="str">
        <f t="shared" si="396"/>
        <v>Residual value (costumization)</v>
      </c>
      <c r="B462" s="62">
        <f t="shared" si="397"/>
        <v>-8750</v>
      </c>
      <c r="C462" s="62">
        <f t="shared" si="398"/>
        <v>-8750</v>
      </c>
      <c r="D462" s="62">
        <f t="shared" si="399"/>
        <v>-8750</v>
      </c>
      <c r="E462" s="62">
        <f t="shared" si="400"/>
        <v>-8750</v>
      </c>
      <c r="F462" s="62">
        <f t="shared" si="401"/>
        <v>-8750</v>
      </c>
      <c r="G462" s="62">
        <f t="shared" si="402"/>
        <v>-8750</v>
      </c>
      <c r="H462" s="62">
        <f t="shared" si="403"/>
        <v>-8750</v>
      </c>
      <c r="I462" s="62">
        <f t="shared" si="404"/>
        <v>-8750</v>
      </c>
      <c r="J462" s="62">
        <f t="shared" si="405"/>
        <v>-8750</v>
      </c>
      <c r="K462" s="62">
        <f t="shared" si="406"/>
        <v>-8750</v>
      </c>
      <c r="L462" s="62">
        <f t="shared" si="407"/>
        <v>-8750</v>
      </c>
      <c r="M462" s="62">
        <f t="shared" si="408"/>
        <v>-8750</v>
      </c>
      <c r="N462" s="62">
        <f t="shared" si="409"/>
        <v>-8750</v>
      </c>
      <c r="O462" s="62">
        <f t="shared" si="410"/>
        <v>-8750</v>
      </c>
      <c r="P462" s="62">
        <f t="shared" si="411"/>
        <v>-8750</v>
      </c>
      <c r="Q462" s="62">
        <f t="shared" si="412"/>
        <v>-8750</v>
      </c>
      <c r="R462" s="62">
        <f t="shared" si="413"/>
        <v>-8750</v>
      </c>
      <c r="S462" s="62">
        <f t="shared" si="414"/>
        <v>-8750</v>
      </c>
      <c r="T462" s="62">
        <f t="shared" si="415"/>
        <v>-8750</v>
      </c>
      <c r="U462" s="62">
        <f t="shared" si="416"/>
        <v>-8750</v>
      </c>
      <c r="V462" s="62">
        <f t="shared" si="417"/>
        <v>-8750</v>
      </c>
      <c r="W462" s="62">
        <f t="shared" si="418"/>
        <v>-8750</v>
      </c>
      <c r="X462" s="62">
        <f t="shared" si="419"/>
        <v>-8750</v>
      </c>
      <c r="Y462" s="62">
        <f t="shared" si="420"/>
        <v>-8750</v>
      </c>
      <c r="Z462" s="62">
        <f t="shared" si="421"/>
        <v>-8750</v>
      </c>
      <c r="AA462" s="62">
        <f t="shared" si="422"/>
        <v>-8750</v>
      </c>
      <c r="AB462" s="62">
        <f t="shared" si="423"/>
        <v>-8750</v>
      </c>
      <c r="AC462" s="62">
        <f t="shared" si="424"/>
        <v>-8750</v>
      </c>
    </row>
    <row r="463" spans="1:44" x14ac:dyDescent="0.25">
      <c r="A463" s="30" t="str">
        <f t="shared" si="396"/>
        <v>WACC</v>
      </c>
      <c r="B463" s="62">
        <f t="shared" si="397"/>
        <v>0.06</v>
      </c>
      <c r="C463" s="62">
        <f t="shared" si="398"/>
        <v>0.06</v>
      </c>
      <c r="D463" s="62">
        <f t="shared" si="399"/>
        <v>0.06</v>
      </c>
      <c r="E463" s="62">
        <f t="shared" si="400"/>
        <v>0.06</v>
      </c>
      <c r="F463" s="62">
        <f t="shared" si="401"/>
        <v>0.06</v>
      </c>
      <c r="G463" s="62">
        <f t="shared" si="402"/>
        <v>0.06</v>
      </c>
      <c r="H463" s="62">
        <f t="shared" si="403"/>
        <v>0.06</v>
      </c>
      <c r="I463" s="62">
        <f t="shared" si="404"/>
        <v>0.06</v>
      </c>
      <c r="J463" s="62">
        <f t="shared" si="405"/>
        <v>0.06</v>
      </c>
      <c r="K463" s="62">
        <f t="shared" si="406"/>
        <v>0.06</v>
      </c>
      <c r="L463" s="62">
        <f t="shared" si="407"/>
        <v>0.06</v>
      </c>
      <c r="M463" s="62">
        <f t="shared" si="408"/>
        <v>0.06</v>
      </c>
      <c r="N463" s="62">
        <f t="shared" si="409"/>
        <v>0.06</v>
      </c>
      <c r="O463" s="62">
        <f t="shared" si="410"/>
        <v>0.06</v>
      </c>
      <c r="P463" s="62">
        <f t="shared" si="411"/>
        <v>0.06</v>
      </c>
      <c r="Q463" s="62">
        <f t="shared" si="412"/>
        <v>0.06</v>
      </c>
      <c r="R463" s="62">
        <f t="shared" si="413"/>
        <v>0.06</v>
      </c>
      <c r="S463" s="62">
        <f t="shared" si="414"/>
        <v>0.06</v>
      </c>
      <c r="T463" s="62">
        <f t="shared" si="415"/>
        <v>0.06</v>
      </c>
      <c r="U463" s="62">
        <f t="shared" si="416"/>
        <v>0.06</v>
      </c>
      <c r="V463" s="62">
        <f t="shared" si="417"/>
        <v>0.06</v>
      </c>
      <c r="W463" s="62">
        <f t="shared" si="418"/>
        <v>0.06</v>
      </c>
      <c r="X463" s="62">
        <f t="shared" si="419"/>
        <v>0.06</v>
      </c>
      <c r="Y463" s="62">
        <f t="shared" si="420"/>
        <v>0.06</v>
      </c>
      <c r="Z463" s="62">
        <f t="shared" si="421"/>
        <v>0.06</v>
      </c>
      <c r="AA463" s="62">
        <f t="shared" si="422"/>
        <v>0.06</v>
      </c>
      <c r="AB463" s="62">
        <f t="shared" si="423"/>
        <v>0.06</v>
      </c>
      <c r="AC463" s="62">
        <f t="shared" si="424"/>
        <v>0.06</v>
      </c>
    </row>
    <row r="464" spans="1:44" x14ac:dyDescent="0.25">
      <c r="A464" s="30" t="str">
        <f t="shared" si="396"/>
        <v>Opex fix (admin, crew, insurance)</v>
      </c>
      <c r="B464" s="62">
        <f t="shared" si="397"/>
        <v>70000</v>
      </c>
      <c r="C464" s="62">
        <f t="shared" si="398"/>
        <v>70000</v>
      </c>
      <c r="D464" s="62">
        <f t="shared" si="399"/>
        <v>70000</v>
      </c>
      <c r="E464" s="62">
        <f t="shared" si="400"/>
        <v>70000</v>
      </c>
      <c r="F464" s="62">
        <f t="shared" si="401"/>
        <v>70000</v>
      </c>
      <c r="G464" s="62">
        <f t="shared" si="402"/>
        <v>70000</v>
      </c>
      <c r="H464" s="62">
        <f t="shared" si="403"/>
        <v>70000</v>
      </c>
      <c r="I464" s="62">
        <f t="shared" si="404"/>
        <v>70000</v>
      </c>
      <c r="J464" s="62">
        <f t="shared" si="405"/>
        <v>70000</v>
      </c>
      <c r="K464" s="62">
        <f t="shared" si="406"/>
        <v>70000</v>
      </c>
      <c r="L464" s="62">
        <f t="shared" si="407"/>
        <v>70000</v>
      </c>
      <c r="M464" s="62">
        <f t="shared" si="408"/>
        <v>70000</v>
      </c>
      <c r="N464" s="62">
        <f t="shared" si="409"/>
        <v>70000</v>
      </c>
      <c r="O464" s="62">
        <f t="shared" si="410"/>
        <v>70000</v>
      </c>
      <c r="P464" s="62">
        <f t="shared" si="411"/>
        <v>70000</v>
      </c>
      <c r="Q464" s="62">
        <f t="shared" si="412"/>
        <v>70000</v>
      </c>
      <c r="R464" s="62">
        <f t="shared" si="413"/>
        <v>70000</v>
      </c>
      <c r="S464" s="62">
        <f t="shared" si="414"/>
        <v>70000</v>
      </c>
      <c r="T464" s="62">
        <f t="shared" si="415"/>
        <v>70000</v>
      </c>
      <c r="U464" s="62">
        <f t="shared" si="416"/>
        <v>70000</v>
      </c>
      <c r="V464" s="62">
        <f t="shared" si="417"/>
        <v>70000</v>
      </c>
      <c r="W464" s="62">
        <f t="shared" si="418"/>
        <v>70000</v>
      </c>
      <c r="X464" s="62">
        <f t="shared" si="419"/>
        <v>70000</v>
      </c>
      <c r="Y464" s="62">
        <f t="shared" si="420"/>
        <v>70000</v>
      </c>
      <c r="Z464" s="62">
        <f t="shared" si="421"/>
        <v>70000</v>
      </c>
      <c r="AA464" s="62">
        <f t="shared" si="422"/>
        <v>70000</v>
      </c>
      <c r="AB464" s="62">
        <f t="shared" si="423"/>
        <v>70000</v>
      </c>
      <c r="AC464" s="62">
        <f t="shared" si="424"/>
        <v>70000</v>
      </c>
    </row>
    <row r="465" spans="1:29" x14ac:dyDescent="0.25">
      <c r="A465" s="30" t="str">
        <f t="shared" si="396"/>
        <v>Opex maintenance &amp; repair</v>
      </c>
      <c r="B465" s="62">
        <f t="shared" si="397"/>
        <v>20000</v>
      </c>
      <c r="C465" s="62">
        <f t="shared" si="398"/>
        <v>20000</v>
      </c>
      <c r="D465" s="62">
        <f t="shared" si="399"/>
        <v>20000</v>
      </c>
      <c r="E465" s="62">
        <f t="shared" si="400"/>
        <v>20000</v>
      </c>
      <c r="F465" s="62">
        <f t="shared" si="401"/>
        <v>20000</v>
      </c>
      <c r="G465" s="62">
        <f t="shared" si="402"/>
        <v>20000</v>
      </c>
      <c r="H465" s="62">
        <f t="shared" si="403"/>
        <v>20000</v>
      </c>
      <c r="I465" s="62">
        <f t="shared" si="404"/>
        <v>20000</v>
      </c>
      <c r="J465" s="62">
        <f t="shared" si="405"/>
        <v>20000</v>
      </c>
      <c r="K465" s="62">
        <f t="shared" si="406"/>
        <v>20000</v>
      </c>
      <c r="L465" s="62">
        <f t="shared" si="407"/>
        <v>20000</v>
      </c>
      <c r="M465" s="62">
        <f t="shared" si="408"/>
        <v>20000</v>
      </c>
      <c r="N465" s="62">
        <f t="shared" si="409"/>
        <v>20000</v>
      </c>
      <c r="O465" s="62">
        <f t="shared" si="410"/>
        <v>20000</v>
      </c>
      <c r="P465" s="62">
        <f t="shared" si="411"/>
        <v>20000</v>
      </c>
      <c r="Q465" s="62">
        <f t="shared" si="412"/>
        <v>20000</v>
      </c>
      <c r="R465" s="62">
        <f t="shared" si="413"/>
        <v>20000</v>
      </c>
      <c r="S465" s="62">
        <f t="shared" si="414"/>
        <v>20000</v>
      </c>
      <c r="T465" s="62">
        <f t="shared" si="415"/>
        <v>20000</v>
      </c>
      <c r="U465" s="62">
        <f t="shared" si="416"/>
        <v>20000</v>
      </c>
      <c r="V465" s="62">
        <f t="shared" si="417"/>
        <v>20000</v>
      </c>
      <c r="W465" s="62">
        <f t="shared" si="418"/>
        <v>20000</v>
      </c>
      <c r="X465" s="62">
        <f t="shared" si="419"/>
        <v>20000</v>
      </c>
      <c r="Y465" s="62">
        <f t="shared" si="420"/>
        <v>20000</v>
      </c>
      <c r="Z465" s="62">
        <f t="shared" si="421"/>
        <v>20000</v>
      </c>
      <c r="AA465" s="62">
        <f t="shared" si="422"/>
        <v>20000</v>
      </c>
      <c r="AB465" s="62">
        <f t="shared" si="423"/>
        <v>20000</v>
      </c>
      <c r="AC465" s="62">
        <f t="shared" si="424"/>
        <v>20000</v>
      </c>
    </row>
    <row r="466" spans="1:29" x14ac:dyDescent="0.25">
      <c r="A466" s="30" t="str">
        <f t="shared" si="396"/>
        <v>Opex var (mode-fees)</v>
      </c>
      <c r="B466" s="62">
        <f t="shared" si="397"/>
        <v>0.11</v>
      </c>
      <c r="C466" s="62">
        <f t="shared" si="398"/>
        <v>0.11</v>
      </c>
      <c r="D466" s="62">
        <f t="shared" si="399"/>
        <v>0.11</v>
      </c>
      <c r="E466" s="62">
        <f t="shared" si="400"/>
        <v>0.11</v>
      </c>
      <c r="F466" s="62">
        <f t="shared" si="401"/>
        <v>0.11</v>
      </c>
      <c r="G466" s="62">
        <f t="shared" si="402"/>
        <v>0.11</v>
      </c>
      <c r="H466" s="62">
        <f t="shared" si="403"/>
        <v>0.11</v>
      </c>
      <c r="I466" s="62">
        <f t="shared" si="404"/>
        <v>0.11</v>
      </c>
      <c r="J466" s="62">
        <f t="shared" si="405"/>
        <v>0.11</v>
      </c>
      <c r="K466" s="62">
        <f t="shared" si="406"/>
        <v>0.11</v>
      </c>
      <c r="L466" s="62">
        <f t="shared" si="407"/>
        <v>0.11</v>
      </c>
      <c r="M466" s="62">
        <f t="shared" si="408"/>
        <v>0.11</v>
      </c>
      <c r="N466" s="62">
        <f t="shared" si="409"/>
        <v>0.11</v>
      </c>
      <c r="O466" s="62">
        <f t="shared" si="410"/>
        <v>0.11</v>
      </c>
      <c r="P466" s="62">
        <f t="shared" si="411"/>
        <v>0.11</v>
      </c>
      <c r="Q466" s="62">
        <f t="shared" si="412"/>
        <v>0.11</v>
      </c>
      <c r="R466" s="62">
        <f t="shared" si="413"/>
        <v>0.11</v>
      </c>
      <c r="S466" s="62">
        <f t="shared" si="414"/>
        <v>0.11</v>
      </c>
      <c r="T466" s="62">
        <f t="shared" si="415"/>
        <v>0.11</v>
      </c>
      <c r="U466" s="62">
        <f t="shared" si="416"/>
        <v>0.11</v>
      </c>
      <c r="V466" s="62">
        <f t="shared" si="417"/>
        <v>0.11</v>
      </c>
      <c r="W466" s="62">
        <f t="shared" si="418"/>
        <v>0.11</v>
      </c>
      <c r="X466" s="62">
        <f t="shared" si="419"/>
        <v>0.11</v>
      </c>
      <c r="Y466" s="62">
        <f t="shared" si="420"/>
        <v>0.11</v>
      </c>
      <c r="Z466" s="62">
        <f t="shared" si="421"/>
        <v>0.11</v>
      </c>
      <c r="AA466" s="62">
        <f t="shared" si="422"/>
        <v>0.11</v>
      </c>
      <c r="AB466" s="62">
        <f t="shared" si="423"/>
        <v>0.11</v>
      </c>
      <c r="AC466" s="62">
        <f t="shared" si="424"/>
        <v>0.11</v>
      </c>
    </row>
    <row r="467" spans="1:29" x14ac:dyDescent="0.25">
      <c r="A467" s="30" t="str">
        <f t="shared" si="396"/>
        <v>Fuel Economy</v>
      </c>
      <c r="B467" s="62">
        <f t="shared" si="397"/>
        <v>2.8933989307874186</v>
      </c>
      <c r="C467" s="62">
        <f t="shared" si="398"/>
        <v>2.890572548814291</v>
      </c>
      <c r="D467" s="62">
        <f t="shared" si="399"/>
        <v>2.88655949157936</v>
      </c>
      <c r="E467" s="62">
        <f t="shared" si="400"/>
        <v>2.880887420807964</v>
      </c>
      <c r="F467" s="62">
        <f t="shared" si="401"/>
        <v>2.8729239357775569</v>
      </c>
      <c r="G467" s="62">
        <f t="shared" si="402"/>
        <v>2.8618518007507072</v>
      </c>
      <c r="H467" s="62">
        <f t="shared" si="403"/>
        <v>2.846672317838292</v>
      </c>
      <c r="I467" s="62">
        <f t="shared" si="404"/>
        <v>2.826272719371635</v>
      </c>
      <c r="J467" s="62">
        <f t="shared" si="405"/>
        <v>2.7996065032631194</v>
      </c>
      <c r="K467" s="62">
        <f t="shared" si="406"/>
        <v>2.7660249112499669</v>
      </c>
      <c r="L467" s="62">
        <f t="shared" si="407"/>
        <v>2.7257279647939332</v>
      </c>
      <c r="M467" s="62">
        <f t="shared" si="408"/>
        <v>2.6801612394042476</v>
      </c>
      <c r="N467" s="62">
        <f t="shared" si="409"/>
        <v>2.6320566343659264</v>
      </c>
      <c r="O467" s="62">
        <f t="shared" si="410"/>
        <v>2.5848986379776195</v>
      </c>
      <c r="P467" s="62">
        <f t="shared" si="411"/>
        <v>2.5419697431861561</v>
      </c>
      <c r="Q467" s="62">
        <f t="shared" si="412"/>
        <v>2.5054862958055883</v>
      </c>
      <c r="R467" s="62">
        <f t="shared" si="413"/>
        <v>2.4762695882689911</v>
      </c>
      <c r="S467" s="62">
        <f t="shared" si="414"/>
        <v>2.4539759436885498</v>
      </c>
      <c r="T467" s="62">
        <f t="shared" si="415"/>
        <v>2.4375883269690459</v>
      </c>
      <c r="U467" s="62">
        <f t="shared" si="416"/>
        <v>2.4258714180887511</v>
      </c>
      <c r="V467" s="62">
        <f t="shared" si="417"/>
        <v>2.4176595953126729</v>
      </c>
      <c r="W467" s="62">
        <f t="shared" si="418"/>
        <v>2.4119847210363288</v>
      </c>
      <c r="X467" s="62">
        <f t="shared" si="419"/>
        <v>2.408101121779195</v>
      </c>
      <c r="Y467" s="62">
        <f t="shared" si="420"/>
        <v>2.4054611202820539</v>
      </c>
      <c r="Z467" s="62">
        <f t="shared" si="421"/>
        <v>2.4036746606453043</v>
      </c>
      <c r="AA467" s="62">
        <f t="shared" si="422"/>
        <v>2.4024695131092528</v>
      </c>
      <c r="AB467" s="62">
        <f t="shared" si="423"/>
        <v>2.4016582137746476</v>
      </c>
      <c r="AC467" s="62">
        <f t="shared" si="424"/>
        <v>2.4011128181073338</v>
      </c>
    </row>
    <row r="468" spans="1:29" x14ac:dyDescent="0.25">
      <c r="A468" s="30" t="str">
        <f t="shared" si="396"/>
        <v>Fuel Cost</v>
      </c>
      <c r="B468" s="62">
        <f t="shared" si="397"/>
        <v>0.1</v>
      </c>
      <c r="C468" s="62">
        <f t="shared" si="398"/>
        <v>0.1</v>
      </c>
      <c r="D468" s="62">
        <f t="shared" si="399"/>
        <v>0.1</v>
      </c>
      <c r="E468" s="62">
        <f t="shared" si="400"/>
        <v>0.1</v>
      </c>
      <c r="F468" s="62">
        <f t="shared" si="401"/>
        <v>0.1</v>
      </c>
      <c r="G468" s="62">
        <f t="shared" si="402"/>
        <v>0.1</v>
      </c>
      <c r="H468" s="62">
        <f t="shared" si="403"/>
        <v>0.1</v>
      </c>
      <c r="I468" s="62">
        <f t="shared" si="404"/>
        <v>0.1</v>
      </c>
      <c r="J468" s="62">
        <f t="shared" si="405"/>
        <v>0.1</v>
      </c>
      <c r="K468" s="62">
        <f t="shared" si="406"/>
        <v>0.1</v>
      </c>
      <c r="L468" s="62">
        <f t="shared" si="407"/>
        <v>0.1</v>
      </c>
      <c r="M468" s="62">
        <f t="shared" si="408"/>
        <v>0.1</v>
      </c>
      <c r="N468" s="62">
        <f t="shared" si="409"/>
        <v>0.1</v>
      </c>
      <c r="O468" s="62">
        <f t="shared" si="410"/>
        <v>0.1</v>
      </c>
      <c r="P468" s="62">
        <f t="shared" si="411"/>
        <v>0.1</v>
      </c>
      <c r="Q468" s="62">
        <f t="shared" si="412"/>
        <v>0.1</v>
      </c>
      <c r="R468" s="62">
        <f t="shared" si="413"/>
        <v>0.1</v>
      </c>
      <c r="S468" s="62">
        <f t="shared" si="414"/>
        <v>0.1</v>
      </c>
      <c r="T468" s="62">
        <f t="shared" si="415"/>
        <v>0.1</v>
      </c>
      <c r="U468" s="62">
        <f t="shared" si="416"/>
        <v>0.1</v>
      </c>
      <c r="V468" s="62">
        <f t="shared" si="417"/>
        <v>0.1</v>
      </c>
      <c r="W468" s="62">
        <f t="shared" si="418"/>
        <v>0.1</v>
      </c>
      <c r="X468" s="62">
        <f t="shared" si="419"/>
        <v>0.1</v>
      </c>
      <c r="Y468" s="62">
        <f t="shared" si="420"/>
        <v>0.1</v>
      </c>
      <c r="Z468" s="62">
        <f t="shared" si="421"/>
        <v>0.1</v>
      </c>
      <c r="AA468" s="62">
        <f t="shared" si="422"/>
        <v>0.1</v>
      </c>
      <c r="AB468" s="62">
        <f t="shared" si="423"/>
        <v>0.1</v>
      </c>
      <c r="AC468" s="62">
        <f t="shared" si="424"/>
        <v>0.1</v>
      </c>
    </row>
    <row r="469" spans="1:29" x14ac:dyDescent="0.25">
      <c r="A469" s="30" t="str">
        <f t="shared" si="396"/>
        <v>Emission Cost</v>
      </c>
      <c r="B469" s="66">
        <f>$B449+($C449-$B449)*(1-Q449)</f>
        <v>7.7639122778339092E-2</v>
      </c>
      <c r="C469" s="66">
        <f t="shared" ref="C469:AC469" si="425">$B449+($C449-$B449)*(1-R449)</f>
        <v>7.777844914537467E-2</v>
      </c>
      <c r="D469" s="66">
        <f t="shared" si="425"/>
        <v>7.7977891736541474E-2</v>
      </c>
      <c r="E469" s="66">
        <f t="shared" si="425"/>
        <v>7.8263208388635597E-2</v>
      </c>
      <c r="F469" s="66">
        <f t="shared" si="425"/>
        <v>7.8670988842723152E-2</v>
      </c>
      <c r="G469" s="66">
        <f t="shared" si="425"/>
        <v>7.925297967571665E-2</v>
      </c>
      <c r="H469" s="66">
        <f t="shared" si="425"/>
        <v>8.0081877399879431E-2</v>
      </c>
      <c r="I469" s="66">
        <f t="shared" si="425"/>
        <v>8.1258793344219593E-2</v>
      </c>
      <c r="J469" s="66">
        <f t="shared" si="425"/>
        <v>8.2922250937142977E-2</v>
      </c>
      <c r="K469" s="66">
        <f t="shared" si="425"/>
        <v>8.5257715386346467E-2</v>
      </c>
      <c r="L469" s="66">
        <f t="shared" si="425"/>
        <v>8.8504858770587308E-2</v>
      </c>
      <c r="M469" s="66">
        <f t="shared" si="425"/>
        <v>9.2956570874505887E-2</v>
      </c>
      <c r="N469" s="66">
        <f t="shared" si="425"/>
        <v>9.8939194915988959E-2</v>
      </c>
      <c r="O469" s="66">
        <f t="shared" si="425"/>
        <v>0.10675964029617348</v>
      </c>
      <c r="P469" s="66">
        <f t="shared" si="425"/>
        <v>0.11660816942568256</v>
      </c>
      <c r="Q469" s="66">
        <f t="shared" si="425"/>
        <v>0.12842612167902054</v>
      </c>
      <c r="R469" s="66">
        <f t="shared" si="425"/>
        <v>0.14178955073148763</v>
      </c>
      <c r="S469" s="66">
        <f t="shared" si="425"/>
        <v>0.15589726795340736</v>
      </c>
      <c r="T469" s="66">
        <f t="shared" si="425"/>
        <v>0.16972737168814467</v>
      </c>
      <c r="U469" s="66">
        <f t="shared" si="425"/>
        <v>0.18231719979056973</v>
      </c>
      <c r="V469" s="66">
        <f t="shared" si="425"/>
        <v>0.19301676085163266</v>
      </c>
      <c r="W469" s="66">
        <f t="shared" si="425"/>
        <v>0.20158519307872402</v>
      </c>
      <c r="X469" s="66">
        <f t="shared" si="425"/>
        <v>0.20812328716215528</v>
      </c>
      <c r="Y469" s="66">
        <f t="shared" si="425"/>
        <v>0.21292931066938076</v>
      </c>
      <c r="Z469" s="66">
        <f t="shared" si="425"/>
        <v>0.21636554794991802</v>
      </c>
      <c r="AA469" s="66">
        <f t="shared" si="425"/>
        <v>0.21877384282125395</v>
      </c>
      <c r="AB469" s="66">
        <f t="shared" si="425"/>
        <v>0.22043812260271833</v>
      </c>
      <c r="AC469" s="66">
        <f t="shared" si="425"/>
        <v>0.22157707219141698</v>
      </c>
    </row>
    <row r="470" spans="1:29" x14ac:dyDescent="0.25">
      <c r="A470" s="30" t="str">
        <f t="shared" si="396"/>
        <v>Lifetime vehicle</v>
      </c>
      <c r="B470" s="62">
        <f>$B450+($C450-$B450)*(1-Q450)</f>
        <v>8</v>
      </c>
      <c r="C470" s="62">
        <f t="shared" ref="C470:L472" si="426">$B450+($C450-$B450)*(1-R450)</f>
        <v>8</v>
      </c>
      <c r="D470" s="62">
        <f t="shared" si="426"/>
        <v>8</v>
      </c>
      <c r="E470" s="62">
        <f t="shared" si="426"/>
        <v>8</v>
      </c>
      <c r="F470" s="62">
        <f t="shared" si="426"/>
        <v>8</v>
      </c>
      <c r="G470" s="62">
        <f t="shared" si="426"/>
        <v>8</v>
      </c>
      <c r="H470" s="62">
        <f t="shared" si="426"/>
        <v>8</v>
      </c>
      <c r="I470" s="62">
        <f t="shared" si="426"/>
        <v>8</v>
      </c>
      <c r="J470" s="62">
        <f t="shared" si="426"/>
        <v>8</v>
      </c>
      <c r="K470" s="62">
        <f t="shared" si="426"/>
        <v>8</v>
      </c>
      <c r="L470" s="62">
        <f t="shared" si="426"/>
        <v>8</v>
      </c>
      <c r="M470" s="62">
        <f t="shared" ref="M470:V472" si="427">$B450+($C450-$B450)*(1-AB450)</f>
        <v>8</v>
      </c>
      <c r="N470" s="62">
        <f t="shared" si="427"/>
        <v>8</v>
      </c>
      <c r="O470" s="62">
        <f t="shared" si="427"/>
        <v>8</v>
      </c>
      <c r="P470" s="62">
        <f t="shared" si="427"/>
        <v>8</v>
      </c>
      <c r="Q470" s="62">
        <f t="shared" si="427"/>
        <v>8</v>
      </c>
      <c r="R470" s="62">
        <f t="shared" si="427"/>
        <v>8</v>
      </c>
      <c r="S470" s="62">
        <f t="shared" si="427"/>
        <v>8</v>
      </c>
      <c r="T470" s="62">
        <f t="shared" si="427"/>
        <v>8</v>
      </c>
      <c r="U470" s="62">
        <f t="shared" si="427"/>
        <v>8</v>
      </c>
      <c r="V470" s="62">
        <f t="shared" si="427"/>
        <v>8</v>
      </c>
      <c r="W470" s="62">
        <f t="shared" ref="W470:AC472" si="428">$B450+($C450-$B450)*(1-AL450)</f>
        <v>8</v>
      </c>
      <c r="X470" s="62">
        <f t="shared" si="428"/>
        <v>8</v>
      </c>
      <c r="Y470" s="62">
        <f t="shared" si="428"/>
        <v>8</v>
      </c>
      <c r="Z470" s="62">
        <f t="shared" si="428"/>
        <v>8</v>
      </c>
      <c r="AA470" s="62">
        <f t="shared" si="428"/>
        <v>8</v>
      </c>
      <c r="AB470" s="62">
        <f t="shared" si="428"/>
        <v>8</v>
      </c>
      <c r="AC470" s="62">
        <f t="shared" si="428"/>
        <v>8</v>
      </c>
    </row>
    <row r="471" spans="1:29" x14ac:dyDescent="0.25">
      <c r="A471" s="30" t="str">
        <f t="shared" si="396"/>
        <v>Lifetime costumization</v>
      </c>
      <c r="B471" s="62">
        <f>$B451+($C451-$B451)*(1-Q451)</f>
        <v>10</v>
      </c>
      <c r="C471" s="62">
        <f t="shared" si="426"/>
        <v>10</v>
      </c>
      <c r="D471" s="62">
        <f t="shared" si="426"/>
        <v>10</v>
      </c>
      <c r="E471" s="62">
        <f t="shared" si="426"/>
        <v>10</v>
      </c>
      <c r="F471" s="62">
        <f t="shared" si="426"/>
        <v>10</v>
      </c>
      <c r="G471" s="62">
        <f t="shared" si="426"/>
        <v>10</v>
      </c>
      <c r="H471" s="62">
        <f t="shared" si="426"/>
        <v>10</v>
      </c>
      <c r="I471" s="62">
        <f t="shared" si="426"/>
        <v>10</v>
      </c>
      <c r="J471" s="62">
        <f t="shared" si="426"/>
        <v>10</v>
      </c>
      <c r="K471" s="62">
        <f t="shared" si="426"/>
        <v>10</v>
      </c>
      <c r="L471" s="62">
        <f t="shared" si="426"/>
        <v>10</v>
      </c>
      <c r="M471" s="62">
        <f t="shared" si="427"/>
        <v>10</v>
      </c>
      <c r="N471" s="62">
        <f t="shared" si="427"/>
        <v>10</v>
      </c>
      <c r="O471" s="62">
        <f t="shared" si="427"/>
        <v>10</v>
      </c>
      <c r="P471" s="62">
        <f t="shared" si="427"/>
        <v>10</v>
      </c>
      <c r="Q471" s="62">
        <f t="shared" si="427"/>
        <v>10</v>
      </c>
      <c r="R471" s="62">
        <f t="shared" si="427"/>
        <v>10</v>
      </c>
      <c r="S471" s="62">
        <f t="shared" si="427"/>
        <v>10</v>
      </c>
      <c r="T471" s="62">
        <f t="shared" si="427"/>
        <v>10</v>
      </c>
      <c r="U471" s="62">
        <f t="shared" si="427"/>
        <v>10</v>
      </c>
      <c r="V471" s="62">
        <f t="shared" si="427"/>
        <v>10</v>
      </c>
      <c r="W471" s="62">
        <f t="shared" si="428"/>
        <v>10</v>
      </c>
      <c r="X471" s="62">
        <f t="shared" si="428"/>
        <v>10</v>
      </c>
      <c r="Y471" s="62">
        <f t="shared" si="428"/>
        <v>10</v>
      </c>
      <c r="Z471" s="62">
        <f t="shared" si="428"/>
        <v>10</v>
      </c>
      <c r="AA471" s="62">
        <f t="shared" si="428"/>
        <v>10</v>
      </c>
      <c r="AB471" s="62">
        <f t="shared" si="428"/>
        <v>10</v>
      </c>
      <c r="AC471" s="62">
        <f t="shared" si="428"/>
        <v>10</v>
      </c>
    </row>
    <row r="472" spans="1:29" x14ac:dyDescent="0.25">
      <c r="A472" s="30" t="str">
        <f t="shared" si="396"/>
        <v>Tonnage .</v>
      </c>
      <c r="B472" s="62">
        <f>$B452+($C452-$B452)*(1-Q452)</f>
        <v>25</v>
      </c>
      <c r="C472" s="62">
        <f t="shared" si="426"/>
        <v>25</v>
      </c>
      <c r="D472" s="62">
        <f t="shared" si="426"/>
        <v>25</v>
      </c>
      <c r="E472" s="62">
        <f t="shared" si="426"/>
        <v>25</v>
      </c>
      <c r="F472" s="62">
        <f t="shared" si="426"/>
        <v>25</v>
      </c>
      <c r="G472" s="62">
        <f t="shared" si="426"/>
        <v>25</v>
      </c>
      <c r="H472" s="62">
        <f t="shared" si="426"/>
        <v>25</v>
      </c>
      <c r="I472" s="62">
        <f t="shared" si="426"/>
        <v>25</v>
      </c>
      <c r="J472" s="62">
        <f t="shared" si="426"/>
        <v>25</v>
      </c>
      <c r="K472" s="62">
        <f t="shared" si="426"/>
        <v>25</v>
      </c>
      <c r="L472" s="62">
        <f t="shared" si="426"/>
        <v>25</v>
      </c>
      <c r="M472" s="62">
        <f t="shared" si="427"/>
        <v>25</v>
      </c>
      <c r="N472" s="62">
        <f t="shared" si="427"/>
        <v>25</v>
      </c>
      <c r="O472" s="62">
        <f t="shared" si="427"/>
        <v>25</v>
      </c>
      <c r="P472" s="62">
        <f t="shared" si="427"/>
        <v>25</v>
      </c>
      <c r="Q472" s="62">
        <f t="shared" si="427"/>
        <v>25</v>
      </c>
      <c r="R472" s="62">
        <f t="shared" si="427"/>
        <v>25</v>
      </c>
      <c r="S472" s="62">
        <f t="shared" si="427"/>
        <v>25</v>
      </c>
      <c r="T472" s="62">
        <f t="shared" si="427"/>
        <v>25</v>
      </c>
      <c r="U472" s="62">
        <f t="shared" si="427"/>
        <v>25</v>
      </c>
      <c r="V472" s="62">
        <f t="shared" si="427"/>
        <v>25</v>
      </c>
      <c r="W472" s="62">
        <f t="shared" si="428"/>
        <v>25</v>
      </c>
      <c r="X472" s="62">
        <f t="shared" si="428"/>
        <v>25</v>
      </c>
      <c r="Y472" s="62">
        <f t="shared" si="428"/>
        <v>25</v>
      </c>
      <c r="Z472" s="62">
        <f t="shared" si="428"/>
        <v>25</v>
      </c>
      <c r="AA472" s="62">
        <f t="shared" si="428"/>
        <v>25</v>
      </c>
      <c r="AB472" s="62">
        <f t="shared" si="428"/>
        <v>25</v>
      </c>
      <c r="AC472" s="62">
        <f t="shared" si="428"/>
        <v>25</v>
      </c>
    </row>
    <row r="473" spans="1:29" x14ac:dyDescent="0.25">
      <c r="A473" s="30" t="str">
        <f t="shared" si="396"/>
        <v>Market failure (av. utilization)</v>
      </c>
      <c r="B473" s="62">
        <f t="shared" ref="B473:K474" si="429">($B453+($C453-$B453)*(1-Q453))*B$44</f>
        <v>16</v>
      </c>
      <c r="C473" s="62">
        <f t="shared" si="429"/>
        <v>16</v>
      </c>
      <c r="D473" s="62">
        <f t="shared" si="429"/>
        <v>16</v>
      </c>
      <c r="E473" s="62">
        <f t="shared" si="429"/>
        <v>16</v>
      </c>
      <c r="F473" s="62">
        <f t="shared" si="429"/>
        <v>16</v>
      </c>
      <c r="G473" s="62">
        <f t="shared" si="429"/>
        <v>16</v>
      </c>
      <c r="H473" s="62">
        <f t="shared" si="429"/>
        <v>16</v>
      </c>
      <c r="I473" s="62">
        <f t="shared" si="429"/>
        <v>16</v>
      </c>
      <c r="J473" s="62">
        <f t="shared" si="429"/>
        <v>16</v>
      </c>
      <c r="K473" s="62">
        <f t="shared" si="429"/>
        <v>16</v>
      </c>
      <c r="L473" s="62">
        <f t="shared" ref="L473:U474" si="430">($B453+($C453-$B453)*(1-AA453))*L$44</f>
        <v>16</v>
      </c>
      <c r="M473" s="62">
        <f t="shared" si="430"/>
        <v>16</v>
      </c>
      <c r="N473" s="62">
        <f t="shared" si="430"/>
        <v>16</v>
      </c>
      <c r="O473" s="62">
        <f t="shared" si="430"/>
        <v>16</v>
      </c>
      <c r="P473" s="62">
        <f t="shared" si="430"/>
        <v>16</v>
      </c>
      <c r="Q473" s="62">
        <f t="shared" si="430"/>
        <v>16</v>
      </c>
      <c r="R473" s="62">
        <f t="shared" si="430"/>
        <v>16</v>
      </c>
      <c r="S473" s="62">
        <f t="shared" si="430"/>
        <v>16</v>
      </c>
      <c r="T473" s="62">
        <f t="shared" si="430"/>
        <v>16</v>
      </c>
      <c r="U473" s="62">
        <f t="shared" si="430"/>
        <v>16</v>
      </c>
      <c r="V473" s="62">
        <f t="shared" ref="V473:AC474" si="431">($B453+($C453-$B453)*(1-AK453))*V$44</f>
        <v>16</v>
      </c>
      <c r="W473" s="62">
        <f t="shared" si="431"/>
        <v>16</v>
      </c>
      <c r="X473" s="62">
        <f t="shared" si="431"/>
        <v>16</v>
      </c>
      <c r="Y473" s="62">
        <f t="shared" si="431"/>
        <v>16</v>
      </c>
      <c r="Z473" s="62">
        <f t="shared" si="431"/>
        <v>16</v>
      </c>
      <c r="AA473" s="62">
        <f t="shared" si="431"/>
        <v>16</v>
      </c>
      <c r="AB473" s="62">
        <f t="shared" si="431"/>
        <v>16</v>
      </c>
      <c r="AC473" s="62">
        <f t="shared" si="431"/>
        <v>16</v>
      </c>
    </row>
    <row r="474" spans="1:29" x14ac:dyDescent="0.25">
      <c r="A474" s="30" t="s">
        <v>73</v>
      </c>
      <c r="B474" s="62">
        <f t="shared" si="429"/>
        <v>0</v>
      </c>
      <c r="C474" s="62">
        <f t="shared" si="429"/>
        <v>0</v>
      </c>
      <c r="D474" s="62">
        <f t="shared" si="429"/>
        <v>0</v>
      </c>
      <c r="E474" s="62">
        <f t="shared" si="429"/>
        <v>0</v>
      </c>
      <c r="F474" s="62">
        <f t="shared" si="429"/>
        <v>0</v>
      </c>
      <c r="G474" s="62">
        <f t="shared" si="429"/>
        <v>0</v>
      </c>
      <c r="H474" s="62">
        <f t="shared" si="429"/>
        <v>0</v>
      </c>
      <c r="I474" s="62">
        <f t="shared" si="429"/>
        <v>0</v>
      </c>
      <c r="J474" s="62">
        <f t="shared" si="429"/>
        <v>0</v>
      </c>
      <c r="K474" s="62">
        <f t="shared" si="429"/>
        <v>0</v>
      </c>
      <c r="L474" s="62">
        <f t="shared" si="430"/>
        <v>0</v>
      </c>
      <c r="M474" s="62">
        <f t="shared" si="430"/>
        <v>0</v>
      </c>
      <c r="N474" s="62">
        <f t="shared" si="430"/>
        <v>0</v>
      </c>
      <c r="O474" s="62">
        <f t="shared" si="430"/>
        <v>0</v>
      </c>
      <c r="P474" s="62">
        <f t="shared" si="430"/>
        <v>0</v>
      </c>
      <c r="Q474" s="62">
        <f t="shared" si="430"/>
        <v>0</v>
      </c>
      <c r="R474" s="62">
        <f t="shared" si="430"/>
        <v>0</v>
      </c>
      <c r="S474" s="62">
        <f t="shared" si="430"/>
        <v>0</v>
      </c>
      <c r="T474" s="62">
        <f t="shared" si="430"/>
        <v>0</v>
      </c>
      <c r="U474" s="62">
        <f t="shared" si="430"/>
        <v>0</v>
      </c>
      <c r="V474" s="62">
        <f t="shared" si="431"/>
        <v>0</v>
      </c>
      <c r="W474" s="62">
        <f t="shared" si="431"/>
        <v>0</v>
      </c>
      <c r="X474" s="62">
        <f t="shared" si="431"/>
        <v>0</v>
      </c>
      <c r="Y474" s="62">
        <f t="shared" si="431"/>
        <v>0</v>
      </c>
      <c r="Z474" s="62">
        <f t="shared" si="431"/>
        <v>0</v>
      </c>
      <c r="AA474" s="62">
        <f t="shared" si="431"/>
        <v>0</v>
      </c>
      <c r="AB474" s="62">
        <f t="shared" si="431"/>
        <v>0</v>
      </c>
      <c r="AC474" s="62">
        <f t="shared" si="431"/>
        <v>0</v>
      </c>
    </row>
    <row r="475" spans="1:29" x14ac:dyDescent="0.25">
      <c r="A475" s="30" t="str">
        <f>A455</f>
        <v>Annual Mileage</v>
      </c>
      <c r="B475" s="62">
        <f t="shared" ref="B475" si="432">$B455+($C455-$B455)*(1-Q455)</f>
        <v>90000</v>
      </c>
      <c r="C475" s="62">
        <f t="shared" ref="C475" si="433">$B455+($C455-$B455)*(1-R455)</f>
        <v>90000</v>
      </c>
      <c r="D475" s="62">
        <f t="shared" ref="D475" si="434">$B455+($C455-$B455)*(1-S455)</f>
        <v>90000</v>
      </c>
      <c r="E475" s="62">
        <f t="shared" ref="E475" si="435">$B455+($C455-$B455)*(1-T455)</f>
        <v>90000</v>
      </c>
      <c r="F475" s="62">
        <f t="shared" ref="F475" si="436">$B455+($C455-$B455)*(1-U455)</f>
        <v>90000</v>
      </c>
      <c r="G475" s="62">
        <f t="shared" ref="G475" si="437">$B455+($C455-$B455)*(1-V455)</f>
        <v>90000</v>
      </c>
      <c r="H475" s="62">
        <f t="shared" ref="H475" si="438">$B455+($C455-$B455)*(1-W455)</f>
        <v>90000</v>
      </c>
      <c r="I475" s="62">
        <f t="shared" ref="I475" si="439">$B455+($C455-$B455)*(1-X455)</f>
        <v>90000</v>
      </c>
      <c r="J475" s="62">
        <f t="shared" ref="J475" si="440">$B455+($C455-$B455)*(1-Y455)</f>
        <v>90000</v>
      </c>
      <c r="K475" s="62">
        <f t="shared" ref="K475" si="441">$B455+($C455-$B455)*(1-Z455)</f>
        <v>90000</v>
      </c>
      <c r="L475" s="62">
        <f t="shared" ref="L475" si="442">$B455+($C455-$B455)*(1-AA455)</f>
        <v>90000</v>
      </c>
      <c r="M475" s="62">
        <f t="shared" ref="M475" si="443">$B455+($C455-$B455)*(1-AB455)</f>
        <v>90000</v>
      </c>
      <c r="N475" s="62">
        <f t="shared" ref="N475" si="444">$B455+($C455-$B455)*(1-AC455)</f>
        <v>90000</v>
      </c>
      <c r="O475" s="62">
        <f t="shared" ref="O475" si="445">$B455+($C455-$B455)*(1-AD455)</f>
        <v>90000</v>
      </c>
      <c r="P475" s="62">
        <f t="shared" ref="P475" si="446">$B455+($C455-$B455)*(1-AE455)</f>
        <v>90000</v>
      </c>
      <c r="Q475" s="62">
        <f t="shared" ref="Q475" si="447">$B455+($C455-$B455)*(1-AF455)</f>
        <v>90000</v>
      </c>
      <c r="R475" s="62">
        <f t="shared" ref="R475" si="448">$B455+($C455-$B455)*(1-AG455)</f>
        <v>90000</v>
      </c>
      <c r="S475" s="62">
        <f t="shared" ref="S475" si="449">$B455+($C455-$B455)*(1-AH455)</f>
        <v>90000</v>
      </c>
      <c r="T475" s="62">
        <f t="shared" ref="T475" si="450">$B455+($C455-$B455)*(1-AI455)</f>
        <v>90000</v>
      </c>
      <c r="U475" s="62">
        <f t="shared" ref="U475" si="451">$B455+($C455-$B455)*(1-AJ455)</f>
        <v>90000</v>
      </c>
      <c r="V475" s="62">
        <f t="shared" ref="V475" si="452">$B455+($C455-$B455)*(1-AK455)</f>
        <v>90000</v>
      </c>
      <c r="W475" s="62">
        <f t="shared" ref="W475" si="453">$B455+($C455-$B455)*(1-AL455)</f>
        <v>90000</v>
      </c>
      <c r="X475" s="62">
        <f t="shared" ref="X475" si="454">$B455+($C455-$B455)*(1-AM455)</f>
        <v>90000</v>
      </c>
      <c r="Y475" s="62">
        <f t="shared" ref="Y475" si="455">$B455+($C455-$B455)*(1-AN455)</f>
        <v>90000</v>
      </c>
      <c r="Z475" s="62">
        <f t="shared" ref="Z475" si="456">$B455+($C455-$B455)*(1-AO455)</f>
        <v>90000</v>
      </c>
      <c r="AA475" s="62">
        <f t="shared" ref="AA475" si="457">$B455+($C455-$B455)*(1-AP455)</f>
        <v>90000</v>
      </c>
      <c r="AB475" s="62">
        <f t="shared" ref="AB475" si="458">$B455+($C455-$B455)*(1-AQ455)</f>
        <v>90000</v>
      </c>
      <c r="AC475" s="62">
        <f t="shared" ref="AC475" si="459">$B455+($C455-$B455)*(1-AR455)</f>
        <v>90000</v>
      </c>
    </row>
    <row r="476" spans="1:29" ht="15.75" thickBot="1" x14ac:dyDescent="0.3">
      <c r="AC476" s="32"/>
    </row>
    <row r="477" spans="1:29" ht="15.75" thickBot="1" x14ac:dyDescent="0.3">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16930.034166116213</v>
      </c>
      <c r="C478" s="63">
        <f t="shared" ref="C478:AC478" si="460">((1+C463)^C470)*C463/(((1+C463)^C470)-1)*(C459)</f>
        <v>16939.137147822737</v>
      </c>
      <c r="D478" s="63">
        <f t="shared" si="460"/>
        <v>16952.062076917297</v>
      </c>
      <c r="E478" s="63">
        <f t="shared" si="460"/>
        <v>16970.330222186072</v>
      </c>
      <c r="F478" s="63">
        <f t="shared" si="460"/>
        <v>16995.97836855879</v>
      </c>
      <c r="G478" s="63">
        <f t="shared" si="460"/>
        <v>17031.638602582309</v>
      </c>
      <c r="H478" s="63">
        <f t="shared" si="460"/>
        <v>17080.52744937655</v>
      </c>
      <c r="I478" s="63">
        <f t="shared" si="460"/>
        <v>17146.228820750977</v>
      </c>
      <c r="J478" s="63">
        <f t="shared" si="460"/>
        <v>17232.113205708847</v>
      </c>
      <c r="K478" s="63">
        <f t="shared" si="460"/>
        <v>17340.270072218107</v>
      </c>
      <c r="L478" s="63">
        <f t="shared" si="460"/>
        <v>17470.055207385878</v>
      </c>
      <c r="M478" s="63">
        <f t="shared" si="460"/>
        <v>17616.812818916205</v>
      </c>
      <c r="N478" s="63">
        <f t="shared" si="460"/>
        <v>17771.744227277446</v>
      </c>
      <c r="O478" s="63">
        <f t="shared" si="460"/>
        <v>17923.62687531321</v>
      </c>
      <c r="P478" s="63">
        <f t="shared" si="460"/>
        <v>18061.888776104923</v>
      </c>
      <c r="Q478" s="63">
        <f t="shared" si="460"/>
        <v>18179.391702904584</v>
      </c>
      <c r="R478" s="63">
        <f t="shared" si="460"/>
        <v>18273.490503689198</v>
      </c>
      <c r="S478" s="63">
        <f t="shared" si="460"/>
        <v>18345.292065090671</v>
      </c>
      <c r="T478" s="63">
        <f t="shared" si="460"/>
        <v>18398.071971214304</v>
      </c>
      <c r="U478" s="63">
        <f t="shared" si="460"/>
        <v>18435.808840543512</v>
      </c>
      <c r="V478" s="63">
        <f t="shared" si="460"/>
        <v>18462.256812975615</v>
      </c>
      <c r="W478" s="63">
        <f t="shared" si="460"/>
        <v>18480.533987545627</v>
      </c>
      <c r="X478" s="63">
        <f t="shared" si="460"/>
        <v>18493.041968890429</v>
      </c>
      <c r="Y478" s="63">
        <f t="shared" si="460"/>
        <v>18501.544671484124</v>
      </c>
      <c r="Z478" s="63">
        <f t="shared" si="460"/>
        <v>18507.298355716259</v>
      </c>
      <c r="AA478" s="63">
        <f t="shared" si="460"/>
        <v>18511.179797106222</v>
      </c>
      <c r="AB478" s="63">
        <f t="shared" si="460"/>
        <v>18513.792764168582</v>
      </c>
      <c r="AC478" s="63">
        <f t="shared" si="460"/>
        <v>18515.549330276619</v>
      </c>
    </row>
    <row r="479" spans="1:29" x14ac:dyDescent="0.25">
      <c r="A479" s="30" t="str">
        <f>A460</f>
        <v>Residual value (vehicle)</v>
      </c>
      <c r="B479" s="62">
        <f>((1+B463)^B470)*B463/(((1+B463)^B470)-1)*(B460)</f>
        <v>-4208.0593252569806</v>
      </c>
      <c r="C479" s="62">
        <f t="shared" ref="C479:AC479" si="461">((1+C463)^C470)*C463/(((1+C463)^C470)-1)*(C460)</f>
        <v>-4199.866641721108</v>
      </c>
      <c r="D479" s="62">
        <f t="shared" si="461"/>
        <v>-4188.2342055360041</v>
      </c>
      <c r="E479" s="62">
        <f t="shared" si="461"/>
        <v>-4171.7928747941069</v>
      </c>
      <c r="F479" s="62">
        <f t="shared" si="461"/>
        <v>-4148.7095430586614</v>
      </c>
      <c r="G479" s="62">
        <f t="shared" si="461"/>
        <v>-4116.6153324374927</v>
      </c>
      <c r="H479" s="62">
        <f t="shared" si="461"/>
        <v>-4072.6153703226773</v>
      </c>
      <c r="I479" s="62">
        <f t="shared" si="461"/>
        <v>-4013.4841360856908</v>
      </c>
      <c r="J479" s="62">
        <f t="shared" si="461"/>
        <v>-3936.1881896236077</v>
      </c>
      <c r="K479" s="62">
        <f t="shared" si="461"/>
        <v>-3838.8470097652757</v>
      </c>
      <c r="L479" s="62">
        <f t="shared" si="461"/>
        <v>-3722.0403881142815</v>
      </c>
      <c r="M479" s="62">
        <f t="shared" si="461"/>
        <v>-3589.9585377369858</v>
      </c>
      <c r="N479" s="62">
        <f t="shared" si="461"/>
        <v>-3450.5202702118704</v>
      </c>
      <c r="O479" s="62">
        <f t="shared" si="461"/>
        <v>-3313.8258869796846</v>
      </c>
      <c r="P479" s="62">
        <f t="shared" si="461"/>
        <v>-3189.3901762671421</v>
      </c>
      <c r="Q479" s="62">
        <f t="shared" si="461"/>
        <v>-3083.6375421474468</v>
      </c>
      <c r="R479" s="62">
        <f t="shared" si="461"/>
        <v>-2998.9486214412941</v>
      </c>
      <c r="S479" s="62">
        <f t="shared" si="461"/>
        <v>-2934.3272161799682</v>
      </c>
      <c r="T479" s="62">
        <f t="shared" si="461"/>
        <v>-2886.8253006686996</v>
      </c>
      <c r="U479" s="62">
        <f t="shared" si="461"/>
        <v>-2852.8621182724105</v>
      </c>
      <c r="V479" s="62">
        <f t="shared" si="461"/>
        <v>-2829.0589430835184</v>
      </c>
      <c r="W479" s="62">
        <f t="shared" si="461"/>
        <v>-2812.6094859705067</v>
      </c>
      <c r="X479" s="62">
        <f t="shared" si="461"/>
        <v>-2801.3523027601836</v>
      </c>
      <c r="Y479" s="62">
        <f t="shared" si="461"/>
        <v>-2793.6998704258613</v>
      </c>
      <c r="Z479" s="62">
        <f t="shared" si="461"/>
        <v>-2788.5215546169388</v>
      </c>
      <c r="AA479" s="62">
        <f t="shared" si="461"/>
        <v>-2785.0282573659729</v>
      </c>
      <c r="AB479" s="62">
        <f t="shared" si="461"/>
        <v>-2782.6765870098498</v>
      </c>
      <c r="AC479" s="62">
        <f t="shared" si="461"/>
        <v>-2781.0956775126119</v>
      </c>
    </row>
    <row r="480" spans="1:29" x14ac:dyDescent="0.25">
      <c r="A480" s="30" t="str">
        <f>A461</f>
        <v>Capex costumization</v>
      </c>
      <c r="B480" s="62">
        <f>((1+B463)^B471)*B463/(((1+B463)^B471)-1)*(B461)</f>
        <v>4755.37853771343</v>
      </c>
      <c r="C480" s="62">
        <f t="shared" ref="C480:AC480" si="462">((1+C463)^C471)*C463/(((1+C463)^C471)-1)*(C461)</f>
        <v>4755.37853771343</v>
      </c>
      <c r="D480" s="62">
        <f t="shared" si="462"/>
        <v>4755.37853771343</v>
      </c>
      <c r="E480" s="62">
        <f t="shared" si="462"/>
        <v>4755.37853771343</v>
      </c>
      <c r="F480" s="62">
        <f t="shared" si="462"/>
        <v>4755.37853771343</v>
      </c>
      <c r="G480" s="62">
        <f t="shared" si="462"/>
        <v>4755.37853771343</v>
      </c>
      <c r="H480" s="62">
        <f t="shared" si="462"/>
        <v>4755.37853771343</v>
      </c>
      <c r="I480" s="62">
        <f t="shared" si="462"/>
        <v>4755.37853771343</v>
      </c>
      <c r="J480" s="62">
        <f t="shared" si="462"/>
        <v>4755.37853771343</v>
      </c>
      <c r="K480" s="62">
        <f t="shared" si="462"/>
        <v>4755.37853771343</v>
      </c>
      <c r="L480" s="62">
        <f t="shared" si="462"/>
        <v>4755.37853771343</v>
      </c>
      <c r="M480" s="62">
        <f t="shared" si="462"/>
        <v>4755.37853771343</v>
      </c>
      <c r="N480" s="62">
        <f t="shared" si="462"/>
        <v>4755.37853771343</v>
      </c>
      <c r="O480" s="62">
        <f t="shared" si="462"/>
        <v>4755.37853771343</v>
      </c>
      <c r="P480" s="62">
        <f t="shared" si="462"/>
        <v>4755.37853771343</v>
      </c>
      <c r="Q480" s="62">
        <f t="shared" si="462"/>
        <v>4755.37853771343</v>
      </c>
      <c r="R480" s="62">
        <f t="shared" si="462"/>
        <v>4755.37853771343</v>
      </c>
      <c r="S480" s="62">
        <f t="shared" si="462"/>
        <v>4755.37853771343</v>
      </c>
      <c r="T480" s="62">
        <f t="shared" si="462"/>
        <v>4755.37853771343</v>
      </c>
      <c r="U480" s="62">
        <f t="shared" si="462"/>
        <v>4755.37853771343</v>
      </c>
      <c r="V480" s="62">
        <f t="shared" si="462"/>
        <v>4755.37853771343</v>
      </c>
      <c r="W480" s="62">
        <f t="shared" si="462"/>
        <v>4755.37853771343</v>
      </c>
      <c r="X480" s="62">
        <f t="shared" si="462"/>
        <v>4755.37853771343</v>
      </c>
      <c r="Y480" s="62">
        <f t="shared" si="462"/>
        <v>4755.37853771343</v>
      </c>
      <c r="Z480" s="62">
        <f t="shared" si="462"/>
        <v>4755.37853771343</v>
      </c>
      <c r="AA480" s="62">
        <f t="shared" si="462"/>
        <v>4755.37853771343</v>
      </c>
      <c r="AB480" s="62">
        <f t="shared" si="462"/>
        <v>4755.37853771343</v>
      </c>
      <c r="AC480" s="62">
        <f t="shared" si="462"/>
        <v>4755.37853771343</v>
      </c>
    </row>
    <row r="481" spans="1:29" x14ac:dyDescent="0.25">
      <c r="A481" s="30" t="str">
        <f>A462</f>
        <v>Residual value (costumization)</v>
      </c>
      <c r="B481" s="62">
        <f>((1+B463)^B471)*B463/(((1+B463)^B471)-1)*(B462)</f>
        <v>-1188.8446344283575</v>
      </c>
      <c r="C481" s="62">
        <f t="shared" ref="C481:AC481" si="463">((1+C463)^C471)*C463/(((1+C463)^C471)-1)*(C462)</f>
        <v>-1188.8446344283575</v>
      </c>
      <c r="D481" s="62">
        <f t="shared" si="463"/>
        <v>-1188.8446344283575</v>
      </c>
      <c r="E481" s="62">
        <f t="shared" si="463"/>
        <v>-1188.8446344283575</v>
      </c>
      <c r="F481" s="62">
        <f t="shared" si="463"/>
        <v>-1188.8446344283575</v>
      </c>
      <c r="G481" s="62">
        <f t="shared" si="463"/>
        <v>-1188.8446344283575</v>
      </c>
      <c r="H481" s="62">
        <f t="shared" si="463"/>
        <v>-1188.8446344283575</v>
      </c>
      <c r="I481" s="62">
        <f t="shared" si="463"/>
        <v>-1188.8446344283575</v>
      </c>
      <c r="J481" s="62">
        <f t="shared" si="463"/>
        <v>-1188.8446344283575</v>
      </c>
      <c r="K481" s="62">
        <f t="shared" si="463"/>
        <v>-1188.8446344283575</v>
      </c>
      <c r="L481" s="62">
        <f t="shared" si="463"/>
        <v>-1188.8446344283575</v>
      </c>
      <c r="M481" s="62">
        <f t="shared" si="463"/>
        <v>-1188.8446344283575</v>
      </c>
      <c r="N481" s="62">
        <f t="shared" si="463"/>
        <v>-1188.8446344283575</v>
      </c>
      <c r="O481" s="62">
        <f t="shared" si="463"/>
        <v>-1188.8446344283575</v>
      </c>
      <c r="P481" s="62">
        <f t="shared" si="463"/>
        <v>-1188.8446344283575</v>
      </c>
      <c r="Q481" s="62">
        <f t="shared" si="463"/>
        <v>-1188.8446344283575</v>
      </c>
      <c r="R481" s="62">
        <f t="shared" si="463"/>
        <v>-1188.8446344283575</v>
      </c>
      <c r="S481" s="62">
        <f t="shared" si="463"/>
        <v>-1188.8446344283575</v>
      </c>
      <c r="T481" s="62">
        <f t="shared" si="463"/>
        <v>-1188.8446344283575</v>
      </c>
      <c r="U481" s="62">
        <f t="shared" si="463"/>
        <v>-1188.8446344283575</v>
      </c>
      <c r="V481" s="62">
        <f t="shared" si="463"/>
        <v>-1188.8446344283575</v>
      </c>
      <c r="W481" s="62">
        <f t="shared" si="463"/>
        <v>-1188.8446344283575</v>
      </c>
      <c r="X481" s="62">
        <f t="shared" si="463"/>
        <v>-1188.8446344283575</v>
      </c>
      <c r="Y481" s="62">
        <f t="shared" si="463"/>
        <v>-1188.8446344283575</v>
      </c>
      <c r="Z481" s="62">
        <f t="shared" si="463"/>
        <v>-1188.8446344283575</v>
      </c>
      <c r="AA481" s="62">
        <f t="shared" si="463"/>
        <v>-1188.8446344283575</v>
      </c>
      <c r="AB481" s="62">
        <f t="shared" si="463"/>
        <v>-1188.8446344283575</v>
      </c>
      <c r="AC481" s="62">
        <f t="shared" si="463"/>
        <v>-1188.8446344283575</v>
      </c>
    </row>
    <row r="482" spans="1:29" x14ac:dyDescent="0.25">
      <c r="A482" s="30" t="str">
        <f>A464</f>
        <v>Opex fix (admin, crew, insurance)</v>
      </c>
      <c r="B482" s="62">
        <f>B464</f>
        <v>70000</v>
      </c>
      <c r="C482" s="62">
        <f t="shared" ref="C482:AC482" si="464">C464</f>
        <v>70000</v>
      </c>
      <c r="D482" s="62">
        <f t="shared" si="464"/>
        <v>70000</v>
      </c>
      <c r="E482" s="62">
        <f t="shared" si="464"/>
        <v>70000</v>
      </c>
      <c r="F482" s="62">
        <f t="shared" si="464"/>
        <v>70000</v>
      </c>
      <c r="G482" s="62">
        <f t="shared" si="464"/>
        <v>70000</v>
      </c>
      <c r="H482" s="62">
        <f t="shared" si="464"/>
        <v>70000</v>
      </c>
      <c r="I482" s="62">
        <f t="shared" si="464"/>
        <v>70000</v>
      </c>
      <c r="J482" s="62">
        <f t="shared" si="464"/>
        <v>70000</v>
      </c>
      <c r="K482" s="62">
        <f t="shared" si="464"/>
        <v>70000</v>
      </c>
      <c r="L482" s="62">
        <f t="shared" si="464"/>
        <v>70000</v>
      </c>
      <c r="M482" s="62">
        <f t="shared" si="464"/>
        <v>70000</v>
      </c>
      <c r="N482" s="62">
        <f t="shared" si="464"/>
        <v>70000</v>
      </c>
      <c r="O482" s="62">
        <f t="shared" si="464"/>
        <v>70000</v>
      </c>
      <c r="P482" s="62">
        <f t="shared" si="464"/>
        <v>70000</v>
      </c>
      <c r="Q482" s="62">
        <f t="shared" si="464"/>
        <v>70000</v>
      </c>
      <c r="R482" s="62">
        <f t="shared" si="464"/>
        <v>70000</v>
      </c>
      <c r="S482" s="62">
        <f t="shared" si="464"/>
        <v>70000</v>
      </c>
      <c r="T482" s="62">
        <f t="shared" si="464"/>
        <v>70000</v>
      </c>
      <c r="U482" s="62">
        <f t="shared" si="464"/>
        <v>70000</v>
      </c>
      <c r="V482" s="62">
        <f t="shared" si="464"/>
        <v>70000</v>
      </c>
      <c r="W482" s="62">
        <f t="shared" si="464"/>
        <v>70000</v>
      </c>
      <c r="X482" s="62">
        <f t="shared" si="464"/>
        <v>70000</v>
      </c>
      <c r="Y482" s="62">
        <f t="shared" si="464"/>
        <v>70000</v>
      </c>
      <c r="Z482" s="62">
        <f t="shared" si="464"/>
        <v>70000</v>
      </c>
      <c r="AA482" s="62">
        <f t="shared" si="464"/>
        <v>70000</v>
      </c>
      <c r="AB482" s="62">
        <f t="shared" si="464"/>
        <v>70000</v>
      </c>
      <c r="AC482" s="62">
        <f t="shared" si="464"/>
        <v>70000</v>
      </c>
    </row>
    <row r="483" spans="1:29" x14ac:dyDescent="0.25">
      <c r="A483" s="30" t="str">
        <f>A465</f>
        <v>Opex maintenance &amp; repair</v>
      </c>
      <c r="B483" s="62">
        <f>B465</f>
        <v>20000</v>
      </c>
      <c r="C483" s="62">
        <f t="shared" ref="C483:AC483" si="465">C465</f>
        <v>20000</v>
      </c>
      <c r="D483" s="62">
        <f t="shared" si="465"/>
        <v>20000</v>
      </c>
      <c r="E483" s="62">
        <f t="shared" si="465"/>
        <v>20000</v>
      </c>
      <c r="F483" s="62">
        <f t="shared" si="465"/>
        <v>20000</v>
      </c>
      <c r="G483" s="62">
        <f t="shared" si="465"/>
        <v>20000</v>
      </c>
      <c r="H483" s="62">
        <f t="shared" si="465"/>
        <v>20000</v>
      </c>
      <c r="I483" s="62">
        <f t="shared" si="465"/>
        <v>20000</v>
      </c>
      <c r="J483" s="62">
        <f t="shared" si="465"/>
        <v>20000</v>
      </c>
      <c r="K483" s="62">
        <f t="shared" si="465"/>
        <v>20000</v>
      </c>
      <c r="L483" s="62">
        <f t="shared" si="465"/>
        <v>20000</v>
      </c>
      <c r="M483" s="62">
        <f t="shared" si="465"/>
        <v>20000</v>
      </c>
      <c r="N483" s="62">
        <f t="shared" si="465"/>
        <v>20000</v>
      </c>
      <c r="O483" s="62">
        <f t="shared" si="465"/>
        <v>20000</v>
      </c>
      <c r="P483" s="62">
        <f t="shared" si="465"/>
        <v>20000</v>
      </c>
      <c r="Q483" s="62">
        <f t="shared" si="465"/>
        <v>20000</v>
      </c>
      <c r="R483" s="62">
        <f t="shared" si="465"/>
        <v>20000</v>
      </c>
      <c r="S483" s="62">
        <f t="shared" si="465"/>
        <v>20000</v>
      </c>
      <c r="T483" s="62">
        <f t="shared" si="465"/>
        <v>20000</v>
      </c>
      <c r="U483" s="62">
        <f t="shared" si="465"/>
        <v>20000</v>
      </c>
      <c r="V483" s="62">
        <f t="shared" si="465"/>
        <v>20000</v>
      </c>
      <c r="W483" s="62">
        <f t="shared" si="465"/>
        <v>20000</v>
      </c>
      <c r="X483" s="62">
        <f t="shared" si="465"/>
        <v>20000</v>
      </c>
      <c r="Y483" s="62">
        <f t="shared" si="465"/>
        <v>20000</v>
      </c>
      <c r="Z483" s="62">
        <f t="shared" si="465"/>
        <v>20000</v>
      </c>
      <c r="AA483" s="62">
        <f t="shared" si="465"/>
        <v>20000</v>
      </c>
      <c r="AB483" s="62">
        <f t="shared" si="465"/>
        <v>20000</v>
      </c>
      <c r="AC483" s="62">
        <f t="shared" si="465"/>
        <v>20000</v>
      </c>
    </row>
    <row r="484" spans="1:29" x14ac:dyDescent="0.25">
      <c r="A484" s="30" t="str">
        <f>A466</f>
        <v>Opex var (mode-fees)</v>
      </c>
      <c r="B484" s="62">
        <f>B466*B475</f>
        <v>9900</v>
      </c>
      <c r="C484" s="62">
        <f t="shared" ref="C484:AC484" si="466">C466*C475</f>
        <v>9900</v>
      </c>
      <c r="D484" s="62">
        <f t="shared" si="466"/>
        <v>9900</v>
      </c>
      <c r="E484" s="62">
        <f t="shared" si="466"/>
        <v>9900</v>
      </c>
      <c r="F484" s="62">
        <f t="shared" si="466"/>
        <v>9900</v>
      </c>
      <c r="G484" s="62">
        <f t="shared" si="466"/>
        <v>9900</v>
      </c>
      <c r="H484" s="62">
        <f t="shared" si="466"/>
        <v>9900</v>
      </c>
      <c r="I484" s="62">
        <f t="shared" si="466"/>
        <v>9900</v>
      </c>
      <c r="J484" s="62">
        <f t="shared" si="466"/>
        <v>9900</v>
      </c>
      <c r="K484" s="62">
        <f t="shared" si="466"/>
        <v>9900</v>
      </c>
      <c r="L484" s="62">
        <f t="shared" si="466"/>
        <v>9900</v>
      </c>
      <c r="M484" s="62">
        <f t="shared" si="466"/>
        <v>9900</v>
      </c>
      <c r="N484" s="62">
        <f t="shared" si="466"/>
        <v>9900</v>
      </c>
      <c r="O484" s="62">
        <f t="shared" si="466"/>
        <v>9900</v>
      </c>
      <c r="P484" s="62">
        <f t="shared" si="466"/>
        <v>9900</v>
      </c>
      <c r="Q484" s="62">
        <f t="shared" si="466"/>
        <v>9900</v>
      </c>
      <c r="R484" s="62">
        <f t="shared" si="466"/>
        <v>9900</v>
      </c>
      <c r="S484" s="62">
        <f t="shared" si="466"/>
        <v>9900</v>
      </c>
      <c r="T484" s="62">
        <f t="shared" si="466"/>
        <v>9900</v>
      </c>
      <c r="U484" s="62">
        <f t="shared" si="466"/>
        <v>9900</v>
      </c>
      <c r="V484" s="62">
        <f t="shared" si="466"/>
        <v>9900</v>
      </c>
      <c r="W484" s="62">
        <f t="shared" si="466"/>
        <v>9900</v>
      </c>
      <c r="X484" s="62">
        <f t="shared" si="466"/>
        <v>9900</v>
      </c>
      <c r="Y484" s="62">
        <f t="shared" si="466"/>
        <v>9900</v>
      </c>
      <c r="Z484" s="62">
        <f t="shared" si="466"/>
        <v>9900</v>
      </c>
      <c r="AA484" s="62">
        <f t="shared" si="466"/>
        <v>9900</v>
      </c>
      <c r="AB484" s="62">
        <f t="shared" si="466"/>
        <v>9900</v>
      </c>
      <c r="AC484" s="62">
        <f t="shared" si="466"/>
        <v>9900</v>
      </c>
    </row>
    <row r="485" spans="1:29" x14ac:dyDescent="0.25">
      <c r="A485" s="30" t="str">
        <f>A468</f>
        <v>Fuel Cost</v>
      </c>
      <c r="B485" s="62">
        <f>B467*B468*B475</f>
        <v>26040.590377086766</v>
      </c>
      <c r="C485" s="62">
        <f t="shared" ref="C485:AC485" si="467">C467*C468*C475</f>
        <v>26015.152939328622</v>
      </c>
      <c r="D485" s="62">
        <f t="shared" si="467"/>
        <v>25979.035424214242</v>
      </c>
      <c r="E485" s="62">
        <f t="shared" si="467"/>
        <v>25927.986787271679</v>
      </c>
      <c r="F485" s="62">
        <f t="shared" si="467"/>
        <v>25856.315421998013</v>
      </c>
      <c r="G485" s="62">
        <f t="shared" si="467"/>
        <v>25756.666206756363</v>
      </c>
      <c r="H485" s="62">
        <f t="shared" si="467"/>
        <v>25620.050860544627</v>
      </c>
      <c r="I485" s="62">
        <f t="shared" si="467"/>
        <v>25436.454474344719</v>
      </c>
      <c r="J485" s="62">
        <f t="shared" si="467"/>
        <v>25196.458529368076</v>
      </c>
      <c r="K485" s="62">
        <f t="shared" si="467"/>
        <v>24894.224201249701</v>
      </c>
      <c r="L485" s="62">
        <f t="shared" si="467"/>
        <v>24531.551683145397</v>
      </c>
      <c r="M485" s="62">
        <f t="shared" si="467"/>
        <v>24121.451154638231</v>
      </c>
      <c r="N485" s="62">
        <f t="shared" si="467"/>
        <v>23688.509709293336</v>
      </c>
      <c r="O485" s="62">
        <f t="shared" si="467"/>
        <v>23264.087741798576</v>
      </c>
      <c r="P485" s="62">
        <f t="shared" si="467"/>
        <v>22877.727688675404</v>
      </c>
      <c r="Q485" s="62">
        <f t="shared" si="467"/>
        <v>22549.376662250295</v>
      </c>
      <c r="R485" s="62">
        <f t="shared" si="467"/>
        <v>22286.426294420919</v>
      </c>
      <c r="S485" s="62">
        <f t="shared" si="467"/>
        <v>22085.783493196948</v>
      </c>
      <c r="T485" s="62">
        <f t="shared" si="467"/>
        <v>21938.294942721415</v>
      </c>
      <c r="U485" s="62">
        <f t="shared" si="467"/>
        <v>21832.842762798758</v>
      </c>
      <c r="V485" s="62">
        <f t="shared" si="467"/>
        <v>21758.936357814058</v>
      </c>
      <c r="W485" s="62">
        <f t="shared" si="467"/>
        <v>21707.862489326959</v>
      </c>
      <c r="X485" s="62">
        <f t="shared" si="467"/>
        <v>21672.910096012754</v>
      </c>
      <c r="Y485" s="62">
        <f t="shared" si="467"/>
        <v>21649.150082538486</v>
      </c>
      <c r="Z485" s="62">
        <f t="shared" si="467"/>
        <v>21633.07194580774</v>
      </c>
      <c r="AA485" s="62">
        <f t="shared" si="467"/>
        <v>21622.225617983277</v>
      </c>
      <c r="AB485" s="62">
        <f t="shared" si="467"/>
        <v>21614.92392397183</v>
      </c>
      <c r="AC485" s="62">
        <f t="shared" si="467"/>
        <v>21610.015362966005</v>
      </c>
    </row>
    <row r="486" spans="1:29" ht="15.75" thickBot="1" x14ac:dyDescent="0.3">
      <c r="A486" s="59" t="str">
        <f>A449</f>
        <v>Emission Cost</v>
      </c>
      <c r="B486" s="62">
        <f>B469*B475</f>
        <v>6987.5210500505182</v>
      </c>
      <c r="C486" s="62">
        <f t="shared" ref="C486:AC486" si="468">C469*C475</f>
        <v>7000.0604230837207</v>
      </c>
      <c r="D486" s="62">
        <f t="shared" si="468"/>
        <v>7018.0102562887323</v>
      </c>
      <c r="E486" s="62">
        <f t="shared" si="468"/>
        <v>7043.6887549772036</v>
      </c>
      <c r="F486" s="62">
        <f t="shared" si="468"/>
        <v>7080.3889958450836</v>
      </c>
      <c r="G486" s="62">
        <f t="shared" si="468"/>
        <v>7132.7681708144983</v>
      </c>
      <c r="H486" s="62">
        <f t="shared" si="468"/>
        <v>7207.3689659891488</v>
      </c>
      <c r="I486" s="62">
        <f t="shared" si="468"/>
        <v>7313.2914009797632</v>
      </c>
      <c r="J486" s="62">
        <f t="shared" si="468"/>
        <v>7463.0025843428675</v>
      </c>
      <c r="K486" s="62">
        <f t="shared" si="468"/>
        <v>7673.1943847711818</v>
      </c>
      <c r="L486" s="62">
        <f t="shared" si="468"/>
        <v>7965.437289352858</v>
      </c>
      <c r="M486" s="62">
        <f t="shared" si="468"/>
        <v>8366.0913787055306</v>
      </c>
      <c r="N486" s="62">
        <f t="shared" si="468"/>
        <v>8904.5275424390056</v>
      </c>
      <c r="O486" s="62">
        <f t="shared" si="468"/>
        <v>9608.3676266556122</v>
      </c>
      <c r="P486" s="62">
        <f t="shared" si="468"/>
        <v>10494.73524831143</v>
      </c>
      <c r="Q486" s="62">
        <f t="shared" si="468"/>
        <v>11558.350951111848</v>
      </c>
      <c r="R486" s="62">
        <f t="shared" si="468"/>
        <v>12761.059565833888</v>
      </c>
      <c r="S486" s="62">
        <f t="shared" si="468"/>
        <v>14030.754115806662</v>
      </c>
      <c r="T486" s="62">
        <f t="shared" si="468"/>
        <v>15275.463451933019</v>
      </c>
      <c r="U486" s="62">
        <f t="shared" si="468"/>
        <v>16408.547981151278</v>
      </c>
      <c r="V486" s="62">
        <f t="shared" si="468"/>
        <v>17371.508476646941</v>
      </c>
      <c r="W486" s="62">
        <f t="shared" si="468"/>
        <v>18142.667377085163</v>
      </c>
      <c r="X486" s="62">
        <f t="shared" si="468"/>
        <v>18731.095844593976</v>
      </c>
      <c r="Y486" s="62">
        <f t="shared" si="468"/>
        <v>19163.637960244268</v>
      </c>
      <c r="Z486" s="62">
        <f t="shared" si="468"/>
        <v>19472.899315492621</v>
      </c>
      <c r="AA486" s="62">
        <f t="shared" si="468"/>
        <v>19689.645853912854</v>
      </c>
      <c r="AB486" s="62">
        <f t="shared" si="468"/>
        <v>19839.431034244652</v>
      </c>
      <c r="AC486" s="62">
        <f t="shared" si="468"/>
        <v>19941.936497227529</v>
      </c>
    </row>
    <row r="487" spans="1:29" ht="15.75" thickBot="1" x14ac:dyDescent="0.3">
      <c r="A487" s="31" t="s">
        <v>209</v>
      </c>
      <c r="B487" s="64">
        <f>B478+B479+B480+B481+B482+B483+B484+B485</f>
        <v>142229.09912123106</v>
      </c>
      <c r="C487" s="64">
        <f t="shared" ref="C487:AC487" si="469">C478+C479+C480+C481+C482+C483+C484+C485</f>
        <v>142220.95734871534</v>
      </c>
      <c r="D487" s="64">
        <f t="shared" si="469"/>
        <v>142209.39719888062</v>
      </c>
      <c r="E487" s="64">
        <f t="shared" si="469"/>
        <v>142193.05803794871</v>
      </c>
      <c r="F487" s="64">
        <f t="shared" si="469"/>
        <v>142170.11815078321</v>
      </c>
      <c r="G487" s="64">
        <f t="shared" si="469"/>
        <v>142138.22338018625</v>
      </c>
      <c r="H487" s="64">
        <f t="shared" si="469"/>
        <v>142094.49684288359</v>
      </c>
      <c r="I487" s="64">
        <f t="shared" si="469"/>
        <v>142035.73306229507</v>
      </c>
      <c r="J487" s="64">
        <f t="shared" si="469"/>
        <v>141958.91744873839</v>
      </c>
      <c r="K487" s="64">
        <f t="shared" si="469"/>
        <v>141862.1811669876</v>
      </c>
      <c r="L487" s="64">
        <f t="shared" si="469"/>
        <v>141746.10040570208</v>
      </c>
      <c r="M487" s="64">
        <f t="shared" si="469"/>
        <v>141614.83933910253</v>
      </c>
      <c r="N487" s="64">
        <f t="shared" si="469"/>
        <v>141476.267569644</v>
      </c>
      <c r="O487" s="64">
        <f t="shared" si="469"/>
        <v>141340.42263341718</v>
      </c>
      <c r="P487" s="64">
        <f t="shared" si="469"/>
        <v>141216.76019179827</v>
      </c>
      <c r="Q487" s="64">
        <f t="shared" si="469"/>
        <v>141111.66472629251</v>
      </c>
      <c r="R487" s="64">
        <f t="shared" si="469"/>
        <v>141027.50207995391</v>
      </c>
      <c r="S487" s="64">
        <f t="shared" si="469"/>
        <v>140963.28224539271</v>
      </c>
      <c r="T487" s="64">
        <f t="shared" si="469"/>
        <v>140916.07551655208</v>
      </c>
      <c r="U487" s="64">
        <f t="shared" si="469"/>
        <v>140882.32338835494</v>
      </c>
      <c r="V487" s="64">
        <f t="shared" si="469"/>
        <v>140858.66813099122</v>
      </c>
      <c r="W487" s="64">
        <f t="shared" si="469"/>
        <v>140842.32089418714</v>
      </c>
      <c r="X487" s="64">
        <f t="shared" si="469"/>
        <v>140831.13366542809</v>
      </c>
      <c r="Y487" s="64">
        <f t="shared" si="469"/>
        <v>140823.52878688183</v>
      </c>
      <c r="Z487" s="64">
        <f t="shared" si="469"/>
        <v>140818.38265019213</v>
      </c>
      <c r="AA487" s="64">
        <f t="shared" si="469"/>
        <v>140814.91106100858</v>
      </c>
      <c r="AB487" s="64">
        <f t="shared" si="469"/>
        <v>140812.57400441563</v>
      </c>
      <c r="AC487" s="64">
        <f t="shared" si="469"/>
        <v>140811.00291901507</v>
      </c>
    </row>
    <row r="488" spans="1:29" ht="15.75" thickBot="1" x14ac:dyDescent="0.3">
      <c r="AC488" s="32"/>
    </row>
    <row r="489" spans="1:29" ht="15.75" thickBot="1" x14ac:dyDescent="0.3">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470">A478</f>
        <v>Capex vehicle</v>
      </c>
      <c r="B490" s="65">
        <f>((1+B463)^B470)*B463/(((1+B463)^B470)-1)*(B459)/B475</f>
        <v>0.18811149073462458</v>
      </c>
      <c r="C490" s="65">
        <f t="shared" ref="C490:AC490" si="471">((1+C463)^C470)*C463/(((1+C463)^C470)-1)*(C459)/C475</f>
        <v>0.1882126349758082</v>
      </c>
      <c r="D490" s="65">
        <f t="shared" si="471"/>
        <v>0.18835624529908107</v>
      </c>
      <c r="E490" s="65">
        <f t="shared" si="471"/>
        <v>0.18855922469095635</v>
      </c>
      <c r="F490" s="65">
        <f t="shared" si="471"/>
        <v>0.18884420409509767</v>
      </c>
      <c r="G490" s="65">
        <f t="shared" si="471"/>
        <v>0.18924042891758119</v>
      </c>
      <c r="H490" s="65">
        <f t="shared" si="471"/>
        <v>0.1897836383264061</v>
      </c>
      <c r="I490" s="65">
        <f t="shared" si="471"/>
        <v>0.19051365356389974</v>
      </c>
      <c r="J490" s="65">
        <f t="shared" si="471"/>
        <v>0.19146792450787609</v>
      </c>
      <c r="K490" s="65">
        <f t="shared" si="471"/>
        <v>0.19266966746909009</v>
      </c>
      <c r="L490" s="65">
        <f t="shared" si="471"/>
        <v>0.19411172452650977</v>
      </c>
      <c r="M490" s="65">
        <f t="shared" si="471"/>
        <v>0.1957423646546245</v>
      </c>
      <c r="N490" s="65">
        <f t="shared" si="471"/>
        <v>0.19746382474752719</v>
      </c>
      <c r="O490" s="65">
        <f t="shared" si="471"/>
        <v>0.19915140972570233</v>
      </c>
      <c r="P490" s="65">
        <f t="shared" si="471"/>
        <v>0.20068765306783248</v>
      </c>
      <c r="Q490" s="65">
        <f t="shared" si="471"/>
        <v>0.20199324114338427</v>
      </c>
      <c r="R490" s="65">
        <f t="shared" si="471"/>
        <v>0.20303878337432443</v>
      </c>
      <c r="S490" s="65">
        <f t="shared" si="471"/>
        <v>0.20383657850100745</v>
      </c>
      <c r="T490" s="65">
        <f t="shared" si="471"/>
        <v>0.20442302190238115</v>
      </c>
      <c r="U490" s="65">
        <f t="shared" si="471"/>
        <v>0.20484232045048348</v>
      </c>
      <c r="V490" s="65">
        <f t="shared" si="471"/>
        <v>0.20513618681084017</v>
      </c>
      <c r="W490" s="65">
        <f t="shared" si="471"/>
        <v>0.20533926652828474</v>
      </c>
      <c r="X490" s="65">
        <f t="shared" si="471"/>
        <v>0.20547824409878254</v>
      </c>
      <c r="Y490" s="65">
        <f t="shared" si="471"/>
        <v>0.20557271857204581</v>
      </c>
      <c r="Z490" s="65">
        <f t="shared" si="471"/>
        <v>0.20563664839684731</v>
      </c>
      <c r="AA490" s="65">
        <f t="shared" si="471"/>
        <v>0.20567977552340247</v>
      </c>
      <c r="AB490" s="65">
        <f t="shared" si="471"/>
        <v>0.20570880849076204</v>
      </c>
      <c r="AC490" s="65">
        <f t="shared" si="471"/>
        <v>0.20572832589196244</v>
      </c>
    </row>
    <row r="491" spans="1:29" x14ac:dyDescent="0.25">
      <c r="A491" s="30" t="str">
        <f t="shared" si="470"/>
        <v>Residual value (vehicle)</v>
      </c>
      <c r="B491" s="66">
        <f>((1+B463)^B470)*B463/(((1+B463)^B470)-1)*(B460)/B475</f>
        <v>-4.6756214725077565E-2</v>
      </c>
      <c r="C491" s="66">
        <f t="shared" ref="C491:AC491" si="472">((1+C463)^C470)*C463/(((1+C463)^C470)-1)*(C460)/C475</f>
        <v>-4.666518490801231E-2</v>
      </c>
      <c r="D491" s="66">
        <f t="shared" si="472"/>
        <v>-4.6535935617066711E-2</v>
      </c>
      <c r="E491" s="66">
        <f t="shared" si="472"/>
        <v>-4.6353254164378965E-2</v>
      </c>
      <c r="F491" s="66">
        <f t="shared" si="472"/>
        <v>-4.6096772700651795E-2</v>
      </c>
      <c r="G491" s="66">
        <f t="shared" si="472"/>
        <v>-4.5740170360416589E-2</v>
      </c>
      <c r="H491" s="66">
        <f t="shared" si="472"/>
        <v>-4.5251281892474196E-2</v>
      </c>
      <c r="I491" s="66">
        <f t="shared" si="472"/>
        <v>-4.4594268178729898E-2</v>
      </c>
      <c r="J491" s="66">
        <f t="shared" si="472"/>
        <v>-4.3735424329151194E-2</v>
      </c>
      <c r="K491" s="66">
        <f t="shared" si="472"/>
        <v>-4.2653855664058618E-2</v>
      </c>
      <c r="L491" s="66">
        <f t="shared" si="472"/>
        <v>-4.1356004312380908E-2</v>
      </c>
      <c r="M491" s="66">
        <f t="shared" si="472"/>
        <v>-3.9888428197077622E-2</v>
      </c>
      <c r="N491" s="66">
        <f t="shared" si="472"/>
        <v>-3.8339114113465224E-2</v>
      </c>
      <c r="O491" s="66">
        <f t="shared" si="472"/>
        <v>-3.6820287633107608E-2</v>
      </c>
      <c r="P491" s="66">
        <f t="shared" si="472"/>
        <v>-3.5437668625190467E-2</v>
      </c>
      <c r="Q491" s="66">
        <f t="shared" si="472"/>
        <v>-3.4262639357193855E-2</v>
      </c>
      <c r="R491" s="66">
        <f t="shared" si="472"/>
        <v>-3.3321651349347711E-2</v>
      </c>
      <c r="S491" s="66">
        <f t="shared" si="472"/>
        <v>-3.2603635735332981E-2</v>
      </c>
      <c r="T491" s="66">
        <f t="shared" si="472"/>
        <v>-3.2075836674096664E-2</v>
      </c>
      <c r="U491" s="66">
        <f t="shared" si="472"/>
        <v>-3.1698467980804564E-2</v>
      </c>
      <c r="V491" s="66">
        <f t="shared" si="472"/>
        <v>-3.1433988256483539E-2</v>
      </c>
      <c r="W491" s="66">
        <f t="shared" si="472"/>
        <v>-3.1251216510783407E-2</v>
      </c>
      <c r="X491" s="66">
        <f t="shared" si="472"/>
        <v>-3.1126136697335372E-2</v>
      </c>
      <c r="Y491" s="66">
        <f t="shared" si="472"/>
        <v>-3.1041109671398458E-2</v>
      </c>
      <c r="Z491" s="66">
        <f t="shared" si="472"/>
        <v>-3.09835728290771E-2</v>
      </c>
      <c r="AA491" s="66">
        <f t="shared" si="472"/>
        <v>-3.0944758415177475E-2</v>
      </c>
      <c r="AB491" s="66">
        <f t="shared" si="472"/>
        <v>-3.0918628744553887E-2</v>
      </c>
      <c r="AC491" s="66">
        <f t="shared" si="472"/>
        <v>-3.0901063083473467E-2</v>
      </c>
    </row>
    <row r="492" spans="1:29" x14ac:dyDescent="0.25">
      <c r="A492" s="30" t="str">
        <f t="shared" si="470"/>
        <v>Capex costumization</v>
      </c>
      <c r="B492" s="66">
        <f>((1+B463)^B471)*B463/(((1+B463)^B471)-1)*(B461)/B475</f>
        <v>5.2837539307926999E-2</v>
      </c>
      <c r="C492" s="66">
        <f t="shared" ref="C492:AC492" si="473">((1+C463)^C471)*C463/(((1+C463)^C471)-1)*(C461)/C475</f>
        <v>5.2837539307926999E-2</v>
      </c>
      <c r="D492" s="66">
        <f t="shared" si="473"/>
        <v>5.2837539307926999E-2</v>
      </c>
      <c r="E492" s="66">
        <f t="shared" si="473"/>
        <v>5.2837539307926999E-2</v>
      </c>
      <c r="F492" s="66">
        <f t="shared" si="473"/>
        <v>5.2837539307926999E-2</v>
      </c>
      <c r="G492" s="66">
        <f t="shared" si="473"/>
        <v>5.2837539307926999E-2</v>
      </c>
      <c r="H492" s="66">
        <f t="shared" si="473"/>
        <v>5.2837539307926999E-2</v>
      </c>
      <c r="I492" s="66">
        <f t="shared" si="473"/>
        <v>5.2837539307926999E-2</v>
      </c>
      <c r="J492" s="66">
        <f t="shared" si="473"/>
        <v>5.2837539307926999E-2</v>
      </c>
      <c r="K492" s="66">
        <f t="shared" si="473"/>
        <v>5.2837539307926999E-2</v>
      </c>
      <c r="L492" s="66">
        <f t="shared" si="473"/>
        <v>5.2837539307926999E-2</v>
      </c>
      <c r="M492" s="66">
        <f t="shared" si="473"/>
        <v>5.2837539307926999E-2</v>
      </c>
      <c r="N492" s="66">
        <f t="shared" si="473"/>
        <v>5.2837539307926999E-2</v>
      </c>
      <c r="O492" s="66">
        <f t="shared" si="473"/>
        <v>5.2837539307926999E-2</v>
      </c>
      <c r="P492" s="66">
        <f t="shared" si="473"/>
        <v>5.2837539307926999E-2</v>
      </c>
      <c r="Q492" s="66">
        <f t="shared" si="473"/>
        <v>5.2837539307926999E-2</v>
      </c>
      <c r="R492" s="66">
        <f t="shared" si="473"/>
        <v>5.2837539307926999E-2</v>
      </c>
      <c r="S492" s="66">
        <f t="shared" si="473"/>
        <v>5.2837539307926999E-2</v>
      </c>
      <c r="T492" s="66">
        <f t="shared" si="473"/>
        <v>5.2837539307926999E-2</v>
      </c>
      <c r="U492" s="66">
        <f t="shared" si="473"/>
        <v>5.2837539307926999E-2</v>
      </c>
      <c r="V492" s="66">
        <f t="shared" si="473"/>
        <v>5.2837539307926999E-2</v>
      </c>
      <c r="W492" s="66">
        <f t="shared" si="473"/>
        <v>5.2837539307926999E-2</v>
      </c>
      <c r="X492" s="66">
        <f t="shared" si="473"/>
        <v>5.2837539307926999E-2</v>
      </c>
      <c r="Y492" s="66">
        <f t="shared" si="473"/>
        <v>5.2837539307926999E-2</v>
      </c>
      <c r="Z492" s="66">
        <f t="shared" si="473"/>
        <v>5.2837539307926999E-2</v>
      </c>
      <c r="AA492" s="66">
        <f t="shared" si="473"/>
        <v>5.2837539307926999E-2</v>
      </c>
      <c r="AB492" s="66">
        <f t="shared" si="473"/>
        <v>5.2837539307926999E-2</v>
      </c>
      <c r="AC492" s="66">
        <f t="shared" si="473"/>
        <v>5.2837539307926999E-2</v>
      </c>
    </row>
    <row r="493" spans="1:29" x14ac:dyDescent="0.25">
      <c r="A493" s="30" t="str">
        <f t="shared" si="470"/>
        <v>Residual value (costumization)</v>
      </c>
      <c r="B493" s="66">
        <f>((1+B463)^B471)*B463/(((1+B463)^B471)-1)*(B462)/B475</f>
        <v>-1.320938482698175E-2</v>
      </c>
      <c r="C493" s="66">
        <f t="shared" ref="C493:AC493" si="474">((1+C463)^C471)*C463/(((1+C463)^C471)-1)*(C462)/C475</f>
        <v>-1.320938482698175E-2</v>
      </c>
      <c r="D493" s="66">
        <f t="shared" si="474"/>
        <v>-1.320938482698175E-2</v>
      </c>
      <c r="E493" s="66">
        <f t="shared" si="474"/>
        <v>-1.320938482698175E-2</v>
      </c>
      <c r="F493" s="66">
        <f t="shared" si="474"/>
        <v>-1.320938482698175E-2</v>
      </c>
      <c r="G493" s="66">
        <f t="shared" si="474"/>
        <v>-1.320938482698175E-2</v>
      </c>
      <c r="H493" s="66">
        <f t="shared" si="474"/>
        <v>-1.320938482698175E-2</v>
      </c>
      <c r="I493" s="66">
        <f t="shared" si="474"/>
        <v>-1.320938482698175E-2</v>
      </c>
      <c r="J493" s="66">
        <f t="shared" si="474"/>
        <v>-1.320938482698175E-2</v>
      </c>
      <c r="K493" s="66">
        <f t="shared" si="474"/>
        <v>-1.320938482698175E-2</v>
      </c>
      <c r="L493" s="66">
        <f t="shared" si="474"/>
        <v>-1.320938482698175E-2</v>
      </c>
      <c r="M493" s="66">
        <f t="shared" si="474"/>
        <v>-1.320938482698175E-2</v>
      </c>
      <c r="N493" s="66">
        <f t="shared" si="474"/>
        <v>-1.320938482698175E-2</v>
      </c>
      <c r="O493" s="66">
        <f t="shared" si="474"/>
        <v>-1.320938482698175E-2</v>
      </c>
      <c r="P493" s="66">
        <f t="shared" si="474"/>
        <v>-1.320938482698175E-2</v>
      </c>
      <c r="Q493" s="66">
        <f t="shared" si="474"/>
        <v>-1.320938482698175E-2</v>
      </c>
      <c r="R493" s="66">
        <f t="shared" si="474"/>
        <v>-1.320938482698175E-2</v>
      </c>
      <c r="S493" s="66">
        <f t="shared" si="474"/>
        <v>-1.320938482698175E-2</v>
      </c>
      <c r="T493" s="66">
        <f t="shared" si="474"/>
        <v>-1.320938482698175E-2</v>
      </c>
      <c r="U493" s="66">
        <f t="shared" si="474"/>
        <v>-1.320938482698175E-2</v>
      </c>
      <c r="V493" s="66">
        <f t="shared" si="474"/>
        <v>-1.320938482698175E-2</v>
      </c>
      <c r="W493" s="66">
        <f t="shared" si="474"/>
        <v>-1.320938482698175E-2</v>
      </c>
      <c r="X493" s="66">
        <f t="shared" si="474"/>
        <v>-1.320938482698175E-2</v>
      </c>
      <c r="Y493" s="66">
        <f t="shared" si="474"/>
        <v>-1.320938482698175E-2</v>
      </c>
      <c r="Z493" s="66">
        <f t="shared" si="474"/>
        <v>-1.320938482698175E-2</v>
      </c>
      <c r="AA493" s="66">
        <f t="shared" si="474"/>
        <v>-1.320938482698175E-2</v>
      </c>
      <c r="AB493" s="66">
        <f t="shared" si="474"/>
        <v>-1.320938482698175E-2</v>
      </c>
      <c r="AC493" s="66">
        <f t="shared" si="474"/>
        <v>-1.320938482698175E-2</v>
      </c>
    </row>
    <row r="494" spans="1:29" x14ac:dyDescent="0.25">
      <c r="A494" s="30" t="str">
        <f t="shared" si="470"/>
        <v>Opex fix (admin, crew, insurance)</v>
      </c>
      <c r="B494" s="66">
        <f>B464/B475</f>
        <v>0.77777777777777779</v>
      </c>
      <c r="C494" s="66">
        <f t="shared" ref="C494:AC494" si="475">C464/C475</f>
        <v>0.77777777777777779</v>
      </c>
      <c r="D494" s="66">
        <f t="shared" si="475"/>
        <v>0.77777777777777779</v>
      </c>
      <c r="E494" s="66">
        <f t="shared" si="475"/>
        <v>0.77777777777777779</v>
      </c>
      <c r="F494" s="66">
        <f t="shared" si="475"/>
        <v>0.77777777777777779</v>
      </c>
      <c r="G494" s="66">
        <f t="shared" si="475"/>
        <v>0.77777777777777779</v>
      </c>
      <c r="H494" s="66">
        <f t="shared" si="475"/>
        <v>0.77777777777777779</v>
      </c>
      <c r="I494" s="66">
        <f t="shared" si="475"/>
        <v>0.77777777777777779</v>
      </c>
      <c r="J494" s="66">
        <f t="shared" si="475"/>
        <v>0.77777777777777779</v>
      </c>
      <c r="K494" s="66">
        <f t="shared" si="475"/>
        <v>0.77777777777777779</v>
      </c>
      <c r="L494" s="66">
        <f t="shared" si="475"/>
        <v>0.77777777777777779</v>
      </c>
      <c r="M494" s="66">
        <f t="shared" si="475"/>
        <v>0.77777777777777779</v>
      </c>
      <c r="N494" s="66">
        <f t="shared" si="475"/>
        <v>0.77777777777777779</v>
      </c>
      <c r="O494" s="66">
        <f t="shared" si="475"/>
        <v>0.77777777777777779</v>
      </c>
      <c r="P494" s="66">
        <f t="shared" si="475"/>
        <v>0.77777777777777779</v>
      </c>
      <c r="Q494" s="66">
        <f t="shared" si="475"/>
        <v>0.77777777777777779</v>
      </c>
      <c r="R494" s="66">
        <f t="shared" si="475"/>
        <v>0.77777777777777779</v>
      </c>
      <c r="S494" s="66">
        <f t="shared" si="475"/>
        <v>0.77777777777777779</v>
      </c>
      <c r="T494" s="66">
        <f t="shared" si="475"/>
        <v>0.77777777777777779</v>
      </c>
      <c r="U494" s="66">
        <f t="shared" si="475"/>
        <v>0.77777777777777779</v>
      </c>
      <c r="V494" s="66">
        <f t="shared" si="475"/>
        <v>0.77777777777777779</v>
      </c>
      <c r="W494" s="66">
        <f t="shared" si="475"/>
        <v>0.77777777777777779</v>
      </c>
      <c r="X494" s="66">
        <f t="shared" si="475"/>
        <v>0.77777777777777779</v>
      </c>
      <c r="Y494" s="66">
        <f t="shared" si="475"/>
        <v>0.77777777777777779</v>
      </c>
      <c r="Z494" s="66">
        <f t="shared" si="475"/>
        <v>0.77777777777777779</v>
      </c>
      <c r="AA494" s="66">
        <f t="shared" si="475"/>
        <v>0.77777777777777779</v>
      </c>
      <c r="AB494" s="66">
        <f t="shared" si="475"/>
        <v>0.77777777777777779</v>
      </c>
      <c r="AC494" s="66">
        <f t="shared" si="475"/>
        <v>0.77777777777777779</v>
      </c>
    </row>
    <row r="495" spans="1:29" x14ac:dyDescent="0.25">
      <c r="A495" s="30" t="str">
        <f t="shared" si="470"/>
        <v>Opex maintenance &amp; repair</v>
      </c>
      <c r="B495" s="66">
        <f>B465/B475</f>
        <v>0.22222222222222221</v>
      </c>
      <c r="C495" s="66">
        <f t="shared" ref="C495:AC495" si="476">C465/C475</f>
        <v>0.22222222222222221</v>
      </c>
      <c r="D495" s="66">
        <f t="shared" si="476"/>
        <v>0.22222222222222221</v>
      </c>
      <c r="E495" s="66">
        <f t="shared" si="476"/>
        <v>0.22222222222222221</v>
      </c>
      <c r="F495" s="66">
        <f t="shared" si="476"/>
        <v>0.22222222222222221</v>
      </c>
      <c r="G495" s="66">
        <f t="shared" si="476"/>
        <v>0.22222222222222221</v>
      </c>
      <c r="H495" s="66">
        <f t="shared" si="476"/>
        <v>0.22222222222222221</v>
      </c>
      <c r="I495" s="66">
        <f t="shared" si="476"/>
        <v>0.22222222222222221</v>
      </c>
      <c r="J495" s="66">
        <f t="shared" si="476"/>
        <v>0.22222222222222221</v>
      </c>
      <c r="K495" s="66">
        <f t="shared" si="476"/>
        <v>0.22222222222222221</v>
      </c>
      <c r="L495" s="66">
        <f t="shared" si="476"/>
        <v>0.22222222222222221</v>
      </c>
      <c r="M495" s="66">
        <f t="shared" si="476"/>
        <v>0.22222222222222221</v>
      </c>
      <c r="N495" s="66">
        <f t="shared" si="476"/>
        <v>0.22222222222222221</v>
      </c>
      <c r="O495" s="66">
        <f t="shared" si="476"/>
        <v>0.22222222222222221</v>
      </c>
      <c r="P495" s="66">
        <f t="shared" si="476"/>
        <v>0.22222222222222221</v>
      </c>
      <c r="Q495" s="66">
        <f t="shared" si="476"/>
        <v>0.22222222222222221</v>
      </c>
      <c r="R495" s="66">
        <f t="shared" si="476"/>
        <v>0.22222222222222221</v>
      </c>
      <c r="S495" s="66">
        <f t="shared" si="476"/>
        <v>0.22222222222222221</v>
      </c>
      <c r="T495" s="66">
        <f t="shared" si="476"/>
        <v>0.22222222222222221</v>
      </c>
      <c r="U495" s="66">
        <f t="shared" si="476"/>
        <v>0.22222222222222221</v>
      </c>
      <c r="V495" s="66">
        <f t="shared" si="476"/>
        <v>0.22222222222222221</v>
      </c>
      <c r="W495" s="66">
        <f t="shared" si="476"/>
        <v>0.22222222222222221</v>
      </c>
      <c r="X495" s="66">
        <f t="shared" si="476"/>
        <v>0.22222222222222221</v>
      </c>
      <c r="Y495" s="66">
        <f t="shared" si="476"/>
        <v>0.22222222222222221</v>
      </c>
      <c r="Z495" s="66">
        <f t="shared" si="476"/>
        <v>0.22222222222222221</v>
      </c>
      <c r="AA495" s="66">
        <f t="shared" si="476"/>
        <v>0.22222222222222221</v>
      </c>
      <c r="AB495" s="66">
        <f t="shared" si="476"/>
        <v>0.22222222222222221</v>
      </c>
      <c r="AC495" s="66">
        <f t="shared" si="476"/>
        <v>0.22222222222222221</v>
      </c>
    </row>
    <row r="496" spans="1:29" x14ac:dyDescent="0.25">
      <c r="A496" s="30" t="str">
        <f t="shared" si="470"/>
        <v>Opex var (mode-fees)</v>
      </c>
      <c r="B496" s="66">
        <f>B466*B475/B475</f>
        <v>0.11</v>
      </c>
      <c r="C496" s="66">
        <f t="shared" ref="C496:AC496" si="477">C466*C475/C475</f>
        <v>0.11</v>
      </c>
      <c r="D496" s="66">
        <f t="shared" si="477"/>
        <v>0.11</v>
      </c>
      <c r="E496" s="66">
        <f t="shared" si="477"/>
        <v>0.11</v>
      </c>
      <c r="F496" s="66">
        <f t="shared" si="477"/>
        <v>0.11</v>
      </c>
      <c r="G496" s="66">
        <f t="shared" si="477"/>
        <v>0.11</v>
      </c>
      <c r="H496" s="66">
        <f t="shared" si="477"/>
        <v>0.11</v>
      </c>
      <c r="I496" s="66">
        <f t="shared" si="477"/>
        <v>0.11</v>
      </c>
      <c r="J496" s="66">
        <f t="shared" si="477"/>
        <v>0.11</v>
      </c>
      <c r="K496" s="66">
        <f t="shared" si="477"/>
        <v>0.11</v>
      </c>
      <c r="L496" s="66">
        <f t="shared" si="477"/>
        <v>0.11</v>
      </c>
      <c r="M496" s="66">
        <f t="shared" si="477"/>
        <v>0.11</v>
      </c>
      <c r="N496" s="66">
        <f t="shared" si="477"/>
        <v>0.11</v>
      </c>
      <c r="O496" s="66">
        <f t="shared" si="477"/>
        <v>0.11</v>
      </c>
      <c r="P496" s="66">
        <f t="shared" si="477"/>
        <v>0.11</v>
      </c>
      <c r="Q496" s="66">
        <f t="shared" si="477"/>
        <v>0.11</v>
      </c>
      <c r="R496" s="66">
        <f t="shared" si="477"/>
        <v>0.11</v>
      </c>
      <c r="S496" s="66">
        <f t="shared" si="477"/>
        <v>0.11</v>
      </c>
      <c r="T496" s="66">
        <f t="shared" si="477"/>
        <v>0.11</v>
      </c>
      <c r="U496" s="66">
        <f t="shared" si="477"/>
        <v>0.11</v>
      </c>
      <c r="V496" s="66">
        <f t="shared" si="477"/>
        <v>0.11</v>
      </c>
      <c r="W496" s="66">
        <f t="shared" si="477"/>
        <v>0.11</v>
      </c>
      <c r="X496" s="66">
        <f t="shared" si="477"/>
        <v>0.11</v>
      </c>
      <c r="Y496" s="66">
        <f t="shared" si="477"/>
        <v>0.11</v>
      </c>
      <c r="Z496" s="66">
        <f t="shared" si="477"/>
        <v>0.11</v>
      </c>
      <c r="AA496" s="66">
        <f t="shared" si="477"/>
        <v>0.11</v>
      </c>
      <c r="AB496" s="66">
        <f t="shared" si="477"/>
        <v>0.11</v>
      </c>
      <c r="AC496" s="66">
        <f t="shared" si="477"/>
        <v>0.11</v>
      </c>
    </row>
    <row r="497" spans="1:29" x14ac:dyDescent="0.25">
      <c r="A497" s="30" t="str">
        <f t="shared" si="470"/>
        <v>Fuel Cost</v>
      </c>
      <c r="B497" s="66">
        <f>B467*B468*B475/B475</f>
        <v>0.28933989307874186</v>
      </c>
      <c r="C497" s="66">
        <f t="shared" ref="C497:AC497" si="478">C467*C468*C475/C475</f>
        <v>0.28905725488142914</v>
      </c>
      <c r="D497" s="66">
        <f t="shared" si="478"/>
        <v>0.28865594915793602</v>
      </c>
      <c r="E497" s="66">
        <f t="shared" si="478"/>
        <v>0.28808874208079643</v>
      </c>
      <c r="F497" s="66">
        <f t="shared" si="478"/>
        <v>0.28729239357775571</v>
      </c>
      <c r="G497" s="66">
        <f t="shared" si="478"/>
        <v>0.28618518007507071</v>
      </c>
      <c r="H497" s="66">
        <f t="shared" si="478"/>
        <v>0.28466723178382919</v>
      </c>
      <c r="I497" s="66">
        <f t="shared" si="478"/>
        <v>0.28262727193716353</v>
      </c>
      <c r="J497" s="66">
        <f t="shared" si="478"/>
        <v>0.27996065032631196</v>
      </c>
      <c r="K497" s="66">
        <f t="shared" si="478"/>
        <v>0.27660249112499669</v>
      </c>
      <c r="L497" s="66">
        <f t="shared" si="478"/>
        <v>0.27257279647939331</v>
      </c>
      <c r="M497" s="66">
        <f t="shared" si="478"/>
        <v>0.26801612394042479</v>
      </c>
      <c r="N497" s="66">
        <f t="shared" si="478"/>
        <v>0.26320566343659263</v>
      </c>
      <c r="O497" s="66">
        <f t="shared" si="478"/>
        <v>0.25848986379776195</v>
      </c>
      <c r="P497" s="66">
        <f t="shared" si="478"/>
        <v>0.2541969743186156</v>
      </c>
      <c r="Q497" s="66">
        <f t="shared" si="478"/>
        <v>0.25054862958055885</v>
      </c>
      <c r="R497" s="66">
        <f t="shared" si="478"/>
        <v>0.24762695882689909</v>
      </c>
      <c r="S497" s="66">
        <f t="shared" si="478"/>
        <v>0.24539759436885497</v>
      </c>
      <c r="T497" s="66">
        <f t="shared" si="478"/>
        <v>0.24375883269690463</v>
      </c>
      <c r="U497" s="66">
        <f t="shared" si="478"/>
        <v>0.24258714180887508</v>
      </c>
      <c r="V497" s="66">
        <f t="shared" si="478"/>
        <v>0.24176595953126731</v>
      </c>
      <c r="W497" s="66">
        <f t="shared" si="478"/>
        <v>0.24119847210363288</v>
      </c>
      <c r="X497" s="66">
        <f t="shared" si="478"/>
        <v>0.24081011217791951</v>
      </c>
      <c r="Y497" s="66">
        <f t="shared" si="478"/>
        <v>0.24054611202820542</v>
      </c>
      <c r="Z497" s="66">
        <f t="shared" si="478"/>
        <v>0.24036746606453044</v>
      </c>
      <c r="AA497" s="66">
        <f t="shared" si="478"/>
        <v>0.2402469513109253</v>
      </c>
      <c r="AB497" s="66">
        <f t="shared" si="478"/>
        <v>0.24016582137746478</v>
      </c>
      <c r="AC497" s="66">
        <f t="shared" si="478"/>
        <v>0.24011128181073338</v>
      </c>
    </row>
    <row r="498" spans="1:29" ht="15.75" thickBot="1" x14ac:dyDescent="0.3">
      <c r="A498" s="59" t="str">
        <f>A449</f>
        <v>Emission Cost</v>
      </c>
      <c r="B498" s="66">
        <f>B469</f>
        <v>7.7639122778339092E-2</v>
      </c>
      <c r="C498" s="66">
        <f t="shared" ref="C498:AC498" si="479">C469</f>
        <v>7.777844914537467E-2</v>
      </c>
      <c r="D498" s="66">
        <f t="shared" si="479"/>
        <v>7.7977891736541474E-2</v>
      </c>
      <c r="E498" s="66">
        <f t="shared" si="479"/>
        <v>7.8263208388635597E-2</v>
      </c>
      <c r="F498" s="66">
        <f t="shared" si="479"/>
        <v>7.8670988842723152E-2</v>
      </c>
      <c r="G498" s="66">
        <f t="shared" si="479"/>
        <v>7.925297967571665E-2</v>
      </c>
      <c r="H498" s="66">
        <f t="shared" si="479"/>
        <v>8.0081877399879431E-2</v>
      </c>
      <c r="I498" s="66">
        <f t="shared" si="479"/>
        <v>8.1258793344219593E-2</v>
      </c>
      <c r="J498" s="66">
        <f t="shared" si="479"/>
        <v>8.2922250937142977E-2</v>
      </c>
      <c r="K498" s="66">
        <f t="shared" si="479"/>
        <v>8.5257715386346467E-2</v>
      </c>
      <c r="L498" s="66">
        <f t="shared" si="479"/>
        <v>8.8504858770587308E-2</v>
      </c>
      <c r="M498" s="66">
        <f t="shared" si="479"/>
        <v>9.2956570874505887E-2</v>
      </c>
      <c r="N498" s="66">
        <f t="shared" si="479"/>
        <v>9.8939194915988959E-2</v>
      </c>
      <c r="O498" s="66">
        <f t="shared" si="479"/>
        <v>0.10675964029617348</v>
      </c>
      <c r="P498" s="66">
        <f t="shared" si="479"/>
        <v>0.11660816942568256</v>
      </c>
      <c r="Q498" s="66">
        <f t="shared" si="479"/>
        <v>0.12842612167902054</v>
      </c>
      <c r="R498" s="66">
        <f t="shared" si="479"/>
        <v>0.14178955073148763</v>
      </c>
      <c r="S498" s="66">
        <f t="shared" si="479"/>
        <v>0.15589726795340736</v>
      </c>
      <c r="T498" s="66">
        <f t="shared" si="479"/>
        <v>0.16972737168814467</v>
      </c>
      <c r="U498" s="66">
        <f t="shared" si="479"/>
        <v>0.18231719979056973</v>
      </c>
      <c r="V498" s="66">
        <f t="shared" si="479"/>
        <v>0.19301676085163266</v>
      </c>
      <c r="W498" s="66">
        <f t="shared" si="479"/>
        <v>0.20158519307872402</v>
      </c>
      <c r="X498" s="66">
        <f t="shared" si="479"/>
        <v>0.20812328716215528</v>
      </c>
      <c r="Y498" s="66">
        <f t="shared" si="479"/>
        <v>0.21292931066938076</v>
      </c>
      <c r="Z498" s="66">
        <f t="shared" si="479"/>
        <v>0.21636554794991802</v>
      </c>
      <c r="AA498" s="66">
        <f t="shared" si="479"/>
        <v>0.21877384282125395</v>
      </c>
      <c r="AB498" s="66">
        <f t="shared" si="479"/>
        <v>0.22043812260271833</v>
      </c>
      <c r="AC498" s="66">
        <f t="shared" si="479"/>
        <v>0.22157707219141698</v>
      </c>
    </row>
    <row r="499" spans="1:29" ht="15.75" thickBot="1" x14ac:dyDescent="0.3">
      <c r="A499" s="31" t="s">
        <v>63</v>
      </c>
      <c r="B499" s="76">
        <f>B490+B491+B492-B493+B494+B495+B496+B497</f>
        <v>1.6067420932231977</v>
      </c>
      <c r="C499" s="67">
        <f t="shared" ref="C499:AC499" si="480">C490+C491+C492-C493+C494+C495+C496+C497</f>
        <v>1.6066516290841339</v>
      </c>
      <c r="D499" s="67">
        <f t="shared" si="480"/>
        <v>1.606523182974859</v>
      </c>
      <c r="E499" s="67">
        <f t="shared" si="480"/>
        <v>1.6063416367422827</v>
      </c>
      <c r="F499" s="67">
        <f t="shared" si="480"/>
        <v>1.6060867491071105</v>
      </c>
      <c r="G499" s="67">
        <f t="shared" si="480"/>
        <v>1.6057323627671443</v>
      </c>
      <c r="H499" s="67">
        <f t="shared" si="480"/>
        <v>1.60524651235267</v>
      </c>
      <c r="I499" s="67">
        <f t="shared" si="480"/>
        <v>1.6045935814572423</v>
      </c>
      <c r="J499" s="67">
        <f t="shared" si="480"/>
        <v>1.6037400746399457</v>
      </c>
      <c r="K499" s="67">
        <f t="shared" si="480"/>
        <v>1.6026652270649369</v>
      </c>
      <c r="L499" s="67">
        <f t="shared" si="480"/>
        <v>1.6013754408284311</v>
      </c>
      <c r="M499" s="67">
        <f t="shared" si="480"/>
        <v>1.5999169845328807</v>
      </c>
      <c r="N499" s="67">
        <f t="shared" si="480"/>
        <v>1.5983772982055635</v>
      </c>
      <c r="O499" s="67">
        <f t="shared" si="480"/>
        <v>1.5968679100252654</v>
      </c>
      <c r="P499" s="67">
        <f t="shared" si="480"/>
        <v>1.5954938828961667</v>
      </c>
      <c r="Q499" s="67">
        <f t="shared" si="480"/>
        <v>1.5943261555016579</v>
      </c>
      <c r="R499" s="67">
        <f t="shared" si="480"/>
        <v>1.5933910149867849</v>
      </c>
      <c r="S499" s="67">
        <f t="shared" si="480"/>
        <v>1.5926774612694383</v>
      </c>
      <c r="T499" s="67">
        <f t="shared" si="480"/>
        <v>1.5921529420600979</v>
      </c>
      <c r="U499" s="67">
        <f t="shared" si="480"/>
        <v>1.5917779184134626</v>
      </c>
      <c r="V499" s="67">
        <f t="shared" si="480"/>
        <v>1.5915150822205331</v>
      </c>
      <c r="W499" s="67">
        <f t="shared" si="480"/>
        <v>1.5913334462560431</v>
      </c>
      <c r="X499" s="67">
        <f t="shared" si="480"/>
        <v>1.5912091437142755</v>
      </c>
      <c r="Y499" s="67">
        <f t="shared" si="480"/>
        <v>1.5911246450637617</v>
      </c>
      <c r="Z499" s="67">
        <f t="shared" si="480"/>
        <v>1.5910674657672097</v>
      </c>
      <c r="AA499" s="67">
        <f t="shared" si="480"/>
        <v>1.5910288925540592</v>
      </c>
      <c r="AB499" s="67">
        <f t="shared" si="480"/>
        <v>1.5910029252585818</v>
      </c>
      <c r="AC499" s="67">
        <f t="shared" si="480"/>
        <v>1.5909854687541314</v>
      </c>
    </row>
    <row r="500" spans="1:29" ht="15.75" thickBot="1" x14ac:dyDescent="0.3"/>
    <row r="501" spans="1:29" ht="15.75" thickBot="1" x14ac:dyDescent="0.3">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481">A478</f>
        <v>Capex vehicle</v>
      </c>
      <c r="B502" s="65">
        <f>((1+B463)^B470)*B463/(((1+B463)^B470)-1)*(B459)/B475/(B472)</f>
        <v>7.5244596293849832E-3</v>
      </c>
      <c r="C502" s="65">
        <f t="shared" ref="C502:AC502" si="482">((1+C463)^C470)*C463/(((1+C463)^C470)-1)*(C459)/C475/(C472)</f>
        <v>7.5285053990323285E-3</v>
      </c>
      <c r="D502" s="65">
        <f t="shared" si="482"/>
        <v>7.534249811963243E-3</v>
      </c>
      <c r="E502" s="65">
        <f t="shared" si="482"/>
        <v>7.542368987638254E-3</v>
      </c>
      <c r="F502" s="65">
        <f t="shared" si="482"/>
        <v>7.5537681638039068E-3</v>
      </c>
      <c r="G502" s="65">
        <f t="shared" si="482"/>
        <v>7.5696171567032474E-3</v>
      </c>
      <c r="H502" s="65">
        <f t="shared" si="482"/>
        <v>7.5913455330562443E-3</v>
      </c>
      <c r="I502" s="65">
        <f t="shared" si="482"/>
        <v>7.6205461425559893E-3</v>
      </c>
      <c r="J502" s="65">
        <f t="shared" si="482"/>
        <v>7.6587169803150439E-3</v>
      </c>
      <c r="K502" s="65">
        <f t="shared" si="482"/>
        <v>7.7067866987636036E-3</v>
      </c>
      <c r="L502" s="65">
        <f t="shared" si="482"/>
        <v>7.764468981060391E-3</v>
      </c>
      <c r="M502" s="65">
        <f t="shared" si="482"/>
        <v>7.8296945861849807E-3</v>
      </c>
      <c r="N502" s="65">
        <f t="shared" si="482"/>
        <v>7.8985529899010878E-3</v>
      </c>
      <c r="O502" s="65">
        <f t="shared" si="482"/>
        <v>7.9660563890280936E-3</v>
      </c>
      <c r="P502" s="65">
        <f t="shared" si="482"/>
        <v>8.0275061227132998E-3</v>
      </c>
      <c r="Q502" s="65">
        <f t="shared" si="482"/>
        <v>8.0797296457353705E-3</v>
      </c>
      <c r="R502" s="65">
        <f t="shared" si="482"/>
        <v>8.1215513349729776E-3</v>
      </c>
      <c r="S502" s="65">
        <f t="shared" si="482"/>
        <v>8.1534631400402985E-3</v>
      </c>
      <c r="T502" s="65">
        <f t="shared" si="482"/>
        <v>8.1769208760952457E-3</v>
      </c>
      <c r="U502" s="65">
        <f t="shared" si="482"/>
        <v>8.1936928180193387E-3</v>
      </c>
      <c r="V502" s="65">
        <f t="shared" si="482"/>
        <v>8.2054474724336073E-3</v>
      </c>
      <c r="W502" s="65">
        <f t="shared" si="482"/>
        <v>8.2135706611313891E-3</v>
      </c>
      <c r="X502" s="65">
        <f t="shared" si="482"/>
        <v>8.2191297639513019E-3</v>
      </c>
      <c r="Y502" s="65">
        <f t="shared" si="482"/>
        <v>8.2229087428818334E-3</v>
      </c>
      <c r="Z502" s="65">
        <f t="shared" si="482"/>
        <v>8.2254659358738918E-3</v>
      </c>
      <c r="AA502" s="65">
        <f t="shared" si="482"/>
        <v>8.2271910209360984E-3</v>
      </c>
      <c r="AB502" s="65">
        <f t="shared" si="482"/>
        <v>8.2283523396304813E-3</v>
      </c>
      <c r="AC502" s="65">
        <f t="shared" si="482"/>
        <v>8.2291330356784979E-3</v>
      </c>
    </row>
    <row r="503" spans="1:29" x14ac:dyDescent="0.25">
      <c r="A503" s="30" t="str">
        <f t="shared" si="481"/>
        <v>Residual value (vehicle)</v>
      </c>
      <c r="B503" s="68">
        <f>((1+B463)^B470)*B463/(((1+B463)^B470)-1)*(B460)/B475/(B472)</f>
        <v>-1.8702485890031025E-3</v>
      </c>
      <c r="C503" s="68">
        <f t="shared" ref="C503:AC503" si="483">((1+C463)^C470)*C463/(((1+C463)^C470)-1)*(C460)/C475/(C472)</f>
        <v>-1.8666073963204924E-3</v>
      </c>
      <c r="D503" s="68">
        <f t="shared" si="483"/>
        <v>-1.8614374246826684E-3</v>
      </c>
      <c r="E503" s="68">
        <f t="shared" si="483"/>
        <v>-1.8541301665751587E-3</v>
      </c>
      <c r="F503" s="68">
        <f t="shared" si="483"/>
        <v>-1.8438709080260717E-3</v>
      </c>
      <c r="G503" s="68">
        <f t="shared" si="483"/>
        <v>-1.8296068144166636E-3</v>
      </c>
      <c r="H503" s="68">
        <f t="shared" si="483"/>
        <v>-1.8100512756989678E-3</v>
      </c>
      <c r="I503" s="68">
        <f t="shared" si="483"/>
        <v>-1.783770727149196E-3</v>
      </c>
      <c r="J503" s="68">
        <f t="shared" si="483"/>
        <v>-1.7494169731660477E-3</v>
      </c>
      <c r="K503" s="68">
        <f t="shared" si="483"/>
        <v>-1.7061542265623447E-3</v>
      </c>
      <c r="L503" s="68">
        <f t="shared" si="483"/>
        <v>-1.6542401724952364E-3</v>
      </c>
      <c r="M503" s="68">
        <f t="shared" si="483"/>
        <v>-1.5955371278831049E-3</v>
      </c>
      <c r="N503" s="68">
        <f t="shared" si="483"/>
        <v>-1.5335645645386089E-3</v>
      </c>
      <c r="O503" s="68">
        <f t="shared" si="483"/>
        <v>-1.4728115053243044E-3</v>
      </c>
      <c r="P503" s="68">
        <f t="shared" si="483"/>
        <v>-1.4175067450076188E-3</v>
      </c>
      <c r="Q503" s="68">
        <f t="shared" si="483"/>
        <v>-1.3705055742877542E-3</v>
      </c>
      <c r="R503" s="68">
        <f t="shared" si="483"/>
        <v>-1.3328660539739085E-3</v>
      </c>
      <c r="S503" s="68">
        <f t="shared" si="483"/>
        <v>-1.3041454294133192E-3</v>
      </c>
      <c r="T503" s="68">
        <f t="shared" si="483"/>
        <v>-1.2830334669638665E-3</v>
      </c>
      <c r="U503" s="68">
        <f t="shared" si="483"/>
        <v>-1.2679387192321826E-3</v>
      </c>
      <c r="V503" s="68">
        <f t="shared" si="483"/>
        <v>-1.2573595302593416E-3</v>
      </c>
      <c r="W503" s="68">
        <f t="shared" si="483"/>
        <v>-1.2500486604313363E-3</v>
      </c>
      <c r="X503" s="68">
        <f t="shared" si="483"/>
        <v>-1.2450454678934149E-3</v>
      </c>
      <c r="Y503" s="68">
        <f t="shared" si="483"/>
        <v>-1.2416443868559384E-3</v>
      </c>
      <c r="Z503" s="68">
        <f t="shared" si="483"/>
        <v>-1.239342913163084E-3</v>
      </c>
      <c r="AA503" s="68">
        <f t="shared" si="483"/>
        <v>-1.2377903366070991E-3</v>
      </c>
      <c r="AB503" s="68">
        <f t="shared" si="483"/>
        <v>-1.2367451497821555E-3</v>
      </c>
      <c r="AC503" s="68">
        <f t="shared" si="483"/>
        <v>-1.2360425233389387E-3</v>
      </c>
    </row>
    <row r="504" spans="1:29" x14ac:dyDescent="0.25">
      <c r="A504" s="30" t="str">
        <f t="shared" si="481"/>
        <v>Capex costumization</v>
      </c>
      <c r="B504" s="66">
        <f>((1+B463)^B471)*B463/(((1+B463)^B471)-1)*(B461)/B475/(B472)</f>
        <v>2.1135015723170798E-3</v>
      </c>
      <c r="C504" s="66">
        <f t="shared" ref="C504:AC504" si="484">((1+C463)^C471)*C463/(((1+C463)^C471)-1)*(C461)/C475/(C472)</f>
        <v>2.1135015723170798E-3</v>
      </c>
      <c r="D504" s="66">
        <f t="shared" si="484"/>
        <v>2.1135015723170798E-3</v>
      </c>
      <c r="E504" s="66">
        <f t="shared" si="484"/>
        <v>2.1135015723170798E-3</v>
      </c>
      <c r="F504" s="66">
        <f t="shared" si="484"/>
        <v>2.1135015723170798E-3</v>
      </c>
      <c r="G504" s="66">
        <f t="shared" si="484"/>
        <v>2.1135015723170798E-3</v>
      </c>
      <c r="H504" s="66">
        <f t="shared" si="484"/>
        <v>2.1135015723170798E-3</v>
      </c>
      <c r="I504" s="66">
        <f t="shared" si="484"/>
        <v>2.1135015723170798E-3</v>
      </c>
      <c r="J504" s="66">
        <f t="shared" si="484"/>
        <v>2.1135015723170798E-3</v>
      </c>
      <c r="K504" s="66">
        <f t="shared" si="484"/>
        <v>2.1135015723170798E-3</v>
      </c>
      <c r="L504" s="66">
        <f t="shared" si="484"/>
        <v>2.1135015723170798E-3</v>
      </c>
      <c r="M504" s="66">
        <f t="shared" si="484"/>
        <v>2.1135015723170798E-3</v>
      </c>
      <c r="N504" s="66">
        <f t="shared" si="484"/>
        <v>2.1135015723170798E-3</v>
      </c>
      <c r="O504" s="66">
        <f t="shared" si="484"/>
        <v>2.1135015723170798E-3</v>
      </c>
      <c r="P504" s="66">
        <f t="shared" si="484"/>
        <v>2.1135015723170798E-3</v>
      </c>
      <c r="Q504" s="66">
        <f t="shared" si="484"/>
        <v>2.1135015723170798E-3</v>
      </c>
      <c r="R504" s="66">
        <f t="shared" si="484"/>
        <v>2.1135015723170798E-3</v>
      </c>
      <c r="S504" s="66">
        <f t="shared" si="484"/>
        <v>2.1135015723170798E-3</v>
      </c>
      <c r="T504" s="66">
        <f t="shared" si="484"/>
        <v>2.1135015723170798E-3</v>
      </c>
      <c r="U504" s="66">
        <f t="shared" si="484"/>
        <v>2.1135015723170798E-3</v>
      </c>
      <c r="V504" s="66">
        <f t="shared" si="484"/>
        <v>2.1135015723170798E-3</v>
      </c>
      <c r="W504" s="66">
        <f t="shared" si="484"/>
        <v>2.1135015723170798E-3</v>
      </c>
      <c r="X504" s="66">
        <f t="shared" si="484"/>
        <v>2.1135015723170798E-3</v>
      </c>
      <c r="Y504" s="66">
        <f t="shared" si="484"/>
        <v>2.1135015723170798E-3</v>
      </c>
      <c r="Z504" s="66">
        <f t="shared" si="484"/>
        <v>2.1135015723170798E-3</v>
      </c>
      <c r="AA504" s="66">
        <f t="shared" si="484"/>
        <v>2.1135015723170798E-3</v>
      </c>
      <c r="AB504" s="66">
        <f t="shared" si="484"/>
        <v>2.1135015723170798E-3</v>
      </c>
      <c r="AC504" s="66">
        <f t="shared" si="484"/>
        <v>2.1135015723170798E-3</v>
      </c>
    </row>
    <row r="505" spans="1:29" x14ac:dyDescent="0.25">
      <c r="A505" s="30" t="str">
        <f t="shared" si="481"/>
        <v>Residual value (costumization)</v>
      </c>
      <c r="B505" s="69">
        <f>((1+B463)^B471)*B463/(((1+B463)^B471)-1)*(B462)/B475/(B472)</f>
        <v>-5.2837539307926996E-4</v>
      </c>
      <c r="C505" s="69">
        <f t="shared" ref="C505:AC505" si="485">((1+C463)^C471)*C463/(((1+C463)^C471)-1)*(C462)/C475/(C472)</f>
        <v>-5.2837539307926996E-4</v>
      </c>
      <c r="D505" s="69">
        <f t="shared" si="485"/>
        <v>-5.2837539307926996E-4</v>
      </c>
      <c r="E505" s="69">
        <f t="shared" si="485"/>
        <v>-5.2837539307926996E-4</v>
      </c>
      <c r="F505" s="69">
        <f t="shared" si="485"/>
        <v>-5.2837539307926996E-4</v>
      </c>
      <c r="G505" s="69">
        <f t="shared" si="485"/>
        <v>-5.2837539307926996E-4</v>
      </c>
      <c r="H505" s="69">
        <f t="shared" si="485"/>
        <v>-5.2837539307926996E-4</v>
      </c>
      <c r="I505" s="69">
        <f t="shared" si="485"/>
        <v>-5.2837539307926996E-4</v>
      </c>
      <c r="J505" s="69">
        <f t="shared" si="485"/>
        <v>-5.2837539307926996E-4</v>
      </c>
      <c r="K505" s="69">
        <f t="shared" si="485"/>
        <v>-5.2837539307926996E-4</v>
      </c>
      <c r="L505" s="69">
        <f t="shared" si="485"/>
        <v>-5.2837539307926996E-4</v>
      </c>
      <c r="M505" s="69">
        <f t="shared" si="485"/>
        <v>-5.2837539307926996E-4</v>
      </c>
      <c r="N505" s="69">
        <f t="shared" si="485"/>
        <v>-5.2837539307926996E-4</v>
      </c>
      <c r="O505" s="69">
        <f t="shared" si="485"/>
        <v>-5.2837539307926996E-4</v>
      </c>
      <c r="P505" s="69">
        <f t="shared" si="485"/>
        <v>-5.2837539307926996E-4</v>
      </c>
      <c r="Q505" s="69">
        <f t="shared" si="485"/>
        <v>-5.2837539307926996E-4</v>
      </c>
      <c r="R505" s="69">
        <f t="shared" si="485"/>
        <v>-5.2837539307926996E-4</v>
      </c>
      <c r="S505" s="69">
        <f t="shared" si="485"/>
        <v>-5.2837539307926996E-4</v>
      </c>
      <c r="T505" s="69">
        <f t="shared" si="485"/>
        <v>-5.2837539307926996E-4</v>
      </c>
      <c r="U505" s="69">
        <f t="shared" si="485"/>
        <v>-5.2837539307926996E-4</v>
      </c>
      <c r="V505" s="69">
        <f t="shared" si="485"/>
        <v>-5.2837539307926996E-4</v>
      </c>
      <c r="W505" s="69">
        <f t="shared" si="485"/>
        <v>-5.2837539307926996E-4</v>
      </c>
      <c r="X505" s="69">
        <f t="shared" si="485"/>
        <v>-5.2837539307926996E-4</v>
      </c>
      <c r="Y505" s="69">
        <f t="shared" si="485"/>
        <v>-5.2837539307926996E-4</v>
      </c>
      <c r="Z505" s="69">
        <f t="shared" si="485"/>
        <v>-5.2837539307926996E-4</v>
      </c>
      <c r="AA505" s="69">
        <f t="shared" si="485"/>
        <v>-5.2837539307926996E-4</v>
      </c>
      <c r="AB505" s="69">
        <f t="shared" si="485"/>
        <v>-5.2837539307926996E-4</v>
      </c>
      <c r="AC505" s="69">
        <f t="shared" si="485"/>
        <v>-5.2837539307926996E-4</v>
      </c>
    </row>
    <row r="506" spans="1:29" x14ac:dyDescent="0.25">
      <c r="A506" s="30" t="str">
        <f t="shared" si="481"/>
        <v>Opex fix (admin, crew, insurance)</v>
      </c>
      <c r="B506" s="66">
        <f>B464/B475/(B472)</f>
        <v>3.111111111111111E-2</v>
      </c>
      <c r="C506" s="66">
        <f t="shared" ref="C506:AC506" si="486">C464/C475/(C472)</f>
        <v>3.111111111111111E-2</v>
      </c>
      <c r="D506" s="66">
        <f t="shared" si="486"/>
        <v>3.111111111111111E-2</v>
      </c>
      <c r="E506" s="66">
        <f t="shared" si="486"/>
        <v>3.111111111111111E-2</v>
      </c>
      <c r="F506" s="66">
        <f t="shared" si="486"/>
        <v>3.111111111111111E-2</v>
      </c>
      <c r="G506" s="66">
        <f t="shared" si="486"/>
        <v>3.111111111111111E-2</v>
      </c>
      <c r="H506" s="66">
        <f t="shared" si="486"/>
        <v>3.111111111111111E-2</v>
      </c>
      <c r="I506" s="66">
        <f t="shared" si="486"/>
        <v>3.111111111111111E-2</v>
      </c>
      <c r="J506" s="66">
        <f t="shared" si="486"/>
        <v>3.111111111111111E-2</v>
      </c>
      <c r="K506" s="66">
        <f t="shared" si="486"/>
        <v>3.111111111111111E-2</v>
      </c>
      <c r="L506" s="66">
        <f t="shared" si="486"/>
        <v>3.111111111111111E-2</v>
      </c>
      <c r="M506" s="66">
        <f t="shared" si="486"/>
        <v>3.111111111111111E-2</v>
      </c>
      <c r="N506" s="66">
        <f t="shared" si="486"/>
        <v>3.111111111111111E-2</v>
      </c>
      <c r="O506" s="66">
        <f t="shared" si="486"/>
        <v>3.111111111111111E-2</v>
      </c>
      <c r="P506" s="66">
        <f t="shared" si="486"/>
        <v>3.111111111111111E-2</v>
      </c>
      <c r="Q506" s="66">
        <f t="shared" si="486"/>
        <v>3.111111111111111E-2</v>
      </c>
      <c r="R506" s="66">
        <f t="shared" si="486"/>
        <v>3.111111111111111E-2</v>
      </c>
      <c r="S506" s="66">
        <f t="shared" si="486"/>
        <v>3.111111111111111E-2</v>
      </c>
      <c r="T506" s="66">
        <f t="shared" si="486"/>
        <v>3.111111111111111E-2</v>
      </c>
      <c r="U506" s="66">
        <f t="shared" si="486"/>
        <v>3.111111111111111E-2</v>
      </c>
      <c r="V506" s="66">
        <f t="shared" si="486"/>
        <v>3.111111111111111E-2</v>
      </c>
      <c r="W506" s="66">
        <f t="shared" si="486"/>
        <v>3.111111111111111E-2</v>
      </c>
      <c r="X506" s="66">
        <f t="shared" si="486"/>
        <v>3.111111111111111E-2</v>
      </c>
      <c r="Y506" s="66">
        <f t="shared" si="486"/>
        <v>3.111111111111111E-2</v>
      </c>
      <c r="Z506" s="66">
        <f t="shared" si="486"/>
        <v>3.111111111111111E-2</v>
      </c>
      <c r="AA506" s="66">
        <f t="shared" si="486"/>
        <v>3.111111111111111E-2</v>
      </c>
      <c r="AB506" s="66">
        <f t="shared" si="486"/>
        <v>3.111111111111111E-2</v>
      </c>
      <c r="AC506" s="66">
        <f t="shared" si="486"/>
        <v>3.111111111111111E-2</v>
      </c>
    </row>
    <row r="507" spans="1:29" x14ac:dyDescent="0.25">
      <c r="A507" s="30" t="str">
        <f t="shared" si="481"/>
        <v>Opex maintenance &amp; repair</v>
      </c>
      <c r="B507" s="66">
        <f>B465/B475/(B472)</f>
        <v>8.8888888888888889E-3</v>
      </c>
      <c r="C507" s="66">
        <f t="shared" ref="C507:AC507" si="487">C465/C475/(C472)</f>
        <v>8.8888888888888889E-3</v>
      </c>
      <c r="D507" s="66">
        <f t="shared" si="487"/>
        <v>8.8888888888888889E-3</v>
      </c>
      <c r="E507" s="66">
        <f t="shared" si="487"/>
        <v>8.8888888888888889E-3</v>
      </c>
      <c r="F507" s="66">
        <f t="shared" si="487"/>
        <v>8.8888888888888889E-3</v>
      </c>
      <c r="G507" s="66">
        <f t="shared" si="487"/>
        <v>8.8888888888888889E-3</v>
      </c>
      <c r="H507" s="66">
        <f t="shared" si="487"/>
        <v>8.8888888888888889E-3</v>
      </c>
      <c r="I507" s="66">
        <f t="shared" si="487"/>
        <v>8.8888888888888889E-3</v>
      </c>
      <c r="J507" s="66">
        <f t="shared" si="487"/>
        <v>8.8888888888888889E-3</v>
      </c>
      <c r="K507" s="66">
        <f t="shared" si="487"/>
        <v>8.8888888888888889E-3</v>
      </c>
      <c r="L507" s="66">
        <f t="shared" si="487"/>
        <v>8.8888888888888889E-3</v>
      </c>
      <c r="M507" s="66">
        <f t="shared" si="487"/>
        <v>8.8888888888888889E-3</v>
      </c>
      <c r="N507" s="66">
        <f t="shared" si="487"/>
        <v>8.8888888888888889E-3</v>
      </c>
      <c r="O507" s="66">
        <f t="shared" si="487"/>
        <v>8.8888888888888889E-3</v>
      </c>
      <c r="P507" s="66">
        <f t="shared" si="487"/>
        <v>8.8888888888888889E-3</v>
      </c>
      <c r="Q507" s="66">
        <f t="shared" si="487"/>
        <v>8.8888888888888889E-3</v>
      </c>
      <c r="R507" s="66">
        <f t="shared" si="487"/>
        <v>8.8888888888888889E-3</v>
      </c>
      <c r="S507" s="66">
        <f t="shared" si="487"/>
        <v>8.8888888888888889E-3</v>
      </c>
      <c r="T507" s="66">
        <f t="shared" si="487"/>
        <v>8.8888888888888889E-3</v>
      </c>
      <c r="U507" s="66">
        <f t="shared" si="487"/>
        <v>8.8888888888888889E-3</v>
      </c>
      <c r="V507" s="66">
        <f t="shared" si="487"/>
        <v>8.8888888888888889E-3</v>
      </c>
      <c r="W507" s="66">
        <f t="shared" si="487"/>
        <v>8.8888888888888889E-3</v>
      </c>
      <c r="X507" s="66">
        <f t="shared" si="487"/>
        <v>8.8888888888888889E-3</v>
      </c>
      <c r="Y507" s="66">
        <f t="shared" si="487"/>
        <v>8.8888888888888889E-3</v>
      </c>
      <c r="Z507" s="66">
        <f t="shared" si="487"/>
        <v>8.8888888888888889E-3</v>
      </c>
      <c r="AA507" s="66">
        <f t="shared" si="487"/>
        <v>8.8888888888888889E-3</v>
      </c>
      <c r="AB507" s="66">
        <f t="shared" si="487"/>
        <v>8.8888888888888889E-3</v>
      </c>
      <c r="AC507" s="66">
        <f t="shared" si="487"/>
        <v>8.8888888888888889E-3</v>
      </c>
    </row>
    <row r="508" spans="1:29" x14ac:dyDescent="0.25">
      <c r="A508" s="30" t="str">
        <f t="shared" si="481"/>
        <v>Opex var (mode-fees)</v>
      </c>
      <c r="B508" s="66">
        <f>B466*B475/B475/(B472)</f>
        <v>4.4000000000000003E-3</v>
      </c>
      <c r="C508" s="66">
        <f t="shared" ref="C508:AC508" si="488">C466*C475/C475/(C472)</f>
        <v>4.4000000000000003E-3</v>
      </c>
      <c r="D508" s="66">
        <f t="shared" si="488"/>
        <v>4.4000000000000003E-3</v>
      </c>
      <c r="E508" s="66">
        <f t="shared" si="488"/>
        <v>4.4000000000000003E-3</v>
      </c>
      <c r="F508" s="66">
        <f t="shared" si="488"/>
        <v>4.4000000000000003E-3</v>
      </c>
      <c r="G508" s="66">
        <f t="shared" si="488"/>
        <v>4.4000000000000003E-3</v>
      </c>
      <c r="H508" s="66">
        <f t="shared" si="488"/>
        <v>4.4000000000000003E-3</v>
      </c>
      <c r="I508" s="66">
        <f t="shared" si="488"/>
        <v>4.4000000000000003E-3</v>
      </c>
      <c r="J508" s="66">
        <f t="shared" si="488"/>
        <v>4.4000000000000003E-3</v>
      </c>
      <c r="K508" s="66">
        <f t="shared" si="488"/>
        <v>4.4000000000000003E-3</v>
      </c>
      <c r="L508" s="66">
        <f t="shared" si="488"/>
        <v>4.4000000000000003E-3</v>
      </c>
      <c r="M508" s="66">
        <f t="shared" si="488"/>
        <v>4.4000000000000003E-3</v>
      </c>
      <c r="N508" s="66">
        <f t="shared" si="488"/>
        <v>4.4000000000000003E-3</v>
      </c>
      <c r="O508" s="66">
        <f t="shared" si="488"/>
        <v>4.4000000000000003E-3</v>
      </c>
      <c r="P508" s="66">
        <f t="shared" si="488"/>
        <v>4.4000000000000003E-3</v>
      </c>
      <c r="Q508" s="66">
        <f t="shared" si="488"/>
        <v>4.4000000000000003E-3</v>
      </c>
      <c r="R508" s="66">
        <f t="shared" si="488"/>
        <v>4.4000000000000003E-3</v>
      </c>
      <c r="S508" s="66">
        <f t="shared" si="488"/>
        <v>4.4000000000000003E-3</v>
      </c>
      <c r="T508" s="66">
        <f t="shared" si="488"/>
        <v>4.4000000000000003E-3</v>
      </c>
      <c r="U508" s="66">
        <f t="shared" si="488"/>
        <v>4.4000000000000003E-3</v>
      </c>
      <c r="V508" s="66">
        <f t="shared" si="488"/>
        <v>4.4000000000000003E-3</v>
      </c>
      <c r="W508" s="66">
        <f t="shared" si="488"/>
        <v>4.4000000000000003E-3</v>
      </c>
      <c r="X508" s="66">
        <f t="shared" si="488"/>
        <v>4.4000000000000003E-3</v>
      </c>
      <c r="Y508" s="66">
        <f t="shared" si="488"/>
        <v>4.4000000000000003E-3</v>
      </c>
      <c r="Z508" s="66">
        <f t="shared" si="488"/>
        <v>4.4000000000000003E-3</v>
      </c>
      <c r="AA508" s="66">
        <f t="shared" si="488"/>
        <v>4.4000000000000003E-3</v>
      </c>
      <c r="AB508" s="66">
        <f t="shared" si="488"/>
        <v>4.4000000000000003E-3</v>
      </c>
      <c r="AC508" s="66">
        <f t="shared" si="488"/>
        <v>4.4000000000000003E-3</v>
      </c>
    </row>
    <row r="509" spans="1:29" x14ac:dyDescent="0.25">
      <c r="A509" s="30" t="str">
        <f t="shared" si="481"/>
        <v>Fuel Cost</v>
      </c>
      <c r="B509" s="66">
        <f>B467*B468*B475/B475/(B472)</f>
        <v>1.1573595723149675E-2</v>
      </c>
      <c r="C509" s="66">
        <f t="shared" ref="C509:AC509" si="489">C467*C468*C475/C475/(C472)</f>
        <v>1.1562290195257166E-2</v>
      </c>
      <c r="D509" s="66">
        <f t="shared" si="489"/>
        <v>1.154623796631744E-2</v>
      </c>
      <c r="E509" s="66">
        <f t="shared" si="489"/>
        <v>1.1523549683231857E-2</v>
      </c>
      <c r="F509" s="66">
        <f t="shared" si="489"/>
        <v>1.1491695743110229E-2</v>
      </c>
      <c r="G509" s="66">
        <f t="shared" si="489"/>
        <v>1.1447407203002828E-2</v>
      </c>
      <c r="H509" s="66">
        <f t="shared" si="489"/>
        <v>1.1386689271353168E-2</v>
      </c>
      <c r="I509" s="66">
        <f t="shared" si="489"/>
        <v>1.130509087748654E-2</v>
      </c>
      <c r="J509" s="66">
        <f t="shared" si="489"/>
        <v>1.1198426013052478E-2</v>
      </c>
      <c r="K509" s="66">
        <f t="shared" si="489"/>
        <v>1.1064099644999867E-2</v>
      </c>
      <c r="L509" s="66">
        <f t="shared" si="489"/>
        <v>1.0902911859175732E-2</v>
      </c>
      <c r="M509" s="66">
        <f t="shared" si="489"/>
        <v>1.0720644957616992E-2</v>
      </c>
      <c r="N509" s="66">
        <f t="shared" si="489"/>
        <v>1.0528226537463705E-2</v>
      </c>
      <c r="O509" s="66">
        <f t="shared" si="489"/>
        <v>1.0339594551910478E-2</v>
      </c>
      <c r="P509" s="66">
        <f t="shared" si="489"/>
        <v>1.0167878972744624E-2</v>
      </c>
      <c r="Q509" s="66">
        <f t="shared" si="489"/>
        <v>1.0021945183222353E-2</v>
      </c>
      <c r="R509" s="66">
        <f t="shared" si="489"/>
        <v>9.9050783530759638E-3</v>
      </c>
      <c r="S509" s="66">
        <f t="shared" si="489"/>
        <v>9.8159037747541991E-3</v>
      </c>
      <c r="T509" s="66">
        <f t="shared" si="489"/>
        <v>9.7503533078761844E-3</v>
      </c>
      <c r="U509" s="66">
        <f t="shared" si="489"/>
        <v>9.7034856723550028E-3</v>
      </c>
      <c r="V509" s="66">
        <f t="shared" si="489"/>
        <v>9.670638381250693E-3</v>
      </c>
      <c r="W509" s="66">
        <f t="shared" si="489"/>
        <v>9.6479388841453143E-3</v>
      </c>
      <c r="X509" s="66">
        <f t="shared" si="489"/>
        <v>9.6324044871167799E-3</v>
      </c>
      <c r="Y509" s="66">
        <f t="shared" si="489"/>
        <v>9.6218444811282163E-3</v>
      </c>
      <c r="Z509" s="66">
        <f t="shared" si="489"/>
        <v>9.6146986425812171E-3</v>
      </c>
      <c r="AA509" s="66">
        <f t="shared" si="489"/>
        <v>9.6098780524370118E-3</v>
      </c>
      <c r="AB509" s="66">
        <f t="shared" si="489"/>
        <v>9.6066328550985913E-3</v>
      </c>
      <c r="AC509" s="66">
        <f t="shared" si="489"/>
        <v>9.604451272429336E-3</v>
      </c>
    </row>
    <row r="510" spans="1:29" x14ac:dyDescent="0.25">
      <c r="A510" s="59" t="str">
        <f>A473</f>
        <v>Market failure (av. utilization)</v>
      </c>
      <c r="B510" s="66">
        <f t="shared" ref="B510:AC510" si="490">B499/B473-B499/B472</f>
        <v>3.6151697097521945E-2</v>
      </c>
      <c r="C510" s="66">
        <f t="shared" si="490"/>
        <v>3.6149661654393012E-2</v>
      </c>
      <c r="D510" s="66">
        <f t="shared" si="490"/>
        <v>3.6146771616934331E-2</v>
      </c>
      <c r="E510" s="66">
        <f t="shared" si="490"/>
        <v>3.6142686826701367E-2</v>
      </c>
      <c r="F510" s="66">
        <f t="shared" si="490"/>
        <v>3.6136951854909991E-2</v>
      </c>
      <c r="G510" s="66">
        <f t="shared" si="490"/>
        <v>3.6128978162260753E-2</v>
      </c>
      <c r="H510" s="66">
        <f t="shared" si="490"/>
        <v>3.6118046527935072E-2</v>
      </c>
      <c r="I510" s="66">
        <f t="shared" si="490"/>
        <v>3.6103355582787947E-2</v>
      </c>
      <c r="J510" s="66">
        <f t="shared" si="490"/>
        <v>3.6084151679398782E-2</v>
      </c>
      <c r="K510" s="66">
        <f t="shared" si="490"/>
        <v>3.6059967608961074E-2</v>
      </c>
      <c r="L510" s="66">
        <f t="shared" si="490"/>
        <v>3.60309474186397E-2</v>
      </c>
      <c r="M510" s="66">
        <f t="shared" si="490"/>
        <v>3.5998132151989812E-2</v>
      </c>
      <c r="N510" s="66">
        <f t="shared" si="490"/>
        <v>3.596348920962518E-2</v>
      </c>
      <c r="O510" s="66">
        <f t="shared" si="490"/>
        <v>3.5929527975568476E-2</v>
      </c>
      <c r="P510" s="66">
        <f t="shared" si="490"/>
        <v>3.5898612365163757E-2</v>
      </c>
      <c r="Q510" s="66">
        <f t="shared" si="490"/>
        <v>3.5872338498787307E-2</v>
      </c>
      <c r="R510" s="66">
        <f t="shared" si="490"/>
        <v>3.5851297837202659E-2</v>
      </c>
      <c r="S510" s="66">
        <f t="shared" si="490"/>
        <v>3.5835242878562365E-2</v>
      </c>
      <c r="T510" s="66">
        <f t="shared" si="490"/>
        <v>3.582344119635221E-2</v>
      </c>
      <c r="U510" s="66">
        <f t="shared" si="490"/>
        <v>3.5815003164302903E-2</v>
      </c>
      <c r="V510" s="66">
        <f t="shared" si="490"/>
        <v>3.5809089349961992E-2</v>
      </c>
      <c r="W510" s="66">
        <f t="shared" si="490"/>
        <v>3.5805002540760966E-2</v>
      </c>
      <c r="X510" s="66">
        <f t="shared" si="490"/>
        <v>3.5802205733571194E-2</v>
      </c>
      <c r="Y510" s="66">
        <f t="shared" si="490"/>
        <v>3.5800304513934636E-2</v>
      </c>
      <c r="Z510" s="66">
        <f t="shared" si="490"/>
        <v>3.5799017979762218E-2</v>
      </c>
      <c r="AA510" s="66">
        <f t="shared" si="490"/>
        <v>3.5798150082466326E-2</v>
      </c>
      <c r="AB510" s="66">
        <f t="shared" si="490"/>
        <v>3.5797565818318083E-2</v>
      </c>
      <c r="AC510" s="66">
        <f t="shared" si="490"/>
        <v>3.5797173046967959E-2</v>
      </c>
    </row>
    <row r="511" spans="1:29" x14ac:dyDescent="0.25">
      <c r="A511" s="59" t="str">
        <f>A474</f>
        <v>Payload loss (fuel)</v>
      </c>
      <c r="B511" s="66">
        <f>B499/(B472-B474)-B499/B472</f>
        <v>0</v>
      </c>
      <c r="C511" s="66">
        <f t="shared" ref="C511:AC511" si="491">C499/(C472-C474)-C499/C472</f>
        <v>0</v>
      </c>
      <c r="D511" s="66">
        <f t="shared" si="491"/>
        <v>0</v>
      </c>
      <c r="E511" s="66">
        <f t="shared" si="491"/>
        <v>0</v>
      </c>
      <c r="F511" s="66">
        <f t="shared" si="491"/>
        <v>0</v>
      </c>
      <c r="G511" s="66">
        <f t="shared" si="491"/>
        <v>0</v>
      </c>
      <c r="H511" s="66">
        <f t="shared" si="491"/>
        <v>0</v>
      </c>
      <c r="I511" s="66">
        <f t="shared" si="491"/>
        <v>0</v>
      </c>
      <c r="J511" s="66">
        <f t="shared" si="491"/>
        <v>0</v>
      </c>
      <c r="K511" s="66">
        <f t="shared" si="491"/>
        <v>0</v>
      </c>
      <c r="L511" s="66">
        <f t="shared" si="491"/>
        <v>0</v>
      </c>
      <c r="M511" s="66">
        <f t="shared" si="491"/>
        <v>0</v>
      </c>
      <c r="N511" s="66">
        <f t="shared" si="491"/>
        <v>0</v>
      </c>
      <c r="O511" s="66">
        <f t="shared" si="491"/>
        <v>0</v>
      </c>
      <c r="P511" s="66">
        <f t="shared" si="491"/>
        <v>0</v>
      </c>
      <c r="Q511" s="66">
        <f t="shared" si="491"/>
        <v>0</v>
      </c>
      <c r="R511" s="66">
        <f t="shared" si="491"/>
        <v>0</v>
      </c>
      <c r="S511" s="66">
        <f t="shared" si="491"/>
        <v>0</v>
      </c>
      <c r="T511" s="66">
        <f t="shared" si="491"/>
        <v>0</v>
      </c>
      <c r="U511" s="66">
        <f t="shared" si="491"/>
        <v>0</v>
      </c>
      <c r="V511" s="66">
        <f t="shared" si="491"/>
        <v>0</v>
      </c>
      <c r="W511" s="66">
        <f t="shared" si="491"/>
        <v>0</v>
      </c>
      <c r="X511" s="66">
        <f t="shared" si="491"/>
        <v>0</v>
      </c>
      <c r="Y511" s="66">
        <f t="shared" si="491"/>
        <v>0</v>
      </c>
      <c r="Z511" s="66">
        <f t="shared" si="491"/>
        <v>0</v>
      </c>
      <c r="AA511" s="66">
        <f t="shared" si="491"/>
        <v>0</v>
      </c>
      <c r="AB511" s="66">
        <f t="shared" si="491"/>
        <v>0</v>
      </c>
      <c r="AC511" s="66">
        <f t="shared" si="491"/>
        <v>0</v>
      </c>
    </row>
    <row r="512" spans="1:29" ht="15.75" thickBot="1" x14ac:dyDescent="0.3">
      <c r="A512" s="59" t="str">
        <f>A449</f>
        <v>Emission Cost</v>
      </c>
      <c r="B512" s="68">
        <f>B469*B475/B475/(B472)</f>
        <v>3.1055649111335639E-3</v>
      </c>
      <c r="C512" s="68">
        <f t="shared" ref="C512:AC512" si="492">C469*C475/C475/(C472)</f>
        <v>3.1111379658149869E-3</v>
      </c>
      <c r="D512" s="68">
        <f t="shared" si="492"/>
        <v>3.1191156694616588E-3</v>
      </c>
      <c r="E512" s="68">
        <f t="shared" si="492"/>
        <v>3.130528335545424E-3</v>
      </c>
      <c r="F512" s="68">
        <f t="shared" si="492"/>
        <v>3.1468395537089262E-3</v>
      </c>
      <c r="G512" s="68">
        <f t="shared" si="492"/>
        <v>3.1701191870286659E-3</v>
      </c>
      <c r="H512" s="68">
        <f t="shared" si="492"/>
        <v>3.2032750959951773E-3</v>
      </c>
      <c r="I512" s="68">
        <f t="shared" si="492"/>
        <v>3.2503517337687839E-3</v>
      </c>
      <c r="J512" s="68">
        <f t="shared" si="492"/>
        <v>3.3168900374857192E-3</v>
      </c>
      <c r="K512" s="68">
        <f t="shared" si="492"/>
        <v>3.4103086154538588E-3</v>
      </c>
      <c r="L512" s="68">
        <f t="shared" si="492"/>
        <v>3.5401943508234922E-3</v>
      </c>
      <c r="M512" s="68">
        <f t="shared" si="492"/>
        <v>3.718262834980236E-3</v>
      </c>
      <c r="N512" s="68">
        <f t="shared" si="492"/>
        <v>3.9575677966395576E-3</v>
      </c>
      <c r="O512" s="68">
        <f t="shared" si="492"/>
        <v>4.2703856118469384E-3</v>
      </c>
      <c r="P512" s="68">
        <f t="shared" si="492"/>
        <v>4.6643267770273026E-3</v>
      </c>
      <c r="Q512" s="68">
        <f t="shared" si="492"/>
        <v>5.1370448671608218E-3</v>
      </c>
      <c r="R512" s="68">
        <f t="shared" si="492"/>
        <v>5.6715820292595051E-3</v>
      </c>
      <c r="S512" s="68">
        <f t="shared" si="492"/>
        <v>6.2358907181362944E-3</v>
      </c>
      <c r="T512" s="68">
        <f t="shared" si="492"/>
        <v>6.7890948675257863E-3</v>
      </c>
      <c r="U512" s="68">
        <f t="shared" si="492"/>
        <v>7.2926879916227908E-3</v>
      </c>
      <c r="V512" s="68">
        <f t="shared" si="492"/>
        <v>7.7206704340653069E-3</v>
      </c>
      <c r="W512" s="68">
        <f t="shared" si="492"/>
        <v>8.0634077231489607E-3</v>
      </c>
      <c r="X512" s="68">
        <f t="shared" si="492"/>
        <v>8.3249314864862114E-3</v>
      </c>
      <c r="Y512" s="68">
        <f t="shared" si="492"/>
        <v>8.5171724267752297E-3</v>
      </c>
      <c r="Z512" s="68">
        <f t="shared" si="492"/>
        <v>8.6546219179967215E-3</v>
      </c>
      <c r="AA512" s="68">
        <f t="shared" si="492"/>
        <v>8.7509537128501579E-3</v>
      </c>
      <c r="AB512" s="68">
        <f t="shared" si="492"/>
        <v>8.8175249041087343E-3</v>
      </c>
      <c r="AC512" s="68">
        <f t="shared" si="492"/>
        <v>8.8630828876566786E-3</v>
      </c>
    </row>
    <row r="513" spans="1:29" ht="15.75" thickBot="1" x14ac:dyDescent="0.3">
      <c r="A513" s="31" t="s">
        <v>210</v>
      </c>
      <c r="B513" s="67">
        <f>B502+B503+B504+B505+B506+B507+B508+B509+B510+B511</f>
        <v>9.9364630040291307E-2</v>
      </c>
      <c r="C513" s="67">
        <f t="shared" ref="C513:D513" si="493">C502+C503+C504+C505+C506+C507+C508+C509+C510+C511</f>
        <v>9.9358976031599822E-2</v>
      </c>
      <c r="D513" s="67">
        <f t="shared" si="493"/>
        <v>9.9350948149770163E-2</v>
      </c>
      <c r="E513" s="67">
        <f t="shared" ref="E513:AC513" si="494">E502+E503+E504-E505+E506+E507+E508+E509+E510+E511</f>
        <v>0.10039635229639267</v>
      </c>
      <c r="F513" s="67">
        <f t="shared" si="494"/>
        <v>0.1003804218191944</v>
      </c>
      <c r="G513" s="67">
        <f t="shared" si="494"/>
        <v>0.10035827267294652</v>
      </c>
      <c r="H513" s="67">
        <f t="shared" si="494"/>
        <v>0.10032790702204186</v>
      </c>
      <c r="I513" s="67">
        <f t="shared" si="494"/>
        <v>0.10028709884107763</v>
      </c>
      <c r="J513" s="67">
        <f t="shared" si="494"/>
        <v>0.10023375466499661</v>
      </c>
      <c r="K513" s="67">
        <f t="shared" si="494"/>
        <v>0.10016657669155855</v>
      </c>
      <c r="L513" s="67">
        <f t="shared" si="494"/>
        <v>0.10008596505177693</v>
      </c>
      <c r="M513" s="67">
        <f t="shared" si="494"/>
        <v>9.9994811533305028E-2</v>
      </c>
      <c r="N513" s="67">
        <f t="shared" si="494"/>
        <v>9.989858113784772E-2</v>
      </c>
      <c r="O513" s="67">
        <f t="shared" si="494"/>
        <v>9.9804244376579102E-2</v>
      </c>
      <c r="P513" s="67">
        <f t="shared" si="494"/>
        <v>9.9718367681010417E-2</v>
      </c>
      <c r="Q513" s="67">
        <f t="shared" si="494"/>
        <v>9.9645384718853633E-2</v>
      </c>
      <c r="R513" s="67">
        <f t="shared" si="494"/>
        <v>9.9586938436674044E-2</v>
      </c>
      <c r="S513" s="67">
        <f t="shared" si="494"/>
        <v>9.9542341329339895E-2</v>
      </c>
      <c r="T513" s="67">
        <f t="shared" si="494"/>
        <v>9.9509558878756121E-2</v>
      </c>
      <c r="U513" s="67">
        <f t="shared" si="494"/>
        <v>9.9486119900841413E-2</v>
      </c>
      <c r="V513" s="67">
        <f t="shared" si="494"/>
        <v>9.9469692638783302E-2</v>
      </c>
      <c r="W513" s="67">
        <f t="shared" si="494"/>
        <v>9.9458340391002681E-2</v>
      </c>
      <c r="X513" s="67">
        <f t="shared" si="494"/>
        <v>9.9450571482142203E-2</v>
      </c>
      <c r="Y513" s="67">
        <f t="shared" si="494"/>
        <v>9.9445290316485094E-2</v>
      </c>
      <c r="Z513" s="67">
        <f t="shared" si="494"/>
        <v>9.9441716610450592E-2</v>
      </c>
      <c r="AA513" s="67">
        <f t="shared" si="494"/>
        <v>9.9439305784628687E-2</v>
      </c>
      <c r="AB513" s="67">
        <f t="shared" si="494"/>
        <v>9.9437682828661347E-2</v>
      </c>
      <c r="AC513" s="67">
        <f t="shared" si="494"/>
        <v>9.9436591797133198E-2</v>
      </c>
    </row>
    <row r="515" spans="1:29" x14ac:dyDescent="0.25">
      <c r="B515" s="40"/>
    </row>
  </sheetData>
  <conditionalFormatting sqref="Q11:AR27">
    <cfRule type="colorScale" priority="42">
      <colorScale>
        <cfvo type="min"/>
        <cfvo type="percentile" val="50"/>
        <cfvo type="max"/>
        <color rgb="FFF8696B"/>
        <color rgb="FFFFEB84"/>
        <color rgb="FF63BE7B"/>
      </colorScale>
    </cfRule>
    <cfRule type="colorScale" priority="41">
      <colorScale>
        <cfvo type="min"/>
        <cfvo type="max"/>
        <color rgb="FFFF7128"/>
        <color rgb="FFFFEF9C"/>
      </colorScale>
    </cfRule>
    <cfRule type="colorScale" priority="45">
      <colorScale>
        <cfvo type="min"/>
        <cfvo type="max"/>
        <color rgb="FFFF7128"/>
        <color rgb="FFFFEF9C"/>
      </colorScale>
    </cfRule>
    <cfRule type="colorScale" priority="43">
      <colorScale>
        <cfvo type="min"/>
        <cfvo type="percentile" val="50"/>
        <cfvo type="max"/>
        <color theme="5" tint="-0.249977111117893"/>
        <color theme="7" tint="0.79998168889431442"/>
        <color theme="7" tint="0.39997558519241921"/>
      </colorScale>
    </cfRule>
    <cfRule type="colorScale" priority="44">
      <colorScale>
        <cfvo type="min"/>
        <cfvo type="percentile" val="50"/>
        <cfvo type="max"/>
        <color rgb="FFF8696B"/>
        <color rgb="FFFFEB84"/>
        <color rgb="FF63BE7B"/>
      </colorScale>
    </cfRule>
  </conditionalFormatting>
  <conditionalFormatting sqref="Q117:AR126 Q128:AR133">
    <cfRule type="colorScale" priority="39">
      <colorScale>
        <cfvo type="min"/>
        <cfvo type="percentile" val="50"/>
        <cfvo type="max"/>
        <color rgb="FFF8696B"/>
        <color rgb="FFFFEB84"/>
        <color rgb="FF63BE7B"/>
      </colorScale>
    </cfRule>
    <cfRule type="colorScale" priority="38">
      <colorScale>
        <cfvo type="min"/>
        <cfvo type="percentile" val="50"/>
        <cfvo type="max"/>
        <color theme="5" tint="-0.249977111117893"/>
        <color theme="7" tint="0.79998168889431442"/>
        <color theme="7" tint="0.39997558519241921"/>
      </colorScale>
    </cfRule>
    <cfRule type="colorScale" priority="40">
      <colorScale>
        <cfvo type="min"/>
        <cfvo type="max"/>
        <color rgb="FFFF7128"/>
        <color rgb="FFFFEF9C"/>
      </colorScale>
    </cfRule>
    <cfRule type="colorScale" priority="37">
      <colorScale>
        <cfvo type="min"/>
        <cfvo type="percentile" val="50"/>
        <cfvo type="max"/>
        <color rgb="FFF8696B"/>
        <color rgb="FFFFEB84"/>
        <color rgb="FF63BE7B"/>
      </colorScale>
    </cfRule>
    <cfRule type="colorScale" priority="36">
      <colorScale>
        <cfvo type="min"/>
        <cfvo type="max"/>
        <color rgb="FFFF7128"/>
        <color rgb="FFFFEF9C"/>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34">
      <colorScale>
        <cfvo type="min"/>
        <cfvo type="percentile" val="50"/>
        <cfvo type="max"/>
        <color rgb="FFF8696B"/>
        <color rgb="FFFFEB84"/>
        <color rgb="FF63BE7B"/>
      </colorScale>
    </cfRule>
    <cfRule type="colorScale" priority="33">
      <colorScale>
        <cfvo type="min"/>
        <cfvo type="percentile" val="50"/>
        <cfvo type="max"/>
        <color theme="5" tint="-0.249977111117893"/>
        <color theme="7" tint="0.79998168889431442"/>
        <color theme="7" tint="0.39997558519241921"/>
      </colorScale>
    </cfRule>
    <cfRule type="colorScale" priority="32">
      <colorScale>
        <cfvo type="min"/>
        <cfvo type="percentile" val="50"/>
        <cfvo type="max"/>
        <color rgb="FFF8696B"/>
        <color rgb="FFFFEB84"/>
        <color rgb="FF63BE7B"/>
      </colorScale>
    </cfRule>
    <cfRule type="colorScale" priority="31">
      <colorScale>
        <cfvo type="min"/>
        <cfvo type="max"/>
        <color rgb="FFFF7128"/>
        <color rgb="FFFFEF9C"/>
      </colorScale>
    </cfRule>
    <cfRule type="colorScale" priority="35">
      <colorScale>
        <cfvo type="min"/>
        <cfvo type="max"/>
        <color rgb="FFFF7128"/>
        <color rgb="FFFFEF9C"/>
      </colorScale>
    </cfRule>
  </conditionalFormatting>
  <conditionalFormatting sqref="Q235:AR235">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fRule type="colorScale" priority="28">
      <colorScale>
        <cfvo type="min"/>
        <cfvo type="percentile" val="50"/>
        <cfvo type="max"/>
        <color theme="5" tint="-0.249977111117893"/>
        <color theme="7" tint="0.79998168889431442"/>
        <color theme="7" tint="0.39997558519241921"/>
      </colorScale>
    </cfRule>
    <cfRule type="colorScale" priority="26">
      <colorScale>
        <cfvo type="min"/>
        <cfvo type="max"/>
        <color rgb="FFFF7128"/>
        <color rgb="FFFFEF9C"/>
      </colorScale>
    </cfRule>
    <cfRule type="colorScale" priority="27">
      <colorScale>
        <cfvo type="min"/>
        <cfvo type="percentile" val="50"/>
        <cfvo type="max"/>
        <color rgb="FFF8696B"/>
        <color rgb="FFFFEB84"/>
        <color rgb="FF63BE7B"/>
      </colorScale>
    </cfRule>
  </conditionalFormatting>
  <conditionalFormatting sqref="Q344:AR344">
    <cfRule type="colorScale" priority="10">
      <colorScale>
        <cfvo type="min"/>
        <cfvo type="max"/>
        <color rgb="FFFF7128"/>
        <color rgb="FFFFEF9C"/>
      </colorScale>
    </cfRule>
    <cfRule type="colorScale" priority="9">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7">
      <colorScale>
        <cfvo type="min"/>
        <cfvo type="percentile" val="50"/>
        <cfvo type="max"/>
        <color rgb="FFF8696B"/>
        <color rgb="FFFFEB84"/>
        <color rgb="FF63BE7B"/>
      </colorScale>
    </cfRule>
    <cfRule type="colorScale" priority="6">
      <colorScale>
        <cfvo type="min"/>
        <cfvo type="max"/>
        <color rgb="FFFF7128"/>
        <color rgb="FFFFEF9C"/>
      </colorScale>
    </cfRule>
  </conditionalFormatting>
  <conditionalFormatting sqref="Q439:AR448 Q450:AR455">
    <cfRule type="colorScale" priority="22">
      <colorScale>
        <cfvo type="min"/>
        <cfvo type="percentile" val="50"/>
        <cfvo type="max"/>
        <color rgb="FFF8696B"/>
        <color rgb="FFFFEB84"/>
        <color rgb="FF63BE7B"/>
      </colorScale>
    </cfRule>
    <cfRule type="colorScale" priority="21">
      <colorScale>
        <cfvo type="min"/>
        <cfvo type="max"/>
        <color rgb="FFFF7128"/>
        <color rgb="FFFFEF9C"/>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FF867-1A5A-477A-B713-6D32D9CF1D00}">
  <sheetPr>
    <tabColor theme="4" tint="-0.249977111117893"/>
  </sheetPr>
  <dimension ref="A1:AR515"/>
  <sheetViews>
    <sheetView topLeftCell="A442" zoomScale="80" zoomScaleNormal="80" workbookViewId="0">
      <selection activeCell="A446" sqref="A446"/>
    </sheetView>
  </sheetViews>
  <sheetFormatPr defaultColWidth="9.140625" defaultRowHeight="15" x14ac:dyDescent="0.25"/>
  <cols>
    <col min="1" max="1" width="38.5703125" style="4" customWidth="1"/>
    <col min="2" max="4" width="14.85546875" style="4" bestFit="1" customWidth="1"/>
    <col min="5" max="5" width="28" style="4" bestFit="1" customWidth="1"/>
    <col min="6" max="11" width="14.85546875" style="4" bestFit="1" customWidth="1"/>
    <col min="12" max="12" width="24.42578125" style="4" bestFit="1" customWidth="1"/>
    <col min="13" max="29" width="14.85546875" style="4" bestFit="1" customWidth="1"/>
    <col min="30" max="44" width="13.5703125" style="4" bestFit="1" customWidth="1"/>
    <col min="45" max="16384" width="9.140625" style="4"/>
  </cols>
  <sheetData>
    <row r="1" spans="1:44" s="3" customFormat="1" ht="21" x14ac:dyDescent="0.35">
      <c r="A1" s="2" t="str">
        <f>'Parameter Input'!A20</f>
        <v>Road long-haul: Dry bulk</v>
      </c>
    </row>
    <row r="2" spans="1:44" s="3" customFormat="1" ht="21" x14ac:dyDescent="0.35">
      <c r="A2" s="2" t="s">
        <v>87</v>
      </c>
    </row>
    <row r="3" spans="1:44" x14ac:dyDescent="0.25">
      <c r="A3" s="33" t="s">
        <v>195</v>
      </c>
    </row>
    <row r="4" spans="1:44" x14ac:dyDescent="0.25">
      <c r="A4" s="33" t="s">
        <v>196</v>
      </c>
    </row>
    <row r="5" spans="1:44" ht="15.75" thickBot="1" x14ac:dyDescent="0.3">
      <c r="A5" s="34" t="s">
        <v>197</v>
      </c>
      <c r="B5" s="34"/>
    </row>
    <row r="6" spans="1:44" ht="15.75" thickBot="1" x14ac:dyDescent="0.3">
      <c r="A6" s="39" t="s">
        <v>198</v>
      </c>
      <c r="B6" s="35"/>
    </row>
    <row r="7" spans="1:44" ht="15.75" thickBot="1" x14ac:dyDescent="0.3">
      <c r="A7" s="38" t="s">
        <v>199</v>
      </c>
      <c r="B7" s="36"/>
    </row>
    <row r="8" spans="1:44" ht="15.75" thickBot="1" x14ac:dyDescent="0.3"/>
    <row r="9" spans="1:44"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18</v>
      </c>
      <c r="B11" s="41">
        <f>'Parameter Input'!$L$33</f>
        <v>400000</v>
      </c>
      <c r="C11" s="42">
        <f>'Parameter Input'!$M$33</f>
        <v>145000</v>
      </c>
      <c r="D11" s="1" t="s">
        <v>15</v>
      </c>
      <c r="L11" s="51">
        <f>'Parameter Input'!$O$33</f>
        <v>8</v>
      </c>
      <c r="M11" s="52">
        <v>0</v>
      </c>
      <c r="N11" s="52">
        <v>1</v>
      </c>
      <c r="O11" s="52">
        <f>'Parameter Input'!$P$33</f>
        <v>0.9</v>
      </c>
      <c r="P11" s="53">
        <f>'Parameter Input'!$Q$33</f>
        <v>0.4</v>
      </c>
      <c r="Q11" s="4">
        <f t="shared" ref="Q11:AR20" si="0">$N11+($M11-$N11)*((1/(1+EXP(-$P11*(Q$9-$L11)))^$O11))</f>
        <v>0.94584787155511363</v>
      </c>
      <c r="R11" s="4">
        <f t="shared" si="0"/>
        <v>0.92370360150141495</v>
      </c>
      <c r="S11" s="4">
        <f t="shared" si="0"/>
        <v>0.89334463567658451</v>
      </c>
      <c r="T11" s="4">
        <f t="shared" si="0"/>
        <v>0.85254543874327005</v>
      </c>
      <c r="U11" s="4">
        <f t="shared" si="0"/>
        <v>0.79921300652623883</v>
      </c>
      <c r="V11" s="4">
        <f t="shared" si="0"/>
        <v>0.73204982249993378</v>
      </c>
      <c r="W11" s="4">
        <f t="shared" si="0"/>
        <v>0.65145592958786691</v>
      </c>
      <c r="X11" s="4">
        <f t="shared" si="0"/>
        <v>0.56032247880849573</v>
      </c>
      <c r="Y11" s="4">
        <f t="shared" si="0"/>
        <v>0.46411326873185343</v>
      </c>
      <c r="Z11" s="4">
        <f t="shared" si="0"/>
        <v>0.36979727595523937</v>
      </c>
      <c r="AA11" s="4">
        <f t="shared" si="0"/>
        <v>0.28393948637231203</v>
      </c>
      <c r="AB11" s="4">
        <f t="shared" si="0"/>
        <v>0.21097259161117732</v>
      </c>
      <c r="AC11" s="4">
        <f t="shared" si="0"/>
        <v>0.15253917653798199</v>
      </c>
      <c r="AD11" s="4">
        <f t="shared" si="0"/>
        <v>0.10795188737709993</v>
      </c>
      <c r="AE11" s="4">
        <f t="shared" si="0"/>
        <v>7.5176653938091809E-2</v>
      </c>
      <c r="AF11" s="4">
        <f t="shared" si="0"/>
        <v>5.1742836177502194E-2</v>
      </c>
      <c r="AG11" s="4">
        <f t="shared" si="0"/>
        <v>3.5319190625345942E-2</v>
      </c>
      <c r="AH11" s="4">
        <f t="shared" si="0"/>
        <v>2.3969442072658165E-2</v>
      </c>
      <c r="AI11" s="4">
        <f t="shared" si="0"/>
        <v>1.6202243558389728E-2</v>
      </c>
      <c r="AJ11" s="4">
        <f t="shared" si="0"/>
        <v>1.0922240564108399E-2</v>
      </c>
      <c r="AK11" s="4">
        <f t="shared" si="0"/>
        <v>7.3493212906090566E-3</v>
      </c>
      <c r="AL11" s="4">
        <f t="shared" si="0"/>
        <v>4.9390262185057265E-3</v>
      </c>
      <c r="AM11" s="4">
        <f t="shared" si="0"/>
        <v>3.3164275492956197E-3</v>
      </c>
      <c r="AN11" s="4">
        <f t="shared" si="0"/>
        <v>2.2256362146679809E-3</v>
      </c>
      <c r="AO11" s="4">
        <f t="shared" si="0"/>
        <v>1.4930448704811861E-3</v>
      </c>
      <c r="AP11" s="4">
        <f t="shared" si="0"/>
        <v>1.0013381504474506E-3</v>
      </c>
      <c r="AQ11" s="4">
        <f t="shared" si="0"/>
        <v>6.7145100246257527E-4</v>
      </c>
      <c r="AR11" s="4">
        <f t="shared" si="0"/>
        <v>4.5019225748876845E-4</v>
      </c>
    </row>
    <row r="12" spans="1:44" x14ac:dyDescent="0.25">
      <c r="A12" s="24" t="s">
        <v>28</v>
      </c>
      <c r="B12" s="60">
        <f>'Parameter Input'!$L$34</f>
        <v>-60000</v>
      </c>
      <c r="C12" s="61">
        <f>'Parameter Input'!$M$34</f>
        <v>-36250</v>
      </c>
      <c r="D12" s="1" t="s">
        <v>15</v>
      </c>
      <c r="L12" s="54">
        <f>'Parameter Input'!$O$34</f>
        <v>8</v>
      </c>
      <c r="M12" s="37">
        <v>0</v>
      </c>
      <c r="N12" s="37">
        <v>1</v>
      </c>
      <c r="O12" s="37">
        <f>'Parameter Input'!$P$34</f>
        <v>0.9</v>
      </c>
      <c r="P12" s="55">
        <f>'Parameter Input'!$Q$34</f>
        <v>0.4</v>
      </c>
      <c r="Q12" s="4">
        <f t="shared" si="0"/>
        <v>0.94584787155511363</v>
      </c>
      <c r="R12" s="4">
        <f t="shared" si="0"/>
        <v>0.92370360150141495</v>
      </c>
      <c r="S12" s="4">
        <f t="shared" si="0"/>
        <v>0.89334463567658451</v>
      </c>
      <c r="T12" s="4">
        <f t="shared" si="0"/>
        <v>0.85254543874327005</v>
      </c>
      <c r="U12" s="4">
        <f t="shared" si="0"/>
        <v>0.79921300652623883</v>
      </c>
      <c r="V12" s="4">
        <f t="shared" si="0"/>
        <v>0.73204982249993378</v>
      </c>
      <c r="W12" s="4">
        <f t="shared" si="0"/>
        <v>0.65145592958786691</v>
      </c>
      <c r="X12" s="4">
        <f t="shared" si="0"/>
        <v>0.56032247880849573</v>
      </c>
      <c r="Y12" s="4">
        <f t="shared" si="0"/>
        <v>0.46411326873185343</v>
      </c>
      <c r="Z12" s="4">
        <f t="shared" si="0"/>
        <v>0.36979727595523937</v>
      </c>
      <c r="AA12" s="4">
        <f t="shared" si="0"/>
        <v>0.28393948637231203</v>
      </c>
      <c r="AB12" s="4">
        <f t="shared" si="0"/>
        <v>0.21097259161117732</v>
      </c>
      <c r="AC12" s="4">
        <f t="shared" si="0"/>
        <v>0.15253917653798199</v>
      </c>
      <c r="AD12" s="4">
        <f t="shared" si="0"/>
        <v>0.10795188737709993</v>
      </c>
      <c r="AE12" s="4">
        <f t="shared" si="0"/>
        <v>7.5176653938091809E-2</v>
      </c>
      <c r="AF12" s="4">
        <f t="shared" si="0"/>
        <v>5.1742836177502194E-2</v>
      </c>
      <c r="AG12" s="4">
        <f t="shared" si="0"/>
        <v>3.5319190625345942E-2</v>
      </c>
      <c r="AH12" s="4">
        <f t="shared" si="0"/>
        <v>2.3969442072658165E-2</v>
      </c>
      <c r="AI12" s="4">
        <f t="shared" si="0"/>
        <v>1.6202243558389728E-2</v>
      </c>
      <c r="AJ12" s="4">
        <f t="shared" si="0"/>
        <v>1.0922240564108399E-2</v>
      </c>
      <c r="AK12" s="4">
        <f t="shared" si="0"/>
        <v>7.3493212906090566E-3</v>
      </c>
      <c r="AL12" s="4">
        <f t="shared" si="0"/>
        <v>4.9390262185057265E-3</v>
      </c>
      <c r="AM12" s="4">
        <f t="shared" si="0"/>
        <v>3.3164275492956197E-3</v>
      </c>
      <c r="AN12" s="4">
        <f t="shared" si="0"/>
        <v>2.2256362146679809E-3</v>
      </c>
      <c r="AO12" s="4">
        <f t="shared" si="0"/>
        <v>1.4930448704811861E-3</v>
      </c>
      <c r="AP12" s="4">
        <f t="shared" si="0"/>
        <v>1.0013381504474506E-3</v>
      </c>
      <c r="AQ12" s="4">
        <f t="shared" si="0"/>
        <v>6.7145100246257527E-4</v>
      </c>
      <c r="AR12" s="4">
        <f t="shared" si="0"/>
        <v>4.5019225748876845E-4</v>
      </c>
    </row>
    <row r="13" spans="1:44" x14ac:dyDescent="0.25">
      <c r="A13" s="24" t="s">
        <v>14</v>
      </c>
      <c r="B13" s="43">
        <f>'Parameter Input'!B21</f>
        <v>40000</v>
      </c>
      <c r="C13" s="44">
        <f>'Parameter Input'!C21</f>
        <v>40000</v>
      </c>
      <c r="D13" s="1" t="s">
        <v>15</v>
      </c>
      <c r="L13" s="54">
        <f>'Parameter Input'!E21</f>
        <v>12</v>
      </c>
      <c r="M13" s="37">
        <v>0</v>
      </c>
      <c r="N13" s="37">
        <v>1</v>
      </c>
      <c r="O13" s="37">
        <f>'Parameter Input'!F21</f>
        <v>0.9</v>
      </c>
      <c r="P13" s="55">
        <f>'Parameter Input'!G21</f>
        <v>0.4</v>
      </c>
      <c r="Q13" s="4">
        <f t="shared" si="0"/>
        <v>0.9867978615748374</v>
      </c>
      <c r="R13" s="4">
        <f t="shared" si="0"/>
        <v>0.98114509762858249</v>
      </c>
      <c r="S13" s="4">
        <f t="shared" si="0"/>
        <v>0.97311898315872036</v>
      </c>
      <c r="T13" s="4">
        <f t="shared" si="0"/>
        <v>0.96177484161592774</v>
      </c>
      <c r="U13" s="4">
        <f t="shared" si="0"/>
        <v>0.94584787155511363</v>
      </c>
      <c r="V13" s="4">
        <f t="shared" si="0"/>
        <v>0.92370360150141495</v>
      </c>
      <c r="W13" s="4">
        <f t="shared" si="0"/>
        <v>0.89334463567658451</v>
      </c>
      <c r="X13" s="4">
        <f t="shared" si="0"/>
        <v>0.85254543874327005</v>
      </c>
      <c r="Y13" s="4">
        <f t="shared" si="0"/>
        <v>0.79921300652623883</v>
      </c>
      <c r="Z13" s="4">
        <f t="shared" si="0"/>
        <v>0.73204982249993378</v>
      </c>
      <c r="AA13" s="4">
        <f t="shared" si="0"/>
        <v>0.65145592958786691</v>
      </c>
      <c r="AB13" s="4">
        <f t="shared" si="0"/>
        <v>0.56032247880849573</v>
      </c>
      <c r="AC13" s="4">
        <f t="shared" si="0"/>
        <v>0.46411326873185343</v>
      </c>
      <c r="AD13" s="4">
        <f t="shared" si="0"/>
        <v>0.36979727595523937</v>
      </c>
      <c r="AE13" s="4">
        <f t="shared" si="0"/>
        <v>0.28393948637231203</v>
      </c>
      <c r="AF13" s="4">
        <f t="shared" si="0"/>
        <v>0.21097259161117732</v>
      </c>
      <c r="AG13" s="4">
        <f t="shared" si="0"/>
        <v>0.15253917653798199</v>
      </c>
      <c r="AH13" s="4">
        <f t="shared" si="0"/>
        <v>0.10795188737709993</v>
      </c>
      <c r="AI13" s="4">
        <f t="shared" si="0"/>
        <v>7.5176653938091809E-2</v>
      </c>
      <c r="AJ13" s="4">
        <f t="shared" si="0"/>
        <v>5.1742836177502194E-2</v>
      </c>
      <c r="AK13" s="4">
        <f t="shared" si="0"/>
        <v>3.5319190625345942E-2</v>
      </c>
      <c r="AL13" s="4">
        <f t="shared" si="0"/>
        <v>2.3969442072658165E-2</v>
      </c>
      <c r="AM13" s="4">
        <f t="shared" si="0"/>
        <v>1.6202243558389728E-2</v>
      </c>
      <c r="AN13" s="4">
        <f t="shared" si="0"/>
        <v>1.0922240564108399E-2</v>
      </c>
      <c r="AO13" s="4">
        <f t="shared" si="0"/>
        <v>7.3493212906090566E-3</v>
      </c>
      <c r="AP13" s="4">
        <f t="shared" si="0"/>
        <v>4.9390262185057265E-3</v>
      </c>
      <c r="AQ13" s="4">
        <f t="shared" si="0"/>
        <v>3.3164275492956197E-3</v>
      </c>
      <c r="AR13" s="4">
        <f t="shared" si="0"/>
        <v>2.2256362146679809E-3</v>
      </c>
    </row>
    <row r="14" spans="1:44" x14ac:dyDescent="0.25">
      <c r="A14" s="24" t="s">
        <v>25</v>
      </c>
      <c r="B14" s="60">
        <f>'Parameter Input'!B22</f>
        <v>-10000</v>
      </c>
      <c r="C14" s="61">
        <f>'Parameter Input'!C22</f>
        <v>-10000</v>
      </c>
      <c r="D14" s="1" t="s">
        <v>15</v>
      </c>
      <c r="L14" s="54">
        <f>'Parameter Input'!E22</f>
        <v>12</v>
      </c>
      <c r="M14" s="37">
        <v>0</v>
      </c>
      <c r="N14" s="37">
        <v>1</v>
      </c>
      <c r="O14" s="37">
        <f>'Parameter Input'!F22</f>
        <v>0.9</v>
      </c>
      <c r="P14" s="55">
        <f>'Parameter Input'!G22</f>
        <v>0.4</v>
      </c>
      <c r="Q14" s="4">
        <f t="shared" si="0"/>
        <v>0.9867978615748374</v>
      </c>
      <c r="R14" s="4">
        <f t="shared" si="0"/>
        <v>0.98114509762858249</v>
      </c>
      <c r="S14" s="4">
        <f t="shared" si="0"/>
        <v>0.97311898315872036</v>
      </c>
      <c r="T14" s="4">
        <f t="shared" si="0"/>
        <v>0.96177484161592774</v>
      </c>
      <c r="U14" s="4">
        <f t="shared" si="0"/>
        <v>0.94584787155511363</v>
      </c>
      <c r="V14" s="4">
        <f t="shared" si="0"/>
        <v>0.92370360150141495</v>
      </c>
      <c r="W14" s="4">
        <f t="shared" si="0"/>
        <v>0.89334463567658451</v>
      </c>
      <c r="X14" s="4">
        <f t="shared" si="0"/>
        <v>0.85254543874327005</v>
      </c>
      <c r="Y14" s="4">
        <f t="shared" si="0"/>
        <v>0.79921300652623883</v>
      </c>
      <c r="Z14" s="4">
        <f t="shared" si="0"/>
        <v>0.73204982249993378</v>
      </c>
      <c r="AA14" s="4">
        <f t="shared" si="0"/>
        <v>0.65145592958786691</v>
      </c>
      <c r="AB14" s="4">
        <f t="shared" si="0"/>
        <v>0.56032247880849573</v>
      </c>
      <c r="AC14" s="4">
        <f t="shared" si="0"/>
        <v>0.46411326873185343</v>
      </c>
      <c r="AD14" s="4">
        <f t="shared" si="0"/>
        <v>0.36979727595523937</v>
      </c>
      <c r="AE14" s="4">
        <f t="shared" si="0"/>
        <v>0.28393948637231203</v>
      </c>
      <c r="AF14" s="4">
        <f t="shared" si="0"/>
        <v>0.21097259161117732</v>
      </c>
      <c r="AG14" s="4">
        <f t="shared" si="0"/>
        <v>0.15253917653798199</v>
      </c>
      <c r="AH14" s="4">
        <f t="shared" si="0"/>
        <v>0.10795188737709993</v>
      </c>
      <c r="AI14" s="4">
        <f t="shared" si="0"/>
        <v>7.5176653938091809E-2</v>
      </c>
      <c r="AJ14" s="4">
        <f t="shared" si="0"/>
        <v>5.1742836177502194E-2</v>
      </c>
      <c r="AK14" s="4">
        <f t="shared" si="0"/>
        <v>3.5319190625345942E-2</v>
      </c>
      <c r="AL14" s="4">
        <f t="shared" si="0"/>
        <v>2.3969442072658165E-2</v>
      </c>
      <c r="AM14" s="4">
        <f t="shared" si="0"/>
        <v>1.6202243558389728E-2</v>
      </c>
      <c r="AN14" s="4">
        <f t="shared" si="0"/>
        <v>1.0922240564108399E-2</v>
      </c>
      <c r="AO14" s="4">
        <f t="shared" si="0"/>
        <v>7.3493212906090566E-3</v>
      </c>
      <c r="AP14" s="4">
        <f t="shared" si="0"/>
        <v>4.9390262185057265E-3</v>
      </c>
      <c r="AQ14" s="4">
        <f t="shared" si="0"/>
        <v>3.3164275492956197E-3</v>
      </c>
      <c r="AR14" s="4">
        <f t="shared" si="0"/>
        <v>2.2256362146679809E-3</v>
      </c>
    </row>
    <row r="15" spans="1:44" x14ac:dyDescent="0.25">
      <c r="A15" s="24" t="s">
        <v>79</v>
      </c>
      <c r="B15" s="45">
        <f>'Parameter Input'!$L$40</f>
        <v>0.06</v>
      </c>
      <c r="C15" s="46">
        <f>'Parameter Input'!$M$40</f>
        <v>0.06</v>
      </c>
      <c r="D15" s="1" t="s">
        <v>57</v>
      </c>
      <c r="L15" s="54">
        <f>'Parameter Input'!$O$40</f>
        <v>12</v>
      </c>
      <c r="M15" s="37">
        <v>0</v>
      </c>
      <c r="N15" s="37">
        <v>1</v>
      </c>
      <c r="O15" s="37">
        <f>'Parameter Input'!$P$40</f>
        <v>0.9</v>
      </c>
      <c r="P15" s="55">
        <f>'Parameter Input'!$Q$40</f>
        <v>0.4</v>
      </c>
      <c r="Q15" s="4">
        <f t="shared" si="0"/>
        <v>0.9867978615748374</v>
      </c>
      <c r="R15" s="4">
        <f t="shared" si="0"/>
        <v>0.98114509762858249</v>
      </c>
      <c r="S15" s="4">
        <f t="shared" si="0"/>
        <v>0.97311898315872036</v>
      </c>
      <c r="T15" s="4">
        <f t="shared" si="0"/>
        <v>0.96177484161592774</v>
      </c>
      <c r="U15" s="4">
        <f t="shared" si="0"/>
        <v>0.94584787155511363</v>
      </c>
      <c r="V15" s="4">
        <f t="shared" si="0"/>
        <v>0.92370360150141495</v>
      </c>
      <c r="W15" s="4">
        <f t="shared" si="0"/>
        <v>0.89334463567658451</v>
      </c>
      <c r="X15" s="4">
        <f t="shared" si="0"/>
        <v>0.85254543874327005</v>
      </c>
      <c r="Y15" s="4">
        <f t="shared" si="0"/>
        <v>0.79921300652623883</v>
      </c>
      <c r="Z15" s="4">
        <f t="shared" si="0"/>
        <v>0.73204982249993378</v>
      </c>
      <c r="AA15" s="4">
        <f t="shared" si="0"/>
        <v>0.65145592958786691</v>
      </c>
      <c r="AB15" s="4">
        <f t="shared" si="0"/>
        <v>0.56032247880849573</v>
      </c>
      <c r="AC15" s="4">
        <f t="shared" si="0"/>
        <v>0.46411326873185343</v>
      </c>
      <c r="AD15" s="4">
        <f t="shared" si="0"/>
        <v>0.36979727595523937</v>
      </c>
      <c r="AE15" s="4">
        <f t="shared" si="0"/>
        <v>0.28393948637231203</v>
      </c>
      <c r="AF15" s="4">
        <f t="shared" si="0"/>
        <v>0.21097259161117732</v>
      </c>
      <c r="AG15" s="4">
        <f t="shared" si="0"/>
        <v>0.15253917653798199</v>
      </c>
      <c r="AH15" s="4">
        <f t="shared" si="0"/>
        <v>0.10795188737709993</v>
      </c>
      <c r="AI15" s="4">
        <f t="shared" si="0"/>
        <v>7.5176653938091809E-2</v>
      </c>
      <c r="AJ15" s="4">
        <f t="shared" si="0"/>
        <v>5.1742836177502194E-2</v>
      </c>
      <c r="AK15" s="4">
        <f t="shared" si="0"/>
        <v>3.5319190625345942E-2</v>
      </c>
      <c r="AL15" s="4">
        <f t="shared" si="0"/>
        <v>2.3969442072658165E-2</v>
      </c>
      <c r="AM15" s="4">
        <f t="shared" si="0"/>
        <v>1.6202243558389728E-2</v>
      </c>
      <c r="AN15" s="4">
        <f t="shared" si="0"/>
        <v>1.0922240564108399E-2</v>
      </c>
      <c r="AO15" s="4">
        <f t="shared" si="0"/>
        <v>7.3493212906090566E-3</v>
      </c>
      <c r="AP15" s="4">
        <f t="shared" si="0"/>
        <v>4.9390262185057265E-3</v>
      </c>
      <c r="AQ15" s="4">
        <f t="shared" si="0"/>
        <v>3.3164275492956197E-3</v>
      </c>
      <c r="AR15" s="4">
        <f t="shared" si="0"/>
        <v>2.2256362146679809E-3</v>
      </c>
    </row>
    <row r="16" spans="1:44" x14ac:dyDescent="0.25">
      <c r="A16" s="24" t="s">
        <v>37</v>
      </c>
      <c r="B16" s="43">
        <f>'Parameter Input'!B23</f>
        <v>70000</v>
      </c>
      <c r="C16" s="44">
        <f>'Parameter Input'!C23</f>
        <v>70000</v>
      </c>
      <c r="D16" s="1" t="s">
        <v>38</v>
      </c>
      <c r="L16" s="54">
        <f>'Parameter Input'!E23</f>
        <v>12</v>
      </c>
      <c r="M16" s="37">
        <v>0</v>
      </c>
      <c r="N16" s="37">
        <v>1</v>
      </c>
      <c r="O16" s="37">
        <f>'Parameter Input'!F23</f>
        <v>0.9</v>
      </c>
      <c r="P16" s="55">
        <f>'Parameter Input'!G23</f>
        <v>0.4</v>
      </c>
      <c r="Q16" s="4">
        <f t="shared" si="0"/>
        <v>0.9867978615748374</v>
      </c>
      <c r="R16" s="4">
        <f t="shared" si="0"/>
        <v>0.98114509762858249</v>
      </c>
      <c r="S16" s="4">
        <f t="shared" si="0"/>
        <v>0.97311898315872036</v>
      </c>
      <c r="T16" s="4">
        <f t="shared" si="0"/>
        <v>0.96177484161592774</v>
      </c>
      <c r="U16" s="4">
        <f t="shared" si="0"/>
        <v>0.94584787155511363</v>
      </c>
      <c r="V16" s="4">
        <f t="shared" si="0"/>
        <v>0.92370360150141495</v>
      </c>
      <c r="W16" s="4">
        <f t="shared" si="0"/>
        <v>0.89334463567658451</v>
      </c>
      <c r="X16" s="4">
        <f t="shared" si="0"/>
        <v>0.85254543874327005</v>
      </c>
      <c r="Y16" s="4">
        <f t="shared" si="0"/>
        <v>0.79921300652623883</v>
      </c>
      <c r="Z16" s="4">
        <f t="shared" si="0"/>
        <v>0.73204982249993378</v>
      </c>
      <c r="AA16" s="4">
        <f t="shared" si="0"/>
        <v>0.65145592958786691</v>
      </c>
      <c r="AB16" s="4">
        <f t="shared" si="0"/>
        <v>0.56032247880849573</v>
      </c>
      <c r="AC16" s="4">
        <f t="shared" si="0"/>
        <v>0.46411326873185343</v>
      </c>
      <c r="AD16" s="4">
        <f t="shared" si="0"/>
        <v>0.36979727595523937</v>
      </c>
      <c r="AE16" s="4">
        <f t="shared" si="0"/>
        <v>0.28393948637231203</v>
      </c>
      <c r="AF16" s="4">
        <f t="shared" si="0"/>
        <v>0.21097259161117732</v>
      </c>
      <c r="AG16" s="4">
        <f t="shared" si="0"/>
        <v>0.15253917653798199</v>
      </c>
      <c r="AH16" s="4">
        <f t="shared" si="0"/>
        <v>0.10795188737709993</v>
      </c>
      <c r="AI16" s="4">
        <f t="shared" si="0"/>
        <v>7.5176653938091809E-2</v>
      </c>
      <c r="AJ16" s="4">
        <f t="shared" si="0"/>
        <v>5.1742836177502194E-2</v>
      </c>
      <c r="AK16" s="4">
        <f t="shared" si="0"/>
        <v>3.5319190625345942E-2</v>
      </c>
      <c r="AL16" s="4">
        <f t="shared" si="0"/>
        <v>2.3969442072658165E-2</v>
      </c>
      <c r="AM16" s="4">
        <f t="shared" si="0"/>
        <v>1.6202243558389728E-2</v>
      </c>
      <c r="AN16" s="4">
        <f t="shared" si="0"/>
        <v>1.0922240564108399E-2</v>
      </c>
      <c r="AO16" s="4">
        <f t="shared" si="0"/>
        <v>7.3493212906090566E-3</v>
      </c>
      <c r="AP16" s="4">
        <f t="shared" si="0"/>
        <v>4.9390262185057265E-3</v>
      </c>
      <c r="AQ16" s="4">
        <f t="shared" si="0"/>
        <v>3.3164275492956197E-3</v>
      </c>
      <c r="AR16" s="4">
        <f t="shared" si="0"/>
        <v>2.2256362146679809E-3</v>
      </c>
    </row>
    <row r="17" spans="1:44" x14ac:dyDescent="0.25">
      <c r="A17" s="24" t="s">
        <v>52</v>
      </c>
      <c r="B17" s="43">
        <f>'Parameter Input'!$L$36</f>
        <v>15000</v>
      </c>
      <c r="C17" s="44">
        <f>'Parameter Input'!$M$36</f>
        <v>15000</v>
      </c>
      <c r="D17" s="1" t="s">
        <v>38</v>
      </c>
      <c r="L17" s="54">
        <f>'Parameter Input'!$O$36</f>
        <v>8</v>
      </c>
      <c r="M17" s="37">
        <v>0</v>
      </c>
      <c r="N17" s="37">
        <v>1</v>
      </c>
      <c r="O17" s="37">
        <f>'Parameter Input'!$P$36</f>
        <v>0.9</v>
      </c>
      <c r="P17" s="55">
        <f>'Parameter Input'!$Q$36</f>
        <v>0.4</v>
      </c>
      <c r="Q17" s="4">
        <f t="shared" si="0"/>
        <v>0.94584787155511363</v>
      </c>
      <c r="R17" s="4">
        <f t="shared" si="0"/>
        <v>0.92370360150141495</v>
      </c>
      <c r="S17" s="4">
        <f t="shared" si="0"/>
        <v>0.89334463567658451</v>
      </c>
      <c r="T17" s="4">
        <f t="shared" si="0"/>
        <v>0.85254543874327005</v>
      </c>
      <c r="U17" s="4">
        <f t="shared" si="0"/>
        <v>0.79921300652623883</v>
      </c>
      <c r="V17" s="4">
        <f t="shared" si="0"/>
        <v>0.73204982249993378</v>
      </c>
      <c r="W17" s="4">
        <f t="shared" si="0"/>
        <v>0.65145592958786691</v>
      </c>
      <c r="X17" s="4">
        <f t="shared" si="0"/>
        <v>0.56032247880849573</v>
      </c>
      <c r="Y17" s="4">
        <f t="shared" si="0"/>
        <v>0.46411326873185343</v>
      </c>
      <c r="Z17" s="4">
        <f t="shared" si="0"/>
        <v>0.36979727595523937</v>
      </c>
      <c r="AA17" s="4">
        <f t="shared" si="0"/>
        <v>0.28393948637231203</v>
      </c>
      <c r="AB17" s="4">
        <f t="shared" si="0"/>
        <v>0.21097259161117732</v>
      </c>
      <c r="AC17" s="4">
        <f t="shared" si="0"/>
        <v>0.15253917653798199</v>
      </c>
      <c r="AD17" s="4">
        <f t="shared" si="0"/>
        <v>0.10795188737709993</v>
      </c>
      <c r="AE17" s="4">
        <f t="shared" si="0"/>
        <v>7.5176653938091809E-2</v>
      </c>
      <c r="AF17" s="4">
        <f t="shared" si="0"/>
        <v>5.1742836177502194E-2</v>
      </c>
      <c r="AG17" s="4">
        <f t="shared" si="0"/>
        <v>3.5319190625345942E-2</v>
      </c>
      <c r="AH17" s="4">
        <f t="shared" si="0"/>
        <v>2.3969442072658165E-2</v>
      </c>
      <c r="AI17" s="4">
        <f t="shared" si="0"/>
        <v>1.6202243558389728E-2</v>
      </c>
      <c r="AJ17" s="4">
        <f t="shared" si="0"/>
        <v>1.0922240564108399E-2</v>
      </c>
      <c r="AK17" s="4">
        <f t="shared" si="0"/>
        <v>7.3493212906090566E-3</v>
      </c>
      <c r="AL17" s="4">
        <f t="shared" si="0"/>
        <v>4.9390262185057265E-3</v>
      </c>
      <c r="AM17" s="4">
        <f t="shared" si="0"/>
        <v>3.3164275492956197E-3</v>
      </c>
      <c r="AN17" s="4">
        <f t="shared" si="0"/>
        <v>2.2256362146679809E-3</v>
      </c>
      <c r="AO17" s="4">
        <f t="shared" si="0"/>
        <v>1.4930448704811861E-3</v>
      </c>
      <c r="AP17" s="4">
        <f t="shared" si="0"/>
        <v>1.0013381504474506E-3</v>
      </c>
      <c r="AQ17" s="4">
        <f t="shared" si="0"/>
        <v>6.7145100246257527E-4</v>
      </c>
      <c r="AR17" s="4">
        <f t="shared" si="0"/>
        <v>4.5019225748876845E-4</v>
      </c>
    </row>
    <row r="18" spans="1:44" x14ac:dyDescent="0.25">
      <c r="A18" s="24" t="s">
        <v>272</v>
      </c>
      <c r="B18" s="45">
        <f>'Parameter Input'!B28</f>
        <v>0.11</v>
      </c>
      <c r="C18" s="46">
        <f>'Parameter Input'!C28</f>
        <v>0.11</v>
      </c>
      <c r="D18" s="1" t="s">
        <v>76</v>
      </c>
      <c r="L18" s="54">
        <f>'Parameter Input'!E28</f>
        <v>12</v>
      </c>
      <c r="M18" s="37">
        <v>0</v>
      </c>
      <c r="N18" s="37">
        <v>1</v>
      </c>
      <c r="O18" s="37">
        <f>'Parameter Input'!F28</f>
        <v>0.9</v>
      </c>
      <c r="P18" s="55">
        <f>'Parameter Input'!G28</f>
        <v>0.4</v>
      </c>
      <c r="Q18" s="4">
        <f t="shared" si="0"/>
        <v>0.9867978615748374</v>
      </c>
      <c r="R18" s="4">
        <f t="shared" si="0"/>
        <v>0.98114509762858249</v>
      </c>
      <c r="S18" s="4">
        <f t="shared" si="0"/>
        <v>0.97311898315872036</v>
      </c>
      <c r="T18" s="4">
        <f t="shared" si="0"/>
        <v>0.96177484161592774</v>
      </c>
      <c r="U18" s="4">
        <f t="shared" si="0"/>
        <v>0.94584787155511363</v>
      </c>
      <c r="V18" s="4">
        <f t="shared" si="0"/>
        <v>0.92370360150141495</v>
      </c>
      <c r="W18" s="4">
        <f t="shared" si="0"/>
        <v>0.89334463567658451</v>
      </c>
      <c r="X18" s="4">
        <f t="shared" si="0"/>
        <v>0.85254543874327005</v>
      </c>
      <c r="Y18" s="4">
        <f t="shared" si="0"/>
        <v>0.79921300652623883</v>
      </c>
      <c r="Z18" s="4">
        <f t="shared" si="0"/>
        <v>0.73204982249993378</v>
      </c>
      <c r="AA18" s="4">
        <f t="shared" si="0"/>
        <v>0.65145592958786691</v>
      </c>
      <c r="AB18" s="4">
        <f t="shared" si="0"/>
        <v>0.56032247880849573</v>
      </c>
      <c r="AC18" s="4">
        <f t="shared" si="0"/>
        <v>0.46411326873185343</v>
      </c>
      <c r="AD18" s="4">
        <f t="shared" si="0"/>
        <v>0.36979727595523937</v>
      </c>
      <c r="AE18" s="4">
        <f t="shared" si="0"/>
        <v>0.28393948637231203</v>
      </c>
      <c r="AF18" s="4">
        <f t="shared" si="0"/>
        <v>0.21097259161117732</v>
      </c>
      <c r="AG18" s="4">
        <f t="shared" si="0"/>
        <v>0.15253917653798199</v>
      </c>
      <c r="AH18" s="4">
        <f t="shared" si="0"/>
        <v>0.10795188737709993</v>
      </c>
      <c r="AI18" s="4">
        <f t="shared" si="0"/>
        <v>7.5176653938091809E-2</v>
      </c>
      <c r="AJ18" s="4">
        <f t="shared" si="0"/>
        <v>5.1742836177502194E-2</v>
      </c>
      <c r="AK18" s="4">
        <f t="shared" si="0"/>
        <v>3.5319190625345942E-2</v>
      </c>
      <c r="AL18" s="4">
        <f t="shared" si="0"/>
        <v>2.3969442072658165E-2</v>
      </c>
      <c r="AM18" s="4">
        <f t="shared" si="0"/>
        <v>1.6202243558389728E-2</v>
      </c>
      <c r="AN18" s="4">
        <f t="shared" si="0"/>
        <v>1.0922240564108399E-2</v>
      </c>
      <c r="AO18" s="4">
        <f t="shared" si="0"/>
        <v>7.3493212906090566E-3</v>
      </c>
      <c r="AP18" s="4">
        <f t="shared" si="0"/>
        <v>4.9390262185057265E-3</v>
      </c>
      <c r="AQ18" s="4">
        <f t="shared" si="0"/>
        <v>3.3164275492956197E-3</v>
      </c>
      <c r="AR18" s="4">
        <f t="shared" si="0"/>
        <v>2.2256362146679809E-3</v>
      </c>
    </row>
    <row r="19" spans="1:44" x14ac:dyDescent="0.25">
      <c r="A19" s="24" t="s">
        <v>59</v>
      </c>
      <c r="B19" s="47">
        <f>'Parameter Input'!$L$37</f>
        <v>1.52</v>
      </c>
      <c r="C19" s="48">
        <f>'Parameter Input'!$M$37</f>
        <v>1.1499999999999999</v>
      </c>
      <c r="D19" s="1" t="s">
        <v>60</v>
      </c>
      <c r="L19" s="54">
        <f>'Parameter Input'!$O$37</f>
        <v>8</v>
      </c>
      <c r="M19" s="37">
        <v>0</v>
      </c>
      <c r="N19" s="37">
        <v>1</v>
      </c>
      <c r="O19" s="37">
        <f>'Parameter Input'!$P$37</f>
        <v>0.9</v>
      </c>
      <c r="P19" s="55">
        <f>'Parameter Input'!$Q$37</f>
        <v>0.4</v>
      </c>
      <c r="Q19" s="4">
        <f t="shared" si="0"/>
        <v>0.94584787155511363</v>
      </c>
      <c r="R19" s="4">
        <f t="shared" si="0"/>
        <v>0.92370360150141495</v>
      </c>
      <c r="S19" s="4">
        <f t="shared" si="0"/>
        <v>0.89334463567658451</v>
      </c>
      <c r="T19" s="4">
        <f t="shared" si="0"/>
        <v>0.85254543874327005</v>
      </c>
      <c r="U19" s="4">
        <f t="shared" si="0"/>
        <v>0.79921300652623883</v>
      </c>
      <c r="V19" s="4">
        <f t="shared" si="0"/>
        <v>0.73204982249993378</v>
      </c>
      <c r="W19" s="4">
        <f t="shared" si="0"/>
        <v>0.65145592958786691</v>
      </c>
      <c r="X19" s="4">
        <f t="shared" si="0"/>
        <v>0.56032247880849573</v>
      </c>
      <c r="Y19" s="4">
        <f t="shared" si="0"/>
        <v>0.46411326873185343</v>
      </c>
      <c r="Z19" s="4">
        <f t="shared" si="0"/>
        <v>0.36979727595523937</v>
      </c>
      <c r="AA19" s="4">
        <f t="shared" si="0"/>
        <v>0.28393948637231203</v>
      </c>
      <c r="AB19" s="4">
        <f t="shared" si="0"/>
        <v>0.21097259161117732</v>
      </c>
      <c r="AC19" s="4">
        <f t="shared" si="0"/>
        <v>0.15253917653798199</v>
      </c>
      <c r="AD19" s="4">
        <f t="shared" si="0"/>
        <v>0.10795188737709993</v>
      </c>
      <c r="AE19" s="4">
        <f t="shared" si="0"/>
        <v>7.5176653938091809E-2</v>
      </c>
      <c r="AF19" s="4">
        <f t="shared" si="0"/>
        <v>5.1742836177502194E-2</v>
      </c>
      <c r="AG19" s="4">
        <f t="shared" si="0"/>
        <v>3.5319190625345942E-2</v>
      </c>
      <c r="AH19" s="4">
        <f t="shared" si="0"/>
        <v>2.3969442072658165E-2</v>
      </c>
      <c r="AI19" s="4">
        <f t="shared" si="0"/>
        <v>1.6202243558389728E-2</v>
      </c>
      <c r="AJ19" s="4">
        <f t="shared" si="0"/>
        <v>1.0922240564108399E-2</v>
      </c>
      <c r="AK19" s="4">
        <f t="shared" si="0"/>
        <v>7.3493212906090566E-3</v>
      </c>
      <c r="AL19" s="4">
        <f t="shared" si="0"/>
        <v>4.9390262185057265E-3</v>
      </c>
      <c r="AM19" s="4">
        <f t="shared" si="0"/>
        <v>3.3164275492956197E-3</v>
      </c>
      <c r="AN19" s="4">
        <f t="shared" si="0"/>
        <v>2.2256362146679809E-3</v>
      </c>
      <c r="AO19" s="4">
        <f t="shared" si="0"/>
        <v>1.4930448704811861E-3</v>
      </c>
      <c r="AP19" s="4">
        <f t="shared" si="0"/>
        <v>1.0013381504474506E-3</v>
      </c>
      <c r="AQ19" s="4">
        <f t="shared" si="0"/>
        <v>6.7145100246257527E-4</v>
      </c>
      <c r="AR19" s="4">
        <f t="shared" si="0"/>
        <v>4.5019225748876845E-4</v>
      </c>
    </row>
    <row r="20" spans="1:44" x14ac:dyDescent="0.25">
      <c r="A20" s="24" t="s">
        <v>67</v>
      </c>
      <c r="B20" s="45">
        <f>'Parameter Input'!$L$38</f>
        <v>0.13371034051801745</v>
      </c>
      <c r="C20" s="46">
        <f>'Parameter Input'!$M$38</f>
        <v>8.7585019329602734E-2</v>
      </c>
      <c r="D20" s="1" t="s">
        <v>68</v>
      </c>
      <c r="L20" s="54">
        <f>'Parameter Input'!$O$38</f>
        <v>12</v>
      </c>
      <c r="M20" s="37">
        <v>0</v>
      </c>
      <c r="N20" s="37">
        <v>1</v>
      </c>
      <c r="O20" s="37">
        <f>'Parameter Input'!$P$38</f>
        <v>0.9</v>
      </c>
      <c r="P20" s="55">
        <f>'Parameter Input'!$Q$38</f>
        <v>0.4</v>
      </c>
      <c r="Q20" s="4">
        <f t="shared" si="0"/>
        <v>0.9867978615748374</v>
      </c>
      <c r="R20" s="4">
        <f t="shared" si="0"/>
        <v>0.98114509762858249</v>
      </c>
      <c r="S20" s="4">
        <f t="shared" si="0"/>
        <v>0.97311898315872036</v>
      </c>
      <c r="T20" s="4">
        <f t="shared" ref="T20:AR27" si="1">$N20+($M20-$N20)*((1/(1+EXP(-$P20*(T$9-$L20)))^$O20))</f>
        <v>0.96177484161592774</v>
      </c>
      <c r="U20" s="4">
        <f t="shared" si="1"/>
        <v>0.94584787155511363</v>
      </c>
      <c r="V20" s="4">
        <f t="shared" si="1"/>
        <v>0.92370360150141495</v>
      </c>
      <c r="W20" s="4">
        <f t="shared" si="1"/>
        <v>0.89334463567658451</v>
      </c>
      <c r="X20" s="4">
        <f t="shared" si="1"/>
        <v>0.85254543874327005</v>
      </c>
      <c r="Y20" s="4">
        <f t="shared" si="1"/>
        <v>0.79921300652623883</v>
      </c>
      <c r="Z20" s="4">
        <f t="shared" si="1"/>
        <v>0.73204982249993378</v>
      </c>
      <c r="AA20" s="4">
        <f t="shared" si="1"/>
        <v>0.65145592958786691</v>
      </c>
      <c r="AB20" s="4">
        <f t="shared" si="1"/>
        <v>0.56032247880849573</v>
      </c>
      <c r="AC20" s="4">
        <f t="shared" si="1"/>
        <v>0.46411326873185343</v>
      </c>
      <c r="AD20" s="4">
        <f t="shared" si="1"/>
        <v>0.36979727595523937</v>
      </c>
      <c r="AE20" s="4">
        <f t="shared" si="1"/>
        <v>0.28393948637231203</v>
      </c>
      <c r="AF20" s="4">
        <f t="shared" si="1"/>
        <v>0.21097259161117732</v>
      </c>
      <c r="AG20" s="4">
        <f t="shared" si="1"/>
        <v>0.15253917653798199</v>
      </c>
      <c r="AH20" s="4">
        <f t="shared" si="1"/>
        <v>0.10795188737709993</v>
      </c>
      <c r="AI20" s="4">
        <f t="shared" si="1"/>
        <v>7.5176653938091809E-2</v>
      </c>
      <c r="AJ20" s="4">
        <f t="shared" si="1"/>
        <v>5.1742836177502194E-2</v>
      </c>
      <c r="AK20" s="4">
        <f t="shared" si="1"/>
        <v>3.5319190625345942E-2</v>
      </c>
      <c r="AL20" s="4">
        <f t="shared" si="1"/>
        <v>2.3969442072658165E-2</v>
      </c>
      <c r="AM20" s="4">
        <f t="shared" si="1"/>
        <v>1.6202243558389728E-2</v>
      </c>
      <c r="AN20" s="4">
        <f t="shared" si="1"/>
        <v>1.0922240564108399E-2</v>
      </c>
      <c r="AO20" s="4">
        <f t="shared" si="1"/>
        <v>7.3493212906090566E-3</v>
      </c>
      <c r="AP20" s="4">
        <f t="shared" si="1"/>
        <v>4.9390262185057265E-3</v>
      </c>
      <c r="AQ20" s="4">
        <f t="shared" si="1"/>
        <v>3.3164275492956197E-3</v>
      </c>
      <c r="AR20" s="4">
        <f t="shared" si="1"/>
        <v>2.2256362146679809E-3</v>
      </c>
    </row>
    <row r="21" spans="1:44" x14ac:dyDescent="0.25">
      <c r="A21" s="24" t="s">
        <v>206</v>
      </c>
      <c r="B21" s="115">
        <f>'Parameter Input'!$L$41</f>
        <v>3.5200000000000006E-3</v>
      </c>
      <c r="C21" s="116">
        <f>'Parameter Input'!$M$41</f>
        <v>0</v>
      </c>
      <c r="D21" s="1" t="s">
        <v>76</v>
      </c>
      <c r="L21" s="54">
        <f>'Parameter Input'!$O$41</f>
        <v>17</v>
      </c>
      <c r="M21" s="37">
        <v>0</v>
      </c>
      <c r="N21" s="37">
        <v>1</v>
      </c>
      <c r="O21" s="37">
        <f>'Parameter Input'!$P$41</f>
        <v>0.9</v>
      </c>
      <c r="P21" s="55">
        <f>'Parameter Input'!$Q$41</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41</v>
      </c>
      <c r="B22" s="43">
        <f>'Parameter Input'!$L$35</f>
        <v>8</v>
      </c>
      <c r="C22" s="44">
        <f>'Parameter Input'!$M$35</f>
        <v>8</v>
      </c>
      <c r="D22" s="1" t="s">
        <v>42</v>
      </c>
      <c r="L22" s="54">
        <f>'Parameter Input'!$O$35</f>
        <v>8</v>
      </c>
      <c r="M22" s="37">
        <v>0</v>
      </c>
      <c r="N22" s="37">
        <v>1</v>
      </c>
      <c r="O22" s="37">
        <f>'Parameter Input'!$P$35</f>
        <v>0.9</v>
      </c>
      <c r="P22" s="55">
        <f>'Parameter Input'!$Q$35</f>
        <v>0.4</v>
      </c>
      <c r="Q22" s="4">
        <f t="shared" ref="Q22:AF27" si="3">$N22+($M22-$N22)*((1/(1+EXP(-$P22*(Q$9-$L22)))^$O22))</f>
        <v>0.94584787155511363</v>
      </c>
      <c r="R22" s="4">
        <f t="shared" si="3"/>
        <v>0.92370360150141495</v>
      </c>
      <c r="S22" s="4">
        <f t="shared" si="3"/>
        <v>0.89334463567658451</v>
      </c>
      <c r="T22" s="4">
        <f t="shared" si="3"/>
        <v>0.85254543874327005</v>
      </c>
      <c r="U22" s="4">
        <f t="shared" si="3"/>
        <v>0.79921300652623883</v>
      </c>
      <c r="V22" s="4">
        <f t="shared" si="3"/>
        <v>0.73204982249993378</v>
      </c>
      <c r="W22" s="4">
        <f t="shared" si="3"/>
        <v>0.65145592958786691</v>
      </c>
      <c r="X22" s="4">
        <f t="shared" si="3"/>
        <v>0.56032247880849573</v>
      </c>
      <c r="Y22" s="4">
        <f t="shared" si="3"/>
        <v>0.46411326873185343</v>
      </c>
      <c r="Z22" s="4">
        <f t="shared" si="3"/>
        <v>0.36979727595523937</v>
      </c>
      <c r="AA22" s="4">
        <f t="shared" si="3"/>
        <v>0.28393948637231203</v>
      </c>
      <c r="AB22" s="4">
        <f t="shared" si="3"/>
        <v>0.21097259161117732</v>
      </c>
      <c r="AC22" s="4">
        <f t="shared" si="3"/>
        <v>0.15253917653798199</v>
      </c>
      <c r="AD22" s="4">
        <f t="shared" si="3"/>
        <v>0.10795188737709993</v>
      </c>
      <c r="AE22" s="4">
        <f t="shared" si="3"/>
        <v>7.5176653938091809E-2</v>
      </c>
      <c r="AF22" s="4">
        <f t="shared" si="3"/>
        <v>5.1742836177502194E-2</v>
      </c>
      <c r="AG22" s="4">
        <f t="shared" si="1"/>
        <v>3.5319190625345942E-2</v>
      </c>
      <c r="AH22" s="4">
        <f t="shared" si="1"/>
        <v>2.3969442072658165E-2</v>
      </c>
      <c r="AI22" s="4">
        <f t="shared" si="1"/>
        <v>1.6202243558389728E-2</v>
      </c>
      <c r="AJ22" s="4">
        <f t="shared" si="1"/>
        <v>1.0922240564108399E-2</v>
      </c>
      <c r="AK22" s="4">
        <f t="shared" si="1"/>
        <v>7.3493212906090566E-3</v>
      </c>
      <c r="AL22" s="4">
        <f t="shared" si="1"/>
        <v>4.9390262185057265E-3</v>
      </c>
      <c r="AM22" s="4">
        <f t="shared" si="1"/>
        <v>3.3164275492956197E-3</v>
      </c>
      <c r="AN22" s="4">
        <f t="shared" si="1"/>
        <v>2.2256362146679809E-3</v>
      </c>
      <c r="AO22" s="4">
        <f t="shared" si="1"/>
        <v>1.4930448704811861E-3</v>
      </c>
      <c r="AP22" s="4">
        <f t="shared" si="1"/>
        <v>1.0013381504474506E-3</v>
      </c>
      <c r="AQ22" s="4">
        <f t="shared" si="1"/>
        <v>6.7145100246257527E-4</v>
      </c>
      <c r="AR22" s="4">
        <f t="shared" si="1"/>
        <v>4.5019225748876845E-4</v>
      </c>
    </row>
    <row r="23" spans="1:44" x14ac:dyDescent="0.25">
      <c r="A23" s="24" t="s">
        <v>70</v>
      </c>
      <c r="B23" s="43">
        <f>'Parameter Input'!B27</f>
        <v>10</v>
      </c>
      <c r="C23" s="44">
        <f>'Parameter Input'!C27</f>
        <v>10</v>
      </c>
      <c r="D23" s="1" t="s">
        <v>42</v>
      </c>
      <c r="L23" s="54">
        <f>'Parameter Input'!E27</f>
        <v>12</v>
      </c>
      <c r="M23" s="37">
        <v>0</v>
      </c>
      <c r="N23" s="37">
        <v>1</v>
      </c>
      <c r="O23" s="37">
        <f>'Parameter Input'!F27</f>
        <v>0.9</v>
      </c>
      <c r="P23" s="55">
        <f>'Parameter Input'!G27</f>
        <v>0.4</v>
      </c>
      <c r="Q23" s="4">
        <f t="shared" si="3"/>
        <v>0.9867978615748374</v>
      </c>
      <c r="R23" s="4">
        <f t="shared" si="3"/>
        <v>0.98114509762858249</v>
      </c>
      <c r="S23" s="4">
        <f t="shared" si="3"/>
        <v>0.97311898315872036</v>
      </c>
      <c r="T23" s="4">
        <f t="shared" si="3"/>
        <v>0.96177484161592774</v>
      </c>
      <c r="U23" s="4">
        <f t="shared" si="3"/>
        <v>0.94584787155511363</v>
      </c>
      <c r="V23" s="4">
        <f t="shared" si="3"/>
        <v>0.92370360150141495</v>
      </c>
      <c r="W23" s="4">
        <f t="shared" si="3"/>
        <v>0.89334463567658451</v>
      </c>
      <c r="X23" s="4">
        <f t="shared" si="3"/>
        <v>0.85254543874327005</v>
      </c>
      <c r="Y23" s="4">
        <f t="shared" si="3"/>
        <v>0.79921300652623883</v>
      </c>
      <c r="Z23" s="4">
        <f t="shared" si="3"/>
        <v>0.73204982249993378</v>
      </c>
      <c r="AA23" s="4">
        <f t="shared" si="3"/>
        <v>0.65145592958786691</v>
      </c>
      <c r="AB23" s="4">
        <f t="shared" si="3"/>
        <v>0.56032247880849573</v>
      </c>
      <c r="AC23" s="4">
        <f t="shared" si="3"/>
        <v>0.46411326873185343</v>
      </c>
      <c r="AD23" s="4">
        <f t="shared" si="3"/>
        <v>0.36979727595523937</v>
      </c>
      <c r="AE23" s="4">
        <f t="shared" si="3"/>
        <v>0.28393948637231203</v>
      </c>
      <c r="AF23" s="4">
        <f t="shared" si="3"/>
        <v>0.21097259161117732</v>
      </c>
      <c r="AG23" s="4">
        <f t="shared" si="1"/>
        <v>0.15253917653798199</v>
      </c>
      <c r="AH23" s="4">
        <f t="shared" si="1"/>
        <v>0.10795188737709993</v>
      </c>
      <c r="AI23" s="4">
        <f t="shared" si="1"/>
        <v>7.5176653938091809E-2</v>
      </c>
      <c r="AJ23" s="4">
        <f t="shared" si="1"/>
        <v>5.1742836177502194E-2</v>
      </c>
      <c r="AK23" s="4">
        <f t="shared" si="1"/>
        <v>3.5319190625345942E-2</v>
      </c>
      <c r="AL23" s="4">
        <f t="shared" si="1"/>
        <v>2.3969442072658165E-2</v>
      </c>
      <c r="AM23" s="4">
        <f t="shared" si="1"/>
        <v>1.6202243558389728E-2</v>
      </c>
      <c r="AN23" s="4">
        <f t="shared" si="1"/>
        <v>1.0922240564108399E-2</v>
      </c>
      <c r="AO23" s="4">
        <f t="shared" si="1"/>
        <v>7.3493212906090566E-3</v>
      </c>
      <c r="AP23" s="4">
        <f t="shared" si="1"/>
        <v>4.9390262185057265E-3</v>
      </c>
      <c r="AQ23" s="4">
        <f t="shared" si="1"/>
        <v>3.3164275492956197E-3</v>
      </c>
      <c r="AR23" s="4">
        <f t="shared" si="1"/>
        <v>2.2256362146679809E-3</v>
      </c>
    </row>
    <row r="24" spans="1:44" x14ac:dyDescent="0.25">
      <c r="A24" s="24" t="s">
        <v>207</v>
      </c>
      <c r="B24" s="70">
        <f>'Parameter Input'!B24</f>
        <v>25</v>
      </c>
      <c r="C24" s="71">
        <f>'Parameter Input'!C24</f>
        <v>25</v>
      </c>
      <c r="D24" s="1" t="s">
        <v>49</v>
      </c>
      <c r="L24" s="54">
        <f>'Parameter Input'!E24</f>
        <v>12</v>
      </c>
      <c r="M24" s="37">
        <v>0</v>
      </c>
      <c r="N24" s="37">
        <v>1</v>
      </c>
      <c r="O24" s="37">
        <f>'Parameter Input'!F24</f>
        <v>0.9</v>
      </c>
      <c r="P24" s="55">
        <f>'Parameter Input'!G24</f>
        <v>0.4</v>
      </c>
      <c r="Q24" s="4">
        <f t="shared" si="3"/>
        <v>0.9867978615748374</v>
      </c>
      <c r="R24" s="4">
        <f t="shared" si="3"/>
        <v>0.98114509762858249</v>
      </c>
      <c r="S24" s="4">
        <f t="shared" si="3"/>
        <v>0.97311898315872036</v>
      </c>
      <c r="T24" s="4">
        <f t="shared" si="3"/>
        <v>0.96177484161592774</v>
      </c>
      <c r="U24" s="4">
        <f t="shared" si="3"/>
        <v>0.94584787155511363</v>
      </c>
      <c r="V24" s="4">
        <f t="shared" si="3"/>
        <v>0.92370360150141495</v>
      </c>
      <c r="W24" s="4">
        <f t="shared" si="3"/>
        <v>0.89334463567658451</v>
      </c>
      <c r="X24" s="4">
        <f t="shared" si="3"/>
        <v>0.85254543874327005</v>
      </c>
      <c r="Y24" s="4">
        <f t="shared" si="3"/>
        <v>0.79921300652623883</v>
      </c>
      <c r="Z24" s="4">
        <f t="shared" si="3"/>
        <v>0.73204982249993378</v>
      </c>
      <c r="AA24" s="4">
        <f t="shared" si="3"/>
        <v>0.65145592958786691</v>
      </c>
      <c r="AB24" s="4">
        <f t="shared" si="3"/>
        <v>0.56032247880849573</v>
      </c>
      <c r="AC24" s="4">
        <f t="shared" si="3"/>
        <v>0.46411326873185343</v>
      </c>
      <c r="AD24" s="4">
        <f t="shared" si="3"/>
        <v>0.36979727595523937</v>
      </c>
      <c r="AE24" s="4">
        <f t="shared" si="3"/>
        <v>0.28393948637231203</v>
      </c>
      <c r="AF24" s="4">
        <f t="shared" si="3"/>
        <v>0.21097259161117732</v>
      </c>
      <c r="AG24" s="4">
        <f t="shared" si="1"/>
        <v>0.15253917653798199</v>
      </c>
      <c r="AH24" s="4">
        <f t="shared" si="1"/>
        <v>0.10795188737709993</v>
      </c>
      <c r="AI24" s="4">
        <f t="shared" si="1"/>
        <v>7.5176653938091809E-2</v>
      </c>
      <c r="AJ24" s="4">
        <f t="shared" si="1"/>
        <v>5.1742836177502194E-2</v>
      </c>
      <c r="AK24" s="4">
        <f t="shared" si="1"/>
        <v>3.5319190625345942E-2</v>
      </c>
      <c r="AL24" s="4">
        <f t="shared" si="1"/>
        <v>2.3969442072658165E-2</v>
      </c>
      <c r="AM24" s="4">
        <f t="shared" si="1"/>
        <v>1.6202243558389728E-2</v>
      </c>
      <c r="AN24" s="4">
        <f t="shared" si="1"/>
        <v>1.0922240564108399E-2</v>
      </c>
      <c r="AO24" s="4">
        <f t="shared" si="1"/>
        <v>7.3493212906090566E-3</v>
      </c>
      <c r="AP24" s="4">
        <f t="shared" si="1"/>
        <v>4.9390262185057265E-3</v>
      </c>
      <c r="AQ24" s="4">
        <f t="shared" si="1"/>
        <v>3.3164275492956197E-3</v>
      </c>
      <c r="AR24" s="4">
        <f t="shared" si="1"/>
        <v>2.2256362146679809E-3</v>
      </c>
    </row>
    <row r="25" spans="1:44" x14ac:dyDescent="0.25">
      <c r="A25" s="24" t="s">
        <v>56</v>
      </c>
      <c r="B25" s="72">
        <f>'Parameter Input'!B25</f>
        <v>0.55999999999999994</v>
      </c>
      <c r="C25" s="73">
        <f>'Parameter Input'!C25</f>
        <v>0.55999999999999994</v>
      </c>
      <c r="D25" s="1" t="s">
        <v>57</v>
      </c>
      <c r="L25" s="54">
        <f>'Parameter Input'!E25</f>
        <v>12</v>
      </c>
      <c r="M25" s="37">
        <v>0</v>
      </c>
      <c r="N25" s="37">
        <v>1</v>
      </c>
      <c r="O25" s="37">
        <f>'Parameter Input'!F25</f>
        <v>0.9</v>
      </c>
      <c r="P25" s="55">
        <f>'Parameter Input'!G25</f>
        <v>0.4</v>
      </c>
      <c r="Q25" s="4">
        <f t="shared" si="3"/>
        <v>0.9867978615748374</v>
      </c>
      <c r="R25" s="4">
        <f t="shared" si="3"/>
        <v>0.98114509762858249</v>
      </c>
      <c r="S25" s="4">
        <f t="shared" si="3"/>
        <v>0.97311898315872036</v>
      </c>
      <c r="T25" s="4">
        <f t="shared" si="3"/>
        <v>0.96177484161592774</v>
      </c>
      <c r="U25" s="4">
        <f t="shared" si="3"/>
        <v>0.94584787155511363</v>
      </c>
      <c r="V25" s="4">
        <f t="shared" si="3"/>
        <v>0.92370360150141495</v>
      </c>
      <c r="W25" s="4">
        <f t="shared" si="3"/>
        <v>0.89334463567658451</v>
      </c>
      <c r="X25" s="4">
        <f t="shared" si="3"/>
        <v>0.85254543874327005</v>
      </c>
      <c r="Y25" s="4">
        <f t="shared" si="3"/>
        <v>0.79921300652623883</v>
      </c>
      <c r="Z25" s="4">
        <f t="shared" si="3"/>
        <v>0.73204982249993378</v>
      </c>
      <c r="AA25" s="4">
        <f t="shared" si="3"/>
        <v>0.65145592958786691</v>
      </c>
      <c r="AB25" s="4">
        <f t="shared" si="3"/>
        <v>0.56032247880849573</v>
      </c>
      <c r="AC25" s="4">
        <f t="shared" si="3"/>
        <v>0.46411326873185343</v>
      </c>
      <c r="AD25" s="4">
        <f t="shared" si="3"/>
        <v>0.36979727595523937</v>
      </c>
      <c r="AE25" s="4">
        <f t="shared" si="3"/>
        <v>0.28393948637231203</v>
      </c>
      <c r="AF25" s="4">
        <f t="shared" si="3"/>
        <v>0.21097259161117732</v>
      </c>
      <c r="AG25" s="4">
        <f t="shared" si="1"/>
        <v>0.15253917653798199</v>
      </c>
      <c r="AH25" s="4">
        <f t="shared" si="1"/>
        <v>0.10795188737709993</v>
      </c>
      <c r="AI25" s="4">
        <f t="shared" si="1"/>
        <v>7.5176653938091809E-2</v>
      </c>
      <c r="AJ25" s="4">
        <f t="shared" si="1"/>
        <v>5.1742836177502194E-2</v>
      </c>
      <c r="AK25" s="4">
        <f t="shared" si="1"/>
        <v>3.5319190625345942E-2</v>
      </c>
      <c r="AL25" s="4">
        <f t="shared" si="1"/>
        <v>2.3969442072658165E-2</v>
      </c>
      <c r="AM25" s="4">
        <f t="shared" si="1"/>
        <v>1.6202243558389728E-2</v>
      </c>
      <c r="AN25" s="4">
        <f t="shared" si="1"/>
        <v>1.0922240564108399E-2</v>
      </c>
      <c r="AO25" s="4">
        <f t="shared" si="1"/>
        <v>7.3493212906090566E-3</v>
      </c>
      <c r="AP25" s="4">
        <f t="shared" si="1"/>
        <v>4.9390262185057265E-3</v>
      </c>
      <c r="AQ25" s="4">
        <f t="shared" si="1"/>
        <v>3.3164275492956197E-3</v>
      </c>
      <c r="AR25" s="4">
        <f t="shared" si="1"/>
        <v>2.2256362146679809E-3</v>
      </c>
    </row>
    <row r="26" spans="1:44" x14ac:dyDescent="0.25">
      <c r="A26" s="24" t="s">
        <v>73</v>
      </c>
      <c r="B26" s="72">
        <f>'Parameter Input'!L39</f>
        <v>0.1</v>
      </c>
      <c r="C26" s="73">
        <f>'Parameter Input'!M39</f>
        <v>0.05</v>
      </c>
      <c r="D26" s="1" t="s">
        <v>57</v>
      </c>
      <c r="L26" s="54">
        <f>'Parameter Input'!O39</f>
        <v>12</v>
      </c>
      <c r="M26" s="37">
        <v>0</v>
      </c>
      <c r="N26" s="37">
        <v>1</v>
      </c>
      <c r="O26" s="37">
        <f>'Parameter Input'!P39</f>
        <v>0.9</v>
      </c>
      <c r="P26" s="55">
        <f>'Parameter Input'!Q39</f>
        <v>0.4</v>
      </c>
      <c r="Q26" s="4">
        <f t="shared" si="3"/>
        <v>0.9867978615748374</v>
      </c>
      <c r="R26" s="4">
        <f t="shared" si="3"/>
        <v>0.98114509762858249</v>
      </c>
      <c r="S26" s="4">
        <f t="shared" si="3"/>
        <v>0.97311898315872036</v>
      </c>
      <c r="T26" s="4">
        <f t="shared" si="3"/>
        <v>0.96177484161592774</v>
      </c>
      <c r="U26" s="4">
        <f t="shared" si="3"/>
        <v>0.94584787155511363</v>
      </c>
      <c r="V26" s="4">
        <f t="shared" si="3"/>
        <v>0.92370360150141495</v>
      </c>
      <c r="W26" s="4">
        <f t="shared" si="3"/>
        <v>0.89334463567658451</v>
      </c>
      <c r="X26" s="4">
        <f t="shared" si="3"/>
        <v>0.85254543874327005</v>
      </c>
      <c r="Y26" s="4">
        <f t="shared" si="3"/>
        <v>0.79921300652623883</v>
      </c>
      <c r="Z26" s="4">
        <f t="shared" si="3"/>
        <v>0.73204982249993378</v>
      </c>
      <c r="AA26" s="4">
        <f t="shared" si="3"/>
        <v>0.65145592958786691</v>
      </c>
      <c r="AB26" s="4">
        <f t="shared" si="3"/>
        <v>0.56032247880849573</v>
      </c>
      <c r="AC26" s="4">
        <f t="shared" si="3"/>
        <v>0.46411326873185343</v>
      </c>
      <c r="AD26" s="4">
        <f t="shared" si="3"/>
        <v>0.36979727595523937</v>
      </c>
      <c r="AE26" s="4">
        <f t="shared" si="3"/>
        <v>0.28393948637231203</v>
      </c>
      <c r="AF26" s="4">
        <f t="shared" si="3"/>
        <v>0.21097259161117732</v>
      </c>
      <c r="AG26" s="4">
        <f t="shared" si="1"/>
        <v>0.15253917653798199</v>
      </c>
      <c r="AH26" s="4">
        <f t="shared" si="1"/>
        <v>0.10795188737709993</v>
      </c>
      <c r="AI26" s="4">
        <f t="shared" si="1"/>
        <v>7.5176653938091809E-2</v>
      </c>
      <c r="AJ26" s="4">
        <f t="shared" si="1"/>
        <v>5.1742836177502194E-2</v>
      </c>
      <c r="AK26" s="4">
        <f t="shared" si="1"/>
        <v>3.5319190625345942E-2</v>
      </c>
      <c r="AL26" s="4">
        <f t="shared" si="1"/>
        <v>2.3969442072658165E-2</v>
      </c>
      <c r="AM26" s="4">
        <f t="shared" si="1"/>
        <v>1.6202243558389728E-2</v>
      </c>
      <c r="AN26" s="4">
        <f t="shared" si="1"/>
        <v>1.0922240564108399E-2</v>
      </c>
      <c r="AO26" s="4">
        <f t="shared" si="1"/>
        <v>7.3493212906090566E-3</v>
      </c>
      <c r="AP26" s="4">
        <f t="shared" si="1"/>
        <v>4.9390262185057265E-3</v>
      </c>
      <c r="AQ26" s="4">
        <f t="shared" si="1"/>
        <v>3.3164275492956197E-3</v>
      </c>
      <c r="AR26" s="4">
        <f t="shared" si="1"/>
        <v>2.2256362146679809E-3</v>
      </c>
    </row>
    <row r="27" spans="1:44" ht="15.75" thickBot="1" x14ac:dyDescent="0.3">
      <c r="A27" s="24" t="s">
        <v>64</v>
      </c>
      <c r="B27" s="74">
        <f>'Parameter Input'!B26</f>
        <v>55000</v>
      </c>
      <c r="C27" s="75">
        <f>'Parameter Input'!C26</f>
        <v>55000</v>
      </c>
      <c r="D27" s="1" t="s">
        <v>65</v>
      </c>
      <c r="L27" s="56">
        <f>'Parameter Input'!E26</f>
        <v>12</v>
      </c>
      <c r="M27" s="57">
        <v>0</v>
      </c>
      <c r="N27" s="57">
        <v>1</v>
      </c>
      <c r="O27" s="57">
        <f>'Parameter Input'!F26</f>
        <v>0.9</v>
      </c>
      <c r="P27" s="58">
        <f>'Parameter Input'!G26</f>
        <v>0.4</v>
      </c>
      <c r="Q27" s="4">
        <f t="shared" si="3"/>
        <v>0.9867978615748374</v>
      </c>
      <c r="R27" s="4">
        <f t="shared" si="3"/>
        <v>0.98114509762858249</v>
      </c>
      <c r="S27" s="4">
        <f t="shared" si="3"/>
        <v>0.97311898315872036</v>
      </c>
      <c r="T27" s="4">
        <f t="shared" si="3"/>
        <v>0.96177484161592774</v>
      </c>
      <c r="U27" s="4">
        <f t="shared" si="3"/>
        <v>0.94584787155511363</v>
      </c>
      <c r="V27" s="4">
        <f t="shared" si="3"/>
        <v>0.92370360150141495</v>
      </c>
      <c r="W27" s="4">
        <f t="shared" si="3"/>
        <v>0.89334463567658451</v>
      </c>
      <c r="X27" s="4">
        <f t="shared" si="3"/>
        <v>0.85254543874327005</v>
      </c>
      <c r="Y27" s="4">
        <f t="shared" si="3"/>
        <v>0.79921300652623883</v>
      </c>
      <c r="Z27" s="4">
        <f t="shared" si="3"/>
        <v>0.73204982249993378</v>
      </c>
      <c r="AA27" s="4">
        <f t="shared" si="3"/>
        <v>0.65145592958786691</v>
      </c>
      <c r="AB27" s="4">
        <f t="shared" si="3"/>
        <v>0.56032247880849573</v>
      </c>
      <c r="AC27" s="4">
        <f t="shared" si="3"/>
        <v>0.46411326873185343</v>
      </c>
      <c r="AD27" s="4">
        <f t="shared" si="3"/>
        <v>0.36979727595523937</v>
      </c>
      <c r="AE27" s="4">
        <f t="shared" si="3"/>
        <v>0.28393948637231203</v>
      </c>
      <c r="AF27" s="4">
        <f t="shared" si="3"/>
        <v>0.21097259161117732</v>
      </c>
      <c r="AG27" s="4">
        <f t="shared" si="1"/>
        <v>0.15253917653798199</v>
      </c>
      <c r="AH27" s="4">
        <f t="shared" si="1"/>
        <v>0.10795188737709993</v>
      </c>
      <c r="AI27" s="4">
        <f t="shared" si="1"/>
        <v>7.5176653938091809E-2</v>
      </c>
      <c r="AJ27" s="4">
        <f t="shared" si="1"/>
        <v>5.1742836177502194E-2</v>
      </c>
      <c r="AK27" s="4">
        <f t="shared" si="1"/>
        <v>3.5319190625345942E-2</v>
      </c>
      <c r="AL27" s="4">
        <f t="shared" si="1"/>
        <v>2.3969442072658165E-2</v>
      </c>
      <c r="AM27" s="4">
        <f t="shared" si="1"/>
        <v>1.6202243558389728E-2</v>
      </c>
      <c r="AN27" s="4">
        <f t="shared" si="1"/>
        <v>1.0922240564108399E-2</v>
      </c>
      <c r="AO27" s="4">
        <f t="shared" si="1"/>
        <v>7.3493212906090566E-3</v>
      </c>
      <c r="AP27" s="4">
        <f t="shared" si="1"/>
        <v>4.9390262185057265E-3</v>
      </c>
      <c r="AQ27" s="4">
        <f t="shared" si="1"/>
        <v>3.3164275492956197E-3</v>
      </c>
      <c r="AR27" s="4">
        <f t="shared" si="1"/>
        <v>2.2256362146679809E-3</v>
      </c>
    </row>
    <row r="28" spans="1:44" x14ac:dyDescent="0.25">
      <c r="A28" s="25"/>
      <c r="B28" s="40"/>
    </row>
    <row r="29" spans="1:44" ht="15.75" thickBot="1" x14ac:dyDescent="0.3"/>
    <row r="30" spans="1:44"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0" si="4">A11</f>
        <v>Capex vehicle</v>
      </c>
      <c r="B31" s="62">
        <f t="shared" ref="B31:B39" si="5">$B11+($C11-$B11)*(1-Q11)</f>
        <v>386191.20724655397</v>
      </c>
      <c r="C31" s="62">
        <f t="shared" ref="C31:C39" si="6">$B11+($C11-$B11)*(1-R11)</f>
        <v>380544.41838286084</v>
      </c>
      <c r="D31" s="62">
        <f t="shared" ref="D31:D39" si="7">$B11+($C11-$B11)*(1-S11)</f>
        <v>372802.88209752907</v>
      </c>
      <c r="E31" s="62">
        <f t="shared" ref="E31:E39" si="8">$B11+($C11-$B11)*(1-T11)</f>
        <v>362399.08687953383</v>
      </c>
      <c r="F31" s="62">
        <f t="shared" ref="F31:F39" si="9">$B11+($C11-$B11)*(1-U11)</f>
        <v>348799.3166641909</v>
      </c>
      <c r="G31" s="62">
        <f t="shared" ref="G31:G39" si="10">$B11+($C11-$B11)*(1-V11)</f>
        <v>331672.70473748312</v>
      </c>
      <c r="H31" s="62">
        <f t="shared" ref="H31:H39" si="11">$B11+($C11-$B11)*(1-W11)</f>
        <v>311121.26204490603</v>
      </c>
      <c r="I31" s="62">
        <f t="shared" ref="I31:I39" si="12">$B11+($C11-$B11)*(1-X11)</f>
        <v>287882.23209616641</v>
      </c>
      <c r="J31" s="62">
        <f t="shared" ref="J31:J39" si="13">$B11+($C11-$B11)*(1-Y11)</f>
        <v>263348.88352662267</v>
      </c>
      <c r="K31" s="62">
        <f t="shared" ref="K31:K39" si="14">$B11+($C11-$B11)*(1-Z11)</f>
        <v>239298.30536858604</v>
      </c>
      <c r="L31" s="62">
        <f t="shared" ref="L31:L39" si="15">$B11+($C11-$B11)*(1-AA11)</f>
        <v>217404.56902493956</v>
      </c>
      <c r="M31" s="62">
        <f t="shared" ref="M31:M39" si="16">$B11+($C11-$B11)*(1-AB11)</f>
        <v>198798.01086085022</v>
      </c>
      <c r="N31" s="62">
        <f t="shared" ref="N31:N39" si="17">$B11+($C11-$B11)*(1-AC11)</f>
        <v>183897.4900171854</v>
      </c>
      <c r="O31" s="62">
        <f t="shared" ref="O31:O39" si="18">$B11+($C11-$B11)*(1-AD11)</f>
        <v>172527.73128116049</v>
      </c>
      <c r="P31" s="62">
        <f t="shared" ref="P31:P39" si="19">$B11+($C11-$B11)*(1-AE11)</f>
        <v>164170.0467542134</v>
      </c>
      <c r="Q31" s="62">
        <f t="shared" ref="Q31:Q39" si="20">$B11+($C11-$B11)*(1-AF11)</f>
        <v>158194.42322526305</v>
      </c>
      <c r="R31" s="62">
        <f t="shared" ref="R31:R39" si="21">$B11+($C11-$B11)*(1-AG11)</f>
        <v>154006.39360946321</v>
      </c>
      <c r="S31" s="62">
        <f t="shared" ref="S31:S39" si="22">$B11+($C11-$B11)*(1-AH11)</f>
        <v>151112.20772852784</v>
      </c>
      <c r="T31" s="62">
        <f t="shared" ref="T31:T39" si="23">$B11+($C11-$B11)*(1-AI11)</f>
        <v>149131.57210738939</v>
      </c>
      <c r="U31" s="62">
        <f t="shared" ref="U31:U39" si="24">$B11+($C11-$B11)*(1-AJ11)</f>
        <v>147785.17134384764</v>
      </c>
      <c r="V31" s="62">
        <f t="shared" ref="V31:V39" si="25">$B11+($C11-$B11)*(1-AK11)</f>
        <v>146874.0769291053</v>
      </c>
      <c r="W31" s="62">
        <f t="shared" ref="W31:W39" si="26">$B11+($C11-$B11)*(1-AL11)</f>
        <v>146259.45168571896</v>
      </c>
      <c r="X31" s="62">
        <f t="shared" ref="X31:X39" si="27">$B11+($C11-$B11)*(1-AM11)</f>
        <v>145845.68902507037</v>
      </c>
      <c r="Y31" s="62">
        <f t="shared" ref="Y31:Y39" si="28">$B11+($C11-$B11)*(1-AN11)</f>
        <v>145567.53723474033</v>
      </c>
      <c r="Z31" s="62">
        <f t="shared" ref="Z31:Z39" si="29">$B11+($C11-$B11)*(1-AO11)</f>
        <v>145380.72644197271</v>
      </c>
      <c r="AA31" s="62">
        <f t="shared" ref="AA31:AA39" si="30">$B11+($C11-$B11)*(1-AP11)</f>
        <v>145255.34122836409</v>
      </c>
      <c r="AB31" s="62">
        <f t="shared" ref="AB31:AB39" si="31">$B11+($C11-$B11)*(1-AQ11)</f>
        <v>145171.22000562795</v>
      </c>
      <c r="AC31" s="62">
        <f t="shared" ref="AC31:AC39" si="32">$B11+($C11-$B11)*(1-AR11)</f>
        <v>145114.79902565962</v>
      </c>
    </row>
    <row r="32" spans="1:44" x14ac:dyDescent="0.25">
      <c r="A32" s="30" t="str">
        <f t="shared" si="4"/>
        <v>Residual value (vehicle)</v>
      </c>
      <c r="B32" s="62">
        <f t="shared" si="5"/>
        <v>-58713.886949433945</v>
      </c>
      <c r="C32" s="62">
        <f t="shared" si="6"/>
        <v>-58187.960535658603</v>
      </c>
      <c r="D32" s="62">
        <f t="shared" si="7"/>
        <v>-57466.935097318885</v>
      </c>
      <c r="E32" s="62">
        <f t="shared" si="8"/>
        <v>-56497.954170152661</v>
      </c>
      <c r="F32" s="62">
        <f t="shared" si="9"/>
        <v>-55231.308904998172</v>
      </c>
      <c r="G32" s="62">
        <f t="shared" si="10"/>
        <v>-53636.18328437343</v>
      </c>
      <c r="H32" s="62">
        <f t="shared" si="11"/>
        <v>-51722.078327711839</v>
      </c>
      <c r="I32" s="62">
        <f t="shared" si="12"/>
        <v>-49557.658871701773</v>
      </c>
      <c r="J32" s="62">
        <f t="shared" si="13"/>
        <v>-47272.690132381518</v>
      </c>
      <c r="K32" s="62">
        <f t="shared" si="14"/>
        <v>-45032.685303936931</v>
      </c>
      <c r="L32" s="62">
        <f t="shared" si="15"/>
        <v>-42993.562801342414</v>
      </c>
      <c r="M32" s="62">
        <f t="shared" si="16"/>
        <v>-41260.599050765464</v>
      </c>
      <c r="N32" s="62">
        <f t="shared" si="17"/>
        <v>-39872.805442777069</v>
      </c>
      <c r="O32" s="62">
        <f t="shared" si="18"/>
        <v>-38813.857325206125</v>
      </c>
      <c r="P32" s="62">
        <f t="shared" si="19"/>
        <v>-38035.445531029676</v>
      </c>
      <c r="Q32" s="62">
        <f t="shared" si="20"/>
        <v>-37478.892359215679</v>
      </c>
      <c r="R32" s="62">
        <f t="shared" si="21"/>
        <v>-37088.830777351963</v>
      </c>
      <c r="S32" s="62">
        <f t="shared" si="22"/>
        <v>-36819.274249225637</v>
      </c>
      <c r="T32" s="62">
        <f t="shared" si="23"/>
        <v>-36634.803284511756</v>
      </c>
      <c r="U32" s="62">
        <f t="shared" si="24"/>
        <v>-36509.403213397571</v>
      </c>
      <c r="V32" s="62">
        <f t="shared" si="25"/>
        <v>-36424.546380651969</v>
      </c>
      <c r="W32" s="62">
        <f t="shared" si="26"/>
        <v>-36367.30187268951</v>
      </c>
      <c r="X32" s="62">
        <f t="shared" si="27"/>
        <v>-36328.765154295776</v>
      </c>
      <c r="Y32" s="62">
        <f t="shared" si="28"/>
        <v>-36302.858860098364</v>
      </c>
      <c r="Z32" s="62">
        <f t="shared" si="29"/>
        <v>-36285.459815673923</v>
      </c>
      <c r="AA32" s="62">
        <f t="shared" si="30"/>
        <v>-36273.781781073129</v>
      </c>
      <c r="AB32" s="62">
        <f t="shared" si="31"/>
        <v>-36265.946961308488</v>
      </c>
      <c r="AC32" s="62">
        <f t="shared" si="32"/>
        <v>-36260.692066115356</v>
      </c>
    </row>
    <row r="33" spans="1:29" x14ac:dyDescent="0.25">
      <c r="A33" s="30" t="str">
        <f t="shared" si="4"/>
        <v>Capex costumization</v>
      </c>
      <c r="B33" s="62">
        <f t="shared" si="5"/>
        <v>40000</v>
      </c>
      <c r="C33" s="62">
        <f t="shared" si="6"/>
        <v>40000</v>
      </c>
      <c r="D33" s="62">
        <f t="shared" si="7"/>
        <v>40000</v>
      </c>
      <c r="E33" s="62">
        <f t="shared" si="8"/>
        <v>40000</v>
      </c>
      <c r="F33" s="62">
        <f t="shared" si="9"/>
        <v>40000</v>
      </c>
      <c r="G33" s="62">
        <f t="shared" si="10"/>
        <v>40000</v>
      </c>
      <c r="H33" s="62">
        <f t="shared" si="11"/>
        <v>40000</v>
      </c>
      <c r="I33" s="62">
        <f t="shared" si="12"/>
        <v>40000</v>
      </c>
      <c r="J33" s="62">
        <f t="shared" si="13"/>
        <v>40000</v>
      </c>
      <c r="K33" s="62">
        <f t="shared" si="14"/>
        <v>40000</v>
      </c>
      <c r="L33" s="62">
        <f t="shared" si="15"/>
        <v>40000</v>
      </c>
      <c r="M33" s="62">
        <f t="shared" si="16"/>
        <v>40000</v>
      </c>
      <c r="N33" s="62">
        <f t="shared" si="17"/>
        <v>40000</v>
      </c>
      <c r="O33" s="62">
        <f t="shared" si="18"/>
        <v>40000</v>
      </c>
      <c r="P33" s="62">
        <f t="shared" si="19"/>
        <v>40000</v>
      </c>
      <c r="Q33" s="62">
        <f t="shared" si="20"/>
        <v>40000</v>
      </c>
      <c r="R33" s="62">
        <f t="shared" si="21"/>
        <v>40000</v>
      </c>
      <c r="S33" s="62">
        <f t="shared" si="22"/>
        <v>40000</v>
      </c>
      <c r="T33" s="62">
        <f t="shared" si="23"/>
        <v>40000</v>
      </c>
      <c r="U33" s="62">
        <f t="shared" si="24"/>
        <v>40000</v>
      </c>
      <c r="V33" s="62">
        <f t="shared" si="25"/>
        <v>40000</v>
      </c>
      <c r="W33" s="62">
        <f t="shared" si="26"/>
        <v>40000</v>
      </c>
      <c r="X33" s="62">
        <f t="shared" si="27"/>
        <v>40000</v>
      </c>
      <c r="Y33" s="62">
        <f t="shared" si="28"/>
        <v>40000</v>
      </c>
      <c r="Z33" s="62">
        <f t="shared" si="29"/>
        <v>40000</v>
      </c>
      <c r="AA33" s="62">
        <f t="shared" si="30"/>
        <v>40000</v>
      </c>
      <c r="AB33" s="62">
        <f t="shared" si="31"/>
        <v>40000</v>
      </c>
      <c r="AC33" s="62">
        <f t="shared" si="32"/>
        <v>40000</v>
      </c>
    </row>
    <row r="34" spans="1:29" x14ac:dyDescent="0.25">
      <c r="A34" s="30" t="str">
        <f t="shared" si="4"/>
        <v>Residual value (costumization)</v>
      </c>
      <c r="B34" s="62">
        <f t="shared" si="5"/>
        <v>-10000</v>
      </c>
      <c r="C34" s="62">
        <f t="shared" si="6"/>
        <v>-10000</v>
      </c>
      <c r="D34" s="62">
        <f t="shared" si="7"/>
        <v>-10000</v>
      </c>
      <c r="E34" s="62">
        <f t="shared" si="8"/>
        <v>-10000</v>
      </c>
      <c r="F34" s="62">
        <f t="shared" si="9"/>
        <v>-10000</v>
      </c>
      <c r="G34" s="62">
        <f t="shared" si="10"/>
        <v>-10000</v>
      </c>
      <c r="H34" s="62">
        <f t="shared" si="11"/>
        <v>-10000</v>
      </c>
      <c r="I34" s="62">
        <f t="shared" si="12"/>
        <v>-10000</v>
      </c>
      <c r="J34" s="62">
        <f t="shared" si="13"/>
        <v>-10000</v>
      </c>
      <c r="K34" s="62">
        <f t="shared" si="14"/>
        <v>-10000</v>
      </c>
      <c r="L34" s="62">
        <f t="shared" si="15"/>
        <v>-10000</v>
      </c>
      <c r="M34" s="62">
        <f t="shared" si="16"/>
        <v>-10000</v>
      </c>
      <c r="N34" s="62">
        <f t="shared" si="17"/>
        <v>-10000</v>
      </c>
      <c r="O34" s="62">
        <f t="shared" si="18"/>
        <v>-10000</v>
      </c>
      <c r="P34" s="62">
        <f t="shared" si="19"/>
        <v>-10000</v>
      </c>
      <c r="Q34" s="62">
        <f t="shared" si="20"/>
        <v>-10000</v>
      </c>
      <c r="R34" s="62">
        <f t="shared" si="21"/>
        <v>-10000</v>
      </c>
      <c r="S34" s="62">
        <f t="shared" si="22"/>
        <v>-10000</v>
      </c>
      <c r="T34" s="62">
        <f t="shared" si="23"/>
        <v>-10000</v>
      </c>
      <c r="U34" s="62">
        <f t="shared" si="24"/>
        <v>-10000</v>
      </c>
      <c r="V34" s="62">
        <f t="shared" si="25"/>
        <v>-10000</v>
      </c>
      <c r="W34" s="62">
        <f t="shared" si="26"/>
        <v>-10000</v>
      </c>
      <c r="X34" s="62">
        <f t="shared" si="27"/>
        <v>-10000</v>
      </c>
      <c r="Y34" s="62">
        <f t="shared" si="28"/>
        <v>-10000</v>
      </c>
      <c r="Z34" s="62">
        <f t="shared" si="29"/>
        <v>-10000</v>
      </c>
      <c r="AA34" s="62">
        <f t="shared" si="30"/>
        <v>-10000</v>
      </c>
      <c r="AB34" s="62">
        <f t="shared" si="31"/>
        <v>-10000</v>
      </c>
      <c r="AC34" s="62">
        <f t="shared" si="32"/>
        <v>-10000</v>
      </c>
    </row>
    <row r="35" spans="1:29" x14ac:dyDescent="0.25">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25">
      <c r="A36" s="30" t="str">
        <f t="shared" si="4"/>
        <v>Opex fix (admin, crew, insurance)</v>
      </c>
      <c r="B36" s="62">
        <f t="shared" si="5"/>
        <v>70000</v>
      </c>
      <c r="C36" s="62">
        <f t="shared" si="6"/>
        <v>70000</v>
      </c>
      <c r="D36" s="62">
        <f t="shared" si="7"/>
        <v>70000</v>
      </c>
      <c r="E36" s="62">
        <f t="shared" si="8"/>
        <v>70000</v>
      </c>
      <c r="F36" s="62">
        <f t="shared" si="9"/>
        <v>70000</v>
      </c>
      <c r="G36" s="62">
        <f t="shared" si="10"/>
        <v>70000</v>
      </c>
      <c r="H36" s="62">
        <f t="shared" si="11"/>
        <v>70000</v>
      </c>
      <c r="I36" s="62">
        <f t="shared" si="12"/>
        <v>70000</v>
      </c>
      <c r="J36" s="62">
        <f t="shared" si="13"/>
        <v>70000</v>
      </c>
      <c r="K36" s="62">
        <f t="shared" si="14"/>
        <v>70000</v>
      </c>
      <c r="L36" s="62">
        <f t="shared" si="15"/>
        <v>70000</v>
      </c>
      <c r="M36" s="62">
        <f t="shared" si="16"/>
        <v>70000</v>
      </c>
      <c r="N36" s="62">
        <f t="shared" si="17"/>
        <v>70000</v>
      </c>
      <c r="O36" s="62">
        <f t="shared" si="18"/>
        <v>70000</v>
      </c>
      <c r="P36" s="62">
        <f t="shared" si="19"/>
        <v>70000</v>
      </c>
      <c r="Q36" s="62">
        <f t="shared" si="20"/>
        <v>70000</v>
      </c>
      <c r="R36" s="62">
        <f t="shared" si="21"/>
        <v>70000</v>
      </c>
      <c r="S36" s="62">
        <f t="shared" si="22"/>
        <v>70000</v>
      </c>
      <c r="T36" s="62">
        <f t="shared" si="23"/>
        <v>70000</v>
      </c>
      <c r="U36" s="62">
        <f t="shared" si="24"/>
        <v>70000</v>
      </c>
      <c r="V36" s="62">
        <f t="shared" si="25"/>
        <v>70000</v>
      </c>
      <c r="W36" s="62">
        <f t="shared" si="26"/>
        <v>70000</v>
      </c>
      <c r="X36" s="62">
        <f t="shared" si="27"/>
        <v>70000</v>
      </c>
      <c r="Y36" s="62">
        <f t="shared" si="28"/>
        <v>70000</v>
      </c>
      <c r="Z36" s="62">
        <f t="shared" si="29"/>
        <v>70000</v>
      </c>
      <c r="AA36" s="62">
        <f t="shared" si="30"/>
        <v>70000</v>
      </c>
      <c r="AB36" s="62">
        <f t="shared" si="31"/>
        <v>70000</v>
      </c>
      <c r="AC36" s="62">
        <f t="shared" si="32"/>
        <v>70000</v>
      </c>
    </row>
    <row r="37" spans="1:29" x14ac:dyDescent="0.25">
      <c r="A37" s="30" t="str">
        <f t="shared" si="4"/>
        <v>Opex maintenance &amp; repair</v>
      </c>
      <c r="B37" s="62">
        <f t="shared" si="5"/>
        <v>15000</v>
      </c>
      <c r="C37" s="62">
        <f t="shared" si="6"/>
        <v>15000</v>
      </c>
      <c r="D37" s="62">
        <f t="shared" si="7"/>
        <v>15000</v>
      </c>
      <c r="E37" s="62">
        <f t="shared" si="8"/>
        <v>15000</v>
      </c>
      <c r="F37" s="62">
        <f t="shared" si="9"/>
        <v>15000</v>
      </c>
      <c r="G37" s="62">
        <f t="shared" si="10"/>
        <v>15000</v>
      </c>
      <c r="H37" s="62">
        <f t="shared" si="11"/>
        <v>15000</v>
      </c>
      <c r="I37" s="62">
        <f t="shared" si="12"/>
        <v>15000</v>
      </c>
      <c r="J37" s="62">
        <f t="shared" si="13"/>
        <v>15000</v>
      </c>
      <c r="K37" s="62">
        <f t="shared" si="14"/>
        <v>15000</v>
      </c>
      <c r="L37" s="62">
        <f t="shared" si="15"/>
        <v>15000</v>
      </c>
      <c r="M37" s="62">
        <f t="shared" si="16"/>
        <v>15000</v>
      </c>
      <c r="N37" s="62">
        <f t="shared" si="17"/>
        <v>15000</v>
      </c>
      <c r="O37" s="62">
        <f t="shared" si="18"/>
        <v>15000</v>
      </c>
      <c r="P37" s="62">
        <f t="shared" si="19"/>
        <v>15000</v>
      </c>
      <c r="Q37" s="62">
        <f t="shared" si="20"/>
        <v>15000</v>
      </c>
      <c r="R37" s="62">
        <f t="shared" si="21"/>
        <v>15000</v>
      </c>
      <c r="S37" s="62">
        <f t="shared" si="22"/>
        <v>15000</v>
      </c>
      <c r="T37" s="62">
        <f t="shared" si="23"/>
        <v>15000</v>
      </c>
      <c r="U37" s="62">
        <f t="shared" si="24"/>
        <v>15000</v>
      </c>
      <c r="V37" s="62">
        <f t="shared" si="25"/>
        <v>15000</v>
      </c>
      <c r="W37" s="62">
        <f t="shared" si="26"/>
        <v>15000</v>
      </c>
      <c r="X37" s="62">
        <f t="shared" si="27"/>
        <v>15000</v>
      </c>
      <c r="Y37" s="62">
        <f t="shared" si="28"/>
        <v>15000</v>
      </c>
      <c r="Z37" s="62">
        <f t="shared" si="29"/>
        <v>15000</v>
      </c>
      <c r="AA37" s="62">
        <f t="shared" si="30"/>
        <v>15000</v>
      </c>
      <c r="AB37" s="62">
        <f t="shared" si="31"/>
        <v>15000</v>
      </c>
      <c r="AC37" s="62">
        <f t="shared" si="32"/>
        <v>15000</v>
      </c>
    </row>
    <row r="38" spans="1:29" x14ac:dyDescent="0.25">
      <c r="A38" s="30" t="str">
        <f t="shared" si="4"/>
        <v>Opex var (mode-fees)</v>
      </c>
      <c r="B38" s="62">
        <f t="shared" si="5"/>
        <v>0.11</v>
      </c>
      <c r="C38" s="62">
        <f t="shared" si="6"/>
        <v>0.11</v>
      </c>
      <c r="D38" s="62">
        <f t="shared" si="7"/>
        <v>0.11</v>
      </c>
      <c r="E38" s="62">
        <f t="shared" si="8"/>
        <v>0.11</v>
      </c>
      <c r="F38" s="62">
        <f t="shared" si="9"/>
        <v>0.11</v>
      </c>
      <c r="G38" s="62">
        <f t="shared" si="10"/>
        <v>0.11</v>
      </c>
      <c r="H38" s="62">
        <f t="shared" si="11"/>
        <v>0.11</v>
      </c>
      <c r="I38" s="62">
        <f t="shared" si="12"/>
        <v>0.11</v>
      </c>
      <c r="J38" s="62">
        <f t="shared" si="13"/>
        <v>0.11</v>
      </c>
      <c r="K38" s="62">
        <f t="shared" si="14"/>
        <v>0.11</v>
      </c>
      <c r="L38" s="62">
        <f t="shared" si="15"/>
        <v>0.11</v>
      </c>
      <c r="M38" s="62">
        <f t="shared" si="16"/>
        <v>0.11</v>
      </c>
      <c r="N38" s="62">
        <f t="shared" si="17"/>
        <v>0.11</v>
      </c>
      <c r="O38" s="62">
        <f t="shared" si="18"/>
        <v>0.11</v>
      </c>
      <c r="P38" s="62">
        <f t="shared" si="19"/>
        <v>0.11</v>
      </c>
      <c r="Q38" s="62">
        <f t="shared" si="20"/>
        <v>0.11</v>
      </c>
      <c r="R38" s="62">
        <f t="shared" si="21"/>
        <v>0.11</v>
      </c>
      <c r="S38" s="62">
        <f t="shared" si="22"/>
        <v>0.11</v>
      </c>
      <c r="T38" s="62">
        <f t="shared" si="23"/>
        <v>0.11</v>
      </c>
      <c r="U38" s="62">
        <f t="shared" si="24"/>
        <v>0.11</v>
      </c>
      <c r="V38" s="62">
        <f t="shared" si="25"/>
        <v>0.11</v>
      </c>
      <c r="W38" s="62">
        <f t="shared" si="26"/>
        <v>0.11</v>
      </c>
      <c r="X38" s="62">
        <f t="shared" si="27"/>
        <v>0.11</v>
      </c>
      <c r="Y38" s="62">
        <f t="shared" si="28"/>
        <v>0.11</v>
      </c>
      <c r="Z38" s="62">
        <f t="shared" si="29"/>
        <v>0.11</v>
      </c>
      <c r="AA38" s="62">
        <f t="shared" si="30"/>
        <v>0.11</v>
      </c>
      <c r="AB38" s="62">
        <f t="shared" si="31"/>
        <v>0.11</v>
      </c>
      <c r="AC38" s="62">
        <f t="shared" si="32"/>
        <v>0.11</v>
      </c>
    </row>
    <row r="39" spans="1:29" x14ac:dyDescent="0.25">
      <c r="A39" s="30" t="str">
        <f t="shared" si="4"/>
        <v>Fuel Economy</v>
      </c>
      <c r="B39" s="62">
        <f t="shared" si="5"/>
        <v>1.499963712475392</v>
      </c>
      <c r="C39" s="62">
        <f t="shared" si="6"/>
        <v>1.4917703325555236</v>
      </c>
      <c r="D39" s="62">
        <f t="shared" si="7"/>
        <v>1.4805375152003362</v>
      </c>
      <c r="E39" s="62">
        <f t="shared" si="8"/>
        <v>1.4654418123350099</v>
      </c>
      <c r="F39" s="62">
        <f t="shared" si="9"/>
        <v>1.4457088124147084</v>
      </c>
      <c r="G39" s="62">
        <f t="shared" si="10"/>
        <v>1.4208584343249755</v>
      </c>
      <c r="H39" s="62">
        <f t="shared" si="11"/>
        <v>1.3910386939475108</v>
      </c>
      <c r="I39" s="62">
        <f t="shared" si="12"/>
        <v>1.3573193171591433</v>
      </c>
      <c r="J39" s="62">
        <f t="shared" si="13"/>
        <v>1.3217219094307857</v>
      </c>
      <c r="K39" s="62">
        <f t="shared" si="14"/>
        <v>1.2868249921034385</v>
      </c>
      <c r="L39" s="62">
        <f t="shared" si="15"/>
        <v>1.2550576099577553</v>
      </c>
      <c r="M39" s="62">
        <f t="shared" si="16"/>
        <v>1.2280598588961356</v>
      </c>
      <c r="N39" s="62">
        <f t="shared" si="17"/>
        <v>1.2064394953190534</v>
      </c>
      <c r="O39" s="62">
        <f t="shared" si="18"/>
        <v>1.1899421983295269</v>
      </c>
      <c r="P39" s="62">
        <f t="shared" si="19"/>
        <v>1.1778153619570939</v>
      </c>
      <c r="Q39" s="62">
        <f t="shared" si="20"/>
        <v>1.1691448493856758</v>
      </c>
      <c r="R39" s="62">
        <f t="shared" si="21"/>
        <v>1.1630681005313779</v>
      </c>
      <c r="S39" s="62">
        <f t="shared" si="22"/>
        <v>1.1588686935668835</v>
      </c>
      <c r="T39" s="62">
        <f t="shared" si="23"/>
        <v>1.1559948301166041</v>
      </c>
      <c r="U39" s="62">
        <f t="shared" si="24"/>
        <v>1.1540412290087201</v>
      </c>
      <c r="V39" s="62">
        <f t="shared" si="25"/>
        <v>1.1527192488775253</v>
      </c>
      <c r="W39" s="62">
        <f t="shared" si="26"/>
        <v>1.151827439700847</v>
      </c>
      <c r="X39" s="62">
        <f t="shared" si="27"/>
        <v>1.1512270781932392</v>
      </c>
      <c r="Y39" s="62">
        <f t="shared" si="28"/>
        <v>1.150823485399427</v>
      </c>
      <c r="Z39" s="62">
        <f t="shared" si="29"/>
        <v>1.1505524266020779</v>
      </c>
      <c r="AA39" s="62">
        <f t="shared" si="30"/>
        <v>1.1503704951156655</v>
      </c>
      <c r="AB39" s="62">
        <f t="shared" si="31"/>
        <v>1.1502484368709109</v>
      </c>
      <c r="AC39" s="62">
        <f t="shared" si="32"/>
        <v>1.1501665711352707</v>
      </c>
    </row>
    <row r="40" spans="1:29" x14ac:dyDescent="0.25">
      <c r="A40" s="30" t="str">
        <f t="shared" si="4"/>
        <v>Fuel Cost</v>
      </c>
      <c r="B40" s="62">
        <f>$B20+($C20-$B20)*(1-Q20)</f>
        <v>0.1331013876427829</v>
      </c>
      <c r="C40" s="62">
        <f>$B20+($C20-$B20)*(1-R20)</f>
        <v>0.13284065209015961</v>
      </c>
      <c r="D40" s="62">
        <f>$B20+($C20-$B20)*(1-S20)</f>
        <v>0.13247044498234223</v>
      </c>
      <c r="E40" s="62">
        <f t="shared" ref="E40:AC40" si="33">$B20+($C20-$B20)*(1-T20)</f>
        <v>0.13194719281007408</v>
      </c>
      <c r="F40" s="62">
        <f t="shared" si="33"/>
        <v>0.13121255620046077</v>
      </c>
      <c r="G40" s="62">
        <f t="shared" si="33"/>
        <v>0.13019114463175094</v>
      </c>
      <c r="H40" s="62">
        <f t="shared" si="33"/>
        <v>0.12879082758213251</v>
      </c>
      <c r="I40" s="62">
        <f t="shared" si="33"/>
        <v>0.126908951519354</v>
      </c>
      <c r="J40" s="62">
        <f t="shared" si="33"/>
        <v>0.12444897595358409</v>
      </c>
      <c r="K40" s="62">
        <f t="shared" si="33"/>
        <v>0.12135105251833415</v>
      </c>
      <c r="L40" s="62">
        <f t="shared" si="33"/>
        <v>0.11763363332194038</v>
      </c>
      <c r="M40" s="62">
        <f t="shared" si="33"/>
        <v>0.11343007363373329</v>
      </c>
      <c r="N40" s="62">
        <f t="shared" si="33"/>
        <v>0.10899239291766451</v>
      </c>
      <c r="O40" s="62">
        <f t="shared" si="33"/>
        <v>0.10464203745763898</v>
      </c>
      <c r="P40" s="62">
        <f t="shared" si="33"/>
        <v>0.10068181933659913</v>
      </c>
      <c r="Q40" s="62">
        <f t="shared" si="33"/>
        <v>9.7316197879620536E-2</v>
      </c>
      <c r="R40" s="62">
        <f t="shared" si="33"/>
        <v>9.4620937841233446E-2</v>
      </c>
      <c r="S40" s="62">
        <f t="shared" si="33"/>
        <v>9.2564334807767046E-2</v>
      </c>
      <c r="T40" s="62">
        <f t="shared" si="33"/>
        <v>9.1052566638367527E-2</v>
      </c>
      <c r="U40" s="62">
        <f t="shared" si="33"/>
        <v>8.9971674267489546E-2</v>
      </c>
      <c r="V40" s="62">
        <f t="shared" si="33"/>
        <v>8.9214128341311663E-2</v>
      </c>
      <c r="W40" s="62">
        <f t="shared" si="33"/>
        <v>8.8690617543911193E-2</v>
      </c>
      <c r="X40" s="62">
        <f t="shared" si="33"/>
        <v>8.833235301770638E-2</v>
      </c>
      <c r="Y40" s="62">
        <f t="shared" si="33"/>
        <v>8.8088811183719362E-2</v>
      </c>
      <c r="Z40" s="62">
        <f t="shared" si="33"/>
        <v>8.7924009134648928E-2</v>
      </c>
      <c r="AA40" s="62">
        <f t="shared" si="33"/>
        <v>8.7812833500289317E-2</v>
      </c>
      <c r="AB40" s="62">
        <f t="shared" si="33"/>
        <v>8.7737990615512101E-2</v>
      </c>
      <c r="AC40" s="62">
        <f t="shared" si="33"/>
        <v>8.768767751485286E-2</v>
      </c>
    </row>
    <row r="41" spans="1:29" x14ac:dyDescent="0.25">
      <c r="A41" s="30" t="str">
        <f t="shared" ref="A41" si="34">A21</f>
        <v>Emission Cost</v>
      </c>
      <c r="B41" s="66">
        <f>$B21+($C21-$B21)*(1-Q21)</f>
        <v>3.5122691839304448E-3</v>
      </c>
      <c r="C41" s="66">
        <f t="shared" ref="C41:AC41" si="35">$B21+($C21-$B21)*(1-R21)</f>
        <v>3.5089246478970256E-3</v>
      </c>
      <c r="D41" s="66">
        <f t="shared" si="35"/>
        <v>3.5041370190587195E-3</v>
      </c>
      <c r="E41" s="66">
        <f t="shared" si="35"/>
        <v>3.4972879793244123E-3</v>
      </c>
      <c r="F41" s="66">
        <f t="shared" si="35"/>
        <v>3.4874991902284352E-3</v>
      </c>
      <c r="G41" s="66">
        <f t="shared" si="35"/>
        <v>3.4735284727434282E-3</v>
      </c>
      <c r="H41" s="66">
        <f t="shared" si="35"/>
        <v>3.4536307436526109E-3</v>
      </c>
      <c r="I41" s="66">
        <f t="shared" si="35"/>
        <v>3.4253788207186963E-3</v>
      </c>
      <c r="J41" s="66">
        <f t="shared" si="35"/>
        <v>3.3854474424880663E-3</v>
      </c>
      <c r="K41" s="66">
        <f t="shared" si="35"/>
        <v>3.3293845078740006E-3</v>
      </c>
      <c r="L41" s="66">
        <f t="shared" si="35"/>
        <v>3.251436677284981E-3</v>
      </c>
      <c r="M41" s="66">
        <f t="shared" si="35"/>
        <v>3.1445731175815781E-3</v>
      </c>
      <c r="N41" s="66">
        <f t="shared" si="35"/>
        <v>3.0009599443763112E-3</v>
      </c>
      <c r="O41" s="66">
        <f t="shared" si="35"/>
        <v>2.813229782972361E-3</v>
      </c>
      <c r="P41" s="66">
        <f t="shared" si="35"/>
        <v>2.5768153751997672E-3</v>
      </c>
      <c r="Q41" s="66">
        <f t="shared" si="35"/>
        <v>2.2931248721492917E-3</v>
      </c>
      <c r="R41" s="66">
        <f t="shared" si="35"/>
        <v>1.9723351254059053E-3</v>
      </c>
      <c r="S41" s="66">
        <f t="shared" si="35"/>
        <v>1.6336787059361244E-3</v>
      </c>
      <c r="T41" s="66">
        <f t="shared" si="35"/>
        <v>1.3016864113624426E-3</v>
      </c>
      <c r="U41" s="66">
        <f t="shared" si="35"/>
        <v>9.9946699203053851E-4</v>
      </c>
      <c r="V41" s="66">
        <f t="shared" si="35"/>
        <v>7.4262352247134438E-4</v>
      </c>
      <c r="W41" s="66">
        <f t="shared" si="35"/>
        <v>5.3693790141369664E-4</v>
      </c>
      <c r="X41" s="66">
        <f t="shared" si="35"/>
        <v>3.7999064356739184E-4</v>
      </c>
      <c r="Y41" s="66">
        <f t="shared" si="35"/>
        <v>2.646218218620832E-4</v>
      </c>
      <c r="Z41" s="66">
        <f t="shared" si="35"/>
        <v>1.8213478334480789E-4</v>
      </c>
      <c r="AA41" s="66">
        <f t="shared" si="35"/>
        <v>1.2432355100121771E-4</v>
      </c>
      <c r="AB41" s="66">
        <f t="shared" si="35"/>
        <v>8.4372436095756821E-5</v>
      </c>
      <c r="AC41" s="66">
        <f t="shared" si="35"/>
        <v>5.7031897325531943E-5</v>
      </c>
    </row>
    <row r="42" spans="1:29" x14ac:dyDescent="0.25">
      <c r="A42" s="30" t="str">
        <f>A22</f>
        <v>Lifetime vehicle</v>
      </c>
      <c r="B42" s="62">
        <f>$B22+($C22-$B22)*(1-Q22)</f>
        <v>8</v>
      </c>
      <c r="C42" s="62">
        <f t="shared" ref="C42:L44" si="36">$B22+($C22-$B22)*(1-R22)</f>
        <v>8</v>
      </c>
      <c r="D42" s="62">
        <f t="shared" si="36"/>
        <v>8</v>
      </c>
      <c r="E42" s="62">
        <f t="shared" si="36"/>
        <v>8</v>
      </c>
      <c r="F42" s="62">
        <f t="shared" si="36"/>
        <v>8</v>
      </c>
      <c r="G42" s="62">
        <f t="shared" si="36"/>
        <v>8</v>
      </c>
      <c r="H42" s="62">
        <f t="shared" si="36"/>
        <v>8</v>
      </c>
      <c r="I42" s="62">
        <f t="shared" si="36"/>
        <v>8</v>
      </c>
      <c r="J42" s="62">
        <f t="shared" si="36"/>
        <v>8</v>
      </c>
      <c r="K42" s="62">
        <f t="shared" si="36"/>
        <v>8</v>
      </c>
      <c r="L42" s="62">
        <f t="shared" si="36"/>
        <v>8</v>
      </c>
      <c r="M42" s="62">
        <f t="shared" ref="M42:V44" si="37">$B22+($C22-$B22)*(1-AB22)</f>
        <v>8</v>
      </c>
      <c r="N42" s="62">
        <f t="shared" si="37"/>
        <v>8</v>
      </c>
      <c r="O42" s="62">
        <f t="shared" si="37"/>
        <v>8</v>
      </c>
      <c r="P42" s="62">
        <f t="shared" si="37"/>
        <v>8</v>
      </c>
      <c r="Q42" s="62">
        <f t="shared" si="37"/>
        <v>8</v>
      </c>
      <c r="R42" s="62">
        <f t="shared" si="37"/>
        <v>8</v>
      </c>
      <c r="S42" s="62">
        <f t="shared" si="37"/>
        <v>8</v>
      </c>
      <c r="T42" s="62">
        <f t="shared" si="37"/>
        <v>8</v>
      </c>
      <c r="U42" s="62">
        <f t="shared" si="37"/>
        <v>8</v>
      </c>
      <c r="V42" s="62">
        <f t="shared" si="37"/>
        <v>8</v>
      </c>
      <c r="W42" s="62">
        <f t="shared" ref="W42:AC44" si="38">$B22+($C22-$B22)*(1-AL22)</f>
        <v>8</v>
      </c>
      <c r="X42" s="62">
        <f t="shared" si="38"/>
        <v>8</v>
      </c>
      <c r="Y42" s="62">
        <f t="shared" si="38"/>
        <v>8</v>
      </c>
      <c r="Z42" s="62">
        <f t="shared" si="38"/>
        <v>8</v>
      </c>
      <c r="AA42" s="62">
        <f t="shared" si="38"/>
        <v>8</v>
      </c>
      <c r="AB42" s="62">
        <f t="shared" si="38"/>
        <v>8</v>
      </c>
      <c r="AC42" s="62">
        <f t="shared" si="38"/>
        <v>8</v>
      </c>
    </row>
    <row r="43" spans="1:29" x14ac:dyDescent="0.25">
      <c r="A43" s="30" t="str">
        <f>A23</f>
        <v>Lifetime costumization</v>
      </c>
      <c r="B43" s="62">
        <f>$B23+($C23-$B23)*(1-Q23)</f>
        <v>10</v>
      </c>
      <c r="C43" s="62">
        <f t="shared" si="36"/>
        <v>10</v>
      </c>
      <c r="D43" s="62">
        <f t="shared" si="36"/>
        <v>10</v>
      </c>
      <c r="E43" s="62">
        <f t="shared" si="36"/>
        <v>10</v>
      </c>
      <c r="F43" s="62">
        <f t="shared" si="36"/>
        <v>10</v>
      </c>
      <c r="G43" s="62">
        <f t="shared" si="36"/>
        <v>10</v>
      </c>
      <c r="H43" s="62">
        <f t="shared" si="36"/>
        <v>10</v>
      </c>
      <c r="I43" s="62">
        <f t="shared" si="36"/>
        <v>10</v>
      </c>
      <c r="J43" s="62">
        <f t="shared" si="36"/>
        <v>10</v>
      </c>
      <c r="K43" s="62">
        <f t="shared" si="36"/>
        <v>10</v>
      </c>
      <c r="L43" s="62">
        <f t="shared" si="36"/>
        <v>10</v>
      </c>
      <c r="M43" s="62">
        <f t="shared" si="37"/>
        <v>10</v>
      </c>
      <c r="N43" s="62">
        <f t="shared" si="37"/>
        <v>10</v>
      </c>
      <c r="O43" s="62">
        <f t="shared" si="37"/>
        <v>10</v>
      </c>
      <c r="P43" s="62">
        <f t="shared" si="37"/>
        <v>10</v>
      </c>
      <c r="Q43" s="62">
        <f t="shared" si="37"/>
        <v>10</v>
      </c>
      <c r="R43" s="62">
        <f t="shared" si="37"/>
        <v>10</v>
      </c>
      <c r="S43" s="62">
        <f t="shared" si="37"/>
        <v>10</v>
      </c>
      <c r="T43" s="62">
        <f t="shared" si="37"/>
        <v>10</v>
      </c>
      <c r="U43" s="62">
        <f t="shared" si="37"/>
        <v>10</v>
      </c>
      <c r="V43" s="62">
        <f t="shared" si="37"/>
        <v>10</v>
      </c>
      <c r="W43" s="62">
        <f t="shared" si="38"/>
        <v>10</v>
      </c>
      <c r="X43" s="62">
        <f t="shared" si="38"/>
        <v>10</v>
      </c>
      <c r="Y43" s="62">
        <f t="shared" si="38"/>
        <v>10</v>
      </c>
      <c r="Z43" s="62">
        <f t="shared" si="38"/>
        <v>10</v>
      </c>
      <c r="AA43" s="62">
        <f t="shared" si="38"/>
        <v>10</v>
      </c>
      <c r="AB43" s="62">
        <f t="shared" si="38"/>
        <v>10</v>
      </c>
      <c r="AC43" s="62">
        <f t="shared" si="38"/>
        <v>10</v>
      </c>
    </row>
    <row r="44" spans="1:29" x14ac:dyDescent="0.25">
      <c r="A44" s="30" t="str">
        <f>A24</f>
        <v>Tonnage .</v>
      </c>
      <c r="B44" s="62">
        <f>$B24+($C24-$B24)*(1-Q24)</f>
        <v>25</v>
      </c>
      <c r="C44" s="62">
        <f t="shared" si="36"/>
        <v>25</v>
      </c>
      <c r="D44" s="62">
        <f t="shared" si="36"/>
        <v>25</v>
      </c>
      <c r="E44" s="62">
        <f t="shared" si="36"/>
        <v>25</v>
      </c>
      <c r="F44" s="62">
        <f t="shared" si="36"/>
        <v>25</v>
      </c>
      <c r="G44" s="62">
        <f t="shared" si="36"/>
        <v>25</v>
      </c>
      <c r="H44" s="62">
        <f t="shared" si="36"/>
        <v>25</v>
      </c>
      <c r="I44" s="62">
        <f t="shared" si="36"/>
        <v>25</v>
      </c>
      <c r="J44" s="62">
        <f t="shared" si="36"/>
        <v>25</v>
      </c>
      <c r="K44" s="62">
        <f t="shared" si="36"/>
        <v>25</v>
      </c>
      <c r="L44" s="62">
        <f t="shared" si="36"/>
        <v>25</v>
      </c>
      <c r="M44" s="62">
        <f t="shared" si="37"/>
        <v>25</v>
      </c>
      <c r="N44" s="62">
        <f t="shared" si="37"/>
        <v>25</v>
      </c>
      <c r="O44" s="62">
        <f t="shared" si="37"/>
        <v>25</v>
      </c>
      <c r="P44" s="62">
        <f t="shared" si="37"/>
        <v>25</v>
      </c>
      <c r="Q44" s="62">
        <f t="shared" si="37"/>
        <v>25</v>
      </c>
      <c r="R44" s="62">
        <f t="shared" si="37"/>
        <v>25</v>
      </c>
      <c r="S44" s="62">
        <f t="shared" si="37"/>
        <v>25</v>
      </c>
      <c r="T44" s="62">
        <f t="shared" si="37"/>
        <v>25</v>
      </c>
      <c r="U44" s="62">
        <f t="shared" si="37"/>
        <v>25</v>
      </c>
      <c r="V44" s="62">
        <f t="shared" si="37"/>
        <v>25</v>
      </c>
      <c r="W44" s="62">
        <f t="shared" si="38"/>
        <v>25</v>
      </c>
      <c r="X44" s="62">
        <f t="shared" si="38"/>
        <v>25</v>
      </c>
      <c r="Y44" s="62">
        <f t="shared" si="38"/>
        <v>25</v>
      </c>
      <c r="Z44" s="62">
        <f t="shared" si="38"/>
        <v>25</v>
      </c>
      <c r="AA44" s="62">
        <f t="shared" si="38"/>
        <v>25</v>
      </c>
      <c r="AB44" s="62">
        <f t="shared" si="38"/>
        <v>25</v>
      </c>
      <c r="AC44" s="62">
        <f t="shared" si="38"/>
        <v>25</v>
      </c>
    </row>
    <row r="45" spans="1:29" x14ac:dyDescent="0.25">
      <c r="A45" s="30" t="str">
        <f>A25</f>
        <v>Market failure (av. utilization)</v>
      </c>
      <c r="B45" s="62">
        <f t="shared" ref="B45:K46" si="39">($B25+($C25-$B25)*(1-Q25))*B$44</f>
        <v>13.999999999999998</v>
      </c>
      <c r="C45" s="62">
        <f t="shared" si="39"/>
        <v>13.999999999999998</v>
      </c>
      <c r="D45" s="62">
        <f t="shared" si="39"/>
        <v>13.999999999999998</v>
      </c>
      <c r="E45" s="62">
        <f t="shared" si="39"/>
        <v>13.999999999999998</v>
      </c>
      <c r="F45" s="62">
        <f t="shared" si="39"/>
        <v>13.999999999999998</v>
      </c>
      <c r="G45" s="62">
        <f t="shared" si="39"/>
        <v>13.999999999999998</v>
      </c>
      <c r="H45" s="62">
        <f t="shared" si="39"/>
        <v>13.999999999999998</v>
      </c>
      <c r="I45" s="62">
        <f t="shared" si="39"/>
        <v>13.999999999999998</v>
      </c>
      <c r="J45" s="62">
        <f t="shared" si="39"/>
        <v>13.999999999999998</v>
      </c>
      <c r="K45" s="62">
        <f t="shared" si="39"/>
        <v>13.999999999999998</v>
      </c>
      <c r="L45" s="62">
        <f t="shared" ref="L45:U46" si="40">($B25+($C25-$B25)*(1-AA25))*L$44</f>
        <v>13.999999999999998</v>
      </c>
      <c r="M45" s="62">
        <f t="shared" si="40"/>
        <v>13.999999999999998</v>
      </c>
      <c r="N45" s="62">
        <f t="shared" si="40"/>
        <v>13.999999999999998</v>
      </c>
      <c r="O45" s="62">
        <f t="shared" si="40"/>
        <v>13.999999999999998</v>
      </c>
      <c r="P45" s="62">
        <f t="shared" si="40"/>
        <v>13.999999999999998</v>
      </c>
      <c r="Q45" s="62">
        <f t="shared" si="40"/>
        <v>13.999999999999998</v>
      </c>
      <c r="R45" s="62">
        <f t="shared" si="40"/>
        <v>13.999999999999998</v>
      </c>
      <c r="S45" s="62">
        <f t="shared" si="40"/>
        <v>13.999999999999998</v>
      </c>
      <c r="T45" s="62">
        <f t="shared" si="40"/>
        <v>13.999999999999998</v>
      </c>
      <c r="U45" s="62">
        <f t="shared" si="40"/>
        <v>13.999999999999998</v>
      </c>
      <c r="V45" s="62">
        <f t="shared" ref="V45:AC46" si="41">($B25+($C25-$B25)*(1-AK25))*V$44</f>
        <v>13.999999999999998</v>
      </c>
      <c r="W45" s="62">
        <f t="shared" si="41"/>
        <v>13.999999999999998</v>
      </c>
      <c r="X45" s="62">
        <f t="shared" si="41"/>
        <v>13.999999999999998</v>
      </c>
      <c r="Y45" s="62">
        <f t="shared" si="41"/>
        <v>13.999999999999998</v>
      </c>
      <c r="Z45" s="62">
        <f t="shared" si="41"/>
        <v>13.999999999999998</v>
      </c>
      <c r="AA45" s="62">
        <f t="shared" si="41"/>
        <v>13.999999999999998</v>
      </c>
      <c r="AB45" s="62">
        <f t="shared" si="41"/>
        <v>13.999999999999998</v>
      </c>
      <c r="AC45" s="62">
        <f t="shared" si="41"/>
        <v>13.999999999999998</v>
      </c>
    </row>
    <row r="46" spans="1:29" x14ac:dyDescent="0.25">
      <c r="A46" s="30" t="s">
        <v>73</v>
      </c>
      <c r="B46" s="62">
        <f t="shared" si="39"/>
        <v>2.4834973269685467</v>
      </c>
      <c r="C46" s="62">
        <f t="shared" si="39"/>
        <v>2.4764313720357283</v>
      </c>
      <c r="D46" s="62">
        <f t="shared" si="39"/>
        <v>2.4663987289484006</v>
      </c>
      <c r="E46" s="62">
        <f t="shared" si="39"/>
        <v>2.4522185520199096</v>
      </c>
      <c r="F46" s="62">
        <f t="shared" si="39"/>
        <v>2.4323098394438922</v>
      </c>
      <c r="G46" s="62">
        <f t="shared" si="39"/>
        <v>2.4046295018767689</v>
      </c>
      <c r="H46" s="62">
        <f t="shared" si="39"/>
        <v>2.3666807945957307</v>
      </c>
      <c r="I46" s="62">
        <f t="shared" si="39"/>
        <v>2.3156817984290878</v>
      </c>
      <c r="J46" s="62">
        <f t="shared" si="39"/>
        <v>2.2490162581577988</v>
      </c>
      <c r="K46" s="62">
        <f t="shared" si="39"/>
        <v>2.1650622781249176</v>
      </c>
      <c r="L46" s="62">
        <f t="shared" si="40"/>
        <v>2.0643199119848337</v>
      </c>
      <c r="M46" s="62">
        <f t="shared" si="40"/>
        <v>1.9504030985106198</v>
      </c>
      <c r="N46" s="62">
        <f t="shared" si="40"/>
        <v>1.8301415859148171</v>
      </c>
      <c r="O46" s="62">
        <f t="shared" si="40"/>
        <v>1.7122465949440495</v>
      </c>
      <c r="P46" s="62">
        <f t="shared" si="40"/>
        <v>1.6049243579653898</v>
      </c>
      <c r="Q46" s="62">
        <f t="shared" si="40"/>
        <v>1.5137157395139718</v>
      </c>
      <c r="R46" s="62">
        <f t="shared" si="40"/>
        <v>1.4406739706724776</v>
      </c>
      <c r="S46" s="62">
        <f t="shared" si="40"/>
        <v>1.3849398592213749</v>
      </c>
      <c r="T46" s="62">
        <f t="shared" si="40"/>
        <v>1.3439708174226148</v>
      </c>
      <c r="U46" s="62">
        <f t="shared" si="40"/>
        <v>1.3146785452218777</v>
      </c>
      <c r="V46" s="62">
        <f t="shared" si="41"/>
        <v>1.2941489882816826</v>
      </c>
      <c r="W46" s="62">
        <f t="shared" si="41"/>
        <v>1.2799618025908228</v>
      </c>
      <c r="X46" s="62">
        <f t="shared" si="41"/>
        <v>1.2702528044479873</v>
      </c>
      <c r="Y46" s="62">
        <f t="shared" si="41"/>
        <v>1.2636528007051355</v>
      </c>
      <c r="Z46" s="62">
        <f t="shared" si="41"/>
        <v>1.2591866516132615</v>
      </c>
      <c r="AA46" s="62">
        <f t="shared" si="41"/>
        <v>1.2561737827731323</v>
      </c>
      <c r="AB46" s="62">
        <f t="shared" si="41"/>
        <v>1.2541455344366195</v>
      </c>
      <c r="AC46" s="62">
        <f t="shared" si="41"/>
        <v>1.2527820452683351</v>
      </c>
    </row>
    <row r="47" spans="1:29" x14ac:dyDescent="0.25">
      <c r="A47" s="30" t="str">
        <f>A27</f>
        <v>Annual Mileage</v>
      </c>
      <c r="B47" s="62">
        <f t="shared" ref="B47:AC47" si="42">$B27+($C27-$B27)*(1-Q27)</f>
        <v>55000</v>
      </c>
      <c r="C47" s="62">
        <f t="shared" si="42"/>
        <v>55000</v>
      </c>
      <c r="D47" s="62">
        <f t="shared" si="42"/>
        <v>55000</v>
      </c>
      <c r="E47" s="62">
        <f t="shared" si="42"/>
        <v>55000</v>
      </c>
      <c r="F47" s="62">
        <f t="shared" si="42"/>
        <v>55000</v>
      </c>
      <c r="G47" s="62">
        <f t="shared" si="42"/>
        <v>55000</v>
      </c>
      <c r="H47" s="62">
        <f t="shared" si="42"/>
        <v>55000</v>
      </c>
      <c r="I47" s="62">
        <f t="shared" si="42"/>
        <v>55000</v>
      </c>
      <c r="J47" s="62">
        <f t="shared" si="42"/>
        <v>55000</v>
      </c>
      <c r="K47" s="62">
        <f t="shared" si="42"/>
        <v>55000</v>
      </c>
      <c r="L47" s="62">
        <f t="shared" si="42"/>
        <v>55000</v>
      </c>
      <c r="M47" s="62">
        <f t="shared" si="42"/>
        <v>55000</v>
      </c>
      <c r="N47" s="62">
        <f t="shared" si="42"/>
        <v>55000</v>
      </c>
      <c r="O47" s="62">
        <f t="shared" si="42"/>
        <v>55000</v>
      </c>
      <c r="P47" s="62">
        <f t="shared" si="42"/>
        <v>55000</v>
      </c>
      <c r="Q47" s="62">
        <f t="shared" si="42"/>
        <v>55000</v>
      </c>
      <c r="R47" s="62">
        <f t="shared" si="42"/>
        <v>55000</v>
      </c>
      <c r="S47" s="62">
        <f t="shared" si="42"/>
        <v>55000</v>
      </c>
      <c r="T47" s="62">
        <f t="shared" si="42"/>
        <v>55000</v>
      </c>
      <c r="U47" s="62">
        <f t="shared" si="42"/>
        <v>55000</v>
      </c>
      <c r="V47" s="62">
        <f t="shared" si="42"/>
        <v>55000</v>
      </c>
      <c r="W47" s="62">
        <f t="shared" si="42"/>
        <v>55000</v>
      </c>
      <c r="X47" s="62">
        <f t="shared" si="42"/>
        <v>55000</v>
      </c>
      <c r="Y47" s="62">
        <f t="shared" si="42"/>
        <v>55000</v>
      </c>
      <c r="Z47" s="62">
        <f t="shared" si="42"/>
        <v>55000</v>
      </c>
      <c r="AA47" s="62">
        <f t="shared" si="42"/>
        <v>55000</v>
      </c>
      <c r="AB47" s="62">
        <f t="shared" si="42"/>
        <v>55000</v>
      </c>
      <c r="AC47" s="62">
        <f t="shared" si="42"/>
        <v>55000</v>
      </c>
    </row>
    <row r="48" spans="1:29"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62190.665101367747</v>
      </c>
      <c r="C50" s="63">
        <f t="shared" ref="C50:AC50" si="43">((1+C35)^C42)*C35/(((1+C35)^C42)-1)*(C31)</f>
        <v>61281.329133767969</v>
      </c>
      <c r="D50" s="63">
        <f t="shared" si="43"/>
        <v>60034.66354051487</v>
      </c>
      <c r="E50" s="63">
        <f t="shared" si="43"/>
        <v>58359.278570466915</v>
      </c>
      <c r="F50" s="63">
        <f t="shared" si="43"/>
        <v>56169.226754041214</v>
      </c>
      <c r="G50" s="63">
        <f t="shared" si="43"/>
        <v>53411.226658055137</v>
      </c>
      <c r="H50" s="63">
        <f t="shared" si="43"/>
        <v>50101.705711276991</v>
      </c>
      <c r="I50" s="63">
        <f t="shared" si="43"/>
        <v>46359.3866172536</v>
      </c>
      <c r="J50" s="63">
        <f t="shared" si="43"/>
        <v>42408.635704041997</v>
      </c>
      <c r="K50" s="63">
        <f t="shared" si="43"/>
        <v>38535.628179130072</v>
      </c>
      <c r="L50" s="63">
        <f t="shared" si="43"/>
        <v>35009.949708941356</v>
      </c>
      <c r="M50" s="63">
        <f t="shared" si="43"/>
        <v>32013.625075549993</v>
      </c>
      <c r="N50" s="63">
        <f t="shared" si="43"/>
        <v>29614.105655542335</v>
      </c>
      <c r="O50" s="63">
        <f t="shared" si="43"/>
        <v>27783.165839804766</v>
      </c>
      <c r="P50" s="63">
        <f t="shared" si="43"/>
        <v>26437.27823365216</v>
      </c>
      <c r="Q50" s="63">
        <f t="shared" si="43"/>
        <v>25474.988065757298</v>
      </c>
      <c r="R50" s="63">
        <f t="shared" si="43"/>
        <v>24800.564768738692</v>
      </c>
      <c r="S50" s="63">
        <f t="shared" si="43"/>
        <v>24334.496817203359</v>
      </c>
      <c r="T50" s="63">
        <f t="shared" si="43"/>
        <v>24015.543292910865</v>
      </c>
      <c r="U50" s="63">
        <f t="shared" si="43"/>
        <v>23798.724376771759</v>
      </c>
      <c r="V50" s="63">
        <f t="shared" si="43"/>
        <v>23652.005428852281</v>
      </c>
      <c r="W50" s="63">
        <f t="shared" si="43"/>
        <v>23553.028673408226</v>
      </c>
      <c r="X50" s="63">
        <f t="shared" si="43"/>
        <v>23486.398013318085</v>
      </c>
      <c r="Y50" s="63">
        <f t="shared" si="43"/>
        <v>23441.605577563019</v>
      </c>
      <c r="Z50" s="63">
        <f t="shared" si="43"/>
        <v>23411.522325452843</v>
      </c>
      <c r="AA50" s="63">
        <f t="shared" si="43"/>
        <v>23391.330799385243</v>
      </c>
      <c r="AB50" s="63">
        <f t="shared" si="43"/>
        <v>23377.784258985215</v>
      </c>
      <c r="AC50" s="63">
        <f t="shared" si="43"/>
        <v>23368.698453290883</v>
      </c>
    </row>
    <row r="51" spans="1:29" x14ac:dyDescent="0.25">
      <c r="A51" s="30" t="str">
        <f>A32</f>
        <v>Residual value (vehicle)</v>
      </c>
      <c r="B51" s="62">
        <f>((1+B35)^B42)*B35/(((1+B35)^B42)-1)*(B32)</f>
        <v>-9455.0461314377717</v>
      </c>
      <c r="C51" s="62">
        <f t="shared" ref="C51:AC51" si="44">((1+C35)^C42)*C35/(((1+C35)^C42)-1)*(C32)</f>
        <v>-9370.3530756319105</v>
      </c>
      <c r="D51" s="62">
        <f t="shared" si="44"/>
        <v>-9254.2420644955928</v>
      </c>
      <c r="E51" s="62">
        <f t="shared" si="44"/>
        <v>-9098.2013074813221</v>
      </c>
      <c r="F51" s="62">
        <f t="shared" si="44"/>
        <v>-8894.2258932063796</v>
      </c>
      <c r="G51" s="62">
        <f t="shared" si="44"/>
        <v>-8637.353335246893</v>
      </c>
      <c r="H51" s="62">
        <f t="shared" si="44"/>
        <v>-8329.1136392234366</v>
      </c>
      <c r="I51" s="62">
        <f t="shared" si="44"/>
        <v>-7980.5643118389062</v>
      </c>
      <c r="J51" s="62">
        <f t="shared" si="44"/>
        <v>-7612.6022169809621</v>
      </c>
      <c r="K51" s="62">
        <f t="shared" si="44"/>
        <v>-7251.8809278960271</v>
      </c>
      <c r="L51" s="62">
        <f t="shared" si="44"/>
        <v>-6923.5089135157077</v>
      </c>
      <c r="M51" s="62">
        <f t="shared" si="44"/>
        <v>-6644.4394623665112</v>
      </c>
      <c r="N51" s="62">
        <f t="shared" si="44"/>
        <v>-6420.9548105030526</v>
      </c>
      <c r="O51" s="62">
        <f t="shared" si="44"/>
        <v>-6250.4261021745533</v>
      </c>
      <c r="P51" s="62">
        <f t="shared" si="44"/>
        <v>-6125.0738251309276</v>
      </c>
      <c r="Q51" s="62">
        <f t="shared" si="44"/>
        <v>-6035.4487604740543</v>
      </c>
      <c r="R51" s="62">
        <f t="shared" si="44"/>
        <v>-5972.6348259478109</v>
      </c>
      <c r="S51" s="62">
        <f t="shared" si="44"/>
        <v>-5929.226536344031</v>
      </c>
      <c r="T51" s="62">
        <f t="shared" si="44"/>
        <v>-5899.5200806501216</v>
      </c>
      <c r="U51" s="62">
        <f t="shared" si="44"/>
        <v>-5879.3261619901059</v>
      </c>
      <c r="V51" s="62">
        <f t="shared" si="44"/>
        <v>-5865.6611619387841</v>
      </c>
      <c r="W51" s="62">
        <f t="shared" si="44"/>
        <v>-5856.442738637621</v>
      </c>
      <c r="X51" s="62">
        <f t="shared" si="44"/>
        <v>-5850.2369418645203</v>
      </c>
      <c r="Y51" s="62">
        <f t="shared" si="44"/>
        <v>-5846.0650973579204</v>
      </c>
      <c r="Z51" s="62">
        <f t="shared" si="44"/>
        <v>-5843.2632258378535</v>
      </c>
      <c r="AA51" s="62">
        <f t="shared" si="44"/>
        <v>-5841.3826425276375</v>
      </c>
      <c r="AB51" s="62">
        <f t="shared" si="44"/>
        <v>-5840.1209549413597</v>
      </c>
      <c r="AC51" s="62">
        <f t="shared" si="44"/>
        <v>-5839.2747279404175</v>
      </c>
    </row>
    <row r="52" spans="1:29" x14ac:dyDescent="0.25">
      <c r="A52" s="30" t="str">
        <f>A33</f>
        <v>Capex costumization</v>
      </c>
      <c r="B52" s="62">
        <f>((1+B35)^B43)*B35/(((1+B35)^B43)-1)*(B33)</f>
        <v>5434.7183288153492</v>
      </c>
      <c r="C52" s="62">
        <f t="shared" ref="C52:AC52" si="45">((1+C35)^C43)*C35/(((1+C35)^C43)-1)*(C33)</f>
        <v>5434.7183288153492</v>
      </c>
      <c r="D52" s="62">
        <f t="shared" si="45"/>
        <v>5434.7183288153492</v>
      </c>
      <c r="E52" s="62">
        <f t="shared" si="45"/>
        <v>5434.7183288153492</v>
      </c>
      <c r="F52" s="62">
        <f t="shared" si="45"/>
        <v>5434.7183288153492</v>
      </c>
      <c r="G52" s="62">
        <f t="shared" si="45"/>
        <v>5434.7183288153492</v>
      </c>
      <c r="H52" s="62">
        <f t="shared" si="45"/>
        <v>5434.7183288153492</v>
      </c>
      <c r="I52" s="62">
        <f t="shared" si="45"/>
        <v>5434.7183288153492</v>
      </c>
      <c r="J52" s="62">
        <f t="shared" si="45"/>
        <v>5434.7183288153492</v>
      </c>
      <c r="K52" s="62">
        <f t="shared" si="45"/>
        <v>5434.7183288153492</v>
      </c>
      <c r="L52" s="62">
        <f t="shared" si="45"/>
        <v>5434.7183288153492</v>
      </c>
      <c r="M52" s="62">
        <f t="shared" si="45"/>
        <v>5434.7183288153492</v>
      </c>
      <c r="N52" s="62">
        <f t="shared" si="45"/>
        <v>5434.7183288153492</v>
      </c>
      <c r="O52" s="62">
        <f t="shared" si="45"/>
        <v>5434.7183288153492</v>
      </c>
      <c r="P52" s="62">
        <f t="shared" si="45"/>
        <v>5434.7183288153492</v>
      </c>
      <c r="Q52" s="62">
        <f t="shared" si="45"/>
        <v>5434.7183288153492</v>
      </c>
      <c r="R52" s="62">
        <f t="shared" si="45"/>
        <v>5434.7183288153492</v>
      </c>
      <c r="S52" s="62">
        <f t="shared" si="45"/>
        <v>5434.7183288153492</v>
      </c>
      <c r="T52" s="62">
        <f t="shared" si="45"/>
        <v>5434.7183288153492</v>
      </c>
      <c r="U52" s="62">
        <f t="shared" si="45"/>
        <v>5434.7183288153492</v>
      </c>
      <c r="V52" s="62">
        <f t="shared" si="45"/>
        <v>5434.7183288153492</v>
      </c>
      <c r="W52" s="62">
        <f t="shared" si="45"/>
        <v>5434.7183288153492</v>
      </c>
      <c r="X52" s="62">
        <f t="shared" si="45"/>
        <v>5434.7183288153492</v>
      </c>
      <c r="Y52" s="62">
        <f t="shared" si="45"/>
        <v>5434.7183288153492</v>
      </c>
      <c r="Z52" s="62">
        <f t="shared" si="45"/>
        <v>5434.7183288153492</v>
      </c>
      <c r="AA52" s="62">
        <f t="shared" si="45"/>
        <v>5434.7183288153492</v>
      </c>
      <c r="AB52" s="62">
        <f t="shared" si="45"/>
        <v>5434.7183288153492</v>
      </c>
      <c r="AC52" s="62">
        <f t="shared" si="45"/>
        <v>5434.7183288153492</v>
      </c>
    </row>
    <row r="53" spans="1:29" x14ac:dyDescent="0.25">
      <c r="A53" s="30" t="str">
        <f>A34</f>
        <v>Residual value (costumization)</v>
      </c>
      <c r="B53" s="62">
        <f>((1+B35)^B43)*B35/(((1+B35)^B43)-1)*(B34)</f>
        <v>-1358.6795822038373</v>
      </c>
      <c r="C53" s="62">
        <f t="shared" ref="C53:AC53" si="46">((1+C35)^C43)*C35/(((1+C35)^C43)-1)*(C34)</f>
        <v>-1358.6795822038373</v>
      </c>
      <c r="D53" s="62">
        <f t="shared" si="46"/>
        <v>-1358.6795822038373</v>
      </c>
      <c r="E53" s="62">
        <f t="shared" si="46"/>
        <v>-1358.6795822038373</v>
      </c>
      <c r="F53" s="62">
        <f t="shared" si="46"/>
        <v>-1358.6795822038373</v>
      </c>
      <c r="G53" s="62">
        <f t="shared" si="46"/>
        <v>-1358.6795822038373</v>
      </c>
      <c r="H53" s="62">
        <f t="shared" si="46"/>
        <v>-1358.6795822038373</v>
      </c>
      <c r="I53" s="62">
        <f t="shared" si="46"/>
        <v>-1358.6795822038373</v>
      </c>
      <c r="J53" s="62">
        <f t="shared" si="46"/>
        <v>-1358.6795822038373</v>
      </c>
      <c r="K53" s="62">
        <f t="shared" si="46"/>
        <v>-1358.6795822038373</v>
      </c>
      <c r="L53" s="62">
        <f t="shared" si="46"/>
        <v>-1358.6795822038373</v>
      </c>
      <c r="M53" s="62">
        <f t="shared" si="46"/>
        <v>-1358.6795822038373</v>
      </c>
      <c r="N53" s="62">
        <f t="shared" si="46"/>
        <v>-1358.6795822038373</v>
      </c>
      <c r="O53" s="62">
        <f t="shared" si="46"/>
        <v>-1358.6795822038373</v>
      </c>
      <c r="P53" s="62">
        <f t="shared" si="46"/>
        <v>-1358.6795822038373</v>
      </c>
      <c r="Q53" s="62">
        <f t="shared" si="46"/>
        <v>-1358.6795822038373</v>
      </c>
      <c r="R53" s="62">
        <f t="shared" si="46"/>
        <v>-1358.6795822038373</v>
      </c>
      <c r="S53" s="62">
        <f t="shared" si="46"/>
        <v>-1358.6795822038373</v>
      </c>
      <c r="T53" s="62">
        <f t="shared" si="46"/>
        <v>-1358.6795822038373</v>
      </c>
      <c r="U53" s="62">
        <f t="shared" si="46"/>
        <v>-1358.6795822038373</v>
      </c>
      <c r="V53" s="62">
        <f t="shared" si="46"/>
        <v>-1358.6795822038373</v>
      </c>
      <c r="W53" s="62">
        <f t="shared" si="46"/>
        <v>-1358.6795822038373</v>
      </c>
      <c r="X53" s="62">
        <f t="shared" si="46"/>
        <v>-1358.6795822038373</v>
      </c>
      <c r="Y53" s="62">
        <f t="shared" si="46"/>
        <v>-1358.6795822038373</v>
      </c>
      <c r="Z53" s="62">
        <f t="shared" si="46"/>
        <v>-1358.6795822038373</v>
      </c>
      <c r="AA53" s="62">
        <f t="shared" si="46"/>
        <v>-1358.6795822038373</v>
      </c>
      <c r="AB53" s="62">
        <f t="shared" si="46"/>
        <v>-1358.6795822038373</v>
      </c>
      <c r="AC53" s="62">
        <f t="shared" si="46"/>
        <v>-1358.6795822038373</v>
      </c>
    </row>
    <row r="54" spans="1:29" x14ac:dyDescent="0.25">
      <c r="A54" s="30" t="str">
        <f t="shared" ref="A54:AC54" si="47">A36</f>
        <v>Opex fix (admin, crew, insurance)</v>
      </c>
      <c r="B54" s="62">
        <f t="shared" si="47"/>
        <v>70000</v>
      </c>
      <c r="C54" s="62">
        <f t="shared" si="47"/>
        <v>70000</v>
      </c>
      <c r="D54" s="62">
        <f t="shared" si="47"/>
        <v>70000</v>
      </c>
      <c r="E54" s="62">
        <f t="shared" si="47"/>
        <v>70000</v>
      </c>
      <c r="F54" s="62">
        <f t="shared" si="47"/>
        <v>70000</v>
      </c>
      <c r="G54" s="62">
        <f t="shared" si="47"/>
        <v>70000</v>
      </c>
      <c r="H54" s="62">
        <f t="shared" si="47"/>
        <v>70000</v>
      </c>
      <c r="I54" s="62">
        <f t="shared" si="47"/>
        <v>70000</v>
      </c>
      <c r="J54" s="62">
        <f t="shared" si="47"/>
        <v>70000</v>
      </c>
      <c r="K54" s="62">
        <f t="shared" si="47"/>
        <v>70000</v>
      </c>
      <c r="L54" s="62">
        <f t="shared" si="47"/>
        <v>70000</v>
      </c>
      <c r="M54" s="62">
        <f t="shared" si="47"/>
        <v>70000</v>
      </c>
      <c r="N54" s="62">
        <f t="shared" si="47"/>
        <v>70000</v>
      </c>
      <c r="O54" s="62">
        <f t="shared" si="47"/>
        <v>70000</v>
      </c>
      <c r="P54" s="62">
        <f t="shared" si="47"/>
        <v>70000</v>
      </c>
      <c r="Q54" s="62">
        <f t="shared" si="47"/>
        <v>70000</v>
      </c>
      <c r="R54" s="62">
        <f t="shared" si="47"/>
        <v>70000</v>
      </c>
      <c r="S54" s="62">
        <f t="shared" si="47"/>
        <v>70000</v>
      </c>
      <c r="T54" s="62">
        <f t="shared" si="47"/>
        <v>70000</v>
      </c>
      <c r="U54" s="62">
        <f t="shared" si="47"/>
        <v>70000</v>
      </c>
      <c r="V54" s="62">
        <f t="shared" si="47"/>
        <v>70000</v>
      </c>
      <c r="W54" s="62">
        <f t="shared" si="47"/>
        <v>70000</v>
      </c>
      <c r="X54" s="62">
        <f t="shared" si="47"/>
        <v>70000</v>
      </c>
      <c r="Y54" s="62">
        <f t="shared" si="47"/>
        <v>70000</v>
      </c>
      <c r="Z54" s="62">
        <f t="shared" si="47"/>
        <v>70000</v>
      </c>
      <c r="AA54" s="62">
        <f t="shared" si="47"/>
        <v>70000</v>
      </c>
      <c r="AB54" s="62">
        <f t="shared" si="47"/>
        <v>70000</v>
      </c>
      <c r="AC54" s="62">
        <f t="shared" si="47"/>
        <v>70000</v>
      </c>
    </row>
    <row r="55" spans="1:29" x14ac:dyDescent="0.25">
      <c r="A55" s="30" t="str">
        <f t="shared" ref="A55:AC55" si="48">A37</f>
        <v>Opex maintenance &amp; repair</v>
      </c>
      <c r="B55" s="62">
        <f t="shared" si="48"/>
        <v>15000</v>
      </c>
      <c r="C55" s="62">
        <f t="shared" si="48"/>
        <v>15000</v>
      </c>
      <c r="D55" s="62">
        <f t="shared" si="48"/>
        <v>15000</v>
      </c>
      <c r="E55" s="62">
        <f t="shared" si="48"/>
        <v>15000</v>
      </c>
      <c r="F55" s="62">
        <f t="shared" si="48"/>
        <v>15000</v>
      </c>
      <c r="G55" s="62">
        <f t="shared" si="48"/>
        <v>15000</v>
      </c>
      <c r="H55" s="62">
        <f t="shared" si="48"/>
        <v>15000</v>
      </c>
      <c r="I55" s="62">
        <f t="shared" si="48"/>
        <v>15000</v>
      </c>
      <c r="J55" s="62">
        <f t="shared" si="48"/>
        <v>15000</v>
      </c>
      <c r="K55" s="62">
        <f t="shared" si="48"/>
        <v>15000</v>
      </c>
      <c r="L55" s="62">
        <f t="shared" si="48"/>
        <v>15000</v>
      </c>
      <c r="M55" s="62">
        <f t="shared" si="48"/>
        <v>15000</v>
      </c>
      <c r="N55" s="62">
        <f t="shared" si="48"/>
        <v>15000</v>
      </c>
      <c r="O55" s="62">
        <f t="shared" si="48"/>
        <v>15000</v>
      </c>
      <c r="P55" s="62">
        <f t="shared" si="48"/>
        <v>15000</v>
      </c>
      <c r="Q55" s="62">
        <f t="shared" si="48"/>
        <v>15000</v>
      </c>
      <c r="R55" s="62">
        <f t="shared" si="48"/>
        <v>15000</v>
      </c>
      <c r="S55" s="62">
        <f t="shared" si="48"/>
        <v>15000</v>
      </c>
      <c r="T55" s="62">
        <f t="shared" si="48"/>
        <v>15000</v>
      </c>
      <c r="U55" s="62">
        <f t="shared" si="48"/>
        <v>15000</v>
      </c>
      <c r="V55" s="62">
        <f t="shared" si="48"/>
        <v>15000</v>
      </c>
      <c r="W55" s="62">
        <f t="shared" si="48"/>
        <v>15000</v>
      </c>
      <c r="X55" s="62">
        <f t="shared" si="48"/>
        <v>15000</v>
      </c>
      <c r="Y55" s="62">
        <f t="shared" si="48"/>
        <v>15000</v>
      </c>
      <c r="Z55" s="62">
        <f t="shared" si="48"/>
        <v>15000</v>
      </c>
      <c r="AA55" s="62">
        <f t="shared" si="48"/>
        <v>15000</v>
      </c>
      <c r="AB55" s="62">
        <f t="shared" si="48"/>
        <v>15000</v>
      </c>
      <c r="AC55" s="62">
        <f t="shared" si="48"/>
        <v>15000</v>
      </c>
    </row>
    <row r="56" spans="1:29" x14ac:dyDescent="0.25">
      <c r="A56" s="30" t="str">
        <f>A38</f>
        <v>Opex var (mode-fees)</v>
      </c>
      <c r="B56" s="62">
        <f>B38*B47</f>
        <v>6050</v>
      </c>
      <c r="C56" s="62">
        <f t="shared" ref="C56:AC56" si="49">C38*C47</f>
        <v>6050</v>
      </c>
      <c r="D56" s="62">
        <f t="shared" si="49"/>
        <v>6050</v>
      </c>
      <c r="E56" s="62">
        <f t="shared" si="49"/>
        <v>6050</v>
      </c>
      <c r="F56" s="62">
        <f t="shared" si="49"/>
        <v>6050</v>
      </c>
      <c r="G56" s="62">
        <f t="shared" si="49"/>
        <v>6050</v>
      </c>
      <c r="H56" s="62">
        <f t="shared" si="49"/>
        <v>6050</v>
      </c>
      <c r="I56" s="62">
        <f t="shared" si="49"/>
        <v>6050</v>
      </c>
      <c r="J56" s="62">
        <f t="shared" si="49"/>
        <v>6050</v>
      </c>
      <c r="K56" s="62">
        <f t="shared" si="49"/>
        <v>6050</v>
      </c>
      <c r="L56" s="62">
        <f t="shared" si="49"/>
        <v>6050</v>
      </c>
      <c r="M56" s="62">
        <f t="shared" si="49"/>
        <v>6050</v>
      </c>
      <c r="N56" s="62">
        <f t="shared" si="49"/>
        <v>6050</v>
      </c>
      <c r="O56" s="62">
        <f t="shared" si="49"/>
        <v>6050</v>
      </c>
      <c r="P56" s="62">
        <f t="shared" si="49"/>
        <v>6050</v>
      </c>
      <c r="Q56" s="62">
        <f t="shared" si="49"/>
        <v>6050</v>
      </c>
      <c r="R56" s="62">
        <f t="shared" si="49"/>
        <v>6050</v>
      </c>
      <c r="S56" s="62">
        <f t="shared" si="49"/>
        <v>6050</v>
      </c>
      <c r="T56" s="62">
        <f t="shared" si="49"/>
        <v>6050</v>
      </c>
      <c r="U56" s="62">
        <f t="shared" si="49"/>
        <v>6050</v>
      </c>
      <c r="V56" s="62">
        <f t="shared" si="49"/>
        <v>6050</v>
      </c>
      <c r="W56" s="62">
        <f t="shared" si="49"/>
        <v>6050</v>
      </c>
      <c r="X56" s="62">
        <f t="shared" si="49"/>
        <v>6050</v>
      </c>
      <c r="Y56" s="62">
        <f t="shared" si="49"/>
        <v>6050</v>
      </c>
      <c r="Z56" s="62">
        <f t="shared" si="49"/>
        <v>6050</v>
      </c>
      <c r="AA56" s="62">
        <f t="shared" si="49"/>
        <v>6050</v>
      </c>
      <c r="AB56" s="62">
        <f t="shared" si="49"/>
        <v>6050</v>
      </c>
      <c r="AC56" s="62">
        <f t="shared" si="49"/>
        <v>6050</v>
      </c>
    </row>
    <row r="57" spans="1:29" x14ac:dyDescent="0.25">
      <c r="A57" s="30" t="str">
        <f>A40</f>
        <v>Fuel Cost</v>
      </c>
      <c r="B57" s="62">
        <f>B39*B40*B47</f>
        <v>10980.598834936218</v>
      </c>
      <c r="C57" s="62">
        <f t="shared" ref="C57:AC57" si="50">C39*C40*C47</f>
        <v>10899.22590599865</v>
      </c>
      <c r="D57" s="62">
        <f t="shared" si="50"/>
        <v>10787.01048984019</v>
      </c>
      <c r="E57" s="62">
        <f t="shared" si="50"/>
        <v>10634.851335026156</v>
      </c>
      <c r="F57" s="62">
        <f t="shared" si="50"/>
        <v>10433.233183915649</v>
      </c>
      <c r="G57" s="62">
        <f t="shared" si="50"/>
        <v>10174.075225844534</v>
      </c>
      <c r="H57" s="62">
        <f t="shared" si="50"/>
        <v>9853.4163525747754</v>
      </c>
      <c r="I57" s="62">
        <f t="shared" si="50"/>
        <v>9474.0784279697818</v>
      </c>
      <c r="J57" s="62">
        <f t="shared" si="50"/>
        <v>9046.7815968242412</v>
      </c>
      <c r="K57" s="62">
        <f t="shared" si="50"/>
        <v>8588.6661959257108</v>
      </c>
      <c r="L57" s="62">
        <f t="shared" si="50"/>
        <v>8120.0342678224806</v>
      </c>
      <c r="M57" s="62">
        <f t="shared" si="50"/>
        <v>7661.4406121671427</v>
      </c>
      <c r="N57" s="62">
        <f t="shared" si="50"/>
        <v>7232.1000127861726</v>
      </c>
      <c r="O57" s="62">
        <f t="shared" si="50"/>
        <v>6848.4886849512986</v>
      </c>
      <c r="P57" s="62">
        <f t="shared" si="50"/>
        <v>6522.1526416439383</v>
      </c>
      <c r="Q57" s="62">
        <f t="shared" si="50"/>
        <v>6257.7202332015559</v>
      </c>
      <c r="R57" s="62">
        <f t="shared" si="50"/>
        <v>6052.7826945025527</v>
      </c>
      <c r="S57" s="62">
        <f t="shared" si="50"/>
        <v>5899.8450362260528</v>
      </c>
      <c r="T57" s="62">
        <f t="shared" si="50"/>
        <v>5789.0962966540237</v>
      </c>
      <c r="U57" s="62">
        <f t="shared" si="50"/>
        <v>5710.706185119423</v>
      </c>
      <c r="V57" s="62">
        <f t="shared" si="50"/>
        <v>5656.1363655972955</v>
      </c>
      <c r="W57" s="62">
        <f t="shared" si="50"/>
        <v>5618.5957812099641</v>
      </c>
      <c r="X57" s="62">
        <f t="shared" si="50"/>
        <v>5592.9828170979326</v>
      </c>
      <c r="Y57" s="62">
        <f t="shared" si="50"/>
        <v>5575.6069991126969</v>
      </c>
      <c r="Z57" s="62">
        <f t="shared" si="50"/>
        <v>5563.8650136549477</v>
      </c>
      <c r="AA57" s="62">
        <f t="shared" si="50"/>
        <v>5555.9511013180527</v>
      </c>
      <c r="AB57" s="62">
        <f t="shared" si="50"/>
        <v>5550.6267607828095</v>
      </c>
      <c r="AC57" s="62">
        <f t="shared" si="50"/>
        <v>5547.048945794053</v>
      </c>
    </row>
    <row r="58" spans="1:29" ht="15.75" thickBot="1" x14ac:dyDescent="0.3">
      <c r="A58" s="59" t="str">
        <f>A21</f>
        <v>Emission Cost</v>
      </c>
      <c r="B58" s="62">
        <f>B41*B47</f>
        <v>193.17480511617447</v>
      </c>
      <c r="C58" s="62">
        <f t="shared" ref="C58:AC58" si="51">C41*C47</f>
        <v>192.99085563433641</v>
      </c>
      <c r="D58" s="62">
        <f t="shared" si="51"/>
        <v>192.72753604822958</v>
      </c>
      <c r="E58" s="62">
        <f t="shared" si="51"/>
        <v>192.35083886284266</v>
      </c>
      <c r="F58" s="62">
        <f t="shared" si="51"/>
        <v>191.81245546256395</v>
      </c>
      <c r="G58" s="62">
        <f t="shared" si="51"/>
        <v>191.04406600088856</v>
      </c>
      <c r="H58" s="62">
        <f t="shared" si="51"/>
        <v>189.94969090089361</v>
      </c>
      <c r="I58" s="62">
        <f t="shared" si="51"/>
        <v>188.39583513952829</v>
      </c>
      <c r="J58" s="62">
        <f t="shared" si="51"/>
        <v>186.19960933684365</v>
      </c>
      <c r="K58" s="62">
        <f t="shared" si="51"/>
        <v>183.11614793307004</v>
      </c>
      <c r="L58" s="62">
        <f t="shared" si="51"/>
        <v>178.82901725067396</v>
      </c>
      <c r="M58" s="62">
        <f t="shared" si="51"/>
        <v>172.9515214669868</v>
      </c>
      <c r="N58" s="62">
        <f t="shared" si="51"/>
        <v>165.05279694069711</v>
      </c>
      <c r="O58" s="62">
        <f t="shared" si="51"/>
        <v>154.72763806347984</v>
      </c>
      <c r="P58" s="62">
        <f t="shared" si="51"/>
        <v>141.72484563598721</v>
      </c>
      <c r="Q58" s="62">
        <f t="shared" si="51"/>
        <v>126.12186796821105</v>
      </c>
      <c r="R58" s="62">
        <f t="shared" si="51"/>
        <v>108.47843189732478</v>
      </c>
      <c r="S58" s="62">
        <f t="shared" si="51"/>
        <v>89.85232882648684</v>
      </c>
      <c r="T58" s="62">
        <f t="shared" si="51"/>
        <v>71.592752624934349</v>
      </c>
      <c r="U58" s="62">
        <f t="shared" si="51"/>
        <v>54.970684561679619</v>
      </c>
      <c r="V58" s="62">
        <f t="shared" si="51"/>
        <v>40.844293735923941</v>
      </c>
      <c r="W58" s="62">
        <f t="shared" si="51"/>
        <v>29.531584577753314</v>
      </c>
      <c r="X58" s="62">
        <f t="shared" si="51"/>
        <v>20.899485396206551</v>
      </c>
      <c r="Y58" s="62">
        <f t="shared" si="51"/>
        <v>14.554200202414576</v>
      </c>
      <c r="Z58" s="62">
        <f t="shared" si="51"/>
        <v>10.017413083964433</v>
      </c>
      <c r="AA58" s="62">
        <f t="shared" si="51"/>
        <v>6.8377953050669742</v>
      </c>
      <c r="AB58" s="62">
        <f t="shared" si="51"/>
        <v>4.6404839852666253</v>
      </c>
      <c r="AC58" s="62">
        <f t="shared" si="51"/>
        <v>3.1367543529042567</v>
      </c>
    </row>
    <row r="59" spans="1:29" ht="15.75" thickBot="1" x14ac:dyDescent="0.3">
      <c r="A59" s="31" t="s">
        <v>209</v>
      </c>
      <c r="B59" s="64">
        <f>B50+B51+B52+B53+B54+B55+B56+B57+B58</f>
        <v>159035.43135659388</v>
      </c>
      <c r="C59" s="64">
        <f t="shared" ref="C59:AC59" si="52">C50+C51+C52+C53+C54+C55+C56+C57+C58</f>
        <v>158129.23156638053</v>
      </c>
      <c r="D59" s="64">
        <f t="shared" si="52"/>
        <v>156886.19824851918</v>
      </c>
      <c r="E59" s="64">
        <f t="shared" si="52"/>
        <v>155214.31818348609</v>
      </c>
      <c r="F59" s="64">
        <f t="shared" si="52"/>
        <v>153026.08524682454</v>
      </c>
      <c r="G59" s="64">
        <f t="shared" si="52"/>
        <v>150265.03136126517</v>
      </c>
      <c r="H59" s="64">
        <f t="shared" si="52"/>
        <v>146941.99686214072</v>
      </c>
      <c r="I59" s="64">
        <f t="shared" si="52"/>
        <v>143167.33531513551</v>
      </c>
      <c r="J59" s="64">
        <f t="shared" si="52"/>
        <v>139155.05343983363</v>
      </c>
      <c r="K59" s="64">
        <f t="shared" si="52"/>
        <v>135181.56834170432</v>
      </c>
      <c r="L59" s="64">
        <f t="shared" si="52"/>
        <v>131511.34282711032</v>
      </c>
      <c r="M59" s="64">
        <f t="shared" si="52"/>
        <v>128329.61649342913</v>
      </c>
      <c r="N59" s="64">
        <f t="shared" si="52"/>
        <v>125716.34240137767</v>
      </c>
      <c r="O59" s="64">
        <f t="shared" si="52"/>
        <v>123661.9948072565</v>
      </c>
      <c r="P59" s="64">
        <f t="shared" si="52"/>
        <v>122102.12064241267</v>
      </c>
      <c r="Q59" s="64">
        <f t="shared" si="52"/>
        <v>120949.42015306452</v>
      </c>
      <c r="R59" s="64">
        <f t="shared" si="52"/>
        <v>120115.22981580227</v>
      </c>
      <c r="S59" s="64">
        <f t="shared" si="52"/>
        <v>119521.00639252337</v>
      </c>
      <c r="T59" s="64">
        <f t="shared" si="52"/>
        <v>119102.7510081512</v>
      </c>
      <c r="U59" s="64">
        <f t="shared" si="52"/>
        <v>118811.11383107427</v>
      </c>
      <c r="V59" s="64">
        <f t="shared" si="52"/>
        <v>118609.36367285824</v>
      </c>
      <c r="W59" s="64">
        <f t="shared" si="52"/>
        <v>118470.75204716984</v>
      </c>
      <c r="X59" s="64">
        <f t="shared" si="52"/>
        <v>118376.08212055921</v>
      </c>
      <c r="Y59" s="64">
        <f t="shared" si="52"/>
        <v>118311.74042613173</v>
      </c>
      <c r="Z59" s="64">
        <f t="shared" si="52"/>
        <v>118268.1802729654</v>
      </c>
      <c r="AA59" s="64">
        <f t="shared" si="52"/>
        <v>118238.77580009223</v>
      </c>
      <c r="AB59" s="64">
        <f t="shared" si="52"/>
        <v>118218.96929542343</v>
      </c>
      <c r="AC59" s="64">
        <f t="shared" si="52"/>
        <v>118205.64817210894</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53">A50</f>
        <v>Capex vehicle</v>
      </c>
      <c r="B62" s="65">
        <f>((1+B35)^B42)*B35/(((1+B35)^B42)-1)*(B31)/B47</f>
        <v>1.1307393654794136</v>
      </c>
      <c r="C62" s="65">
        <f t="shared" ref="C62:AC62" si="54">((1+C35)^C42)*C35/(((1+C35)^C42)-1)*(C31)/C47</f>
        <v>1.1142059842503267</v>
      </c>
      <c r="D62" s="65">
        <f t="shared" si="54"/>
        <v>1.0915393371002704</v>
      </c>
      <c r="E62" s="65">
        <f t="shared" si="54"/>
        <v>1.0610777921903076</v>
      </c>
      <c r="F62" s="65">
        <f t="shared" si="54"/>
        <v>1.0212586682552949</v>
      </c>
      <c r="G62" s="65">
        <f t="shared" si="54"/>
        <v>0.97111321196463884</v>
      </c>
      <c r="H62" s="65">
        <f t="shared" si="54"/>
        <v>0.91094010384139978</v>
      </c>
      <c r="I62" s="65">
        <f t="shared" si="54"/>
        <v>0.84289793849551997</v>
      </c>
      <c r="J62" s="65">
        <f t="shared" si="54"/>
        <v>0.77106610370985451</v>
      </c>
      <c r="K62" s="65">
        <f t="shared" si="54"/>
        <v>0.70064778507509218</v>
      </c>
      <c r="L62" s="65">
        <f t="shared" si="54"/>
        <v>0.63654454016257012</v>
      </c>
      <c r="M62" s="65">
        <f t="shared" si="54"/>
        <v>0.58206591046454537</v>
      </c>
      <c r="N62" s="65">
        <f t="shared" si="54"/>
        <v>0.53843828464622423</v>
      </c>
      <c r="O62" s="65">
        <f t="shared" si="54"/>
        <v>0.50514846981463213</v>
      </c>
      <c r="P62" s="65">
        <f t="shared" si="54"/>
        <v>0.48067778606640288</v>
      </c>
      <c r="Q62" s="65">
        <f t="shared" si="54"/>
        <v>0.46318160119558721</v>
      </c>
      <c r="R62" s="65">
        <f t="shared" si="54"/>
        <v>0.4509193594316126</v>
      </c>
      <c r="S62" s="65">
        <f t="shared" si="54"/>
        <v>0.44244539667642468</v>
      </c>
      <c r="T62" s="65">
        <f t="shared" si="54"/>
        <v>0.43664624168928845</v>
      </c>
      <c r="U62" s="65">
        <f t="shared" si="54"/>
        <v>0.43270407957766832</v>
      </c>
      <c r="V62" s="65">
        <f t="shared" si="54"/>
        <v>0.43003646234276871</v>
      </c>
      <c r="W62" s="65">
        <f t="shared" si="54"/>
        <v>0.42823688497105866</v>
      </c>
      <c r="X62" s="65">
        <f t="shared" si="54"/>
        <v>0.42702541842396519</v>
      </c>
      <c r="Y62" s="65">
        <f t="shared" si="54"/>
        <v>0.42621101050114579</v>
      </c>
      <c r="Z62" s="65">
        <f t="shared" si="54"/>
        <v>0.42566404228096077</v>
      </c>
      <c r="AA62" s="65">
        <f t="shared" si="54"/>
        <v>0.42529692362518623</v>
      </c>
      <c r="AB62" s="65">
        <f t="shared" si="54"/>
        <v>0.42505062289064027</v>
      </c>
      <c r="AC62" s="65">
        <f t="shared" si="54"/>
        <v>0.4248854264234706</v>
      </c>
    </row>
    <row r="63" spans="1:29" x14ac:dyDescent="0.25">
      <c r="A63" s="30" t="str">
        <f t="shared" si="53"/>
        <v>Residual value (vehicle)</v>
      </c>
      <c r="B63" s="66">
        <f>((1+B35)^B42)*B35/(((1+B35)^B42)-1)*(B32)/B47</f>
        <v>-0.17190992966250493</v>
      </c>
      <c r="C63" s="66">
        <f t="shared" ref="C63:AC63" si="55">((1+C35)^C42)*C35/(((1+C35)^C42)-1)*(C32)/C47</f>
        <v>-0.17037005592058019</v>
      </c>
      <c r="D63" s="66">
        <f t="shared" si="55"/>
        <v>-0.1682589466271926</v>
      </c>
      <c r="E63" s="66">
        <f t="shared" si="55"/>
        <v>-0.16542184195420587</v>
      </c>
      <c r="F63" s="66">
        <f t="shared" si="55"/>
        <v>-0.16171319805829781</v>
      </c>
      <c r="G63" s="66">
        <f t="shared" si="55"/>
        <v>-0.15704278791357987</v>
      </c>
      <c r="H63" s="66">
        <f t="shared" si="55"/>
        <v>-0.1514384298040625</v>
      </c>
      <c r="I63" s="66">
        <f t="shared" si="55"/>
        <v>-0.14510116930616193</v>
      </c>
      <c r="J63" s="66">
        <f t="shared" si="55"/>
        <v>-0.13841094939965384</v>
      </c>
      <c r="K63" s="66">
        <f t="shared" si="55"/>
        <v>-0.1318523805072005</v>
      </c>
      <c r="L63" s="66">
        <f t="shared" si="55"/>
        <v>-0.12588198024574013</v>
      </c>
      <c r="M63" s="66">
        <f t="shared" si="55"/>
        <v>-0.12080799022484566</v>
      </c>
      <c r="N63" s="66">
        <f t="shared" si="55"/>
        <v>-0.11674463291823732</v>
      </c>
      <c r="O63" s="66">
        <f t="shared" si="55"/>
        <v>-0.11364411094862824</v>
      </c>
      <c r="P63" s="66">
        <f t="shared" si="55"/>
        <v>-0.11136497863874414</v>
      </c>
      <c r="Q63" s="66">
        <f t="shared" si="55"/>
        <v>-0.10973543200861917</v>
      </c>
      <c r="R63" s="66">
        <f t="shared" si="55"/>
        <v>-0.10859336047177838</v>
      </c>
      <c r="S63" s="66">
        <f t="shared" si="55"/>
        <v>-0.10780411884261874</v>
      </c>
      <c r="T63" s="66">
        <f t="shared" si="55"/>
        <v>-0.10726400146636585</v>
      </c>
      <c r="U63" s="66">
        <f t="shared" si="55"/>
        <v>-0.10689683930891102</v>
      </c>
      <c r="V63" s="66">
        <f t="shared" si="55"/>
        <v>-0.10664838476252335</v>
      </c>
      <c r="W63" s="66">
        <f t="shared" si="55"/>
        <v>-0.10648077706613857</v>
      </c>
      <c r="X63" s="66">
        <f t="shared" si="55"/>
        <v>-0.10636794439753673</v>
      </c>
      <c r="Y63" s="66">
        <f t="shared" si="55"/>
        <v>-0.10629209267923492</v>
      </c>
      <c r="Z63" s="66">
        <f t="shared" si="55"/>
        <v>-0.10624114956068824</v>
      </c>
      <c r="AA63" s="66">
        <f t="shared" si="55"/>
        <v>-0.10620695713686613</v>
      </c>
      <c r="AB63" s="66">
        <f t="shared" si="55"/>
        <v>-0.10618401736257017</v>
      </c>
      <c r="AC63" s="66">
        <f t="shared" si="55"/>
        <v>-0.10616863141709849</v>
      </c>
    </row>
    <row r="64" spans="1:29" x14ac:dyDescent="0.25">
      <c r="A64" s="30" t="str">
        <f t="shared" si="53"/>
        <v>Capex costumization</v>
      </c>
      <c r="B64" s="66">
        <f>((1+B35)^B43)*B35/(((1+B35)^B43)-1)*(B33)/B47</f>
        <v>9.8813060523915433E-2</v>
      </c>
      <c r="C64" s="66">
        <f t="shared" ref="C64:AC64" si="56">((1+C35)^C43)*C35/(((1+C35)^C43)-1)*(C33)/C47</f>
        <v>9.8813060523915433E-2</v>
      </c>
      <c r="D64" s="66">
        <f t="shared" si="56"/>
        <v>9.8813060523915433E-2</v>
      </c>
      <c r="E64" s="66">
        <f t="shared" si="56"/>
        <v>9.8813060523915433E-2</v>
      </c>
      <c r="F64" s="66">
        <f t="shared" si="56"/>
        <v>9.8813060523915433E-2</v>
      </c>
      <c r="G64" s="66">
        <f t="shared" si="56"/>
        <v>9.8813060523915433E-2</v>
      </c>
      <c r="H64" s="66">
        <f t="shared" si="56"/>
        <v>9.8813060523915433E-2</v>
      </c>
      <c r="I64" s="66">
        <f t="shared" si="56"/>
        <v>9.8813060523915433E-2</v>
      </c>
      <c r="J64" s="66">
        <f t="shared" si="56"/>
        <v>9.8813060523915433E-2</v>
      </c>
      <c r="K64" s="66">
        <f t="shared" si="56"/>
        <v>9.8813060523915433E-2</v>
      </c>
      <c r="L64" s="66">
        <f t="shared" si="56"/>
        <v>9.8813060523915433E-2</v>
      </c>
      <c r="M64" s="66">
        <f t="shared" si="56"/>
        <v>9.8813060523915433E-2</v>
      </c>
      <c r="N64" s="66">
        <f t="shared" si="56"/>
        <v>9.8813060523915433E-2</v>
      </c>
      <c r="O64" s="66">
        <f t="shared" si="56"/>
        <v>9.8813060523915433E-2</v>
      </c>
      <c r="P64" s="66">
        <f t="shared" si="56"/>
        <v>9.8813060523915433E-2</v>
      </c>
      <c r="Q64" s="66">
        <f t="shared" si="56"/>
        <v>9.8813060523915433E-2</v>
      </c>
      <c r="R64" s="66">
        <f t="shared" si="56"/>
        <v>9.8813060523915433E-2</v>
      </c>
      <c r="S64" s="66">
        <f t="shared" si="56"/>
        <v>9.8813060523915433E-2</v>
      </c>
      <c r="T64" s="66">
        <f t="shared" si="56"/>
        <v>9.8813060523915433E-2</v>
      </c>
      <c r="U64" s="66">
        <f t="shared" si="56"/>
        <v>9.8813060523915433E-2</v>
      </c>
      <c r="V64" s="66">
        <f t="shared" si="56"/>
        <v>9.8813060523915433E-2</v>
      </c>
      <c r="W64" s="66">
        <f t="shared" si="56"/>
        <v>9.8813060523915433E-2</v>
      </c>
      <c r="X64" s="66">
        <f t="shared" si="56"/>
        <v>9.8813060523915433E-2</v>
      </c>
      <c r="Y64" s="66">
        <f t="shared" si="56"/>
        <v>9.8813060523915433E-2</v>
      </c>
      <c r="Z64" s="66">
        <f t="shared" si="56"/>
        <v>9.8813060523915433E-2</v>
      </c>
      <c r="AA64" s="66">
        <f t="shared" si="56"/>
        <v>9.8813060523915433E-2</v>
      </c>
      <c r="AB64" s="66">
        <f t="shared" si="56"/>
        <v>9.8813060523915433E-2</v>
      </c>
      <c r="AC64" s="66">
        <f t="shared" si="56"/>
        <v>9.8813060523915433E-2</v>
      </c>
    </row>
    <row r="65" spans="1:29" x14ac:dyDescent="0.25">
      <c r="A65" s="30" t="str">
        <f t="shared" si="53"/>
        <v>Residual value (costumization)</v>
      </c>
      <c r="B65" s="66">
        <f>((1+B35)^B43)*B35/(((1+B35)^B43)-1)*(B34)/B47</f>
        <v>-2.4703265130978858E-2</v>
      </c>
      <c r="C65" s="66">
        <f t="shared" ref="C65:AC65" si="57">((1+C35)^C43)*C35/(((1+C35)^C43)-1)*(C34)/C47</f>
        <v>-2.4703265130978858E-2</v>
      </c>
      <c r="D65" s="66">
        <f t="shared" si="57"/>
        <v>-2.4703265130978858E-2</v>
      </c>
      <c r="E65" s="66">
        <f t="shared" si="57"/>
        <v>-2.4703265130978858E-2</v>
      </c>
      <c r="F65" s="66">
        <f t="shared" si="57"/>
        <v>-2.4703265130978858E-2</v>
      </c>
      <c r="G65" s="66">
        <f t="shared" si="57"/>
        <v>-2.4703265130978858E-2</v>
      </c>
      <c r="H65" s="66">
        <f t="shared" si="57"/>
        <v>-2.4703265130978858E-2</v>
      </c>
      <c r="I65" s="66">
        <f t="shared" si="57"/>
        <v>-2.4703265130978858E-2</v>
      </c>
      <c r="J65" s="66">
        <f t="shared" si="57"/>
        <v>-2.4703265130978858E-2</v>
      </c>
      <c r="K65" s="66">
        <f t="shared" si="57"/>
        <v>-2.4703265130978858E-2</v>
      </c>
      <c r="L65" s="66">
        <f t="shared" si="57"/>
        <v>-2.4703265130978858E-2</v>
      </c>
      <c r="M65" s="66">
        <f t="shared" si="57"/>
        <v>-2.4703265130978858E-2</v>
      </c>
      <c r="N65" s="66">
        <f t="shared" si="57"/>
        <v>-2.4703265130978858E-2</v>
      </c>
      <c r="O65" s="66">
        <f t="shared" si="57"/>
        <v>-2.4703265130978858E-2</v>
      </c>
      <c r="P65" s="66">
        <f t="shared" si="57"/>
        <v>-2.4703265130978858E-2</v>
      </c>
      <c r="Q65" s="66">
        <f t="shared" si="57"/>
        <v>-2.4703265130978858E-2</v>
      </c>
      <c r="R65" s="66">
        <f t="shared" si="57"/>
        <v>-2.4703265130978858E-2</v>
      </c>
      <c r="S65" s="66">
        <f t="shared" si="57"/>
        <v>-2.4703265130978858E-2</v>
      </c>
      <c r="T65" s="66">
        <f t="shared" si="57"/>
        <v>-2.4703265130978858E-2</v>
      </c>
      <c r="U65" s="66">
        <f t="shared" si="57"/>
        <v>-2.4703265130978858E-2</v>
      </c>
      <c r="V65" s="66">
        <f t="shared" si="57"/>
        <v>-2.4703265130978858E-2</v>
      </c>
      <c r="W65" s="66">
        <f t="shared" si="57"/>
        <v>-2.4703265130978858E-2</v>
      </c>
      <c r="X65" s="66">
        <f t="shared" si="57"/>
        <v>-2.4703265130978858E-2</v>
      </c>
      <c r="Y65" s="66">
        <f t="shared" si="57"/>
        <v>-2.4703265130978858E-2</v>
      </c>
      <c r="Z65" s="66">
        <f t="shared" si="57"/>
        <v>-2.4703265130978858E-2</v>
      </c>
      <c r="AA65" s="66">
        <f t="shared" si="57"/>
        <v>-2.4703265130978858E-2</v>
      </c>
      <c r="AB65" s="66">
        <f t="shared" si="57"/>
        <v>-2.4703265130978858E-2</v>
      </c>
      <c r="AC65" s="66">
        <f t="shared" si="57"/>
        <v>-2.4703265130978858E-2</v>
      </c>
    </row>
    <row r="66" spans="1:29" x14ac:dyDescent="0.25">
      <c r="A66" s="30" t="str">
        <f t="shared" si="53"/>
        <v>Opex fix (admin, crew, insurance)</v>
      </c>
      <c r="B66" s="66">
        <f>B36/B47</f>
        <v>1.2727272727272727</v>
      </c>
      <c r="C66" s="66">
        <f t="shared" ref="C66:AC66" si="58">C36/C47</f>
        <v>1.2727272727272727</v>
      </c>
      <c r="D66" s="66">
        <f t="shared" si="58"/>
        <v>1.2727272727272727</v>
      </c>
      <c r="E66" s="66">
        <f t="shared" si="58"/>
        <v>1.2727272727272727</v>
      </c>
      <c r="F66" s="66">
        <f t="shared" si="58"/>
        <v>1.2727272727272727</v>
      </c>
      <c r="G66" s="66">
        <f t="shared" si="58"/>
        <v>1.2727272727272727</v>
      </c>
      <c r="H66" s="66">
        <f t="shared" si="58"/>
        <v>1.2727272727272727</v>
      </c>
      <c r="I66" s="66">
        <f t="shared" si="58"/>
        <v>1.2727272727272727</v>
      </c>
      <c r="J66" s="66">
        <f t="shared" si="58"/>
        <v>1.2727272727272727</v>
      </c>
      <c r="K66" s="66">
        <f t="shared" si="58"/>
        <v>1.2727272727272727</v>
      </c>
      <c r="L66" s="66">
        <f t="shared" si="58"/>
        <v>1.2727272727272727</v>
      </c>
      <c r="M66" s="66">
        <f t="shared" si="58"/>
        <v>1.2727272727272727</v>
      </c>
      <c r="N66" s="66">
        <f t="shared" si="58"/>
        <v>1.2727272727272727</v>
      </c>
      <c r="O66" s="66">
        <f t="shared" si="58"/>
        <v>1.2727272727272727</v>
      </c>
      <c r="P66" s="66">
        <f t="shared" si="58"/>
        <v>1.2727272727272727</v>
      </c>
      <c r="Q66" s="66">
        <f t="shared" si="58"/>
        <v>1.2727272727272727</v>
      </c>
      <c r="R66" s="66">
        <f t="shared" si="58"/>
        <v>1.2727272727272727</v>
      </c>
      <c r="S66" s="66">
        <f t="shared" si="58"/>
        <v>1.2727272727272727</v>
      </c>
      <c r="T66" s="66">
        <f t="shared" si="58"/>
        <v>1.2727272727272727</v>
      </c>
      <c r="U66" s="66">
        <f t="shared" si="58"/>
        <v>1.2727272727272727</v>
      </c>
      <c r="V66" s="66">
        <f t="shared" si="58"/>
        <v>1.2727272727272727</v>
      </c>
      <c r="W66" s="66">
        <f t="shared" si="58"/>
        <v>1.2727272727272727</v>
      </c>
      <c r="X66" s="66">
        <f t="shared" si="58"/>
        <v>1.2727272727272727</v>
      </c>
      <c r="Y66" s="66">
        <f t="shared" si="58"/>
        <v>1.2727272727272727</v>
      </c>
      <c r="Z66" s="66">
        <f t="shared" si="58"/>
        <v>1.2727272727272727</v>
      </c>
      <c r="AA66" s="66">
        <f t="shared" si="58"/>
        <v>1.2727272727272727</v>
      </c>
      <c r="AB66" s="66">
        <f t="shared" si="58"/>
        <v>1.2727272727272727</v>
      </c>
      <c r="AC66" s="66">
        <f t="shared" si="58"/>
        <v>1.2727272727272727</v>
      </c>
    </row>
    <row r="67" spans="1:29" x14ac:dyDescent="0.25">
      <c r="A67" s="30" t="str">
        <f t="shared" si="53"/>
        <v>Opex maintenance &amp; repair</v>
      </c>
      <c r="B67" s="66">
        <f>B37/B47</f>
        <v>0.27272727272727271</v>
      </c>
      <c r="C67" s="66">
        <f t="shared" ref="C67:AC67" si="59">C37/C47</f>
        <v>0.27272727272727271</v>
      </c>
      <c r="D67" s="66">
        <f t="shared" si="59"/>
        <v>0.27272727272727271</v>
      </c>
      <c r="E67" s="66">
        <f t="shared" si="59"/>
        <v>0.27272727272727271</v>
      </c>
      <c r="F67" s="66">
        <f t="shared" si="59"/>
        <v>0.27272727272727271</v>
      </c>
      <c r="G67" s="66">
        <f t="shared" si="59"/>
        <v>0.27272727272727271</v>
      </c>
      <c r="H67" s="66">
        <f t="shared" si="59"/>
        <v>0.27272727272727271</v>
      </c>
      <c r="I67" s="66">
        <f t="shared" si="59"/>
        <v>0.27272727272727271</v>
      </c>
      <c r="J67" s="66">
        <f t="shared" si="59"/>
        <v>0.27272727272727271</v>
      </c>
      <c r="K67" s="66">
        <f t="shared" si="59"/>
        <v>0.27272727272727271</v>
      </c>
      <c r="L67" s="66">
        <f t="shared" si="59"/>
        <v>0.27272727272727271</v>
      </c>
      <c r="M67" s="66">
        <f t="shared" si="59"/>
        <v>0.27272727272727271</v>
      </c>
      <c r="N67" s="66">
        <f t="shared" si="59"/>
        <v>0.27272727272727271</v>
      </c>
      <c r="O67" s="66">
        <f t="shared" si="59"/>
        <v>0.27272727272727271</v>
      </c>
      <c r="P67" s="66">
        <f t="shared" si="59"/>
        <v>0.27272727272727271</v>
      </c>
      <c r="Q67" s="66">
        <f t="shared" si="59"/>
        <v>0.27272727272727271</v>
      </c>
      <c r="R67" s="66">
        <f t="shared" si="59"/>
        <v>0.27272727272727271</v>
      </c>
      <c r="S67" s="66">
        <f t="shared" si="59"/>
        <v>0.27272727272727271</v>
      </c>
      <c r="T67" s="66">
        <f t="shared" si="59"/>
        <v>0.27272727272727271</v>
      </c>
      <c r="U67" s="66">
        <f t="shared" si="59"/>
        <v>0.27272727272727271</v>
      </c>
      <c r="V67" s="66">
        <f t="shared" si="59"/>
        <v>0.27272727272727271</v>
      </c>
      <c r="W67" s="66">
        <f t="shared" si="59"/>
        <v>0.27272727272727271</v>
      </c>
      <c r="X67" s="66">
        <f t="shared" si="59"/>
        <v>0.27272727272727271</v>
      </c>
      <c r="Y67" s="66">
        <f t="shared" si="59"/>
        <v>0.27272727272727271</v>
      </c>
      <c r="Z67" s="66">
        <f t="shared" si="59"/>
        <v>0.27272727272727271</v>
      </c>
      <c r="AA67" s="66">
        <f t="shared" si="59"/>
        <v>0.27272727272727271</v>
      </c>
      <c r="AB67" s="66">
        <f t="shared" si="59"/>
        <v>0.27272727272727271</v>
      </c>
      <c r="AC67" s="66">
        <f t="shared" si="59"/>
        <v>0.27272727272727271</v>
      </c>
    </row>
    <row r="68" spans="1:29" x14ac:dyDescent="0.25">
      <c r="A68" s="30" t="str">
        <f t="shared" si="53"/>
        <v>Opex var (mode-fees)</v>
      </c>
      <c r="B68" s="66">
        <f>B38*B47/B47</f>
        <v>0.11</v>
      </c>
      <c r="C68" s="66">
        <f t="shared" ref="C68:AC68" si="60">C38*C47/C47</f>
        <v>0.11</v>
      </c>
      <c r="D68" s="66">
        <f t="shared" si="60"/>
        <v>0.11</v>
      </c>
      <c r="E68" s="66">
        <f t="shared" si="60"/>
        <v>0.11</v>
      </c>
      <c r="F68" s="66">
        <f t="shared" si="60"/>
        <v>0.11</v>
      </c>
      <c r="G68" s="66">
        <f t="shared" si="60"/>
        <v>0.11</v>
      </c>
      <c r="H68" s="66">
        <f t="shared" si="60"/>
        <v>0.11</v>
      </c>
      <c r="I68" s="66">
        <f t="shared" si="60"/>
        <v>0.11</v>
      </c>
      <c r="J68" s="66">
        <f t="shared" si="60"/>
        <v>0.11</v>
      </c>
      <c r="K68" s="66">
        <f t="shared" si="60"/>
        <v>0.11</v>
      </c>
      <c r="L68" s="66">
        <f t="shared" si="60"/>
        <v>0.11</v>
      </c>
      <c r="M68" s="66">
        <f t="shared" si="60"/>
        <v>0.11</v>
      </c>
      <c r="N68" s="66">
        <f t="shared" si="60"/>
        <v>0.11</v>
      </c>
      <c r="O68" s="66">
        <f t="shared" si="60"/>
        <v>0.11</v>
      </c>
      <c r="P68" s="66">
        <f t="shared" si="60"/>
        <v>0.11</v>
      </c>
      <c r="Q68" s="66">
        <f t="shared" si="60"/>
        <v>0.11</v>
      </c>
      <c r="R68" s="66">
        <f t="shared" si="60"/>
        <v>0.11</v>
      </c>
      <c r="S68" s="66">
        <f t="shared" si="60"/>
        <v>0.11</v>
      </c>
      <c r="T68" s="66">
        <f t="shared" si="60"/>
        <v>0.11</v>
      </c>
      <c r="U68" s="66">
        <f t="shared" si="60"/>
        <v>0.11</v>
      </c>
      <c r="V68" s="66">
        <f t="shared" si="60"/>
        <v>0.11</v>
      </c>
      <c r="W68" s="66">
        <f t="shared" si="60"/>
        <v>0.11</v>
      </c>
      <c r="X68" s="66">
        <f t="shared" si="60"/>
        <v>0.11</v>
      </c>
      <c r="Y68" s="66">
        <f t="shared" si="60"/>
        <v>0.11</v>
      </c>
      <c r="Z68" s="66">
        <f t="shared" si="60"/>
        <v>0.11</v>
      </c>
      <c r="AA68" s="66">
        <f t="shared" si="60"/>
        <v>0.11</v>
      </c>
      <c r="AB68" s="66">
        <f t="shared" si="60"/>
        <v>0.11</v>
      </c>
      <c r="AC68" s="66">
        <f t="shared" si="60"/>
        <v>0.11</v>
      </c>
    </row>
    <row r="69" spans="1:29" x14ac:dyDescent="0.25">
      <c r="A69" s="30" t="str">
        <f t="shared" si="53"/>
        <v>Fuel Cost</v>
      </c>
      <c r="B69" s="66">
        <f>B39*B40*B47/B47</f>
        <v>0.19964725154429486</v>
      </c>
      <c r="C69" s="66">
        <f t="shared" ref="C69:AC69" si="61">C39*C40*C47/C47</f>
        <v>0.19816774374543</v>
      </c>
      <c r="D69" s="66">
        <f t="shared" si="61"/>
        <v>0.19612746345163981</v>
      </c>
      <c r="E69" s="66">
        <f t="shared" si="61"/>
        <v>0.19336093336411195</v>
      </c>
      <c r="F69" s="66">
        <f t="shared" si="61"/>
        <v>0.18969514879846633</v>
      </c>
      <c r="G69" s="66">
        <f t="shared" si="61"/>
        <v>0.18498318592444607</v>
      </c>
      <c r="H69" s="66">
        <f t="shared" si="61"/>
        <v>0.17915302459226864</v>
      </c>
      <c r="I69" s="66">
        <f t="shared" si="61"/>
        <v>0.17225597141763241</v>
      </c>
      <c r="J69" s="66">
        <f t="shared" si="61"/>
        <v>0.16448693812407711</v>
      </c>
      <c r="K69" s="66">
        <f t="shared" si="61"/>
        <v>0.15615756719864929</v>
      </c>
      <c r="L69" s="66">
        <f t="shared" si="61"/>
        <v>0.14763698668768147</v>
      </c>
      <c r="M69" s="66">
        <f t="shared" si="61"/>
        <v>0.13929892022122078</v>
      </c>
      <c r="N69" s="66">
        <f t="shared" si="61"/>
        <v>0.13149272750520313</v>
      </c>
      <c r="O69" s="66">
        <f t="shared" si="61"/>
        <v>0.12451797609002362</v>
      </c>
      <c r="P69" s="66">
        <f t="shared" si="61"/>
        <v>0.11858459348443524</v>
      </c>
      <c r="Q69" s="66">
        <f t="shared" si="61"/>
        <v>0.11377673151275557</v>
      </c>
      <c r="R69" s="66">
        <f t="shared" si="61"/>
        <v>0.11005059444550096</v>
      </c>
      <c r="S69" s="66">
        <f t="shared" si="61"/>
        <v>0.1072699097495646</v>
      </c>
      <c r="T69" s="66">
        <f t="shared" si="61"/>
        <v>0.10525629630280044</v>
      </c>
      <c r="U69" s="66">
        <f t="shared" si="61"/>
        <v>0.10383102154762587</v>
      </c>
      <c r="V69" s="66">
        <f t="shared" si="61"/>
        <v>0.10283884301085992</v>
      </c>
      <c r="W69" s="66">
        <f t="shared" si="61"/>
        <v>0.10215628693109026</v>
      </c>
      <c r="X69" s="66">
        <f t="shared" si="61"/>
        <v>0.10169059667450786</v>
      </c>
      <c r="Y69" s="66">
        <f t="shared" si="61"/>
        <v>0.10137467271113994</v>
      </c>
      <c r="Z69" s="66">
        <f t="shared" si="61"/>
        <v>0.10116118206645359</v>
      </c>
      <c r="AA69" s="66">
        <f t="shared" si="61"/>
        <v>0.10101729275123732</v>
      </c>
      <c r="AB69" s="66">
        <f t="shared" si="61"/>
        <v>0.10092048655968744</v>
      </c>
      <c r="AC69" s="66">
        <f t="shared" si="61"/>
        <v>0.10085543537807369</v>
      </c>
    </row>
    <row r="70" spans="1:29" ht="15.75" thickBot="1" x14ac:dyDescent="0.3">
      <c r="A70" s="59" t="str">
        <f t="shared" ref="A70" si="62">A58</f>
        <v>Emission Cost</v>
      </c>
      <c r="B70" s="66">
        <f>B41</f>
        <v>3.5122691839304448E-3</v>
      </c>
      <c r="C70" s="66">
        <f t="shared" ref="C70:AC70" si="63">C41</f>
        <v>3.5089246478970256E-3</v>
      </c>
      <c r="D70" s="66">
        <f t="shared" si="63"/>
        <v>3.5041370190587195E-3</v>
      </c>
      <c r="E70" s="66">
        <f t="shared" si="63"/>
        <v>3.4972879793244123E-3</v>
      </c>
      <c r="F70" s="66">
        <f t="shared" si="63"/>
        <v>3.4874991902284352E-3</v>
      </c>
      <c r="G70" s="66">
        <f t="shared" si="63"/>
        <v>3.4735284727434282E-3</v>
      </c>
      <c r="H70" s="66">
        <f t="shared" si="63"/>
        <v>3.4536307436526109E-3</v>
      </c>
      <c r="I70" s="66">
        <f t="shared" si="63"/>
        <v>3.4253788207186963E-3</v>
      </c>
      <c r="J70" s="66">
        <f t="shared" si="63"/>
        <v>3.3854474424880663E-3</v>
      </c>
      <c r="K70" s="66">
        <f t="shared" si="63"/>
        <v>3.3293845078740006E-3</v>
      </c>
      <c r="L70" s="66">
        <f t="shared" si="63"/>
        <v>3.251436677284981E-3</v>
      </c>
      <c r="M70" s="66">
        <f t="shared" si="63"/>
        <v>3.1445731175815781E-3</v>
      </c>
      <c r="N70" s="66">
        <f t="shared" si="63"/>
        <v>3.0009599443763112E-3</v>
      </c>
      <c r="O70" s="66">
        <f t="shared" si="63"/>
        <v>2.813229782972361E-3</v>
      </c>
      <c r="P70" s="66">
        <f t="shared" si="63"/>
        <v>2.5768153751997672E-3</v>
      </c>
      <c r="Q70" s="66">
        <f t="shared" si="63"/>
        <v>2.2931248721492917E-3</v>
      </c>
      <c r="R70" s="66">
        <f t="shared" si="63"/>
        <v>1.9723351254059053E-3</v>
      </c>
      <c r="S70" s="66">
        <f t="shared" si="63"/>
        <v>1.6336787059361244E-3</v>
      </c>
      <c r="T70" s="66">
        <f t="shared" si="63"/>
        <v>1.3016864113624426E-3</v>
      </c>
      <c r="U70" s="66">
        <f t="shared" si="63"/>
        <v>9.9946699203053851E-4</v>
      </c>
      <c r="V70" s="66">
        <f t="shared" si="63"/>
        <v>7.4262352247134438E-4</v>
      </c>
      <c r="W70" s="66">
        <f t="shared" si="63"/>
        <v>5.3693790141369664E-4</v>
      </c>
      <c r="X70" s="66">
        <f t="shared" si="63"/>
        <v>3.7999064356739184E-4</v>
      </c>
      <c r="Y70" s="66">
        <f t="shared" si="63"/>
        <v>2.646218218620832E-4</v>
      </c>
      <c r="Z70" s="66">
        <f t="shared" si="63"/>
        <v>1.8213478334480789E-4</v>
      </c>
      <c r="AA70" s="66">
        <f t="shared" si="63"/>
        <v>1.2432355100121771E-4</v>
      </c>
      <c r="AB70" s="66">
        <f t="shared" si="63"/>
        <v>8.4372436095756821E-5</v>
      </c>
      <c r="AC70" s="66">
        <f t="shared" si="63"/>
        <v>5.7031897325531943E-5</v>
      </c>
    </row>
    <row r="71" spans="1:29" ht="15.75" thickBot="1" x14ac:dyDescent="0.3">
      <c r="A71" s="31" t="s">
        <v>63</v>
      </c>
      <c r="B71" s="76">
        <f>B62+B63+B64-B65+B66+B67+B68+B69+B70</f>
        <v>2.9409598276545732</v>
      </c>
      <c r="C71" s="76">
        <f t="shared" ref="C71:AC71" si="64">C62+C63+C64-C65+C66+C67+C68+C69+C70</f>
        <v>2.9244834678325127</v>
      </c>
      <c r="D71" s="76">
        <f t="shared" si="64"/>
        <v>2.901882862053216</v>
      </c>
      <c r="E71" s="76">
        <f t="shared" si="64"/>
        <v>2.8714850426889775</v>
      </c>
      <c r="F71" s="76">
        <f t="shared" si="64"/>
        <v>2.8316989892951319</v>
      </c>
      <c r="G71" s="76">
        <f t="shared" si="64"/>
        <v>2.781498009557688</v>
      </c>
      <c r="H71" s="76">
        <f t="shared" si="64"/>
        <v>2.721079200482698</v>
      </c>
      <c r="I71" s="76">
        <f t="shared" si="64"/>
        <v>2.6524489905371484</v>
      </c>
      <c r="J71" s="76">
        <f t="shared" si="64"/>
        <v>2.5794984109862056</v>
      </c>
      <c r="K71" s="76">
        <f t="shared" si="64"/>
        <v>2.5072532273838544</v>
      </c>
      <c r="L71" s="76">
        <f t="shared" si="64"/>
        <v>2.4405218543912364</v>
      </c>
      <c r="M71" s="76">
        <f t="shared" si="64"/>
        <v>2.382672284687942</v>
      </c>
      <c r="N71" s="76">
        <f t="shared" si="64"/>
        <v>2.3351582102870059</v>
      </c>
      <c r="O71" s="76">
        <f t="shared" si="64"/>
        <v>2.2978064358484391</v>
      </c>
      <c r="P71" s="76">
        <f t="shared" si="64"/>
        <v>2.2694450873967331</v>
      </c>
      <c r="Q71" s="76">
        <f t="shared" si="64"/>
        <v>2.2484868966813125</v>
      </c>
      <c r="R71" s="76">
        <f t="shared" si="64"/>
        <v>2.233319799640181</v>
      </c>
      <c r="S71" s="76">
        <f t="shared" si="64"/>
        <v>2.2225157373987465</v>
      </c>
      <c r="T71" s="76">
        <f t="shared" si="64"/>
        <v>2.2149110940465251</v>
      </c>
      <c r="U71" s="76">
        <f t="shared" si="64"/>
        <v>2.2096085999178534</v>
      </c>
      <c r="V71" s="76">
        <f t="shared" si="64"/>
        <v>2.2059404152230164</v>
      </c>
      <c r="W71" s="76">
        <f t="shared" si="64"/>
        <v>2.2034202038468638</v>
      </c>
      <c r="X71" s="76">
        <f t="shared" si="64"/>
        <v>2.2016989324539433</v>
      </c>
      <c r="Y71" s="76">
        <f t="shared" si="64"/>
        <v>2.2005290834643527</v>
      </c>
      <c r="Z71" s="76">
        <f t="shared" si="64"/>
        <v>2.1997370806795105</v>
      </c>
      <c r="AA71" s="76">
        <f t="shared" si="64"/>
        <v>2.1992024538999981</v>
      </c>
      <c r="AB71" s="76">
        <f t="shared" si="64"/>
        <v>2.1988423356332931</v>
      </c>
      <c r="AC71" s="76">
        <f t="shared" si="64"/>
        <v>2.1986001333912113</v>
      </c>
    </row>
    <row r="72" spans="1:29" ht="15.75" thickBot="1" x14ac:dyDescent="0.3"/>
    <row r="73" spans="1:29" ht="15.75" thickBot="1" x14ac:dyDescent="0.3">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5">A50</f>
        <v>Capex vehicle</v>
      </c>
      <c r="B74" s="65">
        <f>((1+B35)^B42)*B35/(((1+B35)^B42)-1)*(B31)/B47/(B44)</f>
        <v>4.5229574619176545E-2</v>
      </c>
      <c r="C74" s="65">
        <f t="shared" ref="C74:AC74" si="66">((1+C35)^C42)*C35/(((1+C35)^C42)-1)*(C31)/C47/(C44)</f>
        <v>4.4568239370013064E-2</v>
      </c>
      <c r="D74" s="65">
        <f t="shared" si="66"/>
        <v>4.3661573484010813E-2</v>
      </c>
      <c r="E74" s="65">
        <f t="shared" si="66"/>
        <v>4.2443111687612306E-2</v>
      </c>
      <c r="F74" s="65">
        <f t="shared" si="66"/>
        <v>4.0850346730211796E-2</v>
      </c>
      <c r="G74" s="65">
        <f t="shared" si="66"/>
        <v>3.8844528478585556E-2</v>
      </c>
      <c r="H74" s="65">
        <f t="shared" si="66"/>
        <v>3.6437604153655989E-2</v>
      </c>
      <c r="I74" s="65">
        <f t="shared" si="66"/>
        <v>3.3715917539820797E-2</v>
      </c>
      <c r="J74" s="65">
        <f t="shared" si="66"/>
        <v>3.0842644148394181E-2</v>
      </c>
      <c r="K74" s="65">
        <f t="shared" si="66"/>
        <v>2.8025911403003687E-2</v>
      </c>
      <c r="L74" s="65">
        <f t="shared" si="66"/>
        <v>2.5461781606502806E-2</v>
      </c>
      <c r="M74" s="65">
        <f t="shared" si="66"/>
        <v>2.3282636418581814E-2</v>
      </c>
      <c r="N74" s="65">
        <f t="shared" si="66"/>
        <v>2.1537531385848969E-2</v>
      </c>
      <c r="O74" s="65">
        <f t="shared" si="66"/>
        <v>2.0205938792585285E-2</v>
      </c>
      <c r="P74" s="65">
        <f t="shared" si="66"/>
        <v>1.9227111442656115E-2</v>
      </c>
      <c r="Q74" s="65">
        <f t="shared" si="66"/>
        <v>1.852726404782349E-2</v>
      </c>
      <c r="R74" s="65">
        <f t="shared" si="66"/>
        <v>1.8036774377264503E-2</v>
      </c>
      <c r="S74" s="65">
        <f t="shared" si="66"/>
        <v>1.7697815867056987E-2</v>
      </c>
      <c r="T74" s="65">
        <f t="shared" si="66"/>
        <v>1.7465849667571538E-2</v>
      </c>
      <c r="U74" s="65">
        <f t="shared" si="66"/>
        <v>1.7308163183106733E-2</v>
      </c>
      <c r="V74" s="65">
        <f t="shared" si="66"/>
        <v>1.7201458493710749E-2</v>
      </c>
      <c r="W74" s="65">
        <f t="shared" si="66"/>
        <v>1.7129475398842346E-2</v>
      </c>
      <c r="X74" s="65">
        <f t="shared" si="66"/>
        <v>1.7081016736958606E-2</v>
      </c>
      <c r="Y74" s="65">
        <f t="shared" si="66"/>
        <v>1.7048440420045833E-2</v>
      </c>
      <c r="Z74" s="65">
        <f t="shared" si="66"/>
        <v>1.702656169123843E-2</v>
      </c>
      <c r="AA74" s="65">
        <f t="shared" si="66"/>
        <v>1.7011876945007449E-2</v>
      </c>
      <c r="AB74" s="65">
        <f t="shared" si="66"/>
        <v>1.7002024915625611E-2</v>
      </c>
      <c r="AC74" s="65">
        <f t="shared" si="66"/>
        <v>1.6995417056938824E-2</v>
      </c>
    </row>
    <row r="75" spans="1:29" x14ac:dyDescent="0.25">
      <c r="A75" s="30" t="str">
        <f t="shared" si="65"/>
        <v>Residual value (vehicle)</v>
      </c>
      <c r="B75" s="68">
        <f>((1+B35)^B42)*B35/(((1+B35)^B42)-1)*(B32)/B47/(B44)</f>
        <v>-6.8763971865001975E-3</v>
      </c>
      <c r="C75" s="68">
        <f t="shared" ref="C75:AC75" si="67">((1+C35)^C42)*C35/(((1+C35)^C42)-1)*(C32)/C47/(C44)</f>
        <v>-6.8148022368232078E-3</v>
      </c>
      <c r="D75" s="68">
        <f t="shared" si="67"/>
        <v>-6.7303578650877039E-3</v>
      </c>
      <c r="E75" s="68">
        <f t="shared" si="67"/>
        <v>-6.6168736781682348E-3</v>
      </c>
      <c r="F75" s="68">
        <f t="shared" si="67"/>
        <v>-6.4685279223319122E-3</v>
      </c>
      <c r="G75" s="68">
        <f t="shared" si="67"/>
        <v>-6.2817115165431951E-3</v>
      </c>
      <c r="H75" s="68">
        <f t="shared" si="67"/>
        <v>-6.0575371921624994E-3</v>
      </c>
      <c r="I75" s="68">
        <f t="shared" si="67"/>
        <v>-5.804046772246477E-3</v>
      </c>
      <c r="J75" s="68">
        <f t="shared" si="67"/>
        <v>-5.5364379759861538E-3</v>
      </c>
      <c r="K75" s="68">
        <f t="shared" si="67"/>
        <v>-5.2740952202880199E-3</v>
      </c>
      <c r="L75" s="68">
        <f t="shared" si="67"/>
        <v>-5.0352792098296052E-3</v>
      </c>
      <c r="M75" s="68">
        <f t="shared" si="67"/>
        <v>-4.8323196089938266E-3</v>
      </c>
      <c r="N75" s="68">
        <f t="shared" si="67"/>
        <v>-4.6697853167294925E-3</v>
      </c>
      <c r="O75" s="68">
        <f t="shared" si="67"/>
        <v>-4.5457644379451297E-3</v>
      </c>
      <c r="P75" s="68">
        <f t="shared" si="67"/>
        <v>-4.4545991455497659E-3</v>
      </c>
      <c r="Q75" s="68">
        <f t="shared" si="67"/>
        <v>-4.389417280344767E-3</v>
      </c>
      <c r="R75" s="68">
        <f t="shared" si="67"/>
        <v>-4.343734418871135E-3</v>
      </c>
      <c r="S75" s="68">
        <f t="shared" si="67"/>
        <v>-4.3121647537047499E-3</v>
      </c>
      <c r="T75" s="68">
        <f t="shared" si="67"/>
        <v>-4.2905600586546338E-3</v>
      </c>
      <c r="U75" s="68">
        <f t="shared" si="67"/>
        <v>-4.2758735723564404E-3</v>
      </c>
      <c r="V75" s="68">
        <f t="shared" si="67"/>
        <v>-4.2659353905009339E-3</v>
      </c>
      <c r="W75" s="68">
        <f t="shared" si="67"/>
        <v>-4.2592310826455428E-3</v>
      </c>
      <c r="X75" s="68">
        <f t="shared" si="67"/>
        <v>-4.2547177759014697E-3</v>
      </c>
      <c r="Y75" s="68">
        <f t="shared" si="67"/>
        <v>-4.2516837071693969E-3</v>
      </c>
      <c r="Z75" s="68">
        <f t="shared" si="67"/>
        <v>-4.2496459824275298E-3</v>
      </c>
      <c r="AA75" s="68">
        <f t="shared" si="67"/>
        <v>-4.2482782854746451E-3</v>
      </c>
      <c r="AB75" s="68">
        <f t="shared" si="67"/>
        <v>-4.2473606945028072E-3</v>
      </c>
      <c r="AC75" s="68">
        <f t="shared" si="67"/>
        <v>-4.2467452566839394E-3</v>
      </c>
    </row>
    <row r="76" spans="1:29" x14ac:dyDescent="0.25">
      <c r="A76" s="30" t="str">
        <f t="shared" si="65"/>
        <v>Capex costumization</v>
      </c>
      <c r="B76" s="66">
        <f>((1+B35)^B43)*B35/(((1+B35)^B43)-1)*(B33)/B47/(B44)</f>
        <v>3.9525224209566176E-3</v>
      </c>
      <c r="C76" s="66">
        <f t="shared" ref="C76:AC76" si="68">((1+C35)^C43)*C35/(((1+C35)^C43)-1)*(C33)/C47/(C44)</f>
        <v>3.9525224209566176E-3</v>
      </c>
      <c r="D76" s="66">
        <f t="shared" si="68"/>
        <v>3.9525224209566176E-3</v>
      </c>
      <c r="E76" s="66">
        <f t="shared" si="68"/>
        <v>3.9525224209566176E-3</v>
      </c>
      <c r="F76" s="66">
        <f t="shared" si="68"/>
        <v>3.9525224209566176E-3</v>
      </c>
      <c r="G76" s="66">
        <f t="shared" si="68"/>
        <v>3.9525224209566176E-3</v>
      </c>
      <c r="H76" s="66">
        <f t="shared" si="68"/>
        <v>3.9525224209566176E-3</v>
      </c>
      <c r="I76" s="66">
        <f t="shared" si="68"/>
        <v>3.9525224209566176E-3</v>
      </c>
      <c r="J76" s="66">
        <f t="shared" si="68"/>
        <v>3.9525224209566176E-3</v>
      </c>
      <c r="K76" s="66">
        <f t="shared" si="68"/>
        <v>3.9525224209566176E-3</v>
      </c>
      <c r="L76" s="66">
        <f t="shared" si="68"/>
        <v>3.9525224209566176E-3</v>
      </c>
      <c r="M76" s="66">
        <f t="shared" si="68"/>
        <v>3.9525224209566176E-3</v>
      </c>
      <c r="N76" s="66">
        <f t="shared" si="68"/>
        <v>3.9525224209566176E-3</v>
      </c>
      <c r="O76" s="66">
        <f t="shared" si="68"/>
        <v>3.9525224209566176E-3</v>
      </c>
      <c r="P76" s="66">
        <f t="shared" si="68"/>
        <v>3.9525224209566176E-3</v>
      </c>
      <c r="Q76" s="66">
        <f t="shared" si="68"/>
        <v>3.9525224209566176E-3</v>
      </c>
      <c r="R76" s="66">
        <f t="shared" si="68"/>
        <v>3.9525224209566176E-3</v>
      </c>
      <c r="S76" s="66">
        <f t="shared" si="68"/>
        <v>3.9525224209566176E-3</v>
      </c>
      <c r="T76" s="66">
        <f t="shared" si="68"/>
        <v>3.9525224209566176E-3</v>
      </c>
      <c r="U76" s="66">
        <f t="shared" si="68"/>
        <v>3.9525224209566176E-3</v>
      </c>
      <c r="V76" s="66">
        <f t="shared" si="68"/>
        <v>3.9525224209566176E-3</v>
      </c>
      <c r="W76" s="66">
        <f t="shared" si="68"/>
        <v>3.9525224209566176E-3</v>
      </c>
      <c r="X76" s="66">
        <f t="shared" si="68"/>
        <v>3.9525224209566176E-3</v>
      </c>
      <c r="Y76" s="66">
        <f t="shared" si="68"/>
        <v>3.9525224209566176E-3</v>
      </c>
      <c r="Z76" s="66">
        <f t="shared" si="68"/>
        <v>3.9525224209566176E-3</v>
      </c>
      <c r="AA76" s="66">
        <f t="shared" si="68"/>
        <v>3.9525224209566176E-3</v>
      </c>
      <c r="AB76" s="66">
        <f t="shared" si="68"/>
        <v>3.9525224209566176E-3</v>
      </c>
      <c r="AC76" s="66">
        <f t="shared" si="68"/>
        <v>3.9525224209566176E-3</v>
      </c>
    </row>
    <row r="77" spans="1:29" x14ac:dyDescent="0.25">
      <c r="A77" s="30" t="str">
        <f t="shared" si="65"/>
        <v>Residual value (costumization)</v>
      </c>
      <c r="B77" s="69">
        <f>((1+B35)^B43)*B35/(((1+B35)^B43)-1)*(B34)/B47/(B44)</f>
        <v>-9.8813060523915441E-4</v>
      </c>
      <c r="C77" s="69">
        <f t="shared" ref="C77:AC77" si="69">((1+C35)^C43)*C35/(((1+C35)^C43)-1)*(C34)/C47/(C44)</f>
        <v>-9.8813060523915441E-4</v>
      </c>
      <c r="D77" s="69">
        <f t="shared" si="69"/>
        <v>-9.8813060523915441E-4</v>
      </c>
      <c r="E77" s="69">
        <f t="shared" si="69"/>
        <v>-9.8813060523915441E-4</v>
      </c>
      <c r="F77" s="69">
        <f t="shared" si="69"/>
        <v>-9.8813060523915441E-4</v>
      </c>
      <c r="G77" s="69">
        <f t="shared" si="69"/>
        <v>-9.8813060523915441E-4</v>
      </c>
      <c r="H77" s="69">
        <f t="shared" si="69"/>
        <v>-9.8813060523915441E-4</v>
      </c>
      <c r="I77" s="69">
        <f t="shared" si="69"/>
        <v>-9.8813060523915441E-4</v>
      </c>
      <c r="J77" s="69">
        <f t="shared" si="69"/>
        <v>-9.8813060523915441E-4</v>
      </c>
      <c r="K77" s="69">
        <f t="shared" si="69"/>
        <v>-9.8813060523915441E-4</v>
      </c>
      <c r="L77" s="69">
        <f t="shared" si="69"/>
        <v>-9.8813060523915441E-4</v>
      </c>
      <c r="M77" s="69">
        <f t="shared" si="69"/>
        <v>-9.8813060523915441E-4</v>
      </c>
      <c r="N77" s="69">
        <f t="shared" si="69"/>
        <v>-9.8813060523915441E-4</v>
      </c>
      <c r="O77" s="69">
        <f t="shared" si="69"/>
        <v>-9.8813060523915441E-4</v>
      </c>
      <c r="P77" s="69">
        <f t="shared" si="69"/>
        <v>-9.8813060523915441E-4</v>
      </c>
      <c r="Q77" s="69">
        <f t="shared" si="69"/>
        <v>-9.8813060523915441E-4</v>
      </c>
      <c r="R77" s="69">
        <f t="shared" si="69"/>
        <v>-9.8813060523915441E-4</v>
      </c>
      <c r="S77" s="69">
        <f t="shared" si="69"/>
        <v>-9.8813060523915441E-4</v>
      </c>
      <c r="T77" s="69">
        <f t="shared" si="69"/>
        <v>-9.8813060523915441E-4</v>
      </c>
      <c r="U77" s="69">
        <f t="shared" si="69"/>
        <v>-9.8813060523915441E-4</v>
      </c>
      <c r="V77" s="69">
        <f t="shared" si="69"/>
        <v>-9.8813060523915441E-4</v>
      </c>
      <c r="W77" s="69">
        <f t="shared" si="69"/>
        <v>-9.8813060523915441E-4</v>
      </c>
      <c r="X77" s="69">
        <f t="shared" si="69"/>
        <v>-9.8813060523915441E-4</v>
      </c>
      <c r="Y77" s="69">
        <f t="shared" si="69"/>
        <v>-9.8813060523915441E-4</v>
      </c>
      <c r="Z77" s="69">
        <f t="shared" si="69"/>
        <v>-9.8813060523915441E-4</v>
      </c>
      <c r="AA77" s="69">
        <f t="shared" si="69"/>
        <v>-9.8813060523915441E-4</v>
      </c>
      <c r="AB77" s="69">
        <f t="shared" si="69"/>
        <v>-9.8813060523915441E-4</v>
      </c>
      <c r="AC77" s="69">
        <f t="shared" si="69"/>
        <v>-9.8813060523915441E-4</v>
      </c>
    </row>
    <row r="78" spans="1:29" x14ac:dyDescent="0.25">
      <c r="A78" s="30" t="str">
        <f t="shared" si="65"/>
        <v>Opex fix (admin, crew, insurance)</v>
      </c>
      <c r="B78" s="66">
        <f>B36/B47/(B44)</f>
        <v>5.0909090909090911E-2</v>
      </c>
      <c r="C78" s="66">
        <f t="shared" ref="C78:AC78" si="70">C36/C47/(C44)</f>
        <v>5.0909090909090911E-2</v>
      </c>
      <c r="D78" s="66">
        <f t="shared" si="70"/>
        <v>5.0909090909090911E-2</v>
      </c>
      <c r="E78" s="66">
        <f t="shared" si="70"/>
        <v>5.0909090909090911E-2</v>
      </c>
      <c r="F78" s="66">
        <f t="shared" si="70"/>
        <v>5.0909090909090911E-2</v>
      </c>
      <c r="G78" s="66">
        <f t="shared" si="70"/>
        <v>5.0909090909090911E-2</v>
      </c>
      <c r="H78" s="66">
        <f t="shared" si="70"/>
        <v>5.0909090909090911E-2</v>
      </c>
      <c r="I78" s="66">
        <f t="shared" si="70"/>
        <v>5.0909090909090911E-2</v>
      </c>
      <c r="J78" s="66">
        <f t="shared" si="70"/>
        <v>5.0909090909090911E-2</v>
      </c>
      <c r="K78" s="66">
        <f t="shared" si="70"/>
        <v>5.0909090909090911E-2</v>
      </c>
      <c r="L78" s="66">
        <f t="shared" si="70"/>
        <v>5.0909090909090911E-2</v>
      </c>
      <c r="M78" s="66">
        <f t="shared" si="70"/>
        <v>5.0909090909090911E-2</v>
      </c>
      <c r="N78" s="66">
        <f t="shared" si="70"/>
        <v>5.0909090909090911E-2</v>
      </c>
      <c r="O78" s="66">
        <f t="shared" si="70"/>
        <v>5.0909090909090911E-2</v>
      </c>
      <c r="P78" s="66">
        <f t="shared" si="70"/>
        <v>5.0909090909090911E-2</v>
      </c>
      <c r="Q78" s="66">
        <f t="shared" si="70"/>
        <v>5.0909090909090911E-2</v>
      </c>
      <c r="R78" s="66">
        <f t="shared" si="70"/>
        <v>5.0909090909090911E-2</v>
      </c>
      <c r="S78" s="66">
        <f t="shared" si="70"/>
        <v>5.0909090909090911E-2</v>
      </c>
      <c r="T78" s="66">
        <f t="shared" si="70"/>
        <v>5.0909090909090911E-2</v>
      </c>
      <c r="U78" s="66">
        <f t="shared" si="70"/>
        <v>5.0909090909090911E-2</v>
      </c>
      <c r="V78" s="66">
        <f t="shared" si="70"/>
        <v>5.0909090909090911E-2</v>
      </c>
      <c r="W78" s="66">
        <f t="shared" si="70"/>
        <v>5.0909090909090911E-2</v>
      </c>
      <c r="X78" s="66">
        <f t="shared" si="70"/>
        <v>5.0909090909090911E-2</v>
      </c>
      <c r="Y78" s="66">
        <f t="shared" si="70"/>
        <v>5.0909090909090911E-2</v>
      </c>
      <c r="Z78" s="66">
        <f t="shared" si="70"/>
        <v>5.0909090909090911E-2</v>
      </c>
      <c r="AA78" s="66">
        <f t="shared" si="70"/>
        <v>5.0909090909090911E-2</v>
      </c>
      <c r="AB78" s="66">
        <f t="shared" si="70"/>
        <v>5.0909090909090911E-2</v>
      </c>
      <c r="AC78" s="66">
        <f t="shared" si="70"/>
        <v>5.0909090909090911E-2</v>
      </c>
    </row>
    <row r="79" spans="1:29" x14ac:dyDescent="0.25">
      <c r="A79" s="30" t="str">
        <f t="shared" si="65"/>
        <v>Opex maintenance &amp; repair</v>
      </c>
      <c r="B79" s="66">
        <f>B37/B47/(B44)</f>
        <v>1.0909090909090908E-2</v>
      </c>
      <c r="C79" s="66">
        <f t="shared" ref="C79:AC79" si="71">C37/C47/(C44)</f>
        <v>1.0909090909090908E-2</v>
      </c>
      <c r="D79" s="66">
        <f t="shared" si="71"/>
        <v>1.0909090909090908E-2</v>
      </c>
      <c r="E79" s="66">
        <f t="shared" si="71"/>
        <v>1.0909090909090908E-2</v>
      </c>
      <c r="F79" s="66">
        <f t="shared" si="71"/>
        <v>1.0909090909090908E-2</v>
      </c>
      <c r="G79" s="66">
        <f t="shared" si="71"/>
        <v>1.0909090909090908E-2</v>
      </c>
      <c r="H79" s="66">
        <f t="shared" si="71"/>
        <v>1.0909090909090908E-2</v>
      </c>
      <c r="I79" s="66">
        <f t="shared" si="71"/>
        <v>1.0909090909090908E-2</v>
      </c>
      <c r="J79" s="66">
        <f t="shared" si="71"/>
        <v>1.0909090909090908E-2</v>
      </c>
      <c r="K79" s="66">
        <f t="shared" si="71"/>
        <v>1.0909090909090908E-2</v>
      </c>
      <c r="L79" s="66">
        <f t="shared" si="71"/>
        <v>1.0909090909090908E-2</v>
      </c>
      <c r="M79" s="66">
        <f t="shared" si="71"/>
        <v>1.0909090909090908E-2</v>
      </c>
      <c r="N79" s="66">
        <f t="shared" si="71"/>
        <v>1.0909090909090908E-2</v>
      </c>
      <c r="O79" s="66">
        <f t="shared" si="71"/>
        <v>1.0909090909090908E-2</v>
      </c>
      <c r="P79" s="66">
        <f t="shared" si="71"/>
        <v>1.0909090909090908E-2</v>
      </c>
      <c r="Q79" s="66">
        <f t="shared" si="71"/>
        <v>1.0909090909090908E-2</v>
      </c>
      <c r="R79" s="66">
        <f t="shared" si="71"/>
        <v>1.0909090909090908E-2</v>
      </c>
      <c r="S79" s="66">
        <f t="shared" si="71"/>
        <v>1.0909090909090908E-2</v>
      </c>
      <c r="T79" s="66">
        <f t="shared" si="71"/>
        <v>1.0909090909090908E-2</v>
      </c>
      <c r="U79" s="66">
        <f t="shared" si="71"/>
        <v>1.0909090909090908E-2</v>
      </c>
      <c r="V79" s="66">
        <f t="shared" si="71"/>
        <v>1.0909090909090908E-2</v>
      </c>
      <c r="W79" s="66">
        <f t="shared" si="71"/>
        <v>1.0909090909090908E-2</v>
      </c>
      <c r="X79" s="66">
        <f t="shared" si="71"/>
        <v>1.0909090909090908E-2</v>
      </c>
      <c r="Y79" s="66">
        <f t="shared" si="71"/>
        <v>1.0909090909090908E-2</v>
      </c>
      <c r="Z79" s="66">
        <f t="shared" si="71"/>
        <v>1.0909090909090908E-2</v>
      </c>
      <c r="AA79" s="66">
        <f t="shared" si="71"/>
        <v>1.0909090909090908E-2</v>
      </c>
      <c r="AB79" s="66">
        <f t="shared" si="71"/>
        <v>1.0909090909090908E-2</v>
      </c>
      <c r="AC79" s="66">
        <f t="shared" si="71"/>
        <v>1.0909090909090908E-2</v>
      </c>
    </row>
    <row r="80" spans="1:29" x14ac:dyDescent="0.25">
      <c r="A80" s="30" t="str">
        <f t="shared" si="65"/>
        <v>Opex var (mode-fees)</v>
      </c>
      <c r="B80" s="66">
        <f>B38*B47/B47/(B44)</f>
        <v>4.4000000000000003E-3</v>
      </c>
      <c r="C80" s="66">
        <f t="shared" ref="C80:AC80" si="72">C38*C47/C47/(C44)</f>
        <v>4.4000000000000003E-3</v>
      </c>
      <c r="D80" s="66">
        <f t="shared" si="72"/>
        <v>4.4000000000000003E-3</v>
      </c>
      <c r="E80" s="66">
        <f t="shared" si="72"/>
        <v>4.4000000000000003E-3</v>
      </c>
      <c r="F80" s="66">
        <f t="shared" si="72"/>
        <v>4.4000000000000003E-3</v>
      </c>
      <c r="G80" s="66">
        <f t="shared" si="72"/>
        <v>4.4000000000000003E-3</v>
      </c>
      <c r="H80" s="66">
        <f t="shared" si="72"/>
        <v>4.4000000000000003E-3</v>
      </c>
      <c r="I80" s="66">
        <f t="shared" si="72"/>
        <v>4.4000000000000003E-3</v>
      </c>
      <c r="J80" s="66">
        <f t="shared" si="72"/>
        <v>4.4000000000000003E-3</v>
      </c>
      <c r="K80" s="66">
        <f t="shared" si="72"/>
        <v>4.4000000000000003E-3</v>
      </c>
      <c r="L80" s="66">
        <f t="shared" si="72"/>
        <v>4.4000000000000003E-3</v>
      </c>
      <c r="M80" s="66">
        <f t="shared" si="72"/>
        <v>4.4000000000000003E-3</v>
      </c>
      <c r="N80" s="66">
        <f t="shared" si="72"/>
        <v>4.4000000000000003E-3</v>
      </c>
      <c r="O80" s="66">
        <f t="shared" si="72"/>
        <v>4.4000000000000003E-3</v>
      </c>
      <c r="P80" s="66">
        <f t="shared" si="72"/>
        <v>4.4000000000000003E-3</v>
      </c>
      <c r="Q80" s="66">
        <f t="shared" si="72"/>
        <v>4.4000000000000003E-3</v>
      </c>
      <c r="R80" s="66">
        <f t="shared" si="72"/>
        <v>4.4000000000000003E-3</v>
      </c>
      <c r="S80" s="66">
        <f t="shared" si="72"/>
        <v>4.4000000000000003E-3</v>
      </c>
      <c r="T80" s="66">
        <f t="shared" si="72"/>
        <v>4.4000000000000003E-3</v>
      </c>
      <c r="U80" s="66">
        <f t="shared" si="72"/>
        <v>4.4000000000000003E-3</v>
      </c>
      <c r="V80" s="66">
        <f t="shared" si="72"/>
        <v>4.4000000000000003E-3</v>
      </c>
      <c r="W80" s="66">
        <f t="shared" si="72"/>
        <v>4.4000000000000003E-3</v>
      </c>
      <c r="X80" s="66">
        <f t="shared" si="72"/>
        <v>4.4000000000000003E-3</v>
      </c>
      <c r="Y80" s="66">
        <f t="shared" si="72"/>
        <v>4.4000000000000003E-3</v>
      </c>
      <c r="Z80" s="66">
        <f t="shared" si="72"/>
        <v>4.4000000000000003E-3</v>
      </c>
      <c r="AA80" s="66">
        <f t="shared" si="72"/>
        <v>4.4000000000000003E-3</v>
      </c>
      <c r="AB80" s="66">
        <f t="shared" si="72"/>
        <v>4.4000000000000003E-3</v>
      </c>
      <c r="AC80" s="66">
        <f t="shared" si="72"/>
        <v>4.4000000000000003E-3</v>
      </c>
    </row>
    <row r="81" spans="1:29" x14ac:dyDescent="0.25">
      <c r="A81" s="30" t="str">
        <f t="shared" si="65"/>
        <v>Fuel Cost</v>
      </c>
      <c r="B81" s="66">
        <f>B39*B40*B47/B47/(B44)</f>
        <v>7.985890061771795E-3</v>
      </c>
      <c r="C81" s="66">
        <f t="shared" ref="C81:AC81" si="73">C39*C40*C47/C47/(C44)</f>
        <v>7.9267097498172002E-3</v>
      </c>
      <c r="D81" s="66">
        <f t="shared" si="73"/>
        <v>7.8450985380655921E-3</v>
      </c>
      <c r="E81" s="66">
        <f t="shared" si="73"/>
        <v>7.7344373345644779E-3</v>
      </c>
      <c r="F81" s="66">
        <f t="shared" si="73"/>
        <v>7.5878059519386533E-3</v>
      </c>
      <c r="G81" s="66">
        <f t="shared" si="73"/>
        <v>7.3993274369778426E-3</v>
      </c>
      <c r="H81" s="66">
        <f t="shared" si="73"/>
        <v>7.1661209836907458E-3</v>
      </c>
      <c r="I81" s="66">
        <f t="shared" si="73"/>
        <v>6.890238856705296E-3</v>
      </c>
      <c r="J81" s="66">
        <f t="shared" si="73"/>
        <v>6.5794775249630845E-3</v>
      </c>
      <c r="K81" s="66">
        <f t="shared" si="73"/>
        <v>6.2463026879459715E-3</v>
      </c>
      <c r="L81" s="66">
        <f t="shared" si="73"/>
        <v>5.9054794675072585E-3</v>
      </c>
      <c r="M81" s="66">
        <f t="shared" si="73"/>
        <v>5.5719568088488311E-3</v>
      </c>
      <c r="N81" s="66">
        <f t="shared" si="73"/>
        <v>5.2597091002081252E-3</v>
      </c>
      <c r="O81" s="66">
        <f t="shared" si="73"/>
        <v>4.9807190436009447E-3</v>
      </c>
      <c r="P81" s="66">
        <f t="shared" si="73"/>
        <v>4.7433837393774094E-3</v>
      </c>
      <c r="Q81" s="66">
        <f t="shared" si="73"/>
        <v>4.5510692605102224E-3</v>
      </c>
      <c r="R81" s="66">
        <f t="shared" si="73"/>
        <v>4.4020237778200381E-3</v>
      </c>
      <c r="S81" s="66">
        <f t="shared" si="73"/>
        <v>4.2907963899825839E-3</v>
      </c>
      <c r="T81" s="66">
        <f t="shared" si="73"/>
        <v>4.2102518521120172E-3</v>
      </c>
      <c r="U81" s="66">
        <f t="shared" si="73"/>
        <v>4.1532408619050351E-3</v>
      </c>
      <c r="V81" s="66">
        <f t="shared" si="73"/>
        <v>4.1135537204343969E-3</v>
      </c>
      <c r="W81" s="66">
        <f t="shared" si="73"/>
        <v>4.08625147724361E-3</v>
      </c>
      <c r="X81" s="66">
        <f t="shared" si="73"/>
        <v>4.0676238669803142E-3</v>
      </c>
      <c r="Y81" s="66">
        <f t="shared" si="73"/>
        <v>4.0549869084455974E-3</v>
      </c>
      <c r="Z81" s="66">
        <f t="shared" si="73"/>
        <v>4.0464472826581442E-3</v>
      </c>
      <c r="AA81" s="66">
        <f t="shared" si="73"/>
        <v>4.0406917100494931E-3</v>
      </c>
      <c r="AB81" s="66">
        <f t="shared" si="73"/>
        <v>4.0368194623874977E-3</v>
      </c>
      <c r="AC81" s="66">
        <f t="shared" si="73"/>
        <v>4.0342174151229478E-3</v>
      </c>
    </row>
    <row r="82" spans="1:29" x14ac:dyDescent="0.25">
      <c r="A82" s="59" t="str">
        <f>A45</f>
        <v>Market failure (av. utilization)</v>
      </c>
      <c r="B82" s="66">
        <f>B71/B45-B71/B44</f>
        <v>9.2430166012000908E-2</v>
      </c>
      <c r="C82" s="66">
        <f t="shared" ref="C82:AC82" si="74">C71/C45-C71/C44</f>
        <v>9.1912337560450433E-2</v>
      </c>
      <c r="D82" s="66">
        <f t="shared" si="74"/>
        <v>9.1202032807386826E-2</v>
      </c>
      <c r="E82" s="66">
        <f t="shared" si="74"/>
        <v>9.024667277022505E-2</v>
      </c>
      <c r="F82" s="66">
        <f t="shared" si="74"/>
        <v>8.89962539492756E-2</v>
      </c>
      <c r="G82" s="66">
        <f t="shared" si="74"/>
        <v>8.7418508871813086E-2</v>
      </c>
      <c r="H82" s="66">
        <f t="shared" si="74"/>
        <v>8.551963201517053E-2</v>
      </c>
      <c r="I82" s="66">
        <f t="shared" si="74"/>
        <v>8.3362682559738971E-2</v>
      </c>
      <c r="J82" s="66">
        <f t="shared" si="74"/>
        <v>8.1069950059566492E-2</v>
      </c>
      <c r="K82" s="66">
        <f t="shared" si="74"/>
        <v>7.8799387146349736E-2</v>
      </c>
      <c r="L82" s="66">
        <f t="shared" si="74"/>
        <v>7.6702115423724612E-2</v>
      </c>
      <c r="M82" s="66">
        <f t="shared" si="74"/>
        <v>7.4883986090192492E-2</v>
      </c>
      <c r="N82" s="66">
        <f t="shared" si="74"/>
        <v>7.3390686609020192E-2</v>
      </c>
      <c r="O82" s="66">
        <f t="shared" si="74"/>
        <v>7.2216773698093831E-2</v>
      </c>
      <c r="P82" s="66">
        <f t="shared" si="74"/>
        <v>7.1325417032468766E-2</v>
      </c>
      <c r="Q82" s="66">
        <f t="shared" si="74"/>
        <v>7.0666731038555572E-2</v>
      </c>
      <c r="R82" s="66">
        <f t="shared" si="74"/>
        <v>7.0190050845834281E-2</v>
      </c>
      <c r="S82" s="66">
        <f t="shared" si="74"/>
        <v>6.9850494603960631E-2</v>
      </c>
      <c r="T82" s="66">
        <f t="shared" si="74"/>
        <v>6.9611491527176536E-2</v>
      </c>
      <c r="U82" s="66">
        <f t="shared" si="74"/>
        <v>6.9444841711703981E-2</v>
      </c>
      <c r="V82" s="66">
        <f t="shared" si="74"/>
        <v>6.9329555907009122E-2</v>
      </c>
      <c r="W82" s="66">
        <f t="shared" si="74"/>
        <v>6.9250349263758601E-2</v>
      </c>
      <c r="X82" s="66">
        <f t="shared" si="74"/>
        <v>6.9196252162838243E-2</v>
      </c>
      <c r="Y82" s="66">
        <f t="shared" si="74"/>
        <v>6.9159485480308244E-2</v>
      </c>
      <c r="Z82" s="66">
        <f t="shared" si="74"/>
        <v>6.9134593964213203E-2</v>
      </c>
      <c r="AA82" s="66">
        <f t="shared" si="74"/>
        <v>6.9117791408285667E-2</v>
      </c>
      <c r="AB82" s="66">
        <f t="shared" si="74"/>
        <v>6.9106473405617805E-2</v>
      </c>
      <c r="AC82" s="66">
        <f t="shared" si="74"/>
        <v>6.9098861335152389E-2</v>
      </c>
    </row>
    <row r="83" spans="1:29" x14ac:dyDescent="0.25">
      <c r="A83" s="59" t="str">
        <f>A46</f>
        <v>Payload loss (fuel)</v>
      </c>
      <c r="B83" s="66">
        <f>B71/(B44-B46)-B71/B44</f>
        <v>1.2975133797221566E-2</v>
      </c>
      <c r="C83" s="66">
        <f t="shared" ref="C83:AC83" si="75">C71/(C44-C46)-C71/C44</f>
        <v>1.2861696521302715E-2</v>
      </c>
      <c r="D83" s="66">
        <f t="shared" si="75"/>
        <v>1.2704938045956973E-2</v>
      </c>
      <c r="E83" s="66">
        <f t="shared" si="75"/>
        <v>1.2491710388048666E-2</v>
      </c>
      <c r="F83" s="66">
        <f t="shared" si="75"/>
        <v>1.2207840970883233E-2</v>
      </c>
      <c r="G83" s="66">
        <f t="shared" si="75"/>
        <v>1.1840429301656241E-2</v>
      </c>
      <c r="H83" s="66">
        <f t="shared" si="75"/>
        <v>1.1381319418353117E-2</v>
      </c>
      <c r="I83" s="66">
        <f t="shared" si="75"/>
        <v>1.0830791199575279E-2</v>
      </c>
      <c r="J83" s="66">
        <f t="shared" si="75"/>
        <v>1.0199706403957773E-2</v>
      </c>
      <c r="K83" s="66">
        <f t="shared" si="75"/>
        <v>9.5088665455225763E-3</v>
      </c>
      <c r="L83" s="66">
        <f t="shared" si="75"/>
        <v>8.7863413516768574E-3</v>
      </c>
      <c r="M83" s="66">
        <f t="shared" si="75"/>
        <v>8.0646467296622559E-3</v>
      </c>
      <c r="N83" s="66">
        <f t="shared" si="75"/>
        <v>7.3779823319743004E-3</v>
      </c>
      <c r="O83" s="66">
        <f t="shared" si="75"/>
        <v>6.757906058499949E-3</v>
      </c>
      <c r="P83" s="66">
        <f t="shared" si="75"/>
        <v>6.2274433398859519E-3</v>
      </c>
      <c r="Q83" s="66">
        <f t="shared" si="75"/>
        <v>5.7966938794549033E-3</v>
      </c>
      <c r="R83" s="66">
        <f t="shared" si="75"/>
        <v>5.4627805558169762E-3</v>
      </c>
      <c r="S83" s="66">
        <f t="shared" si="75"/>
        <v>5.2137078866127812E-3</v>
      </c>
      <c r="T83" s="66">
        <f t="shared" si="75"/>
        <v>5.0334328734706196E-3</v>
      </c>
      <c r="U83" s="66">
        <f t="shared" si="75"/>
        <v>4.9058654748614094E-3</v>
      </c>
      <c r="V83" s="66">
        <f t="shared" si="75"/>
        <v>4.8170648759402884E-3</v>
      </c>
      <c r="W83" s="66">
        <f t="shared" si="75"/>
        <v>4.7559682197964026E-3</v>
      </c>
      <c r="X83" s="66">
        <f t="shared" si="75"/>
        <v>4.7142756649746209E-3</v>
      </c>
      <c r="Y83" s="66">
        <f t="shared" si="75"/>
        <v>4.6859859539557791E-3</v>
      </c>
      <c r="Z83" s="66">
        <f t="shared" si="75"/>
        <v>4.6668655001890907E-3</v>
      </c>
      <c r="AA83" s="66">
        <f t="shared" si="75"/>
        <v>4.6539768954258487E-3</v>
      </c>
      <c r="AB83" s="66">
        <f t="shared" si="75"/>
        <v>4.6453048049526213E-3</v>
      </c>
      <c r="AC83" s="66">
        <f t="shared" si="75"/>
        <v>4.6394769729870972E-3</v>
      </c>
    </row>
    <row r="84" spans="1:29" ht="15.75" thickBot="1" x14ac:dyDescent="0.3">
      <c r="A84" s="59" t="str">
        <f>A21</f>
        <v>Emission Cost</v>
      </c>
      <c r="B84" s="66">
        <f>B41*B47/B47/(B44)</f>
        <v>1.4049076735721778E-4</v>
      </c>
      <c r="C84" s="68">
        <f t="shared" ref="C84:AC84" si="76">C41*C47/C47/(C44)</f>
        <v>1.4035698591588104E-4</v>
      </c>
      <c r="D84" s="68">
        <f t="shared" si="76"/>
        <v>1.4016548076234878E-4</v>
      </c>
      <c r="E84" s="68">
        <f t="shared" si="76"/>
        <v>1.3989151917297648E-4</v>
      </c>
      <c r="F84" s="68">
        <f t="shared" si="76"/>
        <v>1.3949996760913741E-4</v>
      </c>
      <c r="G84" s="68">
        <f t="shared" si="76"/>
        <v>1.3894113890973713E-4</v>
      </c>
      <c r="H84" s="68">
        <f t="shared" si="76"/>
        <v>1.3814522974610446E-4</v>
      </c>
      <c r="I84" s="68">
        <f t="shared" si="76"/>
        <v>1.3701515282874785E-4</v>
      </c>
      <c r="J84" s="68">
        <f t="shared" si="76"/>
        <v>1.3541789769952266E-4</v>
      </c>
      <c r="K84" s="68">
        <f t="shared" si="76"/>
        <v>1.3317538031496002E-4</v>
      </c>
      <c r="L84" s="68">
        <f t="shared" si="76"/>
        <v>1.3005746709139924E-4</v>
      </c>
      <c r="M84" s="68">
        <f t="shared" si="76"/>
        <v>1.2578292470326314E-4</v>
      </c>
      <c r="N84" s="68">
        <f t="shared" si="76"/>
        <v>1.2003839777505244E-4</v>
      </c>
      <c r="O84" s="68">
        <f t="shared" si="76"/>
        <v>1.1252919131889444E-4</v>
      </c>
      <c r="P84" s="68">
        <f t="shared" si="76"/>
        <v>1.0307261500799071E-4</v>
      </c>
      <c r="Q84" s="68">
        <f t="shared" si="76"/>
        <v>9.1724994885971666E-5</v>
      </c>
      <c r="R84" s="68">
        <f t="shared" si="76"/>
        <v>7.8893405016236212E-5</v>
      </c>
      <c r="S84" s="68">
        <f t="shared" si="76"/>
        <v>6.534714823744498E-5</v>
      </c>
      <c r="T84" s="68">
        <f t="shared" si="76"/>
        <v>5.2067456454497702E-5</v>
      </c>
      <c r="U84" s="68">
        <f t="shared" si="76"/>
        <v>3.9978679681221538E-5</v>
      </c>
      <c r="V84" s="68">
        <f t="shared" si="76"/>
        <v>2.9704940898853776E-5</v>
      </c>
      <c r="W84" s="68">
        <f t="shared" si="76"/>
        <v>2.1477516056547865E-5</v>
      </c>
      <c r="X84" s="68">
        <f t="shared" si="76"/>
        <v>1.5199625742695674E-5</v>
      </c>
      <c r="Y84" s="68">
        <f t="shared" si="76"/>
        <v>1.0584872874483328E-5</v>
      </c>
      <c r="Z84" s="68">
        <f t="shared" si="76"/>
        <v>7.285391333792315E-6</v>
      </c>
      <c r="AA84" s="68">
        <f t="shared" si="76"/>
        <v>4.9729420400487081E-6</v>
      </c>
      <c r="AB84" s="68">
        <f t="shared" si="76"/>
        <v>3.3748974438302729E-6</v>
      </c>
      <c r="AC84" s="68">
        <f t="shared" si="76"/>
        <v>2.2812758930212777E-6</v>
      </c>
    </row>
    <row r="85" spans="1:29" ht="15.75" thickBot="1" x14ac:dyDescent="0.3">
      <c r="A85" s="31" t="s">
        <v>210</v>
      </c>
      <c r="B85" s="67">
        <f>B74+B75+B76+B77+B78+B79+B80+B81+B82+B83+B84</f>
        <v>0.22106743170492713</v>
      </c>
      <c r="C85" s="67">
        <f t="shared" ref="C85:AC85" si="77">C74+C75+C76+C77+C78+C79+C80+C81+C82+C83+C84</f>
        <v>0.21977711158457539</v>
      </c>
      <c r="D85" s="67">
        <f t="shared" si="77"/>
        <v>0.21800602412499409</v>
      </c>
      <c r="E85" s="67">
        <f t="shared" si="77"/>
        <v>0.21562152365535456</v>
      </c>
      <c r="F85" s="67">
        <f t="shared" si="77"/>
        <v>0.21249579328148582</v>
      </c>
      <c r="G85" s="67">
        <f t="shared" si="77"/>
        <v>0.20854259734529856</v>
      </c>
      <c r="H85" s="67">
        <f t="shared" si="77"/>
        <v>0.2037678582423533</v>
      </c>
      <c r="I85" s="67">
        <f t="shared" si="77"/>
        <v>0.19831517217032191</v>
      </c>
      <c r="J85" s="67">
        <f t="shared" si="77"/>
        <v>0.19247333169249417</v>
      </c>
      <c r="K85" s="67">
        <f t="shared" si="77"/>
        <v>0.18662212157674821</v>
      </c>
      <c r="L85" s="67">
        <f t="shared" si="77"/>
        <v>0.18113306974057264</v>
      </c>
      <c r="M85" s="67">
        <f t="shared" si="77"/>
        <v>0.17627926299689411</v>
      </c>
      <c r="N85" s="67">
        <f t="shared" si="77"/>
        <v>0.17219873614199641</v>
      </c>
      <c r="O85" s="67">
        <f t="shared" si="77"/>
        <v>0.16891067598005308</v>
      </c>
      <c r="P85" s="67">
        <f t="shared" si="77"/>
        <v>0.16635440265774576</v>
      </c>
      <c r="Q85" s="67">
        <f t="shared" si="77"/>
        <v>0.16442663957478471</v>
      </c>
      <c r="R85" s="67">
        <f t="shared" si="77"/>
        <v>0.16300936217678019</v>
      </c>
      <c r="S85" s="67">
        <f t="shared" si="77"/>
        <v>0.16198857077604498</v>
      </c>
      <c r="T85" s="67">
        <f t="shared" si="77"/>
        <v>0.16126510695202986</v>
      </c>
      <c r="U85" s="67">
        <f t="shared" si="77"/>
        <v>0.16075878997280124</v>
      </c>
      <c r="V85" s="67">
        <f t="shared" si="77"/>
        <v>0.16040797618139177</v>
      </c>
      <c r="W85" s="67">
        <f t="shared" si="77"/>
        <v>0.16016686442695124</v>
      </c>
      <c r="X85" s="67">
        <f t="shared" si="77"/>
        <v>0.16000222391549229</v>
      </c>
      <c r="Y85" s="67">
        <f t="shared" si="77"/>
        <v>0.15989037356235983</v>
      </c>
      <c r="Z85" s="67">
        <f t="shared" si="77"/>
        <v>0.15981468148110442</v>
      </c>
      <c r="AA85" s="67">
        <f t="shared" si="77"/>
        <v>0.15976360524923316</v>
      </c>
      <c r="AB85" s="67">
        <f t="shared" si="77"/>
        <v>0.15972921042542387</v>
      </c>
      <c r="AC85" s="67">
        <f t="shared" si="77"/>
        <v>0.15970608243330964</v>
      </c>
    </row>
    <row r="87" spans="1:29" x14ac:dyDescent="0.25">
      <c r="B87" s="40"/>
    </row>
    <row r="107" spans="1:2" s="3" customFormat="1" ht="21" x14ac:dyDescent="0.35">
      <c r="A107" s="2" t="str">
        <f>'Parameter Input'!A32</f>
        <v>Road long-haul: Liquid bulk</v>
      </c>
    </row>
    <row r="108" spans="1:2" s="3" customFormat="1" ht="21" x14ac:dyDescent="0.35">
      <c r="A108" s="2" t="s">
        <v>87</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Input'!$L$33</f>
        <v>400000</v>
      </c>
      <c r="C117" s="42">
        <f>'Parameter Input'!$M$33</f>
        <v>145000</v>
      </c>
      <c r="D117" s="1" t="s">
        <v>15</v>
      </c>
      <c r="L117" s="51">
        <f>'Parameter Input'!$O$33</f>
        <v>8</v>
      </c>
      <c r="M117" s="52">
        <v>0</v>
      </c>
      <c r="N117" s="52">
        <v>1</v>
      </c>
      <c r="O117" s="52">
        <f>'Parameter Input'!$P$33</f>
        <v>0.9</v>
      </c>
      <c r="P117" s="53">
        <f>'Parameter Input'!$Q$33</f>
        <v>0.4</v>
      </c>
      <c r="Q117" s="4">
        <f t="shared" ref="Q117:AR126" si="78">$N117+($M117-$N117)*((1/(1+EXP(-$P117*(Q$9-$L117)))^$O117))</f>
        <v>0.94584787155511363</v>
      </c>
      <c r="R117" s="4">
        <f t="shared" si="78"/>
        <v>0.92370360150141495</v>
      </c>
      <c r="S117" s="4">
        <f t="shared" si="78"/>
        <v>0.89334463567658451</v>
      </c>
      <c r="T117" s="4">
        <f t="shared" si="78"/>
        <v>0.85254543874327005</v>
      </c>
      <c r="U117" s="4">
        <f t="shared" si="78"/>
        <v>0.79921300652623883</v>
      </c>
      <c r="V117" s="4">
        <f t="shared" si="78"/>
        <v>0.73204982249993378</v>
      </c>
      <c r="W117" s="4">
        <f t="shared" si="78"/>
        <v>0.65145592958786691</v>
      </c>
      <c r="X117" s="4">
        <f t="shared" si="78"/>
        <v>0.56032247880849573</v>
      </c>
      <c r="Y117" s="4">
        <f t="shared" si="78"/>
        <v>0.46411326873185343</v>
      </c>
      <c r="Z117" s="4">
        <f t="shared" si="78"/>
        <v>0.36979727595523937</v>
      </c>
      <c r="AA117" s="4">
        <f t="shared" si="78"/>
        <v>0.28393948637231203</v>
      </c>
      <c r="AB117" s="4">
        <f t="shared" si="78"/>
        <v>0.21097259161117732</v>
      </c>
      <c r="AC117" s="4">
        <f t="shared" si="78"/>
        <v>0.15253917653798199</v>
      </c>
      <c r="AD117" s="4">
        <f t="shared" si="78"/>
        <v>0.10795188737709993</v>
      </c>
      <c r="AE117" s="4">
        <f t="shared" si="78"/>
        <v>7.5176653938091809E-2</v>
      </c>
      <c r="AF117" s="4">
        <f t="shared" si="78"/>
        <v>5.1742836177502194E-2</v>
      </c>
      <c r="AG117" s="4">
        <f t="shared" si="78"/>
        <v>3.5319190625345942E-2</v>
      </c>
      <c r="AH117" s="4">
        <f t="shared" si="78"/>
        <v>2.3969442072658165E-2</v>
      </c>
      <c r="AI117" s="4">
        <f t="shared" si="78"/>
        <v>1.6202243558389728E-2</v>
      </c>
      <c r="AJ117" s="4">
        <f t="shared" si="78"/>
        <v>1.0922240564108399E-2</v>
      </c>
      <c r="AK117" s="4">
        <f t="shared" si="78"/>
        <v>7.3493212906090566E-3</v>
      </c>
      <c r="AL117" s="4">
        <f t="shared" si="78"/>
        <v>4.9390262185057265E-3</v>
      </c>
      <c r="AM117" s="4">
        <f t="shared" si="78"/>
        <v>3.3164275492956197E-3</v>
      </c>
      <c r="AN117" s="4">
        <f t="shared" si="78"/>
        <v>2.2256362146679809E-3</v>
      </c>
      <c r="AO117" s="4">
        <f t="shared" si="78"/>
        <v>1.4930448704811861E-3</v>
      </c>
      <c r="AP117" s="4">
        <f t="shared" si="78"/>
        <v>1.0013381504474506E-3</v>
      </c>
      <c r="AQ117" s="4">
        <f t="shared" si="78"/>
        <v>6.7145100246257527E-4</v>
      </c>
      <c r="AR117" s="4">
        <f t="shared" si="78"/>
        <v>4.5019225748876845E-4</v>
      </c>
    </row>
    <row r="118" spans="1:44" x14ac:dyDescent="0.25">
      <c r="A118" s="24" t="s">
        <v>28</v>
      </c>
      <c r="B118" s="60">
        <f>'Parameter Input'!$L$34</f>
        <v>-60000</v>
      </c>
      <c r="C118" s="61">
        <f>'Parameter Input'!$M$34</f>
        <v>-36250</v>
      </c>
      <c r="D118" s="1" t="s">
        <v>15</v>
      </c>
      <c r="L118" s="54">
        <f>'Parameter Input'!$O$34</f>
        <v>8</v>
      </c>
      <c r="M118" s="37">
        <v>0</v>
      </c>
      <c r="N118" s="37">
        <v>1</v>
      </c>
      <c r="O118" s="37">
        <f>'Parameter Input'!$P$34</f>
        <v>0.9</v>
      </c>
      <c r="P118" s="55">
        <f>'Parameter Input'!$Q$34</f>
        <v>0.4</v>
      </c>
      <c r="Q118" s="4">
        <f t="shared" si="78"/>
        <v>0.94584787155511363</v>
      </c>
      <c r="R118" s="4">
        <f t="shared" si="78"/>
        <v>0.92370360150141495</v>
      </c>
      <c r="S118" s="4">
        <f t="shared" si="78"/>
        <v>0.89334463567658451</v>
      </c>
      <c r="T118" s="4">
        <f t="shared" si="78"/>
        <v>0.85254543874327005</v>
      </c>
      <c r="U118" s="4">
        <f t="shared" si="78"/>
        <v>0.79921300652623883</v>
      </c>
      <c r="V118" s="4">
        <f t="shared" si="78"/>
        <v>0.73204982249993378</v>
      </c>
      <c r="W118" s="4">
        <f t="shared" si="78"/>
        <v>0.65145592958786691</v>
      </c>
      <c r="X118" s="4">
        <f t="shared" si="78"/>
        <v>0.56032247880849573</v>
      </c>
      <c r="Y118" s="4">
        <f t="shared" si="78"/>
        <v>0.46411326873185343</v>
      </c>
      <c r="Z118" s="4">
        <f t="shared" si="78"/>
        <v>0.36979727595523937</v>
      </c>
      <c r="AA118" s="4">
        <f t="shared" si="78"/>
        <v>0.28393948637231203</v>
      </c>
      <c r="AB118" s="4">
        <f t="shared" si="78"/>
        <v>0.21097259161117732</v>
      </c>
      <c r="AC118" s="4">
        <f t="shared" si="78"/>
        <v>0.15253917653798199</v>
      </c>
      <c r="AD118" s="4">
        <f t="shared" si="78"/>
        <v>0.10795188737709993</v>
      </c>
      <c r="AE118" s="4">
        <f t="shared" si="78"/>
        <v>7.5176653938091809E-2</v>
      </c>
      <c r="AF118" s="4">
        <f t="shared" si="78"/>
        <v>5.1742836177502194E-2</v>
      </c>
      <c r="AG118" s="4">
        <f t="shared" si="78"/>
        <v>3.5319190625345942E-2</v>
      </c>
      <c r="AH118" s="4">
        <f t="shared" si="78"/>
        <v>2.3969442072658165E-2</v>
      </c>
      <c r="AI118" s="4">
        <f t="shared" si="78"/>
        <v>1.6202243558389728E-2</v>
      </c>
      <c r="AJ118" s="4">
        <f t="shared" si="78"/>
        <v>1.0922240564108399E-2</v>
      </c>
      <c r="AK118" s="4">
        <f t="shared" si="78"/>
        <v>7.3493212906090566E-3</v>
      </c>
      <c r="AL118" s="4">
        <f t="shared" si="78"/>
        <v>4.9390262185057265E-3</v>
      </c>
      <c r="AM118" s="4">
        <f t="shared" si="78"/>
        <v>3.3164275492956197E-3</v>
      </c>
      <c r="AN118" s="4">
        <f t="shared" si="78"/>
        <v>2.2256362146679809E-3</v>
      </c>
      <c r="AO118" s="4">
        <f t="shared" si="78"/>
        <v>1.4930448704811861E-3</v>
      </c>
      <c r="AP118" s="4">
        <f t="shared" si="78"/>
        <v>1.0013381504474506E-3</v>
      </c>
      <c r="AQ118" s="4">
        <f t="shared" si="78"/>
        <v>6.7145100246257527E-4</v>
      </c>
      <c r="AR118" s="4">
        <f t="shared" si="78"/>
        <v>4.5019225748876845E-4</v>
      </c>
    </row>
    <row r="119" spans="1:44" x14ac:dyDescent="0.25">
      <c r="A119" s="24" t="s">
        <v>14</v>
      </c>
      <c r="B119" s="60">
        <f>'Parameter Input'!B33</f>
        <v>60000</v>
      </c>
      <c r="C119" s="61">
        <f>'Parameter Input'!C33</f>
        <v>60000</v>
      </c>
      <c r="D119" s="1" t="s">
        <v>15</v>
      </c>
      <c r="L119" s="54">
        <f>'Parameter Input'!E33</f>
        <v>12</v>
      </c>
      <c r="M119" s="37">
        <v>0</v>
      </c>
      <c r="N119" s="37">
        <v>1</v>
      </c>
      <c r="O119" s="37">
        <f>'Parameter Input'!F33</f>
        <v>0.9</v>
      </c>
      <c r="P119" s="55">
        <f>'Parameter Input'!G33</f>
        <v>0.4</v>
      </c>
      <c r="Q119" s="4">
        <f t="shared" si="78"/>
        <v>0.9867978615748374</v>
      </c>
      <c r="R119" s="4">
        <f t="shared" si="78"/>
        <v>0.98114509762858249</v>
      </c>
      <c r="S119" s="4">
        <f t="shared" si="78"/>
        <v>0.97311898315872036</v>
      </c>
      <c r="T119" s="4">
        <f t="shared" si="78"/>
        <v>0.96177484161592774</v>
      </c>
      <c r="U119" s="4">
        <f t="shared" si="78"/>
        <v>0.94584787155511363</v>
      </c>
      <c r="V119" s="4">
        <f t="shared" si="78"/>
        <v>0.92370360150141495</v>
      </c>
      <c r="W119" s="4">
        <f t="shared" si="78"/>
        <v>0.89334463567658451</v>
      </c>
      <c r="X119" s="4">
        <f t="shared" si="78"/>
        <v>0.85254543874327005</v>
      </c>
      <c r="Y119" s="4">
        <f t="shared" si="78"/>
        <v>0.79921300652623883</v>
      </c>
      <c r="Z119" s="4">
        <f t="shared" si="78"/>
        <v>0.73204982249993378</v>
      </c>
      <c r="AA119" s="4">
        <f t="shared" si="78"/>
        <v>0.65145592958786691</v>
      </c>
      <c r="AB119" s="4">
        <f t="shared" si="78"/>
        <v>0.56032247880849573</v>
      </c>
      <c r="AC119" s="4">
        <f t="shared" si="78"/>
        <v>0.46411326873185343</v>
      </c>
      <c r="AD119" s="4">
        <f t="shared" si="78"/>
        <v>0.36979727595523937</v>
      </c>
      <c r="AE119" s="4">
        <f t="shared" si="78"/>
        <v>0.28393948637231203</v>
      </c>
      <c r="AF119" s="4">
        <f t="shared" si="78"/>
        <v>0.21097259161117732</v>
      </c>
      <c r="AG119" s="4">
        <f t="shared" si="78"/>
        <v>0.15253917653798199</v>
      </c>
      <c r="AH119" s="4">
        <f t="shared" si="78"/>
        <v>0.10795188737709993</v>
      </c>
      <c r="AI119" s="4">
        <f t="shared" si="78"/>
        <v>7.5176653938091809E-2</v>
      </c>
      <c r="AJ119" s="4">
        <f t="shared" si="78"/>
        <v>5.1742836177502194E-2</v>
      </c>
      <c r="AK119" s="4">
        <f t="shared" si="78"/>
        <v>3.5319190625345942E-2</v>
      </c>
      <c r="AL119" s="4">
        <f t="shared" si="78"/>
        <v>2.3969442072658165E-2</v>
      </c>
      <c r="AM119" s="4">
        <f t="shared" si="78"/>
        <v>1.6202243558389728E-2</v>
      </c>
      <c r="AN119" s="4">
        <f t="shared" si="78"/>
        <v>1.0922240564108399E-2</v>
      </c>
      <c r="AO119" s="4">
        <f t="shared" si="78"/>
        <v>7.3493212906090566E-3</v>
      </c>
      <c r="AP119" s="4">
        <f t="shared" si="78"/>
        <v>4.9390262185057265E-3</v>
      </c>
      <c r="AQ119" s="4">
        <f t="shared" si="78"/>
        <v>3.3164275492956197E-3</v>
      </c>
      <c r="AR119" s="4">
        <f t="shared" si="78"/>
        <v>2.2256362146679809E-3</v>
      </c>
    </row>
    <row r="120" spans="1:44" x14ac:dyDescent="0.25">
      <c r="A120" s="24" t="s">
        <v>25</v>
      </c>
      <c r="B120" s="60">
        <f>'Parameter Input'!B34</f>
        <v>-15000</v>
      </c>
      <c r="C120" s="61">
        <f>'Parameter Input'!C34</f>
        <v>-15000</v>
      </c>
      <c r="D120" s="1" t="s">
        <v>15</v>
      </c>
      <c r="L120" s="54">
        <f>'Parameter Input'!E34</f>
        <v>12</v>
      </c>
      <c r="M120" s="37">
        <v>0</v>
      </c>
      <c r="N120" s="37">
        <v>1</v>
      </c>
      <c r="O120" s="37">
        <f>'Parameter Input'!F34</f>
        <v>0.9</v>
      </c>
      <c r="P120" s="55">
        <f>'Parameter Input'!G34</f>
        <v>0.4</v>
      </c>
      <c r="Q120" s="4">
        <f t="shared" si="78"/>
        <v>0.9867978615748374</v>
      </c>
      <c r="R120" s="4">
        <f t="shared" si="78"/>
        <v>0.98114509762858249</v>
      </c>
      <c r="S120" s="4">
        <f t="shared" si="78"/>
        <v>0.97311898315872036</v>
      </c>
      <c r="T120" s="4">
        <f t="shared" si="78"/>
        <v>0.96177484161592774</v>
      </c>
      <c r="U120" s="4">
        <f t="shared" si="78"/>
        <v>0.94584787155511363</v>
      </c>
      <c r="V120" s="4">
        <f t="shared" si="78"/>
        <v>0.92370360150141495</v>
      </c>
      <c r="W120" s="4">
        <f t="shared" si="78"/>
        <v>0.89334463567658451</v>
      </c>
      <c r="X120" s="4">
        <f t="shared" si="78"/>
        <v>0.85254543874327005</v>
      </c>
      <c r="Y120" s="4">
        <f t="shared" si="78"/>
        <v>0.79921300652623883</v>
      </c>
      <c r="Z120" s="4">
        <f t="shared" si="78"/>
        <v>0.73204982249993378</v>
      </c>
      <c r="AA120" s="4">
        <f t="shared" si="78"/>
        <v>0.65145592958786691</v>
      </c>
      <c r="AB120" s="4">
        <f t="shared" si="78"/>
        <v>0.56032247880849573</v>
      </c>
      <c r="AC120" s="4">
        <f t="shared" si="78"/>
        <v>0.46411326873185343</v>
      </c>
      <c r="AD120" s="4">
        <f t="shared" si="78"/>
        <v>0.36979727595523937</v>
      </c>
      <c r="AE120" s="4">
        <f t="shared" si="78"/>
        <v>0.28393948637231203</v>
      </c>
      <c r="AF120" s="4">
        <f t="shared" si="78"/>
        <v>0.21097259161117732</v>
      </c>
      <c r="AG120" s="4">
        <f t="shared" si="78"/>
        <v>0.15253917653798199</v>
      </c>
      <c r="AH120" s="4">
        <f t="shared" si="78"/>
        <v>0.10795188737709993</v>
      </c>
      <c r="AI120" s="4">
        <f t="shared" si="78"/>
        <v>7.5176653938091809E-2</v>
      </c>
      <c r="AJ120" s="4">
        <f t="shared" si="78"/>
        <v>5.1742836177502194E-2</v>
      </c>
      <c r="AK120" s="4">
        <f t="shared" si="78"/>
        <v>3.5319190625345942E-2</v>
      </c>
      <c r="AL120" s="4">
        <f t="shared" si="78"/>
        <v>2.3969442072658165E-2</v>
      </c>
      <c r="AM120" s="4">
        <f t="shared" si="78"/>
        <v>1.6202243558389728E-2</v>
      </c>
      <c r="AN120" s="4">
        <f t="shared" si="78"/>
        <v>1.0922240564108399E-2</v>
      </c>
      <c r="AO120" s="4">
        <f t="shared" si="78"/>
        <v>7.3493212906090566E-3</v>
      </c>
      <c r="AP120" s="4">
        <f t="shared" si="78"/>
        <v>4.9390262185057265E-3</v>
      </c>
      <c r="AQ120" s="4">
        <f t="shared" si="78"/>
        <v>3.3164275492956197E-3</v>
      </c>
      <c r="AR120" s="4">
        <f t="shared" si="78"/>
        <v>2.2256362146679809E-3</v>
      </c>
    </row>
    <row r="121" spans="1:44" x14ac:dyDescent="0.25">
      <c r="A121" s="24" t="s">
        <v>79</v>
      </c>
      <c r="B121" s="45">
        <f>'Parameter Input'!$L$40</f>
        <v>0.06</v>
      </c>
      <c r="C121" s="46">
        <f>'Parameter Input'!$M$40</f>
        <v>0.06</v>
      </c>
      <c r="D121" s="1" t="s">
        <v>57</v>
      </c>
      <c r="L121" s="54">
        <f>'Parameter Input'!$O$40</f>
        <v>12</v>
      </c>
      <c r="M121" s="37">
        <v>0</v>
      </c>
      <c r="N121" s="37">
        <v>1</v>
      </c>
      <c r="O121" s="37">
        <f>'Parameter Input'!$P$40</f>
        <v>0.9</v>
      </c>
      <c r="P121" s="55">
        <f>'Parameter Input'!$Q$40</f>
        <v>0.4</v>
      </c>
      <c r="Q121" s="4">
        <f t="shared" si="78"/>
        <v>0.9867978615748374</v>
      </c>
      <c r="R121" s="4">
        <f t="shared" si="78"/>
        <v>0.98114509762858249</v>
      </c>
      <c r="S121" s="4">
        <f t="shared" si="78"/>
        <v>0.97311898315872036</v>
      </c>
      <c r="T121" s="4">
        <f t="shared" si="78"/>
        <v>0.96177484161592774</v>
      </c>
      <c r="U121" s="4">
        <f t="shared" si="78"/>
        <v>0.94584787155511363</v>
      </c>
      <c r="V121" s="4">
        <f t="shared" si="78"/>
        <v>0.92370360150141495</v>
      </c>
      <c r="W121" s="4">
        <f t="shared" si="78"/>
        <v>0.89334463567658451</v>
      </c>
      <c r="X121" s="4">
        <f t="shared" si="78"/>
        <v>0.85254543874327005</v>
      </c>
      <c r="Y121" s="4">
        <f t="shared" si="78"/>
        <v>0.79921300652623883</v>
      </c>
      <c r="Z121" s="4">
        <f t="shared" si="78"/>
        <v>0.73204982249993378</v>
      </c>
      <c r="AA121" s="4">
        <f t="shared" si="78"/>
        <v>0.65145592958786691</v>
      </c>
      <c r="AB121" s="4">
        <f t="shared" si="78"/>
        <v>0.56032247880849573</v>
      </c>
      <c r="AC121" s="4">
        <f t="shared" si="78"/>
        <v>0.46411326873185343</v>
      </c>
      <c r="AD121" s="4">
        <f t="shared" si="78"/>
        <v>0.36979727595523937</v>
      </c>
      <c r="AE121" s="4">
        <f t="shared" si="78"/>
        <v>0.28393948637231203</v>
      </c>
      <c r="AF121" s="4">
        <f t="shared" si="78"/>
        <v>0.21097259161117732</v>
      </c>
      <c r="AG121" s="4">
        <f t="shared" si="78"/>
        <v>0.15253917653798199</v>
      </c>
      <c r="AH121" s="4">
        <f t="shared" si="78"/>
        <v>0.10795188737709993</v>
      </c>
      <c r="AI121" s="4">
        <f t="shared" si="78"/>
        <v>7.5176653938091809E-2</v>
      </c>
      <c r="AJ121" s="4">
        <f t="shared" si="78"/>
        <v>5.1742836177502194E-2</v>
      </c>
      <c r="AK121" s="4">
        <f t="shared" si="78"/>
        <v>3.5319190625345942E-2</v>
      </c>
      <c r="AL121" s="4">
        <f t="shared" si="78"/>
        <v>2.3969442072658165E-2</v>
      </c>
      <c r="AM121" s="4">
        <f t="shared" si="78"/>
        <v>1.6202243558389728E-2</v>
      </c>
      <c r="AN121" s="4">
        <f t="shared" si="78"/>
        <v>1.0922240564108399E-2</v>
      </c>
      <c r="AO121" s="4">
        <f t="shared" si="78"/>
        <v>7.3493212906090566E-3</v>
      </c>
      <c r="AP121" s="4">
        <f t="shared" si="78"/>
        <v>4.9390262185057265E-3</v>
      </c>
      <c r="AQ121" s="4">
        <f t="shared" si="78"/>
        <v>3.3164275492956197E-3</v>
      </c>
      <c r="AR121" s="4">
        <f t="shared" si="78"/>
        <v>2.2256362146679809E-3</v>
      </c>
    </row>
    <row r="122" spans="1:44" x14ac:dyDescent="0.25">
      <c r="A122" s="24" t="s">
        <v>37</v>
      </c>
      <c r="B122" s="60">
        <f>'Parameter Input'!B35</f>
        <v>70000</v>
      </c>
      <c r="C122" s="61">
        <f>'Parameter Input'!C35</f>
        <v>70000</v>
      </c>
      <c r="D122" s="1" t="s">
        <v>38</v>
      </c>
      <c r="L122" s="54">
        <f>'Parameter Input'!E35</f>
        <v>12</v>
      </c>
      <c r="M122" s="37">
        <v>0</v>
      </c>
      <c r="N122" s="37">
        <v>1</v>
      </c>
      <c r="O122" s="37">
        <f>'Parameter Input'!F35</f>
        <v>0.9</v>
      </c>
      <c r="P122" s="55">
        <f>'Parameter Input'!G35</f>
        <v>0.4</v>
      </c>
      <c r="Q122" s="4">
        <f t="shared" si="78"/>
        <v>0.9867978615748374</v>
      </c>
      <c r="R122" s="4">
        <f t="shared" si="78"/>
        <v>0.98114509762858249</v>
      </c>
      <c r="S122" s="4">
        <f t="shared" si="78"/>
        <v>0.97311898315872036</v>
      </c>
      <c r="T122" s="4">
        <f t="shared" si="78"/>
        <v>0.96177484161592774</v>
      </c>
      <c r="U122" s="4">
        <f t="shared" si="78"/>
        <v>0.94584787155511363</v>
      </c>
      <c r="V122" s="4">
        <f t="shared" si="78"/>
        <v>0.92370360150141495</v>
      </c>
      <c r="W122" s="4">
        <f t="shared" si="78"/>
        <v>0.89334463567658451</v>
      </c>
      <c r="X122" s="4">
        <f t="shared" si="78"/>
        <v>0.85254543874327005</v>
      </c>
      <c r="Y122" s="4">
        <f t="shared" si="78"/>
        <v>0.79921300652623883</v>
      </c>
      <c r="Z122" s="4">
        <f t="shared" si="78"/>
        <v>0.73204982249993378</v>
      </c>
      <c r="AA122" s="4">
        <f t="shared" si="78"/>
        <v>0.65145592958786691</v>
      </c>
      <c r="AB122" s="4">
        <f t="shared" si="78"/>
        <v>0.56032247880849573</v>
      </c>
      <c r="AC122" s="4">
        <f t="shared" si="78"/>
        <v>0.46411326873185343</v>
      </c>
      <c r="AD122" s="4">
        <f t="shared" si="78"/>
        <v>0.36979727595523937</v>
      </c>
      <c r="AE122" s="4">
        <f t="shared" si="78"/>
        <v>0.28393948637231203</v>
      </c>
      <c r="AF122" s="4">
        <f t="shared" si="78"/>
        <v>0.21097259161117732</v>
      </c>
      <c r="AG122" s="4">
        <f t="shared" si="78"/>
        <v>0.15253917653798199</v>
      </c>
      <c r="AH122" s="4">
        <f t="shared" si="78"/>
        <v>0.10795188737709993</v>
      </c>
      <c r="AI122" s="4">
        <f t="shared" si="78"/>
        <v>7.5176653938091809E-2</v>
      </c>
      <c r="AJ122" s="4">
        <f t="shared" si="78"/>
        <v>5.1742836177502194E-2</v>
      </c>
      <c r="AK122" s="4">
        <f t="shared" si="78"/>
        <v>3.5319190625345942E-2</v>
      </c>
      <c r="AL122" s="4">
        <f t="shared" si="78"/>
        <v>2.3969442072658165E-2</v>
      </c>
      <c r="AM122" s="4">
        <f t="shared" si="78"/>
        <v>1.6202243558389728E-2</v>
      </c>
      <c r="AN122" s="4">
        <f t="shared" si="78"/>
        <v>1.0922240564108399E-2</v>
      </c>
      <c r="AO122" s="4">
        <f t="shared" si="78"/>
        <v>7.3493212906090566E-3</v>
      </c>
      <c r="AP122" s="4">
        <f t="shared" si="78"/>
        <v>4.9390262185057265E-3</v>
      </c>
      <c r="AQ122" s="4">
        <f t="shared" si="78"/>
        <v>3.3164275492956197E-3</v>
      </c>
      <c r="AR122" s="4">
        <f t="shared" si="78"/>
        <v>2.2256362146679809E-3</v>
      </c>
    </row>
    <row r="123" spans="1:44" x14ac:dyDescent="0.25">
      <c r="A123" s="24" t="s">
        <v>52</v>
      </c>
      <c r="B123" s="43">
        <f>'Parameter Input'!$L$36</f>
        <v>15000</v>
      </c>
      <c r="C123" s="44">
        <f>'Parameter Input'!$M$36</f>
        <v>15000</v>
      </c>
      <c r="D123" s="1" t="s">
        <v>38</v>
      </c>
      <c r="L123" s="54">
        <f>'Parameter Input'!$O$36</f>
        <v>8</v>
      </c>
      <c r="M123" s="37">
        <v>0</v>
      </c>
      <c r="N123" s="37">
        <v>1</v>
      </c>
      <c r="O123" s="37">
        <f>'Parameter Input'!$P$36</f>
        <v>0.9</v>
      </c>
      <c r="P123" s="55">
        <f>'Parameter Input'!$Q$36</f>
        <v>0.4</v>
      </c>
      <c r="Q123" s="4">
        <f t="shared" si="78"/>
        <v>0.94584787155511363</v>
      </c>
      <c r="R123" s="4">
        <f t="shared" si="78"/>
        <v>0.92370360150141495</v>
      </c>
      <c r="S123" s="4">
        <f t="shared" si="78"/>
        <v>0.89334463567658451</v>
      </c>
      <c r="T123" s="4">
        <f t="shared" si="78"/>
        <v>0.85254543874327005</v>
      </c>
      <c r="U123" s="4">
        <f t="shared" si="78"/>
        <v>0.79921300652623883</v>
      </c>
      <c r="V123" s="4">
        <f t="shared" si="78"/>
        <v>0.73204982249993378</v>
      </c>
      <c r="W123" s="4">
        <f t="shared" si="78"/>
        <v>0.65145592958786691</v>
      </c>
      <c r="X123" s="4">
        <f t="shared" si="78"/>
        <v>0.56032247880849573</v>
      </c>
      <c r="Y123" s="4">
        <f t="shared" si="78"/>
        <v>0.46411326873185343</v>
      </c>
      <c r="Z123" s="4">
        <f t="shared" si="78"/>
        <v>0.36979727595523937</v>
      </c>
      <c r="AA123" s="4">
        <f t="shared" si="78"/>
        <v>0.28393948637231203</v>
      </c>
      <c r="AB123" s="4">
        <f t="shared" si="78"/>
        <v>0.21097259161117732</v>
      </c>
      <c r="AC123" s="4">
        <f t="shared" si="78"/>
        <v>0.15253917653798199</v>
      </c>
      <c r="AD123" s="4">
        <f t="shared" si="78"/>
        <v>0.10795188737709993</v>
      </c>
      <c r="AE123" s="4">
        <f t="shared" si="78"/>
        <v>7.5176653938091809E-2</v>
      </c>
      <c r="AF123" s="4">
        <f t="shared" si="78"/>
        <v>5.1742836177502194E-2</v>
      </c>
      <c r="AG123" s="4">
        <f t="shared" si="78"/>
        <v>3.5319190625345942E-2</v>
      </c>
      <c r="AH123" s="4">
        <f t="shared" si="78"/>
        <v>2.3969442072658165E-2</v>
      </c>
      <c r="AI123" s="4">
        <f t="shared" si="78"/>
        <v>1.6202243558389728E-2</v>
      </c>
      <c r="AJ123" s="4">
        <f t="shared" si="78"/>
        <v>1.0922240564108399E-2</v>
      </c>
      <c r="AK123" s="4">
        <f t="shared" si="78"/>
        <v>7.3493212906090566E-3</v>
      </c>
      <c r="AL123" s="4">
        <f t="shared" si="78"/>
        <v>4.9390262185057265E-3</v>
      </c>
      <c r="AM123" s="4">
        <f t="shared" si="78"/>
        <v>3.3164275492956197E-3</v>
      </c>
      <c r="AN123" s="4">
        <f t="shared" si="78"/>
        <v>2.2256362146679809E-3</v>
      </c>
      <c r="AO123" s="4">
        <f t="shared" si="78"/>
        <v>1.4930448704811861E-3</v>
      </c>
      <c r="AP123" s="4">
        <f t="shared" si="78"/>
        <v>1.0013381504474506E-3</v>
      </c>
      <c r="AQ123" s="4">
        <f t="shared" si="78"/>
        <v>6.7145100246257527E-4</v>
      </c>
      <c r="AR123" s="4">
        <f t="shared" si="78"/>
        <v>4.5019225748876845E-4</v>
      </c>
    </row>
    <row r="124" spans="1:44" x14ac:dyDescent="0.25">
      <c r="A124" s="24" t="s">
        <v>272</v>
      </c>
      <c r="B124" s="60">
        <f>'Parameter Input'!B40</f>
        <v>0.11</v>
      </c>
      <c r="C124" s="61">
        <f>'Parameter Input'!C40</f>
        <v>0.11</v>
      </c>
      <c r="D124" s="1" t="s">
        <v>76</v>
      </c>
      <c r="L124" s="54">
        <f>'Parameter Input'!E40</f>
        <v>12</v>
      </c>
      <c r="M124" s="37">
        <v>0</v>
      </c>
      <c r="N124" s="37">
        <v>1</v>
      </c>
      <c r="O124" s="37">
        <f>'Parameter Input'!F40</f>
        <v>0.9</v>
      </c>
      <c r="P124" s="55">
        <f>'Parameter Input'!G40</f>
        <v>0.4</v>
      </c>
      <c r="Q124" s="4">
        <f t="shared" si="78"/>
        <v>0.9867978615748374</v>
      </c>
      <c r="R124" s="4">
        <f t="shared" si="78"/>
        <v>0.98114509762858249</v>
      </c>
      <c r="S124" s="4">
        <f t="shared" si="78"/>
        <v>0.97311898315872036</v>
      </c>
      <c r="T124" s="4">
        <f t="shared" si="78"/>
        <v>0.96177484161592774</v>
      </c>
      <c r="U124" s="4">
        <f t="shared" si="78"/>
        <v>0.94584787155511363</v>
      </c>
      <c r="V124" s="4">
        <f t="shared" si="78"/>
        <v>0.92370360150141495</v>
      </c>
      <c r="W124" s="4">
        <f t="shared" si="78"/>
        <v>0.89334463567658451</v>
      </c>
      <c r="X124" s="4">
        <f t="shared" si="78"/>
        <v>0.85254543874327005</v>
      </c>
      <c r="Y124" s="4">
        <f t="shared" si="78"/>
        <v>0.79921300652623883</v>
      </c>
      <c r="Z124" s="4">
        <f t="shared" si="78"/>
        <v>0.73204982249993378</v>
      </c>
      <c r="AA124" s="4">
        <f t="shared" si="78"/>
        <v>0.65145592958786691</v>
      </c>
      <c r="AB124" s="4">
        <f t="shared" si="78"/>
        <v>0.56032247880849573</v>
      </c>
      <c r="AC124" s="4">
        <f t="shared" si="78"/>
        <v>0.46411326873185343</v>
      </c>
      <c r="AD124" s="4">
        <f t="shared" si="78"/>
        <v>0.36979727595523937</v>
      </c>
      <c r="AE124" s="4">
        <f t="shared" si="78"/>
        <v>0.28393948637231203</v>
      </c>
      <c r="AF124" s="4">
        <f t="shared" si="78"/>
        <v>0.21097259161117732</v>
      </c>
      <c r="AG124" s="4">
        <f t="shared" si="78"/>
        <v>0.15253917653798199</v>
      </c>
      <c r="AH124" s="4">
        <f t="shared" si="78"/>
        <v>0.10795188737709993</v>
      </c>
      <c r="AI124" s="4">
        <f t="shared" si="78"/>
        <v>7.5176653938091809E-2</v>
      </c>
      <c r="AJ124" s="4">
        <f t="shared" si="78"/>
        <v>5.1742836177502194E-2</v>
      </c>
      <c r="AK124" s="4">
        <f t="shared" si="78"/>
        <v>3.5319190625345942E-2</v>
      </c>
      <c r="AL124" s="4">
        <f t="shared" si="78"/>
        <v>2.3969442072658165E-2</v>
      </c>
      <c r="AM124" s="4">
        <f t="shared" si="78"/>
        <v>1.6202243558389728E-2</v>
      </c>
      <c r="AN124" s="4">
        <f t="shared" si="78"/>
        <v>1.0922240564108399E-2</v>
      </c>
      <c r="AO124" s="4">
        <f t="shared" si="78"/>
        <v>7.3493212906090566E-3</v>
      </c>
      <c r="AP124" s="4">
        <f t="shared" si="78"/>
        <v>4.9390262185057265E-3</v>
      </c>
      <c r="AQ124" s="4">
        <f t="shared" si="78"/>
        <v>3.3164275492956197E-3</v>
      </c>
      <c r="AR124" s="4">
        <f t="shared" si="78"/>
        <v>2.2256362146679809E-3</v>
      </c>
    </row>
    <row r="125" spans="1:44" x14ac:dyDescent="0.25">
      <c r="A125" s="24" t="s">
        <v>59</v>
      </c>
      <c r="B125" s="47">
        <f>'Parameter Input'!$L$37</f>
        <v>1.52</v>
      </c>
      <c r="C125" s="48">
        <f>'Parameter Input'!$M$37</f>
        <v>1.1499999999999999</v>
      </c>
      <c r="D125" s="1" t="s">
        <v>60</v>
      </c>
      <c r="L125" s="54">
        <f>'Parameter Input'!$O$37</f>
        <v>8</v>
      </c>
      <c r="M125" s="37">
        <v>0</v>
      </c>
      <c r="N125" s="37">
        <v>1</v>
      </c>
      <c r="O125" s="37">
        <f>'Parameter Input'!$P$37</f>
        <v>0.9</v>
      </c>
      <c r="P125" s="55">
        <f>'Parameter Input'!$Q$37</f>
        <v>0.4</v>
      </c>
      <c r="Q125" s="4">
        <f t="shared" si="78"/>
        <v>0.94584787155511363</v>
      </c>
      <c r="R125" s="4">
        <f t="shared" si="78"/>
        <v>0.92370360150141495</v>
      </c>
      <c r="S125" s="4">
        <f t="shared" si="78"/>
        <v>0.89334463567658451</v>
      </c>
      <c r="T125" s="4">
        <f t="shared" si="78"/>
        <v>0.85254543874327005</v>
      </c>
      <c r="U125" s="4">
        <f t="shared" si="78"/>
        <v>0.79921300652623883</v>
      </c>
      <c r="V125" s="4">
        <f t="shared" si="78"/>
        <v>0.73204982249993378</v>
      </c>
      <c r="W125" s="4">
        <f t="shared" si="78"/>
        <v>0.65145592958786691</v>
      </c>
      <c r="X125" s="4">
        <f t="shared" si="78"/>
        <v>0.56032247880849573</v>
      </c>
      <c r="Y125" s="4">
        <f t="shared" si="78"/>
        <v>0.46411326873185343</v>
      </c>
      <c r="Z125" s="4">
        <f t="shared" si="78"/>
        <v>0.36979727595523937</v>
      </c>
      <c r="AA125" s="4">
        <f t="shared" si="78"/>
        <v>0.28393948637231203</v>
      </c>
      <c r="AB125" s="4">
        <f t="shared" si="78"/>
        <v>0.21097259161117732</v>
      </c>
      <c r="AC125" s="4">
        <f t="shared" si="78"/>
        <v>0.15253917653798199</v>
      </c>
      <c r="AD125" s="4">
        <f t="shared" si="78"/>
        <v>0.10795188737709993</v>
      </c>
      <c r="AE125" s="4">
        <f t="shared" si="78"/>
        <v>7.5176653938091809E-2</v>
      </c>
      <c r="AF125" s="4">
        <f t="shared" si="78"/>
        <v>5.1742836177502194E-2</v>
      </c>
      <c r="AG125" s="4">
        <f t="shared" si="78"/>
        <v>3.5319190625345942E-2</v>
      </c>
      <c r="AH125" s="4">
        <f t="shared" si="78"/>
        <v>2.3969442072658165E-2</v>
      </c>
      <c r="AI125" s="4">
        <f t="shared" si="78"/>
        <v>1.6202243558389728E-2</v>
      </c>
      <c r="AJ125" s="4">
        <f t="shared" si="78"/>
        <v>1.0922240564108399E-2</v>
      </c>
      <c r="AK125" s="4">
        <f t="shared" si="78"/>
        <v>7.3493212906090566E-3</v>
      </c>
      <c r="AL125" s="4">
        <f t="shared" si="78"/>
        <v>4.9390262185057265E-3</v>
      </c>
      <c r="AM125" s="4">
        <f t="shared" si="78"/>
        <v>3.3164275492956197E-3</v>
      </c>
      <c r="AN125" s="4">
        <f t="shared" si="78"/>
        <v>2.2256362146679809E-3</v>
      </c>
      <c r="AO125" s="4">
        <f t="shared" si="78"/>
        <v>1.4930448704811861E-3</v>
      </c>
      <c r="AP125" s="4">
        <f t="shared" si="78"/>
        <v>1.0013381504474506E-3</v>
      </c>
      <c r="AQ125" s="4">
        <f t="shared" si="78"/>
        <v>6.7145100246257527E-4</v>
      </c>
      <c r="AR125" s="4">
        <f t="shared" si="78"/>
        <v>4.5019225748876845E-4</v>
      </c>
    </row>
    <row r="126" spans="1:44" x14ac:dyDescent="0.25">
      <c r="A126" s="24" t="s">
        <v>67</v>
      </c>
      <c r="B126" s="45">
        <f>'Parameter Input'!$L$38</f>
        <v>0.13371034051801745</v>
      </c>
      <c r="C126" s="46">
        <f>'Parameter Input'!$M$38</f>
        <v>8.7585019329602734E-2</v>
      </c>
      <c r="D126" s="1" t="s">
        <v>68</v>
      </c>
      <c r="L126" s="54">
        <f>'Parameter Input'!$O$38</f>
        <v>12</v>
      </c>
      <c r="M126" s="37">
        <v>0</v>
      </c>
      <c r="N126" s="37">
        <v>1</v>
      </c>
      <c r="O126" s="37">
        <f>'Parameter Input'!$P$38</f>
        <v>0.9</v>
      </c>
      <c r="P126" s="55">
        <f>'Parameter Input'!$Q$38</f>
        <v>0.4</v>
      </c>
      <c r="Q126" s="4">
        <f t="shared" si="78"/>
        <v>0.9867978615748374</v>
      </c>
      <c r="R126" s="4">
        <f t="shared" si="78"/>
        <v>0.98114509762858249</v>
      </c>
      <c r="S126" s="4">
        <f t="shared" si="78"/>
        <v>0.97311898315872036</v>
      </c>
      <c r="T126" s="4">
        <f t="shared" ref="T126:AI133" si="79">$N126+($M126-$N126)*((1/(1+EXP(-$P126*(T$9-$L126)))^$O126))</f>
        <v>0.96177484161592774</v>
      </c>
      <c r="U126" s="4">
        <f t="shared" si="79"/>
        <v>0.94584787155511363</v>
      </c>
      <c r="V126" s="4">
        <f t="shared" si="79"/>
        <v>0.92370360150141495</v>
      </c>
      <c r="W126" s="4">
        <f t="shared" si="79"/>
        <v>0.89334463567658451</v>
      </c>
      <c r="X126" s="4">
        <f t="shared" si="79"/>
        <v>0.85254543874327005</v>
      </c>
      <c r="Y126" s="4">
        <f t="shared" si="79"/>
        <v>0.79921300652623883</v>
      </c>
      <c r="Z126" s="4">
        <f t="shared" si="79"/>
        <v>0.73204982249993378</v>
      </c>
      <c r="AA126" s="4">
        <f t="shared" si="79"/>
        <v>0.65145592958786691</v>
      </c>
      <c r="AB126" s="4">
        <f t="shared" si="79"/>
        <v>0.56032247880849573</v>
      </c>
      <c r="AC126" s="4">
        <f t="shared" si="79"/>
        <v>0.46411326873185343</v>
      </c>
      <c r="AD126" s="4">
        <f t="shared" si="79"/>
        <v>0.36979727595523937</v>
      </c>
      <c r="AE126" s="4">
        <f t="shared" si="79"/>
        <v>0.28393948637231203</v>
      </c>
      <c r="AF126" s="4">
        <f t="shared" si="79"/>
        <v>0.21097259161117732</v>
      </c>
      <c r="AG126" s="4">
        <f t="shared" si="79"/>
        <v>0.15253917653798199</v>
      </c>
      <c r="AH126" s="4">
        <f t="shared" si="79"/>
        <v>0.10795188737709993</v>
      </c>
      <c r="AI126" s="4">
        <f t="shared" si="79"/>
        <v>7.5176653938091809E-2</v>
      </c>
      <c r="AJ126" s="4">
        <f t="shared" ref="AJ126:AR133" si="80">$N126+($M126-$N126)*((1/(1+EXP(-$P126*(AJ$9-$L126)))^$O126))</f>
        <v>5.1742836177502194E-2</v>
      </c>
      <c r="AK126" s="4">
        <f t="shared" si="80"/>
        <v>3.5319190625345942E-2</v>
      </c>
      <c r="AL126" s="4">
        <f t="shared" si="80"/>
        <v>2.3969442072658165E-2</v>
      </c>
      <c r="AM126" s="4">
        <f t="shared" si="80"/>
        <v>1.6202243558389728E-2</v>
      </c>
      <c r="AN126" s="4">
        <f t="shared" si="80"/>
        <v>1.0922240564108399E-2</v>
      </c>
      <c r="AO126" s="4">
        <f t="shared" si="80"/>
        <v>7.3493212906090566E-3</v>
      </c>
      <c r="AP126" s="4">
        <f t="shared" si="80"/>
        <v>4.9390262185057265E-3</v>
      </c>
      <c r="AQ126" s="4">
        <f t="shared" si="80"/>
        <v>3.3164275492956197E-3</v>
      </c>
      <c r="AR126" s="4">
        <f t="shared" si="80"/>
        <v>2.2256362146679809E-3</v>
      </c>
    </row>
    <row r="127" spans="1:44" x14ac:dyDescent="0.25">
      <c r="A127" s="24" t="s">
        <v>206</v>
      </c>
      <c r="B127" s="115">
        <f>'Parameter Input'!$L$41</f>
        <v>3.5200000000000006E-3</v>
      </c>
      <c r="C127" s="116">
        <f>'Parameter Input'!$M$41</f>
        <v>0</v>
      </c>
      <c r="D127" s="1" t="s">
        <v>76</v>
      </c>
      <c r="L127" s="54">
        <f>'Parameter Input'!$O$41</f>
        <v>17</v>
      </c>
      <c r="M127" s="37">
        <v>0</v>
      </c>
      <c r="N127" s="37">
        <v>1</v>
      </c>
      <c r="O127" s="37">
        <f>'Parameter Input'!$P$41</f>
        <v>0.9</v>
      </c>
      <c r="P127" s="55">
        <f>'Parameter Input'!$Q$41</f>
        <v>0.4</v>
      </c>
      <c r="Q127" s="4">
        <f t="shared" ref="Q127:AR127" si="81">$N127+($M127-$N127)*((1/(1+EXP(-$P127*(Q$9-$L127)))^$O127))</f>
        <v>0.99780374543478534</v>
      </c>
      <c r="R127" s="4">
        <f t="shared" si="81"/>
        <v>0.99685359315256394</v>
      </c>
      <c r="S127" s="4">
        <f t="shared" si="81"/>
        <v>0.99549347132349975</v>
      </c>
      <c r="T127" s="4">
        <f t="shared" si="81"/>
        <v>0.99354772139898062</v>
      </c>
      <c r="U127" s="4">
        <f t="shared" si="81"/>
        <v>0.99076681540580536</v>
      </c>
      <c r="V127" s="4">
        <f t="shared" si="81"/>
        <v>0.9867978615748374</v>
      </c>
      <c r="W127" s="4">
        <f t="shared" si="81"/>
        <v>0.98114509762858249</v>
      </c>
      <c r="X127" s="4">
        <f t="shared" si="81"/>
        <v>0.97311898315872036</v>
      </c>
      <c r="Y127" s="4">
        <f t="shared" si="81"/>
        <v>0.96177484161592774</v>
      </c>
      <c r="Z127" s="4">
        <f t="shared" si="81"/>
        <v>0.94584787155511363</v>
      </c>
      <c r="AA127" s="4">
        <f t="shared" si="81"/>
        <v>0.92370360150141495</v>
      </c>
      <c r="AB127" s="4">
        <f t="shared" si="81"/>
        <v>0.89334463567658451</v>
      </c>
      <c r="AC127" s="4">
        <f t="shared" si="81"/>
        <v>0.85254543874327005</v>
      </c>
      <c r="AD127" s="4">
        <f t="shared" si="81"/>
        <v>0.79921300652623883</v>
      </c>
      <c r="AE127" s="4">
        <f t="shared" si="81"/>
        <v>0.73204982249993378</v>
      </c>
      <c r="AF127" s="4">
        <f t="shared" si="81"/>
        <v>0.65145592958786691</v>
      </c>
      <c r="AG127" s="4">
        <f t="shared" si="81"/>
        <v>0.56032247880849573</v>
      </c>
      <c r="AH127" s="4">
        <f t="shared" si="81"/>
        <v>0.46411326873185343</v>
      </c>
      <c r="AI127" s="4">
        <f t="shared" si="81"/>
        <v>0.36979727595523937</v>
      </c>
      <c r="AJ127" s="4">
        <f t="shared" si="81"/>
        <v>0.28393948637231203</v>
      </c>
      <c r="AK127" s="4">
        <f t="shared" si="81"/>
        <v>0.21097259161117732</v>
      </c>
      <c r="AL127" s="4">
        <f t="shared" si="81"/>
        <v>0.15253917653798199</v>
      </c>
      <c r="AM127" s="4">
        <f t="shared" si="81"/>
        <v>0.10795188737709993</v>
      </c>
      <c r="AN127" s="4">
        <f t="shared" si="81"/>
        <v>7.5176653938091809E-2</v>
      </c>
      <c r="AO127" s="4">
        <f t="shared" si="81"/>
        <v>5.1742836177502194E-2</v>
      </c>
      <c r="AP127" s="4">
        <f t="shared" si="81"/>
        <v>3.5319190625345942E-2</v>
      </c>
      <c r="AQ127" s="4">
        <f t="shared" si="81"/>
        <v>2.3969442072658165E-2</v>
      </c>
      <c r="AR127" s="4">
        <f t="shared" si="81"/>
        <v>1.6202243558389728E-2</v>
      </c>
    </row>
    <row r="128" spans="1:44" x14ac:dyDescent="0.25">
      <c r="A128" s="24" t="s">
        <v>41</v>
      </c>
      <c r="B128" s="43">
        <f>'Parameter Input'!$L$35</f>
        <v>8</v>
      </c>
      <c r="C128" s="44">
        <f>'Parameter Input'!$M$35</f>
        <v>8</v>
      </c>
      <c r="D128" s="1" t="s">
        <v>42</v>
      </c>
      <c r="L128" s="54">
        <f>'Parameter Input'!$O$35</f>
        <v>8</v>
      </c>
      <c r="M128" s="37">
        <v>0</v>
      </c>
      <c r="N128" s="37">
        <v>1</v>
      </c>
      <c r="O128" s="37">
        <f>'Parameter Input'!$P$35</f>
        <v>0.9</v>
      </c>
      <c r="P128" s="55">
        <f>'Parameter Input'!$Q$35</f>
        <v>0.4</v>
      </c>
      <c r="Q128" s="4">
        <f t="shared" ref="Q128:AF133" si="82">$N128+($M128-$N128)*((1/(1+EXP(-$P128*(Q$9-$L128)))^$O128))</f>
        <v>0.94584787155511363</v>
      </c>
      <c r="R128" s="4">
        <f t="shared" si="82"/>
        <v>0.92370360150141495</v>
      </c>
      <c r="S128" s="4">
        <f t="shared" si="82"/>
        <v>0.89334463567658451</v>
      </c>
      <c r="T128" s="4">
        <f t="shared" si="82"/>
        <v>0.85254543874327005</v>
      </c>
      <c r="U128" s="4">
        <f t="shared" si="82"/>
        <v>0.79921300652623883</v>
      </c>
      <c r="V128" s="4">
        <f t="shared" si="82"/>
        <v>0.73204982249993378</v>
      </c>
      <c r="W128" s="4">
        <f t="shared" si="82"/>
        <v>0.65145592958786691</v>
      </c>
      <c r="X128" s="4">
        <f t="shared" si="82"/>
        <v>0.56032247880849573</v>
      </c>
      <c r="Y128" s="4">
        <f t="shared" si="82"/>
        <v>0.46411326873185343</v>
      </c>
      <c r="Z128" s="4">
        <f t="shared" si="82"/>
        <v>0.36979727595523937</v>
      </c>
      <c r="AA128" s="4">
        <f t="shared" si="82"/>
        <v>0.28393948637231203</v>
      </c>
      <c r="AB128" s="4">
        <f t="shared" si="82"/>
        <v>0.21097259161117732</v>
      </c>
      <c r="AC128" s="4">
        <f t="shared" si="82"/>
        <v>0.15253917653798199</v>
      </c>
      <c r="AD128" s="4">
        <f t="shared" si="82"/>
        <v>0.10795188737709993</v>
      </c>
      <c r="AE128" s="4">
        <f t="shared" si="82"/>
        <v>7.5176653938091809E-2</v>
      </c>
      <c r="AF128" s="4">
        <f t="shared" si="82"/>
        <v>5.1742836177502194E-2</v>
      </c>
      <c r="AG128" s="4">
        <f t="shared" si="79"/>
        <v>3.5319190625345942E-2</v>
      </c>
      <c r="AH128" s="4">
        <f t="shared" si="79"/>
        <v>2.3969442072658165E-2</v>
      </c>
      <c r="AI128" s="4">
        <f t="shared" si="79"/>
        <v>1.6202243558389728E-2</v>
      </c>
      <c r="AJ128" s="4">
        <f t="shared" si="80"/>
        <v>1.0922240564108399E-2</v>
      </c>
      <c r="AK128" s="4">
        <f t="shared" si="80"/>
        <v>7.3493212906090566E-3</v>
      </c>
      <c r="AL128" s="4">
        <f t="shared" si="80"/>
        <v>4.9390262185057265E-3</v>
      </c>
      <c r="AM128" s="4">
        <f t="shared" si="80"/>
        <v>3.3164275492956197E-3</v>
      </c>
      <c r="AN128" s="4">
        <f t="shared" si="80"/>
        <v>2.2256362146679809E-3</v>
      </c>
      <c r="AO128" s="4">
        <f t="shared" si="80"/>
        <v>1.4930448704811861E-3</v>
      </c>
      <c r="AP128" s="4">
        <f t="shared" si="80"/>
        <v>1.0013381504474506E-3</v>
      </c>
      <c r="AQ128" s="4">
        <f t="shared" si="80"/>
        <v>6.7145100246257527E-4</v>
      </c>
      <c r="AR128" s="4">
        <f t="shared" si="80"/>
        <v>4.5019225748876845E-4</v>
      </c>
    </row>
    <row r="129" spans="1:44" x14ac:dyDescent="0.25">
      <c r="A129" s="24" t="s">
        <v>70</v>
      </c>
      <c r="B129" s="60">
        <f>'Parameter Input'!B39</f>
        <v>10</v>
      </c>
      <c r="C129" s="61">
        <f>'Parameter Input'!C39</f>
        <v>10</v>
      </c>
      <c r="D129" s="1" t="s">
        <v>42</v>
      </c>
      <c r="L129" s="54">
        <f>'Parameter Input'!E39</f>
        <v>12</v>
      </c>
      <c r="M129" s="37">
        <v>0</v>
      </c>
      <c r="N129" s="37">
        <v>1</v>
      </c>
      <c r="O129" s="37">
        <f>'Parameter Input'!F39</f>
        <v>0.9</v>
      </c>
      <c r="P129" s="55">
        <f>'Parameter Input'!G39</f>
        <v>0.4</v>
      </c>
      <c r="Q129" s="4">
        <f t="shared" si="82"/>
        <v>0.9867978615748374</v>
      </c>
      <c r="R129" s="4">
        <f t="shared" si="82"/>
        <v>0.98114509762858249</v>
      </c>
      <c r="S129" s="4">
        <f t="shared" si="82"/>
        <v>0.97311898315872036</v>
      </c>
      <c r="T129" s="4">
        <f t="shared" si="82"/>
        <v>0.96177484161592774</v>
      </c>
      <c r="U129" s="4">
        <f t="shared" si="82"/>
        <v>0.94584787155511363</v>
      </c>
      <c r="V129" s="4">
        <f t="shared" si="82"/>
        <v>0.92370360150141495</v>
      </c>
      <c r="W129" s="4">
        <f t="shared" si="82"/>
        <v>0.89334463567658451</v>
      </c>
      <c r="X129" s="4">
        <f t="shared" si="82"/>
        <v>0.85254543874327005</v>
      </c>
      <c r="Y129" s="4">
        <f t="shared" si="82"/>
        <v>0.79921300652623883</v>
      </c>
      <c r="Z129" s="4">
        <f t="shared" si="82"/>
        <v>0.73204982249993378</v>
      </c>
      <c r="AA129" s="4">
        <f t="shared" si="82"/>
        <v>0.65145592958786691</v>
      </c>
      <c r="AB129" s="4">
        <f t="shared" si="82"/>
        <v>0.56032247880849573</v>
      </c>
      <c r="AC129" s="4">
        <f t="shared" si="82"/>
        <v>0.46411326873185343</v>
      </c>
      <c r="AD129" s="4">
        <f t="shared" si="82"/>
        <v>0.36979727595523937</v>
      </c>
      <c r="AE129" s="4">
        <f t="shared" si="82"/>
        <v>0.28393948637231203</v>
      </c>
      <c r="AF129" s="4">
        <f t="shared" si="82"/>
        <v>0.21097259161117732</v>
      </c>
      <c r="AG129" s="4">
        <f t="shared" si="79"/>
        <v>0.15253917653798199</v>
      </c>
      <c r="AH129" s="4">
        <f t="shared" si="79"/>
        <v>0.10795188737709993</v>
      </c>
      <c r="AI129" s="4">
        <f t="shared" si="79"/>
        <v>7.5176653938091809E-2</v>
      </c>
      <c r="AJ129" s="4">
        <f t="shared" si="80"/>
        <v>5.1742836177502194E-2</v>
      </c>
      <c r="AK129" s="4">
        <f t="shared" si="80"/>
        <v>3.5319190625345942E-2</v>
      </c>
      <c r="AL129" s="4">
        <f t="shared" si="80"/>
        <v>2.3969442072658165E-2</v>
      </c>
      <c r="AM129" s="4">
        <f t="shared" si="80"/>
        <v>1.6202243558389728E-2</v>
      </c>
      <c r="AN129" s="4">
        <f t="shared" si="80"/>
        <v>1.0922240564108399E-2</v>
      </c>
      <c r="AO129" s="4">
        <f t="shared" si="80"/>
        <v>7.3493212906090566E-3</v>
      </c>
      <c r="AP129" s="4">
        <f t="shared" si="80"/>
        <v>4.9390262185057265E-3</v>
      </c>
      <c r="AQ129" s="4">
        <f t="shared" si="80"/>
        <v>3.3164275492956197E-3</v>
      </c>
      <c r="AR129" s="4">
        <f t="shared" si="80"/>
        <v>2.2256362146679809E-3</v>
      </c>
    </row>
    <row r="130" spans="1:44" x14ac:dyDescent="0.25">
      <c r="A130" s="24" t="s">
        <v>207</v>
      </c>
      <c r="B130" s="43">
        <f>'Parameter Input'!B36</f>
        <v>25</v>
      </c>
      <c r="C130" s="44">
        <f>'Parameter Input'!C36</f>
        <v>25</v>
      </c>
      <c r="D130" s="1" t="s">
        <v>49</v>
      </c>
      <c r="L130" s="54">
        <f>'Parameter Input'!E36</f>
        <v>12</v>
      </c>
      <c r="M130" s="37">
        <v>0</v>
      </c>
      <c r="N130" s="37">
        <v>1</v>
      </c>
      <c r="O130" s="37">
        <f>'Parameter Input'!F36</f>
        <v>0.9</v>
      </c>
      <c r="P130" s="55">
        <f>'Parameter Input'!G36</f>
        <v>0.4</v>
      </c>
      <c r="Q130" s="4">
        <f t="shared" si="82"/>
        <v>0.9867978615748374</v>
      </c>
      <c r="R130" s="4">
        <f t="shared" si="82"/>
        <v>0.98114509762858249</v>
      </c>
      <c r="S130" s="4">
        <f t="shared" si="82"/>
        <v>0.97311898315872036</v>
      </c>
      <c r="T130" s="4">
        <f t="shared" si="82"/>
        <v>0.96177484161592774</v>
      </c>
      <c r="U130" s="4">
        <f t="shared" si="82"/>
        <v>0.94584787155511363</v>
      </c>
      <c r="V130" s="4">
        <f t="shared" si="82"/>
        <v>0.92370360150141495</v>
      </c>
      <c r="W130" s="4">
        <f t="shared" si="82"/>
        <v>0.89334463567658451</v>
      </c>
      <c r="X130" s="4">
        <f t="shared" si="82"/>
        <v>0.85254543874327005</v>
      </c>
      <c r="Y130" s="4">
        <f t="shared" si="82"/>
        <v>0.79921300652623883</v>
      </c>
      <c r="Z130" s="4">
        <f t="shared" si="82"/>
        <v>0.73204982249993378</v>
      </c>
      <c r="AA130" s="4">
        <f t="shared" si="82"/>
        <v>0.65145592958786691</v>
      </c>
      <c r="AB130" s="4">
        <f t="shared" si="82"/>
        <v>0.56032247880849573</v>
      </c>
      <c r="AC130" s="4">
        <f t="shared" si="82"/>
        <v>0.46411326873185343</v>
      </c>
      <c r="AD130" s="4">
        <f t="shared" si="82"/>
        <v>0.36979727595523937</v>
      </c>
      <c r="AE130" s="4">
        <f t="shared" si="82"/>
        <v>0.28393948637231203</v>
      </c>
      <c r="AF130" s="4">
        <f t="shared" si="82"/>
        <v>0.21097259161117732</v>
      </c>
      <c r="AG130" s="4">
        <f t="shared" si="79"/>
        <v>0.15253917653798199</v>
      </c>
      <c r="AH130" s="4">
        <f t="shared" si="79"/>
        <v>0.10795188737709993</v>
      </c>
      <c r="AI130" s="4">
        <f t="shared" si="79"/>
        <v>7.5176653938091809E-2</v>
      </c>
      <c r="AJ130" s="4">
        <f t="shared" si="80"/>
        <v>5.1742836177502194E-2</v>
      </c>
      <c r="AK130" s="4">
        <f t="shared" si="80"/>
        <v>3.5319190625345942E-2</v>
      </c>
      <c r="AL130" s="4">
        <f t="shared" si="80"/>
        <v>2.3969442072658165E-2</v>
      </c>
      <c r="AM130" s="4">
        <f t="shared" si="80"/>
        <v>1.6202243558389728E-2</v>
      </c>
      <c r="AN130" s="4">
        <f t="shared" si="80"/>
        <v>1.0922240564108399E-2</v>
      </c>
      <c r="AO130" s="4">
        <f t="shared" si="80"/>
        <v>7.3493212906090566E-3</v>
      </c>
      <c r="AP130" s="4">
        <f t="shared" si="80"/>
        <v>4.9390262185057265E-3</v>
      </c>
      <c r="AQ130" s="4">
        <f t="shared" si="80"/>
        <v>3.3164275492956197E-3</v>
      </c>
      <c r="AR130" s="4">
        <f t="shared" si="80"/>
        <v>2.2256362146679809E-3</v>
      </c>
    </row>
    <row r="131" spans="1:44" x14ac:dyDescent="0.25">
      <c r="A131" s="24" t="s">
        <v>56</v>
      </c>
      <c r="B131" s="45">
        <f>'Parameter Input'!B37</f>
        <v>0.64</v>
      </c>
      <c r="C131" s="46">
        <f>'Parameter Input'!C37</f>
        <v>0.64</v>
      </c>
      <c r="D131" s="1" t="s">
        <v>57</v>
      </c>
      <c r="L131" s="54">
        <f>'Parameter Input'!E37</f>
        <v>12</v>
      </c>
      <c r="M131" s="37">
        <v>0</v>
      </c>
      <c r="N131" s="37">
        <v>1</v>
      </c>
      <c r="O131" s="37">
        <f>'Parameter Input'!F37</f>
        <v>0.9</v>
      </c>
      <c r="P131" s="55">
        <f>'Parameter Input'!G37</f>
        <v>0.4</v>
      </c>
      <c r="Q131" s="4">
        <f t="shared" si="82"/>
        <v>0.9867978615748374</v>
      </c>
      <c r="R131" s="4">
        <f t="shared" si="82"/>
        <v>0.98114509762858249</v>
      </c>
      <c r="S131" s="4">
        <f t="shared" si="82"/>
        <v>0.97311898315872036</v>
      </c>
      <c r="T131" s="4">
        <f t="shared" si="82"/>
        <v>0.96177484161592774</v>
      </c>
      <c r="U131" s="4">
        <f t="shared" si="82"/>
        <v>0.94584787155511363</v>
      </c>
      <c r="V131" s="4">
        <f t="shared" si="82"/>
        <v>0.92370360150141495</v>
      </c>
      <c r="W131" s="4">
        <f t="shared" si="82"/>
        <v>0.89334463567658451</v>
      </c>
      <c r="X131" s="4">
        <f t="shared" si="82"/>
        <v>0.85254543874327005</v>
      </c>
      <c r="Y131" s="4">
        <f t="shared" si="82"/>
        <v>0.79921300652623883</v>
      </c>
      <c r="Z131" s="4">
        <f t="shared" si="82"/>
        <v>0.73204982249993378</v>
      </c>
      <c r="AA131" s="4">
        <f t="shared" si="82"/>
        <v>0.65145592958786691</v>
      </c>
      <c r="AB131" s="4">
        <f t="shared" si="82"/>
        <v>0.56032247880849573</v>
      </c>
      <c r="AC131" s="4">
        <f t="shared" si="82"/>
        <v>0.46411326873185343</v>
      </c>
      <c r="AD131" s="4">
        <f t="shared" si="82"/>
        <v>0.36979727595523937</v>
      </c>
      <c r="AE131" s="4">
        <f t="shared" si="82"/>
        <v>0.28393948637231203</v>
      </c>
      <c r="AF131" s="4">
        <f t="shared" si="82"/>
        <v>0.21097259161117732</v>
      </c>
      <c r="AG131" s="4">
        <f t="shared" si="79"/>
        <v>0.15253917653798199</v>
      </c>
      <c r="AH131" s="4">
        <f t="shared" si="79"/>
        <v>0.10795188737709993</v>
      </c>
      <c r="AI131" s="4">
        <f t="shared" si="79"/>
        <v>7.5176653938091809E-2</v>
      </c>
      <c r="AJ131" s="4">
        <f t="shared" si="80"/>
        <v>5.1742836177502194E-2</v>
      </c>
      <c r="AK131" s="4">
        <f t="shared" si="80"/>
        <v>3.5319190625345942E-2</v>
      </c>
      <c r="AL131" s="4">
        <f t="shared" si="80"/>
        <v>2.3969442072658165E-2</v>
      </c>
      <c r="AM131" s="4">
        <f t="shared" si="80"/>
        <v>1.6202243558389728E-2</v>
      </c>
      <c r="AN131" s="4">
        <f t="shared" si="80"/>
        <v>1.0922240564108399E-2</v>
      </c>
      <c r="AO131" s="4">
        <f t="shared" si="80"/>
        <v>7.3493212906090566E-3</v>
      </c>
      <c r="AP131" s="4">
        <f t="shared" si="80"/>
        <v>4.9390262185057265E-3</v>
      </c>
      <c r="AQ131" s="4">
        <f t="shared" si="80"/>
        <v>3.3164275492956197E-3</v>
      </c>
      <c r="AR131" s="4">
        <f t="shared" si="80"/>
        <v>2.2256362146679809E-3</v>
      </c>
    </row>
    <row r="132" spans="1:44" x14ac:dyDescent="0.25">
      <c r="A132" s="24" t="s">
        <v>73</v>
      </c>
      <c r="B132" s="72">
        <f>'Parameter Input'!$L$39</f>
        <v>0.1</v>
      </c>
      <c r="C132" s="73">
        <f>'Parameter Input'!$M$39</f>
        <v>0.05</v>
      </c>
      <c r="D132" s="1" t="s">
        <v>57</v>
      </c>
      <c r="L132" s="54">
        <f>'Parameter Input'!$O$39</f>
        <v>12</v>
      </c>
      <c r="M132" s="37">
        <v>0</v>
      </c>
      <c r="N132" s="37">
        <v>1</v>
      </c>
      <c r="O132" s="37">
        <f>'Parameter Input'!$P$39</f>
        <v>0.9</v>
      </c>
      <c r="P132" s="55">
        <f>'Parameter Input'!$Q$39</f>
        <v>0.4</v>
      </c>
      <c r="Q132" s="4">
        <f t="shared" si="82"/>
        <v>0.9867978615748374</v>
      </c>
      <c r="R132" s="4">
        <f t="shared" si="82"/>
        <v>0.98114509762858249</v>
      </c>
      <c r="S132" s="4">
        <f t="shared" si="82"/>
        <v>0.97311898315872036</v>
      </c>
      <c r="T132" s="4">
        <f t="shared" si="82"/>
        <v>0.96177484161592774</v>
      </c>
      <c r="U132" s="4">
        <f t="shared" si="82"/>
        <v>0.94584787155511363</v>
      </c>
      <c r="V132" s="4">
        <f t="shared" si="82"/>
        <v>0.92370360150141495</v>
      </c>
      <c r="W132" s="4">
        <f t="shared" si="82"/>
        <v>0.89334463567658451</v>
      </c>
      <c r="X132" s="4">
        <f t="shared" si="82"/>
        <v>0.85254543874327005</v>
      </c>
      <c r="Y132" s="4">
        <f t="shared" si="82"/>
        <v>0.79921300652623883</v>
      </c>
      <c r="Z132" s="4">
        <f t="shared" si="82"/>
        <v>0.73204982249993378</v>
      </c>
      <c r="AA132" s="4">
        <f t="shared" si="82"/>
        <v>0.65145592958786691</v>
      </c>
      <c r="AB132" s="4">
        <f t="shared" si="82"/>
        <v>0.56032247880849573</v>
      </c>
      <c r="AC132" s="4">
        <f t="shared" si="82"/>
        <v>0.46411326873185343</v>
      </c>
      <c r="AD132" s="4">
        <f t="shared" si="82"/>
        <v>0.36979727595523937</v>
      </c>
      <c r="AE132" s="4">
        <f t="shared" si="82"/>
        <v>0.28393948637231203</v>
      </c>
      <c r="AF132" s="4">
        <f t="shared" si="82"/>
        <v>0.21097259161117732</v>
      </c>
      <c r="AG132" s="4">
        <f t="shared" si="79"/>
        <v>0.15253917653798199</v>
      </c>
      <c r="AH132" s="4">
        <f t="shared" si="79"/>
        <v>0.10795188737709993</v>
      </c>
      <c r="AI132" s="4">
        <f t="shared" si="79"/>
        <v>7.5176653938091809E-2</v>
      </c>
      <c r="AJ132" s="4">
        <f t="shared" si="80"/>
        <v>5.1742836177502194E-2</v>
      </c>
      <c r="AK132" s="4">
        <f t="shared" si="80"/>
        <v>3.5319190625345942E-2</v>
      </c>
      <c r="AL132" s="4">
        <f t="shared" si="80"/>
        <v>2.3969442072658165E-2</v>
      </c>
      <c r="AM132" s="4">
        <f t="shared" si="80"/>
        <v>1.6202243558389728E-2</v>
      </c>
      <c r="AN132" s="4">
        <f t="shared" si="80"/>
        <v>1.0922240564108399E-2</v>
      </c>
      <c r="AO132" s="4">
        <f t="shared" si="80"/>
        <v>7.3493212906090566E-3</v>
      </c>
      <c r="AP132" s="4">
        <f t="shared" si="80"/>
        <v>4.9390262185057265E-3</v>
      </c>
      <c r="AQ132" s="4">
        <f t="shared" si="80"/>
        <v>3.3164275492956197E-3</v>
      </c>
      <c r="AR132" s="4">
        <f t="shared" si="80"/>
        <v>2.2256362146679809E-3</v>
      </c>
    </row>
    <row r="133" spans="1:44" ht="15.75" thickBot="1" x14ac:dyDescent="0.3">
      <c r="A133" s="24" t="s">
        <v>64</v>
      </c>
      <c r="B133" s="49">
        <f>'Parameter Input'!B38</f>
        <v>110000</v>
      </c>
      <c r="C133" s="50">
        <f>'Parameter Input'!C38</f>
        <v>110000</v>
      </c>
      <c r="D133" s="1" t="s">
        <v>65</v>
      </c>
      <c r="L133" s="56">
        <f>'Parameter Input'!E38</f>
        <v>12</v>
      </c>
      <c r="M133" s="57">
        <v>0</v>
      </c>
      <c r="N133" s="57">
        <v>1</v>
      </c>
      <c r="O133" s="57">
        <f>'Parameter Input'!F38</f>
        <v>0.9</v>
      </c>
      <c r="P133" s="58">
        <f>'Parameter Input'!G38</f>
        <v>0.4</v>
      </c>
      <c r="Q133" s="4">
        <f t="shared" si="82"/>
        <v>0.9867978615748374</v>
      </c>
      <c r="R133" s="4">
        <f t="shared" si="82"/>
        <v>0.98114509762858249</v>
      </c>
      <c r="S133" s="4">
        <f t="shared" si="82"/>
        <v>0.97311898315872036</v>
      </c>
      <c r="T133" s="4">
        <f t="shared" si="82"/>
        <v>0.96177484161592774</v>
      </c>
      <c r="U133" s="4">
        <f t="shared" si="82"/>
        <v>0.94584787155511363</v>
      </c>
      <c r="V133" s="4">
        <f t="shared" si="82"/>
        <v>0.92370360150141495</v>
      </c>
      <c r="W133" s="4">
        <f t="shared" si="82"/>
        <v>0.89334463567658451</v>
      </c>
      <c r="X133" s="4">
        <f t="shared" si="82"/>
        <v>0.85254543874327005</v>
      </c>
      <c r="Y133" s="4">
        <f t="shared" si="82"/>
        <v>0.79921300652623883</v>
      </c>
      <c r="Z133" s="4">
        <f t="shared" si="82"/>
        <v>0.73204982249993378</v>
      </c>
      <c r="AA133" s="4">
        <f t="shared" si="82"/>
        <v>0.65145592958786691</v>
      </c>
      <c r="AB133" s="4">
        <f t="shared" si="82"/>
        <v>0.56032247880849573</v>
      </c>
      <c r="AC133" s="4">
        <f t="shared" si="82"/>
        <v>0.46411326873185343</v>
      </c>
      <c r="AD133" s="4">
        <f t="shared" si="82"/>
        <v>0.36979727595523937</v>
      </c>
      <c r="AE133" s="4">
        <f t="shared" si="82"/>
        <v>0.28393948637231203</v>
      </c>
      <c r="AF133" s="4">
        <f t="shared" si="82"/>
        <v>0.21097259161117732</v>
      </c>
      <c r="AG133" s="4">
        <f t="shared" si="79"/>
        <v>0.15253917653798199</v>
      </c>
      <c r="AH133" s="4">
        <f t="shared" si="79"/>
        <v>0.10795188737709993</v>
      </c>
      <c r="AI133" s="4">
        <f t="shared" si="79"/>
        <v>7.5176653938091809E-2</v>
      </c>
      <c r="AJ133" s="4">
        <f t="shared" si="80"/>
        <v>5.1742836177502194E-2</v>
      </c>
      <c r="AK133" s="4">
        <f t="shared" si="80"/>
        <v>3.5319190625345942E-2</v>
      </c>
      <c r="AL133" s="4">
        <f t="shared" si="80"/>
        <v>2.3969442072658165E-2</v>
      </c>
      <c r="AM133" s="4">
        <f t="shared" si="80"/>
        <v>1.6202243558389728E-2</v>
      </c>
      <c r="AN133" s="4">
        <f t="shared" si="80"/>
        <v>1.0922240564108399E-2</v>
      </c>
      <c r="AO133" s="4">
        <f t="shared" si="80"/>
        <v>7.3493212906090566E-3</v>
      </c>
      <c r="AP133" s="4">
        <f t="shared" si="80"/>
        <v>4.9390262185057265E-3</v>
      </c>
      <c r="AQ133" s="4">
        <f t="shared" si="80"/>
        <v>3.3164275492956197E-3</v>
      </c>
      <c r="AR133" s="4">
        <f t="shared" si="80"/>
        <v>2.2256362146679809E-3</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83">A117</f>
        <v>Capex vehicle</v>
      </c>
      <c r="B137" s="62">
        <f t="shared" ref="B137:B146" si="84">$B117+($C117-$B117)*(1-Q117)</f>
        <v>386191.20724655397</v>
      </c>
      <c r="C137" s="62">
        <f t="shared" ref="C137:C146" si="85">$B117+($C117-$B117)*(1-R117)</f>
        <v>380544.41838286084</v>
      </c>
      <c r="D137" s="62">
        <f t="shared" ref="D137:D146" si="86">$B117+($C117-$B117)*(1-S117)</f>
        <v>372802.88209752907</v>
      </c>
      <c r="E137" s="62">
        <f t="shared" ref="E137:E146" si="87">$B117+($C117-$B117)*(1-T117)</f>
        <v>362399.08687953383</v>
      </c>
      <c r="F137" s="62">
        <f t="shared" ref="F137:F146" si="88">$B117+($C117-$B117)*(1-U117)</f>
        <v>348799.3166641909</v>
      </c>
      <c r="G137" s="62">
        <f t="shared" ref="G137:G146" si="89">$B117+($C117-$B117)*(1-V117)</f>
        <v>331672.70473748312</v>
      </c>
      <c r="H137" s="62">
        <f t="shared" ref="H137:H146" si="90">$B117+($C117-$B117)*(1-W117)</f>
        <v>311121.26204490603</v>
      </c>
      <c r="I137" s="62">
        <f t="shared" ref="I137:I146" si="91">$B117+($C117-$B117)*(1-X117)</f>
        <v>287882.23209616641</v>
      </c>
      <c r="J137" s="62">
        <f t="shared" ref="J137:J146" si="92">$B117+($C117-$B117)*(1-Y117)</f>
        <v>263348.88352662267</v>
      </c>
      <c r="K137" s="62">
        <f t="shared" ref="K137:K146" si="93">$B117+($C117-$B117)*(1-Z117)</f>
        <v>239298.30536858604</v>
      </c>
      <c r="L137" s="62">
        <f t="shared" ref="L137:L146" si="94">$B117+($C117-$B117)*(1-AA117)</f>
        <v>217404.56902493956</v>
      </c>
      <c r="M137" s="62">
        <f t="shared" ref="M137:M146" si="95">$B117+($C117-$B117)*(1-AB117)</f>
        <v>198798.01086085022</v>
      </c>
      <c r="N137" s="62">
        <f t="shared" ref="N137:N146" si="96">$B117+($C117-$B117)*(1-AC117)</f>
        <v>183897.4900171854</v>
      </c>
      <c r="O137" s="62">
        <f t="shared" ref="O137:O146" si="97">$B117+($C117-$B117)*(1-AD117)</f>
        <v>172527.73128116049</v>
      </c>
      <c r="P137" s="62">
        <f t="shared" ref="P137:P146" si="98">$B117+($C117-$B117)*(1-AE117)</f>
        <v>164170.0467542134</v>
      </c>
      <c r="Q137" s="62">
        <f t="shared" ref="Q137:Q146" si="99">$B117+($C117-$B117)*(1-AF117)</f>
        <v>158194.42322526305</v>
      </c>
      <c r="R137" s="62">
        <f t="shared" ref="R137:R146" si="100">$B117+($C117-$B117)*(1-AG117)</f>
        <v>154006.39360946321</v>
      </c>
      <c r="S137" s="62">
        <f t="shared" ref="S137:S146" si="101">$B117+($C117-$B117)*(1-AH117)</f>
        <v>151112.20772852784</v>
      </c>
      <c r="T137" s="62">
        <f t="shared" ref="T137:T146" si="102">$B117+($C117-$B117)*(1-AI117)</f>
        <v>149131.57210738939</v>
      </c>
      <c r="U137" s="62">
        <f t="shared" ref="U137:U146" si="103">$B117+($C117-$B117)*(1-AJ117)</f>
        <v>147785.17134384764</v>
      </c>
      <c r="V137" s="62">
        <f t="shared" ref="V137:V146" si="104">$B117+($C117-$B117)*(1-AK117)</f>
        <v>146874.0769291053</v>
      </c>
      <c r="W137" s="62">
        <f t="shared" ref="W137:W146" si="105">$B117+($C117-$B117)*(1-AL117)</f>
        <v>146259.45168571896</v>
      </c>
      <c r="X137" s="62">
        <f t="shared" ref="X137:X146" si="106">$B117+($C117-$B117)*(1-AM117)</f>
        <v>145845.68902507037</v>
      </c>
      <c r="Y137" s="62">
        <f t="shared" ref="Y137:Y146" si="107">$B117+($C117-$B117)*(1-AN117)</f>
        <v>145567.53723474033</v>
      </c>
      <c r="Z137" s="62">
        <f t="shared" ref="Z137:Z146" si="108">$B117+($C117-$B117)*(1-AO117)</f>
        <v>145380.72644197271</v>
      </c>
      <c r="AA137" s="62">
        <f t="shared" ref="AA137:AA146" si="109">$B117+($C117-$B117)*(1-AP117)</f>
        <v>145255.34122836409</v>
      </c>
      <c r="AB137" s="62">
        <f t="shared" ref="AB137:AB146" si="110">$B117+($C117-$B117)*(1-AQ117)</f>
        <v>145171.22000562795</v>
      </c>
      <c r="AC137" s="62">
        <f t="shared" ref="AC137:AC146" si="111">$B117+($C117-$B117)*(1-AR117)</f>
        <v>145114.79902565962</v>
      </c>
    </row>
    <row r="138" spans="1:44" x14ac:dyDescent="0.25">
      <c r="A138" s="30" t="str">
        <f t="shared" si="83"/>
        <v>Residual value (vehicle)</v>
      </c>
      <c r="B138" s="62">
        <f t="shared" si="84"/>
        <v>-58713.886949433945</v>
      </c>
      <c r="C138" s="62">
        <f t="shared" si="85"/>
        <v>-58187.960535658603</v>
      </c>
      <c r="D138" s="62">
        <f t="shared" si="86"/>
        <v>-57466.935097318885</v>
      </c>
      <c r="E138" s="62">
        <f t="shared" si="87"/>
        <v>-56497.954170152661</v>
      </c>
      <c r="F138" s="62">
        <f t="shared" si="88"/>
        <v>-55231.308904998172</v>
      </c>
      <c r="G138" s="62">
        <f t="shared" si="89"/>
        <v>-53636.18328437343</v>
      </c>
      <c r="H138" s="62">
        <f t="shared" si="90"/>
        <v>-51722.078327711839</v>
      </c>
      <c r="I138" s="62">
        <f t="shared" si="91"/>
        <v>-49557.658871701773</v>
      </c>
      <c r="J138" s="62">
        <f t="shared" si="92"/>
        <v>-47272.690132381518</v>
      </c>
      <c r="K138" s="62">
        <f t="shared" si="93"/>
        <v>-45032.685303936931</v>
      </c>
      <c r="L138" s="62">
        <f t="shared" si="94"/>
        <v>-42993.562801342414</v>
      </c>
      <c r="M138" s="62">
        <f t="shared" si="95"/>
        <v>-41260.599050765464</v>
      </c>
      <c r="N138" s="62">
        <f t="shared" si="96"/>
        <v>-39872.805442777069</v>
      </c>
      <c r="O138" s="62">
        <f t="shared" si="97"/>
        <v>-38813.857325206125</v>
      </c>
      <c r="P138" s="62">
        <f t="shared" si="98"/>
        <v>-38035.445531029676</v>
      </c>
      <c r="Q138" s="62">
        <f t="shared" si="99"/>
        <v>-37478.892359215679</v>
      </c>
      <c r="R138" s="62">
        <f t="shared" si="100"/>
        <v>-37088.830777351963</v>
      </c>
      <c r="S138" s="62">
        <f t="shared" si="101"/>
        <v>-36819.274249225637</v>
      </c>
      <c r="T138" s="62">
        <f t="shared" si="102"/>
        <v>-36634.803284511756</v>
      </c>
      <c r="U138" s="62">
        <f t="shared" si="103"/>
        <v>-36509.403213397571</v>
      </c>
      <c r="V138" s="62">
        <f t="shared" si="104"/>
        <v>-36424.546380651969</v>
      </c>
      <c r="W138" s="62">
        <f t="shared" si="105"/>
        <v>-36367.30187268951</v>
      </c>
      <c r="X138" s="62">
        <f t="shared" si="106"/>
        <v>-36328.765154295776</v>
      </c>
      <c r="Y138" s="62">
        <f t="shared" si="107"/>
        <v>-36302.858860098364</v>
      </c>
      <c r="Z138" s="62">
        <f t="shared" si="108"/>
        <v>-36285.459815673923</v>
      </c>
      <c r="AA138" s="62">
        <f t="shared" si="109"/>
        <v>-36273.781781073129</v>
      </c>
      <c r="AB138" s="62">
        <f t="shared" si="110"/>
        <v>-36265.946961308488</v>
      </c>
      <c r="AC138" s="62">
        <f t="shared" si="111"/>
        <v>-36260.692066115356</v>
      </c>
    </row>
    <row r="139" spans="1:44" x14ac:dyDescent="0.25">
      <c r="A139" s="30" t="str">
        <f t="shared" si="83"/>
        <v>Capex costumization</v>
      </c>
      <c r="B139" s="62">
        <f t="shared" si="84"/>
        <v>60000</v>
      </c>
      <c r="C139" s="62">
        <f t="shared" si="85"/>
        <v>60000</v>
      </c>
      <c r="D139" s="62">
        <f t="shared" si="86"/>
        <v>60000</v>
      </c>
      <c r="E139" s="62">
        <f t="shared" si="87"/>
        <v>60000</v>
      </c>
      <c r="F139" s="62">
        <f t="shared" si="88"/>
        <v>60000</v>
      </c>
      <c r="G139" s="62">
        <f t="shared" si="89"/>
        <v>60000</v>
      </c>
      <c r="H139" s="62">
        <f t="shared" si="90"/>
        <v>60000</v>
      </c>
      <c r="I139" s="62">
        <f t="shared" si="91"/>
        <v>60000</v>
      </c>
      <c r="J139" s="62">
        <f t="shared" si="92"/>
        <v>60000</v>
      </c>
      <c r="K139" s="62">
        <f t="shared" si="93"/>
        <v>60000</v>
      </c>
      <c r="L139" s="62">
        <f t="shared" si="94"/>
        <v>60000</v>
      </c>
      <c r="M139" s="62">
        <f t="shared" si="95"/>
        <v>60000</v>
      </c>
      <c r="N139" s="62">
        <f t="shared" si="96"/>
        <v>60000</v>
      </c>
      <c r="O139" s="62">
        <f t="shared" si="97"/>
        <v>60000</v>
      </c>
      <c r="P139" s="62">
        <f t="shared" si="98"/>
        <v>60000</v>
      </c>
      <c r="Q139" s="62">
        <f t="shared" si="99"/>
        <v>60000</v>
      </c>
      <c r="R139" s="62">
        <f t="shared" si="100"/>
        <v>60000</v>
      </c>
      <c r="S139" s="62">
        <f t="shared" si="101"/>
        <v>60000</v>
      </c>
      <c r="T139" s="62">
        <f t="shared" si="102"/>
        <v>60000</v>
      </c>
      <c r="U139" s="62">
        <f t="shared" si="103"/>
        <v>60000</v>
      </c>
      <c r="V139" s="62">
        <f t="shared" si="104"/>
        <v>60000</v>
      </c>
      <c r="W139" s="62">
        <f t="shared" si="105"/>
        <v>60000</v>
      </c>
      <c r="X139" s="62">
        <f t="shared" si="106"/>
        <v>60000</v>
      </c>
      <c r="Y139" s="62">
        <f t="shared" si="107"/>
        <v>60000</v>
      </c>
      <c r="Z139" s="62">
        <f t="shared" si="108"/>
        <v>60000</v>
      </c>
      <c r="AA139" s="62">
        <f t="shared" si="109"/>
        <v>60000</v>
      </c>
      <c r="AB139" s="62">
        <f t="shared" si="110"/>
        <v>60000</v>
      </c>
      <c r="AC139" s="62">
        <f t="shared" si="111"/>
        <v>60000</v>
      </c>
    </row>
    <row r="140" spans="1:44" x14ac:dyDescent="0.25">
      <c r="A140" s="30" t="str">
        <f t="shared" si="83"/>
        <v>Residual value (costumization)</v>
      </c>
      <c r="B140" s="62">
        <f t="shared" si="84"/>
        <v>-15000</v>
      </c>
      <c r="C140" s="62">
        <f t="shared" si="85"/>
        <v>-15000</v>
      </c>
      <c r="D140" s="62">
        <f t="shared" si="86"/>
        <v>-15000</v>
      </c>
      <c r="E140" s="62">
        <f t="shared" si="87"/>
        <v>-15000</v>
      </c>
      <c r="F140" s="62">
        <f t="shared" si="88"/>
        <v>-15000</v>
      </c>
      <c r="G140" s="62">
        <f t="shared" si="89"/>
        <v>-15000</v>
      </c>
      <c r="H140" s="62">
        <f t="shared" si="90"/>
        <v>-15000</v>
      </c>
      <c r="I140" s="62">
        <f t="shared" si="91"/>
        <v>-15000</v>
      </c>
      <c r="J140" s="62">
        <f t="shared" si="92"/>
        <v>-15000</v>
      </c>
      <c r="K140" s="62">
        <f t="shared" si="93"/>
        <v>-15000</v>
      </c>
      <c r="L140" s="62">
        <f t="shared" si="94"/>
        <v>-15000</v>
      </c>
      <c r="M140" s="62">
        <f t="shared" si="95"/>
        <v>-15000</v>
      </c>
      <c r="N140" s="62">
        <f t="shared" si="96"/>
        <v>-15000</v>
      </c>
      <c r="O140" s="62">
        <f t="shared" si="97"/>
        <v>-15000</v>
      </c>
      <c r="P140" s="62">
        <f t="shared" si="98"/>
        <v>-15000</v>
      </c>
      <c r="Q140" s="62">
        <f t="shared" si="99"/>
        <v>-15000</v>
      </c>
      <c r="R140" s="62">
        <f t="shared" si="100"/>
        <v>-15000</v>
      </c>
      <c r="S140" s="62">
        <f t="shared" si="101"/>
        <v>-15000</v>
      </c>
      <c r="T140" s="62">
        <f t="shared" si="102"/>
        <v>-15000</v>
      </c>
      <c r="U140" s="62">
        <f t="shared" si="103"/>
        <v>-15000</v>
      </c>
      <c r="V140" s="62">
        <f t="shared" si="104"/>
        <v>-15000</v>
      </c>
      <c r="W140" s="62">
        <f t="shared" si="105"/>
        <v>-15000</v>
      </c>
      <c r="X140" s="62">
        <f t="shared" si="106"/>
        <v>-15000</v>
      </c>
      <c r="Y140" s="62">
        <f t="shared" si="107"/>
        <v>-15000</v>
      </c>
      <c r="Z140" s="62">
        <f t="shared" si="108"/>
        <v>-15000</v>
      </c>
      <c r="AA140" s="62">
        <f t="shared" si="109"/>
        <v>-15000</v>
      </c>
      <c r="AB140" s="62">
        <f t="shared" si="110"/>
        <v>-15000</v>
      </c>
      <c r="AC140" s="62">
        <f t="shared" si="111"/>
        <v>-15000</v>
      </c>
    </row>
    <row r="141" spans="1:44" x14ac:dyDescent="0.25">
      <c r="A141" s="30" t="str">
        <f t="shared" si="83"/>
        <v>WACC</v>
      </c>
      <c r="B141" s="62">
        <f t="shared" si="84"/>
        <v>0.06</v>
      </c>
      <c r="C141" s="62">
        <f t="shared" si="85"/>
        <v>0.06</v>
      </c>
      <c r="D141" s="62">
        <f t="shared" si="86"/>
        <v>0.06</v>
      </c>
      <c r="E141" s="62">
        <f t="shared" si="87"/>
        <v>0.06</v>
      </c>
      <c r="F141" s="62">
        <f t="shared" si="88"/>
        <v>0.06</v>
      </c>
      <c r="G141" s="62">
        <f t="shared" si="89"/>
        <v>0.06</v>
      </c>
      <c r="H141" s="62">
        <f t="shared" si="90"/>
        <v>0.06</v>
      </c>
      <c r="I141" s="62">
        <f t="shared" si="91"/>
        <v>0.06</v>
      </c>
      <c r="J141" s="62">
        <f t="shared" si="92"/>
        <v>0.06</v>
      </c>
      <c r="K141" s="62">
        <f t="shared" si="93"/>
        <v>0.06</v>
      </c>
      <c r="L141" s="62">
        <f t="shared" si="94"/>
        <v>0.06</v>
      </c>
      <c r="M141" s="62">
        <f t="shared" si="95"/>
        <v>0.06</v>
      </c>
      <c r="N141" s="62">
        <f t="shared" si="96"/>
        <v>0.06</v>
      </c>
      <c r="O141" s="62">
        <f t="shared" si="97"/>
        <v>0.06</v>
      </c>
      <c r="P141" s="62">
        <f t="shared" si="98"/>
        <v>0.06</v>
      </c>
      <c r="Q141" s="62">
        <f t="shared" si="99"/>
        <v>0.06</v>
      </c>
      <c r="R141" s="62">
        <f t="shared" si="100"/>
        <v>0.06</v>
      </c>
      <c r="S141" s="62">
        <f t="shared" si="101"/>
        <v>0.06</v>
      </c>
      <c r="T141" s="62">
        <f t="shared" si="102"/>
        <v>0.06</v>
      </c>
      <c r="U141" s="62">
        <f t="shared" si="103"/>
        <v>0.06</v>
      </c>
      <c r="V141" s="62">
        <f t="shared" si="104"/>
        <v>0.06</v>
      </c>
      <c r="W141" s="62">
        <f t="shared" si="105"/>
        <v>0.06</v>
      </c>
      <c r="X141" s="62">
        <f t="shared" si="106"/>
        <v>0.06</v>
      </c>
      <c r="Y141" s="62">
        <f t="shared" si="107"/>
        <v>0.06</v>
      </c>
      <c r="Z141" s="62">
        <f t="shared" si="108"/>
        <v>0.06</v>
      </c>
      <c r="AA141" s="62">
        <f t="shared" si="109"/>
        <v>0.06</v>
      </c>
      <c r="AB141" s="62">
        <f t="shared" si="110"/>
        <v>0.06</v>
      </c>
      <c r="AC141" s="62">
        <f t="shared" si="111"/>
        <v>0.06</v>
      </c>
    </row>
    <row r="142" spans="1:44" x14ac:dyDescent="0.25">
      <c r="A142" s="30" t="str">
        <f t="shared" si="83"/>
        <v>Opex fix (admin, crew, insurance)</v>
      </c>
      <c r="B142" s="62">
        <f t="shared" si="84"/>
        <v>70000</v>
      </c>
      <c r="C142" s="62">
        <f t="shared" si="85"/>
        <v>70000</v>
      </c>
      <c r="D142" s="62">
        <f t="shared" si="86"/>
        <v>70000</v>
      </c>
      <c r="E142" s="62">
        <f t="shared" si="87"/>
        <v>70000</v>
      </c>
      <c r="F142" s="62">
        <f t="shared" si="88"/>
        <v>70000</v>
      </c>
      <c r="G142" s="62">
        <f t="shared" si="89"/>
        <v>70000</v>
      </c>
      <c r="H142" s="62">
        <f t="shared" si="90"/>
        <v>70000</v>
      </c>
      <c r="I142" s="62">
        <f t="shared" si="91"/>
        <v>70000</v>
      </c>
      <c r="J142" s="62">
        <f t="shared" si="92"/>
        <v>70000</v>
      </c>
      <c r="K142" s="62">
        <f t="shared" si="93"/>
        <v>70000</v>
      </c>
      <c r="L142" s="62">
        <f t="shared" si="94"/>
        <v>70000</v>
      </c>
      <c r="M142" s="62">
        <f t="shared" si="95"/>
        <v>70000</v>
      </c>
      <c r="N142" s="62">
        <f t="shared" si="96"/>
        <v>70000</v>
      </c>
      <c r="O142" s="62">
        <f t="shared" si="97"/>
        <v>70000</v>
      </c>
      <c r="P142" s="62">
        <f t="shared" si="98"/>
        <v>70000</v>
      </c>
      <c r="Q142" s="62">
        <f t="shared" si="99"/>
        <v>70000</v>
      </c>
      <c r="R142" s="62">
        <f t="shared" si="100"/>
        <v>70000</v>
      </c>
      <c r="S142" s="62">
        <f t="shared" si="101"/>
        <v>70000</v>
      </c>
      <c r="T142" s="62">
        <f t="shared" si="102"/>
        <v>70000</v>
      </c>
      <c r="U142" s="62">
        <f t="shared" si="103"/>
        <v>70000</v>
      </c>
      <c r="V142" s="62">
        <f t="shared" si="104"/>
        <v>70000</v>
      </c>
      <c r="W142" s="62">
        <f t="shared" si="105"/>
        <v>70000</v>
      </c>
      <c r="X142" s="62">
        <f t="shared" si="106"/>
        <v>70000</v>
      </c>
      <c r="Y142" s="62">
        <f t="shared" si="107"/>
        <v>70000</v>
      </c>
      <c r="Z142" s="62">
        <f t="shared" si="108"/>
        <v>70000</v>
      </c>
      <c r="AA142" s="62">
        <f t="shared" si="109"/>
        <v>70000</v>
      </c>
      <c r="AB142" s="62">
        <f t="shared" si="110"/>
        <v>70000</v>
      </c>
      <c r="AC142" s="62">
        <f t="shared" si="111"/>
        <v>70000</v>
      </c>
    </row>
    <row r="143" spans="1:44" x14ac:dyDescent="0.25">
      <c r="A143" s="30" t="str">
        <f t="shared" si="83"/>
        <v>Opex maintenance &amp; repair</v>
      </c>
      <c r="B143" s="62">
        <f t="shared" si="84"/>
        <v>15000</v>
      </c>
      <c r="C143" s="62">
        <f t="shared" si="85"/>
        <v>15000</v>
      </c>
      <c r="D143" s="62">
        <f t="shared" si="86"/>
        <v>15000</v>
      </c>
      <c r="E143" s="62">
        <f t="shared" si="87"/>
        <v>15000</v>
      </c>
      <c r="F143" s="62">
        <f t="shared" si="88"/>
        <v>15000</v>
      </c>
      <c r="G143" s="62">
        <f t="shared" si="89"/>
        <v>15000</v>
      </c>
      <c r="H143" s="62">
        <f t="shared" si="90"/>
        <v>15000</v>
      </c>
      <c r="I143" s="62">
        <f t="shared" si="91"/>
        <v>15000</v>
      </c>
      <c r="J143" s="62">
        <f t="shared" si="92"/>
        <v>15000</v>
      </c>
      <c r="K143" s="62">
        <f t="shared" si="93"/>
        <v>15000</v>
      </c>
      <c r="L143" s="62">
        <f t="shared" si="94"/>
        <v>15000</v>
      </c>
      <c r="M143" s="62">
        <f t="shared" si="95"/>
        <v>15000</v>
      </c>
      <c r="N143" s="62">
        <f t="shared" si="96"/>
        <v>15000</v>
      </c>
      <c r="O143" s="62">
        <f t="shared" si="97"/>
        <v>15000</v>
      </c>
      <c r="P143" s="62">
        <f t="shared" si="98"/>
        <v>15000</v>
      </c>
      <c r="Q143" s="62">
        <f t="shared" si="99"/>
        <v>15000</v>
      </c>
      <c r="R143" s="62">
        <f t="shared" si="100"/>
        <v>15000</v>
      </c>
      <c r="S143" s="62">
        <f t="shared" si="101"/>
        <v>15000</v>
      </c>
      <c r="T143" s="62">
        <f t="shared" si="102"/>
        <v>15000</v>
      </c>
      <c r="U143" s="62">
        <f t="shared" si="103"/>
        <v>15000</v>
      </c>
      <c r="V143" s="62">
        <f t="shared" si="104"/>
        <v>15000</v>
      </c>
      <c r="W143" s="62">
        <f t="shared" si="105"/>
        <v>15000</v>
      </c>
      <c r="X143" s="62">
        <f t="shared" si="106"/>
        <v>15000</v>
      </c>
      <c r="Y143" s="62">
        <f t="shared" si="107"/>
        <v>15000</v>
      </c>
      <c r="Z143" s="62">
        <f t="shared" si="108"/>
        <v>15000</v>
      </c>
      <c r="AA143" s="62">
        <f t="shared" si="109"/>
        <v>15000</v>
      </c>
      <c r="AB143" s="62">
        <f t="shared" si="110"/>
        <v>15000</v>
      </c>
      <c r="AC143" s="62">
        <f t="shared" si="111"/>
        <v>15000</v>
      </c>
    </row>
    <row r="144" spans="1:44" x14ac:dyDescent="0.25">
      <c r="A144" s="30" t="str">
        <f t="shared" si="83"/>
        <v>Opex var (mode-fees)</v>
      </c>
      <c r="B144" s="62">
        <f t="shared" si="84"/>
        <v>0.11</v>
      </c>
      <c r="C144" s="62">
        <f t="shared" si="85"/>
        <v>0.11</v>
      </c>
      <c r="D144" s="62">
        <f t="shared" si="86"/>
        <v>0.11</v>
      </c>
      <c r="E144" s="62">
        <f t="shared" si="87"/>
        <v>0.11</v>
      </c>
      <c r="F144" s="62">
        <f t="shared" si="88"/>
        <v>0.11</v>
      </c>
      <c r="G144" s="62">
        <f t="shared" si="89"/>
        <v>0.11</v>
      </c>
      <c r="H144" s="62">
        <f t="shared" si="90"/>
        <v>0.11</v>
      </c>
      <c r="I144" s="62">
        <f t="shared" si="91"/>
        <v>0.11</v>
      </c>
      <c r="J144" s="62">
        <f t="shared" si="92"/>
        <v>0.11</v>
      </c>
      <c r="K144" s="62">
        <f t="shared" si="93"/>
        <v>0.11</v>
      </c>
      <c r="L144" s="62">
        <f t="shared" si="94"/>
        <v>0.11</v>
      </c>
      <c r="M144" s="62">
        <f t="shared" si="95"/>
        <v>0.11</v>
      </c>
      <c r="N144" s="62">
        <f t="shared" si="96"/>
        <v>0.11</v>
      </c>
      <c r="O144" s="62">
        <f t="shared" si="97"/>
        <v>0.11</v>
      </c>
      <c r="P144" s="62">
        <f t="shared" si="98"/>
        <v>0.11</v>
      </c>
      <c r="Q144" s="62">
        <f t="shared" si="99"/>
        <v>0.11</v>
      </c>
      <c r="R144" s="62">
        <f t="shared" si="100"/>
        <v>0.11</v>
      </c>
      <c r="S144" s="62">
        <f t="shared" si="101"/>
        <v>0.11</v>
      </c>
      <c r="T144" s="62">
        <f t="shared" si="102"/>
        <v>0.11</v>
      </c>
      <c r="U144" s="62">
        <f t="shared" si="103"/>
        <v>0.11</v>
      </c>
      <c r="V144" s="62">
        <f t="shared" si="104"/>
        <v>0.11</v>
      </c>
      <c r="W144" s="62">
        <f t="shared" si="105"/>
        <v>0.11</v>
      </c>
      <c r="X144" s="62">
        <f t="shared" si="106"/>
        <v>0.11</v>
      </c>
      <c r="Y144" s="62">
        <f t="shared" si="107"/>
        <v>0.11</v>
      </c>
      <c r="Z144" s="62">
        <f t="shared" si="108"/>
        <v>0.11</v>
      </c>
      <c r="AA144" s="62">
        <f t="shared" si="109"/>
        <v>0.11</v>
      </c>
      <c r="AB144" s="62">
        <f t="shared" si="110"/>
        <v>0.11</v>
      </c>
      <c r="AC144" s="62">
        <f t="shared" si="111"/>
        <v>0.11</v>
      </c>
    </row>
    <row r="145" spans="1:29" x14ac:dyDescent="0.25">
      <c r="A145" s="30" t="str">
        <f t="shared" si="83"/>
        <v>Fuel Economy</v>
      </c>
      <c r="B145" s="62">
        <f t="shared" si="84"/>
        <v>1.499963712475392</v>
      </c>
      <c r="C145" s="62">
        <f t="shared" si="85"/>
        <v>1.4917703325555236</v>
      </c>
      <c r="D145" s="62">
        <f t="shared" si="86"/>
        <v>1.4805375152003362</v>
      </c>
      <c r="E145" s="62">
        <f t="shared" si="87"/>
        <v>1.4654418123350099</v>
      </c>
      <c r="F145" s="62">
        <f t="shared" si="88"/>
        <v>1.4457088124147084</v>
      </c>
      <c r="G145" s="62">
        <f t="shared" si="89"/>
        <v>1.4208584343249755</v>
      </c>
      <c r="H145" s="62">
        <f t="shared" si="90"/>
        <v>1.3910386939475108</v>
      </c>
      <c r="I145" s="62">
        <f t="shared" si="91"/>
        <v>1.3573193171591433</v>
      </c>
      <c r="J145" s="62">
        <f t="shared" si="92"/>
        <v>1.3217219094307857</v>
      </c>
      <c r="K145" s="62">
        <f t="shared" si="93"/>
        <v>1.2868249921034385</v>
      </c>
      <c r="L145" s="62">
        <f t="shared" si="94"/>
        <v>1.2550576099577553</v>
      </c>
      <c r="M145" s="62">
        <f t="shared" si="95"/>
        <v>1.2280598588961356</v>
      </c>
      <c r="N145" s="62">
        <f t="shared" si="96"/>
        <v>1.2064394953190534</v>
      </c>
      <c r="O145" s="62">
        <f t="shared" si="97"/>
        <v>1.1899421983295269</v>
      </c>
      <c r="P145" s="62">
        <f t="shared" si="98"/>
        <v>1.1778153619570939</v>
      </c>
      <c r="Q145" s="62">
        <f t="shared" si="99"/>
        <v>1.1691448493856758</v>
      </c>
      <c r="R145" s="62">
        <f t="shared" si="100"/>
        <v>1.1630681005313779</v>
      </c>
      <c r="S145" s="62">
        <f t="shared" si="101"/>
        <v>1.1588686935668835</v>
      </c>
      <c r="T145" s="62">
        <f t="shared" si="102"/>
        <v>1.1559948301166041</v>
      </c>
      <c r="U145" s="62">
        <f t="shared" si="103"/>
        <v>1.1540412290087201</v>
      </c>
      <c r="V145" s="62">
        <f t="shared" si="104"/>
        <v>1.1527192488775253</v>
      </c>
      <c r="W145" s="62">
        <f t="shared" si="105"/>
        <v>1.151827439700847</v>
      </c>
      <c r="X145" s="62">
        <f t="shared" si="106"/>
        <v>1.1512270781932392</v>
      </c>
      <c r="Y145" s="62">
        <f t="shared" si="107"/>
        <v>1.150823485399427</v>
      </c>
      <c r="Z145" s="62">
        <f t="shared" si="108"/>
        <v>1.1505524266020779</v>
      </c>
      <c r="AA145" s="62">
        <f t="shared" si="109"/>
        <v>1.1503704951156655</v>
      </c>
      <c r="AB145" s="62">
        <f t="shared" si="110"/>
        <v>1.1502484368709109</v>
      </c>
      <c r="AC145" s="62">
        <f t="shared" si="111"/>
        <v>1.1501665711352707</v>
      </c>
    </row>
    <row r="146" spans="1:29" x14ac:dyDescent="0.25">
      <c r="A146" s="30" t="str">
        <f t="shared" si="83"/>
        <v>Fuel Cost</v>
      </c>
      <c r="B146" s="62">
        <f t="shared" si="84"/>
        <v>0.1331013876427829</v>
      </c>
      <c r="C146" s="62">
        <f t="shared" si="85"/>
        <v>0.13284065209015961</v>
      </c>
      <c r="D146" s="62">
        <f t="shared" si="86"/>
        <v>0.13247044498234223</v>
      </c>
      <c r="E146" s="62">
        <f t="shared" si="87"/>
        <v>0.13194719281007408</v>
      </c>
      <c r="F146" s="62">
        <f t="shared" si="88"/>
        <v>0.13121255620046077</v>
      </c>
      <c r="G146" s="62">
        <f t="shared" si="89"/>
        <v>0.13019114463175094</v>
      </c>
      <c r="H146" s="62">
        <f t="shared" si="90"/>
        <v>0.12879082758213251</v>
      </c>
      <c r="I146" s="62">
        <f t="shared" si="91"/>
        <v>0.126908951519354</v>
      </c>
      <c r="J146" s="62">
        <f t="shared" si="92"/>
        <v>0.12444897595358409</v>
      </c>
      <c r="K146" s="62">
        <f t="shared" si="93"/>
        <v>0.12135105251833415</v>
      </c>
      <c r="L146" s="62">
        <f t="shared" si="94"/>
        <v>0.11763363332194038</v>
      </c>
      <c r="M146" s="62">
        <f t="shared" si="95"/>
        <v>0.11343007363373329</v>
      </c>
      <c r="N146" s="62">
        <f t="shared" si="96"/>
        <v>0.10899239291766451</v>
      </c>
      <c r="O146" s="62">
        <f t="shared" si="97"/>
        <v>0.10464203745763898</v>
      </c>
      <c r="P146" s="62">
        <f t="shared" si="98"/>
        <v>0.10068181933659913</v>
      </c>
      <c r="Q146" s="62">
        <f t="shared" si="99"/>
        <v>9.7316197879620536E-2</v>
      </c>
      <c r="R146" s="62">
        <f t="shared" si="100"/>
        <v>9.4620937841233446E-2</v>
      </c>
      <c r="S146" s="62">
        <f t="shared" si="101"/>
        <v>9.2564334807767046E-2</v>
      </c>
      <c r="T146" s="62">
        <f t="shared" si="102"/>
        <v>9.1052566638367527E-2</v>
      </c>
      <c r="U146" s="62">
        <f t="shared" si="103"/>
        <v>8.9971674267489546E-2</v>
      </c>
      <c r="V146" s="62">
        <f t="shared" si="104"/>
        <v>8.9214128341311663E-2</v>
      </c>
      <c r="W146" s="62">
        <f t="shared" si="105"/>
        <v>8.8690617543911193E-2</v>
      </c>
      <c r="X146" s="62">
        <f t="shared" si="106"/>
        <v>8.833235301770638E-2</v>
      </c>
      <c r="Y146" s="62">
        <f t="shared" si="107"/>
        <v>8.8088811183719362E-2</v>
      </c>
      <c r="Z146" s="62">
        <f t="shared" si="108"/>
        <v>8.7924009134648928E-2</v>
      </c>
      <c r="AA146" s="62">
        <f t="shared" si="109"/>
        <v>8.7812833500289317E-2</v>
      </c>
      <c r="AB146" s="62">
        <f t="shared" si="110"/>
        <v>8.7737990615512101E-2</v>
      </c>
      <c r="AC146" s="62">
        <f t="shared" si="111"/>
        <v>8.768767751485286E-2</v>
      </c>
    </row>
    <row r="147" spans="1:29" x14ac:dyDescent="0.25">
      <c r="A147" s="30" t="str">
        <f t="shared" ref="A147" si="112">A127</f>
        <v>Emission Cost</v>
      </c>
      <c r="B147" s="66">
        <f>$B127+($C127-$B127)*(1-Q127)</f>
        <v>3.5122691839304448E-3</v>
      </c>
      <c r="C147" s="66">
        <f t="shared" ref="C147" si="113">$B127+($C127-$B127)*(1-R127)</f>
        <v>3.5089246478970256E-3</v>
      </c>
      <c r="D147" s="66">
        <f t="shared" ref="D147" si="114">$B127+($C127-$B127)*(1-S127)</f>
        <v>3.5041370190587195E-3</v>
      </c>
      <c r="E147" s="66">
        <f t="shared" ref="E147" si="115">$B127+($C127-$B127)*(1-T127)</f>
        <v>3.4972879793244123E-3</v>
      </c>
      <c r="F147" s="66">
        <f t="shared" ref="F147" si="116">$B127+($C127-$B127)*(1-U127)</f>
        <v>3.4874991902284352E-3</v>
      </c>
      <c r="G147" s="66">
        <f t="shared" ref="G147" si="117">$B127+($C127-$B127)*(1-V127)</f>
        <v>3.4735284727434282E-3</v>
      </c>
      <c r="H147" s="66">
        <f t="shared" ref="H147" si="118">$B127+($C127-$B127)*(1-W127)</f>
        <v>3.4536307436526109E-3</v>
      </c>
      <c r="I147" s="66">
        <f t="shared" ref="I147" si="119">$B127+($C127-$B127)*(1-X127)</f>
        <v>3.4253788207186963E-3</v>
      </c>
      <c r="J147" s="66">
        <f t="shared" ref="J147" si="120">$B127+($C127-$B127)*(1-Y127)</f>
        <v>3.3854474424880663E-3</v>
      </c>
      <c r="K147" s="66">
        <f t="shared" ref="K147" si="121">$B127+($C127-$B127)*(1-Z127)</f>
        <v>3.3293845078740006E-3</v>
      </c>
      <c r="L147" s="66">
        <f t="shared" ref="L147" si="122">$B127+($C127-$B127)*(1-AA127)</f>
        <v>3.251436677284981E-3</v>
      </c>
      <c r="M147" s="66">
        <f t="shared" ref="M147" si="123">$B127+($C127-$B127)*(1-AB127)</f>
        <v>3.1445731175815781E-3</v>
      </c>
      <c r="N147" s="66">
        <f t="shared" ref="N147" si="124">$B127+($C127-$B127)*(1-AC127)</f>
        <v>3.0009599443763112E-3</v>
      </c>
      <c r="O147" s="66">
        <f t="shared" ref="O147" si="125">$B127+($C127-$B127)*(1-AD127)</f>
        <v>2.813229782972361E-3</v>
      </c>
      <c r="P147" s="66">
        <f t="shared" ref="P147" si="126">$B127+($C127-$B127)*(1-AE127)</f>
        <v>2.5768153751997672E-3</v>
      </c>
      <c r="Q147" s="66">
        <f t="shared" ref="Q147" si="127">$B127+($C127-$B127)*(1-AF127)</f>
        <v>2.2931248721492917E-3</v>
      </c>
      <c r="R147" s="66">
        <f t="shared" ref="R147" si="128">$B127+($C127-$B127)*(1-AG127)</f>
        <v>1.9723351254059053E-3</v>
      </c>
      <c r="S147" s="66">
        <f t="shared" ref="S147" si="129">$B127+($C127-$B127)*(1-AH127)</f>
        <v>1.6336787059361244E-3</v>
      </c>
      <c r="T147" s="66">
        <f t="shared" ref="T147" si="130">$B127+($C127-$B127)*(1-AI127)</f>
        <v>1.3016864113624426E-3</v>
      </c>
      <c r="U147" s="66">
        <f t="shared" ref="U147" si="131">$B127+($C127-$B127)*(1-AJ127)</f>
        <v>9.9946699203053851E-4</v>
      </c>
      <c r="V147" s="66">
        <f t="shared" ref="V147" si="132">$B127+($C127-$B127)*(1-AK127)</f>
        <v>7.4262352247134438E-4</v>
      </c>
      <c r="W147" s="66">
        <f t="shared" ref="W147" si="133">$B127+($C127-$B127)*(1-AL127)</f>
        <v>5.3693790141369664E-4</v>
      </c>
      <c r="X147" s="66">
        <f t="shared" ref="X147" si="134">$B127+($C127-$B127)*(1-AM127)</f>
        <v>3.7999064356739184E-4</v>
      </c>
      <c r="Y147" s="66">
        <f t="shared" ref="Y147" si="135">$B127+($C127-$B127)*(1-AN127)</f>
        <v>2.646218218620832E-4</v>
      </c>
      <c r="Z147" s="66">
        <f t="shared" ref="Z147" si="136">$B127+($C127-$B127)*(1-AO127)</f>
        <v>1.8213478334480789E-4</v>
      </c>
      <c r="AA147" s="66">
        <f t="shared" ref="AA147" si="137">$B127+($C127-$B127)*(1-AP127)</f>
        <v>1.2432355100121771E-4</v>
      </c>
      <c r="AB147" s="66">
        <f t="shared" ref="AB147" si="138">$B127+($C127-$B127)*(1-AQ127)</f>
        <v>8.4372436095756821E-5</v>
      </c>
      <c r="AC147" s="66">
        <f t="shared" ref="AC147" si="139">$B127+($C127-$B127)*(1-AR127)</f>
        <v>5.7031897325531943E-5</v>
      </c>
    </row>
    <row r="148" spans="1:29" x14ac:dyDescent="0.25">
      <c r="A148" s="30" t="str">
        <f>A128</f>
        <v>Lifetime vehicle</v>
      </c>
      <c r="B148" s="62">
        <f>$B128+($C128-$B128)*(1-Q128)</f>
        <v>8</v>
      </c>
      <c r="C148" s="62">
        <f t="shared" ref="C148:L150" si="140">$B128+($C128-$B128)*(1-R128)</f>
        <v>8</v>
      </c>
      <c r="D148" s="62">
        <f t="shared" si="140"/>
        <v>8</v>
      </c>
      <c r="E148" s="62">
        <f t="shared" si="140"/>
        <v>8</v>
      </c>
      <c r="F148" s="62">
        <f t="shared" si="140"/>
        <v>8</v>
      </c>
      <c r="G148" s="62">
        <f t="shared" si="140"/>
        <v>8</v>
      </c>
      <c r="H148" s="62">
        <f t="shared" si="140"/>
        <v>8</v>
      </c>
      <c r="I148" s="62">
        <f t="shared" si="140"/>
        <v>8</v>
      </c>
      <c r="J148" s="62">
        <f t="shared" si="140"/>
        <v>8</v>
      </c>
      <c r="K148" s="62">
        <f t="shared" si="140"/>
        <v>8</v>
      </c>
      <c r="L148" s="62">
        <f t="shared" si="140"/>
        <v>8</v>
      </c>
      <c r="M148" s="62">
        <f t="shared" ref="M148:V150" si="141">$B128+($C128-$B128)*(1-AB128)</f>
        <v>8</v>
      </c>
      <c r="N148" s="62">
        <f t="shared" si="141"/>
        <v>8</v>
      </c>
      <c r="O148" s="62">
        <f t="shared" si="141"/>
        <v>8</v>
      </c>
      <c r="P148" s="62">
        <f t="shared" si="141"/>
        <v>8</v>
      </c>
      <c r="Q148" s="62">
        <f t="shared" si="141"/>
        <v>8</v>
      </c>
      <c r="R148" s="62">
        <f t="shared" si="141"/>
        <v>8</v>
      </c>
      <c r="S148" s="62">
        <f t="shared" si="141"/>
        <v>8</v>
      </c>
      <c r="T148" s="62">
        <f t="shared" si="141"/>
        <v>8</v>
      </c>
      <c r="U148" s="62">
        <f t="shared" si="141"/>
        <v>8</v>
      </c>
      <c r="V148" s="62">
        <f t="shared" si="141"/>
        <v>8</v>
      </c>
      <c r="W148" s="62">
        <f t="shared" ref="W148:AC150" si="142">$B128+($C128-$B128)*(1-AL128)</f>
        <v>8</v>
      </c>
      <c r="X148" s="62">
        <f t="shared" si="142"/>
        <v>8</v>
      </c>
      <c r="Y148" s="62">
        <f t="shared" si="142"/>
        <v>8</v>
      </c>
      <c r="Z148" s="62">
        <f t="shared" si="142"/>
        <v>8</v>
      </c>
      <c r="AA148" s="62">
        <f t="shared" si="142"/>
        <v>8</v>
      </c>
      <c r="AB148" s="62">
        <f t="shared" si="142"/>
        <v>8</v>
      </c>
      <c r="AC148" s="62">
        <f t="shared" si="142"/>
        <v>8</v>
      </c>
    </row>
    <row r="149" spans="1:29" x14ac:dyDescent="0.25">
      <c r="A149" s="30" t="str">
        <f>A129</f>
        <v>Lifetime costumization</v>
      </c>
      <c r="B149" s="62">
        <f>$B129+($C129-$B129)*(1-Q129)</f>
        <v>10</v>
      </c>
      <c r="C149" s="62">
        <f t="shared" si="140"/>
        <v>10</v>
      </c>
      <c r="D149" s="62">
        <f t="shared" si="140"/>
        <v>10</v>
      </c>
      <c r="E149" s="62">
        <f t="shared" si="140"/>
        <v>10</v>
      </c>
      <c r="F149" s="62">
        <f t="shared" si="140"/>
        <v>10</v>
      </c>
      <c r="G149" s="62">
        <f t="shared" si="140"/>
        <v>10</v>
      </c>
      <c r="H149" s="62">
        <f t="shared" si="140"/>
        <v>10</v>
      </c>
      <c r="I149" s="62">
        <f t="shared" si="140"/>
        <v>10</v>
      </c>
      <c r="J149" s="62">
        <f t="shared" si="140"/>
        <v>10</v>
      </c>
      <c r="K149" s="62">
        <f t="shared" si="140"/>
        <v>10</v>
      </c>
      <c r="L149" s="62">
        <f t="shared" si="140"/>
        <v>10</v>
      </c>
      <c r="M149" s="62">
        <f t="shared" si="141"/>
        <v>10</v>
      </c>
      <c r="N149" s="62">
        <f t="shared" si="141"/>
        <v>10</v>
      </c>
      <c r="O149" s="62">
        <f t="shared" si="141"/>
        <v>10</v>
      </c>
      <c r="P149" s="62">
        <f t="shared" si="141"/>
        <v>10</v>
      </c>
      <c r="Q149" s="62">
        <f t="shared" si="141"/>
        <v>10</v>
      </c>
      <c r="R149" s="62">
        <f t="shared" si="141"/>
        <v>10</v>
      </c>
      <c r="S149" s="62">
        <f t="shared" si="141"/>
        <v>10</v>
      </c>
      <c r="T149" s="62">
        <f t="shared" si="141"/>
        <v>10</v>
      </c>
      <c r="U149" s="62">
        <f t="shared" si="141"/>
        <v>10</v>
      </c>
      <c r="V149" s="62">
        <f t="shared" si="141"/>
        <v>10</v>
      </c>
      <c r="W149" s="62">
        <f t="shared" si="142"/>
        <v>10</v>
      </c>
      <c r="X149" s="62">
        <f t="shared" si="142"/>
        <v>10</v>
      </c>
      <c r="Y149" s="62">
        <f t="shared" si="142"/>
        <v>10</v>
      </c>
      <c r="Z149" s="62">
        <f t="shared" si="142"/>
        <v>10</v>
      </c>
      <c r="AA149" s="62">
        <f t="shared" si="142"/>
        <v>10</v>
      </c>
      <c r="AB149" s="62">
        <f t="shared" si="142"/>
        <v>10</v>
      </c>
      <c r="AC149" s="62">
        <f t="shared" si="142"/>
        <v>10</v>
      </c>
    </row>
    <row r="150" spans="1:29" x14ac:dyDescent="0.25">
      <c r="A150" s="30" t="str">
        <f>A130</f>
        <v>Tonnage .</v>
      </c>
      <c r="B150" s="62">
        <f>$B130+($C130-$B130)*(1-Q130)</f>
        <v>25</v>
      </c>
      <c r="C150" s="62">
        <f t="shared" si="140"/>
        <v>25</v>
      </c>
      <c r="D150" s="62">
        <f t="shared" si="140"/>
        <v>25</v>
      </c>
      <c r="E150" s="62">
        <f t="shared" si="140"/>
        <v>25</v>
      </c>
      <c r="F150" s="62">
        <f t="shared" si="140"/>
        <v>25</v>
      </c>
      <c r="G150" s="62">
        <f t="shared" si="140"/>
        <v>25</v>
      </c>
      <c r="H150" s="62">
        <f t="shared" si="140"/>
        <v>25</v>
      </c>
      <c r="I150" s="62">
        <f t="shared" si="140"/>
        <v>25</v>
      </c>
      <c r="J150" s="62">
        <f t="shared" si="140"/>
        <v>25</v>
      </c>
      <c r="K150" s="62">
        <f t="shared" si="140"/>
        <v>25</v>
      </c>
      <c r="L150" s="62">
        <f t="shared" si="140"/>
        <v>25</v>
      </c>
      <c r="M150" s="62">
        <f t="shared" si="141"/>
        <v>25</v>
      </c>
      <c r="N150" s="62">
        <f t="shared" si="141"/>
        <v>25</v>
      </c>
      <c r="O150" s="62">
        <f t="shared" si="141"/>
        <v>25</v>
      </c>
      <c r="P150" s="62">
        <f t="shared" si="141"/>
        <v>25</v>
      </c>
      <c r="Q150" s="62">
        <f t="shared" si="141"/>
        <v>25</v>
      </c>
      <c r="R150" s="62">
        <f t="shared" si="141"/>
        <v>25</v>
      </c>
      <c r="S150" s="62">
        <f t="shared" si="141"/>
        <v>25</v>
      </c>
      <c r="T150" s="62">
        <f t="shared" si="141"/>
        <v>25</v>
      </c>
      <c r="U150" s="62">
        <f t="shared" si="141"/>
        <v>25</v>
      </c>
      <c r="V150" s="62">
        <f t="shared" si="141"/>
        <v>25</v>
      </c>
      <c r="W150" s="62">
        <f t="shared" si="142"/>
        <v>25</v>
      </c>
      <c r="X150" s="62">
        <f t="shared" si="142"/>
        <v>25</v>
      </c>
      <c r="Y150" s="62">
        <f t="shared" si="142"/>
        <v>25</v>
      </c>
      <c r="Z150" s="62">
        <f t="shared" si="142"/>
        <v>25</v>
      </c>
      <c r="AA150" s="62">
        <f t="shared" si="142"/>
        <v>25</v>
      </c>
      <c r="AB150" s="62">
        <f t="shared" si="142"/>
        <v>25</v>
      </c>
      <c r="AC150" s="62">
        <f t="shared" si="142"/>
        <v>25</v>
      </c>
    </row>
    <row r="151" spans="1:29" x14ac:dyDescent="0.25">
      <c r="A151" s="30" t="str">
        <f>A131</f>
        <v>Market failure (av. utilization)</v>
      </c>
      <c r="B151" s="62">
        <f t="shared" ref="B151:K152" si="143">($B131+($C131-$B131)*(1-Q131))*B$44</f>
        <v>16</v>
      </c>
      <c r="C151" s="62">
        <f t="shared" si="143"/>
        <v>16</v>
      </c>
      <c r="D151" s="62">
        <f t="shared" si="143"/>
        <v>16</v>
      </c>
      <c r="E151" s="62">
        <f t="shared" si="143"/>
        <v>16</v>
      </c>
      <c r="F151" s="62">
        <f t="shared" si="143"/>
        <v>16</v>
      </c>
      <c r="G151" s="62">
        <f t="shared" si="143"/>
        <v>16</v>
      </c>
      <c r="H151" s="62">
        <f t="shared" si="143"/>
        <v>16</v>
      </c>
      <c r="I151" s="62">
        <f t="shared" si="143"/>
        <v>16</v>
      </c>
      <c r="J151" s="62">
        <f t="shared" si="143"/>
        <v>16</v>
      </c>
      <c r="K151" s="62">
        <f t="shared" si="143"/>
        <v>16</v>
      </c>
      <c r="L151" s="62">
        <f t="shared" ref="L151:U152" si="144">($B131+($C131-$B131)*(1-AA131))*L$44</f>
        <v>16</v>
      </c>
      <c r="M151" s="62">
        <f t="shared" si="144"/>
        <v>16</v>
      </c>
      <c r="N151" s="62">
        <f t="shared" si="144"/>
        <v>16</v>
      </c>
      <c r="O151" s="62">
        <f t="shared" si="144"/>
        <v>16</v>
      </c>
      <c r="P151" s="62">
        <f t="shared" si="144"/>
        <v>16</v>
      </c>
      <c r="Q151" s="62">
        <f t="shared" si="144"/>
        <v>16</v>
      </c>
      <c r="R151" s="62">
        <f t="shared" si="144"/>
        <v>16</v>
      </c>
      <c r="S151" s="62">
        <f t="shared" si="144"/>
        <v>16</v>
      </c>
      <c r="T151" s="62">
        <f t="shared" si="144"/>
        <v>16</v>
      </c>
      <c r="U151" s="62">
        <f t="shared" si="144"/>
        <v>16</v>
      </c>
      <c r="V151" s="62">
        <f t="shared" ref="V151:AC152" si="145">($B131+($C131-$B131)*(1-AK131))*V$44</f>
        <v>16</v>
      </c>
      <c r="W151" s="62">
        <f t="shared" si="145"/>
        <v>16</v>
      </c>
      <c r="X151" s="62">
        <f t="shared" si="145"/>
        <v>16</v>
      </c>
      <c r="Y151" s="62">
        <f t="shared" si="145"/>
        <v>16</v>
      </c>
      <c r="Z151" s="62">
        <f t="shared" si="145"/>
        <v>16</v>
      </c>
      <c r="AA151" s="62">
        <f t="shared" si="145"/>
        <v>16</v>
      </c>
      <c r="AB151" s="62">
        <f t="shared" si="145"/>
        <v>16</v>
      </c>
      <c r="AC151" s="62">
        <f t="shared" si="145"/>
        <v>16</v>
      </c>
    </row>
    <row r="152" spans="1:29" x14ac:dyDescent="0.25">
      <c r="A152" s="30" t="s">
        <v>73</v>
      </c>
      <c r="B152" s="62">
        <f t="shared" si="143"/>
        <v>2.4834973269685467</v>
      </c>
      <c r="C152" s="62">
        <f t="shared" si="143"/>
        <v>2.4764313720357283</v>
      </c>
      <c r="D152" s="62">
        <f t="shared" si="143"/>
        <v>2.4663987289484006</v>
      </c>
      <c r="E152" s="62">
        <f t="shared" si="143"/>
        <v>2.4522185520199096</v>
      </c>
      <c r="F152" s="62">
        <f t="shared" si="143"/>
        <v>2.4323098394438922</v>
      </c>
      <c r="G152" s="62">
        <f t="shared" si="143"/>
        <v>2.4046295018767689</v>
      </c>
      <c r="H152" s="62">
        <f t="shared" si="143"/>
        <v>2.3666807945957307</v>
      </c>
      <c r="I152" s="62">
        <f t="shared" si="143"/>
        <v>2.3156817984290878</v>
      </c>
      <c r="J152" s="62">
        <f t="shared" si="143"/>
        <v>2.2490162581577988</v>
      </c>
      <c r="K152" s="62">
        <f t="shared" si="143"/>
        <v>2.1650622781249176</v>
      </c>
      <c r="L152" s="62">
        <f t="shared" si="144"/>
        <v>2.0643199119848337</v>
      </c>
      <c r="M152" s="62">
        <f t="shared" si="144"/>
        <v>1.9504030985106198</v>
      </c>
      <c r="N152" s="62">
        <f t="shared" si="144"/>
        <v>1.8301415859148171</v>
      </c>
      <c r="O152" s="62">
        <f t="shared" si="144"/>
        <v>1.7122465949440495</v>
      </c>
      <c r="P152" s="62">
        <f t="shared" si="144"/>
        <v>1.6049243579653898</v>
      </c>
      <c r="Q152" s="62">
        <f t="shared" si="144"/>
        <v>1.5137157395139718</v>
      </c>
      <c r="R152" s="62">
        <f t="shared" si="144"/>
        <v>1.4406739706724776</v>
      </c>
      <c r="S152" s="62">
        <f t="shared" si="144"/>
        <v>1.3849398592213749</v>
      </c>
      <c r="T152" s="62">
        <f t="shared" si="144"/>
        <v>1.3439708174226148</v>
      </c>
      <c r="U152" s="62">
        <f t="shared" si="144"/>
        <v>1.3146785452218777</v>
      </c>
      <c r="V152" s="62">
        <f t="shared" si="145"/>
        <v>1.2941489882816826</v>
      </c>
      <c r="W152" s="62">
        <f t="shared" si="145"/>
        <v>1.2799618025908228</v>
      </c>
      <c r="X152" s="62">
        <f t="shared" si="145"/>
        <v>1.2702528044479873</v>
      </c>
      <c r="Y152" s="62">
        <f t="shared" si="145"/>
        <v>1.2636528007051355</v>
      </c>
      <c r="Z152" s="62">
        <f t="shared" si="145"/>
        <v>1.2591866516132615</v>
      </c>
      <c r="AA152" s="62">
        <f t="shared" si="145"/>
        <v>1.2561737827731323</v>
      </c>
      <c r="AB152" s="62">
        <f t="shared" si="145"/>
        <v>1.2541455344366195</v>
      </c>
      <c r="AC152" s="62">
        <f t="shared" si="145"/>
        <v>1.2527820452683351</v>
      </c>
    </row>
    <row r="153" spans="1:29" x14ac:dyDescent="0.25">
      <c r="A153" s="30" t="str">
        <f>A133</f>
        <v>Annual Mileage</v>
      </c>
      <c r="B153" s="62">
        <f t="shared" ref="B153:AC153" si="146">$B133+($C133-$B133)*(1-Q133)</f>
        <v>110000</v>
      </c>
      <c r="C153" s="62">
        <f t="shared" si="146"/>
        <v>110000</v>
      </c>
      <c r="D153" s="62">
        <f t="shared" si="146"/>
        <v>110000</v>
      </c>
      <c r="E153" s="62">
        <f t="shared" si="146"/>
        <v>110000</v>
      </c>
      <c r="F153" s="62">
        <f t="shared" si="146"/>
        <v>110000</v>
      </c>
      <c r="G153" s="62">
        <f t="shared" si="146"/>
        <v>110000</v>
      </c>
      <c r="H153" s="62">
        <f t="shared" si="146"/>
        <v>110000</v>
      </c>
      <c r="I153" s="62">
        <f t="shared" si="146"/>
        <v>110000</v>
      </c>
      <c r="J153" s="62">
        <f t="shared" si="146"/>
        <v>110000</v>
      </c>
      <c r="K153" s="62">
        <f t="shared" si="146"/>
        <v>110000</v>
      </c>
      <c r="L153" s="62">
        <f t="shared" si="146"/>
        <v>110000</v>
      </c>
      <c r="M153" s="62">
        <f t="shared" si="146"/>
        <v>110000</v>
      </c>
      <c r="N153" s="62">
        <f t="shared" si="146"/>
        <v>110000</v>
      </c>
      <c r="O153" s="62">
        <f t="shared" si="146"/>
        <v>110000</v>
      </c>
      <c r="P153" s="62">
        <f t="shared" si="146"/>
        <v>110000</v>
      </c>
      <c r="Q153" s="62">
        <f t="shared" si="146"/>
        <v>110000</v>
      </c>
      <c r="R153" s="62">
        <f t="shared" si="146"/>
        <v>110000</v>
      </c>
      <c r="S153" s="62">
        <f t="shared" si="146"/>
        <v>110000</v>
      </c>
      <c r="T153" s="62">
        <f t="shared" si="146"/>
        <v>110000</v>
      </c>
      <c r="U153" s="62">
        <f t="shared" si="146"/>
        <v>110000</v>
      </c>
      <c r="V153" s="62">
        <f t="shared" si="146"/>
        <v>110000</v>
      </c>
      <c r="W153" s="62">
        <f t="shared" si="146"/>
        <v>110000</v>
      </c>
      <c r="X153" s="62">
        <f t="shared" si="146"/>
        <v>110000</v>
      </c>
      <c r="Y153" s="62">
        <f t="shared" si="146"/>
        <v>110000</v>
      </c>
      <c r="Z153" s="62">
        <f t="shared" si="146"/>
        <v>110000</v>
      </c>
      <c r="AA153" s="62">
        <f t="shared" si="146"/>
        <v>110000</v>
      </c>
      <c r="AB153" s="62">
        <f t="shared" si="146"/>
        <v>110000</v>
      </c>
      <c r="AC153" s="62">
        <f t="shared" si="146"/>
        <v>110000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62190.665101367747</v>
      </c>
      <c r="C156" s="63">
        <f t="shared" ref="C156:AC156" si="147">((1+C141)^C148)*C141/(((1+C141)^C148)-1)*(C137)</f>
        <v>61281.329133767969</v>
      </c>
      <c r="D156" s="63">
        <f t="shared" si="147"/>
        <v>60034.66354051487</v>
      </c>
      <c r="E156" s="63">
        <f t="shared" si="147"/>
        <v>58359.278570466915</v>
      </c>
      <c r="F156" s="63">
        <f t="shared" si="147"/>
        <v>56169.226754041214</v>
      </c>
      <c r="G156" s="63">
        <f t="shared" si="147"/>
        <v>53411.226658055137</v>
      </c>
      <c r="H156" s="63">
        <f t="shared" si="147"/>
        <v>50101.705711276991</v>
      </c>
      <c r="I156" s="63">
        <f t="shared" si="147"/>
        <v>46359.3866172536</v>
      </c>
      <c r="J156" s="63">
        <f t="shared" si="147"/>
        <v>42408.635704041997</v>
      </c>
      <c r="K156" s="63">
        <f t="shared" si="147"/>
        <v>38535.628179130072</v>
      </c>
      <c r="L156" s="63">
        <f t="shared" si="147"/>
        <v>35009.949708941356</v>
      </c>
      <c r="M156" s="63">
        <f t="shared" si="147"/>
        <v>32013.625075549993</v>
      </c>
      <c r="N156" s="63">
        <f t="shared" si="147"/>
        <v>29614.105655542335</v>
      </c>
      <c r="O156" s="63">
        <f t="shared" si="147"/>
        <v>27783.165839804766</v>
      </c>
      <c r="P156" s="63">
        <f t="shared" si="147"/>
        <v>26437.27823365216</v>
      </c>
      <c r="Q156" s="63">
        <f t="shared" si="147"/>
        <v>25474.988065757298</v>
      </c>
      <c r="R156" s="63">
        <f t="shared" si="147"/>
        <v>24800.564768738692</v>
      </c>
      <c r="S156" s="63">
        <f t="shared" si="147"/>
        <v>24334.496817203359</v>
      </c>
      <c r="T156" s="63">
        <f t="shared" si="147"/>
        <v>24015.543292910865</v>
      </c>
      <c r="U156" s="63">
        <f t="shared" si="147"/>
        <v>23798.724376771759</v>
      </c>
      <c r="V156" s="63">
        <f t="shared" si="147"/>
        <v>23652.005428852281</v>
      </c>
      <c r="W156" s="63">
        <f t="shared" si="147"/>
        <v>23553.028673408226</v>
      </c>
      <c r="X156" s="63">
        <f t="shared" si="147"/>
        <v>23486.398013318085</v>
      </c>
      <c r="Y156" s="63">
        <f t="shared" si="147"/>
        <v>23441.605577563019</v>
      </c>
      <c r="Z156" s="63">
        <f t="shared" si="147"/>
        <v>23411.522325452843</v>
      </c>
      <c r="AA156" s="63">
        <f t="shared" si="147"/>
        <v>23391.330799385243</v>
      </c>
      <c r="AB156" s="63">
        <f t="shared" si="147"/>
        <v>23377.784258985215</v>
      </c>
      <c r="AC156" s="63">
        <f t="shared" si="147"/>
        <v>23368.698453290883</v>
      </c>
    </row>
    <row r="157" spans="1:29" x14ac:dyDescent="0.25">
      <c r="A157" s="30" t="str">
        <f>A138</f>
        <v>Residual value (vehicle)</v>
      </c>
      <c r="B157" s="62">
        <f>((1+B141)^B148)*B141/(((1+B141)^B148)-1)*(B138)</f>
        <v>-9455.0461314377717</v>
      </c>
      <c r="C157" s="62">
        <f t="shared" ref="C157:AC157" si="148">((1+C141)^C148)*C141/(((1+C141)^C148)-1)*(C138)</f>
        <v>-9370.3530756319105</v>
      </c>
      <c r="D157" s="62">
        <f t="shared" si="148"/>
        <v>-9254.2420644955928</v>
      </c>
      <c r="E157" s="62">
        <f t="shared" si="148"/>
        <v>-9098.2013074813221</v>
      </c>
      <c r="F157" s="62">
        <f t="shared" si="148"/>
        <v>-8894.2258932063796</v>
      </c>
      <c r="G157" s="62">
        <f t="shared" si="148"/>
        <v>-8637.353335246893</v>
      </c>
      <c r="H157" s="62">
        <f t="shared" si="148"/>
        <v>-8329.1136392234366</v>
      </c>
      <c r="I157" s="62">
        <f t="shared" si="148"/>
        <v>-7980.5643118389062</v>
      </c>
      <c r="J157" s="62">
        <f t="shared" si="148"/>
        <v>-7612.6022169809621</v>
      </c>
      <c r="K157" s="62">
        <f t="shared" si="148"/>
        <v>-7251.8809278960271</v>
      </c>
      <c r="L157" s="62">
        <f t="shared" si="148"/>
        <v>-6923.5089135157077</v>
      </c>
      <c r="M157" s="62">
        <f t="shared" si="148"/>
        <v>-6644.4394623665112</v>
      </c>
      <c r="N157" s="62">
        <f t="shared" si="148"/>
        <v>-6420.9548105030526</v>
      </c>
      <c r="O157" s="62">
        <f t="shared" si="148"/>
        <v>-6250.4261021745533</v>
      </c>
      <c r="P157" s="62">
        <f t="shared" si="148"/>
        <v>-6125.0738251309276</v>
      </c>
      <c r="Q157" s="62">
        <f t="shared" si="148"/>
        <v>-6035.4487604740543</v>
      </c>
      <c r="R157" s="62">
        <f t="shared" si="148"/>
        <v>-5972.6348259478109</v>
      </c>
      <c r="S157" s="62">
        <f t="shared" si="148"/>
        <v>-5929.226536344031</v>
      </c>
      <c r="T157" s="62">
        <f t="shared" si="148"/>
        <v>-5899.5200806501216</v>
      </c>
      <c r="U157" s="62">
        <f t="shared" si="148"/>
        <v>-5879.3261619901059</v>
      </c>
      <c r="V157" s="62">
        <f t="shared" si="148"/>
        <v>-5865.6611619387841</v>
      </c>
      <c r="W157" s="62">
        <f t="shared" si="148"/>
        <v>-5856.442738637621</v>
      </c>
      <c r="X157" s="62">
        <f t="shared" si="148"/>
        <v>-5850.2369418645203</v>
      </c>
      <c r="Y157" s="62">
        <f t="shared" si="148"/>
        <v>-5846.0650973579204</v>
      </c>
      <c r="Z157" s="62">
        <f t="shared" si="148"/>
        <v>-5843.2632258378535</v>
      </c>
      <c r="AA157" s="62">
        <f t="shared" si="148"/>
        <v>-5841.3826425276375</v>
      </c>
      <c r="AB157" s="62">
        <f t="shared" si="148"/>
        <v>-5840.1209549413597</v>
      </c>
      <c r="AC157" s="62">
        <f t="shared" si="148"/>
        <v>-5839.2747279404175</v>
      </c>
    </row>
    <row r="158" spans="1:29" x14ac:dyDescent="0.25">
      <c r="A158" s="30" t="str">
        <f>A139</f>
        <v>Capex costumization</v>
      </c>
      <c r="B158" s="62">
        <f>((1+B141)^B149)*B141/(((1+B141)^B149)-1)*(B139)</f>
        <v>8152.0774932230233</v>
      </c>
      <c r="C158" s="62">
        <f t="shared" ref="C158:AC158" si="149">((1+C141)^C149)*C141/(((1+C141)^C149)-1)*(C139)</f>
        <v>8152.0774932230233</v>
      </c>
      <c r="D158" s="62">
        <f t="shared" si="149"/>
        <v>8152.0774932230233</v>
      </c>
      <c r="E158" s="62">
        <f t="shared" si="149"/>
        <v>8152.0774932230233</v>
      </c>
      <c r="F158" s="62">
        <f t="shared" si="149"/>
        <v>8152.0774932230233</v>
      </c>
      <c r="G158" s="62">
        <f t="shared" si="149"/>
        <v>8152.0774932230233</v>
      </c>
      <c r="H158" s="62">
        <f t="shared" si="149"/>
        <v>8152.0774932230233</v>
      </c>
      <c r="I158" s="62">
        <f t="shared" si="149"/>
        <v>8152.0774932230233</v>
      </c>
      <c r="J158" s="62">
        <f t="shared" si="149"/>
        <v>8152.0774932230233</v>
      </c>
      <c r="K158" s="62">
        <f t="shared" si="149"/>
        <v>8152.0774932230233</v>
      </c>
      <c r="L158" s="62">
        <f t="shared" si="149"/>
        <v>8152.0774932230233</v>
      </c>
      <c r="M158" s="62">
        <f t="shared" si="149"/>
        <v>8152.0774932230233</v>
      </c>
      <c r="N158" s="62">
        <f t="shared" si="149"/>
        <v>8152.0774932230233</v>
      </c>
      <c r="O158" s="62">
        <f t="shared" si="149"/>
        <v>8152.0774932230233</v>
      </c>
      <c r="P158" s="62">
        <f t="shared" si="149"/>
        <v>8152.0774932230233</v>
      </c>
      <c r="Q158" s="62">
        <f t="shared" si="149"/>
        <v>8152.0774932230233</v>
      </c>
      <c r="R158" s="62">
        <f t="shared" si="149"/>
        <v>8152.0774932230233</v>
      </c>
      <c r="S158" s="62">
        <f t="shared" si="149"/>
        <v>8152.0774932230233</v>
      </c>
      <c r="T158" s="62">
        <f t="shared" si="149"/>
        <v>8152.0774932230233</v>
      </c>
      <c r="U158" s="62">
        <f t="shared" si="149"/>
        <v>8152.0774932230233</v>
      </c>
      <c r="V158" s="62">
        <f t="shared" si="149"/>
        <v>8152.0774932230233</v>
      </c>
      <c r="W158" s="62">
        <f t="shared" si="149"/>
        <v>8152.0774932230233</v>
      </c>
      <c r="X158" s="62">
        <f t="shared" si="149"/>
        <v>8152.0774932230233</v>
      </c>
      <c r="Y158" s="62">
        <f t="shared" si="149"/>
        <v>8152.0774932230233</v>
      </c>
      <c r="Z158" s="62">
        <f t="shared" si="149"/>
        <v>8152.0774932230233</v>
      </c>
      <c r="AA158" s="62">
        <f t="shared" si="149"/>
        <v>8152.0774932230233</v>
      </c>
      <c r="AB158" s="62">
        <f t="shared" si="149"/>
        <v>8152.0774932230233</v>
      </c>
      <c r="AC158" s="62">
        <f t="shared" si="149"/>
        <v>8152.0774932230233</v>
      </c>
    </row>
    <row r="159" spans="1:29" x14ac:dyDescent="0.25">
      <c r="A159" s="30" t="str">
        <f>A140</f>
        <v>Residual value (costumization)</v>
      </c>
      <c r="B159" s="62">
        <f>((1+B141)^B149)*B141/(((1+B141)^B149)-1)*(B140)</f>
        <v>-2038.0193733057558</v>
      </c>
      <c r="C159" s="62">
        <f t="shared" ref="C159:AC159" si="150">((1+C141)^C149)*C141/(((1+C141)^C149)-1)*(C140)</f>
        <v>-2038.0193733057558</v>
      </c>
      <c r="D159" s="62">
        <f t="shared" si="150"/>
        <v>-2038.0193733057558</v>
      </c>
      <c r="E159" s="62">
        <f t="shared" si="150"/>
        <v>-2038.0193733057558</v>
      </c>
      <c r="F159" s="62">
        <f t="shared" si="150"/>
        <v>-2038.0193733057558</v>
      </c>
      <c r="G159" s="62">
        <f t="shared" si="150"/>
        <v>-2038.0193733057558</v>
      </c>
      <c r="H159" s="62">
        <f t="shared" si="150"/>
        <v>-2038.0193733057558</v>
      </c>
      <c r="I159" s="62">
        <f t="shared" si="150"/>
        <v>-2038.0193733057558</v>
      </c>
      <c r="J159" s="62">
        <f t="shared" si="150"/>
        <v>-2038.0193733057558</v>
      </c>
      <c r="K159" s="62">
        <f t="shared" si="150"/>
        <v>-2038.0193733057558</v>
      </c>
      <c r="L159" s="62">
        <f t="shared" si="150"/>
        <v>-2038.0193733057558</v>
      </c>
      <c r="M159" s="62">
        <f t="shared" si="150"/>
        <v>-2038.0193733057558</v>
      </c>
      <c r="N159" s="62">
        <f t="shared" si="150"/>
        <v>-2038.0193733057558</v>
      </c>
      <c r="O159" s="62">
        <f t="shared" si="150"/>
        <v>-2038.0193733057558</v>
      </c>
      <c r="P159" s="62">
        <f t="shared" si="150"/>
        <v>-2038.0193733057558</v>
      </c>
      <c r="Q159" s="62">
        <f t="shared" si="150"/>
        <v>-2038.0193733057558</v>
      </c>
      <c r="R159" s="62">
        <f t="shared" si="150"/>
        <v>-2038.0193733057558</v>
      </c>
      <c r="S159" s="62">
        <f t="shared" si="150"/>
        <v>-2038.0193733057558</v>
      </c>
      <c r="T159" s="62">
        <f t="shared" si="150"/>
        <v>-2038.0193733057558</v>
      </c>
      <c r="U159" s="62">
        <f t="shared" si="150"/>
        <v>-2038.0193733057558</v>
      </c>
      <c r="V159" s="62">
        <f t="shared" si="150"/>
        <v>-2038.0193733057558</v>
      </c>
      <c r="W159" s="62">
        <f t="shared" si="150"/>
        <v>-2038.0193733057558</v>
      </c>
      <c r="X159" s="62">
        <f t="shared" si="150"/>
        <v>-2038.0193733057558</v>
      </c>
      <c r="Y159" s="62">
        <f t="shared" si="150"/>
        <v>-2038.0193733057558</v>
      </c>
      <c r="Z159" s="62">
        <f t="shared" si="150"/>
        <v>-2038.0193733057558</v>
      </c>
      <c r="AA159" s="62">
        <f t="shared" si="150"/>
        <v>-2038.0193733057558</v>
      </c>
      <c r="AB159" s="62">
        <f t="shared" si="150"/>
        <v>-2038.0193733057558</v>
      </c>
      <c r="AC159" s="62">
        <f t="shared" si="150"/>
        <v>-2038.0193733057558</v>
      </c>
    </row>
    <row r="160" spans="1:29" x14ac:dyDescent="0.25">
      <c r="A160" s="30" t="str">
        <f t="shared" ref="A160:AC160" si="151">A142</f>
        <v>Opex fix (admin, crew, insurance)</v>
      </c>
      <c r="B160" s="62">
        <f t="shared" si="151"/>
        <v>70000</v>
      </c>
      <c r="C160" s="62">
        <f t="shared" si="151"/>
        <v>70000</v>
      </c>
      <c r="D160" s="62">
        <f t="shared" si="151"/>
        <v>70000</v>
      </c>
      <c r="E160" s="62">
        <f t="shared" si="151"/>
        <v>70000</v>
      </c>
      <c r="F160" s="62">
        <f t="shared" si="151"/>
        <v>70000</v>
      </c>
      <c r="G160" s="62">
        <f t="shared" si="151"/>
        <v>70000</v>
      </c>
      <c r="H160" s="62">
        <f t="shared" si="151"/>
        <v>70000</v>
      </c>
      <c r="I160" s="62">
        <f t="shared" si="151"/>
        <v>70000</v>
      </c>
      <c r="J160" s="62">
        <f t="shared" si="151"/>
        <v>70000</v>
      </c>
      <c r="K160" s="62">
        <f t="shared" si="151"/>
        <v>70000</v>
      </c>
      <c r="L160" s="62">
        <f t="shared" si="151"/>
        <v>70000</v>
      </c>
      <c r="M160" s="62">
        <f t="shared" si="151"/>
        <v>70000</v>
      </c>
      <c r="N160" s="62">
        <f t="shared" si="151"/>
        <v>70000</v>
      </c>
      <c r="O160" s="62">
        <f t="shared" si="151"/>
        <v>70000</v>
      </c>
      <c r="P160" s="62">
        <f t="shared" si="151"/>
        <v>70000</v>
      </c>
      <c r="Q160" s="62">
        <f t="shared" si="151"/>
        <v>70000</v>
      </c>
      <c r="R160" s="62">
        <f t="shared" si="151"/>
        <v>70000</v>
      </c>
      <c r="S160" s="62">
        <f t="shared" si="151"/>
        <v>70000</v>
      </c>
      <c r="T160" s="62">
        <f t="shared" si="151"/>
        <v>70000</v>
      </c>
      <c r="U160" s="62">
        <f t="shared" si="151"/>
        <v>70000</v>
      </c>
      <c r="V160" s="62">
        <f t="shared" si="151"/>
        <v>70000</v>
      </c>
      <c r="W160" s="62">
        <f t="shared" si="151"/>
        <v>70000</v>
      </c>
      <c r="X160" s="62">
        <f t="shared" si="151"/>
        <v>70000</v>
      </c>
      <c r="Y160" s="62">
        <f t="shared" si="151"/>
        <v>70000</v>
      </c>
      <c r="Z160" s="62">
        <f t="shared" si="151"/>
        <v>70000</v>
      </c>
      <c r="AA160" s="62">
        <f t="shared" si="151"/>
        <v>70000</v>
      </c>
      <c r="AB160" s="62">
        <f t="shared" si="151"/>
        <v>70000</v>
      </c>
      <c r="AC160" s="62">
        <f t="shared" si="151"/>
        <v>70000</v>
      </c>
    </row>
    <row r="161" spans="1:29" x14ac:dyDescent="0.25">
      <c r="A161" s="30" t="str">
        <f t="shared" ref="A161:AC161" si="152">A143</f>
        <v>Opex maintenance &amp; repair</v>
      </c>
      <c r="B161" s="62">
        <f t="shared" si="152"/>
        <v>15000</v>
      </c>
      <c r="C161" s="62">
        <f t="shared" si="152"/>
        <v>15000</v>
      </c>
      <c r="D161" s="62">
        <f t="shared" si="152"/>
        <v>15000</v>
      </c>
      <c r="E161" s="62">
        <f t="shared" si="152"/>
        <v>15000</v>
      </c>
      <c r="F161" s="62">
        <f t="shared" si="152"/>
        <v>15000</v>
      </c>
      <c r="G161" s="62">
        <f t="shared" si="152"/>
        <v>15000</v>
      </c>
      <c r="H161" s="62">
        <f t="shared" si="152"/>
        <v>15000</v>
      </c>
      <c r="I161" s="62">
        <f t="shared" si="152"/>
        <v>15000</v>
      </c>
      <c r="J161" s="62">
        <f t="shared" si="152"/>
        <v>15000</v>
      </c>
      <c r="K161" s="62">
        <f t="shared" si="152"/>
        <v>15000</v>
      </c>
      <c r="L161" s="62">
        <f t="shared" si="152"/>
        <v>15000</v>
      </c>
      <c r="M161" s="62">
        <f t="shared" si="152"/>
        <v>15000</v>
      </c>
      <c r="N161" s="62">
        <f t="shared" si="152"/>
        <v>15000</v>
      </c>
      <c r="O161" s="62">
        <f t="shared" si="152"/>
        <v>15000</v>
      </c>
      <c r="P161" s="62">
        <f t="shared" si="152"/>
        <v>15000</v>
      </c>
      <c r="Q161" s="62">
        <f t="shared" si="152"/>
        <v>15000</v>
      </c>
      <c r="R161" s="62">
        <f t="shared" si="152"/>
        <v>15000</v>
      </c>
      <c r="S161" s="62">
        <f t="shared" si="152"/>
        <v>15000</v>
      </c>
      <c r="T161" s="62">
        <f t="shared" si="152"/>
        <v>15000</v>
      </c>
      <c r="U161" s="62">
        <f t="shared" si="152"/>
        <v>15000</v>
      </c>
      <c r="V161" s="62">
        <f t="shared" si="152"/>
        <v>15000</v>
      </c>
      <c r="W161" s="62">
        <f t="shared" si="152"/>
        <v>15000</v>
      </c>
      <c r="X161" s="62">
        <f t="shared" si="152"/>
        <v>15000</v>
      </c>
      <c r="Y161" s="62">
        <f t="shared" si="152"/>
        <v>15000</v>
      </c>
      <c r="Z161" s="62">
        <f t="shared" si="152"/>
        <v>15000</v>
      </c>
      <c r="AA161" s="62">
        <f t="shared" si="152"/>
        <v>15000</v>
      </c>
      <c r="AB161" s="62">
        <f t="shared" si="152"/>
        <v>15000</v>
      </c>
      <c r="AC161" s="62">
        <f t="shared" si="152"/>
        <v>15000</v>
      </c>
    </row>
    <row r="162" spans="1:29" x14ac:dyDescent="0.25">
      <c r="A162" s="30" t="str">
        <f>A144</f>
        <v>Opex var (mode-fees)</v>
      </c>
      <c r="B162" s="62">
        <f>B144*B153</f>
        <v>12100</v>
      </c>
      <c r="C162" s="62">
        <f t="shared" ref="C162:AC162" si="153">C144*C153</f>
        <v>12100</v>
      </c>
      <c r="D162" s="62">
        <f t="shared" si="153"/>
        <v>12100</v>
      </c>
      <c r="E162" s="62">
        <f t="shared" si="153"/>
        <v>12100</v>
      </c>
      <c r="F162" s="62">
        <f t="shared" si="153"/>
        <v>12100</v>
      </c>
      <c r="G162" s="62">
        <f t="shared" si="153"/>
        <v>12100</v>
      </c>
      <c r="H162" s="62">
        <f t="shared" si="153"/>
        <v>12100</v>
      </c>
      <c r="I162" s="62">
        <f t="shared" si="153"/>
        <v>12100</v>
      </c>
      <c r="J162" s="62">
        <f t="shared" si="153"/>
        <v>12100</v>
      </c>
      <c r="K162" s="62">
        <f t="shared" si="153"/>
        <v>12100</v>
      </c>
      <c r="L162" s="62">
        <f t="shared" si="153"/>
        <v>12100</v>
      </c>
      <c r="M162" s="62">
        <f t="shared" si="153"/>
        <v>12100</v>
      </c>
      <c r="N162" s="62">
        <f t="shared" si="153"/>
        <v>12100</v>
      </c>
      <c r="O162" s="62">
        <f t="shared" si="153"/>
        <v>12100</v>
      </c>
      <c r="P162" s="62">
        <f t="shared" si="153"/>
        <v>12100</v>
      </c>
      <c r="Q162" s="62">
        <f t="shared" si="153"/>
        <v>12100</v>
      </c>
      <c r="R162" s="62">
        <f t="shared" si="153"/>
        <v>12100</v>
      </c>
      <c r="S162" s="62">
        <f t="shared" si="153"/>
        <v>12100</v>
      </c>
      <c r="T162" s="62">
        <f t="shared" si="153"/>
        <v>12100</v>
      </c>
      <c r="U162" s="62">
        <f t="shared" si="153"/>
        <v>12100</v>
      </c>
      <c r="V162" s="62">
        <f t="shared" si="153"/>
        <v>12100</v>
      </c>
      <c r="W162" s="62">
        <f t="shared" si="153"/>
        <v>12100</v>
      </c>
      <c r="X162" s="62">
        <f t="shared" si="153"/>
        <v>12100</v>
      </c>
      <c r="Y162" s="62">
        <f t="shared" si="153"/>
        <v>12100</v>
      </c>
      <c r="Z162" s="62">
        <f t="shared" si="153"/>
        <v>12100</v>
      </c>
      <c r="AA162" s="62">
        <f t="shared" si="153"/>
        <v>12100</v>
      </c>
      <c r="AB162" s="62">
        <f t="shared" si="153"/>
        <v>12100</v>
      </c>
      <c r="AC162" s="62">
        <f t="shared" si="153"/>
        <v>12100</v>
      </c>
    </row>
    <row r="163" spans="1:29" x14ac:dyDescent="0.25">
      <c r="A163" s="30" t="str">
        <f>A146</f>
        <v>Fuel Cost</v>
      </c>
      <c r="B163" s="62">
        <f>B145*B146*B153</f>
        <v>21961.197669872436</v>
      </c>
      <c r="C163" s="62">
        <f t="shared" ref="C163:AC163" si="154">C145*C146*C153</f>
        <v>21798.4518119973</v>
      </c>
      <c r="D163" s="62">
        <f t="shared" si="154"/>
        <v>21574.020979680379</v>
      </c>
      <c r="E163" s="62">
        <f t="shared" si="154"/>
        <v>21269.702670052313</v>
      </c>
      <c r="F163" s="62">
        <f t="shared" si="154"/>
        <v>20866.466367831297</v>
      </c>
      <c r="G163" s="62">
        <f t="shared" si="154"/>
        <v>20348.150451689067</v>
      </c>
      <c r="H163" s="62">
        <f t="shared" si="154"/>
        <v>19706.832705149551</v>
      </c>
      <c r="I163" s="62">
        <f t="shared" si="154"/>
        <v>18948.156855939564</v>
      </c>
      <c r="J163" s="62">
        <f t="shared" si="154"/>
        <v>18093.563193648482</v>
      </c>
      <c r="K163" s="62">
        <f t="shared" si="154"/>
        <v>17177.332391851422</v>
      </c>
      <c r="L163" s="62">
        <f t="shared" si="154"/>
        <v>16240.068535644961</v>
      </c>
      <c r="M163" s="62">
        <f t="shared" si="154"/>
        <v>15322.881224334285</v>
      </c>
      <c r="N163" s="62">
        <f t="shared" si="154"/>
        <v>14464.200025572345</v>
      </c>
      <c r="O163" s="62">
        <f t="shared" si="154"/>
        <v>13696.977369902597</v>
      </c>
      <c r="P163" s="62">
        <f t="shared" si="154"/>
        <v>13044.305283287877</v>
      </c>
      <c r="Q163" s="62">
        <f t="shared" si="154"/>
        <v>12515.440466403112</v>
      </c>
      <c r="R163" s="62">
        <f t="shared" si="154"/>
        <v>12105.565389005105</v>
      </c>
      <c r="S163" s="62">
        <f t="shared" si="154"/>
        <v>11799.690072452106</v>
      </c>
      <c r="T163" s="62">
        <f t="shared" si="154"/>
        <v>11578.192593308047</v>
      </c>
      <c r="U163" s="62">
        <f t="shared" si="154"/>
        <v>11421.412370238846</v>
      </c>
      <c r="V163" s="62">
        <f t="shared" si="154"/>
        <v>11312.272731194591</v>
      </c>
      <c r="W163" s="62">
        <f t="shared" si="154"/>
        <v>11237.191562419928</v>
      </c>
      <c r="X163" s="62">
        <f t="shared" si="154"/>
        <v>11185.965634195865</v>
      </c>
      <c r="Y163" s="62">
        <f t="shared" si="154"/>
        <v>11151.213998225394</v>
      </c>
      <c r="Z163" s="62">
        <f t="shared" si="154"/>
        <v>11127.730027309895</v>
      </c>
      <c r="AA163" s="62">
        <f t="shared" si="154"/>
        <v>11111.902202636105</v>
      </c>
      <c r="AB163" s="62">
        <f t="shared" si="154"/>
        <v>11101.253521565619</v>
      </c>
      <c r="AC163" s="62">
        <f t="shared" si="154"/>
        <v>11094.097891588106</v>
      </c>
    </row>
    <row r="164" spans="1:29" ht="15.75" thickBot="1" x14ac:dyDescent="0.3">
      <c r="A164" s="59" t="str">
        <f>A127</f>
        <v>Emission Cost</v>
      </c>
      <c r="B164" s="62">
        <f>B147*B153</f>
        <v>386.34961023234894</v>
      </c>
      <c r="C164" s="62">
        <f t="shared" ref="C164:AC164" si="155">C147*C153</f>
        <v>385.98171126867283</v>
      </c>
      <c r="D164" s="62">
        <f t="shared" si="155"/>
        <v>385.45507209645916</v>
      </c>
      <c r="E164" s="62">
        <f t="shared" si="155"/>
        <v>384.70167772568533</v>
      </c>
      <c r="F164" s="62">
        <f t="shared" si="155"/>
        <v>383.62491092512789</v>
      </c>
      <c r="G164" s="62">
        <f t="shared" si="155"/>
        <v>382.08813200177713</v>
      </c>
      <c r="H164" s="62">
        <f t="shared" si="155"/>
        <v>379.89938180178723</v>
      </c>
      <c r="I164" s="62">
        <f t="shared" si="155"/>
        <v>376.79167027905658</v>
      </c>
      <c r="J164" s="62">
        <f t="shared" si="155"/>
        <v>372.3992186736873</v>
      </c>
      <c r="K164" s="62">
        <f t="shared" si="155"/>
        <v>366.23229586614008</v>
      </c>
      <c r="L164" s="62">
        <f t="shared" si="155"/>
        <v>357.65803450134791</v>
      </c>
      <c r="M164" s="62">
        <f t="shared" si="155"/>
        <v>345.90304293397361</v>
      </c>
      <c r="N164" s="62">
        <f t="shared" si="155"/>
        <v>330.10559388139421</v>
      </c>
      <c r="O164" s="62">
        <f t="shared" si="155"/>
        <v>309.45527612695969</v>
      </c>
      <c r="P164" s="62">
        <f t="shared" si="155"/>
        <v>283.44969127197442</v>
      </c>
      <c r="Q164" s="62">
        <f t="shared" si="155"/>
        <v>252.2437359364221</v>
      </c>
      <c r="R164" s="62">
        <f t="shared" si="155"/>
        <v>216.95686379464956</v>
      </c>
      <c r="S164" s="62">
        <f t="shared" si="155"/>
        <v>179.70465765297368</v>
      </c>
      <c r="T164" s="62">
        <f t="shared" si="155"/>
        <v>143.1855052498687</v>
      </c>
      <c r="U164" s="62">
        <f t="shared" si="155"/>
        <v>109.94136912335924</v>
      </c>
      <c r="V164" s="62">
        <f t="shared" si="155"/>
        <v>81.688587471847882</v>
      </c>
      <c r="W164" s="62">
        <f t="shared" si="155"/>
        <v>59.063169155506628</v>
      </c>
      <c r="X164" s="62">
        <f t="shared" si="155"/>
        <v>41.798970792413101</v>
      </c>
      <c r="Y164" s="62">
        <f t="shared" si="155"/>
        <v>29.108400404829151</v>
      </c>
      <c r="Z164" s="62">
        <f t="shared" si="155"/>
        <v>20.034826167928866</v>
      </c>
      <c r="AA164" s="62">
        <f t="shared" si="155"/>
        <v>13.675590610133948</v>
      </c>
      <c r="AB164" s="62">
        <f t="shared" si="155"/>
        <v>9.2809679705332506</v>
      </c>
      <c r="AC164" s="62">
        <f t="shared" si="155"/>
        <v>6.2735087058085135</v>
      </c>
    </row>
    <row r="165" spans="1:29" ht="15.75" thickBot="1" x14ac:dyDescent="0.3">
      <c r="A165" s="31" t="s">
        <v>209</v>
      </c>
      <c r="B165" s="64">
        <f>B156+B157+B158+B159+B160+B161+B162+B163+B164</f>
        <v>178297.22436995202</v>
      </c>
      <c r="C165" s="64">
        <f t="shared" ref="C165:AC165" si="156">C156+C157+C158+C159+C160+C161+C162+C163+C164</f>
        <v>177309.46770131931</v>
      </c>
      <c r="D165" s="64">
        <f t="shared" si="156"/>
        <v>175953.95564771339</v>
      </c>
      <c r="E165" s="64">
        <f t="shared" si="156"/>
        <v>174129.53973068084</v>
      </c>
      <c r="F165" s="64">
        <f t="shared" si="156"/>
        <v>171739.15025950855</v>
      </c>
      <c r="G165" s="64">
        <f t="shared" si="156"/>
        <v>168718.17002641637</v>
      </c>
      <c r="H165" s="64">
        <f t="shared" si="156"/>
        <v>165073.38227892213</v>
      </c>
      <c r="I165" s="64">
        <f t="shared" si="156"/>
        <v>160917.82895155059</v>
      </c>
      <c r="J165" s="64">
        <f t="shared" si="156"/>
        <v>156476.0540193005</v>
      </c>
      <c r="K165" s="64">
        <f t="shared" si="156"/>
        <v>152041.37005886887</v>
      </c>
      <c r="L165" s="64">
        <f t="shared" si="156"/>
        <v>147898.22548548921</v>
      </c>
      <c r="M165" s="64">
        <f t="shared" si="156"/>
        <v>144252.028000369</v>
      </c>
      <c r="N165" s="64">
        <f t="shared" si="156"/>
        <v>141201.5145844103</v>
      </c>
      <c r="O165" s="64">
        <f t="shared" si="156"/>
        <v>138753.23050357704</v>
      </c>
      <c r="P165" s="64">
        <f t="shared" si="156"/>
        <v>136854.01750299835</v>
      </c>
      <c r="Q165" s="64">
        <f t="shared" si="156"/>
        <v>135421.28162754004</v>
      </c>
      <c r="R165" s="64">
        <f t="shared" si="156"/>
        <v>134364.51031550791</v>
      </c>
      <c r="S165" s="64">
        <f t="shared" si="156"/>
        <v>133598.72313088167</v>
      </c>
      <c r="T165" s="64">
        <f t="shared" si="156"/>
        <v>133051.45943073591</v>
      </c>
      <c r="U165" s="64">
        <f t="shared" si="156"/>
        <v>132664.8100740611</v>
      </c>
      <c r="V165" s="64">
        <f t="shared" si="156"/>
        <v>132394.36370549721</v>
      </c>
      <c r="W165" s="64">
        <f t="shared" si="156"/>
        <v>132206.89878626331</v>
      </c>
      <c r="X165" s="64">
        <f t="shared" si="156"/>
        <v>132077.9837963591</v>
      </c>
      <c r="Y165" s="64">
        <f t="shared" si="156"/>
        <v>131989.92099875258</v>
      </c>
      <c r="Z165" s="64">
        <f t="shared" si="156"/>
        <v>131930.08207301007</v>
      </c>
      <c r="AA165" s="64">
        <f t="shared" si="156"/>
        <v>131889.58407002111</v>
      </c>
      <c r="AB165" s="64">
        <f t="shared" si="156"/>
        <v>131862.25591349727</v>
      </c>
      <c r="AC165" s="64">
        <f t="shared" si="156"/>
        <v>131843.85324556165</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57">A156</f>
        <v>Capex vehicle</v>
      </c>
      <c r="B168" s="65">
        <f>((1+B141)^B148)*B141/(((1+B141)^B148)-1)*(B137)/B153</f>
        <v>0.56536968273970678</v>
      </c>
      <c r="C168" s="65">
        <f t="shared" ref="C168:AC168" si="158">((1+C141)^C148)*C141/(((1+C141)^C148)-1)*(C137)/C153</f>
        <v>0.55710299212516334</v>
      </c>
      <c r="D168" s="65">
        <f t="shared" si="158"/>
        <v>0.5457696685501352</v>
      </c>
      <c r="E168" s="65">
        <f t="shared" si="158"/>
        <v>0.53053889609515381</v>
      </c>
      <c r="F168" s="65">
        <f t="shared" si="158"/>
        <v>0.51062933412764744</v>
      </c>
      <c r="G168" s="65">
        <f t="shared" si="158"/>
        <v>0.48555660598231942</v>
      </c>
      <c r="H168" s="65">
        <f t="shared" si="158"/>
        <v>0.45547005192069989</v>
      </c>
      <c r="I168" s="65">
        <f t="shared" si="158"/>
        <v>0.42144896924775999</v>
      </c>
      <c r="J168" s="65">
        <f t="shared" si="158"/>
        <v>0.38553305185492726</v>
      </c>
      <c r="K168" s="65">
        <f t="shared" si="158"/>
        <v>0.35032389253754609</v>
      </c>
      <c r="L168" s="65">
        <f t="shared" si="158"/>
        <v>0.31827227008128506</v>
      </c>
      <c r="M168" s="65">
        <f t="shared" si="158"/>
        <v>0.29103295523227268</v>
      </c>
      <c r="N168" s="65">
        <f t="shared" si="158"/>
        <v>0.26921914232311212</v>
      </c>
      <c r="O168" s="65">
        <f t="shared" si="158"/>
        <v>0.25257423490731606</v>
      </c>
      <c r="P168" s="65">
        <f t="shared" si="158"/>
        <v>0.24033889303320144</v>
      </c>
      <c r="Q168" s="65">
        <f t="shared" si="158"/>
        <v>0.23159080059779361</v>
      </c>
      <c r="R168" s="65">
        <f t="shared" si="158"/>
        <v>0.2254596797158063</v>
      </c>
      <c r="S168" s="65">
        <f t="shared" si="158"/>
        <v>0.22122269833821234</v>
      </c>
      <c r="T168" s="65">
        <f t="shared" si="158"/>
        <v>0.21832312084464423</v>
      </c>
      <c r="U168" s="65">
        <f t="shared" si="158"/>
        <v>0.21635203978883416</v>
      </c>
      <c r="V168" s="65">
        <f t="shared" si="158"/>
        <v>0.21501823117138436</v>
      </c>
      <c r="W168" s="65">
        <f t="shared" si="158"/>
        <v>0.21411844248552933</v>
      </c>
      <c r="X168" s="65">
        <f t="shared" si="158"/>
        <v>0.21351270921198259</v>
      </c>
      <c r="Y168" s="65">
        <f t="shared" si="158"/>
        <v>0.2131055052505729</v>
      </c>
      <c r="Z168" s="65">
        <f t="shared" si="158"/>
        <v>0.21283202114048039</v>
      </c>
      <c r="AA168" s="65">
        <f t="shared" si="158"/>
        <v>0.21264846181259311</v>
      </c>
      <c r="AB168" s="65">
        <f t="shared" si="158"/>
        <v>0.21252531144532014</v>
      </c>
      <c r="AC168" s="65">
        <f t="shared" si="158"/>
        <v>0.2124427132117353</v>
      </c>
    </row>
    <row r="169" spans="1:29" x14ac:dyDescent="0.25">
      <c r="A169" s="30" t="str">
        <f t="shared" si="157"/>
        <v>Residual value (vehicle)</v>
      </c>
      <c r="B169" s="66">
        <f>((1+B141)^B148)*B141/(((1+B141)^B148)-1)*(B138)/B153</f>
        <v>-8.5954964831252464E-2</v>
      </c>
      <c r="C169" s="66">
        <f t="shared" ref="C169:AC169" si="159">((1+C141)^C148)*C141/(((1+C141)^C148)-1)*(C138)/C153</f>
        <v>-8.5185027960290094E-2</v>
      </c>
      <c r="D169" s="66">
        <f t="shared" si="159"/>
        <v>-8.4129473313596298E-2</v>
      </c>
      <c r="E169" s="66">
        <f t="shared" si="159"/>
        <v>-8.2710920977102934E-2</v>
      </c>
      <c r="F169" s="66">
        <f t="shared" si="159"/>
        <v>-8.0856599029148907E-2</v>
      </c>
      <c r="G169" s="66">
        <f t="shared" si="159"/>
        <v>-7.8521393956789934E-2</v>
      </c>
      <c r="H169" s="66">
        <f t="shared" si="159"/>
        <v>-7.5719214902031248E-2</v>
      </c>
      <c r="I169" s="66">
        <f t="shared" si="159"/>
        <v>-7.2550584653080966E-2</v>
      </c>
      <c r="J169" s="66">
        <f t="shared" si="159"/>
        <v>-6.9205474699826922E-2</v>
      </c>
      <c r="K169" s="66">
        <f t="shared" si="159"/>
        <v>-6.5926190253600248E-2</v>
      </c>
      <c r="L169" s="66">
        <f t="shared" si="159"/>
        <v>-6.2940990122870064E-2</v>
      </c>
      <c r="M169" s="66">
        <f t="shared" si="159"/>
        <v>-6.040399511242283E-2</v>
      </c>
      <c r="N169" s="66">
        <f t="shared" si="159"/>
        <v>-5.837231645911866E-2</v>
      </c>
      <c r="O169" s="66">
        <f t="shared" si="159"/>
        <v>-5.6822055474314119E-2</v>
      </c>
      <c r="P169" s="66">
        <f t="shared" si="159"/>
        <v>-5.5682489319372072E-2</v>
      </c>
      <c r="Q169" s="66">
        <f t="shared" si="159"/>
        <v>-5.4867716004309584E-2</v>
      </c>
      <c r="R169" s="66">
        <f t="shared" si="159"/>
        <v>-5.429668023588919E-2</v>
      </c>
      <c r="S169" s="66">
        <f t="shared" si="159"/>
        <v>-5.3902059421309372E-2</v>
      </c>
      <c r="T169" s="66">
        <f t="shared" si="159"/>
        <v>-5.3632000733182923E-2</v>
      </c>
      <c r="U169" s="66">
        <f t="shared" si="159"/>
        <v>-5.3448419654455508E-2</v>
      </c>
      <c r="V169" s="66">
        <f t="shared" si="159"/>
        <v>-5.3324192381261674E-2</v>
      </c>
      <c r="W169" s="66">
        <f t="shared" si="159"/>
        <v>-5.3240388533069283E-2</v>
      </c>
      <c r="X169" s="66">
        <f t="shared" si="159"/>
        <v>-5.3183972198768366E-2</v>
      </c>
      <c r="Y169" s="66">
        <f t="shared" si="159"/>
        <v>-5.3146046339617461E-2</v>
      </c>
      <c r="Z169" s="66">
        <f t="shared" si="159"/>
        <v>-5.3120574780344119E-2</v>
      </c>
      <c r="AA169" s="66">
        <f t="shared" si="159"/>
        <v>-5.3103478568433067E-2</v>
      </c>
      <c r="AB169" s="66">
        <f t="shared" si="159"/>
        <v>-5.3092008681285087E-2</v>
      </c>
      <c r="AC169" s="66">
        <f t="shared" si="159"/>
        <v>-5.3084315708549247E-2</v>
      </c>
    </row>
    <row r="170" spans="1:29" x14ac:dyDescent="0.25">
      <c r="A170" s="30" t="str">
        <f t="shared" si="157"/>
        <v>Capex costumization</v>
      </c>
      <c r="B170" s="66">
        <f>((1+B141)^B149)*B141/(((1+B141)^B149)-1)*(B139)/B153</f>
        <v>7.4109795392936578E-2</v>
      </c>
      <c r="C170" s="66">
        <f t="shared" ref="C170:AC170" si="160">((1+C141)^C149)*C141/(((1+C141)^C149)-1)*(C139)/C153</f>
        <v>7.4109795392936578E-2</v>
      </c>
      <c r="D170" s="66">
        <f t="shared" si="160"/>
        <v>7.4109795392936578E-2</v>
      </c>
      <c r="E170" s="66">
        <f t="shared" si="160"/>
        <v>7.4109795392936578E-2</v>
      </c>
      <c r="F170" s="66">
        <f t="shared" si="160"/>
        <v>7.4109795392936578E-2</v>
      </c>
      <c r="G170" s="66">
        <f t="shared" si="160"/>
        <v>7.4109795392936578E-2</v>
      </c>
      <c r="H170" s="66">
        <f t="shared" si="160"/>
        <v>7.4109795392936578E-2</v>
      </c>
      <c r="I170" s="66">
        <f t="shared" si="160"/>
        <v>7.4109795392936578E-2</v>
      </c>
      <c r="J170" s="66">
        <f t="shared" si="160"/>
        <v>7.4109795392936578E-2</v>
      </c>
      <c r="K170" s="66">
        <f t="shared" si="160"/>
        <v>7.4109795392936578E-2</v>
      </c>
      <c r="L170" s="66">
        <f t="shared" si="160"/>
        <v>7.4109795392936578E-2</v>
      </c>
      <c r="M170" s="66">
        <f t="shared" si="160"/>
        <v>7.4109795392936578E-2</v>
      </c>
      <c r="N170" s="66">
        <f t="shared" si="160"/>
        <v>7.4109795392936578E-2</v>
      </c>
      <c r="O170" s="66">
        <f t="shared" si="160"/>
        <v>7.4109795392936578E-2</v>
      </c>
      <c r="P170" s="66">
        <f t="shared" si="160"/>
        <v>7.4109795392936578E-2</v>
      </c>
      <c r="Q170" s="66">
        <f t="shared" si="160"/>
        <v>7.4109795392936578E-2</v>
      </c>
      <c r="R170" s="66">
        <f t="shared" si="160"/>
        <v>7.4109795392936578E-2</v>
      </c>
      <c r="S170" s="66">
        <f t="shared" si="160"/>
        <v>7.4109795392936578E-2</v>
      </c>
      <c r="T170" s="66">
        <f t="shared" si="160"/>
        <v>7.4109795392936578E-2</v>
      </c>
      <c r="U170" s="66">
        <f t="shared" si="160"/>
        <v>7.4109795392936578E-2</v>
      </c>
      <c r="V170" s="66">
        <f t="shared" si="160"/>
        <v>7.4109795392936578E-2</v>
      </c>
      <c r="W170" s="66">
        <f t="shared" si="160"/>
        <v>7.4109795392936578E-2</v>
      </c>
      <c r="X170" s="66">
        <f t="shared" si="160"/>
        <v>7.4109795392936578E-2</v>
      </c>
      <c r="Y170" s="66">
        <f t="shared" si="160"/>
        <v>7.4109795392936578E-2</v>
      </c>
      <c r="Z170" s="66">
        <f t="shared" si="160"/>
        <v>7.4109795392936578E-2</v>
      </c>
      <c r="AA170" s="66">
        <f t="shared" si="160"/>
        <v>7.4109795392936578E-2</v>
      </c>
      <c r="AB170" s="66">
        <f t="shared" si="160"/>
        <v>7.4109795392936578E-2</v>
      </c>
      <c r="AC170" s="66">
        <f t="shared" si="160"/>
        <v>7.4109795392936578E-2</v>
      </c>
    </row>
    <row r="171" spans="1:29" x14ac:dyDescent="0.25">
      <c r="A171" s="30" t="str">
        <f t="shared" si="157"/>
        <v>Residual value (costumization)</v>
      </c>
      <c r="B171" s="66">
        <f>((1+B141)^B149)*B141/(((1+B141)^B149)-1)*(B140)/B153</f>
        <v>-1.8527448848234145E-2</v>
      </c>
      <c r="C171" s="66">
        <f t="shared" ref="C171:AC171" si="161">((1+C141)^C149)*C141/(((1+C141)^C149)-1)*(C140)/C153</f>
        <v>-1.8527448848234145E-2</v>
      </c>
      <c r="D171" s="66">
        <f t="shared" si="161"/>
        <v>-1.8527448848234145E-2</v>
      </c>
      <c r="E171" s="66">
        <f t="shared" si="161"/>
        <v>-1.8527448848234145E-2</v>
      </c>
      <c r="F171" s="66">
        <f t="shared" si="161"/>
        <v>-1.8527448848234145E-2</v>
      </c>
      <c r="G171" s="66">
        <f t="shared" si="161"/>
        <v>-1.8527448848234145E-2</v>
      </c>
      <c r="H171" s="66">
        <f t="shared" si="161"/>
        <v>-1.8527448848234145E-2</v>
      </c>
      <c r="I171" s="66">
        <f t="shared" si="161"/>
        <v>-1.8527448848234145E-2</v>
      </c>
      <c r="J171" s="66">
        <f t="shared" si="161"/>
        <v>-1.8527448848234145E-2</v>
      </c>
      <c r="K171" s="66">
        <f t="shared" si="161"/>
        <v>-1.8527448848234145E-2</v>
      </c>
      <c r="L171" s="66">
        <f t="shared" si="161"/>
        <v>-1.8527448848234145E-2</v>
      </c>
      <c r="M171" s="66">
        <f t="shared" si="161"/>
        <v>-1.8527448848234145E-2</v>
      </c>
      <c r="N171" s="66">
        <f t="shared" si="161"/>
        <v>-1.8527448848234145E-2</v>
      </c>
      <c r="O171" s="66">
        <f t="shared" si="161"/>
        <v>-1.8527448848234145E-2</v>
      </c>
      <c r="P171" s="66">
        <f t="shared" si="161"/>
        <v>-1.8527448848234145E-2</v>
      </c>
      <c r="Q171" s="66">
        <f t="shared" si="161"/>
        <v>-1.8527448848234145E-2</v>
      </c>
      <c r="R171" s="66">
        <f t="shared" si="161"/>
        <v>-1.8527448848234145E-2</v>
      </c>
      <c r="S171" s="66">
        <f t="shared" si="161"/>
        <v>-1.8527448848234145E-2</v>
      </c>
      <c r="T171" s="66">
        <f t="shared" si="161"/>
        <v>-1.8527448848234145E-2</v>
      </c>
      <c r="U171" s="66">
        <f t="shared" si="161"/>
        <v>-1.8527448848234145E-2</v>
      </c>
      <c r="V171" s="66">
        <f t="shared" si="161"/>
        <v>-1.8527448848234145E-2</v>
      </c>
      <c r="W171" s="66">
        <f t="shared" si="161"/>
        <v>-1.8527448848234145E-2</v>
      </c>
      <c r="X171" s="66">
        <f t="shared" si="161"/>
        <v>-1.8527448848234145E-2</v>
      </c>
      <c r="Y171" s="66">
        <f t="shared" si="161"/>
        <v>-1.8527448848234145E-2</v>
      </c>
      <c r="Z171" s="66">
        <f t="shared" si="161"/>
        <v>-1.8527448848234145E-2</v>
      </c>
      <c r="AA171" s="66">
        <f t="shared" si="161"/>
        <v>-1.8527448848234145E-2</v>
      </c>
      <c r="AB171" s="66">
        <f t="shared" si="161"/>
        <v>-1.8527448848234145E-2</v>
      </c>
      <c r="AC171" s="66">
        <f t="shared" si="161"/>
        <v>-1.8527448848234145E-2</v>
      </c>
    </row>
    <row r="172" spans="1:29" x14ac:dyDescent="0.25">
      <c r="A172" s="30" t="str">
        <f t="shared" si="157"/>
        <v>Opex fix (admin, crew, insurance)</v>
      </c>
      <c r="B172" s="66">
        <f>B142/B153</f>
        <v>0.63636363636363635</v>
      </c>
      <c r="C172" s="66">
        <f t="shared" ref="C172:AC172" si="162">C142/C153</f>
        <v>0.63636363636363635</v>
      </c>
      <c r="D172" s="66">
        <f t="shared" si="162"/>
        <v>0.63636363636363635</v>
      </c>
      <c r="E172" s="66">
        <f t="shared" si="162"/>
        <v>0.63636363636363635</v>
      </c>
      <c r="F172" s="66">
        <f t="shared" si="162"/>
        <v>0.63636363636363635</v>
      </c>
      <c r="G172" s="66">
        <f t="shared" si="162"/>
        <v>0.63636363636363635</v>
      </c>
      <c r="H172" s="66">
        <f t="shared" si="162"/>
        <v>0.63636363636363635</v>
      </c>
      <c r="I172" s="66">
        <f t="shared" si="162"/>
        <v>0.63636363636363635</v>
      </c>
      <c r="J172" s="66">
        <f t="shared" si="162"/>
        <v>0.63636363636363635</v>
      </c>
      <c r="K172" s="66">
        <f t="shared" si="162"/>
        <v>0.63636363636363635</v>
      </c>
      <c r="L172" s="66">
        <f t="shared" si="162"/>
        <v>0.63636363636363635</v>
      </c>
      <c r="M172" s="66">
        <f t="shared" si="162"/>
        <v>0.63636363636363635</v>
      </c>
      <c r="N172" s="66">
        <f t="shared" si="162"/>
        <v>0.63636363636363635</v>
      </c>
      <c r="O172" s="66">
        <f t="shared" si="162"/>
        <v>0.63636363636363635</v>
      </c>
      <c r="P172" s="66">
        <f t="shared" si="162"/>
        <v>0.63636363636363635</v>
      </c>
      <c r="Q172" s="66">
        <f t="shared" si="162"/>
        <v>0.63636363636363635</v>
      </c>
      <c r="R172" s="66">
        <f t="shared" si="162"/>
        <v>0.63636363636363635</v>
      </c>
      <c r="S172" s="66">
        <f t="shared" si="162"/>
        <v>0.63636363636363635</v>
      </c>
      <c r="T172" s="66">
        <f t="shared" si="162"/>
        <v>0.63636363636363635</v>
      </c>
      <c r="U172" s="66">
        <f t="shared" si="162"/>
        <v>0.63636363636363635</v>
      </c>
      <c r="V172" s="66">
        <f t="shared" si="162"/>
        <v>0.63636363636363635</v>
      </c>
      <c r="W172" s="66">
        <f t="shared" si="162"/>
        <v>0.63636363636363635</v>
      </c>
      <c r="X172" s="66">
        <f t="shared" si="162"/>
        <v>0.63636363636363635</v>
      </c>
      <c r="Y172" s="66">
        <f t="shared" si="162"/>
        <v>0.63636363636363635</v>
      </c>
      <c r="Z172" s="66">
        <f t="shared" si="162"/>
        <v>0.63636363636363635</v>
      </c>
      <c r="AA172" s="66">
        <f t="shared" si="162"/>
        <v>0.63636363636363635</v>
      </c>
      <c r="AB172" s="66">
        <f t="shared" si="162"/>
        <v>0.63636363636363635</v>
      </c>
      <c r="AC172" s="66">
        <f t="shared" si="162"/>
        <v>0.63636363636363635</v>
      </c>
    </row>
    <row r="173" spans="1:29" x14ac:dyDescent="0.25">
      <c r="A173" s="30" t="str">
        <f t="shared" si="157"/>
        <v>Opex maintenance &amp; repair</v>
      </c>
      <c r="B173" s="66">
        <f>B143/B153</f>
        <v>0.13636363636363635</v>
      </c>
      <c r="C173" s="66">
        <f t="shared" ref="C173:AC173" si="163">C143/C153</f>
        <v>0.13636363636363635</v>
      </c>
      <c r="D173" s="66">
        <f t="shared" si="163"/>
        <v>0.13636363636363635</v>
      </c>
      <c r="E173" s="66">
        <f t="shared" si="163"/>
        <v>0.13636363636363635</v>
      </c>
      <c r="F173" s="66">
        <f t="shared" si="163"/>
        <v>0.13636363636363635</v>
      </c>
      <c r="G173" s="66">
        <f t="shared" si="163"/>
        <v>0.13636363636363635</v>
      </c>
      <c r="H173" s="66">
        <f t="shared" si="163"/>
        <v>0.13636363636363635</v>
      </c>
      <c r="I173" s="66">
        <f t="shared" si="163"/>
        <v>0.13636363636363635</v>
      </c>
      <c r="J173" s="66">
        <f t="shared" si="163"/>
        <v>0.13636363636363635</v>
      </c>
      <c r="K173" s="66">
        <f t="shared" si="163"/>
        <v>0.13636363636363635</v>
      </c>
      <c r="L173" s="66">
        <f t="shared" si="163"/>
        <v>0.13636363636363635</v>
      </c>
      <c r="M173" s="66">
        <f t="shared" si="163"/>
        <v>0.13636363636363635</v>
      </c>
      <c r="N173" s="66">
        <f t="shared" si="163"/>
        <v>0.13636363636363635</v>
      </c>
      <c r="O173" s="66">
        <f t="shared" si="163"/>
        <v>0.13636363636363635</v>
      </c>
      <c r="P173" s="66">
        <f t="shared" si="163"/>
        <v>0.13636363636363635</v>
      </c>
      <c r="Q173" s="66">
        <f t="shared" si="163"/>
        <v>0.13636363636363635</v>
      </c>
      <c r="R173" s="66">
        <f t="shared" si="163"/>
        <v>0.13636363636363635</v>
      </c>
      <c r="S173" s="66">
        <f t="shared" si="163"/>
        <v>0.13636363636363635</v>
      </c>
      <c r="T173" s="66">
        <f t="shared" si="163"/>
        <v>0.13636363636363635</v>
      </c>
      <c r="U173" s="66">
        <f t="shared" si="163"/>
        <v>0.13636363636363635</v>
      </c>
      <c r="V173" s="66">
        <f t="shared" si="163"/>
        <v>0.13636363636363635</v>
      </c>
      <c r="W173" s="66">
        <f t="shared" si="163"/>
        <v>0.13636363636363635</v>
      </c>
      <c r="X173" s="66">
        <f t="shared" si="163"/>
        <v>0.13636363636363635</v>
      </c>
      <c r="Y173" s="66">
        <f t="shared" si="163"/>
        <v>0.13636363636363635</v>
      </c>
      <c r="Z173" s="66">
        <f t="shared" si="163"/>
        <v>0.13636363636363635</v>
      </c>
      <c r="AA173" s="66">
        <f t="shared" si="163"/>
        <v>0.13636363636363635</v>
      </c>
      <c r="AB173" s="66">
        <f t="shared" si="163"/>
        <v>0.13636363636363635</v>
      </c>
      <c r="AC173" s="66">
        <f t="shared" si="163"/>
        <v>0.13636363636363635</v>
      </c>
    </row>
    <row r="174" spans="1:29" x14ac:dyDescent="0.25">
      <c r="A174" s="30" t="str">
        <f t="shared" si="157"/>
        <v>Opex var (mode-fees)</v>
      </c>
      <c r="B174" s="66">
        <f>B144*B153/B153</f>
        <v>0.11</v>
      </c>
      <c r="C174" s="66">
        <f t="shared" ref="C174:AC174" si="164">C144*C153/C153</f>
        <v>0.11</v>
      </c>
      <c r="D174" s="66">
        <f t="shared" si="164"/>
        <v>0.11</v>
      </c>
      <c r="E174" s="66">
        <f t="shared" si="164"/>
        <v>0.11</v>
      </c>
      <c r="F174" s="66">
        <f t="shared" si="164"/>
        <v>0.11</v>
      </c>
      <c r="G174" s="66">
        <f t="shared" si="164"/>
        <v>0.11</v>
      </c>
      <c r="H174" s="66">
        <f t="shared" si="164"/>
        <v>0.11</v>
      </c>
      <c r="I174" s="66">
        <f t="shared" si="164"/>
        <v>0.11</v>
      </c>
      <c r="J174" s="66">
        <f t="shared" si="164"/>
        <v>0.11</v>
      </c>
      <c r="K174" s="66">
        <f t="shared" si="164"/>
        <v>0.11</v>
      </c>
      <c r="L174" s="66">
        <f t="shared" si="164"/>
        <v>0.11</v>
      </c>
      <c r="M174" s="66">
        <f t="shared" si="164"/>
        <v>0.11</v>
      </c>
      <c r="N174" s="66">
        <f t="shared" si="164"/>
        <v>0.11</v>
      </c>
      <c r="O174" s="66">
        <f t="shared" si="164"/>
        <v>0.11</v>
      </c>
      <c r="P174" s="66">
        <f t="shared" si="164"/>
        <v>0.11</v>
      </c>
      <c r="Q174" s="66">
        <f t="shared" si="164"/>
        <v>0.11</v>
      </c>
      <c r="R174" s="66">
        <f t="shared" si="164"/>
        <v>0.11</v>
      </c>
      <c r="S174" s="66">
        <f t="shared" si="164"/>
        <v>0.11</v>
      </c>
      <c r="T174" s="66">
        <f t="shared" si="164"/>
        <v>0.11</v>
      </c>
      <c r="U174" s="66">
        <f t="shared" si="164"/>
        <v>0.11</v>
      </c>
      <c r="V174" s="66">
        <f t="shared" si="164"/>
        <v>0.11</v>
      </c>
      <c r="W174" s="66">
        <f t="shared" si="164"/>
        <v>0.11</v>
      </c>
      <c r="X174" s="66">
        <f t="shared" si="164"/>
        <v>0.11</v>
      </c>
      <c r="Y174" s="66">
        <f t="shared" si="164"/>
        <v>0.11</v>
      </c>
      <c r="Z174" s="66">
        <f t="shared" si="164"/>
        <v>0.11</v>
      </c>
      <c r="AA174" s="66">
        <f t="shared" si="164"/>
        <v>0.11</v>
      </c>
      <c r="AB174" s="66">
        <f t="shared" si="164"/>
        <v>0.11</v>
      </c>
      <c r="AC174" s="66">
        <f t="shared" si="164"/>
        <v>0.11</v>
      </c>
    </row>
    <row r="175" spans="1:29" x14ac:dyDescent="0.25">
      <c r="A175" s="30" t="str">
        <f t="shared" si="157"/>
        <v>Fuel Cost</v>
      </c>
      <c r="B175" s="66">
        <f>B145*B146*B153/B153</f>
        <v>0.19964725154429486</v>
      </c>
      <c r="C175" s="66">
        <f t="shared" ref="C175:AC175" si="165">C145*C146*C153/C153</f>
        <v>0.19816774374543</v>
      </c>
      <c r="D175" s="66">
        <f t="shared" si="165"/>
        <v>0.19612746345163981</v>
      </c>
      <c r="E175" s="66">
        <f t="shared" si="165"/>
        <v>0.19336093336411195</v>
      </c>
      <c r="F175" s="66">
        <f t="shared" si="165"/>
        <v>0.18969514879846633</v>
      </c>
      <c r="G175" s="66">
        <f t="shared" si="165"/>
        <v>0.18498318592444607</v>
      </c>
      <c r="H175" s="66">
        <f t="shared" si="165"/>
        <v>0.17915302459226864</v>
      </c>
      <c r="I175" s="66">
        <f t="shared" si="165"/>
        <v>0.17225597141763241</v>
      </c>
      <c r="J175" s="66">
        <f t="shared" si="165"/>
        <v>0.16448693812407711</v>
      </c>
      <c r="K175" s="66">
        <f t="shared" si="165"/>
        <v>0.15615756719864929</v>
      </c>
      <c r="L175" s="66">
        <f t="shared" si="165"/>
        <v>0.14763698668768147</v>
      </c>
      <c r="M175" s="66">
        <f t="shared" si="165"/>
        <v>0.13929892022122078</v>
      </c>
      <c r="N175" s="66">
        <f t="shared" si="165"/>
        <v>0.13149272750520313</v>
      </c>
      <c r="O175" s="66">
        <f t="shared" si="165"/>
        <v>0.12451797609002362</v>
      </c>
      <c r="P175" s="66">
        <f t="shared" si="165"/>
        <v>0.11858459348443524</v>
      </c>
      <c r="Q175" s="66">
        <f t="shared" si="165"/>
        <v>0.11377673151275557</v>
      </c>
      <c r="R175" s="66">
        <f t="shared" si="165"/>
        <v>0.11005059444550096</v>
      </c>
      <c r="S175" s="66">
        <f t="shared" si="165"/>
        <v>0.1072699097495646</v>
      </c>
      <c r="T175" s="66">
        <f t="shared" si="165"/>
        <v>0.10525629630280044</v>
      </c>
      <c r="U175" s="66">
        <f t="shared" si="165"/>
        <v>0.10383102154762587</v>
      </c>
      <c r="V175" s="66">
        <f t="shared" si="165"/>
        <v>0.10283884301085992</v>
      </c>
      <c r="W175" s="66">
        <f t="shared" si="165"/>
        <v>0.10215628693109026</v>
      </c>
      <c r="X175" s="66">
        <f t="shared" si="165"/>
        <v>0.10169059667450786</v>
      </c>
      <c r="Y175" s="66">
        <f t="shared" si="165"/>
        <v>0.10137467271113994</v>
      </c>
      <c r="Z175" s="66">
        <f t="shared" si="165"/>
        <v>0.10116118206645359</v>
      </c>
      <c r="AA175" s="66">
        <f t="shared" si="165"/>
        <v>0.10101729275123732</v>
      </c>
      <c r="AB175" s="66">
        <f t="shared" si="165"/>
        <v>0.10092048655968744</v>
      </c>
      <c r="AC175" s="66">
        <f t="shared" si="165"/>
        <v>0.10085543537807369</v>
      </c>
    </row>
    <row r="176" spans="1:29" ht="15.75" thickBot="1" x14ac:dyDescent="0.3">
      <c r="A176" s="59" t="str">
        <f t="shared" ref="A176" si="166">A164</f>
        <v>Emission Cost</v>
      </c>
      <c r="B176" s="66">
        <f>B147</f>
        <v>3.5122691839304448E-3</v>
      </c>
      <c r="C176" s="66">
        <f t="shared" ref="C176:AC176" si="167">C147</f>
        <v>3.5089246478970256E-3</v>
      </c>
      <c r="D176" s="66">
        <f t="shared" si="167"/>
        <v>3.5041370190587195E-3</v>
      </c>
      <c r="E176" s="66">
        <f t="shared" si="167"/>
        <v>3.4972879793244123E-3</v>
      </c>
      <c r="F176" s="66">
        <f t="shared" si="167"/>
        <v>3.4874991902284352E-3</v>
      </c>
      <c r="G176" s="66">
        <f t="shared" si="167"/>
        <v>3.4735284727434282E-3</v>
      </c>
      <c r="H176" s="66">
        <f t="shared" si="167"/>
        <v>3.4536307436526109E-3</v>
      </c>
      <c r="I176" s="66">
        <f t="shared" si="167"/>
        <v>3.4253788207186963E-3</v>
      </c>
      <c r="J176" s="66">
        <f t="shared" si="167"/>
        <v>3.3854474424880663E-3</v>
      </c>
      <c r="K176" s="66">
        <f t="shared" si="167"/>
        <v>3.3293845078740006E-3</v>
      </c>
      <c r="L176" s="66">
        <f t="shared" si="167"/>
        <v>3.251436677284981E-3</v>
      </c>
      <c r="M176" s="66">
        <f t="shared" si="167"/>
        <v>3.1445731175815781E-3</v>
      </c>
      <c r="N176" s="66">
        <f t="shared" si="167"/>
        <v>3.0009599443763112E-3</v>
      </c>
      <c r="O176" s="66">
        <f t="shared" si="167"/>
        <v>2.813229782972361E-3</v>
      </c>
      <c r="P176" s="66">
        <f t="shared" si="167"/>
        <v>2.5768153751997672E-3</v>
      </c>
      <c r="Q176" s="66">
        <f t="shared" si="167"/>
        <v>2.2931248721492917E-3</v>
      </c>
      <c r="R176" s="66">
        <f t="shared" si="167"/>
        <v>1.9723351254059053E-3</v>
      </c>
      <c r="S176" s="66">
        <f t="shared" si="167"/>
        <v>1.6336787059361244E-3</v>
      </c>
      <c r="T176" s="66">
        <f t="shared" si="167"/>
        <v>1.3016864113624426E-3</v>
      </c>
      <c r="U176" s="66">
        <f t="shared" si="167"/>
        <v>9.9946699203053851E-4</v>
      </c>
      <c r="V176" s="66">
        <f t="shared" si="167"/>
        <v>7.4262352247134438E-4</v>
      </c>
      <c r="W176" s="66">
        <f t="shared" si="167"/>
        <v>5.3693790141369664E-4</v>
      </c>
      <c r="X176" s="66">
        <f t="shared" si="167"/>
        <v>3.7999064356739184E-4</v>
      </c>
      <c r="Y176" s="66">
        <f t="shared" si="167"/>
        <v>2.646218218620832E-4</v>
      </c>
      <c r="Z176" s="66">
        <f t="shared" si="167"/>
        <v>1.8213478334480789E-4</v>
      </c>
      <c r="AA176" s="66">
        <f t="shared" si="167"/>
        <v>1.2432355100121771E-4</v>
      </c>
      <c r="AB176" s="66">
        <f t="shared" si="167"/>
        <v>8.4372436095756821E-5</v>
      </c>
      <c r="AC176" s="66">
        <f t="shared" si="167"/>
        <v>5.7031897325531943E-5</v>
      </c>
    </row>
    <row r="177" spans="1:29" ht="15.75" thickBot="1" x14ac:dyDescent="0.3">
      <c r="A177" s="31" t="s">
        <v>63</v>
      </c>
      <c r="B177" s="76">
        <f>B168+B169+B170-B171+B172+B173+B174+B175+B176</f>
        <v>1.6579387556051228</v>
      </c>
      <c r="C177" s="76">
        <f t="shared" ref="C177:AC177" si="168">C168+C169+C170-C171+C172+C173+C174+C175+C176</f>
        <v>1.6489591495266436</v>
      </c>
      <c r="D177" s="76">
        <f t="shared" si="168"/>
        <v>1.6366363126756809</v>
      </c>
      <c r="E177" s="76">
        <f t="shared" si="168"/>
        <v>1.6200507134299307</v>
      </c>
      <c r="F177" s="76">
        <f t="shared" si="168"/>
        <v>1.598319900055637</v>
      </c>
      <c r="G177" s="76">
        <f t="shared" si="168"/>
        <v>1.5708564433911625</v>
      </c>
      <c r="H177" s="76">
        <f t="shared" si="168"/>
        <v>1.5377220093230335</v>
      </c>
      <c r="I177" s="76">
        <f t="shared" si="168"/>
        <v>1.4999442518014738</v>
      </c>
      <c r="J177" s="76">
        <f t="shared" si="168"/>
        <v>1.4595644796901088</v>
      </c>
      <c r="K177" s="76">
        <f t="shared" si="168"/>
        <v>1.4192491709589123</v>
      </c>
      <c r="L177" s="76">
        <f t="shared" si="168"/>
        <v>1.3815842202918247</v>
      </c>
      <c r="M177" s="76">
        <f t="shared" si="168"/>
        <v>1.3484369704270958</v>
      </c>
      <c r="N177" s="76">
        <f t="shared" si="168"/>
        <v>1.3207050302820165</v>
      </c>
      <c r="O177" s="76">
        <f t="shared" si="168"/>
        <v>1.2984479022744417</v>
      </c>
      <c r="P177" s="76">
        <f t="shared" si="168"/>
        <v>1.2811823295419076</v>
      </c>
      <c r="Q177" s="76">
        <f t="shared" si="168"/>
        <v>1.2681574579468324</v>
      </c>
      <c r="R177" s="76">
        <f t="shared" si="168"/>
        <v>1.2585504460192676</v>
      </c>
      <c r="S177" s="76">
        <f t="shared" si="168"/>
        <v>1.2515887443408471</v>
      </c>
      <c r="T177" s="76">
        <f t="shared" si="168"/>
        <v>1.2466136197940678</v>
      </c>
      <c r="U177" s="76">
        <f t="shared" si="168"/>
        <v>1.2430986256424787</v>
      </c>
      <c r="V177" s="76">
        <f t="shared" si="168"/>
        <v>1.2406400222918976</v>
      </c>
      <c r="W177" s="76">
        <f t="shared" si="168"/>
        <v>1.2389357957534075</v>
      </c>
      <c r="X177" s="76">
        <f t="shared" si="168"/>
        <v>1.2377638412997329</v>
      </c>
      <c r="Y177" s="76">
        <f t="shared" si="168"/>
        <v>1.236963270412401</v>
      </c>
      <c r="Z177" s="76">
        <f t="shared" si="168"/>
        <v>1.2364192801783782</v>
      </c>
      <c r="AA177" s="76">
        <f t="shared" si="168"/>
        <v>1.236051116514842</v>
      </c>
      <c r="AB177" s="76">
        <f t="shared" si="168"/>
        <v>1.2358026787282614</v>
      </c>
      <c r="AC177" s="76">
        <f t="shared" si="168"/>
        <v>1.2356353817470289</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69">A156</f>
        <v>Capex vehicle</v>
      </c>
      <c r="B180" s="65">
        <f>((1+B141)^B148)*B141/(((1+B141)^B148)-1)*(B137)/B153/(B150)</f>
        <v>2.2614787309588272E-2</v>
      </c>
      <c r="C180" s="65">
        <f t="shared" ref="C180:AC180" si="170">((1+C141)^C148)*C141/(((1+C141)^C148)-1)*(C137)/C153/(C150)</f>
        <v>2.2284119685006532E-2</v>
      </c>
      <c r="D180" s="65">
        <f t="shared" si="170"/>
        <v>2.1830786742005406E-2</v>
      </c>
      <c r="E180" s="65">
        <f t="shared" si="170"/>
        <v>2.1221555843806153E-2</v>
      </c>
      <c r="F180" s="65">
        <f t="shared" si="170"/>
        <v>2.0425173365105898E-2</v>
      </c>
      <c r="G180" s="65">
        <f t="shared" si="170"/>
        <v>1.9422264239292778E-2</v>
      </c>
      <c r="H180" s="65">
        <f t="shared" si="170"/>
        <v>1.8218802076827995E-2</v>
      </c>
      <c r="I180" s="65">
        <f t="shared" si="170"/>
        <v>1.6857958769910399E-2</v>
      </c>
      <c r="J180" s="65">
        <f t="shared" si="170"/>
        <v>1.5421322074197091E-2</v>
      </c>
      <c r="K180" s="65">
        <f t="shared" si="170"/>
        <v>1.4012955701501843E-2</v>
      </c>
      <c r="L180" s="65">
        <f t="shared" si="170"/>
        <v>1.2730890803251403E-2</v>
      </c>
      <c r="M180" s="65">
        <f t="shared" si="170"/>
        <v>1.1641318209290907E-2</v>
      </c>
      <c r="N180" s="65">
        <f t="shared" si="170"/>
        <v>1.0768765692924485E-2</v>
      </c>
      <c r="O180" s="65">
        <f t="shared" si="170"/>
        <v>1.0102969396292643E-2</v>
      </c>
      <c r="P180" s="65">
        <f t="shared" si="170"/>
        <v>9.6135557213280574E-3</v>
      </c>
      <c r="Q180" s="65">
        <f t="shared" si="170"/>
        <v>9.2636320239117449E-3</v>
      </c>
      <c r="R180" s="65">
        <f t="shared" si="170"/>
        <v>9.0183871886322514E-3</v>
      </c>
      <c r="S180" s="65">
        <f t="shared" si="170"/>
        <v>8.8489079335284937E-3</v>
      </c>
      <c r="T180" s="65">
        <f t="shared" si="170"/>
        <v>8.7329248337857691E-3</v>
      </c>
      <c r="U180" s="65">
        <f t="shared" si="170"/>
        <v>8.6540815915533663E-3</v>
      </c>
      <c r="V180" s="65">
        <f t="shared" si="170"/>
        <v>8.6007292468553743E-3</v>
      </c>
      <c r="W180" s="65">
        <f t="shared" si="170"/>
        <v>8.5647376994211731E-3</v>
      </c>
      <c r="X180" s="65">
        <f t="shared" si="170"/>
        <v>8.5405083684793031E-3</v>
      </c>
      <c r="Y180" s="65">
        <f t="shared" si="170"/>
        <v>8.5242202100229165E-3</v>
      </c>
      <c r="Z180" s="65">
        <f t="shared" si="170"/>
        <v>8.5132808456192151E-3</v>
      </c>
      <c r="AA180" s="65">
        <f t="shared" si="170"/>
        <v>8.5059384725037247E-3</v>
      </c>
      <c r="AB180" s="65">
        <f t="shared" si="170"/>
        <v>8.5010124578128055E-3</v>
      </c>
      <c r="AC180" s="65">
        <f t="shared" si="170"/>
        <v>8.497708528469412E-3</v>
      </c>
    </row>
    <row r="181" spans="1:29" x14ac:dyDescent="0.25">
      <c r="A181" s="30" t="str">
        <f t="shared" si="169"/>
        <v>Residual value (vehicle)</v>
      </c>
      <c r="B181" s="68">
        <f>((1+B141)^B148)*B141/(((1+B141)^B148)-1)*(B138)/B153/(B150)</f>
        <v>-3.4381985932500987E-3</v>
      </c>
      <c r="C181" s="68">
        <f t="shared" ref="C181:AC181" si="171">((1+C141)^C148)*C141/(((1+C141)^C148)-1)*(C138)/C153/(C150)</f>
        <v>-3.4074011184116039E-3</v>
      </c>
      <c r="D181" s="68">
        <f t="shared" si="171"/>
        <v>-3.365178932543852E-3</v>
      </c>
      <c r="E181" s="68">
        <f t="shared" si="171"/>
        <v>-3.3084368390841174E-3</v>
      </c>
      <c r="F181" s="68">
        <f t="shared" si="171"/>
        <v>-3.2342639611659561E-3</v>
      </c>
      <c r="G181" s="68">
        <f t="shared" si="171"/>
        <v>-3.1408557582715975E-3</v>
      </c>
      <c r="H181" s="68">
        <f t="shared" si="171"/>
        <v>-3.0287685960812497E-3</v>
      </c>
      <c r="I181" s="68">
        <f t="shared" si="171"/>
        <v>-2.9020233861232385E-3</v>
      </c>
      <c r="J181" s="68">
        <f t="shared" si="171"/>
        <v>-2.7682189879930769E-3</v>
      </c>
      <c r="K181" s="68">
        <f t="shared" si="171"/>
        <v>-2.63704761014401E-3</v>
      </c>
      <c r="L181" s="68">
        <f t="shared" si="171"/>
        <v>-2.5176396049148026E-3</v>
      </c>
      <c r="M181" s="68">
        <f t="shared" si="171"/>
        <v>-2.4161598044969133E-3</v>
      </c>
      <c r="N181" s="68">
        <f t="shared" si="171"/>
        <v>-2.3348926583647463E-3</v>
      </c>
      <c r="O181" s="68">
        <f t="shared" si="171"/>
        <v>-2.2728822189725648E-3</v>
      </c>
      <c r="P181" s="68">
        <f t="shared" si="171"/>
        <v>-2.2272995727748829E-3</v>
      </c>
      <c r="Q181" s="68">
        <f t="shared" si="171"/>
        <v>-2.1947086401723835E-3</v>
      </c>
      <c r="R181" s="68">
        <f t="shared" si="171"/>
        <v>-2.1718672094355675E-3</v>
      </c>
      <c r="S181" s="68">
        <f t="shared" si="171"/>
        <v>-2.156082376852375E-3</v>
      </c>
      <c r="T181" s="68">
        <f t="shared" si="171"/>
        <v>-2.1452800293273169E-3</v>
      </c>
      <c r="U181" s="68">
        <f t="shared" si="171"/>
        <v>-2.1379367861782202E-3</v>
      </c>
      <c r="V181" s="68">
        <f t="shared" si="171"/>
        <v>-2.1329676952504669E-3</v>
      </c>
      <c r="W181" s="68">
        <f t="shared" si="171"/>
        <v>-2.1296155413227714E-3</v>
      </c>
      <c r="X181" s="68">
        <f t="shared" si="171"/>
        <v>-2.1273588879507348E-3</v>
      </c>
      <c r="Y181" s="68">
        <f t="shared" si="171"/>
        <v>-2.1258418535846984E-3</v>
      </c>
      <c r="Z181" s="68">
        <f t="shared" si="171"/>
        <v>-2.1248229912137649E-3</v>
      </c>
      <c r="AA181" s="68">
        <f t="shared" si="171"/>
        <v>-2.1241391427373225E-3</v>
      </c>
      <c r="AB181" s="68">
        <f t="shared" si="171"/>
        <v>-2.1236803472514036E-3</v>
      </c>
      <c r="AC181" s="68">
        <f t="shared" si="171"/>
        <v>-2.1233726283419697E-3</v>
      </c>
    </row>
    <row r="182" spans="1:29" x14ac:dyDescent="0.25">
      <c r="A182" s="30" t="str">
        <f t="shared" si="169"/>
        <v>Capex costumization</v>
      </c>
      <c r="B182" s="66">
        <f>((1+B141)^B149)*B141/(((1+B141)^B149)-1)*(B139)/B153/(B150)</f>
        <v>2.964391815717463E-3</v>
      </c>
      <c r="C182" s="66">
        <f t="shared" ref="C182:AC182" si="172">((1+C141)^C149)*C141/(((1+C141)^C149)-1)*(C139)/C153/(C150)</f>
        <v>2.964391815717463E-3</v>
      </c>
      <c r="D182" s="66">
        <f t="shared" si="172"/>
        <v>2.964391815717463E-3</v>
      </c>
      <c r="E182" s="66">
        <f t="shared" si="172"/>
        <v>2.964391815717463E-3</v>
      </c>
      <c r="F182" s="66">
        <f t="shared" si="172"/>
        <v>2.964391815717463E-3</v>
      </c>
      <c r="G182" s="66">
        <f t="shared" si="172"/>
        <v>2.964391815717463E-3</v>
      </c>
      <c r="H182" s="66">
        <f t="shared" si="172"/>
        <v>2.964391815717463E-3</v>
      </c>
      <c r="I182" s="66">
        <f t="shared" si="172"/>
        <v>2.964391815717463E-3</v>
      </c>
      <c r="J182" s="66">
        <f t="shared" si="172"/>
        <v>2.964391815717463E-3</v>
      </c>
      <c r="K182" s="66">
        <f t="shared" si="172"/>
        <v>2.964391815717463E-3</v>
      </c>
      <c r="L182" s="66">
        <f t="shared" si="172"/>
        <v>2.964391815717463E-3</v>
      </c>
      <c r="M182" s="66">
        <f t="shared" si="172"/>
        <v>2.964391815717463E-3</v>
      </c>
      <c r="N182" s="66">
        <f t="shared" si="172"/>
        <v>2.964391815717463E-3</v>
      </c>
      <c r="O182" s="66">
        <f t="shared" si="172"/>
        <v>2.964391815717463E-3</v>
      </c>
      <c r="P182" s="66">
        <f t="shared" si="172"/>
        <v>2.964391815717463E-3</v>
      </c>
      <c r="Q182" s="66">
        <f t="shared" si="172"/>
        <v>2.964391815717463E-3</v>
      </c>
      <c r="R182" s="66">
        <f t="shared" si="172"/>
        <v>2.964391815717463E-3</v>
      </c>
      <c r="S182" s="66">
        <f t="shared" si="172"/>
        <v>2.964391815717463E-3</v>
      </c>
      <c r="T182" s="66">
        <f t="shared" si="172"/>
        <v>2.964391815717463E-3</v>
      </c>
      <c r="U182" s="66">
        <f t="shared" si="172"/>
        <v>2.964391815717463E-3</v>
      </c>
      <c r="V182" s="66">
        <f t="shared" si="172"/>
        <v>2.964391815717463E-3</v>
      </c>
      <c r="W182" s="66">
        <f t="shared" si="172"/>
        <v>2.964391815717463E-3</v>
      </c>
      <c r="X182" s="66">
        <f t="shared" si="172"/>
        <v>2.964391815717463E-3</v>
      </c>
      <c r="Y182" s="66">
        <f t="shared" si="172"/>
        <v>2.964391815717463E-3</v>
      </c>
      <c r="Z182" s="66">
        <f t="shared" si="172"/>
        <v>2.964391815717463E-3</v>
      </c>
      <c r="AA182" s="66">
        <f t="shared" si="172"/>
        <v>2.964391815717463E-3</v>
      </c>
      <c r="AB182" s="66">
        <f t="shared" si="172"/>
        <v>2.964391815717463E-3</v>
      </c>
      <c r="AC182" s="66">
        <f t="shared" si="172"/>
        <v>2.964391815717463E-3</v>
      </c>
    </row>
    <row r="183" spans="1:29" x14ac:dyDescent="0.25">
      <c r="A183" s="30" t="str">
        <f t="shared" si="169"/>
        <v>Residual value (costumization)</v>
      </c>
      <c r="B183" s="69">
        <f>((1+B141)^B149)*B141/(((1+B141)^B149)-1)*(B140)/B153/(B150)</f>
        <v>-7.4109795392936575E-4</v>
      </c>
      <c r="C183" s="69">
        <f t="shared" ref="C183:AC183" si="173">((1+C141)^C149)*C141/(((1+C141)^C149)-1)*(C140)/C153/(C150)</f>
        <v>-7.4109795392936575E-4</v>
      </c>
      <c r="D183" s="69">
        <f t="shared" si="173"/>
        <v>-7.4109795392936575E-4</v>
      </c>
      <c r="E183" s="69">
        <f t="shared" si="173"/>
        <v>-7.4109795392936575E-4</v>
      </c>
      <c r="F183" s="69">
        <f t="shared" si="173"/>
        <v>-7.4109795392936575E-4</v>
      </c>
      <c r="G183" s="69">
        <f t="shared" si="173"/>
        <v>-7.4109795392936575E-4</v>
      </c>
      <c r="H183" s="69">
        <f t="shared" si="173"/>
        <v>-7.4109795392936575E-4</v>
      </c>
      <c r="I183" s="69">
        <f t="shared" si="173"/>
        <v>-7.4109795392936575E-4</v>
      </c>
      <c r="J183" s="69">
        <f t="shared" si="173"/>
        <v>-7.4109795392936575E-4</v>
      </c>
      <c r="K183" s="69">
        <f t="shared" si="173"/>
        <v>-7.4109795392936575E-4</v>
      </c>
      <c r="L183" s="69">
        <f t="shared" si="173"/>
        <v>-7.4109795392936575E-4</v>
      </c>
      <c r="M183" s="69">
        <f t="shared" si="173"/>
        <v>-7.4109795392936575E-4</v>
      </c>
      <c r="N183" s="69">
        <f t="shared" si="173"/>
        <v>-7.4109795392936575E-4</v>
      </c>
      <c r="O183" s="69">
        <f t="shared" si="173"/>
        <v>-7.4109795392936575E-4</v>
      </c>
      <c r="P183" s="69">
        <f t="shared" si="173"/>
        <v>-7.4109795392936575E-4</v>
      </c>
      <c r="Q183" s="69">
        <f t="shared" si="173"/>
        <v>-7.4109795392936575E-4</v>
      </c>
      <c r="R183" s="69">
        <f t="shared" si="173"/>
        <v>-7.4109795392936575E-4</v>
      </c>
      <c r="S183" s="69">
        <f t="shared" si="173"/>
        <v>-7.4109795392936575E-4</v>
      </c>
      <c r="T183" s="69">
        <f t="shared" si="173"/>
        <v>-7.4109795392936575E-4</v>
      </c>
      <c r="U183" s="69">
        <f t="shared" si="173"/>
        <v>-7.4109795392936575E-4</v>
      </c>
      <c r="V183" s="69">
        <f t="shared" si="173"/>
        <v>-7.4109795392936575E-4</v>
      </c>
      <c r="W183" s="69">
        <f t="shared" si="173"/>
        <v>-7.4109795392936575E-4</v>
      </c>
      <c r="X183" s="69">
        <f t="shared" si="173"/>
        <v>-7.4109795392936575E-4</v>
      </c>
      <c r="Y183" s="69">
        <f t="shared" si="173"/>
        <v>-7.4109795392936575E-4</v>
      </c>
      <c r="Z183" s="69">
        <f t="shared" si="173"/>
        <v>-7.4109795392936575E-4</v>
      </c>
      <c r="AA183" s="69">
        <f t="shared" si="173"/>
        <v>-7.4109795392936575E-4</v>
      </c>
      <c r="AB183" s="69">
        <f t="shared" si="173"/>
        <v>-7.4109795392936575E-4</v>
      </c>
      <c r="AC183" s="69">
        <f t="shared" si="173"/>
        <v>-7.4109795392936575E-4</v>
      </c>
    </row>
    <row r="184" spans="1:29" x14ac:dyDescent="0.25">
      <c r="A184" s="30" t="str">
        <f t="shared" si="169"/>
        <v>Opex fix (admin, crew, insurance)</v>
      </c>
      <c r="B184" s="66">
        <f>B142/B153/(B150)</f>
        <v>2.5454545454545455E-2</v>
      </c>
      <c r="C184" s="66">
        <f t="shared" ref="C184:AC184" si="174">C142/C153/(C150)</f>
        <v>2.5454545454545455E-2</v>
      </c>
      <c r="D184" s="66">
        <f t="shared" si="174"/>
        <v>2.5454545454545455E-2</v>
      </c>
      <c r="E184" s="66">
        <f t="shared" si="174"/>
        <v>2.5454545454545455E-2</v>
      </c>
      <c r="F184" s="66">
        <f t="shared" si="174"/>
        <v>2.5454545454545455E-2</v>
      </c>
      <c r="G184" s="66">
        <f t="shared" si="174"/>
        <v>2.5454545454545455E-2</v>
      </c>
      <c r="H184" s="66">
        <f t="shared" si="174"/>
        <v>2.5454545454545455E-2</v>
      </c>
      <c r="I184" s="66">
        <f t="shared" si="174"/>
        <v>2.5454545454545455E-2</v>
      </c>
      <c r="J184" s="66">
        <f t="shared" si="174"/>
        <v>2.5454545454545455E-2</v>
      </c>
      <c r="K184" s="66">
        <f t="shared" si="174"/>
        <v>2.5454545454545455E-2</v>
      </c>
      <c r="L184" s="66">
        <f t="shared" si="174"/>
        <v>2.5454545454545455E-2</v>
      </c>
      <c r="M184" s="66">
        <f t="shared" si="174"/>
        <v>2.5454545454545455E-2</v>
      </c>
      <c r="N184" s="66">
        <f t="shared" si="174"/>
        <v>2.5454545454545455E-2</v>
      </c>
      <c r="O184" s="66">
        <f t="shared" si="174"/>
        <v>2.5454545454545455E-2</v>
      </c>
      <c r="P184" s="66">
        <f t="shared" si="174"/>
        <v>2.5454545454545455E-2</v>
      </c>
      <c r="Q184" s="66">
        <f t="shared" si="174"/>
        <v>2.5454545454545455E-2</v>
      </c>
      <c r="R184" s="66">
        <f t="shared" si="174"/>
        <v>2.5454545454545455E-2</v>
      </c>
      <c r="S184" s="66">
        <f t="shared" si="174"/>
        <v>2.5454545454545455E-2</v>
      </c>
      <c r="T184" s="66">
        <f t="shared" si="174"/>
        <v>2.5454545454545455E-2</v>
      </c>
      <c r="U184" s="66">
        <f t="shared" si="174"/>
        <v>2.5454545454545455E-2</v>
      </c>
      <c r="V184" s="66">
        <f t="shared" si="174"/>
        <v>2.5454545454545455E-2</v>
      </c>
      <c r="W184" s="66">
        <f t="shared" si="174"/>
        <v>2.5454545454545455E-2</v>
      </c>
      <c r="X184" s="66">
        <f t="shared" si="174"/>
        <v>2.5454545454545455E-2</v>
      </c>
      <c r="Y184" s="66">
        <f t="shared" si="174"/>
        <v>2.5454545454545455E-2</v>
      </c>
      <c r="Z184" s="66">
        <f t="shared" si="174"/>
        <v>2.5454545454545455E-2</v>
      </c>
      <c r="AA184" s="66">
        <f t="shared" si="174"/>
        <v>2.5454545454545455E-2</v>
      </c>
      <c r="AB184" s="66">
        <f t="shared" si="174"/>
        <v>2.5454545454545455E-2</v>
      </c>
      <c r="AC184" s="66">
        <f t="shared" si="174"/>
        <v>2.5454545454545455E-2</v>
      </c>
    </row>
    <row r="185" spans="1:29" x14ac:dyDescent="0.25">
      <c r="A185" s="30" t="str">
        <f t="shared" si="169"/>
        <v>Opex maintenance &amp; repair</v>
      </c>
      <c r="B185" s="66">
        <f>B143/B153/(B150)</f>
        <v>5.4545454545454541E-3</v>
      </c>
      <c r="C185" s="66">
        <f t="shared" ref="C185:AC185" si="175">C143/C153/(C150)</f>
        <v>5.4545454545454541E-3</v>
      </c>
      <c r="D185" s="66">
        <f t="shared" si="175"/>
        <v>5.4545454545454541E-3</v>
      </c>
      <c r="E185" s="66">
        <f t="shared" si="175"/>
        <v>5.4545454545454541E-3</v>
      </c>
      <c r="F185" s="66">
        <f t="shared" si="175"/>
        <v>5.4545454545454541E-3</v>
      </c>
      <c r="G185" s="66">
        <f t="shared" si="175"/>
        <v>5.4545454545454541E-3</v>
      </c>
      <c r="H185" s="66">
        <f t="shared" si="175"/>
        <v>5.4545454545454541E-3</v>
      </c>
      <c r="I185" s="66">
        <f t="shared" si="175"/>
        <v>5.4545454545454541E-3</v>
      </c>
      <c r="J185" s="66">
        <f t="shared" si="175"/>
        <v>5.4545454545454541E-3</v>
      </c>
      <c r="K185" s="66">
        <f t="shared" si="175"/>
        <v>5.4545454545454541E-3</v>
      </c>
      <c r="L185" s="66">
        <f t="shared" si="175"/>
        <v>5.4545454545454541E-3</v>
      </c>
      <c r="M185" s="66">
        <f t="shared" si="175"/>
        <v>5.4545454545454541E-3</v>
      </c>
      <c r="N185" s="66">
        <f t="shared" si="175"/>
        <v>5.4545454545454541E-3</v>
      </c>
      <c r="O185" s="66">
        <f t="shared" si="175"/>
        <v>5.4545454545454541E-3</v>
      </c>
      <c r="P185" s="66">
        <f t="shared" si="175"/>
        <v>5.4545454545454541E-3</v>
      </c>
      <c r="Q185" s="66">
        <f t="shared" si="175"/>
        <v>5.4545454545454541E-3</v>
      </c>
      <c r="R185" s="66">
        <f t="shared" si="175"/>
        <v>5.4545454545454541E-3</v>
      </c>
      <c r="S185" s="66">
        <f t="shared" si="175"/>
        <v>5.4545454545454541E-3</v>
      </c>
      <c r="T185" s="66">
        <f t="shared" si="175"/>
        <v>5.4545454545454541E-3</v>
      </c>
      <c r="U185" s="66">
        <f t="shared" si="175"/>
        <v>5.4545454545454541E-3</v>
      </c>
      <c r="V185" s="66">
        <f t="shared" si="175"/>
        <v>5.4545454545454541E-3</v>
      </c>
      <c r="W185" s="66">
        <f t="shared" si="175"/>
        <v>5.4545454545454541E-3</v>
      </c>
      <c r="X185" s="66">
        <f t="shared" si="175"/>
        <v>5.4545454545454541E-3</v>
      </c>
      <c r="Y185" s="66">
        <f t="shared" si="175"/>
        <v>5.4545454545454541E-3</v>
      </c>
      <c r="Z185" s="66">
        <f t="shared" si="175"/>
        <v>5.4545454545454541E-3</v>
      </c>
      <c r="AA185" s="66">
        <f t="shared" si="175"/>
        <v>5.4545454545454541E-3</v>
      </c>
      <c r="AB185" s="66">
        <f t="shared" si="175"/>
        <v>5.4545454545454541E-3</v>
      </c>
      <c r="AC185" s="66">
        <f t="shared" si="175"/>
        <v>5.4545454545454541E-3</v>
      </c>
    </row>
    <row r="186" spans="1:29" x14ac:dyDescent="0.25">
      <c r="A186" s="30" t="str">
        <f t="shared" si="169"/>
        <v>Opex var (mode-fees)</v>
      </c>
      <c r="B186" s="66">
        <f>B144*B153/B153/(B150)</f>
        <v>4.4000000000000003E-3</v>
      </c>
      <c r="C186" s="66">
        <f t="shared" ref="C186:AC186" si="176">C144*C153/C153/(C150)</f>
        <v>4.4000000000000003E-3</v>
      </c>
      <c r="D186" s="66">
        <f t="shared" si="176"/>
        <v>4.4000000000000003E-3</v>
      </c>
      <c r="E186" s="66">
        <f t="shared" si="176"/>
        <v>4.4000000000000003E-3</v>
      </c>
      <c r="F186" s="66">
        <f t="shared" si="176"/>
        <v>4.4000000000000003E-3</v>
      </c>
      <c r="G186" s="66">
        <f t="shared" si="176"/>
        <v>4.4000000000000003E-3</v>
      </c>
      <c r="H186" s="66">
        <f t="shared" si="176"/>
        <v>4.4000000000000003E-3</v>
      </c>
      <c r="I186" s="66">
        <f t="shared" si="176"/>
        <v>4.4000000000000003E-3</v>
      </c>
      <c r="J186" s="66">
        <f t="shared" si="176"/>
        <v>4.4000000000000003E-3</v>
      </c>
      <c r="K186" s="66">
        <f t="shared" si="176"/>
        <v>4.4000000000000003E-3</v>
      </c>
      <c r="L186" s="66">
        <f t="shared" si="176"/>
        <v>4.4000000000000003E-3</v>
      </c>
      <c r="M186" s="66">
        <f t="shared" si="176"/>
        <v>4.4000000000000003E-3</v>
      </c>
      <c r="N186" s="66">
        <f t="shared" si="176"/>
        <v>4.4000000000000003E-3</v>
      </c>
      <c r="O186" s="66">
        <f t="shared" si="176"/>
        <v>4.4000000000000003E-3</v>
      </c>
      <c r="P186" s="66">
        <f t="shared" si="176"/>
        <v>4.4000000000000003E-3</v>
      </c>
      <c r="Q186" s="66">
        <f t="shared" si="176"/>
        <v>4.4000000000000003E-3</v>
      </c>
      <c r="R186" s="66">
        <f t="shared" si="176"/>
        <v>4.4000000000000003E-3</v>
      </c>
      <c r="S186" s="66">
        <f t="shared" si="176"/>
        <v>4.4000000000000003E-3</v>
      </c>
      <c r="T186" s="66">
        <f t="shared" si="176"/>
        <v>4.4000000000000003E-3</v>
      </c>
      <c r="U186" s="66">
        <f t="shared" si="176"/>
        <v>4.4000000000000003E-3</v>
      </c>
      <c r="V186" s="66">
        <f t="shared" si="176"/>
        <v>4.4000000000000003E-3</v>
      </c>
      <c r="W186" s="66">
        <f t="shared" si="176"/>
        <v>4.4000000000000003E-3</v>
      </c>
      <c r="X186" s="66">
        <f t="shared" si="176"/>
        <v>4.4000000000000003E-3</v>
      </c>
      <c r="Y186" s="66">
        <f t="shared" si="176"/>
        <v>4.4000000000000003E-3</v>
      </c>
      <c r="Z186" s="66">
        <f t="shared" si="176"/>
        <v>4.4000000000000003E-3</v>
      </c>
      <c r="AA186" s="66">
        <f t="shared" si="176"/>
        <v>4.4000000000000003E-3</v>
      </c>
      <c r="AB186" s="66">
        <f t="shared" si="176"/>
        <v>4.4000000000000003E-3</v>
      </c>
      <c r="AC186" s="66">
        <f t="shared" si="176"/>
        <v>4.4000000000000003E-3</v>
      </c>
    </row>
    <row r="187" spans="1:29" x14ac:dyDescent="0.25">
      <c r="A187" s="30" t="str">
        <f t="shared" si="169"/>
        <v>Fuel Cost</v>
      </c>
      <c r="B187" s="66">
        <f>B145*B146*B153/B153/(B150)</f>
        <v>7.985890061771795E-3</v>
      </c>
      <c r="C187" s="66">
        <f t="shared" ref="C187:AC187" si="177">C145*C146*C153/C153/(C150)</f>
        <v>7.9267097498172002E-3</v>
      </c>
      <c r="D187" s="66">
        <f t="shared" si="177"/>
        <v>7.8450985380655921E-3</v>
      </c>
      <c r="E187" s="66">
        <f t="shared" si="177"/>
        <v>7.7344373345644779E-3</v>
      </c>
      <c r="F187" s="66">
        <f t="shared" si="177"/>
        <v>7.5878059519386533E-3</v>
      </c>
      <c r="G187" s="66">
        <f t="shared" si="177"/>
        <v>7.3993274369778426E-3</v>
      </c>
      <c r="H187" s="66">
        <f t="shared" si="177"/>
        <v>7.1661209836907458E-3</v>
      </c>
      <c r="I187" s="66">
        <f t="shared" si="177"/>
        <v>6.890238856705296E-3</v>
      </c>
      <c r="J187" s="66">
        <f t="shared" si="177"/>
        <v>6.5794775249630845E-3</v>
      </c>
      <c r="K187" s="66">
        <f t="shared" si="177"/>
        <v>6.2463026879459715E-3</v>
      </c>
      <c r="L187" s="66">
        <f t="shared" si="177"/>
        <v>5.9054794675072585E-3</v>
      </c>
      <c r="M187" s="66">
        <f t="shared" si="177"/>
        <v>5.5719568088488311E-3</v>
      </c>
      <c r="N187" s="66">
        <f t="shared" si="177"/>
        <v>5.2597091002081252E-3</v>
      </c>
      <c r="O187" s="66">
        <f t="shared" si="177"/>
        <v>4.9807190436009447E-3</v>
      </c>
      <c r="P187" s="66">
        <f t="shared" si="177"/>
        <v>4.7433837393774094E-3</v>
      </c>
      <c r="Q187" s="66">
        <f t="shared" si="177"/>
        <v>4.5510692605102224E-3</v>
      </c>
      <c r="R187" s="66">
        <f t="shared" si="177"/>
        <v>4.4020237778200381E-3</v>
      </c>
      <c r="S187" s="66">
        <f t="shared" si="177"/>
        <v>4.2907963899825839E-3</v>
      </c>
      <c r="T187" s="66">
        <f t="shared" si="177"/>
        <v>4.2102518521120172E-3</v>
      </c>
      <c r="U187" s="66">
        <f t="shared" si="177"/>
        <v>4.1532408619050351E-3</v>
      </c>
      <c r="V187" s="66">
        <f t="shared" si="177"/>
        <v>4.1135537204343969E-3</v>
      </c>
      <c r="W187" s="66">
        <f t="shared" si="177"/>
        <v>4.08625147724361E-3</v>
      </c>
      <c r="X187" s="66">
        <f t="shared" si="177"/>
        <v>4.0676238669803142E-3</v>
      </c>
      <c r="Y187" s="66">
        <f t="shared" si="177"/>
        <v>4.0549869084455974E-3</v>
      </c>
      <c r="Z187" s="66">
        <f t="shared" si="177"/>
        <v>4.0464472826581442E-3</v>
      </c>
      <c r="AA187" s="66">
        <f t="shared" si="177"/>
        <v>4.0406917100494931E-3</v>
      </c>
      <c r="AB187" s="66">
        <f t="shared" si="177"/>
        <v>4.0368194623874977E-3</v>
      </c>
      <c r="AC187" s="66">
        <f t="shared" si="177"/>
        <v>4.0342174151229478E-3</v>
      </c>
    </row>
    <row r="188" spans="1:29" x14ac:dyDescent="0.25">
      <c r="A188" s="59" t="str">
        <f>A151</f>
        <v>Market failure (av. utilization)</v>
      </c>
      <c r="B188" s="66">
        <f t="shared" ref="B188:AC188" si="178">B177/B151-B177/B150</f>
        <v>3.7303622001115269E-2</v>
      </c>
      <c r="C188" s="66">
        <f t="shared" si="178"/>
        <v>3.7101580864349476E-2</v>
      </c>
      <c r="D188" s="66">
        <f t="shared" si="178"/>
        <v>3.6824317035202822E-2</v>
      </c>
      <c r="E188" s="66">
        <f t="shared" si="178"/>
        <v>3.6451141052173439E-2</v>
      </c>
      <c r="F188" s="66">
        <f t="shared" si="178"/>
        <v>3.5962197751251826E-2</v>
      </c>
      <c r="G188" s="66">
        <f t="shared" si="178"/>
        <v>3.5344269976301163E-2</v>
      </c>
      <c r="H188" s="66">
        <f t="shared" si="178"/>
        <v>3.4598745209768252E-2</v>
      </c>
      <c r="I188" s="66">
        <f t="shared" si="178"/>
        <v>3.374874566553316E-2</v>
      </c>
      <c r="J188" s="66">
        <f t="shared" si="178"/>
        <v>3.2840200793027449E-2</v>
      </c>
      <c r="K188" s="66">
        <f t="shared" si="178"/>
        <v>3.1933106346575528E-2</v>
      </c>
      <c r="L188" s="66">
        <f t="shared" si="178"/>
        <v>3.1085644956566058E-2</v>
      </c>
      <c r="M188" s="66">
        <f t="shared" si="178"/>
        <v>3.0339831834609657E-2</v>
      </c>
      <c r="N188" s="66">
        <f t="shared" si="178"/>
        <v>2.9715863181345371E-2</v>
      </c>
      <c r="O188" s="66">
        <f t="shared" si="178"/>
        <v>2.9215077801174938E-2</v>
      </c>
      <c r="P188" s="66">
        <f t="shared" si="178"/>
        <v>2.8826602414692919E-2</v>
      </c>
      <c r="Q188" s="66">
        <f t="shared" si="178"/>
        <v>2.8533542803803727E-2</v>
      </c>
      <c r="R188" s="66">
        <f t="shared" si="178"/>
        <v>2.8317385035433518E-2</v>
      </c>
      <c r="S188" s="66">
        <f t="shared" si="178"/>
        <v>2.8160746747669059E-2</v>
      </c>
      <c r="T188" s="66">
        <f t="shared" si="178"/>
        <v>2.8048806445366524E-2</v>
      </c>
      <c r="U188" s="66">
        <f t="shared" si="178"/>
        <v>2.7969719076955772E-2</v>
      </c>
      <c r="V188" s="66">
        <f t="shared" si="178"/>
        <v>2.7914400501567696E-2</v>
      </c>
      <c r="W188" s="66">
        <f t="shared" si="178"/>
        <v>2.787605540445167E-2</v>
      </c>
      <c r="X188" s="66">
        <f t="shared" si="178"/>
        <v>2.7849686429243993E-2</v>
      </c>
      <c r="Y188" s="66">
        <f t="shared" si="178"/>
        <v>2.7831673584279022E-2</v>
      </c>
      <c r="Z188" s="66">
        <f t="shared" si="178"/>
        <v>2.7819433804013513E-2</v>
      </c>
      <c r="AA188" s="66">
        <f t="shared" si="178"/>
        <v>2.7811150121583944E-2</v>
      </c>
      <c r="AB188" s="66">
        <f t="shared" si="178"/>
        <v>2.7805560271385879E-2</v>
      </c>
      <c r="AC188" s="66">
        <f t="shared" si="178"/>
        <v>2.7801796089308148E-2</v>
      </c>
    </row>
    <row r="189" spans="1:29" x14ac:dyDescent="0.25">
      <c r="A189" s="59" t="str">
        <f>A152</f>
        <v>Payload loss (fuel)</v>
      </c>
      <c r="B189" s="66">
        <f>B177/(B150-B152)-B177/B150</f>
        <v>7.3146110257246849E-3</v>
      </c>
      <c r="C189" s="66">
        <f t="shared" ref="C189:AC189" si="179">C177/(C150-C152)-C177/C150</f>
        <v>7.2520198491515947E-3</v>
      </c>
      <c r="D189" s="66">
        <f t="shared" si="179"/>
        <v>7.1654728825255726E-3</v>
      </c>
      <c r="E189" s="66">
        <f t="shared" si="179"/>
        <v>7.0476439978831851E-3</v>
      </c>
      <c r="F189" s="66">
        <f t="shared" si="179"/>
        <v>6.8905753168821415E-3</v>
      </c>
      <c r="G189" s="66">
        <f t="shared" si="179"/>
        <v>6.6869056160072243E-3</v>
      </c>
      <c r="H189" s="66">
        <f t="shared" si="179"/>
        <v>6.431751549764754E-3</v>
      </c>
      <c r="I189" s="66">
        <f t="shared" si="179"/>
        <v>6.1247485098573154E-3</v>
      </c>
      <c r="J189" s="66">
        <f t="shared" si="179"/>
        <v>5.7713271336316957E-3</v>
      </c>
      <c r="K189" s="66">
        <f t="shared" si="179"/>
        <v>5.3825640003556524E-3</v>
      </c>
      <c r="L189" s="66">
        <f t="shared" si="179"/>
        <v>4.9739651147693784E-3</v>
      </c>
      <c r="M189" s="66">
        <f t="shared" si="179"/>
        <v>4.5640635825563436E-3</v>
      </c>
      <c r="N189" s="66">
        <f t="shared" si="179"/>
        <v>4.1727958029758871E-3</v>
      </c>
      <c r="O189" s="66">
        <f t="shared" si="179"/>
        <v>3.8187676770898224E-3</v>
      </c>
      <c r="P189" s="66">
        <f t="shared" si="179"/>
        <v>3.5156128736463024E-3</v>
      </c>
      <c r="Q189" s="66">
        <f t="shared" si="179"/>
        <v>3.2693633151767432E-3</v>
      </c>
      <c r="R189" s="66">
        <f t="shared" si="179"/>
        <v>3.0784596572942802E-3</v>
      </c>
      <c r="S189" s="66">
        <f t="shared" si="179"/>
        <v>2.9360503493230869E-3</v>
      </c>
      <c r="T189" s="66">
        <f t="shared" si="179"/>
        <v>2.8329561359160538E-3</v>
      </c>
      <c r="U189" s="66">
        <f t="shared" si="179"/>
        <v>2.7599795862551513E-3</v>
      </c>
      <c r="V189" s="66">
        <f t="shared" si="179"/>
        <v>2.7091590660502443E-3</v>
      </c>
      <c r="W189" s="66">
        <f t="shared" si="179"/>
        <v>2.674178652208134E-3</v>
      </c>
      <c r="X189" s="66">
        <f t="shared" si="179"/>
        <v>2.6502987624748287E-3</v>
      </c>
      <c r="Y189" s="66">
        <f t="shared" si="179"/>
        <v>2.63409038956499E-3</v>
      </c>
      <c r="Z189" s="66">
        <f t="shared" si="179"/>
        <v>2.623132797602637E-3</v>
      </c>
      <c r="AA189" s="66">
        <f t="shared" si="179"/>
        <v>2.6157452341979762E-3</v>
      </c>
      <c r="AB189" s="66">
        <f t="shared" si="179"/>
        <v>2.6107738733420066E-3</v>
      </c>
      <c r="AC189" s="66">
        <f t="shared" si="179"/>
        <v>2.6074327084575841E-3</v>
      </c>
    </row>
    <row r="190" spans="1:29" ht="15.75" thickBot="1" x14ac:dyDescent="0.3">
      <c r="A190" s="59" t="str">
        <f>A127</f>
        <v>Emission Cost</v>
      </c>
      <c r="B190" s="68">
        <f>B147*B153/B153/(B150)</f>
        <v>1.4049076735721778E-4</v>
      </c>
      <c r="C190" s="68">
        <f t="shared" ref="C190:AC190" si="180">C147*C153/C153/(C150)</f>
        <v>1.4035698591588104E-4</v>
      </c>
      <c r="D190" s="68">
        <f t="shared" si="180"/>
        <v>1.4016548076234878E-4</v>
      </c>
      <c r="E190" s="68">
        <f t="shared" si="180"/>
        <v>1.3989151917297648E-4</v>
      </c>
      <c r="F190" s="68">
        <f t="shared" si="180"/>
        <v>1.3949996760913741E-4</v>
      </c>
      <c r="G190" s="68">
        <f t="shared" si="180"/>
        <v>1.3894113890973713E-4</v>
      </c>
      <c r="H190" s="68">
        <f t="shared" si="180"/>
        <v>1.3814522974610446E-4</v>
      </c>
      <c r="I190" s="68">
        <f t="shared" si="180"/>
        <v>1.3701515282874785E-4</v>
      </c>
      <c r="J190" s="68">
        <f t="shared" si="180"/>
        <v>1.3541789769952266E-4</v>
      </c>
      <c r="K190" s="68">
        <f t="shared" si="180"/>
        <v>1.3317538031496002E-4</v>
      </c>
      <c r="L190" s="68">
        <f t="shared" si="180"/>
        <v>1.3005746709139924E-4</v>
      </c>
      <c r="M190" s="68">
        <f t="shared" si="180"/>
        <v>1.2578292470326314E-4</v>
      </c>
      <c r="N190" s="68">
        <f t="shared" si="180"/>
        <v>1.2003839777505244E-4</v>
      </c>
      <c r="O190" s="68">
        <f t="shared" si="180"/>
        <v>1.1252919131889444E-4</v>
      </c>
      <c r="P190" s="68">
        <f t="shared" si="180"/>
        <v>1.0307261500799071E-4</v>
      </c>
      <c r="Q190" s="68">
        <f t="shared" si="180"/>
        <v>9.1724994885971666E-5</v>
      </c>
      <c r="R190" s="68">
        <f t="shared" si="180"/>
        <v>7.8893405016236212E-5</v>
      </c>
      <c r="S190" s="68">
        <f t="shared" si="180"/>
        <v>6.534714823744498E-5</v>
      </c>
      <c r="T190" s="68">
        <f t="shared" si="180"/>
        <v>5.2067456454497702E-5</v>
      </c>
      <c r="U190" s="68">
        <f t="shared" si="180"/>
        <v>3.9978679681221538E-5</v>
      </c>
      <c r="V190" s="68">
        <f t="shared" si="180"/>
        <v>2.9704940898853776E-5</v>
      </c>
      <c r="W190" s="68">
        <f t="shared" si="180"/>
        <v>2.1477516056547865E-5</v>
      </c>
      <c r="X190" s="68">
        <f t="shared" si="180"/>
        <v>1.5199625742695674E-5</v>
      </c>
      <c r="Y190" s="68">
        <f t="shared" si="180"/>
        <v>1.0584872874483328E-5</v>
      </c>
      <c r="Z190" s="68">
        <f t="shared" si="180"/>
        <v>7.285391333792315E-6</v>
      </c>
      <c r="AA190" s="68">
        <f t="shared" si="180"/>
        <v>4.9729420400487081E-6</v>
      </c>
      <c r="AB190" s="68">
        <f t="shared" si="180"/>
        <v>3.3748974438302729E-6</v>
      </c>
      <c r="AC190" s="68">
        <f t="shared" si="180"/>
        <v>2.2812758930212777E-6</v>
      </c>
    </row>
    <row r="191" spans="1:29" ht="15.75" thickBot="1" x14ac:dyDescent="0.3">
      <c r="A191" s="31" t="s">
        <v>210</v>
      </c>
      <c r="B191" s="67">
        <f>B180+B181+B182+B183+B184+B185+B186+B187+B188+B189+B190</f>
        <v>0.10945358734318615</v>
      </c>
      <c r="C191" s="67">
        <f t="shared" ref="C191:AC191" si="181">C180+C181+C182+C183+C184+C185+C186+C187+C188+C189+C190</f>
        <v>0.10882977078670809</v>
      </c>
      <c r="D191" s="67">
        <f t="shared" si="181"/>
        <v>0.10797304651689689</v>
      </c>
      <c r="E191" s="67">
        <f t="shared" si="181"/>
        <v>0.10681861767939511</v>
      </c>
      <c r="F191" s="67">
        <f t="shared" si="181"/>
        <v>0.1053033731625007</v>
      </c>
      <c r="G191" s="67">
        <f t="shared" si="181"/>
        <v>0.10338323742009614</v>
      </c>
      <c r="H191" s="67">
        <f t="shared" si="181"/>
        <v>0.1010571812245956</v>
      </c>
      <c r="I191" s="67">
        <f t="shared" si="181"/>
        <v>9.8389068339590699E-2</v>
      </c>
      <c r="J191" s="67">
        <f t="shared" si="181"/>
        <v>9.5511911206404773E-2</v>
      </c>
      <c r="K191" s="67">
        <f t="shared" si="181"/>
        <v>9.2603441277428963E-2</v>
      </c>
      <c r="L191" s="67">
        <f t="shared" si="181"/>
        <v>8.9840782975149705E-2</v>
      </c>
      <c r="M191" s="67">
        <f t="shared" si="181"/>
        <v>8.7359178326391104E-2</v>
      </c>
      <c r="N191" s="67">
        <f t="shared" si="181"/>
        <v>8.5234664287743178E-2</v>
      </c>
      <c r="O191" s="67">
        <f t="shared" si="181"/>
        <v>8.3489565661383672E-2</v>
      </c>
      <c r="P191" s="67">
        <f t="shared" si="181"/>
        <v>8.2107312562156795E-2</v>
      </c>
      <c r="Q191" s="67">
        <f t="shared" si="181"/>
        <v>8.1047008528995032E-2</v>
      </c>
      <c r="R191" s="67">
        <f t="shared" si="181"/>
        <v>8.0255666625639765E-2</v>
      </c>
      <c r="S191" s="67">
        <f t="shared" si="181"/>
        <v>7.9678150962767313E-2</v>
      </c>
      <c r="T191" s="67">
        <f t="shared" si="181"/>
        <v>7.9264111465186554E-2</v>
      </c>
      <c r="U191" s="67">
        <f t="shared" si="181"/>
        <v>7.8971447781051335E-2</v>
      </c>
      <c r="V191" s="67">
        <f t="shared" si="181"/>
        <v>7.8766964551435115E-2</v>
      </c>
      <c r="W191" s="67">
        <f t="shared" si="181"/>
        <v>7.8625469978937379E-2</v>
      </c>
      <c r="X191" s="67">
        <f t="shared" si="181"/>
        <v>7.8528342935849413E-2</v>
      </c>
      <c r="Y191" s="67">
        <f t="shared" si="181"/>
        <v>7.8462098882481332E-2</v>
      </c>
      <c r="Z191" s="67">
        <f t="shared" si="181"/>
        <v>7.8417141900892537E-2</v>
      </c>
      <c r="AA191" s="67">
        <f t="shared" si="181"/>
        <v>7.838674410851687E-2</v>
      </c>
      <c r="AB191" s="67">
        <f t="shared" si="181"/>
        <v>7.8366245385999622E-2</v>
      </c>
      <c r="AC191" s="67">
        <f t="shared" si="181"/>
        <v>7.8352448159788146E-2</v>
      </c>
    </row>
    <row r="193" spans="2:2" x14ac:dyDescent="0.25">
      <c r="B193" s="40"/>
    </row>
    <row r="215" spans="1:44" s="3" customFormat="1" ht="21" x14ac:dyDescent="0.35">
      <c r="A215" s="2" t="str">
        <f>'Parameter Input'!A45</f>
        <v>Road long-haul: Container</v>
      </c>
    </row>
    <row r="216" spans="1:44" s="3" customFormat="1" ht="21" x14ac:dyDescent="0.35">
      <c r="A216" s="2" t="s">
        <v>87</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Input'!$L$33</f>
        <v>400000</v>
      </c>
      <c r="C225" s="42">
        <f>'Parameter Input'!$M$33</f>
        <v>145000</v>
      </c>
      <c r="D225" s="1" t="s">
        <v>15</v>
      </c>
      <c r="L225" s="51">
        <f>'Parameter Input'!$O$33</f>
        <v>8</v>
      </c>
      <c r="M225" s="52">
        <v>0</v>
      </c>
      <c r="N225" s="52">
        <v>1</v>
      </c>
      <c r="O225" s="52">
        <f>'Parameter Input'!$P$33</f>
        <v>0.9</v>
      </c>
      <c r="P225" s="53">
        <f>'Parameter Input'!$Q$33</f>
        <v>0.4</v>
      </c>
      <c r="Q225" s="4">
        <f t="shared" ref="Q225:AR234" si="182">$N225+($M225-$N225)*((1/(1+EXP(-$P225*(Q$9-$L225)))^$O225))</f>
        <v>0.94584787155511363</v>
      </c>
      <c r="R225" s="4">
        <f t="shared" si="182"/>
        <v>0.92370360150141495</v>
      </c>
      <c r="S225" s="4">
        <f t="shared" si="182"/>
        <v>0.89334463567658451</v>
      </c>
      <c r="T225" s="4">
        <f t="shared" si="182"/>
        <v>0.85254543874327005</v>
      </c>
      <c r="U225" s="4">
        <f t="shared" si="182"/>
        <v>0.79921300652623883</v>
      </c>
      <c r="V225" s="4">
        <f t="shared" si="182"/>
        <v>0.73204982249993378</v>
      </c>
      <c r="W225" s="4">
        <f t="shared" si="182"/>
        <v>0.65145592958786691</v>
      </c>
      <c r="X225" s="4">
        <f t="shared" si="182"/>
        <v>0.56032247880849573</v>
      </c>
      <c r="Y225" s="4">
        <f t="shared" si="182"/>
        <v>0.46411326873185343</v>
      </c>
      <c r="Z225" s="4">
        <f t="shared" si="182"/>
        <v>0.36979727595523937</v>
      </c>
      <c r="AA225" s="4">
        <f t="shared" si="182"/>
        <v>0.28393948637231203</v>
      </c>
      <c r="AB225" s="4">
        <f t="shared" si="182"/>
        <v>0.21097259161117732</v>
      </c>
      <c r="AC225" s="4">
        <f t="shared" si="182"/>
        <v>0.15253917653798199</v>
      </c>
      <c r="AD225" s="4">
        <f t="shared" si="182"/>
        <v>0.10795188737709993</v>
      </c>
      <c r="AE225" s="4">
        <f t="shared" si="182"/>
        <v>7.5176653938091809E-2</v>
      </c>
      <c r="AF225" s="4">
        <f t="shared" si="182"/>
        <v>5.1742836177502194E-2</v>
      </c>
      <c r="AG225" s="4">
        <f t="shared" si="182"/>
        <v>3.5319190625345942E-2</v>
      </c>
      <c r="AH225" s="4">
        <f t="shared" si="182"/>
        <v>2.3969442072658165E-2</v>
      </c>
      <c r="AI225" s="4">
        <f t="shared" si="182"/>
        <v>1.6202243558389728E-2</v>
      </c>
      <c r="AJ225" s="4">
        <f t="shared" si="182"/>
        <v>1.0922240564108399E-2</v>
      </c>
      <c r="AK225" s="4">
        <f t="shared" si="182"/>
        <v>7.3493212906090566E-3</v>
      </c>
      <c r="AL225" s="4">
        <f t="shared" si="182"/>
        <v>4.9390262185057265E-3</v>
      </c>
      <c r="AM225" s="4">
        <f t="shared" si="182"/>
        <v>3.3164275492956197E-3</v>
      </c>
      <c r="AN225" s="4">
        <f t="shared" si="182"/>
        <v>2.2256362146679809E-3</v>
      </c>
      <c r="AO225" s="4">
        <f t="shared" si="182"/>
        <v>1.4930448704811861E-3</v>
      </c>
      <c r="AP225" s="4">
        <f t="shared" si="182"/>
        <v>1.0013381504474506E-3</v>
      </c>
      <c r="AQ225" s="4">
        <f t="shared" si="182"/>
        <v>6.7145100246257527E-4</v>
      </c>
      <c r="AR225" s="4">
        <f t="shared" si="182"/>
        <v>4.5019225748876845E-4</v>
      </c>
    </row>
    <row r="226" spans="1:44" x14ac:dyDescent="0.25">
      <c r="A226" s="24" t="s">
        <v>28</v>
      </c>
      <c r="B226" s="60">
        <f>'Parameter Input'!$L$34</f>
        <v>-60000</v>
      </c>
      <c r="C226" s="61">
        <f>'Parameter Input'!$M$34</f>
        <v>-36250</v>
      </c>
      <c r="D226" s="1" t="s">
        <v>15</v>
      </c>
      <c r="L226" s="54">
        <f>'Parameter Input'!$O$34</f>
        <v>8</v>
      </c>
      <c r="M226" s="37">
        <v>0</v>
      </c>
      <c r="N226" s="37">
        <v>1</v>
      </c>
      <c r="O226" s="37">
        <f>'Parameter Input'!$P$34</f>
        <v>0.9</v>
      </c>
      <c r="P226" s="55">
        <f>'Parameter Input'!$Q$34</f>
        <v>0.4</v>
      </c>
      <c r="Q226" s="4">
        <f t="shared" si="182"/>
        <v>0.94584787155511363</v>
      </c>
      <c r="R226" s="4">
        <f t="shared" si="182"/>
        <v>0.92370360150141495</v>
      </c>
      <c r="S226" s="4">
        <f t="shared" si="182"/>
        <v>0.89334463567658451</v>
      </c>
      <c r="T226" s="4">
        <f t="shared" si="182"/>
        <v>0.85254543874327005</v>
      </c>
      <c r="U226" s="4">
        <f t="shared" si="182"/>
        <v>0.79921300652623883</v>
      </c>
      <c r="V226" s="4">
        <f t="shared" si="182"/>
        <v>0.73204982249993378</v>
      </c>
      <c r="W226" s="4">
        <f t="shared" si="182"/>
        <v>0.65145592958786691</v>
      </c>
      <c r="X226" s="4">
        <f t="shared" si="182"/>
        <v>0.56032247880849573</v>
      </c>
      <c r="Y226" s="4">
        <f t="shared" si="182"/>
        <v>0.46411326873185343</v>
      </c>
      <c r="Z226" s="4">
        <f t="shared" si="182"/>
        <v>0.36979727595523937</v>
      </c>
      <c r="AA226" s="4">
        <f t="shared" si="182"/>
        <v>0.28393948637231203</v>
      </c>
      <c r="AB226" s="4">
        <f t="shared" si="182"/>
        <v>0.21097259161117732</v>
      </c>
      <c r="AC226" s="4">
        <f t="shared" si="182"/>
        <v>0.15253917653798199</v>
      </c>
      <c r="AD226" s="4">
        <f t="shared" si="182"/>
        <v>0.10795188737709993</v>
      </c>
      <c r="AE226" s="4">
        <f t="shared" si="182"/>
        <v>7.5176653938091809E-2</v>
      </c>
      <c r="AF226" s="4">
        <f t="shared" si="182"/>
        <v>5.1742836177502194E-2</v>
      </c>
      <c r="AG226" s="4">
        <f t="shared" si="182"/>
        <v>3.5319190625345942E-2</v>
      </c>
      <c r="AH226" s="4">
        <f t="shared" si="182"/>
        <v>2.3969442072658165E-2</v>
      </c>
      <c r="AI226" s="4">
        <f t="shared" si="182"/>
        <v>1.6202243558389728E-2</v>
      </c>
      <c r="AJ226" s="4">
        <f t="shared" si="182"/>
        <v>1.0922240564108399E-2</v>
      </c>
      <c r="AK226" s="4">
        <f t="shared" si="182"/>
        <v>7.3493212906090566E-3</v>
      </c>
      <c r="AL226" s="4">
        <f t="shared" si="182"/>
        <v>4.9390262185057265E-3</v>
      </c>
      <c r="AM226" s="4">
        <f t="shared" si="182"/>
        <v>3.3164275492956197E-3</v>
      </c>
      <c r="AN226" s="4">
        <f t="shared" si="182"/>
        <v>2.2256362146679809E-3</v>
      </c>
      <c r="AO226" s="4">
        <f t="shared" si="182"/>
        <v>1.4930448704811861E-3</v>
      </c>
      <c r="AP226" s="4">
        <f t="shared" si="182"/>
        <v>1.0013381504474506E-3</v>
      </c>
      <c r="AQ226" s="4">
        <f t="shared" si="182"/>
        <v>6.7145100246257527E-4</v>
      </c>
      <c r="AR226" s="4">
        <f t="shared" si="182"/>
        <v>4.5019225748876845E-4</v>
      </c>
    </row>
    <row r="227" spans="1:44" x14ac:dyDescent="0.25">
      <c r="A227" s="24" t="s">
        <v>14</v>
      </c>
      <c r="B227" s="60">
        <f>'Parameter Input'!B46</f>
        <v>30000</v>
      </c>
      <c r="C227" s="61">
        <f>'Parameter Input'!C46</f>
        <v>30000</v>
      </c>
      <c r="D227" s="1" t="s">
        <v>15</v>
      </c>
      <c r="L227" s="54">
        <f>'Parameter Input'!E46</f>
        <v>12</v>
      </c>
      <c r="M227" s="37">
        <v>0</v>
      </c>
      <c r="N227" s="37">
        <v>1</v>
      </c>
      <c r="O227" s="37">
        <f>'Parameter Input'!F46</f>
        <v>0.9</v>
      </c>
      <c r="P227" s="55">
        <f>'Parameter Input'!G46</f>
        <v>0.4</v>
      </c>
      <c r="Q227" s="4">
        <f t="shared" si="182"/>
        <v>0.9867978615748374</v>
      </c>
      <c r="R227" s="4">
        <f t="shared" si="182"/>
        <v>0.98114509762858249</v>
      </c>
      <c r="S227" s="4">
        <f t="shared" si="182"/>
        <v>0.97311898315872036</v>
      </c>
      <c r="T227" s="4">
        <f t="shared" si="182"/>
        <v>0.96177484161592774</v>
      </c>
      <c r="U227" s="4">
        <f t="shared" si="182"/>
        <v>0.94584787155511363</v>
      </c>
      <c r="V227" s="4">
        <f t="shared" si="182"/>
        <v>0.92370360150141495</v>
      </c>
      <c r="W227" s="4">
        <f t="shared" si="182"/>
        <v>0.89334463567658451</v>
      </c>
      <c r="X227" s="4">
        <f t="shared" si="182"/>
        <v>0.85254543874327005</v>
      </c>
      <c r="Y227" s="4">
        <f t="shared" si="182"/>
        <v>0.79921300652623883</v>
      </c>
      <c r="Z227" s="4">
        <f t="shared" si="182"/>
        <v>0.73204982249993378</v>
      </c>
      <c r="AA227" s="4">
        <f t="shared" si="182"/>
        <v>0.65145592958786691</v>
      </c>
      <c r="AB227" s="4">
        <f t="shared" si="182"/>
        <v>0.56032247880849573</v>
      </c>
      <c r="AC227" s="4">
        <f t="shared" si="182"/>
        <v>0.46411326873185343</v>
      </c>
      <c r="AD227" s="4">
        <f t="shared" si="182"/>
        <v>0.36979727595523937</v>
      </c>
      <c r="AE227" s="4">
        <f t="shared" si="182"/>
        <v>0.28393948637231203</v>
      </c>
      <c r="AF227" s="4">
        <f t="shared" si="182"/>
        <v>0.21097259161117732</v>
      </c>
      <c r="AG227" s="4">
        <f t="shared" si="182"/>
        <v>0.15253917653798199</v>
      </c>
      <c r="AH227" s="4">
        <f t="shared" si="182"/>
        <v>0.10795188737709993</v>
      </c>
      <c r="AI227" s="4">
        <f t="shared" si="182"/>
        <v>7.5176653938091809E-2</v>
      </c>
      <c r="AJ227" s="4">
        <f t="shared" si="182"/>
        <v>5.1742836177502194E-2</v>
      </c>
      <c r="AK227" s="4">
        <f t="shared" si="182"/>
        <v>3.5319190625345942E-2</v>
      </c>
      <c r="AL227" s="4">
        <f t="shared" si="182"/>
        <v>2.3969442072658165E-2</v>
      </c>
      <c r="AM227" s="4">
        <f t="shared" si="182"/>
        <v>1.6202243558389728E-2</v>
      </c>
      <c r="AN227" s="4">
        <f t="shared" si="182"/>
        <v>1.0922240564108399E-2</v>
      </c>
      <c r="AO227" s="4">
        <f t="shared" si="182"/>
        <v>7.3493212906090566E-3</v>
      </c>
      <c r="AP227" s="4">
        <f t="shared" si="182"/>
        <v>4.9390262185057265E-3</v>
      </c>
      <c r="AQ227" s="4">
        <f t="shared" si="182"/>
        <v>3.3164275492956197E-3</v>
      </c>
      <c r="AR227" s="4">
        <f t="shared" si="182"/>
        <v>2.2256362146679809E-3</v>
      </c>
    </row>
    <row r="228" spans="1:44" x14ac:dyDescent="0.25">
      <c r="A228" s="24" t="s">
        <v>25</v>
      </c>
      <c r="B228" s="60">
        <f>'Parameter Input'!B47</f>
        <v>-7500</v>
      </c>
      <c r="C228" s="61">
        <f>'Parameter Input'!C47</f>
        <v>-7500</v>
      </c>
      <c r="D228" s="1" t="s">
        <v>15</v>
      </c>
      <c r="L228" s="54">
        <f>'Parameter Input'!E47</f>
        <v>12</v>
      </c>
      <c r="M228" s="37">
        <v>0</v>
      </c>
      <c r="N228" s="37">
        <v>1</v>
      </c>
      <c r="O228" s="37">
        <f>'Parameter Input'!F34</f>
        <v>0.9</v>
      </c>
      <c r="P228" s="55">
        <f>'Parameter Input'!G34</f>
        <v>0.4</v>
      </c>
      <c r="Q228" s="4">
        <f t="shared" si="182"/>
        <v>0.9867978615748374</v>
      </c>
      <c r="R228" s="4">
        <f t="shared" si="182"/>
        <v>0.98114509762858249</v>
      </c>
      <c r="S228" s="4">
        <f t="shared" si="182"/>
        <v>0.97311898315872036</v>
      </c>
      <c r="T228" s="4">
        <f t="shared" si="182"/>
        <v>0.96177484161592774</v>
      </c>
      <c r="U228" s="4">
        <f t="shared" si="182"/>
        <v>0.94584787155511363</v>
      </c>
      <c r="V228" s="4">
        <f t="shared" si="182"/>
        <v>0.92370360150141495</v>
      </c>
      <c r="W228" s="4">
        <f t="shared" si="182"/>
        <v>0.89334463567658451</v>
      </c>
      <c r="X228" s="4">
        <f t="shared" si="182"/>
        <v>0.85254543874327005</v>
      </c>
      <c r="Y228" s="4">
        <f t="shared" si="182"/>
        <v>0.79921300652623883</v>
      </c>
      <c r="Z228" s="4">
        <f t="shared" si="182"/>
        <v>0.73204982249993378</v>
      </c>
      <c r="AA228" s="4">
        <f t="shared" si="182"/>
        <v>0.65145592958786691</v>
      </c>
      <c r="AB228" s="4">
        <f t="shared" si="182"/>
        <v>0.56032247880849573</v>
      </c>
      <c r="AC228" s="4">
        <f t="shared" si="182"/>
        <v>0.46411326873185343</v>
      </c>
      <c r="AD228" s="4">
        <f t="shared" si="182"/>
        <v>0.36979727595523937</v>
      </c>
      <c r="AE228" s="4">
        <f t="shared" si="182"/>
        <v>0.28393948637231203</v>
      </c>
      <c r="AF228" s="4">
        <f t="shared" si="182"/>
        <v>0.21097259161117732</v>
      </c>
      <c r="AG228" s="4">
        <f t="shared" si="182"/>
        <v>0.15253917653798199</v>
      </c>
      <c r="AH228" s="4">
        <f t="shared" si="182"/>
        <v>0.10795188737709993</v>
      </c>
      <c r="AI228" s="4">
        <f t="shared" si="182"/>
        <v>7.5176653938091809E-2</v>
      </c>
      <c r="AJ228" s="4">
        <f t="shared" si="182"/>
        <v>5.1742836177502194E-2</v>
      </c>
      <c r="AK228" s="4">
        <f t="shared" si="182"/>
        <v>3.5319190625345942E-2</v>
      </c>
      <c r="AL228" s="4">
        <f t="shared" si="182"/>
        <v>2.3969442072658165E-2</v>
      </c>
      <c r="AM228" s="4">
        <f t="shared" si="182"/>
        <v>1.6202243558389728E-2</v>
      </c>
      <c r="AN228" s="4">
        <f t="shared" si="182"/>
        <v>1.0922240564108399E-2</v>
      </c>
      <c r="AO228" s="4">
        <f t="shared" si="182"/>
        <v>7.3493212906090566E-3</v>
      </c>
      <c r="AP228" s="4">
        <f t="shared" si="182"/>
        <v>4.9390262185057265E-3</v>
      </c>
      <c r="AQ228" s="4">
        <f t="shared" si="182"/>
        <v>3.3164275492956197E-3</v>
      </c>
      <c r="AR228" s="4">
        <f t="shared" si="182"/>
        <v>2.2256362146679809E-3</v>
      </c>
    </row>
    <row r="229" spans="1:44" x14ac:dyDescent="0.25">
      <c r="A229" s="24" t="s">
        <v>79</v>
      </c>
      <c r="B229" s="45">
        <f>'Parameter Input'!$L$40</f>
        <v>0.06</v>
      </c>
      <c r="C229" s="46">
        <f>'Parameter Input'!$M$40</f>
        <v>0.06</v>
      </c>
      <c r="D229" s="1" t="s">
        <v>57</v>
      </c>
      <c r="L229" s="54">
        <f>'Parameter Input'!$O$40</f>
        <v>12</v>
      </c>
      <c r="M229" s="37">
        <v>0</v>
      </c>
      <c r="N229" s="37">
        <v>1</v>
      </c>
      <c r="O229" s="37">
        <f>'Parameter Input'!$P$40</f>
        <v>0.9</v>
      </c>
      <c r="P229" s="55">
        <f>'Parameter Input'!$Q$40</f>
        <v>0.4</v>
      </c>
      <c r="Q229" s="4">
        <f t="shared" si="182"/>
        <v>0.9867978615748374</v>
      </c>
      <c r="R229" s="4">
        <f t="shared" si="182"/>
        <v>0.98114509762858249</v>
      </c>
      <c r="S229" s="4">
        <f t="shared" si="182"/>
        <v>0.97311898315872036</v>
      </c>
      <c r="T229" s="4">
        <f t="shared" si="182"/>
        <v>0.96177484161592774</v>
      </c>
      <c r="U229" s="4">
        <f t="shared" si="182"/>
        <v>0.94584787155511363</v>
      </c>
      <c r="V229" s="4">
        <f t="shared" si="182"/>
        <v>0.92370360150141495</v>
      </c>
      <c r="W229" s="4">
        <f t="shared" si="182"/>
        <v>0.89334463567658451</v>
      </c>
      <c r="X229" s="4">
        <f t="shared" si="182"/>
        <v>0.85254543874327005</v>
      </c>
      <c r="Y229" s="4">
        <f t="shared" si="182"/>
        <v>0.79921300652623883</v>
      </c>
      <c r="Z229" s="4">
        <f t="shared" si="182"/>
        <v>0.73204982249993378</v>
      </c>
      <c r="AA229" s="4">
        <f t="shared" si="182"/>
        <v>0.65145592958786691</v>
      </c>
      <c r="AB229" s="4">
        <f t="shared" si="182"/>
        <v>0.56032247880849573</v>
      </c>
      <c r="AC229" s="4">
        <f t="shared" si="182"/>
        <v>0.46411326873185343</v>
      </c>
      <c r="AD229" s="4">
        <f t="shared" si="182"/>
        <v>0.36979727595523937</v>
      </c>
      <c r="AE229" s="4">
        <f t="shared" si="182"/>
        <v>0.28393948637231203</v>
      </c>
      <c r="AF229" s="4">
        <f t="shared" si="182"/>
        <v>0.21097259161117732</v>
      </c>
      <c r="AG229" s="4">
        <f t="shared" si="182"/>
        <v>0.15253917653798199</v>
      </c>
      <c r="AH229" s="4">
        <f t="shared" si="182"/>
        <v>0.10795188737709993</v>
      </c>
      <c r="AI229" s="4">
        <f t="shared" si="182"/>
        <v>7.5176653938091809E-2</v>
      </c>
      <c r="AJ229" s="4">
        <f t="shared" si="182"/>
        <v>5.1742836177502194E-2</v>
      </c>
      <c r="AK229" s="4">
        <f t="shared" si="182"/>
        <v>3.5319190625345942E-2</v>
      </c>
      <c r="AL229" s="4">
        <f t="shared" si="182"/>
        <v>2.3969442072658165E-2</v>
      </c>
      <c r="AM229" s="4">
        <f t="shared" si="182"/>
        <v>1.6202243558389728E-2</v>
      </c>
      <c r="AN229" s="4">
        <f t="shared" si="182"/>
        <v>1.0922240564108399E-2</v>
      </c>
      <c r="AO229" s="4">
        <f t="shared" si="182"/>
        <v>7.3493212906090566E-3</v>
      </c>
      <c r="AP229" s="4">
        <f t="shared" si="182"/>
        <v>4.9390262185057265E-3</v>
      </c>
      <c r="AQ229" s="4">
        <f t="shared" si="182"/>
        <v>3.3164275492956197E-3</v>
      </c>
      <c r="AR229" s="4">
        <f t="shared" si="182"/>
        <v>2.2256362146679809E-3</v>
      </c>
    </row>
    <row r="230" spans="1:44" x14ac:dyDescent="0.25">
      <c r="A230" s="24" t="s">
        <v>37</v>
      </c>
      <c r="B230" s="60">
        <f>'Parameter Input'!B48</f>
        <v>70000</v>
      </c>
      <c r="C230" s="61">
        <f>'Parameter Input'!C48</f>
        <v>70000</v>
      </c>
      <c r="D230" s="1" t="s">
        <v>38</v>
      </c>
      <c r="L230" s="54">
        <f>'Parameter Input'!E48</f>
        <v>12</v>
      </c>
      <c r="M230" s="37">
        <v>0</v>
      </c>
      <c r="N230" s="37">
        <v>1</v>
      </c>
      <c r="O230" s="37">
        <f>'Parameter Input'!F48</f>
        <v>0.9</v>
      </c>
      <c r="P230" s="55">
        <f>'Parameter Input'!G48</f>
        <v>0.4</v>
      </c>
      <c r="Q230" s="4">
        <f t="shared" si="182"/>
        <v>0.9867978615748374</v>
      </c>
      <c r="R230" s="4">
        <f t="shared" si="182"/>
        <v>0.98114509762858249</v>
      </c>
      <c r="S230" s="4">
        <f t="shared" si="182"/>
        <v>0.97311898315872036</v>
      </c>
      <c r="T230" s="4">
        <f t="shared" si="182"/>
        <v>0.96177484161592774</v>
      </c>
      <c r="U230" s="4">
        <f t="shared" si="182"/>
        <v>0.94584787155511363</v>
      </c>
      <c r="V230" s="4">
        <f t="shared" si="182"/>
        <v>0.92370360150141495</v>
      </c>
      <c r="W230" s="4">
        <f t="shared" si="182"/>
        <v>0.89334463567658451</v>
      </c>
      <c r="X230" s="4">
        <f t="shared" si="182"/>
        <v>0.85254543874327005</v>
      </c>
      <c r="Y230" s="4">
        <f t="shared" si="182"/>
        <v>0.79921300652623883</v>
      </c>
      <c r="Z230" s="4">
        <f t="shared" si="182"/>
        <v>0.73204982249993378</v>
      </c>
      <c r="AA230" s="4">
        <f t="shared" si="182"/>
        <v>0.65145592958786691</v>
      </c>
      <c r="AB230" s="4">
        <f t="shared" si="182"/>
        <v>0.56032247880849573</v>
      </c>
      <c r="AC230" s="4">
        <f t="shared" si="182"/>
        <v>0.46411326873185343</v>
      </c>
      <c r="AD230" s="4">
        <f t="shared" si="182"/>
        <v>0.36979727595523937</v>
      </c>
      <c r="AE230" s="4">
        <f t="shared" si="182"/>
        <v>0.28393948637231203</v>
      </c>
      <c r="AF230" s="4">
        <f t="shared" si="182"/>
        <v>0.21097259161117732</v>
      </c>
      <c r="AG230" s="4">
        <f t="shared" si="182"/>
        <v>0.15253917653798199</v>
      </c>
      <c r="AH230" s="4">
        <f t="shared" si="182"/>
        <v>0.10795188737709993</v>
      </c>
      <c r="AI230" s="4">
        <f t="shared" si="182"/>
        <v>7.5176653938091809E-2</v>
      </c>
      <c r="AJ230" s="4">
        <f t="shared" si="182"/>
        <v>5.1742836177502194E-2</v>
      </c>
      <c r="AK230" s="4">
        <f t="shared" si="182"/>
        <v>3.5319190625345942E-2</v>
      </c>
      <c r="AL230" s="4">
        <f t="shared" si="182"/>
        <v>2.3969442072658165E-2</v>
      </c>
      <c r="AM230" s="4">
        <f t="shared" si="182"/>
        <v>1.6202243558389728E-2</v>
      </c>
      <c r="AN230" s="4">
        <f t="shared" si="182"/>
        <v>1.0922240564108399E-2</v>
      </c>
      <c r="AO230" s="4">
        <f t="shared" si="182"/>
        <v>7.3493212906090566E-3</v>
      </c>
      <c r="AP230" s="4">
        <f t="shared" si="182"/>
        <v>4.9390262185057265E-3</v>
      </c>
      <c r="AQ230" s="4">
        <f t="shared" si="182"/>
        <v>3.3164275492956197E-3</v>
      </c>
      <c r="AR230" s="4">
        <f t="shared" si="182"/>
        <v>2.2256362146679809E-3</v>
      </c>
    </row>
    <row r="231" spans="1:44" x14ac:dyDescent="0.25">
      <c r="A231" s="24" t="s">
        <v>52</v>
      </c>
      <c r="B231" s="43">
        <f>'Parameter Input'!$L$36</f>
        <v>15000</v>
      </c>
      <c r="C231" s="44">
        <f>'Parameter Input'!$M$36</f>
        <v>15000</v>
      </c>
      <c r="D231" s="1" t="s">
        <v>38</v>
      </c>
      <c r="L231" s="54">
        <f>'Parameter Input'!$O$36</f>
        <v>8</v>
      </c>
      <c r="M231" s="37">
        <v>0</v>
      </c>
      <c r="N231" s="37">
        <v>1</v>
      </c>
      <c r="O231" s="37">
        <f>'Parameter Input'!$P$36</f>
        <v>0.9</v>
      </c>
      <c r="P231" s="55">
        <f>'Parameter Input'!$Q$36</f>
        <v>0.4</v>
      </c>
      <c r="Q231" s="4">
        <f t="shared" si="182"/>
        <v>0.94584787155511363</v>
      </c>
      <c r="R231" s="4">
        <f t="shared" si="182"/>
        <v>0.92370360150141495</v>
      </c>
      <c r="S231" s="4">
        <f t="shared" si="182"/>
        <v>0.89334463567658451</v>
      </c>
      <c r="T231" s="4">
        <f t="shared" si="182"/>
        <v>0.85254543874327005</v>
      </c>
      <c r="U231" s="4">
        <f t="shared" si="182"/>
        <v>0.79921300652623883</v>
      </c>
      <c r="V231" s="4">
        <f t="shared" si="182"/>
        <v>0.73204982249993378</v>
      </c>
      <c r="W231" s="4">
        <f t="shared" si="182"/>
        <v>0.65145592958786691</v>
      </c>
      <c r="X231" s="4">
        <f t="shared" si="182"/>
        <v>0.56032247880849573</v>
      </c>
      <c r="Y231" s="4">
        <f t="shared" si="182"/>
        <v>0.46411326873185343</v>
      </c>
      <c r="Z231" s="4">
        <f t="shared" si="182"/>
        <v>0.36979727595523937</v>
      </c>
      <c r="AA231" s="4">
        <f t="shared" si="182"/>
        <v>0.28393948637231203</v>
      </c>
      <c r="AB231" s="4">
        <f t="shared" si="182"/>
        <v>0.21097259161117732</v>
      </c>
      <c r="AC231" s="4">
        <f t="shared" si="182"/>
        <v>0.15253917653798199</v>
      </c>
      <c r="AD231" s="4">
        <f t="shared" si="182"/>
        <v>0.10795188737709993</v>
      </c>
      <c r="AE231" s="4">
        <f t="shared" si="182"/>
        <v>7.5176653938091809E-2</v>
      </c>
      <c r="AF231" s="4">
        <f t="shared" si="182"/>
        <v>5.1742836177502194E-2</v>
      </c>
      <c r="AG231" s="4">
        <f t="shared" si="182"/>
        <v>3.5319190625345942E-2</v>
      </c>
      <c r="AH231" s="4">
        <f t="shared" si="182"/>
        <v>2.3969442072658165E-2</v>
      </c>
      <c r="AI231" s="4">
        <f t="shared" si="182"/>
        <v>1.6202243558389728E-2</v>
      </c>
      <c r="AJ231" s="4">
        <f t="shared" si="182"/>
        <v>1.0922240564108399E-2</v>
      </c>
      <c r="AK231" s="4">
        <f t="shared" si="182"/>
        <v>7.3493212906090566E-3</v>
      </c>
      <c r="AL231" s="4">
        <f t="shared" si="182"/>
        <v>4.9390262185057265E-3</v>
      </c>
      <c r="AM231" s="4">
        <f t="shared" si="182"/>
        <v>3.3164275492956197E-3</v>
      </c>
      <c r="AN231" s="4">
        <f t="shared" si="182"/>
        <v>2.2256362146679809E-3</v>
      </c>
      <c r="AO231" s="4">
        <f t="shared" si="182"/>
        <v>1.4930448704811861E-3</v>
      </c>
      <c r="AP231" s="4">
        <f t="shared" si="182"/>
        <v>1.0013381504474506E-3</v>
      </c>
      <c r="AQ231" s="4">
        <f t="shared" si="182"/>
        <v>6.7145100246257527E-4</v>
      </c>
      <c r="AR231" s="4">
        <f t="shared" si="182"/>
        <v>4.5019225748876845E-4</v>
      </c>
    </row>
    <row r="232" spans="1:44" x14ac:dyDescent="0.25">
      <c r="A232" s="24" t="s">
        <v>272</v>
      </c>
      <c r="B232" s="60">
        <f>'Parameter Input'!B53</f>
        <v>0.11</v>
      </c>
      <c r="C232" s="61">
        <f>'Parameter Input'!C53</f>
        <v>0.11</v>
      </c>
      <c r="D232" s="1" t="s">
        <v>76</v>
      </c>
      <c r="L232" s="54">
        <f>'Parameter Input'!E53</f>
        <v>12</v>
      </c>
      <c r="M232" s="37">
        <v>0</v>
      </c>
      <c r="N232" s="37">
        <v>1</v>
      </c>
      <c r="O232" s="37">
        <f>'Parameter Input'!F53</f>
        <v>0.9</v>
      </c>
      <c r="P232" s="55">
        <f>'Parameter Input'!G53</f>
        <v>0.4</v>
      </c>
      <c r="Q232" s="4">
        <f t="shared" si="182"/>
        <v>0.9867978615748374</v>
      </c>
      <c r="R232" s="4">
        <f t="shared" si="182"/>
        <v>0.98114509762858249</v>
      </c>
      <c r="S232" s="4">
        <f t="shared" si="182"/>
        <v>0.97311898315872036</v>
      </c>
      <c r="T232" s="4">
        <f t="shared" si="182"/>
        <v>0.96177484161592774</v>
      </c>
      <c r="U232" s="4">
        <f t="shared" si="182"/>
        <v>0.94584787155511363</v>
      </c>
      <c r="V232" s="4">
        <f t="shared" si="182"/>
        <v>0.92370360150141495</v>
      </c>
      <c r="W232" s="4">
        <f t="shared" si="182"/>
        <v>0.89334463567658451</v>
      </c>
      <c r="X232" s="4">
        <f t="shared" si="182"/>
        <v>0.85254543874327005</v>
      </c>
      <c r="Y232" s="4">
        <f t="shared" si="182"/>
        <v>0.79921300652623883</v>
      </c>
      <c r="Z232" s="4">
        <f t="shared" si="182"/>
        <v>0.73204982249993378</v>
      </c>
      <c r="AA232" s="4">
        <f t="shared" si="182"/>
        <v>0.65145592958786691</v>
      </c>
      <c r="AB232" s="4">
        <f t="shared" si="182"/>
        <v>0.56032247880849573</v>
      </c>
      <c r="AC232" s="4">
        <f t="shared" si="182"/>
        <v>0.46411326873185343</v>
      </c>
      <c r="AD232" s="4">
        <f t="shared" si="182"/>
        <v>0.36979727595523937</v>
      </c>
      <c r="AE232" s="4">
        <f t="shared" si="182"/>
        <v>0.28393948637231203</v>
      </c>
      <c r="AF232" s="4">
        <f t="shared" si="182"/>
        <v>0.21097259161117732</v>
      </c>
      <c r="AG232" s="4">
        <f t="shared" si="182"/>
        <v>0.15253917653798199</v>
      </c>
      <c r="AH232" s="4">
        <f t="shared" si="182"/>
        <v>0.10795188737709993</v>
      </c>
      <c r="AI232" s="4">
        <f t="shared" si="182"/>
        <v>7.5176653938091809E-2</v>
      </c>
      <c r="AJ232" s="4">
        <f t="shared" si="182"/>
        <v>5.1742836177502194E-2</v>
      </c>
      <c r="AK232" s="4">
        <f t="shared" si="182"/>
        <v>3.5319190625345942E-2</v>
      </c>
      <c r="AL232" s="4">
        <f t="shared" si="182"/>
        <v>2.3969442072658165E-2</v>
      </c>
      <c r="AM232" s="4">
        <f t="shared" si="182"/>
        <v>1.6202243558389728E-2</v>
      </c>
      <c r="AN232" s="4">
        <f t="shared" si="182"/>
        <v>1.0922240564108399E-2</v>
      </c>
      <c r="AO232" s="4">
        <f t="shared" si="182"/>
        <v>7.3493212906090566E-3</v>
      </c>
      <c r="AP232" s="4">
        <f t="shared" si="182"/>
        <v>4.9390262185057265E-3</v>
      </c>
      <c r="AQ232" s="4">
        <f t="shared" si="182"/>
        <v>3.3164275492956197E-3</v>
      </c>
      <c r="AR232" s="4">
        <f t="shared" si="182"/>
        <v>2.2256362146679809E-3</v>
      </c>
    </row>
    <row r="233" spans="1:44" x14ac:dyDescent="0.25">
      <c r="A233" s="24" t="s">
        <v>59</v>
      </c>
      <c r="B233" s="47">
        <f>'Parameter Input'!$L$37</f>
        <v>1.52</v>
      </c>
      <c r="C233" s="48">
        <f>'Parameter Input'!$M$37</f>
        <v>1.1499999999999999</v>
      </c>
      <c r="D233" s="1" t="s">
        <v>60</v>
      </c>
      <c r="L233" s="54">
        <f>'Parameter Input'!$O$37</f>
        <v>8</v>
      </c>
      <c r="M233" s="37">
        <v>0</v>
      </c>
      <c r="N233" s="37">
        <v>1</v>
      </c>
      <c r="O233" s="37">
        <f>'Parameter Input'!$P$37</f>
        <v>0.9</v>
      </c>
      <c r="P233" s="55">
        <f>'Parameter Input'!$Q$37</f>
        <v>0.4</v>
      </c>
      <c r="Q233" s="4">
        <f t="shared" si="182"/>
        <v>0.94584787155511363</v>
      </c>
      <c r="R233" s="4">
        <f t="shared" si="182"/>
        <v>0.92370360150141495</v>
      </c>
      <c r="S233" s="4">
        <f t="shared" si="182"/>
        <v>0.89334463567658451</v>
      </c>
      <c r="T233" s="4">
        <f t="shared" si="182"/>
        <v>0.85254543874327005</v>
      </c>
      <c r="U233" s="4">
        <f t="shared" si="182"/>
        <v>0.79921300652623883</v>
      </c>
      <c r="V233" s="4">
        <f t="shared" si="182"/>
        <v>0.73204982249993378</v>
      </c>
      <c r="W233" s="4">
        <f t="shared" si="182"/>
        <v>0.65145592958786691</v>
      </c>
      <c r="X233" s="4">
        <f t="shared" si="182"/>
        <v>0.56032247880849573</v>
      </c>
      <c r="Y233" s="4">
        <f t="shared" si="182"/>
        <v>0.46411326873185343</v>
      </c>
      <c r="Z233" s="4">
        <f t="shared" si="182"/>
        <v>0.36979727595523937</v>
      </c>
      <c r="AA233" s="4">
        <f t="shared" si="182"/>
        <v>0.28393948637231203</v>
      </c>
      <c r="AB233" s="4">
        <f t="shared" si="182"/>
        <v>0.21097259161117732</v>
      </c>
      <c r="AC233" s="4">
        <f t="shared" si="182"/>
        <v>0.15253917653798199</v>
      </c>
      <c r="AD233" s="4">
        <f t="shared" si="182"/>
        <v>0.10795188737709993</v>
      </c>
      <c r="AE233" s="4">
        <f t="shared" si="182"/>
        <v>7.5176653938091809E-2</v>
      </c>
      <c r="AF233" s="4">
        <f t="shared" si="182"/>
        <v>5.1742836177502194E-2</v>
      </c>
      <c r="AG233" s="4">
        <f t="shared" si="182"/>
        <v>3.5319190625345942E-2</v>
      </c>
      <c r="AH233" s="4">
        <f t="shared" si="182"/>
        <v>2.3969442072658165E-2</v>
      </c>
      <c r="AI233" s="4">
        <f t="shared" si="182"/>
        <v>1.6202243558389728E-2</v>
      </c>
      <c r="AJ233" s="4">
        <f t="shared" si="182"/>
        <v>1.0922240564108399E-2</v>
      </c>
      <c r="AK233" s="4">
        <f t="shared" si="182"/>
        <v>7.3493212906090566E-3</v>
      </c>
      <c r="AL233" s="4">
        <f t="shared" si="182"/>
        <v>4.9390262185057265E-3</v>
      </c>
      <c r="AM233" s="4">
        <f t="shared" si="182"/>
        <v>3.3164275492956197E-3</v>
      </c>
      <c r="AN233" s="4">
        <f t="shared" si="182"/>
        <v>2.2256362146679809E-3</v>
      </c>
      <c r="AO233" s="4">
        <f t="shared" si="182"/>
        <v>1.4930448704811861E-3</v>
      </c>
      <c r="AP233" s="4">
        <f t="shared" si="182"/>
        <v>1.0013381504474506E-3</v>
      </c>
      <c r="AQ233" s="4">
        <f t="shared" si="182"/>
        <v>6.7145100246257527E-4</v>
      </c>
      <c r="AR233" s="4">
        <f t="shared" si="182"/>
        <v>4.5019225748876845E-4</v>
      </c>
    </row>
    <row r="234" spans="1:44" x14ac:dyDescent="0.25">
      <c r="A234" s="24" t="s">
        <v>67</v>
      </c>
      <c r="B234" s="45">
        <f>'Parameter Input'!$L$38</f>
        <v>0.13371034051801745</v>
      </c>
      <c r="C234" s="46">
        <f>'Parameter Input'!$M$38</f>
        <v>8.7585019329602734E-2</v>
      </c>
      <c r="D234" s="1" t="s">
        <v>68</v>
      </c>
      <c r="L234" s="54">
        <f>'Parameter Input'!$O$38</f>
        <v>12</v>
      </c>
      <c r="M234" s="37">
        <v>0</v>
      </c>
      <c r="N234" s="37">
        <v>1</v>
      </c>
      <c r="O234" s="37">
        <f>'Parameter Input'!$P$38</f>
        <v>0.9</v>
      </c>
      <c r="P234" s="55">
        <f>'Parameter Input'!$Q$38</f>
        <v>0.4</v>
      </c>
      <c r="Q234" s="4">
        <f t="shared" si="182"/>
        <v>0.9867978615748374</v>
      </c>
      <c r="R234" s="4">
        <f t="shared" si="182"/>
        <v>0.98114509762858249</v>
      </c>
      <c r="S234" s="4">
        <f t="shared" si="182"/>
        <v>0.97311898315872036</v>
      </c>
      <c r="T234" s="4">
        <f t="shared" ref="T234:AI241" si="183">$N234+($M234-$N234)*((1/(1+EXP(-$P234*(T$9-$L234)))^$O234))</f>
        <v>0.96177484161592774</v>
      </c>
      <c r="U234" s="4">
        <f t="shared" si="183"/>
        <v>0.94584787155511363</v>
      </c>
      <c r="V234" s="4">
        <f t="shared" si="183"/>
        <v>0.92370360150141495</v>
      </c>
      <c r="W234" s="4">
        <f t="shared" si="183"/>
        <v>0.89334463567658451</v>
      </c>
      <c r="X234" s="4">
        <f t="shared" si="183"/>
        <v>0.85254543874327005</v>
      </c>
      <c r="Y234" s="4">
        <f t="shared" si="183"/>
        <v>0.79921300652623883</v>
      </c>
      <c r="Z234" s="4">
        <f t="shared" si="183"/>
        <v>0.73204982249993378</v>
      </c>
      <c r="AA234" s="4">
        <f t="shared" si="183"/>
        <v>0.65145592958786691</v>
      </c>
      <c r="AB234" s="4">
        <f t="shared" si="183"/>
        <v>0.56032247880849573</v>
      </c>
      <c r="AC234" s="4">
        <f t="shared" si="183"/>
        <v>0.46411326873185343</v>
      </c>
      <c r="AD234" s="4">
        <f t="shared" si="183"/>
        <v>0.36979727595523937</v>
      </c>
      <c r="AE234" s="4">
        <f t="shared" si="183"/>
        <v>0.28393948637231203</v>
      </c>
      <c r="AF234" s="4">
        <f t="shared" si="183"/>
        <v>0.21097259161117732</v>
      </c>
      <c r="AG234" s="4">
        <f t="shared" si="183"/>
        <v>0.15253917653798199</v>
      </c>
      <c r="AH234" s="4">
        <f t="shared" si="183"/>
        <v>0.10795188737709993</v>
      </c>
      <c r="AI234" s="4">
        <f t="shared" si="183"/>
        <v>7.5176653938091809E-2</v>
      </c>
      <c r="AJ234" s="4">
        <f t="shared" ref="AJ234:AR241" si="184">$N234+($M234-$N234)*((1/(1+EXP(-$P234*(AJ$9-$L234)))^$O234))</f>
        <v>5.1742836177502194E-2</v>
      </c>
      <c r="AK234" s="4">
        <f t="shared" si="184"/>
        <v>3.5319190625345942E-2</v>
      </c>
      <c r="AL234" s="4">
        <f t="shared" si="184"/>
        <v>2.3969442072658165E-2</v>
      </c>
      <c r="AM234" s="4">
        <f t="shared" si="184"/>
        <v>1.6202243558389728E-2</v>
      </c>
      <c r="AN234" s="4">
        <f t="shared" si="184"/>
        <v>1.0922240564108399E-2</v>
      </c>
      <c r="AO234" s="4">
        <f t="shared" si="184"/>
        <v>7.3493212906090566E-3</v>
      </c>
      <c r="AP234" s="4">
        <f t="shared" si="184"/>
        <v>4.9390262185057265E-3</v>
      </c>
      <c r="AQ234" s="4">
        <f t="shared" si="184"/>
        <v>3.3164275492956197E-3</v>
      </c>
      <c r="AR234" s="4">
        <f t="shared" si="184"/>
        <v>2.2256362146679809E-3</v>
      </c>
    </row>
    <row r="235" spans="1:44" x14ac:dyDescent="0.25">
      <c r="A235" s="24" t="s">
        <v>206</v>
      </c>
      <c r="B235" s="115">
        <f>'Parameter Input'!$L$41</f>
        <v>3.5200000000000006E-3</v>
      </c>
      <c r="C235" s="116">
        <f>'Parameter Input'!$M$41</f>
        <v>0</v>
      </c>
      <c r="D235" s="1" t="s">
        <v>76</v>
      </c>
      <c r="L235" s="54">
        <f>'Parameter Input'!$O$41</f>
        <v>17</v>
      </c>
      <c r="M235" s="37">
        <v>0</v>
      </c>
      <c r="N235" s="37">
        <v>1</v>
      </c>
      <c r="O235" s="37">
        <f>'Parameter Input'!$P$41</f>
        <v>0.9</v>
      </c>
      <c r="P235" s="55">
        <f>'Parameter Input'!$Q$41</f>
        <v>0.4</v>
      </c>
      <c r="Q235" s="4">
        <f t="shared" ref="Q235:AR235" si="185">$N235+($M235-$N235)*((1/(1+EXP(-$P235*(Q$9-$L235)))^$O235))</f>
        <v>0.99780374543478534</v>
      </c>
      <c r="R235" s="4">
        <f t="shared" si="185"/>
        <v>0.99685359315256394</v>
      </c>
      <c r="S235" s="4">
        <f t="shared" si="185"/>
        <v>0.99549347132349975</v>
      </c>
      <c r="T235" s="4">
        <f t="shared" si="185"/>
        <v>0.99354772139898062</v>
      </c>
      <c r="U235" s="4">
        <f t="shared" si="185"/>
        <v>0.99076681540580536</v>
      </c>
      <c r="V235" s="4">
        <f t="shared" si="185"/>
        <v>0.9867978615748374</v>
      </c>
      <c r="W235" s="4">
        <f t="shared" si="185"/>
        <v>0.98114509762858249</v>
      </c>
      <c r="X235" s="4">
        <f t="shared" si="185"/>
        <v>0.97311898315872036</v>
      </c>
      <c r="Y235" s="4">
        <f t="shared" si="185"/>
        <v>0.96177484161592774</v>
      </c>
      <c r="Z235" s="4">
        <f t="shared" si="185"/>
        <v>0.94584787155511363</v>
      </c>
      <c r="AA235" s="4">
        <f t="shared" si="185"/>
        <v>0.92370360150141495</v>
      </c>
      <c r="AB235" s="4">
        <f t="shared" si="185"/>
        <v>0.89334463567658451</v>
      </c>
      <c r="AC235" s="4">
        <f t="shared" si="185"/>
        <v>0.85254543874327005</v>
      </c>
      <c r="AD235" s="4">
        <f t="shared" si="185"/>
        <v>0.79921300652623883</v>
      </c>
      <c r="AE235" s="4">
        <f t="shared" si="185"/>
        <v>0.73204982249993378</v>
      </c>
      <c r="AF235" s="4">
        <f t="shared" si="185"/>
        <v>0.65145592958786691</v>
      </c>
      <c r="AG235" s="4">
        <f t="shared" si="185"/>
        <v>0.56032247880849573</v>
      </c>
      <c r="AH235" s="4">
        <f t="shared" si="185"/>
        <v>0.46411326873185343</v>
      </c>
      <c r="AI235" s="4">
        <f t="shared" si="185"/>
        <v>0.36979727595523937</v>
      </c>
      <c r="AJ235" s="4">
        <f t="shared" si="185"/>
        <v>0.28393948637231203</v>
      </c>
      <c r="AK235" s="4">
        <f t="shared" si="185"/>
        <v>0.21097259161117732</v>
      </c>
      <c r="AL235" s="4">
        <f t="shared" si="185"/>
        <v>0.15253917653798199</v>
      </c>
      <c r="AM235" s="4">
        <f t="shared" si="185"/>
        <v>0.10795188737709993</v>
      </c>
      <c r="AN235" s="4">
        <f t="shared" si="185"/>
        <v>7.5176653938091809E-2</v>
      </c>
      <c r="AO235" s="4">
        <f t="shared" si="185"/>
        <v>5.1742836177502194E-2</v>
      </c>
      <c r="AP235" s="4">
        <f t="shared" si="185"/>
        <v>3.5319190625345942E-2</v>
      </c>
      <c r="AQ235" s="4">
        <f t="shared" si="185"/>
        <v>2.3969442072658165E-2</v>
      </c>
      <c r="AR235" s="4">
        <f t="shared" si="185"/>
        <v>1.6202243558389728E-2</v>
      </c>
    </row>
    <row r="236" spans="1:44" x14ac:dyDescent="0.25">
      <c r="A236" s="24" t="s">
        <v>41</v>
      </c>
      <c r="B236" s="43">
        <f>'Parameter Input'!$L$35</f>
        <v>8</v>
      </c>
      <c r="C236" s="44">
        <f>'Parameter Input'!$M$35</f>
        <v>8</v>
      </c>
      <c r="D236" s="1" t="s">
        <v>42</v>
      </c>
      <c r="L236" s="54">
        <f>'Parameter Input'!$O$35</f>
        <v>8</v>
      </c>
      <c r="M236" s="37">
        <v>0</v>
      </c>
      <c r="N236" s="37">
        <v>1</v>
      </c>
      <c r="O236" s="37">
        <f>'Parameter Input'!$P$35</f>
        <v>0.9</v>
      </c>
      <c r="P236" s="55">
        <f>'Parameter Input'!$Q$35</f>
        <v>0.4</v>
      </c>
      <c r="Q236" s="4">
        <f t="shared" ref="Q236:AF241" si="186">$N236+($M236-$N236)*((1/(1+EXP(-$P236*(Q$9-$L236)))^$O236))</f>
        <v>0.94584787155511363</v>
      </c>
      <c r="R236" s="4">
        <f t="shared" si="186"/>
        <v>0.92370360150141495</v>
      </c>
      <c r="S236" s="4">
        <f t="shared" si="186"/>
        <v>0.89334463567658451</v>
      </c>
      <c r="T236" s="4">
        <f t="shared" si="186"/>
        <v>0.85254543874327005</v>
      </c>
      <c r="U236" s="4">
        <f t="shared" si="186"/>
        <v>0.79921300652623883</v>
      </c>
      <c r="V236" s="4">
        <f t="shared" si="186"/>
        <v>0.73204982249993378</v>
      </c>
      <c r="W236" s="4">
        <f t="shared" si="186"/>
        <v>0.65145592958786691</v>
      </c>
      <c r="X236" s="4">
        <f t="shared" si="186"/>
        <v>0.56032247880849573</v>
      </c>
      <c r="Y236" s="4">
        <f t="shared" si="186"/>
        <v>0.46411326873185343</v>
      </c>
      <c r="Z236" s="4">
        <f t="shared" si="186"/>
        <v>0.36979727595523937</v>
      </c>
      <c r="AA236" s="4">
        <f t="shared" si="186"/>
        <v>0.28393948637231203</v>
      </c>
      <c r="AB236" s="4">
        <f t="shared" si="186"/>
        <v>0.21097259161117732</v>
      </c>
      <c r="AC236" s="4">
        <f t="shared" si="186"/>
        <v>0.15253917653798199</v>
      </c>
      <c r="AD236" s="4">
        <f t="shared" si="186"/>
        <v>0.10795188737709993</v>
      </c>
      <c r="AE236" s="4">
        <f t="shared" si="186"/>
        <v>7.5176653938091809E-2</v>
      </c>
      <c r="AF236" s="4">
        <f t="shared" si="186"/>
        <v>5.1742836177502194E-2</v>
      </c>
      <c r="AG236" s="4">
        <f t="shared" si="183"/>
        <v>3.5319190625345942E-2</v>
      </c>
      <c r="AH236" s="4">
        <f t="shared" si="183"/>
        <v>2.3969442072658165E-2</v>
      </c>
      <c r="AI236" s="4">
        <f t="shared" si="183"/>
        <v>1.6202243558389728E-2</v>
      </c>
      <c r="AJ236" s="4">
        <f t="shared" si="184"/>
        <v>1.0922240564108399E-2</v>
      </c>
      <c r="AK236" s="4">
        <f t="shared" si="184"/>
        <v>7.3493212906090566E-3</v>
      </c>
      <c r="AL236" s="4">
        <f t="shared" si="184"/>
        <v>4.9390262185057265E-3</v>
      </c>
      <c r="AM236" s="4">
        <f t="shared" si="184"/>
        <v>3.3164275492956197E-3</v>
      </c>
      <c r="AN236" s="4">
        <f t="shared" si="184"/>
        <v>2.2256362146679809E-3</v>
      </c>
      <c r="AO236" s="4">
        <f t="shared" si="184"/>
        <v>1.4930448704811861E-3</v>
      </c>
      <c r="AP236" s="4">
        <f t="shared" si="184"/>
        <v>1.0013381504474506E-3</v>
      </c>
      <c r="AQ236" s="4">
        <f t="shared" si="184"/>
        <v>6.7145100246257527E-4</v>
      </c>
      <c r="AR236" s="4">
        <f t="shared" si="184"/>
        <v>4.5019225748876845E-4</v>
      </c>
    </row>
    <row r="237" spans="1:44" x14ac:dyDescent="0.25">
      <c r="A237" s="24" t="s">
        <v>70</v>
      </c>
      <c r="B237" s="60">
        <f>'Parameter Input'!B52</f>
        <v>10</v>
      </c>
      <c r="C237" s="61">
        <f>'Parameter Input'!C52</f>
        <v>10</v>
      </c>
      <c r="D237" s="1" t="s">
        <v>42</v>
      </c>
      <c r="L237" s="54">
        <f>'Parameter Input'!E52</f>
        <v>12</v>
      </c>
      <c r="M237" s="37">
        <v>0</v>
      </c>
      <c r="N237" s="37">
        <v>1</v>
      </c>
      <c r="O237" s="37">
        <f>'Parameter Input'!F52</f>
        <v>0.9</v>
      </c>
      <c r="P237" s="55">
        <f>'Parameter Input'!G52</f>
        <v>0.4</v>
      </c>
      <c r="Q237" s="4">
        <f t="shared" si="186"/>
        <v>0.9867978615748374</v>
      </c>
      <c r="R237" s="4">
        <f t="shared" si="186"/>
        <v>0.98114509762858249</v>
      </c>
      <c r="S237" s="4">
        <f t="shared" si="186"/>
        <v>0.97311898315872036</v>
      </c>
      <c r="T237" s="4">
        <f t="shared" si="186"/>
        <v>0.96177484161592774</v>
      </c>
      <c r="U237" s="4">
        <f t="shared" si="186"/>
        <v>0.94584787155511363</v>
      </c>
      <c r="V237" s="4">
        <f t="shared" si="186"/>
        <v>0.92370360150141495</v>
      </c>
      <c r="W237" s="4">
        <f t="shared" si="186"/>
        <v>0.89334463567658451</v>
      </c>
      <c r="X237" s="4">
        <f t="shared" si="186"/>
        <v>0.85254543874327005</v>
      </c>
      <c r="Y237" s="4">
        <f t="shared" si="186"/>
        <v>0.79921300652623883</v>
      </c>
      <c r="Z237" s="4">
        <f t="shared" si="186"/>
        <v>0.73204982249993378</v>
      </c>
      <c r="AA237" s="4">
        <f t="shared" si="186"/>
        <v>0.65145592958786691</v>
      </c>
      <c r="AB237" s="4">
        <f t="shared" si="186"/>
        <v>0.56032247880849573</v>
      </c>
      <c r="AC237" s="4">
        <f t="shared" si="186"/>
        <v>0.46411326873185343</v>
      </c>
      <c r="AD237" s="4">
        <f t="shared" si="186"/>
        <v>0.36979727595523937</v>
      </c>
      <c r="AE237" s="4">
        <f t="shared" si="186"/>
        <v>0.28393948637231203</v>
      </c>
      <c r="AF237" s="4">
        <f t="shared" si="186"/>
        <v>0.21097259161117732</v>
      </c>
      <c r="AG237" s="4">
        <f t="shared" si="183"/>
        <v>0.15253917653798199</v>
      </c>
      <c r="AH237" s="4">
        <f t="shared" si="183"/>
        <v>0.10795188737709993</v>
      </c>
      <c r="AI237" s="4">
        <f t="shared" si="183"/>
        <v>7.5176653938091809E-2</v>
      </c>
      <c r="AJ237" s="4">
        <f t="shared" si="184"/>
        <v>5.1742836177502194E-2</v>
      </c>
      <c r="AK237" s="4">
        <f t="shared" si="184"/>
        <v>3.5319190625345942E-2</v>
      </c>
      <c r="AL237" s="4">
        <f t="shared" si="184"/>
        <v>2.3969442072658165E-2</v>
      </c>
      <c r="AM237" s="4">
        <f t="shared" si="184"/>
        <v>1.6202243558389728E-2</v>
      </c>
      <c r="AN237" s="4">
        <f t="shared" si="184"/>
        <v>1.0922240564108399E-2</v>
      </c>
      <c r="AO237" s="4">
        <f t="shared" si="184"/>
        <v>7.3493212906090566E-3</v>
      </c>
      <c r="AP237" s="4">
        <f t="shared" si="184"/>
        <v>4.9390262185057265E-3</v>
      </c>
      <c r="AQ237" s="4">
        <f t="shared" si="184"/>
        <v>3.3164275492956197E-3</v>
      </c>
      <c r="AR237" s="4">
        <f t="shared" si="184"/>
        <v>2.2256362146679809E-3</v>
      </c>
    </row>
    <row r="238" spans="1:44" x14ac:dyDescent="0.25">
      <c r="A238" s="24" t="s">
        <v>207</v>
      </c>
      <c r="B238" s="43">
        <f>'Parameter Input'!B49</f>
        <v>25</v>
      </c>
      <c r="C238" s="44">
        <f>'Parameter Input'!C49</f>
        <v>25</v>
      </c>
      <c r="D238" s="1" t="s">
        <v>49</v>
      </c>
      <c r="L238" s="54">
        <f>'Parameter Input'!E49</f>
        <v>12</v>
      </c>
      <c r="M238" s="37">
        <v>0</v>
      </c>
      <c r="N238" s="37">
        <v>1</v>
      </c>
      <c r="O238" s="37">
        <f>'Parameter Input'!F49</f>
        <v>0.9</v>
      </c>
      <c r="P238" s="55">
        <f>'Parameter Input'!G49</f>
        <v>0.4</v>
      </c>
      <c r="Q238" s="4">
        <f t="shared" si="186"/>
        <v>0.9867978615748374</v>
      </c>
      <c r="R238" s="4">
        <f t="shared" si="186"/>
        <v>0.98114509762858249</v>
      </c>
      <c r="S238" s="4">
        <f t="shared" si="186"/>
        <v>0.97311898315872036</v>
      </c>
      <c r="T238" s="4">
        <f t="shared" si="186"/>
        <v>0.96177484161592774</v>
      </c>
      <c r="U238" s="4">
        <f t="shared" si="186"/>
        <v>0.94584787155511363</v>
      </c>
      <c r="V238" s="4">
        <f t="shared" si="186"/>
        <v>0.92370360150141495</v>
      </c>
      <c r="W238" s="4">
        <f t="shared" si="186"/>
        <v>0.89334463567658451</v>
      </c>
      <c r="X238" s="4">
        <f t="shared" si="186"/>
        <v>0.85254543874327005</v>
      </c>
      <c r="Y238" s="4">
        <f t="shared" si="186"/>
        <v>0.79921300652623883</v>
      </c>
      <c r="Z238" s="4">
        <f t="shared" si="186"/>
        <v>0.73204982249993378</v>
      </c>
      <c r="AA238" s="4">
        <f t="shared" si="186"/>
        <v>0.65145592958786691</v>
      </c>
      <c r="AB238" s="4">
        <f t="shared" si="186"/>
        <v>0.56032247880849573</v>
      </c>
      <c r="AC238" s="4">
        <f t="shared" si="186"/>
        <v>0.46411326873185343</v>
      </c>
      <c r="AD238" s="4">
        <f t="shared" si="186"/>
        <v>0.36979727595523937</v>
      </c>
      <c r="AE238" s="4">
        <f t="shared" si="186"/>
        <v>0.28393948637231203</v>
      </c>
      <c r="AF238" s="4">
        <f t="shared" si="186"/>
        <v>0.21097259161117732</v>
      </c>
      <c r="AG238" s="4">
        <f t="shared" si="183"/>
        <v>0.15253917653798199</v>
      </c>
      <c r="AH238" s="4">
        <f t="shared" si="183"/>
        <v>0.10795188737709993</v>
      </c>
      <c r="AI238" s="4">
        <f t="shared" si="183"/>
        <v>7.5176653938091809E-2</v>
      </c>
      <c r="AJ238" s="4">
        <f t="shared" si="184"/>
        <v>5.1742836177502194E-2</v>
      </c>
      <c r="AK238" s="4">
        <f t="shared" si="184"/>
        <v>3.5319190625345942E-2</v>
      </c>
      <c r="AL238" s="4">
        <f t="shared" si="184"/>
        <v>2.3969442072658165E-2</v>
      </c>
      <c r="AM238" s="4">
        <f t="shared" si="184"/>
        <v>1.6202243558389728E-2</v>
      </c>
      <c r="AN238" s="4">
        <f t="shared" si="184"/>
        <v>1.0922240564108399E-2</v>
      </c>
      <c r="AO238" s="4">
        <f t="shared" si="184"/>
        <v>7.3493212906090566E-3</v>
      </c>
      <c r="AP238" s="4">
        <f t="shared" si="184"/>
        <v>4.9390262185057265E-3</v>
      </c>
      <c r="AQ238" s="4">
        <f t="shared" si="184"/>
        <v>3.3164275492956197E-3</v>
      </c>
      <c r="AR238" s="4">
        <f t="shared" si="184"/>
        <v>2.2256362146679809E-3</v>
      </c>
    </row>
    <row r="239" spans="1:44" x14ac:dyDescent="0.25">
      <c r="A239" s="24" t="s">
        <v>56</v>
      </c>
      <c r="B239" s="45">
        <f>'Parameter Input'!B50</f>
        <v>0.6133333333333334</v>
      </c>
      <c r="C239" s="46">
        <f>'Parameter Input'!C50</f>
        <v>0.6133333333333334</v>
      </c>
      <c r="D239" s="1" t="s">
        <v>57</v>
      </c>
      <c r="L239" s="54">
        <f>'Parameter Input'!E50</f>
        <v>12</v>
      </c>
      <c r="M239" s="37">
        <v>0</v>
      </c>
      <c r="N239" s="37">
        <v>1</v>
      </c>
      <c r="O239" s="37">
        <f>'Parameter Input'!F50</f>
        <v>0.9</v>
      </c>
      <c r="P239" s="55">
        <f>'Parameter Input'!G50</f>
        <v>0.4</v>
      </c>
      <c r="Q239" s="4">
        <f t="shared" si="186"/>
        <v>0.9867978615748374</v>
      </c>
      <c r="R239" s="4">
        <f t="shared" si="186"/>
        <v>0.98114509762858249</v>
      </c>
      <c r="S239" s="4">
        <f t="shared" si="186"/>
        <v>0.97311898315872036</v>
      </c>
      <c r="T239" s="4">
        <f t="shared" si="186"/>
        <v>0.96177484161592774</v>
      </c>
      <c r="U239" s="4">
        <f t="shared" si="186"/>
        <v>0.94584787155511363</v>
      </c>
      <c r="V239" s="4">
        <f t="shared" si="186"/>
        <v>0.92370360150141495</v>
      </c>
      <c r="W239" s="4">
        <f t="shared" si="186"/>
        <v>0.89334463567658451</v>
      </c>
      <c r="X239" s="4">
        <f t="shared" si="186"/>
        <v>0.85254543874327005</v>
      </c>
      <c r="Y239" s="4">
        <f t="shared" si="186"/>
        <v>0.79921300652623883</v>
      </c>
      <c r="Z239" s="4">
        <f t="shared" si="186"/>
        <v>0.73204982249993378</v>
      </c>
      <c r="AA239" s="4">
        <f t="shared" si="186"/>
        <v>0.65145592958786691</v>
      </c>
      <c r="AB239" s="4">
        <f t="shared" si="186"/>
        <v>0.56032247880849573</v>
      </c>
      <c r="AC239" s="4">
        <f t="shared" si="186"/>
        <v>0.46411326873185343</v>
      </c>
      <c r="AD239" s="4">
        <f t="shared" si="186"/>
        <v>0.36979727595523937</v>
      </c>
      <c r="AE239" s="4">
        <f t="shared" si="186"/>
        <v>0.28393948637231203</v>
      </c>
      <c r="AF239" s="4">
        <f t="shared" si="186"/>
        <v>0.21097259161117732</v>
      </c>
      <c r="AG239" s="4">
        <f t="shared" si="183"/>
        <v>0.15253917653798199</v>
      </c>
      <c r="AH239" s="4">
        <f t="shared" si="183"/>
        <v>0.10795188737709993</v>
      </c>
      <c r="AI239" s="4">
        <f t="shared" si="183"/>
        <v>7.5176653938091809E-2</v>
      </c>
      <c r="AJ239" s="4">
        <f t="shared" si="184"/>
        <v>5.1742836177502194E-2</v>
      </c>
      <c r="AK239" s="4">
        <f t="shared" si="184"/>
        <v>3.5319190625345942E-2</v>
      </c>
      <c r="AL239" s="4">
        <f t="shared" si="184"/>
        <v>2.3969442072658165E-2</v>
      </c>
      <c r="AM239" s="4">
        <f t="shared" si="184"/>
        <v>1.6202243558389728E-2</v>
      </c>
      <c r="AN239" s="4">
        <f t="shared" si="184"/>
        <v>1.0922240564108399E-2</v>
      </c>
      <c r="AO239" s="4">
        <f t="shared" si="184"/>
        <v>7.3493212906090566E-3</v>
      </c>
      <c r="AP239" s="4">
        <f t="shared" si="184"/>
        <v>4.9390262185057265E-3</v>
      </c>
      <c r="AQ239" s="4">
        <f t="shared" si="184"/>
        <v>3.3164275492956197E-3</v>
      </c>
      <c r="AR239" s="4">
        <f t="shared" si="184"/>
        <v>2.2256362146679809E-3</v>
      </c>
    </row>
    <row r="240" spans="1:44" x14ac:dyDescent="0.25">
      <c r="A240" s="24" t="s">
        <v>73</v>
      </c>
      <c r="B240" s="72">
        <f>'Parameter Input'!$L$39</f>
        <v>0.1</v>
      </c>
      <c r="C240" s="73">
        <f>'Parameter Input'!$M$39</f>
        <v>0.05</v>
      </c>
      <c r="D240" s="1" t="s">
        <v>57</v>
      </c>
      <c r="L240" s="54">
        <f>'Parameter Input'!$O$39</f>
        <v>12</v>
      </c>
      <c r="M240" s="37">
        <v>0</v>
      </c>
      <c r="N240" s="37">
        <v>1</v>
      </c>
      <c r="O240" s="37">
        <f>'Parameter Input'!$P$39</f>
        <v>0.9</v>
      </c>
      <c r="P240" s="55">
        <f>'Parameter Input'!$Q$39</f>
        <v>0.4</v>
      </c>
      <c r="Q240" s="4">
        <f t="shared" si="186"/>
        <v>0.9867978615748374</v>
      </c>
      <c r="R240" s="4">
        <f t="shared" si="186"/>
        <v>0.98114509762858249</v>
      </c>
      <c r="S240" s="4">
        <f t="shared" si="186"/>
        <v>0.97311898315872036</v>
      </c>
      <c r="T240" s="4">
        <f t="shared" si="186"/>
        <v>0.96177484161592774</v>
      </c>
      <c r="U240" s="4">
        <f t="shared" si="186"/>
        <v>0.94584787155511363</v>
      </c>
      <c r="V240" s="4">
        <f t="shared" si="186"/>
        <v>0.92370360150141495</v>
      </c>
      <c r="W240" s="4">
        <f t="shared" si="186"/>
        <v>0.89334463567658451</v>
      </c>
      <c r="X240" s="4">
        <f t="shared" si="186"/>
        <v>0.85254543874327005</v>
      </c>
      <c r="Y240" s="4">
        <f t="shared" si="186"/>
        <v>0.79921300652623883</v>
      </c>
      <c r="Z240" s="4">
        <f t="shared" si="186"/>
        <v>0.73204982249993378</v>
      </c>
      <c r="AA240" s="4">
        <f t="shared" si="186"/>
        <v>0.65145592958786691</v>
      </c>
      <c r="AB240" s="4">
        <f t="shared" si="186"/>
        <v>0.56032247880849573</v>
      </c>
      <c r="AC240" s="4">
        <f t="shared" si="186"/>
        <v>0.46411326873185343</v>
      </c>
      <c r="AD240" s="4">
        <f t="shared" si="186"/>
        <v>0.36979727595523937</v>
      </c>
      <c r="AE240" s="4">
        <f t="shared" si="186"/>
        <v>0.28393948637231203</v>
      </c>
      <c r="AF240" s="4">
        <f t="shared" si="186"/>
        <v>0.21097259161117732</v>
      </c>
      <c r="AG240" s="4">
        <f t="shared" si="183"/>
        <v>0.15253917653798199</v>
      </c>
      <c r="AH240" s="4">
        <f t="shared" si="183"/>
        <v>0.10795188737709993</v>
      </c>
      <c r="AI240" s="4">
        <f t="shared" si="183"/>
        <v>7.5176653938091809E-2</v>
      </c>
      <c r="AJ240" s="4">
        <f t="shared" si="184"/>
        <v>5.1742836177502194E-2</v>
      </c>
      <c r="AK240" s="4">
        <f t="shared" si="184"/>
        <v>3.5319190625345942E-2</v>
      </c>
      <c r="AL240" s="4">
        <f t="shared" si="184"/>
        <v>2.3969442072658165E-2</v>
      </c>
      <c r="AM240" s="4">
        <f t="shared" si="184"/>
        <v>1.6202243558389728E-2</v>
      </c>
      <c r="AN240" s="4">
        <f t="shared" si="184"/>
        <v>1.0922240564108399E-2</v>
      </c>
      <c r="AO240" s="4">
        <f t="shared" si="184"/>
        <v>7.3493212906090566E-3</v>
      </c>
      <c r="AP240" s="4">
        <f t="shared" si="184"/>
        <v>4.9390262185057265E-3</v>
      </c>
      <c r="AQ240" s="4">
        <f t="shared" si="184"/>
        <v>3.3164275492956197E-3</v>
      </c>
      <c r="AR240" s="4">
        <f t="shared" si="184"/>
        <v>2.2256362146679809E-3</v>
      </c>
    </row>
    <row r="241" spans="1:44" ht="15.75" thickBot="1" x14ac:dyDescent="0.3">
      <c r="A241" s="24" t="s">
        <v>64</v>
      </c>
      <c r="B241" s="49">
        <f>'Parameter Input'!B51</f>
        <v>105000</v>
      </c>
      <c r="C241" s="50">
        <f>'Parameter Input'!C51</f>
        <v>105000</v>
      </c>
      <c r="D241" s="1" t="s">
        <v>65</v>
      </c>
      <c r="L241" s="56">
        <f>'Parameter Input'!E51</f>
        <v>12</v>
      </c>
      <c r="M241" s="57">
        <v>0</v>
      </c>
      <c r="N241" s="57">
        <v>1</v>
      </c>
      <c r="O241" s="57">
        <f>'Parameter Input'!F51</f>
        <v>0.9</v>
      </c>
      <c r="P241" s="58">
        <f>'Parameter Input'!G51</f>
        <v>0.4</v>
      </c>
      <c r="Q241" s="4">
        <f t="shared" si="186"/>
        <v>0.9867978615748374</v>
      </c>
      <c r="R241" s="4">
        <f t="shared" si="186"/>
        <v>0.98114509762858249</v>
      </c>
      <c r="S241" s="4">
        <f t="shared" si="186"/>
        <v>0.97311898315872036</v>
      </c>
      <c r="T241" s="4">
        <f t="shared" si="186"/>
        <v>0.96177484161592774</v>
      </c>
      <c r="U241" s="4">
        <f t="shared" si="186"/>
        <v>0.94584787155511363</v>
      </c>
      <c r="V241" s="4">
        <f t="shared" si="186"/>
        <v>0.92370360150141495</v>
      </c>
      <c r="W241" s="4">
        <f t="shared" si="186"/>
        <v>0.89334463567658451</v>
      </c>
      <c r="X241" s="4">
        <f t="shared" si="186"/>
        <v>0.85254543874327005</v>
      </c>
      <c r="Y241" s="4">
        <f t="shared" si="186"/>
        <v>0.79921300652623883</v>
      </c>
      <c r="Z241" s="4">
        <f t="shared" si="186"/>
        <v>0.73204982249993378</v>
      </c>
      <c r="AA241" s="4">
        <f t="shared" si="186"/>
        <v>0.65145592958786691</v>
      </c>
      <c r="AB241" s="4">
        <f t="shared" si="186"/>
        <v>0.56032247880849573</v>
      </c>
      <c r="AC241" s="4">
        <f t="shared" si="186"/>
        <v>0.46411326873185343</v>
      </c>
      <c r="AD241" s="4">
        <f t="shared" si="186"/>
        <v>0.36979727595523937</v>
      </c>
      <c r="AE241" s="4">
        <f t="shared" si="186"/>
        <v>0.28393948637231203</v>
      </c>
      <c r="AF241" s="4">
        <f t="shared" si="186"/>
        <v>0.21097259161117732</v>
      </c>
      <c r="AG241" s="4">
        <f t="shared" si="183"/>
        <v>0.15253917653798199</v>
      </c>
      <c r="AH241" s="4">
        <f t="shared" si="183"/>
        <v>0.10795188737709993</v>
      </c>
      <c r="AI241" s="4">
        <f t="shared" si="183"/>
        <v>7.5176653938091809E-2</v>
      </c>
      <c r="AJ241" s="4">
        <f t="shared" si="184"/>
        <v>5.1742836177502194E-2</v>
      </c>
      <c r="AK241" s="4">
        <f t="shared" si="184"/>
        <v>3.5319190625345942E-2</v>
      </c>
      <c r="AL241" s="4">
        <f t="shared" si="184"/>
        <v>2.3969442072658165E-2</v>
      </c>
      <c r="AM241" s="4">
        <f t="shared" si="184"/>
        <v>1.6202243558389728E-2</v>
      </c>
      <c r="AN241" s="4">
        <f t="shared" si="184"/>
        <v>1.0922240564108399E-2</v>
      </c>
      <c r="AO241" s="4">
        <f t="shared" si="184"/>
        <v>7.3493212906090566E-3</v>
      </c>
      <c r="AP241" s="4">
        <f t="shared" si="184"/>
        <v>4.9390262185057265E-3</v>
      </c>
      <c r="AQ241" s="4">
        <f t="shared" si="184"/>
        <v>3.3164275492956197E-3</v>
      </c>
      <c r="AR241" s="4">
        <f t="shared" si="184"/>
        <v>2.2256362146679809E-3</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87">A225</f>
        <v>Capex vehicle</v>
      </c>
      <c r="B245" s="62">
        <f t="shared" ref="B245:B253" si="188">$B225+($C225-$B225)*(1-Q225)</f>
        <v>386191.20724655397</v>
      </c>
      <c r="C245" s="62">
        <f t="shared" ref="C245:C253" si="189">$B225+($C225-$B225)*(1-R225)</f>
        <v>380544.41838286084</v>
      </c>
      <c r="D245" s="62">
        <f t="shared" ref="D245:D253" si="190">$B225+($C225-$B225)*(1-S225)</f>
        <v>372802.88209752907</v>
      </c>
      <c r="E245" s="62">
        <f t="shared" ref="E245:E253" si="191">$B225+($C225-$B225)*(1-T225)</f>
        <v>362399.08687953383</v>
      </c>
      <c r="F245" s="62">
        <f t="shared" ref="F245:F253" si="192">$B225+($C225-$B225)*(1-U225)</f>
        <v>348799.3166641909</v>
      </c>
      <c r="G245" s="62">
        <f t="shared" ref="G245:G253" si="193">$B225+($C225-$B225)*(1-V225)</f>
        <v>331672.70473748312</v>
      </c>
      <c r="H245" s="62">
        <f t="shared" ref="H245:H253" si="194">$B225+($C225-$B225)*(1-W225)</f>
        <v>311121.26204490603</v>
      </c>
      <c r="I245" s="62">
        <f t="shared" ref="I245:I253" si="195">$B225+($C225-$B225)*(1-X225)</f>
        <v>287882.23209616641</v>
      </c>
      <c r="J245" s="62">
        <f t="shared" ref="J245:J253" si="196">$B225+($C225-$B225)*(1-Y225)</f>
        <v>263348.88352662267</v>
      </c>
      <c r="K245" s="62">
        <f t="shared" ref="K245:K253" si="197">$B225+($C225-$B225)*(1-Z225)</f>
        <v>239298.30536858604</v>
      </c>
      <c r="L245" s="62">
        <f t="shared" ref="L245:L253" si="198">$B225+($C225-$B225)*(1-AA225)</f>
        <v>217404.56902493956</v>
      </c>
      <c r="M245" s="62">
        <f t="shared" ref="M245:M253" si="199">$B225+($C225-$B225)*(1-AB225)</f>
        <v>198798.01086085022</v>
      </c>
      <c r="N245" s="62">
        <f t="shared" ref="N245:N253" si="200">$B225+($C225-$B225)*(1-AC225)</f>
        <v>183897.4900171854</v>
      </c>
      <c r="O245" s="62">
        <f t="shared" ref="O245:O253" si="201">$B225+($C225-$B225)*(1-AD225)</f>
        <v>172527.73128116049</v>
      </c>
      <c r="P245" s="62">
        <f t="shared" ref="P245:P253" si="202">$B225+($C225-$B225)*(1-AE225)</f>
        <v>164170.0467542134</v>
      </c>
      <c r="Q245" s="62">
        <f t="shared" ref="Q245:Q253" si="203">$B225+($C225-$B225)*(1-AF225)</f>
        <v>158194.42322526305</v>
      </c>
      <c r="R245" s="62">
        <f t="shared" ref="R245:R253" si="204">$B225+($C225-$B225)*(1-AG225)</f>
        <v>154006.39360946321</v>
      </c>
      <c r="S245" s="62">
        <f t="shared" ref="S245:S253" si="205">$B225+($C225-$B225)*(1-AH225)</f>
        <v>151112.20772852784</v>
      </c>
      <c r="T245" s="62">
        <f t="shared" ref="T245:T253" si="206">$B225+($C225-$B225)*(1-AI225)</f>
        <v>149131.57210738939</v>
      </c>
      <c r="U245" s="62">
        <f t="shared" ref="U245:U253" si="207">$B225+($C225-$B225)*(1-AJ225)</f>
        <v>147785.17134384764</v>
      </c>
      <c r="V245" s="62">
        <f t="shared" ref="V245:V253" si="208">$B225+($C225-$B225)*(1-AK225)</f>
        <v>146874.0769291053</v>
      </c>
      <c r="W245" s="62">
        <f t="shared" ref="W245:W253" si="209">$B225+($C225-$B225)*(1-AL225)</f>
        <v>146259.45168571896</v>
      </c>
      <c r="X245" s="62">
        <f t="shared" ref="X245:X253" si="210">$B225+($C225-$B225)*(1-AM225)</f>
        <v>145845.68902507037</v>
      </c>
      <c r="Y245" s="62">
        <f t="shared" ref="Y245:Y253" si="211">$B225+($C225-$B225)*(1-AN225)</f>
        <v>145567.53723474033</v>
      </c>
      <c r="Z245" s="62">
        <f t="shared" ref="Z245:Z253" si="212">$B225+($C225-$B225)*(1-AO225)</f>
        <v>145380.72644197271</v>
      </c>
      <c r="AA245" s="62">
        <f t="shared" ref="AA245:AA253" si="213">$B225+($C225-$B225)*(1-AP225)</f>
        <v>145255.34122836409</v>
      </c>
      <c r="AB245" s="62">
        <f t="shared" ref="AB245:AB253" si="214">$B225+($C225-$B225)*(1-AQ225)</f>
        <v>145171.22000562795</v>
      </c>
      <c r="AC245" s="62">
        <f t="shared" ref="AC245:AC253" si="215">$B225+($C225-$B225)*(1-AR225)</f>
        <v>145114.79902565962</v>
      </c>
    </row>
    <row r="246" spans="1:44" x14ac:dyDescent="0.25">
      <c r="A246" s="30" t="str">
        <f t="shared" si="187"/>
        <v>Residual value (vehicle)</v>
      </c>
      <c r="B246" s="62">
        <f t="shared" si="188"/>
        <v>-58713.886949433945</v>
      </c>
      <c r="C246" s="62">
        <f t="shared" si="189"/>
        <v>-58187.960535658603</v>
      </c>
      <c r="D246" s="62">
        <f t="shared" si="190"/>
        <v>-57466.935097318885</v>
      </c>
      <c r="E246" s="62">
        <f t="shared" si="191"/>
        <v>-56497.954170152661</v>
      </c>
      <c r="F246" s="62">
        <f t="shared" si="192"/>
        <v>-55231.308904998172</v>
      </c>
      <c r="G246" s="62">
        <f t="shared" si="193"/>
        <v>-53636.18328437343</v>
      </c>
      <c r="H246" s="62">
        <f t="shared" si="194"/>
        <v>-51722.078327711839</v>
      </c>
      <c r="I246" s="62">
        <f t="shared" si="195"/>
        <v>-49557.658871701773</v>
      </c>
      <c r="J246" s="62">
        <f t="shared" si="196"/>
        <v>-47272.690132381518</v>
      </c>
      <c r="K246" s="62">
        <f t="shared" si="197"/>
        <v>-45032.685303936931</v>
      </c>
      <c r="L246" s="62">
        <f t="shared" si="198"/>
        <v>-42993.562801342414</v>
      </c>
      <c r="M246" s="62">
        <f t="shared" si="199"/>
        <v>-41260.599050765464</v>
      </c>
      <c r="N246" s="62">
        <f t="shared" si="200"/>
        <v>-39872.805442777069</v>
      </c>
      <c r="O246" s="62">
        <f t="shared" si="201"/>
        <v>-38813.857325206125</v>
      </c>
      <c r="P246" s="62">
        <f t="shared" si="202"/>
        <v>-38035.445531029676</v>
      </c>
      <c r="Q246" s="62">
        <f t="shared" si="203"/>
        <v>-37478.892359215679</v>
      </c>
      <c r="R246" s="62">
        <f t="shared" si="204"/>
        <v>-37088.830777351963</v>
      </c>
      <c r="S246" s="62">
        <f t="shared" si="205"/>
        <v>-36819.274249225637</v>
      </c>
      <c r="T246" s="62">
        <f t="shared" si="206"/>
        <v>-36634.803284511756</v>
      </c>
      <c r="U246" s="62">
        <f t="shared" si="207"/>
        <v>-36509.403213397571</v>
      </c>
      <c r="V246" s="62">
        <f t="shared" si="208"/>
        <v>-36424.546380651969</v>
      </c>
      <c r="W246" s="62">
        <f t="shared" si="209"/>
        <v>-36367.30187268951</v>
      </c>
      <c r="X246" s="62">
        <f t="shared" si="210"/>
        <v>-36328.765154295776</v>
      </c>
      <c r="Y246" s="62">
        <f t="shared" si="211"/>
        <v>-36302.858860098364</v>
      </c>
      <c r="Z246" s="62">
        <f t="shared" si="212"/>
        <v>-36285.459815673923</v>
      </c>
      <c r="AA246" s="62">
        <f t="shared" si="213"/>
        <v>-36273.781781073129</v>
      </c>
      <c r="AB246" s="62">
        <f t="shared" si="214"/>
        <v>-36265.946961308488</v>
      </c>
      <c r="AC246" s="62">
        <f t="shared" si="215"/>
        <v>-36260.692066115356</v>
      </c>
    </row>
    <row r="247" spans="1:44" x14ac:dyDescent="0.25">
      <c r="A247" s="30" t="str">
        <f t="shared" si="187"/>
        <v>Capex costumization</v>
      </c>
      <c r="B247" s="62">
        <f t="shared" si="188"/>
        <v>30000</v>
      </c>
      <c r="C247" s="62">
        <f t="shared" si="189"/>
        <v>30000</v>
      </c>
      <c r="D247" s="62">
        <f t="shared" si="190"/>
        <v>30000</v>
      </c>
      <c r="E247" s="62">
        <f t="shared" si="191"/>
        <v>30000</v>
      </c>
      <c r="F247" s="62">
        <f t="shared" si="192"/>
        <v>30000</v>
      </c>
      <c r="G247" s="62">
        <f t="shared" si="193"/>
        <v>30000</v>
      </c>
      <c r="H247" s="62">
        <f t="shared" si="194"/>
        <v>30000</v>
      </c>
      <c r="I247" s="62">
        <f t="shared" si="195"/>
        <v>30000</v>
      </c>
      <c r="J247" s="62">
        <f t="shared" si="196"/>
        <v>30000</v>
      </c>
      <c r="K247" s="62">
        <f t="shared" si="197"/>
        <v>30000</v>
      </c>
      <c r="L247" s="62">
        <f t="shared" si="198"/>
        <v>30000</v>
      </c>
      <c r="M247" s="62">
        <f t="shared" si="199"/>
        <v>30000</v>
      </c>
      <c r="N247" s="62">
        <f t="shared" si="200"/>
        <v>30000</v>
      </c>
      <c r="O247" s="62">
        <f t="shared" si="201"/>
        <v>30000</v>
      </c>
      <c r="P247" s="62">
        <f t="shared" si="202"/>
        <v>30000</v>
      </c>
      <c r="Q247" s="62">
        <f t="shared" si="203"/>
        <v>30000</v>
      </c>
      <c r="R247" s="62">
        <f t="shared" si="204"/>
        <v>30000</v>
      </c>
      <c r="S247" s="62">
        <f t="shared" si="205"/>
        <v>30000</v>
      </c>
      <c r="T247" s="62">
        <f t="shared" si="206"/>
        <v>30000</v>
      </c>
      <c r="U247" s="62">
        <f t="shared" si="207"/>
        <v>30000</v>
      </c>
      <c r="V247" s="62">
        <f t="shared" si="208"/>
        <v>30000</v>
      </c>
      <c r="W247" s="62">
        <f t="shared" si="209"/>
        <v>30000</v>
      </c>
      <c r="X247" s="62">
        <f t="shared" si="210"/>
        <v>30000</v>
      </c>
      <c r="Y247" s="62">
        <f t="shared" si="211"/>
        <v>30000</v>
      </c>
      <c r="Z247" s="62">
        <f t="shared" si="212"/>
        <v>30000</v>
      </c>
      <c r="AA247" s="62">
        <f t="shared" si="213"/>
        <v>30000</v>
      </c>
      <c r="AB247" s="62">
        <f t="shared" si="214"/>
        <v>30000</v>
      </c>
      <c r="AC247" s="62">
        <f t="shared" si="215"/>
        <v>30000</v>
      </c>
    </row>
    <row r="248" spans="1:44" x14ac:dyDescent="0.25">
      <c r="A248" s="30" t="str">
        <f t="shared" si="187"/>
        <v>Residual value (costumization)</v>
      </c>
      <c r="B248" s="62">
        <f t="shared" si="188"/>
        <v>-7500</v>
      </c>
      <c r="C248" s="62">
        <f t="shared" si="189"/>
        <v>-7500</v>
      </c>
      <c r="D248" s="62">
        <f t="shared" si="190"/>
        <v>-7500</v>
      </c>
      <c r="E248" s="62">
        <f t="shared" si="191"/>
        <v>-7500</v>
      </c>
      <c r="F248" s="62">
        <f t="shared" si="192"/>
        <v>-7500</v>
      </c>
      <c r="G248" s="62">
        <f t="shared" si="193"/>
        <v>-7500</v>
      </c>
      <c r="H248" s="62">
        <f t="shared" si="194"/>
        <v>-7500</v>
      </c>
      <c r="I248" s="62">
        <f t="shared" si="195"/>
        <v>-7500</v>
      </c>
      <c r="J248" s="62">
        <f t="shared" si="196"/>
        <v>-7500</v>
      </c>
      <c r="K248" s="62">
        <f t="shared" si="197"/>
        <v>-7500</v>
      </c>
      <c r="L248" s="62">
        <f t="shared" si="198"/>
        <v>-7500</v>
      </c>
      <c r="M248" s="62">
        <f t="shared" si="199"/>
        <v>-7500</v>
      </c>
      <c r="N248" s="62">
        <f t="shared" si="200"/>
        <v>-7500</v>
      </c>
      <c r="O248" s="62">
        <f t="shared" si="201"/>
        <v>-7500</v>
      </c>
      <c r="P248" s="62">
        <f t="shared" si="202"/>
        <v>-7500</v>
      </c>
      <c r="Q248" s="62">
        <f t="shared" si="203"/>
        <v>-7500</v>
      </c>
      <c r="R248" s="62">
        <f t="shared" si="204"/>
        <v>-7500</v>
      </c>
      <c r="S248" s="62">
        <f t="shared" si="205"/>
        <v>-7500</v>
      </c>
      <c r="T248" s="62">
        <f t="shared" si="206"/>
        <v>-7500</v>
      </c>
      <c r="U248" s="62">
        <f t="shared" si="207"/>
        <v>-7500</v>
      </c>
      <c r="V248" s="62">
        <f t="shared" si="208"/>
        <v>-7500</v>
      </c>
      <c r="W248" s="62">
        <f t="shared" si="209"/>
        <v>-7500</v>
      </c>
      <c r="X248" s="62">
        <f t="shared" si="210"/>
        <v>-7500</v>
      </c>
      <c r="Y248" s="62">
        <f t="shared" si="211"/>
        <v>-7500</v>
      </c>
      <c r="Z248" s="62">
        <f t="shared" si="212"/>
        <v>-7500</v>
      </c>
      <c r="AA248" s="62">
        <f t="shared" si="213"/>
        <v>-7500</v>
      </c>
      <c r="AB248" s="62">
        <f t="shared" si="214"/>
        <v>-7500</v>
      </c>
      <c r="AC248" s="62">
        <f t="shared" si="215"/>
        <v>-7500</v>
      </c>
    </row>
    <row r="249" spans="1:44" x14ac:dyDescent="0.25">
      <c r="A249" s="30" t="str">
        <f t="shared" si="187"/>
        <v>WACC</v>
      </c>
      <c r="B249" s="62">
        <f t="shared" si="188"/>
        <v>0.06</v>
      </c>
      <c r="C249" s="62">
        <f t="shared" si="189"/>
        <v>0.06</v>
      </c>
      <c r="D249" s="62">
        <f t="shared" si="190"/>
        <v>0.06</v>
      </c>
      <c r="E249" s="62">
        <f t="shared" si="191"/>
        <v>0.06</v>
      </c>
      <c r="F249" s="62">
        <f t="shared" si="192"/>
        <v>0.06</v>
      </c>
      <c r="G249" s="62">
        <f t="shared" si="193"/>
        <v>0.06</v>
      </c>
      <c r="H249" s="62">
        <f t="shared" si="194"/>
        <v>0.06</v>
      </c>
      <c r="I249" s="62">
        <f t="shared" si="195"/>
        <v>0.06</v>
      </c>
      <c r="J249" s="62">
        <f t="shared" si="196"/>
        <v>0.06</v>
      </c>
      <c r="K249" s="62">
        <f t="shared" si="197"/>
        <v>0.06</v>
      </c>
      <c r="L249" s="62">
        <f t="shared" si="198"/>
        <v>0.06</v>
      </c>
      <c r="M249" s="62">
        <f t="shared" si="199"/>
        <v>0.06</v>
      </c>
      <c r="N249" s="62">
        <f t="shared" si="200"/>
        <v>0.06</v>
      </c>
      <c r="O249" s="62">
        <f t="shared" si="201"/>
        <v>0.06</v>
      </c>
      <c r="P249" s="62">
        <f t="shared" si="202"/>
        <v>0.06</v>
      </c>
      <c r="Q249" s="62">
        <f t="shared" si="203"/>
        <v>0.06</v>
      </c>
      <c r="R249" s="62">
        <f t="shared" si="204"/>
        <v>0.06</v>
      </c>
      <c r="S249" s="62">
        <f t="shared" si="205"/>
        <v>0.06</v>
      </c>
      <c r="T249" s="62">
        <f t="shared" si="206"/>
        <v>0.06</v>
      </c>
      <c r="U249" s="62">
        <f t="shared" si="207"/>
        <v>0.06</v>
      </c>
      <c r="V249" s="62">
        <f t="shared" si="208"/>
        <v>0.06</v>
      </c>
      <c r="W249" s="62">
        <f t="shared" si="209"/>
        <v>0.06</v>
      </c>
      <c r="X249" s="62">
        <f t="shared" si="210"/>
        <v>0.06</v>
      </c>
      <c r="Y249" s="62">
        <f t="shared" si="211"/>
        <v>0.06</v>
      </c>
      <c r="Z249" s="62">
        <f t="shared" si="212"/>
        <v>0.06</v>
      </c>
      <c r="AA249" s="62">
        <f t="shared" si="213"/>
        <v>0.06</v>
      </c>
      <c r="AB249" s="62">
        <f t="shared" si="214"/>
        <v>0.06</v>
      </c>
      <c r="AC249" s="62">
        <f t="shared" si="215"/>
        <v>0.06</v>
      </c>
    </row>
    <row r="250" spans="1:44" x14ac:dyDescent="0.25">
      <c r="A250" s="30" t="str">
        <f t="shared" si="187"/>
        <v>Opex fix (admin, crew, insurance)</v>
      </c>
      <c r="B250" s="62">
        <f t="shared" si="188"/>
        <v>70000</v>
      </c>
      <c r="C250" s="62">
        <f t="shared" si="189"/>
        <v>70000</v>
      </c>
      <c r="D250" s="62">
        <f t="shared" si="190"/>
        <v>70000</v>
      </c>
      <c r="E250" s="62">
        <f t="shared" si="191"/>
        <v>70000</v>
      </c>
      <c r="F250" s="62">
        <f t="shared" si="192"/>
        <v>70000</v>
      </c>
      <c r="G250" s="62">
        <f t="shared" si="193"/>
        <v>70000</v>
      </c>
      <c r="H250" s="62">
        <f t="shared" si="194"/>
        <v>70000</v>
      </c>
      <c r="I250" s="62">
        <f t="shared" si="195"/>
        <v>70000</v>
      </c>
      <c r="J250" s="62">
        <f t="shared" si="196"/>
        <v>70000</v>
      </c>
      <c r="K250" s="62">
        <f t="shared" si="197"/>
        <v>70000</v>
      </c>
      <c r="L250" s="62">
        <f t="shared" si="198"/>
        <v>70000</v>
      </c>
      <c r="M250" s="62">
        <f t="shared" si="199"/>
        <v>70000</v>
      </c>
      <c r="N250" s="62">
        <f t="shared" si="200"/>
        <v>70000</v>
      </c>
      <c r="O250" s="62">
        <f t="shared" si="201"/>
        <v>70000</v>
      </c>
      <c r="P250" s="62">
        <f t="shared" si="202"/>
        <v>70000</v>
      </c>
      <c r="Q250" s="62">
        <f t="shared" si="203"/>
        <v>70000</v>
      </c>
      <c r="R250" s="62">
        <f t="shared" si="204"/>
        <v>70000</v>
      </c>
      <c r="S250" s="62">
        <f t="shared" si="205"/>
        <v>70000</v>
      </c>
      <c r="T250" s="62">
        <f t="shared" si="206"/>
        <v>70000</v>
      </c>
      <c r="U250" s="62">
        <f t="shared" si="207"/>
        <v>70000</v>
      </c>
      <c r="V250" s="62">
        <f t="shared" si="208"/>
        <v>70000</v>
      </c>
      <c r="W250" s="62">
        <f t="shared" si="209"/>
        <v>70000</v>
      </c>
      <c r="X250" s="62">
        <f t="shared" si="210"/>
        <v>70000</v>
      </c>
      <c r="Y250" s="62">
        <f t="shared" si="211"/>
        <v>70000</v>
      </c>
      <c r="Z250" s="62">
        <f t="shared" si="212"/>
        <v>70000</v>
      </c>
      <c r="AA250" s="62">
        <f t="shared" si="213"/>
        <v>70000</v>
      </c>
      <c r="AB250" s="62">
        <f t="shared" si="214"/>
        <v>70000</v>
      </c>
      <c r="AC250" s="62">
        <f t="shared" si="215"/>
        <v>70000</v>
      </c>
    </row>
    <row r="251" spans="1:44" x14ac:dyDescent="0.25">
      <c r="A251" s="30" t="str">
        <f t="shared" si="187"/>
        <v>Opex maintenance &amp; repair</v>
      </c>
      <c r="B251" s="62">
        <f t="shared" si="188"/>
        <v>15000</v>
      </c>
      <c r="C251" s="62">
        <f t="shared" si="189"/>
        <v>15000</v>
      </c>
      <c r="D251" s="62">
        <f t="shared" si="190"/>
        <v>15000</v>
      </c>
      <c r="E251" s="62">
        <f t="shared" si="191"/>
        <v>15000</v>
      </c>
      <c r="F251" s="62">
        <f t="shared" si="192"/>
        <v>15000</v>
      </c>
      <c r="G251" s="62">
        <f t="shared" si="193"/>
        <v>15000</v>
      </c>
      <c r="H251" s="62">
        <f t="shared" si="194"/>
        <v>15000</v>
      </c>
      <c r="I251" s="62">
        <f t="shared" si="195"/>
        <v>15000</v>
      </c>
      <c r="J251" s="62">
        <f t="shared" si="196"/>
        <v>15000</v>
      </c>
      <c r="K251" s="62">
        <f t="shared" si="197"/>
        <v>15000</v>
      </c>
      <c r="L251" s="62">
        <f t="shared" si="198"/>
        <v>15000</v>
      </c>
      <c r="M251" s="62">
        <f t="shared" si="199"/>
        <v>15000</v>
      </c>
      <c r="N251" s="62">
        <f t="shared" si="200"/>
        <v>15000</v>
      </c>
      <c r="O251" s="62">
        <f t="shared" si="201"/>
        <v>15000</v>
      </c>
      <c r="P251" s="62">
        <f t="shared" si="202"/>
        <v>15000</v>
      </c>
      <c r="Q251" s="62">
        <f t="shared" si="203"/>
        <v>15000</v>
      </c>
      <c r="R251" s="62">
        <f t="shared" si="204"/>
        <v>15000</v>
      </c>
      <c r="S251" s="62">
        <f t="shared" si="205"/>
        <v>15000</v>
      </c>
      <c r="T251" s="62">
        <f t="shared" si="206"/>
        <v>15000</v>
      </c>
      <c r="U251" s="62">
        <f t="shared" si="207"/>
        <v>15000</v>
      </c>
      <c r="V251" s="62">
        <f t="shared" si="208"/>
        <v>15000</v>
      </c>
      <c r="W251" s="62">
        <f t="shared" si="209"/>
        <v>15000</v>
      </c>
      <c r="X251" s="62">
        <f t="shared" si="210"/>
        <v>15000</v>
      </c>
      <c r="Y251" s="62">
        <f t="shared" si="211"/>
        <v>15000</v>
      </c>
      <c r="Z251" s="62">
        <f t="shared" si="212"/>
        <v>15000</v>
      </c>
      <c r="AA251" s="62">
        <f t="shared" si="213"/>
        <v>15000</v>
      </c>
      <c r="AB251" s="62">
        <f t="shared" si="214"/>
        <v>15000</v>
      </c>
      <c r="AC251" s="62">
        <f t="shared" si="215"/>
        <v>15000</v>
      </c>
    </row>
    <row r="252" spans="1:44" x14ac:dyDescent="0.25">
      <c r="A252" s="30" t="str">
        <f t="shared" si="187"/>
        <v>Opex var (mode-fees)</v>
      </c>
      <c r="B252" s="62">
        <f t="shared" si="188"/>
        <v>0.11</v>
      </c>
      <c r="C252" s="62">
        <f t="shared" si="189"/>
        <v>0.11</v>
      </c>
      <c r="D252" s="62">
        <f t="shared" si="190"/>
        <v>0.11</v>
      </c>
      <c r="E252" s="62">
        <f t="shared" si="191"/>
        <v>0.11</v>
      </c>
      <c r="F252" s="62">
        <f t="shared" si="192"/>
        <v>0.11</v>
      </c>
      <c r="G252" s="62">
        <f t="shared" si="193"/>
        <v>0.11</v>
      </c>
      <c r="H252" s="62">
        <f t="shared" si="194"/>
        <v>0.11</v>
      </c>
      <c r="I252" s="62">
        <f t="shared" si="195"/>
        <v>0.11</v>
      </c>
      <c r="J252" s="62">
        <f t="shared" si="196"/>
        <v>0.11</v>
      </c>
      <c r="K252" s="62">
        <f t="shared" si="197"/>
        <v>0.11</v>
      </c>
      <c r="L252" s="62">
        <f t="shared" si="198"/>
        <v>0.11</v>
      </c>
      <c r="M252" s="62">
        <f t="shared" si="199"/>
        <v>0.11</v>
      </c>
      <c r="N252" s="62">
        <f t="shared" si="200"/>
        <v>0.11</v>
      </c>
      <c r="O252" s="62">
        <f t="shared" si="201"/>
        <v>0.11</v>
      </c>
      <c r="P252" s="62">
        <f t="shared" si="202"/>
        <v>0.11</v>
      </c>
      <c r="Q252" s="62">
        <f t="shared" si="203"/>
        <v>0.11</v>
      </c>
      <c r="R252" s="62">
        <f t="shared" si="204"/>
        <v>0.11</v>
      </c>
      <c r="S252" s="62">
        <f t="shared" si="205"/>
        <v>0.11</v>
      </c>
      <c r="T252" s="62">
        <f t="shared" si="206"/>
        <v>0.11</v>
      </c>
      <c r="U252" s="62">
        <f t="shared" si="207"/>
        <v>0.11</v>
      </c>
      <c r="V252" s="62">
        <f t="shared" si="208"/>
        <v>0.11</v>
      </c>
      <c r="W252" s="62">
        <f t="shared" si="209"/>
        <v>0.11</v>
      </c>
      <c r="X252" s="62">
        <f t="shared" si="210"/>
        <v>0.11</v>
      </c>
      <c r="Y252" s="62">
        <f t="shared" si="211"/>
        <v>0.11</v>
      </c>
      <c r="Z252" s="62">
        <f t="shared" si="212"/>
        <v>0.11</v>
      </c>
      <c r="AA252" s="62">
        <f t="shared" si="213"/>
        <v>0.11</v>
      </c>
      <c r="AB252" s="62">
        <f t="shared" si="214"/>
        <v>0.11</v>
      </c>
      <c r="AC252" s="62">
        <f t="shared" si="215"/>
        <v>0.11</v>
      </c>
    </row>
    <row r="253" spans="1:44" x14ac:dyDescent="0.25">
      <c r="A253" s="30" t="str">
        <f t="shared" si="187"/>
        <v>Fuel Economy</v>
      </c>
      <c r="B253" s="62">
        <f t="shared" si="188"/>
        <v>1.499963712475392</v>
      </c>
      <c r="C253" s="62">
        <f t="shared" si="189"/>
        <v>1.4917703325555236</v>
      </c>
      <c r="D253" s="62">
        <f t="shared" si="190"/>
        <v>1.4805375152003362</v>
      </c>
      <c r="E253" s="62">
        <f t="shared" si="191"/>
        <v>1.4654418123350099</v>
      </c>
      <c r="F253" s="62">
        <f t="shared" si="192"/>
        <v>1.4457088124147084</v>
      </c>
      <c r="G253" s="62">
        <f t="shared" si="193"/>
        <v>1.4208584343249755</v>
      </c>
      <c r="H253" s="62">
        <f t="shared" si="194"/>
        <v>1.3910386939475108</v>
      </c>
      <c r="I253" s="62">
        <f t="shared" si="195"/>
        <v>1.3573193171591433</v>
      </c>
      <c r="J253" s="62">
        <f t="shared" si="196"/>
        <v>1.3217219094307857</v>
      </c>
      <c r="K253" s="62">
        <f t="shared" si="197"/>
        <v>1.2868249921034385</v>
      </c>
      <c r="L253" s="62">
        <f t="shared" si="198"/>
        <v>1.2550576099577553</v>
      </c>
      <c r="M253" s="62">
        <f t="shared" si="199"/>
        <v>1.2280598588961356</v>
      </c>
      <c r="N253" s="62">
        <f t="shared" si="200"/>
        <v>1.2064394953190534</v>
      </c>
      <c r="O253" s="62">
        <f t="shared" si="201"/>
        <v>1.1899421983295269</v>
      </c>
      <c r="P253" s="62">
        <f t="shared" si="202"/>
        <v>1.1778153619570939</v>
      </c>
      <c r="Q253" s="62">
        <f t="shared" si="203"/>
        <v>1.1691448493856758</v>
      </c>
      <c r="R253" s="62">
        <f t="shared" si="204"/>
        <v>1.1630681005313779</v>
      </c>
      <c r="S253" s="62">
        <f t="shared" si="205"/>
        <v>1.1588686935668835</v>
      </c>
      <c r="T253" s="62">
        <f t="shared" si="206"/>
        <v>1.1559948301166041</v>
      </c>
      <c r="U253" s="62">
        <f t="shared" si="207"/>
        <v>1.1540412290087201</v>
      </c>
      <c r="V253" s="62">
        <f t="shared" si="208"/>
        <v>1.1527192488775253</v>
      </c>
      <c r="W253" s="62">
        <f t="shared" si="209"/>
        <v>1.151827439700847</v>
      </c>
      <c r="X253" s="62">
        <f t="shared" si="210"/>
        <v>1.1512270781932392</v>
      </c>
      <c r="Y253" s="62">
        <f t="shared" si="211"/>
        <v>1.150823485399427</v>
      </c>
      <c r="Z253" s="62">
        <f t="shared" si="212"/>
        <v>1.1505524266020779</v>
      </c>
      <c r="AA253" s="62">
        <f t="shared" si="213"/>
        <v>1.1503704951156655</v>
      </c>
      <c r="AB253" s="62">
        <f t="shared" si="214"/>
        <v>1.1502484368709109</v>
      </c>
      <c r="AC253" s="62">
        <f t="shared" si="215"/>
        <v>1.1501665711352707</v>
      </c>
    </row>
    <row r="254" spans="1:44" x14ac:dyDescent="0.25">
      <c r="A254" s="30" t="str">
        <f t="shared" si="187"/>
        <v>Fuel Cost</v>
      </c>
      <c r="B254" s="62">
        <f>$B234+($C234-$B234)*(1-Q234)</f>
        <v>0.1331013876427829</v>
      </c>
      <c r="C254" s="62">
        <f>$B234+($C234-$B234)*(1-R234)</f>
        <v>0.13284065209015961</v>
      </c>
      <c r="D254" s="62">
        <f>$B234+($C234-$B234)*(1-S234)</f>
        <v>0.13247044498234223</v>
      </c>
      <c r="E254" s="62">
        <f t="shared" ref="E254:AC255" si="216">$B234+($C234-$B234)*(1-T234)</f>
        <v>0.13194719281007408</v>
      </c>
      <c r="F254" s="62">
        <f t="shared" si="216"/>
        <v>0.13121255620046077</v>
      </c>
      <c r="G254" s="62">
        <f t="shared" si="216"/>
        <v>0.13019114463175094</v>
      </c>
      <c r="H254" s="62">
        <f t="shared" si="216"/>
        <v>0.12879082758213251</v>
      </c>
      <c r="I254" s="62">
        <f t="shared" si="216"/>
        <v>0.126908951519354</v>
      </c>
      <c r="J254" s="62">
        <f t="shared" si="216"/>
        <v>0.12444897595358409</v>
      </c>
      <c r="K254" s="62">
        <f t="shared" si="216"/>
        <v>0.12135105251833415</v>
      </c>
      <c r="L254" s="62">
        <f t="shared" si="216"/>
        <v>0.11763363332194038</v>
      </c>
      <c r="M254" s="62">
        <f t="shared" si="216"/>
        <v>0.11343007363373329</v>
      </c>
      <c r="N254" s="62">
        <f t="shared" si="216"/>
        <v>0.10899239291766451</v>
      </c>
      <c r="O254" s="62">
        <f t="shared" si="216"/>
        <v>0.10464203745763898</v>
      </c>
      <c r="P254" s="62">
        <f t="shared" si="216"/>
        <v>0.10068181933659913</v>
      </c>
      <c r="Q254" s="62">
        <f t="shared" si="216"/>
        <v>9.7316197879620536E-2</v>
      </c>
      <c r="R254" s="62">
        <f t="shared" si="216"/>
        <v>9.4620937841233446E-2</v>
      </c>
      <c r="S254" s="62">
        <f t="shared" si="216"/>
        <v>9.2564334807767046E-2</v>
      </c>
      <c r="T254" s="62">
        <f t="shared" si="216"/>
        <v>9.1052566638367527E-2</v>
      </c>
      <c r="U254" s="62">
        <f t="shared" si="216"/>
        <v>8.9971674267489546E-2</v>
      </c>
      <c r="V254" s="62">
        <f t="shared" si="216"/>
        <v>8.9214128341311663E-2</v>
      </c>
      <c r="W254" s="62">
        <f t="shared" si="216"/>
        <v>8.8690617543911193E-2</v>
      </c>
      <c r="X254" s="62">
        <f t="shared" si="216"/>
        <v>8.833235301770638E-2</v>
      </c>
      <c r="Y254" s="62">
        <f t="shared" si="216"/>
        <v>8.8088811183719362E-2</v>
      </c>
      <c r="Z254" s="62">
        <f t="shared" si="216"/>
        <v>8.7924009134648928E-2</v>
      </c>
      <c r="AA254" s="62">
        <f t="shared" si="216"/>
        <v>8.7812833500289317E-2</v>
      </c>
      <c r="AB254" s="62">
        <f t="shared" si="216"/>
        <v>8.7737990615512101E-2</v>
      </c>
      <c r="AC254" s="62">
        <f t="shared" si="216"/>
        <v>8.768767751485286E-2</v>
      </c>
    </row>
    <row r="255" spans="1:44" x14ac:dyDescent="0.25">
      <c r="A255" s="30" t="str">
        <f t="shared" ref="A255" si="217">A235</f>
        <v>Emission Cost</v>
      </c>
      <c r="B255" s="66">
        <f>$B235+($C235-$B235)*(1-Q235)</f>
        <v>3.5122691839304448E-3</v>
      </c>
      <c r="C255" s="66">
        <f t="shared" ref="C255" si="218">$B235+($C235-$B235)*(1-R235)</f>
        <v>3.5089246478970256E-3</v>
      </c>
      <c r="D255" s="66">
        <f t="shared" ref="D255" si="219">$B235+($C235-$B235)*(1-S235)</f>
        <v>3.5041370190587195E-3</v>
      </c>
      <c r="E255" s="66">
        <f t="shared" si="216"/>
        <v>3.4972879793244123E-3</v>
      </c>
      <c r="F255" s="66">
        <f t="shared" si="216"/>
        <v>3.4874991902284352E-3</v>
      </c>
      <c r="G255" s="66">
        <f t="shared" si="216"/>
        <v>3.4735284727434282E-3</v>
      </c>
      <c r="H255" s="66">
        <f t="shared" si="216"/>
        <v>3.4536307436526109E-3</v>
      </c>
      <c r="I255" s="66">
        <f t="shared" si="216"/>
        <v>3.4253788207186963E-3</v>
      </c>
      <c r="J255" s="66">
        <f t="shared" si="216"/>
        <v>3.3854474424880663E-3</v>
      </c>
      <c r="K255" s="66">
        <f t="shared" si="216"/>
        <v>3.3293845078740006E-3</v>
      </c>
      <c r="L255" s="66">
        <f t="shared" si="216"/>
        <v>3.251436677284981E-3</v>
      </c>
      <c r="M255" s="66">
        <f t="shared" si="216"/>
        <v>3.1445731175815781E-3</v>
      </c>
      <c r="N255" s="66">
        <f t="shared" si="216"/>
        <v>3.0009599443763112E-3</v>
      </c>
      <c r="O255" s="66">
        <f t="shared" si="216"/>
        <v>2.813229782972361E-3</v>
      </c>
      <c r="P255" s="66">
        <f t="shared" si="216"/>
        <v>2.5768153751997672E-3</v>
      </c>
      <c r="Q255" s="66">
        <f t="shared" si="216"/>
        <v>2.2931248721492917E-3</v>
      </c>
      <c r="R255" s="66">
        <f t="shared" si="216"/>
        <v>1.9723351254059053E-3</v>
      </c>
      <c r="S255" s="66">
        <f t="shared" si="216"/>
        <v>1.6336787059361244E-3</v>
      </c>
      <c r="T255" s="66">
        <f t="shared" si="216"/>
        <v>1.3016864113624426E-3</v>
      </c>
      <c r="U255" s="66">
        <f t="shared" si="216"/>
        <v>9.9946699203053851E-4</v>
      </c>
      <c r="V255" s="66">
        <f t="shared" si="216"/>
        <v>7.4262352247134438E-4</v>
      </c>
      <c r="W255" s="66">
        <f t="shared" si="216"/>
        <v>5.3693790141369664E-4</v>
      </c>
      <c r="X255" s="66">
        <f t="shared" si="216"/>
        <v>3.7999064356739184E-4</v>
      </c>
      <c r="Y255" s="66">
        <f t="shared" si="216"/>
        <v>2.646218218620832E-4</v>
      </c>
      <c r="Z255" s="66">
        <f t="shared" si="216"/>
        <v>1.8213478334480789E-4</v>
      </c>
      <c r="AA255" s="66">
        <f t="shared" si="216"/>
        <v>1.2432355100121771E-4</v>
      </c>
      <c r="AB255" s="66">
        <f t="shared" si="216"/>
        <v>8.4372436095756821E-5</v>
      </c>
      <c r="AC255" s="66">
        <f t="shared" si="216"/>
        <v>5.7031897325531943E-5</v>
      </c>
    </row>
    <row r="256" spans="1:44" x14ac:dyDescent="0.25">
      <c r="A256" s="30" t="str">
        <f>A236</f>
        <v>Lifetime vehicle</v>
      </c>
      <c r="B256" s="62">
        <f>$B236+($C236-$B236)*(1-Q236)</f>
        <v>8</v>
      </c>
      <c r="C256" s="62">
        <f t="shared" ref="C256:L258" si="220">$B236+($C236-$B236)*(1-R236)</f>
        <v>8</v>
      </c>
      <c r="D256" s="62">
        <f t="shared" si="220"/>
        <v>8</v>
      </c>
      <c r="E256" s="62">
        <f t="shared" si="220"/>
        <v>8</v>
      </c>
      <c r="F256" s="62">
        <f t="shared" si="220"/>
        <v>8</v>
      </c>
      <c r="G256" s="62">
        <f t="shared" si="220"/>
        <v>8</v>
      </c>
      <c r="H256" s="62">
        <f t="shared" si="220"/>
        <v>8</v>
      </c>
      <c r="I256" s="62">
        <f t="shared" si="220"/>
        <v>8</v>
      </c>
      <c r="J256" s="62">
        <f t="shared" si="220"/>
        <v>8</v>
      </c>
      <c r="K256" s="62">
        <f t="shared" si="220"/>
        <v>8</v>
      </c>
      <c r="L256" s="62">
        <f t="shared" si="220"/>
        <v>8</v>
      </c>
      <c r="M256" s="62">
        <f t="shared" ref="M256:V258" si="221">$B236+($C236-$B236)*(1-AB236)</f>
        <v>8</v>
      </c>
      <c r="N256" s="62">
        <f t="shared" si="221"/>
        <v>8</v>
      </c>
      <c r="O256" s="62">
        <f t="shared" si="221"/>
        <v>8</v>
      </c>
      <c r="P256" s="62">
        <f t="shared" si="221"/>
        <v>8</v>
      </c>
      <c r="Q256" s="62">
        <f t="shared" si="221"/>
        <v>8</v>
      </c>
      <c r="R256" s="62">
        <f t="shared" si="221"/>
        <v>8</v>
      </c>
      <c r="S256" s="62">
        <f t="shared" si="221"/>
        <v>8</v>
      </c>
      <c r="T256" s="62">
        <f t="shared" si="221"/>
        <v>8</v>
      </c>
      <c r="U256" s="62">
        <f t="shared" si="221"/>
        <v>8</v>
      </c>
      <c r="V256" s="62">
        <f t="shared" si="221"/>
        <v>8</v>
      </c>
      <c r="W256" s="62">
        <f t="shared" ref="W256:AC258" si="222">$B236+($C236-$B236)*(1-AL236)</f>
        <v>8</v>
      </c>
      <c r="X256" s="62">
        <f t="shared" si="222"/>
        <v>8</v>
      </c>
      <c r="Y256" s="62">
        <f t="shared" si="222"/>
        <v>8</v>
      </c>
      <c r="Z256" s="62">
        <f t="shared" si="222"/>
        <v>8</v>
      </c>
      <c r="AA256" s="62">
        <f t="shared" si="222"/>
        <v>8</v>
      </c>
      <c r="AB256" s="62">
        <f t="shared" si="222"/>
        <v>8</v>
      </c>
      <c r="AC256" s="62">
        <f t="shared" si="222"/>
        <v>8</v>
      </c>
    </row>
    <row r="257" spans="1:29" x14ac:dyDescent="0.25">
      <c r="A257" s="30" t="str">
        <f>A237</f>
        <v>Lifetime costumization</v>
      </c>
      <c r="B257" s="62">
        <f>$B237+($C237-$B237)*(1-Q237)</f>
        <v>10</v>
      </c>
      <c r="C257" s="62">
        <f t="shared" si="220"/>
        <v>10</v>
      </c>
      <c r="D257" s="62">
        <f t="shared" si="220"/>
        <v>10</v>
      </c>
      <c r="E257" s="62">
        <f t="shared" si="220"/>
        <v>10</v>
      </c>
      <c r="F257" s="62">
        <f t="shared" si="220"/>
        <v>10</v>
      </c>
      <c r="G257" s="62">
        <f t="shared" si="220"/>
        <v>10</v>
      </c>
      <c r="H257" s="62">
        <f t="shared" si="220"/>
        <v>10</v>
      </c>
      <c r="I257" s="62">
        <f t="shared" si="220"/>
        <v>10</v>
      </c>
      <c r="J257" s="62">
        <f t="shared" si="220"/>
        <v>10</v>
      </c>
      <c r="K257" s="62">
        <f t="shared" si="220"/>
        <v>10</v>
      </c>
      <c r="L257" s="62">
        <f t="shared" si="220"/>
        <v>10</v>
      </c>
      <c r="M257" s="62">
        <f t="shared" si="221"/>
        <v>10</v>
      </c>
      <c r="N257" s="62">
        <f t="shared" si="221"/>
        <v>10</v>
      </c>
      <c r="O257" s="62">
        <f t="shared" si="221"/>
        <v>10</v>
      </c>
      <c r="P257" s="62">
        <f t="shared" si="221"/>
        <v>10</v>
      </c>
      <c r="Q257" s="62">
        <f t="shared" si="221"/>
        <v>10</v>
      </c>
      <c r="R257" s="62">
        <f t="shared" si="221"/>
        <v>10</v>
      </c>
      <c r="S257" s="62">
        <f t="shared" si="221"/>
        <v>10</v>
      </c>
      <c r="T257" s="62">
        <f t="shared" si="221"/>
        <v>10</v>
      </c>
      <c r="U257" s="62">
        <f t="shared" si="221"/>
        <v>10</v>
      </c>
      <c r="V257" s="62">
        <f t="shared" si="221"/>
        <v>10</v>
      </c>
      <c r="W257" s="62">
        <f t="shared" si="222"/>
        <v>10</v>
      </c>
      <c r="X257" s="62">
        <f t="shared" si="222"/>
        <v>10</v>
      </c>
      <c r="Y257" s="62">
        <f t="shared" si="222"/>
        <v>10</v>
      </c>
      <c r="Z257" s="62">
        <f t="shared" si="222"/>
        <v>10</v>
      </c>
      <c r="AA257" s="62">
        <f t="shared" si="222"/>
        <v>10</v>
      </c>
      <c r="AB257" s="62">
        <f t="shared" si="222"/>
        <v>10</v>
      </c>
      <c r="AC257" s="62">
        <f t="shared" si="222"/>
        <v>10</v>
      </c>
    </row>
    <row r="258" spans="1:29" x14ac:dyDescent="0.25">
      <c r="A258" s="30" t="str">
        <f>A238</f>
        <v>Tonnage .</v>
      </c>
      <c r="B258" s="62">
        <f>$B238+($C238-$B238)*(1-Q238)</f>
        <v>25</v>
      </c>
      <c r="C258" s="62">
        <f t="shared" si="220"/>
        <v>25</v>
      </c>
      <c r="D258" s="62">
        <f t="shared" si="220"/>
        <v>25</v>
      </c>
      <c r="E258" s="62">
        <f t="shared" si="220"/>
        <v>25</v>
      </c>
      <c r="F258" s="62">
        <f t="shared" si="220"/>
        <v>25</v>
      </c>
      <c r="G258" s="62">
        <f t="shared" si="220"/>
        <v>25</v>
      </c>
      <c r="H258" s="62">
        <f t="shared" si="220"/>
        <v>25</v>
      </c>
      <c r="I258" s="62">
        <f t="shared" si="220"/>
        <v>25</v>
      </c>
      <c r="J258" s="62">
        <f t="shared" si="220"/>
        <v>25</v>
      </c>
      <c r="K258" s="62">
        <f t="shared" si="220"/>
        <v>25</v>
      </c>
      <c r="L258" s="62">
        <f t="shared" si="220"/>
        <v>25</v>
      </c>
      <c r="M258" s="62">
        <f t="shared" si="221"/>
        <v>25</v>
      </c>
      <c r="N258" s="62">
        <f t="shared" si="221"/>
        <v>25</v>
      </c>
      <c r="O258" s="62">
        <f t="shared" si="221"/>
        <v>25</v>
      </c>
      <c r="P258" s="62">
        <f t="shared" si="221"/>
        <v>25</v>
      </c>
      <c r="Q258" s="62">
        <f t="shared" si="221"/>
        <v>25</v>
      </c>
      <c r="R258" s="62">
        <f t="shared" si="221"/>
        <v>25</v>
      </c>
      <c r="S258" s="62">
        <f t="shared" si="221"/>
        <v>25</v>
      </c>
      <c r="T258" s="62">
        <f t="shared" si="221"/>
        <v>25</v>
      </c>
      <c r="U258" s="62">
        <f t="shared" si="221"/>
        <v>25</v>
      </c>
      <c r="V258" s="62">
        <f t="shared" si="221"/>
        <v>25</v>
      </c>
      <c r="W258" s="62">
        <f t="shared" si="222"/>
        <v>25</v>
      </c>
      <c r="X258" s="62">
        <f t="shared" si="222"/>
        <v>25</v>
      </c>
      <c r="Y258" s="62">
        <f t="shared" si="222"/>
        <v>25</v>
      </c>
      <c r="Z258" s="62">
        <f t="shared" si="222"/>
        <v>25</v>
      </c>
      <c r="AA258" s="62">
        <f t="shared" si="222"/>
        <v>25</v>
      </c>
      <c r="AB258" s="62">
        <f t="shared" si="222"/>
        <v>25</v>
      </c>
      <c r="AC258" s="62">
        <f t="shared" si="222"/>
        <v>25</v>
      </c>
    </row>
    <row r="259" spans="1:29" x14ac:dyDescent="0.25">
      <c r="A259" s="30" t="str">
        <f>A239</f>
        <v>Market failure (av. utilization)</v>
      </c>
      <c r="B259" s="62">
        <f t="shared" ref="B259:K260" si="223">($B239+($C239-$B239)*(1-Q239))*B$44</f>
        <v>15.333333333333336</v>
      </c>
      <c r="C259" s="62">
        <f t="shared" si="223"/>
        <v>15.333333333333336</v>
      </c>
      <c r="D259" s="62">
        <f t="shared" si="223"/>
        <v>15.333333333333336</v>
      </c>
      <c r="E259" s="62">
        <f t="shared" si="223"/>
        <v>15.333333333333336</v>
      </c>
      <c r="F259" s="62">
        <f t="shared" si="223"/>
        <v>15.333333333333336</v>
      </c>
      <c r="G259" s="62">
        <f t="shared" si="223"/>
        <v>15.333333333333336</v>
      </c>
      <c r="H259" s="62">
        <f t="shared" si="223"/>
        <v>15.333333333333336</v>
      </c>
      <c r="I259" s="62">
        <f t="shared" si="223"/>
        <v>15.333333333333336</v>
      </c>
      <c r="J259" s="62">
        <f t="shared" si="223"/>
        <v>15.333333333333336</v>
      </c>
      <c r="K259" s="62">
        <f t="shared" si="223"/>
        <v>15.333333333333336</v>
      </c>
      <c r="L259" s="62">
        <f t="shared" ref="L259:U260" si="224">($B239+($C239-$B239)*(1-AA239))*L$44</f>
        <v>15.333333333333336</v>
      </c>
      <c r="M259" s="62">
        <f t="shared" si="224"/>
        <v>15.333333333333336</v>
      </c>
      <c r="N259" s="62">
        <f t="shared" si="224"/>
        <v>15.333333333333336</v>
      </c>
      <c r="O259" s="62">
        <f t="shared" si="224"/>
        <v>15.333333333333336</v>
      </c>
      <c r="P259" s="62">
        <f t="shared" si="224"/>
        <v>15.333333333333336</v>
      </c>
      <c r="Q259" s="62">
        <f t="shared" si="224"/>
        <v>15.333333333333336</v>
      </c>
      <c r="R259" s="62">
        <f t="shared" si="224"/>
        <v>15.333333333333336</v>
      </c>
      <c r="S259" s="62">
        <f t="shared" si="224"/>
        <v>15.333333333333336</v>
      </c>
      <c r="T259" s="62">
        <f t="shared" si="224"/>
        <v>15.333333333333336</v>
      </c>
      <c r="U259" s="62">
        <f t="shared" si="224"/>
        <v>15.333333333333336</v>
      </c>
      <c r="V259" s="62">
        <f t="shared" ref="V259:AC260" si="225">($B239+($C239-$B239)*(1-AK239))*V$44</f>
        <v>15.333333333333336</v>
      </c>
      <c r="W259" s="62">
        <f t="shared" si="225"/>
        <v>15.333333333333336</v>
      </c>
      <c r="X259" s="62">
        <f t="shared" si="225"/>
        <v>15.333333333333336</v>
      </c>
      <c r="Y259" s="62">
        <f t="shared" si="225"/>
        <v>15.333333333333336</v>
      </c>
      <c r="Z259" s="62">
        <f t="shared" si="225"/>
        <v>15.333333333333336</v>
      </c>
      <c r="AA259" s="62">
        <f t="shared" si="225"/>
        <v>15.333333333333336</v>
      </c>
      <c r="AB259" s="62">
        <f t="shared" si="225"/>
        <v>15.333333333333336</v>
      </c>
      <c r="AC259" s="62">
        <f t="shared" si="225"/>
        <v>15.333333333333336</v>
      </c>
    </row>
    <row r="260" spans="1:29" x14ac:dyDescent="0.25">
      <c r="A260" s="30" t="s">
        <v>73</v>
      </c>
      <c r="B260" s="62">
        <f t="shared" si="223"/>
        <v>2.4834973269685467</v>
      </c>
      <c r="C260" s="62">
        <f t="shared" si="223"/>
        <v>2.4764313720357283</v>
      </c>
      <c r="D260" s="62">
        <f t="shared" si="223"/>
        <v>2.4663987289484006</v>
      </c>
      <c r="E260" s="62">
        <f t="shared" si="223"/>
        <v>2.4522185520199096</v>
      </c>
      <c r="F260" s="62">
        <f t="shared" si="223"/>
        <v>2.4323098394438922</v>
      </c>
      <c r="G260" s="62">
        <f t="shared" si="223"/>
        <v>2.4046295018767689</v>
      </c>
      <c r="H260" s="62">
        <f t="shared" si="223"/>
        <v>2.3666807945957307</v>
      </c>
      <c r="I260" s="62">
        <f t="shared" si="223"/>
        <v>2.3156817984290878</v>
      </c>
      <c r="J260" s="62">
        <f t="shared" si="223"/>
        <v>2.2490162581577988</v>
      </c>
      <c r="K260" s="62">
        <f t="shared" si="223"/>
        <v>2.1650622781249176</v>
      </c>
      <c r="L260" s="62">
        <f t="shared" si="224"/>
        <v>2.0643199119848337</v>
      </c>
      <c r="M260" s="62">
        <f t="shared" si="224"/>
        <v>1.9504030985106198</v>
      </c>
      <c r="N260" s="62">
        <f t="shared" si="224"/>
        <v>1.8301415859148171</v>
      </c>
      <c r="O260" s="62">
        <f t="shared" si="224"/>
        <v>1.7122465949440495</v>
      </c>
      <c r="P260" s="62">
        <f t="shared" si="224"/>
        <v>1.6049243579653898</v>
      </c>
      <c r="Q260" s="62">
        <f t="shared" si="224"/>
        <v>1.5137157395139718</v>
      </c>
      <c r="R260" s="62">
        <f t="shared" si="224"/>
        <v>1.4406739706724776</v>
      </c>
      <c r="S260" s="62">
        <f t="shared" si="224"/>
        <v>1.3849398592213749</v>
      </c>
      <c r="T260" s="62">
        <f t="shared" si="224"/>
        <v>1.3439708174226148</v>
      </c>
      <c r="U260" s="62">
        <f t="shared" si="224"/>
        <v>1.3146785452218777</v>
      </c>
      <c r="V260" s="62">
        <f t="shared" si="225"/>
        <v>1.2941489882816826</v>
      </c>
      <c r="W260" s="62">
        <f t="shared" si="225"/>
        <v>1.2799618025908228</v>
      </c>
      <c r="X260" s="62">
        <f t="shared" si="225"/>
        <v>1.2702528044479873</v>
      </c>
      <c r="Y260" s="62">
        <f t="shared" si="225"/>
        <v>1.2636528007051355</v>
      </c>
      <c r="Z260" s="62">
        <f t="shared" si="225"/>
        <v>1.2591866516132615</v>
      </c>
      <c r="AA260" s="62">
        <f t="shared" si="225"/>
        <v>1.2561737827731323</v>
      </c>
      <c r="AB260" s="62">
        <f t="shared" si="225"/>
        <v>1.2541455344366195</v>
      </c>
      <c r="AC260" s="62">
        <f t="shared" si="225"/>
        <v>1.2527820452683351</v>
      </c>
    </row>
    <row r="261" spans="1:29" x14ac:dyDescent="0.25">
      <c r="A261" s="30" t="str">
        <f>A241</f>
        <v>Annual Mileage</v>
      </c>
      <c r="B261" s="62">
        <f t="shared" ref="B261:AC261" si="226">$B241+($C241-$B241)*(1-Q241)</f>
        <v>105000</v>
      </c>
      <c r="C261" s="62">
        <f t="shared" si="226"/>
        <v>105000</v>
      </c>
      <c r="D261" s="62">
        <f t="shared" si="226"/>
        <v>105000</v>
      </c>
      <c r="E261" s="62">
        <f t="shared" si="226"/>
        <v>105000</v>
      </c>
      <c r="F261" s="62">
        <f t="shared" si="226"/>
        <v>105000</v>
      </c>
      <c r="G261" s="62">
        <f t="shared" si="226"/>
        <v>105000</v>
      </c>
      <c r="H261" s="62">
        <f t="shared" si="226"/>
        <v>105000</v>
      </c>
      <c r="I261" s="62">
        <f t="shared" si="226"/>
        <v>105000</v>
      </c>
      <c r="J261" s="62">
        <f t="shared" si="226"/>
        <v>105000</v>
      </c>
      <c r="K261" s="62">
        <f t="shared" si="226"/>
        <v>105000</v>
      </c>
      <c r="L261" s="62">
        <f t="shared" si="226"/>
        <v>105000</v>
      </c>
      <c r="M261" s="62">
        <f t="shared" si="226"/>
        <v>105000</v>
      </c>
      <c r="N261" s="62">
        <f t="shared" si="226"/>
        <v>105000</v>
      </c>
      <c r="O261" s="62">
        <f t="shared" si="226"/>
        <v>105000</v>
      </c>
      <c r="P261" s="62">
        <f t="shared" si="226"/>
        <v>105000</v>
      </c>
      <c r="Q261" s="62">
        <f t="shared" si="226"/>
        <v>105000</v>
      </c>
      <c r="R261" s="62">
        <f t="shared" si="226"/>
        <v>105000</v>
      </c>
      <c r="S261" s="62">
        <f t="shared" si="226"/>
        <v>105000</v>
      </c>
      <c r="T261" s="62">
        <f t="shared" si="226"/>
        <v>105000</v>
      </c>
      <c r="U261" s="62">
        <f t="shared" si="226"/>
        <v>105000</v>
      </c>
      <c r="V261" s="62">
        <f t="shared" si="226"/>
        <v>105000</v>
      </c>
      <c r="W261" s="62">
        <f t="shared" si="226"/>
        <v>105000</v>
      </c>
      <c r="X261" s="62">
        <f t="shared" si="226"/>
        <v>105000</v>
      </c>
      <c r="Y261" s="62">
        <f t="shared" si="226"/>
        <v>105000</v>
      </c>
      <c r="Z261" s="62">
        <f t="shared" si="226"/>
        <v>105000</v>
      </c>
      <c r="AA261" s="62">
        <f t="shared" si="226"/>
        <v>105000</v>
      </c>
      <c r="AB261" s="62">
        <f t="shared" si="226"/>
        <v>105000</v>
      </c>
      <c r="AC261" s="62">
        <f t="shared" si="226"/>
        <v>105000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62190.665101367747</v>
      </c>
      <c r="C264" s="63">
        <f t="shared" ref="C264:AC264" si="227">((1+C249)^C256)*C249/(((1+C249)^C256)-1)*(C245)</f>
        <v>61281.329133767969</v>
      </c>
      <c r="D264" s="63">
        <f t="shared" si="227"/>
        <v>60034.66354051487</v>
      </c>
      <c r="E264" s="63">
        <f t="shared" si="227"/>
        <v>58359.278570466915</v>
      </c>
      <c r="F264" s="63">
        <f t="shared" si="227"/>
        <v>56169.226754041214</v>
      </c>
      <c r="G264" s="63">
        <f t="shared" si="227"/>
        <v>53411.226658055137</v>
      </c>
      <c r="H264" s="63">
        <f t="shared" si="227"/>
        <v>50101.705711276991</v>
      </c>
      <c r="I264" s="63">
        <f t="shared" si="227"/>
        <v>46359.3866172536</v>
      </c>
      <c r="J264" s="63">
        <f t="shared" si="227"/>
        <v>42408.635704041997</v>
      </c>
      <c r="K264" s="63">
        <f t="shared" si="227"/>
        <v>38535.628179130072</v>
      </c>
      <c r="L264" s="63">
        <f t="shared" si="227"/>
        <v>35009.949708941356</v>
      </c>
      <c r="M264" s="63">
        <f t="shared" si="227"/>
        <v>32013.625075549993</v>
      </c>
      <c r="N264" s="63">
        <f t="shared" si="227"/>
        <v>29614.105655542335</v>
      </c>
      <c r="O264" s="63">
        <f t="shared" si="227"/>
        <v>27783.165839804766</v>
      </c>
      <c r="P264" s="63">
        <f t="shared" si="227"/>
        <v>26437.27823365216</v>
      </c>
      <c r="Q264" s="63">
        <f t="shared" si="227"/>
        <v>25474.988065757298</v>
      </c>
      <c r="R264" s="63">
        <f t="shared" si="227"/>
        <v>24800.564768738692</v>
      </c>
      <c r="S264" s="63">
        <f t="shared" si="227"/>
        <v>24334.496817203359</v>
      </c>
      <c r="T264" s="63">
        <f t="shared" si="227"/>
        <v>24015.543292910865</v>
      </c>
      <c r="U264" s="63">
        <f t="shared" si="227"/>
        <v>23798.724376771759</v>
      </c>
      <c r="V264" s="63">
        <f t="shared" si="227"/>
        <v>23652.005428852281</v>
      </c>
      <c r="W264" s="63">
        <f t="shared" si="227"/>
        <v>23553.028673408226</v>
      </c>
      <c r="X264" s="63">
        <f t="shared" si="227"/>
        <v>23486.398013318085</v>
      </c>
      <c r="Y264" s="63">
        <f t="shared" si="227"/>
        <v>23441.605577563019</v>
      </c>
      <c r="Z264" s="63">
        <f t="shared" si="227"/>
        <v>23411.522325452843</v>
      </c>
      <c r="AA264" s="63">
        <f t="shared" si="227"/>
        <v>23391.330799385243</v>
      </c>
      <c r="AB264" s="63">
        <f t="shared" si="227"/>
        <v>23377.784258985215</v>
      </c>
      <c r="AC264" s="63">
        <f t="shared" si="227"/>
        <v>23368.698453290883</v>
      </c>
    </row>
    <row r="265" spans="1:29" x14ac:dyDescent="0.25">
      <c r="A265" s="30" t="str">
        <f>A246</f>
        <v>Residual value (vehicle)</v>
      </c>
      <c r="B265" s="62">
        <f>((1+B249)^B256)*B249/(((1+B249)^B256)-1)*(B246)</f>
        <v>-9455.0461314377717</v>
      </c>
      <c r="C265" s="62">
        <f t="shared" ref="C265:AC265" si="228">((1+C249)^C256)*C249/(((1+C249)^C256)-1)*(C246)</f>
        <v>-9370.3530756319105</v>
      </c>
      <c r="D265" s="62">
        <f t="shared" si="228"/>
        <v>-9254.2420644955928</v>
      </c>
      <c r="E265" s="62">
        <f t="shared" si="228"/>
        <v>-9098.2013074813221</v>
      </c>
      <c r="F265" s="62">
        <f t="shared" si="228"/>
        <v>-8894.2258932063796</v>
      </c>
      <c r="G265" s="62">
        <f t="shared" si="228"/>
        <v>-8637.353335246893</v>
      </c>
      <c r="H265" s="62">
        <f t="shared" si="228"/>
        <v>-8329.1136392234366</v>
      </c>
      <c r="I265" s="62">
        <f t="shared" si="228"/>
        <v>-7980.5643118389062</v>
      </c>
      <c r="J265" s="62">
        <f t="shared" si="228"/>
        <v>-7612.6022169809621</v>
      </c>
      <c r="K265" s="62">
        <f t="shared" si="228"/>
        <v>-7251.8809278960271</v>
      </c>
      <c r="L265" s="62">
        <f t="shared" si="228"/>
        <v>-6923.5089135157077</v>
      </c>
      <c r="M265" s="62">
        <f t="shared" si="228"/>
        <v>-6644.4394623665112</v>
      </c>
      <c r="N265" s="62">
        <f t="shared" si="228"/>
        <v>-6420.9548105030526</v>
      </c>
      <c r="O265" s="62">
        <f t="shared" si="228"/>
        <v>-6250.4261021745533</v>
      </c>
      <c r="P265" s="62">
        <f t="shared" si="228"/>
        <v>-6125.0738251309276</v>
      </c>
      <c r="Q265" s="62">
        <f t="shared" si="228"/>
        <v>-6035.4487604740543</v>
      </c>
      <c r="R265" s="62">
        <f t="shared" si="228"/>
        <v>-5972.6348259478109</v>
      </c>
      <c r="S265" s="62">
        <f t="shared" si="228"/>
        <v>-5929.226536344031</v>
      </c>
      <c r="T265" s="62">
        <f t="shared" si="228"/>
        <v>-5899.5200806501216</v>
      </c>
      <c r="U265" s="62">
        <f t="shared" si="228"/>
        <v>-5879.3261619901059</v>
      </c>
      <c r="V265" s="62">
        <f t="shared" si="228"/>
        <v>-5865.6611619387841</v>
      </c>
      <c r="W265" s="62">
        <f t="shared" si="228"/>
        <v>-5856.442738637621</v>
      </c>
      <c r="X265" s="62">
        <f t="shared" si="228"/>
        <v>-5850.2369418645203</v>
      </c>
      <c r="Y265" s="62">
        <f t="shared" si="228"/>
        <v>-5846.0650973579204</v>
      </c>
      <c r="Z265" s="62">
        <f t="shared" si="228"/>
        <v>-5843.2632258378535</v>
      </c>
      <c r="AA265" s="62">
        <f t="shared" si="228"/>
        <v>-5841.3826425276375</v>
      </c>
      <c r="AB265" s="62">
        <f t="shared" si="228"/>
        <v>-5840.1209549413597</v>
      </c>
      <c r="AC265" s="62">
        <f t="shared" si="228"/>
        <v>-5839.2747279404175</v>
      </c>
    </row>
    <row r="266" spans="1:29" x14ac:dyDescent="0.25">
      <c r="A266" s="30" t="str">
        <f>A247</f>
        <v>Capex costumization</v>
      </c>
      <c r="B266" s="62">
        <f>((1+B249)^B257)*B249/(((1+B249)^B257)-1)*(B247)</f>
        <v>4076.0387466115117</v>
      </c>
      <c r="C266" s="62">
        <f t="shared" ref="C266:AC266" si="229">((1+C249)^C257)*C249/(((1+C249)^C257)-1)*(C247)</f>
        <v>4076.0387466115117</v>
      </c>
      <c r="D266" s="62">
        <f t="shared" si="229"/>
        <v>4076.0387466115117</v>
      </c>
      <c r="E266" s="62">
        <f t="shared" si="229"/>
        <v>4076.0387466115117</v>
      </c>
      <c r="F266" s="62">
        <f t="shared" si="229"/>
        <v>4076.0387466115117</v>
      </c>
      <c r="G266" s="62">
        <f t="shared" si="229"/>
        <v>4076.0387466115117</v>
      </c>
      <c r="H266" s="62">
        <f t="shared" si="229"/>
        <v>4076.0387466115117</v>
      </c>
      <c r="I266" s="62">
        <f t="shared" si="229"/>
        <v>4076.0387466115117</v>
      </c>
      <c r="J266" s="62">
        <f t="shared" si="229"/>
        <v>4076.0387466115117</v>
      </c>
      <c r="K266" s="62">
        <f t="shared" si="229"/>
        <v>4076.0387466115117</v>
      </c>
      <c r="L266" s="62">
        <f t="shared" si="229"/>
        <v>4076.0387466115117</v>
      </c>
      <c r="M266" s="62">
        <f t="shared" si="229"/>
        <v>4076.0387466115117</v>
      </c>
      <c r="N266" s="62">
        <f t="shared" si="229"/>
        <v>4076.0387466115117</v>
      </c>
      <c r="O266" s="62">
        <f t="shared" si="229"/>
        <v>4076.0387466115117</v>
      </c>
      <c r="P266" s="62">
        <f t="shared" si="229"/>
        <v>4076.0387466115117</v>
      </c>
      <c r="Q266" s="62">
        <f t="shared" si="229"/>
        <v>4076.0387466115117</v>
      </c>
      <c r="R266" s="62">
        <f t="shared" si="229"/>
        <v>4076.0387466115117</v>
      </c>
      <c r="S266" s="62">
        <f t="shared" si="229"/>
        <v>4076.0387466115117</v>
      </c>
      <c r="T266" s="62">
        <f t="shared" si="229"/>
        <v>4076.0387466115117</v>
      </c>
      <c r="U266" s="62">
        <f t="shared" si="229"/>
        <v>4076.0387466115117</v>
      </c>
      <c r="V266" s="62">
        <f t="shared" si="229"/>
        <v>4076.0387466115117</v>
      </c>
      <c r="W266" s="62">
        <f t="shared" si="229"/>
        <v>4076.0387466115117</v>
      </c>
      <c r="X266" s="62">
        <f t="shared" si="229"/>
        <v>4076.0387466115117</v>
      </c>
      <c r="Y266" s="62">
        <f t="shared" si="229"/>
        <v>4076.0387466115117</v>
      </c>
      <c r="Z266" s="62">
        <f t="shared" si="229"/>
        <v>4076.0387466115117</v>
      </c>
      <c r="AA266" s="62">
        <f t="shared" si="229"/>
        <v>4076.0387466115117</v>
      </c>
      <c r="AB266" s="62">
        <f t="shared" si="229"/>
        <v>4076.0387466115117</v>
      </c>
      <c r="AC266" s="62">
        <f t="shared" si="229"/>
        <v>4076.0387466115117</v>
      </c>
    </row>
    <row r="267" spans="1:29" x14ac:dyDescent="0.25">
      <c r="A267" s="30" t="str">
        <f>A248</f>
        <v>Residual value (costumization)</v>
      </c>
      <c r="B267" s="62">
        <f>((1+B249)^B257)*B249/(((1+B249)^B257)-1)*(B248)</f>
        <v>-1019.0096866528779</v>
      </c>
      <c r="C267" s="62">
        <f t="shared" ref="C267:AC267" si="230">((1+C249)^C257)*C249/(((1+C249)^C257)-1)*(C248)</f>
        <v>-1019.0096866528779</v>
      </c>
      <c r="D267" s="62">
        <f t="shared" si="230"/>
        <v>-1019.0096866528779</v>
      </c>
      <c r="E267" s="62">
        <f t="shared" si="230"/>
        <v>-1019.0096866528779</v>
      </c>
      <c r="F267" s="62">
        <f t="shared" si="230"/>
        <v>-1019.0096866528779</v>
      </c>
      <c r="G267" s="62">
        <f t="shared" si="230"/>
        <v>-1019.0096866528779</v>
      </c>
      <c r="H267" s="62">
        <f t="shared" si="230"/>
        <v>-1019.0096866528779</v>
      </c>
      <c r="I267" s="62">
        <f t="shared" si="230"/>
        <v>-1019.0096866528779</v>
      </c>
      <c r="J267" s="62">
        <f t="shared" si="230"/>
        <v>-1019.0096866528779</v>
      </c>
      <c r="K267" s="62">
        <f t="shared" si="230"/>
        <v>-1019.0096866528779</v>
      </c>
      <c r="L267" s="62">
        <f t="shared" si="230"/>
        <v>-1019.0096866528779</v>
      </c>
      <c r="M267" s="62">
        <f t="shared" si="230"/>
        <v>-1019.0096866528779</v>
      </c>
      <c r="N267" s="62">
        <f t="shared" si="230"/>
        <v>-1019.0096866528779</v>
      </c>
      <c r="O267" s="62">
        <f t="shared" si="230"/>
        <v>-1019.0096866528779</v>
      </c>
      <c r="P267" s="62">
        <f t="shared" si="230"/>
        <v>-1019.0096866528779</v>
      </c>
      <c r="Q267" s="62">
        <f t="shared" si="230"/>
        <v>-1019.0096866528779</v>
      </c>
      <c r="R267" s="62">
        <f t="shared" si="230"/>
        <v>-1019.0096866528779</v>
      </c>
      <c r="S267" s="62">
        <f t="shared" si="230"/>
        <v>-1019.0096866528779</v>
      </c>
      <c r="T267" s="62">
        <f t="shared" si="230"/>
        <v>-1019.0096866528779</v>
      </c>
      <c r="U267" s="62">
        <f t="shared" si="230"/>
        <v>-1019.0096866528779</v>
      </c>
      <c r="V267" s="62">
        <f t="shared" si="230"/>
        <v>-1019.0096866528779</v>
      </c>
      <c r="W267" s="62">
        <f t="shared" si="230"/>
        <v>-1019.0096866528779</v>
      </c>
      <c r="X267" s="62">
        <f t="shared" si="230"/>
        <v>-1019.0096866528779</v>
      </c>
      <c r="Y267" s="62">
        <f t="shared" si="230"/>
        <v>-1019.0096866528779</v>
      </c>
      <c r="Z267" s="62">
        <f t="shared" si="230"/>
        <v>-1019.0096866528779</v>
      </c>
      <c r="AA267" s="62">
        <f t="shared" si="230"/>
        <v>-1019.0096866528779</v>
      </c>
      <c r="AB267" s="62">
        <f t="shared" si="230"/>
        <v>-1019.0096866528779</v>
      </c>
      <c r="AC267" s="62">
        <f t="shared" si="230"/>
        <v>-1019.0096866528779</v>
      </c>
    </row>
    <row r="268" spans="1:29" x14ac:dyDescent="0.25">
      <c r="A268" s="30" t="str">
        <f t="shared" ref="A268:AC268" si="231">A250</f>
        <v>Opex fix (admin, crew, insurance)</v>
      </c>
      <c r="B268" s="62">
        <f t="shared" si="231"/>
        <v>70000</v>
      </c>
      <c r="C268" s="62">
        <f t="shared" si="231"/>
        <v>70000</v>
      </c>
      <c r="D268" s="62">
        <f t="shared" si="231"/>
        <v>70000</v>
      </c>
      <c r="E268" s="62">
        <f t="shared" si="231"/>
        <v>70000</v>
      </c>
      <c r="F268" s="62">
        <f t="shared" si="231"/>
        <v>70000</v>
      </c>
      <c r="G268" s="62">
        <f t="shared" si="231"/>
        <v>70000</v>
      </c>
      <c r="H268" s="62">
        <f t="shared" si="231"/>
        <v>70000</v>
      </c>
      <c r="I268" s="62">
        <f t="shared" si="231"/>
        <v>70000</v>
      </c>
      <c r="J268" s="62">
        <f t="shared" si="231"/>
        <v>70000</v>
      </c>
      <c r="K268" s="62">
        <f t="shared" si="231"/>
        <v>70000</v>
      </c>
      <c r="L268" s="62">
        <f t="shared" si="231"/>
        <v>70000</v>
      </c>
      <c r="M268" s="62">
        <f t="shared" si="231"/>
        <v>70000</v>
      </c>
      <c r="N268" s="62">
        <f t="shared" si="231"/>
        <v>70000</v>
      </c>
      <c r="O268" s="62">
        <f t="shared" si="231"/>
        <v>70000</v>
      </c>
      <c r="P268" s="62">
        <f t="shared" si="231"/>
        <v>70000</v>
      </c>
      <c r="Q268" s="62">
        <f t="shared" si="231"/>
        <v>70000</v>
      </c>
      <c r="R268" s="62">
        <f t="shared" si="231"/>
        <v>70000</v>
      </c>
      <c r="S268" s="62">
        <f t="shared" si="231"/>
        <v>70000</v>
      </c>
      <c r="T268" s="62">
        <f t="shared" si="231"/>
        <v>70000</v>
      </c>
      <c r="U268" s="62">
        <f t="shared" si="231"/>
        <v>70000</v>
      </c>
      <c r="V268" s="62">
        <f t="shared" si="231"/>
        <v>70000</v>
      </c>
      <c r="W268" s="62">
        <f t="shared" si="231"/>
        <v>70000</v>
      </c>
      <c r="X268" s="62">
        <f t="shared" si="231"/>
        <v>70000</v>
      </c>
      <c r="Y268" s="62">
        <f t="shared" si="231"/>
        <v>70000</v>
      </c>
      <c r="Z268" s="62">
        <f t="shared" si="231"/>
        <v>70000</v>
      </c>
      <c r="AA268" s="62">
        <f t="shared" si="231"/>
        <v>70000</v>
      </c>
      <c r="AB268" s="62">
        <f t="shared" si="231"/>
        <v>70000</v>
      </c>
      <c r="AC268" s="62">
        <f t="shared" si="231"/>
        <v>70000</v>
      </c>
    </row>
    <row r="269" spans="1:29" x14ac:dyDescent="0.25">
      <c r="A269" s="30" t="str">
        <f t="shared" ref="A269:AC269" si="232">A251</f>
        <v>Opex maintenance &amp; repair</v>
      </c>
      <c r="B269" s="62">
        <f t="shared" si="232"/>
        <v>15000</v>
      </c>
      <c r="C269" s="62">
        <f t="shared" si="232"/>
        <v>15000</v>
      </c>
      <c r="D269" s="62">
        <f t="shared" si="232"/>
        <v>15000</v>
      </c>
      <c r="E269" s="62">
        <f t="shared" si="232"/>
        <v>15000</v>
      </c>
      <c r="F269" s="62">
        <f t="shared" si="232"/>
        <v>15000</v>
      </c>
      <c r="G269" s="62">
        <f t="shared" si="232"/>
        <v>15000</v>
      </c>
      <c r="H269" s="62">
        <f t="shared" si="232"/>
        <v>15000</v>
      </c>
      <c r="I269" s="62">
        <f t="shared" si="232"/>
        <v>15000</v>
      </c>
      <c r="J269" s="62">
        <f t="shared" si="232"/>
        <v>15000</v>
      </c>
      <c r="K269" s="62">
        <f t="shared" si="232"/>
        <v>15000</v>
      </c>
      <c r="L269" s="62">
        <f t="shared" si="232"/>
        <v>15000</v>
      </c>
      <c r="M269" s="62">
        <f t="shared" si="232"/>
        <v>15000</v>
      </c>
      <c r="N269" s="62">
        <f t="shared" si="232"/>
        <v>15000</v>
      </c>
      <c r="O269" s="62">
        <f t="shared" si="232"/>
        <v>15000</v>
      </c>
      <c r="P269" s="62">
        <f t="shared" si="232"/>
        <v>15000</v>
      </c>
      <c r="Q269" s="62">
        <f t="shared" si="232"/>
        <v>15000</v>
      </c>
      <c r="R269" s="62">
        <f t="shared" si="232"/>
        <v>15000</v>
      </c>
      <c r="S269" s="62">
        <f t="shared" si="232"/>
        <v>15000</v>
      </c>
      <c r="T269" s="62">
        <f t="shared" si="232"/>
        <v>15000</v>
      </c>
      <c r="U269" s="62">
        <f t="shared" si="232"/>
        <v>15000</v>
      </c>
      <c r="V269" s="62">
        <f t="shared" si="232"/>
        <v>15000</v>
      </c>
      <c r="W269" s="62">
        <f t="shared" si="232"/>
        <v>15000</v>
      </c>
      <c r="X269" s="62">
        <f t="shared" si="232"/>
        <v>15000</v>
      </c>
      <c r="Y269" s="62">
        <f t="shared" si="232"/>
        <v>15000</v>
      </c>
      <c r="Z269" s="62">
        <f t="shared" si="232"/>
        <v>15000</v>
      </c>
      <c r="AA269" s="62">
        <f t="shared" si="232"/>
        <v>15000</v>
      </c>
      <c r="AB269" s="62">
        <f t="shared" si="232"/>
        <v>15000</v>
      </c>
      <c r="AC269" s="62">
        <f t="shared" si="232"/>
        <v>15000</v>
      </c>
    </row>
    <row r="270" spans="1:29" x14ac:dyDescent="0.25">
      <c r="A270" s="30" t="str">
        <f>A252</f>
        <v>Opex var (mode-fees)</v>
      </c>
      <c r="B270" s="62">
        <f>B252*B261</f>
        <v>11550</v>
      </c>
      <c r="C270" s="62">
        <f t="shared" ref="C270:AC270" si="233">C252*C261</f>
        <v>11550</v>
      </c>
      <c r="D270" s="62">
        <f t="shared" si="233"/>
        <v>11550</v>
      </c>
      <c r="E270" s="62">
        <f t="shared" si="233"/>
        <v>11550</v>
      </c>
      <c r="F270" s="62">
        <f t="shared" si="233"/>
        <v>11550</v>
      </c>
      <c r="G270" s="62">
        <f t="shared" si="233"/>
        <v>11550</v>
      </c>
      <c r="H270" s="62">
        <f t="shared" si="233"/>
        <v>11550</v>
      </c>
      <c r="I270" s="62">
        <f t="shared" si="233"/>
        <v>11550</v>
      </c>
      <c r="J270" s="62">
        <f t="shared" si="233"/>
        <v>11550</v>
      </c>
      <c r="K270" s="62">
        <f t="shared" si="233"/>
        <v>11550</v>
      </c>
      <c r="L270" s="62">
        <f t="shared" si="233"/>
        <v>11550</v>
      </c>
      <c r="M270" s="62">
        <f t="shared" si="233"/>
        <v>11550</v>
      </c>
      <c r="N270" s="62">
        <f t="shared" si="233"/>
        <v>11550</v>
      </c>
      <c r="O270" s="62">
        <f t="shared" si="233"/>
        <v>11550</v>
      </c>
      <c r="P270" s="62">
        <f t="shared" si="233"/>
        <v>11550</v>
      </c>
      <c r="Q270" s="62">
        <f t="shared" si="233"/>
        <v>11550</v>
      </c>
      <c r="R270" s="62">
        <f t="shared" si="233"/>
        <v>11550</v>
      </c>
      <c r="S270" s="62">
        <f t="shared" si="233"/>
        <v>11550</v>
      </c>
      <c r="T270" s="62">
        <f t="shared" si="233"/>
        <v>11550</v>
      </c>
      <c r="U270" s="62">
        <f t="shared" si="233"/>
        <v>11550</v>
      </c>
      <c r="V270" s="62">
        <f t="shared" si="233"/>
        <v>11550</v>
      </c>
      <c r="W270" s="62">
        <f t="shared" si="233"/>
        <v>11550</v>
      </c>
      <c r="X270" s="62">
        <f t="shared" si="233"/>
        <v>11550</v>
      </c>
      <c r="Y270" s="62">
        <f t="shared" si="233"/>
        <v>11550</v>
      </c>
      <c r="Z270" s="62">
        <f t="shared" si="233"/>
        <v>11550</v>
      </c>
      <c r="AA270" s="62">
        <f t="shared" si="233"/>
        <v>11550</v>
      </c>
      <c r="AB270" s="62">
        <f t="shared" si="233"/>
        <v>11550</v>
      </c>
      <c r="AC270" s="62">
        <f t="shared" si="233"/>
        <v>11550</v>
      </c>
    </row>
    <row r="271" spans="1:29" x14ac:dyDescent="0.25">
      <c r="A271" s="30" t="str">
        <f>A254</f>
        <v>Fuel Cost</v>
      </c>
      <c r="B271" s="62">
        <f>B253*B254*B261</f>
        <v>20962.961412150962</v>
      </c>
      <c r="C271" s="62">
        <f t="shared" ref="C271:AC271" si="234">C253*C254*C261</f>
        <v>20807.613093270149</v>
      </c>
      <c r="D271" s="62">
        <f t="shared" si="234"/>
        <v>20593.38366242218</v>
      </c>
      <c r="E271" s="62">
        <f t="shared" si="234"/>
        <v>20302.898003231756</v>
      </c>
      <c r="F271" s="62">
        <f t="shared" si="234"/>
        <v>19917.990623838963</v>
      </c>
      <c r="G271" s="62">
        <f t="shared" si="234"/>
        <v>19423.234522066836</v>
      </c>
      <c r="H271" s="62">
        <f t="shared" si="234"/>
        <v>18811.067582188207</v>
      </c>
      <c r="I271" s="62">
        <f t="shared" si="234"/>
        <v>18086.8769988514</v>
      </c>
      <c r="J271" s="62">
        <f t="shared" si="234"/>
        <v>17271.128503028096</v>
      </c>
      <c r="K271" s="62">
        <f t="shared" si="234"/>
        <v>16396.544555858174</v>
      </c>
      <c r="L271" s="62">
        <f t="shared" si="234"/>
        <v>15501.883602206553</v>
      </c>
      <c r="M271" s="62">
        <f t="shared" si="234"/>
        <v>14626.386623228182</v>
      </c>
      <c r="N271" s="62">
        <f t="shared" si="234"/>
        <v>13806.736388046329</v>
      </c>
      <c r="O271" s="62">
        <f t="shared" si="234"/>
        <v>13074.38748945248</v>
      </c>
      <c r="P271" s="62">
        <f t="shared" si="234"/>
        <v>12451.382315865701</v>
      </c>
      <c r="Q271" s="62">
        <f t="shared" si="234"/>
        <v>11946.556808839334</v>
      </c>
      <c r="R271" s="62">
        <f t="shared" si="234"/>
        <v>11555.3124167776</v>
      </c>
      <c r="S271" s="62">
        <f t="shared" si="234"/>
        <v>11263.340523704283</v>
      </c>
      <c r="T271" s="62">
        <f t="shared" si="234"/>
        <v>11051.911111794047</v>
      </c>
      <c r="U271" s="62">
        <f t="shared" si="234"/>
        <v>10902.257262500716</v>
      </c>
      <c r="V271" s="62">
        <f t="shared" si="234"/>
        <v>10798.078516140293</v>
      </c>
      <c r="W271" s="62">
        <f t="shared" si="234"/>
        <v>10726.410127764477</v>
      </c>
      <c r="X271" s="62">
        <f t="shared" si="234"/>
        <v>10677.512650823326</v>
      </c>
      <c r="Y271" s="62">
        <f t="shared" si="234"/>
        <v>10644.340634669694</v>
      </c>
      <c r="Z271" s="62">
        <f t="shared" si="234"/>
        <v>10621.924116977627</v>
      </c>
      <c r="AA271" s="62">
        <f t="shared" si="234"/>
        <v>10606.815738879919</v>
      </c>
      <c r="AB271" s="62">
        <f t="shared" si="234"/>
        <v>10596.651088767183</v>
      </c>
      <c r="AC271" s="62">
        <f t="shared" si="234"/>
        <v>10589.820714697738</v>
      </c>
    </row>
    <row r="272" spans="1:29" ht="15.75" thickBot="1" x14ac:dyDescent="0.3">
      <c r="A272" s="59" t="str">
        <f>A235</f>
        <v>Emission Cost</v>
      </c>
      <c r="B272" s="62">
        <f>B255*B261</f>
        <v>368.7882643126967</v>
      </c>
      <c r="C272" s="62">
        <f t="shared" ref="C272:AC272" si="235">C255*C261</f>
        <v>368.43708802918769</v>
      </c>
      <c r="D272" s="62">
        <f t="shared" si="235"/>
        <v>367.93438700116553</v>
      </c>
      <c r="E272" s="62">
        <f t="shared" si="235"/>
        <v>367.21523782906331</v>
      </c>
      <c r="F272" s="62">
        <f t="shared" si="235"/>
        <v>366.18741497398571</v>
      </c>
      <c r="G272" s="62">
        <f t="shared" si="235"/>
        <v>364.72048963805997</v>
      </c>
      <c r="H272" s="62">
        <f t="shared" si="235"/>
        <v>362.63122808352415</v>
      </c>
      <c r="I272" s="62">
        <f t="shared" si="235"/>
        <v>359.66477617546309</v>
      </c>
      <c r="J272" s="62">
        <f t="shared" si="235"/>
        <v>355.47198146124697</v>
      </c>
      <c r="K272" s="62">
        <f t="shared" si="235"/>
        <v>349.58537332677008</v>
      </c>
      <c r="L272" s="62">
        <f t="shared" si="235"/>
        <v>341.400851114923</v>
      </c>
      <c r="M272" s="62">
        <f t="shared" si="235"/>
        <v>330.1801773460657</v>
      </c>
      <c r="N272" s="62">
        <f t="shared" si="235"/>
        <v>315.1007941595127</v>
      </c>
      <c r="O272" s="62">
        <f t="shared" si="235"/>
        <v>295.38912721209789</v>
      </c>
      <c r="P272" s="62">
        <f t="shared" si="235"/>
        <v>270.56561439597556</v>
      </c>
      <c r="Q272" s="62">
        <f t="shared" si="235"/>
        <v>240.77811157567564</v>
      </c>
      <c r="R272" s="62">
        <f t="shared" si="235"/>
        <v>207.09518816762005</v>
      </c>
      <c r="S272" s="62">
        <f t="shared" si="235"/>
        <v>171.53626412329305</v>
      </c>
      <c r="T272" s="62">
        <f t="shared" si="235"/>
        <v>136.67707319305649</v>
      </c>
      <c r="U272" s="62">
        <f t="shared" si="235"/>
        <v>104.94403416320654</v>
      </c>
      <c r="V272" s="62">
        <f t="shared" si="235"/>
        <v>77.975469859491156</v>
      </c>
      <c r="W272" s="62">
        <f t="shared" si="235"/>
        <v>56.378479648438145</v>
      </c>
      <c r="X272" s="62">
        <f t="shared" si="235"/>
        <v>39.899017574576142</v>
      </c>
      <c r="Y272" s="62">
        <f t="shared" si="235"/>
        <v>27.785291295518736</v>
      </c>
      <c r="Z272" s="62">
        <f t="shared" si="235"/>
        <v>19.124152251204826</v>
      </c>
      <c r="AA272" s="62">
        <f t="shared" si="235"/>
        <v>13.05397285512786</v>
      </c>
      <c r="AB272" s="62">
        <f t="shared" si="235"/>
        <v>8.8591057900544659</v>
      </c>
      <c r="AC272" s="62">
        <f t="shared" si="235"/>
        <v>5.9883492191808543</v>
      </c>
    </row>
    <row r="273" spans="1:29" ht="15.75" thickBot="1" x14ac:dyDescent="0.3">
      <c r="A273" s="31" t="s">
        <v>209</v>
      </c>
      <c r="B273" s="64">
        <f>B264+B265+B266+B267+B268+B269+B270+B271+B272</f>
        <v>173674.39770635226</v>
      </c>
      <c r="C273" s="64">
        <f t="shared" ref="C273:AC273" si="236">C264+C265+C266+C267+C268+C269+C270+C271+C272</f>
        <v>172694.05529939404</v>
      </c>
      <c r="D273" s="64">
        <f t="shared" si="236"/>
        <v>171348.76858540127</v>
      </c>
      <c r="E273" s="64">
        <f t="shared" si="236"/>
        <v>169538.21956400506</v>
      </c>
      <c r="F273" s="64">
        <f t="shared" si="236"/>
        <v>167166.20795960643</v>
      </c>
      <c r="G273" s="64">
        <f t="shared" si="236"/>
        <v>164168.85739447179</v>
      </c>
      <c r="H273" s="64">
        <f t="shared" si="236"/>
        <v>160553.31994228391</v>
      </c>
      <c r="I273" s="64">
        <f t="shared" si="236"/>
        <v>156432.39314040018</v>
      </c>
      <c r="J273" s="64">
        <f t="shared" si="236"/>
        <v>152029.66303150903</v>
      </c>
      <c r="K273" s="64">
        <f t="shared" si="236"/>
        <v>147636.90624037763</v>
      </c>
      <c r="L273" s="64">
        <f t="shared" si="236"/>
        <v>143536.75430870577</v>
      </c>
      <c r="M273" s="64">
        <f t="shared" si="236"/>
        <v>139932.78147371637</v>
      </c>
      <c r="N273" s="64">
        <f t="shared" si="236"/>
        <v>136922.01708720377</v>
      </c>
      <c r="O273" s="64">
        <f t="shared" si="236"/>
        <v>134509.54541425346</v>
      </c>
      <c r="P273" s="64">
        <f t="shared" si="236"/>
        <v>132641.18139874155</v>
      </c>
      <c r="Q273" s="64">
        <f t="shared" si="236"/>
        <v>131233.90328565688</v>
      </c>
      <c r="R273" s="64">
        <f t="shared" si="236"/>
        <v>130197.36660769473</v>
      </c>
      <c r="S273" s="64">
        <f t="shared" si="236"/>
        <v>129447.17612864553</v>
      </c>
      <c r="T273" s="64">
        <f t="shared" si="236"/>
        <v>128911.64045720649</v>
      </c>
      <c r="U273" s="64">
        <f t="shared" si="236"/>
        <v>128533.6285714042</v>
      </c>
      <c r="V273" s="64">
        <f t="shared" si="236"/>
        <v>128269.42731287191</v>
      </c>
      <c r="W273" s="64">
        <f t="shared" si="236"/>
        <v>128086.40360214216</v>
      </c>
      <c r="X273" s="64">
        <f t="shared" si="236"/>
        <v>127960.6017998101</v>
      </c>
      <c r="Y273" s="64">
        <f t="shared" si="236"/>
        <v>127874.69546612895</v>
      </c>
      <c r="Z273" s="64">
        <f t="shared" si="236"/>
        <v>127816.33642880245</v>
      </c>
      <c r="AA273" s="64">
        <f t="shared" si="236"/>
        <v>127776.84692855128</v>
      </c>
      <c r="AB273" s="64">
        <f t="shared" si="236"/>
        <v>127750.20255855973</v>
      </c>
      <c r="AC273" s="64">
        <f t="shared" si="236"/>
        <v>127732.26184922602</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37">A264</f>
        <v>Capex vehicle</v>
      </c>
      <c r="B276" s="65">
        <f>((1+B249)^B256)*B249/(((1+B249)^B256)-1)*(B245)/B261</f>
        <v>0.59229204858445472</v>
      </c>
      <c r="C276" s="65">
        <f t="shared" ref="C276:AC276" si="238">((1+C249)^C256)*C249/(((1+C249)^C256)-1)*(C245)/C261</f>
        <v>0.58363170603588543</v>
      </c>
      <c r="D276" s="65">
        <f t="shared" si="238"/>
        <v>0.57175870038585586</v>
      </c>
      <c r="E276" s="65">
        <f t="shared" si="238"/>
        <v>0.55580265305206589</v>
      </c>
      <c r="F276" s="65">
        <f t="shared" si="238"/>
        <v>0.53494501670515437</v>
      </c>
      <c r="G276" s="65">
        <f t="shared" si="238"/>
        <v>0.50867834912433463</v>
      </c>
      <c r="H276" s="65">
        <f t="shared" si="238"/>
        <v>0.47715910201216183</v>
      </c>
      <c r="I276" s="65">
        <f t="shared" si="238"/>
        <v>0.4415179677833676</v>
      </c>
      <c r="J276" s="65">
        <f t="shared" si="238"/>
        <v>0.40389176860992376</v>
      </c>
      <c r="K276" s="65">
        <f t="shared" si="238"/>
        <v>0.36700598265838164</v>
      </c>
      <c r="L276" s="65">
        <f t="shared" si="238"/>
        <v>0.33342809246610816</v>
      </c>
      <c r="M276" s="65">
        <f t="shared" si="238"/>
        <v>0.30489166738619039</v>
      </c>
      <c r="N276" s="65">
        <f t="shared" si="238"/>
        <v>0.28203910148135558</v>
      </c>
      <c r="O276" s="65">
        <f t="shared" si="238"/>
        <v>0.26460157942671203</v>
      </c>
      <c r="P276" s="65">
        <f t="shared" si="238"/>
        <v>0.25178360222525864</v>
      </c>
      <c r="Q276" s="65">
        <f t="shared" si="238"/>
        <v>0.2426189339595933</v>
      </c>
      <c r="R276" s="65">
        <f t="shared" si="238"/>
        <v>0.23619585494036849</v>
      </c>
      <c r="S276" s="65">
        <f t="shared" si="238"/>
        <v>0.23175711254479389</v>
      </c>
      <c r="T276" s="65">
        <f t="shared" si="238"/>
        <v>0.22871945993248444</v>
      </c>
      <c r="U276" s="65">
        <f t="shared" si="238"/>
        <v>0.22665451787401675</v>
      </c>
      <c r="V276" s="65">
        <f t="shared" si="238"/>
        <v>0.22525719456049792</v>
      </c>
      <c r="W276" s="65">
        <f t="shared" si="238"/>
        <v>0.22431455879436404</v>
      </c>
      <c r="X276" s="65">
        <f t="shared" si="238"/>
        <v>0.22367998107921985</v>
      </c>
      <c r="Y276" s="65">
        <f t="shared" si="238"/>
        <v>0.22325338645298112</v>
      </c>
      <c r="Z276" s="65">
        <f t="shared" si="238"/>
        <v>0.22296687929002706</v>
      </c>
      <c r="AA276" s="65">
        <f t="shared" si="238"/>
        <v>0.22277457904176423</v>
      </c>
      <c r="AB276" s="65">
        <f t="shared" si="238"/>
        <v>0.22264556437128777</v>
      </c>
      <c r="AC276" s="65">
        <f t="shared" si="238"/>
        <v>0.22255903288848461</v>
      </c>
    </row>
    <row r="277" spans="1:29" x14ac:dyDescent="0.25">
      <c r="A277" s="30" t="str">
        <f t="shared" si="237"/>
        <v>Residual value (vehicle)</v>
      </c>
      <c r="B277" s="66">
        <f>((1+B249)^B256)*B249/(((1+B249)^B256)-1)*(B246)/B261</f>
        <v>-9.0048058394645442E-2</v>
      </c>
      <c r="C277" s="66">
        <f t="shared" ref="C277:AC277" si="239">((1+C249)^C256)*C249/(((1+C249)^C256)-1)*(C246)/C261</f>
        <v>-8.9241457863161053E-2</v>
      </c>
      <c r="D277" s="66">
        <f t="shared" si="239"/>
        <v>-8.8135638709481837E-2</v>
      </c>
      <c r="E277" s="66">
        <f t="shared" si="239"/>
        <v>-8.6649536261726876E-2</v>
      </c>
      <c r="F277" s="66">
        <f t="shared" si="239"/>
        <v>-8.4706913268632181E-2</v>
      </c>
      <c r="G277" s="66">
        <f t="shared" si="239"/>
        <v>-8.2260507954732318E-2</v>
      </c>
      <c r="H277" s="66">
        <f t="shared" si="239"/>
        <v>-7.932489180212797E-2</v>
      </c>
      <c r="I277" s="66">
        <f t="shared" si="239"/>
        <v>-7.6005374398465775E-2</v>
      </c>
      <c r="J277" s="66">
        <f t="shared" si="239"/>
        <v>-7.2500973495056784E-2</v>
      </c>
      <c r="K277" s="66">
        <f t="shared" si="239"/>
        <v>-6.9065532646628833E-2</v>
      </c>
      <c r="L277" s="66">
        <f t="shared" si="239"/>
        <v>-6.5938180128721019E-2</v>
      </c>
      <c r="M277" s="66">
        <f t="shared" si="239"/>
        <v>-6.3280375832062016E-2</v>
      </c>
      <c r="N277" s="66">
        <f t="shared" si="239"/>
        <v>-6.1151950576219548E-2</v>
      </c>
      <c r="O277" s="66">
        <f t="shared" si="239"/>
        <v>-5.9527867639757648E-2</v>
      </c>
      <c r="P277" s="66">
        <f t="shared" si="239"/>
        <v>-5.833403642981836E-2</v>
      </c>
      <c r="Q277" s="66">
        <f t="shared" si="239"/>
        <v>-5.7480464385467181E-2</v>
      </c>
      <c r="R277" s="66">
        <f t="shared" si="239"/>
        <v>-5.6882236437598196E-2</v>
      </c>
      <c r="S277" s="66">
        <f t="shared" si="239"/>
        <v>-5.6468824155657439E-2</v>
      </c>
      <c r="T277" s="66">
        <f t="shared" si="239"/>
        <v>-5.6185905530001155E-2</v>
      </c>
      <c r="U277" s="66">
        <f t="shared" si="239"/>
        <v>-5.5993582495143863E-2</v>
      </c>
      <c r="V277" s="66">
        <f t="shared" si="239"/>
        <v>-5.5863439637512231E-2</v>
      </c>
      <c r="W277" s="66">
        <f t="shared" si="239"/>
        <v>-5.5775645129882104E-2</v>
      </c>
      <c r="X277" s="66">
        <f t="shared" si="239"/>
        <v>-5.5716542303471624E-2</v>
      </c>
      <c r="Y277" s="66">
        <f t="shared" si="239"/>
        <v>-5.5676810451027813E-2</v>
      </c>
      <c r="Z277" s="66">
        <f t="shared" si="239"/>
        <v>-5.5650125960360508E-2</v>
      </c>
      <c r="AA277" s="66">
        <f t="shared" si="239"/>
        <v>-5.5632215643120354E-2</v>
      </c>
      <c r="AB277" s="66">
        <f t="shared" si="239"/>
        <v>-5.5620199570870089E-2</v>
      </c>
      <c r="AC277" s="66">
        <f t="shared" si="239"/>
        <v>-5.5612140266099216E-2</v>
      </c>
    </row>
    <row r="278" spans="1:29" x14ac:dyDescent="0.25">
      <c r="A278" s="30" t="str">
        <f t="shared" si="237"/>
        <v>Capex costumization</v>
      </c>
      <c r="B278" s="66">
        <f>((1+B249)^B257)*B249/(((1+B249)^B257)-1)*(B247)/B261</f>
        <v>3.8819416634395351E-2</v>
      </c>
      <c r="C278" s="66">
        <f t="shared" ref="C278:AC278" si="240">((1+C249)^C257)*C249/(((1+C249)^C257)-1)*(C247)/C261</f>
        <v>3.8819416634395351E-2</v>
      </c>
      <c r="D278" s="66">
        <f t="shared" si="240"/>
        <v>3.8819416634395351E-2</v>
      </c>
      <c r="E278" s="66">
        <f t="shared" si="240"/>
        <v>3.8819416634395351E-2</v>
      </c>
      <c r="F278" s="66">
        <f t="shared" si="240"/>
        <v>3.8819416634395351E-2</v>
      </c>
      <c r="G278" s="66">
        <f t="shared" si="240"/>
        <v>3.8819416634395351E-2</v>
      </c>
      <c r="H278" s="66">
        <f t="shared" si="240"/>
        <v>3.8819416634395351E-2</v>
      </c>
      <c r="I278" s="66">
        <f t="shared" si="240"/>
        <v>3.8819416634395351E-2</v>
      </c>
      <c r="J278" s="66">
        <f t="shared" si="240"/>
        <v>3.8819416634395351E-2</v>
      </c>
      <c r="K278" s="66">
        <f t="shared" si="240"/>
        <v>3.8819416634395351E-2</v>
      </c>
      <c r="L278" s="66">
        <f t="shared" si="240"/>
        <v>3.8819416634395351E-2</v>
      </c>
      <c r="M278" s="66">
        <f t="shared" si="240"/>
        <v>3.8819416634395351E-2</v>
      </c>
      <c r="N278" s="66">
        <f t="shared" si="240"/>
        <v>3.8819416634395351E-2</v>
      </c>
      <c r="O278" s="66">
        <f t="shared" si="240"/>
        <v>3.8819416634395351E-2</v>
      </c>
      <c r="P278" s="66">
        <f t="shared" si="240"/>
        <v>3.8819416634395351E-2</v>
      </c>
      <c r="Q278" s="66">
        <f t="shared" si="240"/>
        <v>3.8819416634395351E-2</v>
      </c>
      <c r="R278" s="66">
        <f t="shared" si="240"/>
        <v>3.8819416634395351E-2</v>
      </c>
      <c r="S278" s="66">
        <f t="shared" si="240"/>
        <v>3.8819416634395351E-2</v>
      </c>
      <c r="T278" s="66">
        <f t="shared" si="240"/>
        <v>3.8819416634395351E-2</v>
      </c>
      <c r="U278" s="66">
        <f t="shared" si="240"/>
        <v>3.8819416634395351E-2</v>
      </c>
      <c r="V278" s="66">
        <f t="shared" si="240"/>
        <v>3.8819416634395351E-2</v>
      </c>
      <c r="W278" s="66">
        <f t="shared" si="240"/>
        <v>3.8819416634395351E-2</v>
      </c>
      <c r="X278" s="66">
        <f t="shared" si="240"/>
        <v>3.8819416634395351E-2</v>
      </c>
      <c r="Y278" s="66">
        <f t="shared" si="240"/>
        <v>3.8819416634395351E-2</v>
      </c>
      <c r="Z278" s="66">
        <f t="shared" si="240"/>
        <v>3.8819416634395351E-2</v>
      </c>
      <c r="AA278" s="66">
        <f t="shared" si="240"/>
        <v>3.8819416634395351E-2</v>
      </c>
      <c r="AB278" s="66">
        <f t="shared" si="240"/>
        <v>3.8819416634395351E-2</v>
      </c>
      <c r="AC278" s="66">
        <f t="shared" si="240"/>
        <v>3.8819416634395351E-2</v>
      </c>
    </row>
    <row r="279" spans="1:29" x14ac:dyDescent="0.25">
      <c r="A279" s="30" t="str">
        <f t="shared" si="237"/>
        <v>Residual value (costumization)</v>
      </c>
      <c r="B279" s="66">
        <f>((1+B249)^B257)*B249/(((1+B249)^B257)-1)*(B248)/B261</f>
        <v>-9.7048541585988378E-3</v>
      </c>
      <c r="C279" s="66">
        <f t="shared" ref="C279:AC279" si="241">((1+C249)^C257)*C249/(((1+C249)^C257)-1)*(C248)/C261</f>
        <v>-9.7048541585988378E-3</v>
      </c>
      <c r="D279" s="66">
        <f t="shared" si="241"/>
        <v>-9.7048541585988378E-3</v>
      </c>
      <c r="E279" s="66">
        <f t="shared" si="241"/>
        <v>-9.7048541585988378E-3</v>
      </c>
      <c r="F279" s="66">
        <f t="shared" si="241"/>
        <v>-9.7048541585988378E-3</v>
      </c>
      <c r="G279" s="66">
        <f t="shared" si="241"/>
        <v>-9.7048541585988378E-3</v>
      </c>
      <c r="H279" s="66">
        <f t="shared" si="241"/>
        <v>-9.7048541585988378E-3</v>
      </c>
      <c r="I279" s="66">
        <f t="shared" si="241"/>
        <v>-9.7048541585988378E-3</v>
      </c>
      <c r="J279" s="66">
        <f t="shared" si="241"/>
        <v>-9.7048541585988378E-3</v>
      </c>
      <c r="K279" s="66">
        <f t="shared" si="241"/>
        <v>-9.7048541585988378E-3</v>
      </c>
      <c r="L279" s="66">
        <f t="shared" si="241"/>
        <v>-9.7048541585988378E-3</v>
      </c>
      <c r="M279" s="66">
        <f t="shared" si="241"/>
        <v>-9.7048541585988378E-3</v>
      </c>
      <c r="N279" s="66">
        <f t="shared" si="241"/>
        <v>-9.7048541585988378E-3</v>
      </c>
      <c r="O279" s="66">
        <f t="shared" si="241"/>
        <v>-9.7048541585988378E-3</v>
      </c>
      <c r="P279" s="66">
        <f t="shared" si="241"/>
        <v>-9.7048541585988378E-3</v>
      </c>
      <c r="Q279" s="66">
        <f t="shared" si="241"/>
        <v>-9.7048541585988378E-3</v>
      </c>
      <c r="R279" s="66">
        <f t="shared" si="241"/>
        <v>-9.7048541585988378E-3</v>
      </c>
      <c r="S279" s="66">
        <f t="shared" si="241"/>
        <v>-9.7048541585988378E-3</v>
      </c>
      <c r="T279" s="66">
        <f t="shared" si="241"/>
        <v>-9.7048541585988378E-3</v>
      </c>
      <c r="U279" s="66">
        <f t="shared" si="241"/>
        <v>-9.7048541585988378E-3</v>
      </c>
      <c r="V279" s="66">
        <f t="shared" si="241"/>
        <v>-9.7048541585988378E-3</v>
      </c>
      <c r="W279" s="66">
        <f t="shared" si="241"/>
        <v>-9.7048541585988378E-3</v>
      </c>
      <c r="X279" s="66">
        <f t="shared" si="241"/>
        <v>-9.7048541585988378E-3</v>
      </c>
      <c r="Y279" s="66">
        <f t="shared" si="241"/>
        <v>-9.7048541585988378E-3</v>
      </c>
      <c r="Z279" s="66">
        <f t="shared" si="241"/>
        <v>-9.7048541585988378E-3</v>
      </c>
      <c r="AA279" s="66">
        <f t="shared" si="241"/>
        <v>-9.7048541585988378E-3</v>
      </c>
      <c r="AB279" s="66">
        <f t="shared" si="241"/>
        <v>-9.7048541585988378E-3</v>
      </c>
      <c r="AC279" s="66">
        <f t="shared" si="241"/>
        <v>-9.7048541585988378E-3</v>
      </c>
    </row>
    <row r="280" spans="1:29" x14ac:dyDescent="0.25">
      <c r="A280" s="30" t="str">
        <f t="shared" si="237"/>
        <v>Opex fix (admin, crew, insurance)</v>
      </c>
      <c r="B280" s="66">
        <f>B250/B261</f>
        <v>0.66666666666666663</v>
      </c>
      <c r="C280" s="66">
        <f t="shared" ref="C280:AC280" si="242">C250/C261</f>
        <v>0.66666666666666663</v>
      </c>
      <c r="D280" s="66">
        <f t="shared" si="242"/>
        <v>0.66666666666666663</v>
      </c>
      <c r="E280" s="66">
        <f t="shared" si="242"/>
        <v>0.66666666666666663</v>
      </c>
      <c r="F280" s="66">
        <f t="shared" si="242"/>
        <v>0.66666666666666663</v>
      </c>
      <c r="G280" s="66">
        <f t="shared" si="242"/>
        <v>0.66666666666666663</v>
      </c>
      <c r="H280" s="66">
        <f t="shared" si="242"/>
        <v>0.66666666666666663</v>
      </c>
      <c r="I280" s="66">
        <f t="shared" si="242"/>
        <v>0.66666666666666663</v>
      </c>
      <c r="J280" s="66">
        <f t="shared" si="242"/>
        <v>0.66666666666666663</v>
      </c>
      <c r="K280" s="66">
        <f t="shared" si="242"/>
        <v>0.66666666666666663</v>
      </c>
      <c r="L280" s="66">
        <f t="shared" si="242"/>
        <v>0.66666666666666663</v>
      </c>
      <c r="M280" s="66">
        <f t="shared" si="242"/>
        <v>0.66666666666666663</v>
      </c>
      <c r="N280" s="66">
        <f t="shared" si="242"/>
        <v>0.66666666666666663</v>
      </c>
      <c r="O280" s="66">
        <f t="shared" si="242"/>
        <v>0.66666666666666663</v>
      </c>
      <c r="P280" s="66">
        <f t="shared" si="242"/>
        <v>0.66666666666666663</v>
      </c>
      <c r="Q280" s="66">
        <f t="shared" si="242"/>
        <v>0.66666666666666663</v>
      </c>
      <c r="R280" s="66">
        <f t="shared" si="242"/>
        <v>0.66666666666666663</v>
      </c>
      <c r="S280" s="66">
        <f t="shared" si="242"/>
        <v>0.66666666666666663</v>
      </c>
      <c r="T280" s="66">
        <f t="shared" si="242"/>
        <v>0.66666666666666663</v>
      </c>
      <c r="U280" s="66">
        <f t="shared" si="242"/>
        <v>0.66666666666666663</v>
      </c>
      <c r="V280" s="66">
        <f t="shared" si="242"/>
        <v>0.66666666666666663</v>
      </c>
      <c r="W280" s="66">
        <f t="shared" si="242"/>
        <v>0.66666666666666663</v>
      </c>
      <c r="X280" s="66">
        <f t="shared" si="242"/>
        <v>0.66666666666666663</v>
      </c>
      <c r="Y280" s="66">
        <f t="shared" si="242"/>
        <v>0.66666666666666663</v>
      </c>
      <c r="Z280" s="66">
        <f t="shared" si="242"/>
        <v>0.66666666666666663</v>
      </c>
      <c r="AA280" s="66">
        <f t="shared" si="242"/>
        <v>0.66666666666666663</v>
      </c>
      <c r="AB280" s="66">
        <f t="shared" si="242"/>
        <v>0.66666666666666663</v>
      </c>
      <c r="AC280" s="66">
        <f t="shared" si="242"/>
        <v>0.66666666666666663</v>
      </c>
    </row>
    <row r="281" spans="1:29" x14ac:dyDescent="0.25">
      <c r="A281" s="30" t="str">
        <f t="shared" si="237"/>
        <v>Opex maintenance &amp; repair</v>
      </c>
      <c r="B281" s="66">
        <f>B251/B261</f>
        <v>0.14285714285714285</v>
      </c>
      <c r="C281" s="66">
        <f t="shared" ref="C281:AC281" si="243">C251/C261</f>
        <v>0.14285714285714285</v>
      </c>
      <c r="D281" s="66">
        <f t="shared" si="243"/>
        <v>0.14285714285714285</v>
      </c>
      <c r="E281" s="66">
        <f t="shared" si="243"/>
        <v>0.14285714285714285</v>
      </c>
      <c r="F281" s="66">
        <f t="shared" si="243"/>
        <v>0.14285714285714285</v>
      </c>
      <c r="G281" s="66">
        <f t="shared" si="243"/>
        <v>0.14285714285714285</v>
      </c>
      <c r="H281" s="66">
        <f t="shared" si="243"/>
        <v>0.14285714285714285</v>
      </c>
      <c r="I281" s="66">
        <f t="shared" si="243"/>
        <v>0.14285714285714285</v>
      </c>
      <c r="J281" s="66">
        <f t="shared" si="243"/>
        <v>0.14285714285714285</v>
      </c>
      <c r="K281" s="66">
        <f t="shared" si="243"/>
        <v>0.14285714285714285</v>
      </c>
      <c r="L281" s="66">
        <f t="shared" si="243"/>
        <v>0.14285714285714285</v>
      </c>
      <c r="M281" s="66">
        <f t="shared" si="243"/>
        <v>0.14285714285714285</v>
      </c>
      <c r="N281" s="66">
        <f t="shared" si="243"/>
        <v>0.14285714285714285</v>
      </c>
      <c r="O281" s="66">
        <f t="shared" si="243"/>
        <v>0.14285714285714285</v>
      </c>
      <c r="P281" s="66">
        <f t="shared" si="243"/>
        <v>0.14285714285714285</v>
      </c>
      <c r="Q281" s="66">
        <f t="shared" si="243"/>
        <v>0.14285714285714285</v>
      </c>
      <c r="R281" s="66">
        <f t="shared" si="243"/>
        <v>0.14285714285714285</v>
      </c>
      <c r="S281" s="66">
        <f t="shared" si="243"/>
        <v>0.14285714285714285</v>
      </c>
      <c r="T281" s="66">
        <f t="shared" si="243"/>
        <v>0.14285714285714285</v>
      </c>
      <c r="U281" s="66">
        <f t="shared" si="243"/>
        <v>0.14285714285714285</v>
      </c>
      <c r="V281" s="66">
        <f t="shared" si="243"/>
        <v>0.14285714285714285</v>
      </c>
      <c r="W281" s="66">
        <f t="shared" si="243"/>
        <v>0.14285714285714285</v>
      </c>
      <c r="X281" s="66">
        <f t="shared" si="243"/>
        <v>0.14285714285714285</v>
      </c>
      <c r="Y281" s="66">
        <f t="shared" si="243"/>
        <v>0.14285714285714285</v>
      </c>
      <c r="Z281" s="66">
        <f t="shared" si="243"/>
        <v>0.14285714285714285</v>
      </c>
      <c r="AA281" s="66">
        <f t="shared" si="243"/>
        <v>0.14285714285714285</v>
      </c>
      <c r="AB281" s="66">
        <f t="shared" si="243"/>
        <v>0.14285714285714285</v>
      </c>
      <c r="AC281" s="66">
        <f t="shared" si="243"/>
        <v>0.14285714285714285</v>
      </c>
    </row>
    <row r="282" spans="1:29" x14ac:dyDescent="0.25">
      <c r="A282" s="30" t="str">
        <f t="shared" si="237"/>
        <v>Opex var (mode-fees)</v>
      </c>
      <c r="B282" s="66">
        <f>B252*B261/B261</f>
        <v>0.11</v>
      </c>
      <c r="C282" s="66">
        <f t="shared" ref="C282:AC282" si="244">C252*C261/C261</f>
        <v>0.11</v>
      </c>
      <c r="D282" s="66">
        <f t="shared" si="244"/>
        <v>0.11</v>
      </c>
      <c r="E282" s="66">
        <f t="shared" si="244"/>
        <v>0.11</v>
      </c>
      <c r="F282" s="66">
        <f t="shared" si="244"/>
        <v>0.11</v>
      </c>
      <c r="G282" s="66">
        <f t="shared" si="244"/>
        <v>0.11</v>
      </c>
      <c r="H282" s="66">
        <f t="shared" si="244"/>
        <v>0.11</v>
      </c>
      <c r="I282" s="66">
        <f t="shared" si="244"/>
        <v>0.11</v>
      </c>
      <c r="J282" s="66">
        <f t="shared" si="244"/>
        <v>0.11</v>
      </c>
      <c r="K282" s="66">
        <f t="shared" si="244"/>
        <v>0.11</v>
      </c>
      <c r="L282" s="66">
        <f t="shared" si="244"/>
        <v>0.11</v>
      </c>
      <c r="M282" s="66">
        <f t="shared" si="244"/>
        <v>0.11</v>
      </c>
      <c r="N282" s="66">
        <f t="shared" si="244"/>
        <v>0.11</v>
      </c>
      <c r="O282" s="66">
        <f t="shared" si="244"/>
        <v>0.11</v>
      </c>
      <c r="P282" s="66">
        <f t="shared" si="244"/>
        <v>0.11</v>
      </c>
      <c r="Q282" s="66">
        <f t="shared" si="244"/>
        <v>0.11</v>
      </c>
      <c r="R282" s="66">
        <f t="shared" si="244"/>
        <v>0.11</v>
      </c>
      <c r="S282" s="66">
        <f t="shared" si="244"/>
        <v>0.11</v>
      </c>
      <c r="T282" s="66">
        <f t="shared" si="244"/>
        <v>0.11</v>
      </c>
      <c r="U282" s="66">
        <f t="shared" si="244"/>
        <v>0.11</v>
      </c>
      <c r="V282" s="66">
        <f t="shared" si="244"/>
        <v>0.11</v>
      </c>
      <c r="W282" s="66">
        <f t="shared" si="244"/>
        <v>0.11</v>
      </c>
      <c r="X282" s="66">
        <f t="shared" si="244"/>
        <v>0.11</v>
      </c>
      <c r="Y282" s="66">
        <f t="shared" si="244"/>
        <v>0.11</v>
      </c>
      <c r="Z282" s="66">
        <f t="shared" si="244"/>
        <v>0.11</v>
      </c>
      <c r="AA282" s="66">
        <f t="shared" si="244"/>
        <v>0.11</v>
      </c>
      <c r="AB282" s="66">
        <f t="shared" si="244"/>
        <v>0.11</v>
      </c>
      <c r="AC282" s="66">
        <f t="shared" si="244"/>
        <v>0.11</v>
      </c>
    </row>
    <row r="283" spans="1:29" x14ac:dyDescent="0.25">
      <c r="A283" s="30" t="str">
        <f t="shared" si="237"/>
        <v>Fuel Cost</v>
      </c>
      <c r="B283" s="66">
        <f>B253*B254*B261/B261</f>
        <v>0.19964725154429488</v>
      </c>
      <c r="C283" s="66">
        <f t="shared" ref="C283:AC283" si="245">C253*C254*C261/C261</f>
        <v>0.19816774374543</v>
      </c>
      <c r="D283" s="66">
        <f t="shared" si="245"/>
        <v>0.19612746345163981</v>
      </c>
      <c r="E283" s="66">
        <f t="shared" si="245"/>
        <v>0.19336093336411195</v>
      </c>
      <c r="F283" s="66">
        <f t="shared" si="245"/>
        <v>0.18969514879846633</v>
      </c>
      <c r="G283" s="66">
        <f t="shared" si="245"/>
        <v>0.18498318592444604</v>
      </c>
      <c r="H283" s="66">
        <f t="shared" si="245"/>
        <v>0.17915302459226864</v>
      </c>
      <c r="I283" s="66">
        <f t="shared" si="245"/>
        <v>0.17225597141763238</v>
      </c>
      <c r="J283" s="66">
        <f t="shared" si="245"/>
        <v>0.16448693812407711</v>
      </c>
      <c r="K283" s="66">
        <f t="shared" si="245"/>
        <v>0.15615756719864929</v>
      </c>
      <c r="L283" s="66">
        <f t="shared" si="245"/>
        <v>0.14763698668768147</v>
      </c>
      <c r="M283" s="66">
        <f t="shared" si="245"/>
        <v>0.13929892022122078</v>
      </c>
      <c r="N283" s="66">
        <f t="shared" si="245"/>
        <v>0.13149272750520313</v>
      </c>
      <c r="O283" s="66">
        <f t="shared" si="245"/>
        <v>0.12451797609002362</v>
      </c>
      <c r="P283" s="66">
        <f t="shared" si="245"/>
        <v>0.11858459348443526</v>
      </c>
      <c r="Q283" s="66">
        <f t="shared" si="245"/>
        <v>0.11377673151275557</v>
      </c>
      <c r="R283" s="66">
        <f t="shared" si="245"/>
        <v>0.11005059444550096</v>
      </c>
      <c r="S283" s="66">
        <f t="shared" si="245"/>
        <v>0.1072699097495646</v>
      </c>
      <c r="T283" s="66">
        <f t="shared" si="245"/>
        <v>0.10525629630280044</v>
      </c>
      <c r="U283" s="66">
        <f t="shared" si="245"/>
        <v>0.10383102154762587</v>
      </c>
      <c r="V283" s="66">
        <f t="shared" si="245"/>
        <v>0.10283884301085994</v>
      </c>
      <c r="W283" s="66">
        <f t="shared" si="245"/>
        <v>0.10215628693109026</v>
      </c>
      <c r="X283" s="66">
        <f t="shared" si="245"/>
        <v>0.10169059667450787</v>
      </c>
      <c r="Y283" s="66">
        <f t="shared" si="245"/>
        <v>0.10137467271113994</v>
      </c>
      <c r="Z283" s="66">
        <f t="shared" si="245"/>
        <v>0.10116118206645359</v>
      </c>
      <c r="AA283" s="66">
        <f t="shared" si="245"/>
        <v>0.10101729275123733</v>
      </c>
      <c r="AB283" s="66">
        <f t="shared" si="245"/>
        <v>0.10092048655968745</v>
      </c>
      <c r="AC283" s="66">
        <f t="shared" si="245"/>
        <v>0.1008554353780737</v>
      </c>
    </row>
    <row r="284" spans="1:29" ht="15.75" thickBot="1" x14ac:dyDescent="0.3">
      <c r="A284" s="59" t="str">
        <f t="shared" ref="A284" si="246">A272</f>
        <v>Emission Cost</v>
      </c>
      <c r="B284" s="66">
        <f>B255</f>
        <v>3.5122691839304448E-3</v>
      </c>
      <c r="C284" s="66">
        <f t="shared" ref="C284:AC284" si="247">C255</f>
        <v>3.5089246478970256E-3</v>
      </c>
      <c r="D284" s="66">
        <f t="shared" si="247"/>
        <v>3.5041370190587195E-3</v>
      </c>
      <c r="E284" s="66">
        <f t="shared" si="247"/>
        <v>3.4972879793244123E-3</v>
      </c>
      <c r="F284" s="66">
        <f t="shared" si="247"/>
        <v>3.4874991902284352E-3</v>
      </c>
      <c r="G284" s="66">
        <f t="shared" si="247"/>
        <v>3.4735284727434282E-3</v>
      </c>
      <c r="H284" s="66">
        <f t="shared" si="247"/>
        <v>3.4536307436526109E-3</v>
      </c>
      <c r="I284" s="66">
        <f t="shared" si="247"/>
        <v>3.4253788207186963E-3</v>
      </c>
      <c r="J284" s="66">
        <f t="shared" si="247"/>
        <v>3.3854474424880663E-3</v>
      </c>
      <c r="K284" s="66">
        <f t="shared" si="247"/>
        <v>3.3293845078740006E-3</v>
      </c>
      <c r="L284" s="66">
        <f t="shared" si="247"/>
        <v>3.251436677284981E-3</v>
      </c>
      <c r="M284" s="66">
        <f t="shared" si="247"/>
        <v>3.1445731175815781E-3</v>
      </c>
      <c r="N284" s="66">
        <f t="shared" si="247"/>
        <v>3.0009599443763112E-3</v>
      </c>
      <c r="O284" s="66">
        <f t="shared" si="247"/>
        <v>2.813229782972361E-3</v>
      </c>
      <c r="P284" s="66">
        <f t="shared" si="247"/>
        <v>2.5768153751997672E-3</v>
      </c>
      <c r="Q284" s="66">
        <f t="shared" si="247"/>
        <v>2.2931248721492917E-3</v>
      </c>
      <c r="R284" s="66">
        <f t="shared" si="247"/>
        <v>1.9723351254059053E-3</v>
      </c>
      <c r="S284" s="66">
        <f t="shared" si="247"/>
        <v>1.6336787059361244E-3</v>
      </c>
      <c r="T284" s="66">
        <f t="shared" si="247"/>
        <v>1.3016864113624426E-3</v>
      </c>
      <c r="U284" s="66">
        <f t="shared" si="247"/>
        <v>9.9946699203053851E-4</v>
      </c>
      <c r="V284" s="66">
        <f t="shared" si="247"/>
        <v>7.4262352247134438E-4</v>
      </c>
      <c r="W284" s="66">
        <f t="shared" si="247"/>
        <v>5.3693790141369664E-4</v>
      </c>
      <c r="X284" s="66">
        <f t="shared" si="247"/>
        <v>3.7999064356739184E-4</v>
      </c>
      <c r="Y284" s="66">
        <f t="shared" si="247"/>
        <v>2.646218218620832E-4</v>
      </c>
      <c r="Z284" s="66">
        <f t="shared" si="247"/>
        <v>1.8213478334480789E-4</v>
      </c>
      <c r="AA284" s="66">
        <f t="shared" si="247"/>
        <v>1.2432355100121771E-4</v>
      </c>
      <c r="AB284" s="66">
        <f t="shared" si="247"/>
        <v>8.4372436095756821E-5</v>
      </c>
      <c r="AC284" s="66">
        <f t="shared" si="247"/>
        <v>5.7031897325531943E-5</v>
      </c>
    </row>
    <row r="285" spans="1:29" ht="15.75" thickBot="1" x14ac:dyDescent="0.3">
      <c r="A285" s="31" t="s">
        <v>63</v>
      </c>
      <c r="B285" s="76">
        <f>B276+B277+B278-B279+B280+B281+B282+B283+B284</f>
        <v>1.6734515912348382</v>
      </c>
      <c r="C285" s="76">
        <f t="shared" ref="C285:AC285" si="248">C276+C277+C278-C279+C280+C281+C282+C283+C284</f>
        <v>1.664114996882855</v>
      </c>
      <c r="D285" s="76">
        <f t="shared" si="248"/>
        <v>1.6513027424638762</v>
      </c>
      <c r="E285" s="76">
        <f t="shared" si="248"/>
        <v>1.6340594184505792</v>
      </c>
      <c r="F285" s="76">
        <f t="shared" si="248"/>
        <v>1.6114688317420207</v>
      </c>
      <c r="G285" s="76">
        <f t="shared" si="248"/>
        <v>1.5829226358835953</v>
      </c>
      <c r="H285" s="76">
        <f t="shared" si="248"/>
        <v>1.5484889458627586</v>
      </c>
      <c r="I285" s="76">
        <f t="shared" si="248"/>
        <v>1.5092420239400568</v>
      </c>
      <c r="J285" s="76">
        <f t="shared" si="248"/>
        <v>1.4673112609982359</v>
      </c>
      <c r="K285" s="76">
        <f t="shared" si="248"/>
        <v>1.4254754820350797</v>
      </c>
      <c r="L285" s="76">
        <f t="shared" si="248"/>
        <v>1.3864264160191573</v>
      </c>
      <c r="M285" s="76">
        <f t="shared" si="248"/>
        <v>1.3521028652097344</v>
      </c>
      <c r="N285" s="76">
        <f t="shared" si="248"/>
        <v>1.3234289186715191</v>
      </c>
      <c r="O285" s="76">
        <f t="shared" si="248"/>
        <v>1.3004529979767543</v>
      </c>
      <c r="P285" s="76">
        <f t="shared" si="248"/>
        <v>1.2826590549718788</v>
      </c>
      <c r="Q285" s="76">
        <f t="shared" si="248"/>
        <v>1.2692564062758349</v>
      </c>
      <c r="R285" s="76">
        <f t="shared" si="248"/>
        <v>1.259384628390481</v>
      </c>
      <c r="S285" s="76">
        <f t="shared" si="248"/>
        <v>1.2522399571614409</v>
      </c>
      <c r="T285" s="76">
        <f t="shared" si="248"/>
        <v>1.2471396174334499</v>
      </c>
      <c r="U285" s="76">
        <f t="shared" si="248"/>
        <v>1.2435395042353332</v>
      </c>
      <c r="V285" s="76">
        <f t="shared" si="248"/>
        <v>1.2410233017731209</v>
      </c>
      <c r="W285" s="76">
        <f t="shared" si="248"/>
        <v>1.2392802188137897</v>
      </c>
      <c r="X285" s="76">
        <f t="shared" si="248"/>
        <v>1.2380821064106271</v>
      </c>
      <c r="Y285" s="76">
        <f t="shared" si="248"/>
        <v>1.2372639508517591</v>
      </c>
      <c r="Z285" s="76">
        <f t="shared" si="248"/>
        <v>1.2367081504962687</v>
      </c>
      <c r="AA285" s="76">
        <f t="shared" si="248"/>
        <v>1.2363320600176861</v>
      </c>
      <c r="AB285" s="76">
        <f t="shared" si="248"/>
        <v>1.2360783041130048</v>
      </c>
      <c r="AC285" s="76">
        <f t="shared" si="248"/>
        <v>1.2359074402145882</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49">A264</f>
        <v>Capex vehicle</v>
      </c>
      <c r="B288" s="65">
        <f>((1+B249)^B256)*B249/(((1+B249)^B256)-1)*(B245)/B261/(B258)</f>
        <v>2.3691681943378187E-2</v>
      </c>
      <c r="C288" s="65">
        <f t="shared" ref="C288:AC288" si="250">((1+C249)^C256)*C249/(((1+C249)^C256)-1)*(C245)/C261/(C258)</f>
        <v>2.3345268241435416E-2</v>
      </c>
      <c r="D288" s="65">
        <f t="shared" si="250"/>
        <v>2.2870348015434236E-2</v>
      </c>
      <c r="E288" s="65">
        <f t="shared" si="250"/>
        <v>2.2232106122082637E-2</v>
      </c>
      <c r="F288" s="65">
        <f t="shared" si="250"/>
        <v>2.1397800668206176E-2</v>
      </c>
      <c r="G288" s="65">
        <f t="shared" si="250"/>
        <v>2.0347133964973386E-2</v>
      </c>
      <c r="H288" s="65">
        <f t="shared" si="250"/>
        <v>1.9086364080486473E-2</v>
      </c>
      <c r="I288" s="65">
        <f t="shared" si="250"/>
        <v>1.7660718711334705E-2</v>
      </c>
      <c r="J288" s="65">
        <f t="shared" si="250"/>
        <v>1.6155670744396951E-2</v>
      </c>
      <c r="K288" s="65">
        <f t="shared" si="250"/>
        <v>1.4680239306335266E-2</v>
      </c>
      <c r="L288" s="65">
        <f t="shared" si="250"/>
        <v>1.3337123698644326E-2</v>
      </c>
      <c r="M288" s="65">
        <f t="shared" si="250"/>
        <v>1.2195666695447615E-2</v>
      </c>
      <c r="N288" s="65">
        <f t="shared" si="250"/>
        <v>1.1281564059254224E-2</v>
      </c>
      <c r="O288" s="65">
        <f t="shared" si="250"/>
        <v>1.0584063177068481E-2</v>
      </c>
      <c r="P288" s="65">
        <f t="shared" si="250"/>
        <v>1.0071344089010345E-2</v>
      </c>
      <c r="Q288" s="65">
        <f t="shared" si="250"/>
        <v>9.704757358383732E-3</v>
      </c>
      <c r="R288" s="65">
        <f t="shared" si="250"/>
        <v>9.4478341976147392E-3</v>
      </c>
      <c r="S288" s="65">
        <f t="shared" si="250"/>
        <v>9.2702845017917559E-3</v>
      </c>
      <c r="T288" s="65">
        <f t="shared" si="250"/>
        <v>9.1487783972993772E-3</v>
      </c>
      <c r="U288" s="65">
        <f t="shared" si="250"/>
        <v>9.0661807149606706E-3</v>
      </c>
      <c r="V288" s="65">
        <f t="shared" si="250"/>
        <v>9.0102877824199176E-3</v>
      </c>
      <c r="W288" s="65">
        <f t="shared" si="250"/>
        <v>8.9725823517745624E-3</v>
      </c>
      <c r="X288" s="65">
        <f t="shared" si="250"/>
        <v>8.9471992431687936E-3</v>
      </c>
      <c r="Y288" s="65">
        <f t="shared" si="250"/>
        <v>8.9301354581192444E-3</v>
      </c>
      <c r="Z288" s="65">
        <f t="shared" si="250"/>
        <v>8.9186751716010832E-3</v>
      </c>
      <c r="AA288" s="65">
        <f t="shared" si="250"/>
        <v>8.9109831616705701E-3</v>
      </c>
      <c r="AB288" s="65">
        <f t="shared" si="250"/>
        <v>8.9058225748515109E-3</v>
      </c>
      <c r="AC288" s="65">
        <f t="shared" si="250"/>
        <v>8.9023613155393838E-3</v>
      </c>
    </row>
    <row r="289" spans="1:29" x14ac:dyDescent="0.25">
      <c r="A289" s="30" t="str">
        <f t="shared" si="249"/>
        <v>Residual value (vehicle)</v>
      </c>
      <c r="B289" s="68">
        <f>((1+B249)^B256)*B249/(((1+B249)^B256)-1)*(B246)/B261/(B258)</f>
        <v>-3.6019223357858176E-3</v>
      </c>
      <c r="C289" s="68">
        <f t="shared" ref="C289:AC289" si="251">((1+C249)^C256)*C249/(((1+C249)^C256)-1)*(C246)/C261/(C258)</f>
        <v>-3.5696583145264421E-3</v>
      </c>
      <c r="D289" s="68">
        <f t="shared" si="251"/>
        <v>-3.5254255483792734E-3</v>
      </c>
      <c r="E289" s="68">
        <f t="shared" si="251"/>
        <v>-3.4659814504690752E-3</v>
      </c>
      <c r="F289" s="68">
        <f t="shared" si="251"/>
        <v>-3.3882765307452871E-3</v>
      </c>
      <c r="G289" s="68">
        <f t="shared" si="251"/>
        <v>-3.2904203181892927E-3</v>
      </c>
      <c r="H289" s="68">
        <f t="shared" si="251"/>
        <v>-3.172995672085119E-3</v>
      </c>
      <c r="I289" s="68">
        <f t="shared" si="251"/>
        <v>-3.040214975938631E-3</v>
      </c>
      <c r="J289" s="68">
        <f t="shared" si="251"/>
        <v>-2.9000389398022713E-3</v>
      </c>
      <c r="K289" s="68">
        <f t="shared" si="251"/>
        <v>-2.7626213058651533E-3</v>
      </c>
      <c r="L289" s="68">
        <f t="shared" si="251"/>
        <v>-2.6375272051488408E-3</v>
      </c>
      <c r="M289" s="68">
        <f t="shared" si="251"/>
        <v>-2.5312150332824808E-3</v>
      </c>
      <c r="N289" s="68">
        <f t="shared" si="251"/>
        <v>-2.446078023048782E-3</v>
      </c>
      <c r="O289" s="68">
        <f t="shared" si="251"/>
        <v>-2.3811147055903059E-3</v>
      </c>
      <c r="P289" s="68">
        <f t="shared" si="251"/>
        <v>-2.3333614571927346E-3</v>
      </c>
      <c r="Q289" s="68">
        <f t="shared" si="251"/>
        <v>-2.2992185754186871E-3</v>
      </c>
      <c r="R289" s="68">
        <f t="shared" si="251"/>
        <v>-2.2752894575039278E-3</v>
      </c>
      <c r="S289" s="68">
        <f t="shared" si="251"/>
        <v>-2.2587529662262975E-3</v>
      </c>
      <c r="T289" s="68">
        <f t="shared" si="251"/>
        <v>-2.2474362212000464E-3</v>
      </c>
      <c r="U289" s="68">
        <f t="shared" si="251"/>
        <v>-2.2397432998057546E-3</v>
      </c>
      <c r="V289" s="68">
        <f t="shared" si="251"/>
        <v>-2.2345375855004892E-3</v>
      </c>
      <c r="W289" s="68">
        <f t="shared" si="251"/>
        <v>-2.2310258051952843E-3</v>
      </c>
      <c r="X289" s="68">
        <f t="shared" si="251"/>
        <v>-2.2286616921388652E-3</v>
      </c>
      <c r="Y289" s="68">
        <f t="shared" si="251"/>
        <v>-2.2270724180411127E-3</v>
      </c>
      <c r="Z289" s="68">
        <f t="shared" si="251"/>
        <v>-2.2260050384144202E-3</v>
      </c>
      <c r="AA289" s="68">
        <f t="shared" si="251"/>
        <v>-2.2252886257248142E-3</v>
      </c>
      <c r="AB289" s="68">
        <f t="shared" si="251"/>
        <v>-2.2248079828348036E-3</v>
      </c>
      <c r="AC289" s="68">
        <f t="shared" si="251"/>
        <v>-2.2244856106439686E-3</v>
      </c>
    </row>
    <row r="290" spans="1:29" x14ac:dyDescent="0.25">
      <c r="A290" s="30" t="str">
        <f t="shared" si="249"/>
        <v>Capex costumization</v>
      </c>
      <c r="B290" s="66">
        <f>((1+B249)^B257)*B249/(((1+B249)^B257)-1)*(B247)/B261/(B258)</f>
        <v>1.552776665375814E-3</v>
      </c>
      <c r="C290" s="66">
        <f t="shared" ref="C290:AC290" si="252">((1+C249)^C257)*C249/(((1+C249)^C257)-1)*(C247)/C261/(C258)</f>
        <v>1.552776665375814E-3</v>
      </c>
      <c r="D290" s="66">
        <f t="shared" si="252"/>
        <v>1.552776665375814E-3</v>
      </c>
      <c r="E290" s="66">
        <f t="shared" si="252"/>
        <v>1.552776665375814E-3</v>
      </c>
      <c r="F290" s="66">
        <f t="shared" si="252"/>
        <v>1.552776665375814E-3</v>
      </c>
      <c r="G290" s="66">
        <f t="shared" si="252"/>
        <v>1.552776665375814E-3</v>
      </c>
      <c r="H290" s="66">
        <f t="shared" si="252"/>
        <v>1.552776665375814E-3</v>
      </c>
      <c r="I290" s="66">
        <f t="shared" si="252"/>
        <v>1.552776665375814E-3</v>
      </c>
      <c r="J290" s="66">
        <f t="shared" si="252"/>
        <v>1.552776665375814E-3</v>
      </c>
      <c r="K290" s="66">
        <f t="shared" si="252"/>
        <v>1.552776665375814E-3</v>
      </c>
      <c r="L290" s="66">
        <f t="shared" si="252"/>
        <v>1.552776665375814E-3</v>
      </c>
      <c r="M290" s="66">
        <f t="shared" si="252"/>
        <v>1.552776665375814E-3</v>
      </c>
      <c r="N290" s="66">
        <f t="shared" si="252"/>
        <v>1.552776665375814E-3</v>
      </c>
      <c r="O290" s="66">
        <f t="shared" si="252"/>
        <v>1.552776665375814E-3</v>
      </c>
      <c r="P290" s="66">
        <f t="shared" si="252"/>
        <v>1.552776665375814E-3</v>
      </c>
      <c r="Q290" s="66">
        <f t="shared" si="252"/>
        <v>1.552776665375814E-3</v>
      </c>
      <c r="R290" s="66">
        <f t="shared" si="252"/>
        <v>1.552776665375814E-3</v>
      </c>
      <c r="S290" s="66">
        <f t="shared" si="252"/>
        <v>1.552776665375814E-3</v>
      </c>
      <c r="T290" s="66">
        <f t="shared" si="252"/>
        <v>1.552776665375814E-3</v>
      </c>
      <c r="U290" s="66">
        <f t="shared" si="252"/>
        <v>1.552776665375814E-3</v>
      </c>
      <c r="V290" s="66">
        <f t="shared" si="252"/>
        <v>1.552776665375814E-3</v>
      </c>
      <c r="W290" s="66">
        <f t="shared" si="252"/>
        <v>1.552776665375814E-3</v>
      </c>
      <c r="X290" s="66">
        <f t="shared" si="252"/>
        <v>1.552776665375814E-3</v>
      </c>
      <c r="Y290" s="66">
        <f t="shared" si="252"/>
        <v>1.552776665375814E-3</v>
      </c>
      <c r="Z290" s="66">
        <f t="shared" si="252"/>
        <v>1.552776665375814E-3</v>
      </c>
      <c r="AA290" s="66">
        <f t="shared" si="252"/>
        <v>1.552776665375814E-3</v>
      </c>
      <c r="AB290" s="66">
        <f t="shared" si="252"/>
        <v>1.552776665375814E-3</v>
      </c>
      <c r="AC290" s="66">
        <f t="shared" si="252"/>
        <v>1.552776665375814E-3</v>
      </c>
    </row>
    <row r="291" spans="1:29" x14ac:dyDescent="0.25">
      <c r="A291" s="30" t="str">
        <f t="shared" si="249"/>
        <v>Residual value (costumization)</v>
      </c>
      <c r="B291" s="69">
        <f>((1+B249)^B257)*B249/(((1+B249)^B257)-1)*(B248)/B261/(B258)</f>
        <v>-3.8819416634395349E-4</v>
      </c>
      <c r="C291" s="69">
        <f t="shared" ref="C291:AC291" si="253">((1+C249)^C257)*C249/(((1+C249)^C257)-1)*(C248)/C261/(C258)</f>
        <v>-3.8819416634395349E-4</v>
      </c>
      <c r="D291" s="69">
        <f t="shared" si="253"/>
        <v>-3.8819416634395349E-4</v>
      </c>
      <c r="E291" s="69">
        <f t="shared" si="253"/>
        <v>-3.8819416634395349E-4</v>
      </c>
      <c r="F291" s="69">
        <f t="shared" si="253"/>
        <v>-3.8819416634395349E-4</v>
      </c>
      <c r="G291" s="69">
        <f t="shared" si="253"/>
        <v>-3.8819416634395349E-4</v>
      </c>
      <c r="H291" s="69">
        <f t="shared" si="253"/>
        <v>-3.8819416634395349E-4</v>
      </c>
      <c r="I291" s="69">
        <f t="shared" si="253"/>
        <v>-3.8819416634395349E-4</v>
      </c>
      <c r="J291" s="69">
        <f t="shared" si="253"/>
        <v>-3.8819416634395349E-4</v>
      </c>
      <c r="K291" s="69">
        <f t="shared" si="253"/>
        <v>-3.8819416634395349E-4</v>
      </c>
      <c r="L291" s="69">
        <f t="shared" si="253"/>
        <v>-3.8819416634395349E-4</v>
      </c>
      <c r="M291" s="69">
        <f t="shared" si="253"/>
        <v>-3.8819416634395349E-4</v>
      </c>
      <c r="N291" s="69">
        <f t="shared" si="253"/>
        <v>-3.8819416634395349E-4</v>
      </c>
      <c r="O291" s="69">
        <f t="shared" si="253"/>
        <v>-3.8819416634395349E-4</v>
      </c>
      <c r="P291" s="69">
        <f t="shared" si="253"/>
        <v>-3.8819416634395349E-4</v>
      </c>
      <c r="Q291" s="69">
        <f t="shared" si="253"/>
        <v>-3.8819416634395349E-4</v>
      </c>
      <c r="R291" s="69">
        <f t="shared" si="253"/>
        <v>-3.8819416634395349E-4</v>
      </c>
      <c r="S291" s="69">
        <f t="shared" si="253"/>
        <v>-3.8819416634395349E-4</v>
      </c>
      <c r="T291" s="69">
        <f t="shared" si="253"/>
        <v>-3.8819416634395349E-4</v>
      </c>
      <c r="U291" s="69">
        <f t="shared" si="253"/>
        <v>-3.8819416634395349E-4</v>
      </c>
      <c r="V291" s="69">
        <f t="shared" si="253"/>
        <v>-3.8819416634395349E-4</v>
      </c>
      <c r="W291" s="69">
        <f t="shared" si="253"/>
        <v>-3.8819416634395349E-4</v>
      </c>
      <c r="X291" s="69">
        <f t="shared" si="253"/>
        <v>-3.8819416634395349E-4</v>
      </c>
      <c r="Y291" s="69">
        <f t="shared" si="253"/>
        <v>-3.8819416634395349E-4</v>
      </c>
      <c r="Z291" s="69">
        <f t="shared" si="253"/>
        <v>-3.8819416634395349E-4</v>
      </c>
      <c r="AA291" s="69">
        <f t="shared" si="253"/>
        <v>-3.8819416634395349E-4</v>
      </c>
      <c r="AB291" s="69">
        <f t="shared" si="253"/>
        <v>-3.8819416634395349E-4</v>
      </c>
      <c r="AC291" s="69">
        <f t="shared" si="253"/>
        <v>-3.8819416634395349E-4</v>
      </c>
    </row>
    <row r="292" spans="1:29" x14ac:dyDescent="0.25">
      <c r="A292" s="30" t="str">
        <f t="shared" si="249"/>
        <v>Opex fix (admin, crew, insurance)</v>
      </c>
      <c r="B292" s="66">
        <f>B250/B261/(B258)</f>
        <v>2.6666666666666665E-2</v>
      </c>
      <c r="C292" s="66">
        <f t="shared" ref="C292:AC292" si="254">C250/C261/(C258)</f>
        <v>2.6666666666666665E-2</v>
      </c>
      <c r="D292" s="66">
        <f t="shared" si="254"/>
        <v>2.6666666666666665E-2</v>
      </c>
      <c r="E292" s="66">
        <f t="shared" si="254"/>
        <v>2.6666666666666665E-2</v>
      </c>
      <c r="F292" s="66">
        <f t="shared" si="254"/>
        <v>2.6666666666666665E-2</v>
      </c>
      <c r="G292" s="66">
        <f t="shared" si="254"/>
        <v>2.6666666666666665E-2</v>
      </c>
      <c r="H292" s="66">
        <f t="shared" si="254"/>
        <v>2.6666666666666665E-2</v>
      </c>
      <c r="I292" s="66">
        <f t="shared" si="254"/>
        <v>2.6666666666666665E-2</v>
      </c>
      <c r="J292" s="66">
        <f t="shared" si="254"/>
        <v>2.6666666666666665E-2</v>
      </c>
      <c r="K292" s="66">
        <f t="shared" si="254"/>
        <v>2.6666666666666665E-2</v>
      </c>
      <c r="L292" s="66">
        <f t="shared" si="254"/>
        <v>2.6666666666666665E-2</v>
      </c>
      <c r="M292" s="66">
        <f t="shared" si="254"/>
        <v>2.6666666666666665E-2</v>
      </c>
      <c r="N292" s="66">
        <f t="shared" si="254"/>
        <v>2.6666666666666665E-2</v>
      </c>
      <c r="O292" s="66">
        <f t="shared" si="254"/>
        <v>2.6666666666666665E-2</v>
      </c>
      <c r="P292" s="66">
        <f t="shared" si="254"/>
        <v>2.6666666666666665E-2</v>
      </c>
      <c r="Q292" s="66">
        <f t="shared" si="254"/>
        <v>2.6666666666666665E-2</v>
      </c>
      <c r="R292" s="66">
        <f t="shared" si="254"/>
        <v>2.6666666666666665E-2</v>
      </c>
      <c r="S292" s="66">
        <f t="shared" si="254"/>
        <v>2.6666666666666665E-2</v>
      </c>
      <c r="T292" s="66">
        <f t="shared" si="254"/>
        <v>2.6666666666666665E-2</v>
      </c>
      <c r="U292" s="66">
        <f t="shared" si="254"/>
        <v>2.6666666666666665E-2</v>
      </c>
      <c r="V292" s="66">
        <f t="shared" si="254"/>
        <v>2.6666666666666665E-2</v>
      </c>
      <c r="W292" s="66">
        <f t="shared" si="254"/>
        <v>2.6666666666666665E-2</v>
      </c>
      <c r="X292" s="66">
        <f t="shared" si="254"/>
        <v>2.6666666666666665E-2</v>
      </c>
      <c r="Y292" s="66">
        <f t="shared" si="254"/>
        <v>2.6666666666666665E-2</v>
      </c>
      <c r="Z292" s="66">
        <f t="shared" si="254"/>
        <v>2.6666666666666665E-2</v>
      </c>
      <c r="AA292" s="66">
        <f t="shared" si="254"/>
        <v>2.6666666666666665E-2</v>
      </c>
      <c r="AB292" s="66">
        <f t="shared" si="254"/>
        <v>2.6666666666666665E-2</v>
      </c>
      <c r="AC292" s="66">
        <f t="shared" si="254"/>
        <v>2.6666666666666665E-2</v>
      </c>
    </row>
    <row r="293" spans="1:29" x14ac:dyDescent="0.25">
      <c r="A293" s="30" t="str">
        <f t="shared" si="249"/>
        <v>Opex maintenance &amp; repair</v>
      </c>
      <c r="B293" s="66">
        <f>B251/B261/(B258)</f>
        <v>5.7142857142857143E-3</v>
      </c>
      <c r="C293" s="66">
        <f t="shared" ref="C293:AC293" si="255">C251/C261/(C258)</f>
        <v>5.7142857142857143E-3</v>
      </c>
      <c r="D293" s="66">
        <f t="shared" si="255"/>
        <v>5.7142857142857143E-3</v>
      </c>
      <c r="E293" s="66">
        <f t="shared" si="255"/>
        <v>5.7142857142857143E-3</v>
      </c>
      <c r="F293" s="66">
        <f t="shared" si="255"/>
        <v>5.7142857142857143E-3</v>
      </c>
      <c r="G293" s="66">
        <f t="shared" si="255"/>
        <v>5.7142857142857143E-3</v>
      </c>
      <c r="H293" s="66">
        <f t="shared" si="255"/>
        <v>5.7142857142857143E-3</v>
      </c>
      <c r="I293" s="66">
        <f t="shared" si="255"/>
        <v>5.7142857142857143E-3</v>
      </c>
      <c r="J293" s="66">
        <f t="shared" si="255"/>
        <v>5.7142857142857143E-3</v>
      </c>
      <c r="K293" s="66">
        <f t="shared" si="255"/>
        <v>5.7142857142857143E-3</v>
      </c>
      <c r="L293" s="66">
        <f t="shared" si="255"/>
        <v>5.7142857142857143E-3</v>
      </c>
      <c r="M293" s="66">
        <f t="shared" si="255"/>
        <v>5.7142857142857143E-3</v>
      </c>
      <c r="N293" s="66">
        <f t="shared" si="255"/>
        <v>5.7142857142857143E-3</v>
      </c>
      <c r="O293" s="66">
        <f t="shared" si="255"/>
        <v>5.7142857142857143E-3</v>
      </c>
      <c r="P293" s="66">
        <f t="shared" si="255"/>
        <v>5.7142857142857143E-3</v>
      </c>
      <c r="Q293" s="66">
        <f t="shared" si="255"/>
        <v>5.7142857142857143E-3</v>
      </c>
      <c r="R293" s="66">
        <f t="shared" si="255"/>
        <v>5.7142857142857143E-3</v>
      </c>
      <c r="S293" s="66">
        <f t="shared" si="255"/>
        <v>5.7142857142857143E-3</v>
      </c>
      <c r="T293" s="66">
        <f t="shared" si="255"/>
        <v>5.7142857142857143E-3</v>
      </c>
      <c r="U293" s="66">
        <f t="shared" si="255"/>
        <v>5.7142857142857143E-3</v>
      </c>
      <c r="V293" s="66">
        <f t="shared" si="255"/>
        <v>5.7142857142857143E-3</v>
      </c>
      <c r="W293" s="66">
        <f t="shared" si="255"/>
        <v>5.7142857142857143E-3</v>
      </c>
      <c r="X293" s="66">
        <f t="shared" si="255"/>
        <v>5.7142857142857143E-3</v>
      </c>
      <c r="Y293" s="66">
        <f t="shared" si="255"/>
        <v>5.7142857142857143E-3</v>
      </c>
      <c r="Z293" s="66">
        <f t="shared" si="255"/>
        <v>5.7142857142857143E-3</v>
      </c>
      <c r="AA293" s="66">
        <f t="shared" si="255"/>
        <v>5.7142857142857143E-3</v>
      </c>
      <c r="AB293" s="66">
        <f t="shared" si="255"/>
        <v>5.7142857142857143E-3</v>
      </c>
      <c r="AC293" s="66">
        <f t="shared" si="255"/>
        <v>5.7142857142857143E-3</v>
      </c>
    </row>
    <row r="294" spans="1:29" x14ac:dyDescent="0.25">
      <c r="A294" s="30" t="str">
        <f t="shared" si="249"/>
        <v>Opex var (mode-fees)</v>
      </c>
      <c r="B294" s="66">
        <f>B252*B261/B261/(B258)</f>
        <v>4.4000000000000003E-3</v>
      </c>
      <c r="C294" s="66">
        <f t="shared" ref="C294:AC294" si="256">C252*C261/C261/(C258)</f>
        <v>4.4000000000000003E-3</v>
      </c>
      <c r="D294" s="66">
        <f t="shared" si="256"/>
        <v>4.4000000000000003E-3</v>
      </c>
      <c r="E294" s="66">
        <f t="shared" si="256"/>
        <v>4.4000000000000003E-3</v>
      </c>
      <c r="F294" s="66">
        <f t="shared" si="256"/>
        <v>4.4000000000000003E-3</v>
      </c>
      <c r="G294" s="66">
        <f t="shared" si="256"/>
        <v>4.4000000000000003E-3</v>
      </c>
      <c r="H294" s="66">
        <f t="shared" si="256"/>
        <v>4.4000000000000003E-3</v>
      </c>
      <c r="I294" s="66">
        <f t="shared" si="256"/>
        <v>4.4000000000000003E-3</v>
      </c>
      <c r="J294" s="66">
        <f t="shared" si="256"/>
        <v>4.4000000000000003E-3</v>
      </c>
      <c r="K294" s="66">
        <f t="shared" si="256"/>
        <v>4.4000000000000003E-3</v>
      </c>
      <c r="L294" s="66">
        <f t="shared" si="256"/>
        <v>4.4000000000000003E-3</v>
      </c>
      <c r="M294" s="66">
        <f t="shared" si="256"/>
        <v>4.4000000000000003E-3</v>
      </c>
      <c r="N294" s="66">
        <f t="shared" si="256"/>
        <v>4.4000000000000003E-3</v>
      </c>
      <c r="O294" s="66">
        <f t="shared" si="256"/>
        <v>4.4000000000000003E-3</v>
      </c>
      <c r="P294" s="66">
        <f t="shared" si="256"/>
        <v>4.4000000000000003E-3</v>
      </c>
      <c r="Q294" s="66">
        <f t="shared" si="256"/>
        <v>4.4000000000000003E-3</v>
      </c>
      <c r="R294" s="66">
        <f t="shared" si="256"/>
        <v>4.4000000000000003E-3</v>
      </c>
      <c r="S294" s="66">
        <f t="shared" si="256"/>
        <v>4.4000000000000003E-3</v>
      </c>
      <c r="T294" s="66">
        <f t="shared" si="256"/>
        <v>4.4000000000000003E-3</v>
      </c>
      <c r="U294" s="66">
        <f t="shared" si="256"/>
        <v>4.4000000000000003E-3</v>
      </c>
      <c r="V294" s="66">
        <f t="shared" si="256"/>
        <v>4.4000000000000003E-3</v>
      </c>
      <c r="W294" s="66">
        <f t="shared" si="256"/>
        <v>4.4000000000000003E-3</v>
      </c>
      <c r="X294" s="66">
        <f t="shared" si="256"/>
        <v>4.4000000000000003E-3</v>
      </c>
      <c r="Y294" s="66">
        <f t="shared" si="256"/>
        <v>4.4000000000000003E-3</v>
      </c>
      <c r="Z294" s="66">
        <f t="shared" si="256"/>
        <v>4.4000000000000003E-3</v>
      </c>
      <c r="AA294" s="66">
        <f t="shared" si="256"/>
        <v>4.4000000000000003E-3</v>
      </c>
      <c r="AB294" s="66">
        <f t="shared" si="256"/>
        <v>4.4000000000000003E-3</v>
      </c>
      <c r="AC294" s="66">
        <f t="shared" si="256"/>
        <v>4.4000000000000003E-3</v>
      </c>
    </row>
    <row r="295" spans="1:29" x14ac:dyDescent="0.25">
      <c r="A295" s="30" t="str">
        <f t="shared" si="249"/>
        <v>Fuel Cost</v>
      </c>
      <c r="B295" s="66">
        <f>B253*B254*B261/B261/(B258)</f>
        <v>7.985890061771795E-3</v>
      </c>
      <c r="C295" s="66">
        <f t="shared" ref="C295:AC295" si="257">C253*C254*C261/C261/(C258)</f>
        <v>7.9267097498172002E-3</v>
      </c>
      <c r="D295" s="66">
        <f t="shared" si="257"/>
        <v>7.8450985380655921E-3</v>
      </c>
      <c r="E295" s="66">
        <f t="shared" si="257"/>
        <v>7.7344373345644779E-3</v>
      </c>
      <c r="F295" s="66">
        <f t="shared" si="257"/>
        <v>7.5878059519386533E-3</v>
      </c>
      <c r="G295" s="66">
        <f t="shared" si="257"/>
        <v>7.3993274369778417E-3</v>
      </c>
      <c r="H295" s="66">
        <f t="shared" si="257"/>
        <v>7.1661209836907458E-3</v>
      </c>
      <c r="I295" s="66">
        <f t="shared" si="257"/>
        <v>6.8902388567052952E-3</v>
      </c>
      <c r="J295" s="66">
        <f t="shared" si="257"/>
        <v>6.5794775249630845E-3</v>
      </c>
      <c r="K295" s="66">
        <f t="shared" si="257"/>
        <v>6.2463026879459715E-3</v>
      </c>
      <c r="L295" s="66">
        <f t="shared" si="257"/>
        <v>5.9054794675072585E-3</v>
      </c>
      <c r="M295" s="66">
        <f t="shared" si="257"/>
        <v>5.5719568088488311E-3</v>
      </c>
      <c r="N295" s="66">
        <f t="shared" si="257"/>
        <v>5.2597091002081252E-3</v>
      </c>
      <c r="O295" s="66">
        <f t="shared" si="257"/>
        <v>4.9807190436009447E-3</v>
      </c>
      <c r="P295" s="66">
        <f t="shared" si="257"/>
        <v>4.7433837393774103E-3</v>
      </c>
      <c r="Q295" s="66">
        <f t="shared" si="257"/>
        <v>4.5510692605102224E-3</v>
      </c>
      <c r="R295" s="66">
        <f t="shared" si="257"/>
        <v>4.4020237778200381E-3</v>
      </c>
      <c r="S295" s="66">
        <f t="shared" si="257"/>
        <v>4.2907963899825839E-3</v>
      </c>
      <c r="T295" s="66">
        <f t="shared" si="257"/>
        <v>4.2102518521120172E-3</v>
      </c>
      <c r="U295" s="66">
        <f t="shared" si="257"/>
        <v>4.1532408619050351E-3</v>
      </c>
      <c r="V295" s="66">
        <f t="shared" si="257"/>
        <v>4.1135537204343977E-3</v>
      </c>
      <c r="W295" s="66">
        <f t="shared" si="257"/>
        <v>4.08625147724361E-3</v>
      </c>
      <c r="X295" s="66">
        <f t="shared" si="257"/>
        <v>4.067623866980315E-3</v>
      </c>
      <c r="Y295" s="66">
        <f t="shared" si="257"/>
        <v>4.0549869084455974E-3</v>
      </c>
      <c r="Z295" s="66">
        <f t="shared" si="257"/>
        <v>4.0464472826581442E-3</v>
      </c>
      <c r="AA295" s="66">
        <f t="shared" si="257"/>
        <v>4.0406917100494931E-3</v>
      </c>
      <c r="AB295" s="66">
        <f t="shared" si="257"/>
        <v>4.0368194623874977E-3</v>
      </c>
      <c r="AC295" s="66">
        <f t="shared" si="257"/>
        <v>4.0342174151229478E-3</v>
      </c>
    </row>
    <row r="296" spans="1:29" x14ac:dyDescent="0.25">
      <c r="A296" s="59" t="str">
        <f>A259</f>
        <v>Market failure (av. utilization)</v>
      </c>
      <c r="B296" s="66">
        <f t="shared" ref="B296:AC296" si="258">B285/B259-B285/B258</f>
        <v>4.2200083605052424E-2</v>
      </c>
      <c r="C296" s="66">
        <f t="shared" si="258"/>
        <v>4.1964639051828498E-2</v>
      </c>
      <c r="D296" s="66">
        <f t="shared" si="258"/>
        <v>4.1641547418654251E-2</v>
      </c>
      <c r="E296" s="66">
        <f t="shared" si="258"/>
        <v>4.1206715769623287E-2</v>
      </c>
      <c r="F296" s="66">
        <f t="shared" si="258"/>
        <v>4.0637040104798766E-2</v>
      </c>
      <c r="G296" s="66">
        <f t="shared" si="258"/>
        <v>3.9917179513586296E-2</v>
      </c>
      <c r="H296" s="66">
        <f t="shared" si="258"/>
        <v>3.9048851678278242E-2</v>
      </c>
      <c r="I296" s="66">
        <f t="shared" si="258"/>
        <v>3.8059146690662293E-2</v>
      </c>
      <c r="J296" s="66">
        <f t="shared" si="258"/>
        <v>3.7001762233868536E-2</v>
      </c>
      <c r="K296" s="66">
        <f t="shared" si="258"/>
        <v>3.5946773025232422E-2</v>
      </c>
      <c r="L296" s="66">
        <f t="shared" si="258"/>
        <v>3.4962057447439604E-2</v>
      </c>
      <c r="M296" s="66">
        <f t="shared" si="258"/>
        <v>3.4096507035723721E-2</v>
      </c>
      <c r="N296" s="66">
        <f t="shared" si="258"/>
        <v>3.3373424905629598E-2</v>
      </c>
      <c r="O296" s="66">
        <f t="shared" si="258"/>
        <v>3.2794032122892058E-2</v>
      </c>
      <c r="P296" s="66">
        <f t="shared" si="258"/>
        <v>3.2345315299290849E-2</v>
      </c>
      <c r="Q296" s="66">
        <f t="shared" si="258"/>
        <v>3.2007335462607998E-2</v>
      </c>
      <c r="R296" s="66">
        <f t="shared" si="258"/>
        <v>3.1758394976803418E-2</v>
      </c>
      <c r="S296" s="66">
        <f t="shared" si="258"/>
        <v>3.1578225006679797E-2</v>
      </c>
      <c r="T296" s="66">
        <f t="shared" si="258"/>
        <v>3.1449607743973935E-2</v>
      </c>
      <c r="U296" s="66">
        <f t="shared" si="258"/>
        <v>3.135882228071709E-2</v>
      </c>
      <c r="V296" s="66">
        <f t="shared" si="258"/>
        <v>3.1295370218626523E-2</v>
      </c>
      <c r="W296" s="66">
        <f t="shared" si="258"/>
        <v>3.1251414213565122E-2</v>
      </c>
      <c r="X296" s="66">
        <f t="shared" si="258"/>
        <v>3.1221200944267981E-2</v>
      </c>
      <c r="Y296" s="66">
        <f t="shared" si="258"/>
        <v>3.1200569195392172E-2</v>
      </c>
      <c r="Z296" s="66">
        <f t="shared" si="258"/>
        <v>3.1186553360340673E-2</v>
      </c>
      <c r="AA296" s="66">
        <f t="shared" si="258"/>
        <v>3.1177069339576417E-2</v>
      </c>
      <c r="AB296" s="66">
        <f t="shared" si="258"/>
        <v>3.117067027763229E-2</v>
      </c>
      <c r="AC296" s="66">
        <f t="shared" si="258"/>
        <v>3.1166361535846128E-2</v>
      </c>
    </row>
    <row r="297" spans="1:29" x14ac:dyDescent="0.25">
      <c r="A297" s="59" t="str">
        <f>A260</f>
        <v>Payload loss (fuel)</v>
      </c>
      <c r="B297" s="66">
        <f>B285/(B258-B260)-B285/B258</f>
        <v>7.3830516470406171E-3</v>
      </c>
      <c r="C297" s="66">
        <f t="shared" ref="C297:AC297" si="259">C285/(C258-C260)-C285/C258</f>
        <v>7.3186743238179419E-3</v>
      </c>
      <c r="D297" s="66">
        <f t="shared" si="259"/>
        <v>7.2296850132945456E-3</v>
      </c>
      <c r="E297" s="66">
        <f t="shared" si="259"/>
        <v>7.1085855258479907E-3</v>
      </c>
      <c r="F297" s="66">
        <f t="shared" si="259"/>
        <v>6.9472621566808723E-3</v>
      </c>
      <c r="G297" s="66">
        <f t="shared" si="259"/>
        <v>6.7382696287283939E-3</v>
      </c>
      <c r="H297" s="66">
        <f t="shared" si="259"/>
        <v>6.4767858669922754E-3</v>
      </c>
      <c r="I297" s="66">
        <f t="shared" si="259"/>
        <v>6.1627142649061245E-3</v>
      </c>
      <c r="J297" s="66">
        <f t="shared" si="259"/>
        <v>5.8019590171723076E-3</v>
      </c>
      <c r="K297" s="66">
        <f t="shared" si="259"/>
        <v>5.406177555000849E-3</v>
      </c>
      <c r="L297" s="66">
        <f t="shared" si="259"/>
        <v>4.9913979373746795E-3</v>
      </c>
      <c r="M297" s="66">
        <f t="shared" si="259"/>
        <v>4.5764715610098206E-3</v>
      </c>
      <c r="N297" s="66">
        <f t="shared" si="259"/>
        <v>4.1814019866269481E-3</v>
      </c>
      <c r="O297" s="66">
        <f t="shared" si="259"/>
        <v>3.8246647135778133E-3</v>
      </c>
      <c r="P297" s="66">
        <f t="shared" si="259"/>
        <v>3.5196650641993107E-3</v>
      </c>
      <c r="Q297" s="66">
        <f t="shared" si="259"/>
        <v>3.2721964502339107E-3</v>
      </c>
      <c r="R297" s="66">
        <f t="shared" si="259"/>
        <v>3.0805000973773422E-3</v>
      </c>
      <c r="S297" s="66">
        <f t="shared" si="259"/>
        <v>2.9375780025862192E-3</v>
      </c>
      <c r="T297" s="66">
        <f t="shared" si="259"/>
        <v>2.8341514768110282E-3</v>
      </c>
      <c r="U297" s="66">
        <f t="shared" si="259"/>
        <v>2.760958443355617E-3</v>
      </c>
      <c r="V297" s="66">
        <f t="shared" si="259"/>
        <v>2.7099960252509256E-3</v>
      </c>
      <c r="W297" s="66">
        <f t="shared" si="259"/>
        <v>2.6749220715189259E-3</v>
      </c>
      <c r="X297" s="66">
        <f t="shared" si="259"/>
        <v>2.6509802314282765E-3</v>
      </c>
      <c r="Y297" s="66">
        <f t="shared" si="259"/>
        <v>2.6347306829953565E-3</v>
      </c>
      <c r="Z297" s="66">
        <f t="shared" si="259"/>
        <v>2.6237456521716815E-3</v>
      </c>
      <c r="AA297" s="66">
        <f t="shared" si="259"/>
        <v>2.616339769989269E-3</v>
      </c>
      <c r="AB297" s="66">
        <f t="shared" si="259"/>
        <v>2.6113561633513346E-3</v>
      </c>
      <c r="AC297" s="66">
        <f t="shared" si="259"/>
        <v>2.6080068051186275E-3</v>
      </c>
    </row>
    <row r="298" spans="1:29" ht="15.75" thickBot="1" x14ac:dyDescent="0.3">
      <c r="A298" s="59" t="str">
        <f>A235</f>
        <v>Emission Cost</v>
      </c>
      <c r="B298" s="68">
        <f>B255*B261/B261/(B258)</f>
        <v>1.4049076735721778E-4</v>
      </c>
      <c r="C298" s="68">
        <f t="shared" ref="C298:AC298" si="260">C255*C261/C261/(C258)</f>
        <v>1.4035698591588104E-4</v>
      </c>
      <c r="D298" s="68">
        <f t="shared" si="260"/>
        <v>1.4016548076234878E-4</v>
      </c>
      <c r="E298" s="68">
        <f t="shared" si="260"/>
        <v>1.3989151917297648E-4</v>
      </c>
      <c r="F298" s="68">
        <f t="shared" si="260"/>
        <v>1.3949996760913741E-4</v>
      </c>
      <c r="G298" s="68">
        <f t="shared" si="260"/>
        <v>1.3894113890973713E-4</v>
      </c>
      <c r="H298" s="68">
        <f t="shared" si="260"/>
        <v>1.3814522974610444E-4</v>
      </c>
      <c r="I298" s="68">
        <f t="shared" si="260"/>
        <v>1.3701515282874783E-4</v>
      </c>
      <c r="J298" s="68">
        <f t="shared" si="260"/>
        <v>1.3541789769952266E-4</v>
      </c>
      <c r="K298" s="68">
        <f t="shared" si="260"/>
        <v>1.3317538031496002E-4</v>
      </c>
      <c r="L298" s="68">
        <f t="shared" si="260"/>
        <v>1.3005746709139924E-4</v>
      </c>
      <c r="M298" s="68">
        <f t="shared" si="260"/>
        <v>1.2578292470326314E-4</v>
      </c>
      <c r="N298" s="68">
        <f t="shared" si="260"/>
        <v>1.2003839777505247E-4</v>
      </c>
      <c r="O298" s="68">
        <f t="shared" si="260"/>
        <v>1.1252919131889444E-4</v>
      </c>
      <c r="P298" s="68">
        <f t="shared" si="260"/>
        <v>1.0307261500799069E-4</v>
      </c>
      <c r="Q298" s="68">
        <f t="shared" si="260"/>
        <v>9.1724994885971666E-5</v>
      </c>
      <c r="R298" s="68">
        <f t="shared" si="260"/>
        <v>7.8893405016236212E-5</v>
      </c>
      <c r="S298" s="68">
        <f t="shared" si="260"/>
        <v>6.534714823744498E-5</v>
      </c>
      <c r="T298" s="68">
        <f t="shared" si="260"/>
        <v>5.2067456454497702E-5</v>
      </c>
      <c r="U298" s="68">
        <f t="shared" si="260"/>
        <v>3.9978679681221538E-5</v>
      </c>
      <c r="V298" s="68">
        <f t="shared" si="260"/>
        <v>2.9704940898853776E-5</v>
      </c>
      <c r="W298" s="68">
        <f t="shared" si="260"/>
        <v>2.1477516056547865E-5</v>
      </c>
      <c r="X298" s="68">
        <f t="shared" si="260"/>
        <v>1.5199625742695674E-5</v>
      </c>
      <c r="Y298" s="68">
        <f t="shared" si="260"/>
        <v>1.0584872874483328E-5</v>
      </c>
      <c r="Z298" s="68">
        <f t="shared" si="260"/>
        <v>7.2853913337923142E-6</v>
      </c>
      <c r="AA298" s="68">
        <f t="shared" si="260"/>
        <v>4.9729420400487081E-6</v>
      </c>
      <c r="AB298" s="68">
        <f t="shared" si="260"/>
        <v>3.3748974438302729E-6</v>
      </c>
      <c r="AC298" s="68">
        <f t="shared" si="260"/>
        <v>2.2812758930212777E-6</v>
      </c>
    </row>
    <row r="299" spans="1:29" ht="15.75" thickBot="1" x14ac:dyDescent="0.3">
      <c r="A299" s="31" t="s">
        <v>210</v>
      </c>
      <c r="B299" s="67">
        <f>B288+B289+B290+B291+B292+B293+B294+B295+B296+B297+B298</f>
        <v>0.11574481056879866</v>
      </c>
      <c r="C299" s="67">
        <f t="shared" ref="C299:AC299" si="261">C288+C289+C290+C291+C292+C293+C294+C295+C296+C297+C298</f>
        <v>0.11507152491827274</v>
      </c>
      <c r="D299" s="67">
        <f t="shared" si="261"/>
        <v>0.11414695379781593</v>
      </c>
      <c r="E299" s="67">
        <f t="shared" si="261"/>
        <v>0.11290128970080653</v>
      </c>
      <c r="F299" s="67">
        <f t="shared" si="261"/>
        <v>0.11126666719847256</v>
      </c>
      <c r="G299" s="67">
        <f t="shared" si="261"/>
        <v>0.10919596624497059</v>
      </c>
      <c r="H299" s="67">
        <f t="shared" si="261"/>
        <v>0.10668880704709295</v>
      </c>
      <c r="I299" s="67">
        <f t="shared" si="261"/>
        <v>0.10381515358048278</v>
      </c>
      <c r="J299" s="67">
        <f t="shared" si="261"/>
        <v>0.10071978335828238</v>
      </c>
      <c r="K299" s="67">
        <f t="shared" si="261"/>
        <v>9.7595581528948552E-2</v>
      </c>
      <c r="L299" s="67">
        <f t="shared" si="261"/>
        <v>9.463412369289266E-2</v>
      </c>
      <c r="M299" s="67">
        <f t="shared" si="261"/>
        <v>9.198070487243501E-2</v>
      </c>
      <c r="N299" s="67">
        <f t="shared" si="261"/>
        <v>8.9715595306429405E-2</v>
      </c>
      <c r="O299" s="67">
        <f t="shared" si="261"/>
        <v>8.7860428422852119E-2</v>
      </c>
      <c r="P299" s="67">
        <f t="shared" si="261"/>
        <v>8.6394954229677398E-2</v>
      </c>
      <c r="Q299" s="67">
        <f t="shared" si="261"/>
        <v>8.5273399831187383E-2</v>
      </c>
      <c r="R299" s="67">
        <f t="shared" si="261"/>
        <v>8.4437891877112092E-2</v>
      </c>
      <c r="S299" s="67">
        <f t="shared" si="261"/>
        <v>8.3829012963035743E-2</v>
      </c>
      <c r="T299" s="67">
        <f t="shared" si="261"/>
        <v>8.3392955585435052E-2</v>
      </c>
      <c r="U299" s="67">
        <f t="shared" si="261"/>
        <v>8.3084972560798109E-2</v>
      </c>
      <c r="V299" s="67">
        <f t="shared" si="261"/>
        <v>8.2869909982114354E-2</v>
      </c>
      <c r="W299" s="67">
        <f t="shared" si="261"/>
        <v>8.2721156704947729E-2</v>
      </c>
      <c r="X299" s="67">
        <f t="shared" si="261"/>
        <v>8.2619077099433433E-2</v>
      </c>
      <c r="Y299" s="67">
        <f t="shared" si="261"/>
        <v>8.2549469579769982E-2</v>
      </c>
      <c r="Z299" s="67">
        <f t="shared" si="261"/>
        <v>8.2502236699675185E-2</v>
      </c>
      <c r="AA299" s="67">
        <f t="shared" si="261"/>
        <v>8.2470303177585219E-2</v>
      </c>
      <c r="AB299" s="67">
        <f t="shared" si="261"/>
        <v>8.2448770272815899E-2</v>
      </c>
      <c r="AC299" s="67">
        <f t="shared" si="261"/>
        <v>8.2434277616860396E-2</v>
      </c>
    </row>
    <row r="301" spans="1:29" x14ac:dyDescent="0.25">
      <c r="B301" s="40"/>
    </row>
    <row r="324" spans="1:44" s="3" customFormat="1" ht="21" x14ac:dyDescent="0.35">
      <c r="A324" s="2" t="str">
        <f>'Parameter Input'!A58</f>
        <v>Road long-haul: Break bulk</v>
      </c>
    </row>
    <row r="325" spans="1:44" s="3" customFormat="1" ht="21" x14ac:dyDescent="0.35">
      <c r="A325" s="2" t="s">
        <v>87</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Input'!$L$33</f>
        <v>400000</v>
      </c>
      <c r="C334" s="42">
        <f>'Parameter Input'!$M$33</f>
        <v>145000</v>
      </c>
      <c r="D334" s="1" t="s">
        <v>15</v>
      </c>
      <c r="L334" s="51">
        <f>'Parameter Input'!$O$33</f>
        <v>8</v>
      </c>
      <c r="M334" s="52">
        <v>0</v>
      </c>
      <c r="N334" s="52">
        <v>1</v>
      </c>
      <c r="O334" s="52">
        <f>'Parameter Input'!$P$33</f>
        <v>0.9</v>
      </c>
      <c r="P334" s="53">
        <f>'Parameter Input'!$Q$33</f>
        <v>0.4</v>
      </c>
      <c r="Q334" s="4">
        <f t="shared" ref="Q334:AR343" si="262">$N334+($M334-$N334)*((1/(1+EXP(-$P334*(Q$9-$L334)))^$O334))</f>
        <v>0.94584787155511363</v>
      </c>
      <c r="R334" s="4">
        <f t="shared" si="262"/>
        <v>0.92370360150141495</v>
      </c>
      <c r="S334" s="4">
        <f t="shared" si="262"/>
        <v>0.89334463567658451</v>
      </c>
      <c r="T334" s="4">
        <f t="shared" si="262"/>
        <v>0.85254543874327005</v>
      </c>
      <c r="U334" s="4">
        <f t="shared" si="262"/>
        <v>0.79921300652623883</v>
      </c>
      <c r="V334" s="4">
        <f t="shared" si="262"/>
        <v>0.73204982249993378</v>
      </c>
      <c r="W334" s="4">
        <f t="shared" si="262"/>
        <v>0.65145592958786691</v>
      </c>
      <c r="X334" s="4">
        <f t="shared" si="262"/>
        <v>0.56032247880849573</v>
      </c>
      <c r="Y334" s="4">
        <f t="shared" si="262"/>
        <v>0.46411326873185343</v>
      </c>
      <c r="Z334" s="4">
        <f t="shared" si="262"/>
        <v>0.36979727595523937</v>
      </c>
      <c r="AA334" s="4">
        <f t="shared" si="262"/>
        <v>0.28393948637231203</v>
      </c>
      <c r="AB334" s="4">
        <f t="shared" si="262"/>
        <v>0.21097259161117732</v>
      </c>
      <c r="AC334" s="4">
        <f t="shared" si="262"/>
        <v>0.15253917653798199</v>
      </c>
      <c r="AD334" s="4">
        <f t="shared" si="262"/>
        <v>0.10795188737709993</v>
      </c>
      <c r="AE334" s="4">
        <f t="shared" si="262"/>
        <v>7.5176653938091809E-2</v>
      </c>
      <c r="AF334" s="4">
        <f t="shared" si="262"/>
        <v>5.1742836177502194E-2</v>
      </c>
      <c r="AG334" s="4">
        <f t="shared" si="262"/>
        <v>3.5319190625345942E-2</v>
      </c>
      <c r="AH334" s="4">
        <f t="shared" si="262"/>
        <v>2.3969442072658165E-2</v>
      </c>
      <c r="AI334" s="4">
        <f t="shared" si="262"/>
        <v>1.6202243558389728E-2</v>
      </c>
      <c r="AJ334" s="4">
        <f t="shared" si="262"/>
        <v>1.0922240564108399E-2</v>
      </c>
      <c r="AK334" s="4">
        <f t="shared" si="262"/>
        <v>7.3493212906090566E-3</v>
      </c>
      <c r="AL334" s="4">
        <f t="shared" si="262"/>
        <v>4.9390262185057265E-3</v>
      </c>
      <c r="AM334" s="4">
        <f t="shared" si="262"/>
        <v>3.3164275492956197E-3</v>
      </c>
      <c r="AN334" s="4">
        <f t="shared" si="262"/>
        <v>2.2256362146679809E-3</v>
      </c>
      <c r="AO334" s="4">
        <f t="shared" si="262"/>
        <v>1.4930448704811861E-3</v>
      </c>
      <c r="AP334" s="4">
        <f t="shared" si="262"/>
        <v>1.0013381504474506E-3</v>
      </c>
      <c r="AQ334" s="4">
        <f t="shared" si="262"/>
        <v>6.7145100246257527E-4</v>
      </c>
      <c r="AR334" s="4">
        <f t="shared" si="262"/>
        <v>4.5019225748876845E-4</v>
      </c>
    </row>
    <row r="335" spans="1:44" x14ac:dyDescent="0.25">
      <c r="A335" s="24" t="s">
        <v>28</v>
      </c>
      <c r="B335" s="60">
        <f>'Parameter Input'!$L$34</f>
        <v>-60000</v>
      </c>
      <c r="C335" s="61">
        <f>'Parameter Input'!$M$34</f>
        <v>-36250</v>
      </c>
      <c r="D335" s="1" t="s">
        <v>15</v>
      </c>
      <c r="L335" s="54">
        <f>'Parameter Input'!$O$34</f>
        <v>8</v>
      </c>
      <c r="M335" s="37">
        <v>0</v>
      </c>
      <c r="N335" s="37">
        <v>1</v>
      </c>
      <c r="O335" s="37">
        <f>'Parameter Input'!$P$34</f>
        <v>0.9</v>
      </c>
      <c r="P335" s="55">
        <f>'Parameter Input'!$Q$34</f>
        <v>0.4</v>
      </c>
      <c r="Q335" s="4">
        <f t="shared" si="262"/>
        <v>0.94584787155511363</v>
      </c>
      <c r="R335" s="4">
        <f t="shared" si="262"/>
        <v>0.92370360150141495</v>
      </c>
      <c r="S335" s="4">
        <f t="shared" si="262"/>
        <v>0.89334463567658451</v>
      </c>
      <c r="T335" s="4">
        <f t="shared" si="262"/>
        <v>0.85254543874327005</v>
      </c>
      <c r="U335" s="4">
        <f t="shared" si="262"/>
        <v>0.79921300652623883</v>
      </c>
      <c r="V335" s="4">
        <f t="shared" si="262"/>
        <v>0.73204982249993378</v>
      </c>
      <c r="W335" s="4">
        <f t="shared" si="262"/>
        <v>0.65145592958786691</v>
      </c>
      <c r="X335" s="4">
        <f t="shared" si="262"/>
        <v>0.56032247880849573</v>
      </c>
      <c r="Y335" s="4">
        <f t="shared" si="262"/>
        <v>0.46411326873185343</v>
      </c>
      <c r="Z335" s="4">
        <f t="shared" si="262"/>
        <v>0.36979727595523937</v>
      </c>
      <c r="AA335" s="4">
        <f t="shared" si="262"/>
        <v>0.28393948637231203</v>
      </c>
      <c r="AB335" s="4">
        <f t="shared" si="262"/>
        <v>0.21097259161117732</v>
      </c>
      <c r="AC335" s="4">
        <f t="shared" si="262"/>
        <v>0.15253917653798199</v>
      </c>
      <c r="AD335" s="4">
        <f t="shared" si="262"/>
        <v>0.10795188737709993</v>
      </c>
      <c r="AE335" s="4">
        <f t="shared" si="262"/>
        <v>7.5176653938091809E-2</v>
      </c>
      <c r="AF335" s="4">
        <f t="shared" si="262"/>
        <v>5.1742836177502194E-2</v>
      </c>
      <c r="AG335" s="4">
        <f t="shared" si="262"/>
        <v>3.5319190625345942E-2</v>
      </c>
      <c r="AH335" s="4">
        <f t="shared" si="262"/>
        <v>2.3969442072658165E-2</v>
      </c>
      <c r="AI335" s="4">
        <f t="shared" si="262"/>
        <v>1.6202243558389728E-2</v>
      </c>
      <c r="AJ335" s="4">
        <f t="shared" si="262"/>
        <v>1.0922240564108399E-2</v>
      </c>
      <c r="AK335" s="4">
        <f t="shared" si="262"/>
        <v>7.3493212906090566E-3</v>
      </c>
      <c r="AL335" s="4">
        <f t="shared" si="262"/>
        <v>4.9390262185057265E-3</v>
      </c>
      <c r="AM335" s="4">
        <f t="shared" si="262"/>
        <v>3.3164275492956197E-3</v>
      </c>
      <c r="AN335" s="4">
        <f t="shared" si="262"/>
        <v>2.2256362146679809E-3</v>
      </c>
      <c r="AO335" s="4">
        <f t="shared" si="262"/>
        <v>1.4930448704811861E-3</v>
      </c>
      <c r="AP335" s="4">
        <f t="shared" si="262"/>
        <v>1.0013381504474506E-3</v>
      </c>
      <c r="AQ335" s="4">
        <f t="shared" si="262"/>
        <v>6.7145100246257527E-4</v>
      </c>
      <c r="AR335" s="4">
        <f t="shared" si="262"/>
        <v>4.5019225748876845E-4</v>
      </c>
    </row>
    <row r="336" spans="1:44" x14ac:dyDescent="0.25">
      <c r="A336" s="24" t="s">
        <v>14</v>
      </c>
      <c r="B336" s="60">
        <f>'Parameter Input'!B59</f>
        <v>40000</v>
      </c>
      <c r="C336" s="61">
        <f>'Parameter Input'!C59</f>
        <v>40000</v>
      </c>
      <c r="D336" s="1" t="s">
        <v>15</v>
      </c>
      <c r="L336" s="54">
        <f>'Parameter Input'!E59</f>
        <v>12</v>
      </c>
      <c r="M336" s="37">
        <v>0</v>
      </c>
      <c r="N336" s="37">
        <v>1</v>
      </c>
      <c r="O336" s="37">
        <f>'Parameter Input'!F59</f>
        <v>0.9</v>
      </c>
      <c r="P336" s="55">
        <f>'Parameter Input'!G59</f>
        <v>0.4</v>
      </c>
      <c r="Q336" s="4">
        <f t="shared" si="262"/>
        <v>0.9867978615748374</v>
      </c>
      <c r="R336" s="4">
        <f t="shared" si="262"/>
        <v>0.98114509762858249</v>
      </c>
      <c r="S336" s="4">
        <f t="shared" si="262"/>
        <v>0.97311898315872036</v>
      </c>
      <c r="T336" s="4">
        <f t="shared" si="262"/>
        <v>0.96177484161592774</v>
      </c>
      <c r="U336" s="4">
        <f t="shared" si="262"/>
        <v>0.94584787155511363</v>
      </c>
      <c r="V336" s="4">
        <f t="shared" si="262"/>
        <v>0.92370360150141495</v>
      </c>
      <c r="W336" s="4">
        <f t="shared" si="262"/>
        <v>0.89334463567658451</v>
      </c>
      <c r="X336" s="4">
        <f t="shared" si="262"/>
        <v>0.85254543874327005</v>
      </c>
      <c r="Y336" s="4">
        <f t="shared" si="262"/>
        <v>0.79921300652623883</v>
      </c>
      <c r="Z336" s="4">
        <f t="shared" si="262"/>
        <v>0.73204982249993378</v>
      </c>
      <c r="AA336" s="4">
        <f t="shared" si="262"/>
        <v>0.65145592958786691</v>
      </c>
      <c r="AB336" s="4">
        <f t="shared" si="262"/>
        <v>0.56032247880849573</v>
      </c>
      <c r="AC336" s="4">
        <f t="shared" si="262"/>
        <v>0.46411326873185343</v>
      </c>
      <c r="AD336" s="4">
        <f t="shared" si="262"/>
        <v>0.36979727595523937</v>
      </c>
      <c r="AE336" s="4">
        <f t="shared" si="262"/>
        <v>0.28393948637231203</v>
      </c>
      <c r="AF336" s="4">
        <f t="shared" si="262"/>
        <v>0.21097259161117732</v>
      </c>
      <c r="AG336" s="4">
        <f t="shared" si="262"/>
        <v>0.15253917653798199</v>
      </c>
      <c r="AH336" s="4">
        <f t="shared" si="262"/>
        <v>0.10795188737709993</v>
      </c>
      <c r="AI336" s="4">
        <f t="shared" si="262"/>
        <v>7.5176653938091809E-2</v>
      </c>
      <c r="AJ336" s="4">
        <f t="shared" si="262"/>
        <v>5.1742836177502194E-2</v>
      </c>
      <c r="AK336" s="4">
        <f t="shared" si="262"/>
        <v>3.5319190625345942E-2</v>
      </c>
      <c r="AL336" s="4">
        <f t="shared" si="262"/>
        <v>2.3969442072658165E-2</v>
      </c>
      <c r="AM336" s="4">
        <f t="shared" si="262"/>
        <v>1.6202243558389728E-2</v>
      </c>
      <c r="AN336" s="4">
        <f t="shared" si="262"/>
        <v>1.0922240564108399E-2</v>
      </c>
      <c r="AO336" s="4">
        <f t="shared" si="262"/>
        <v>7.3493212906090566E-3</v>
      </c>
      <c r="AP336" s="4">
        <f t="shared" si="262"/>
        <v>4.9390262185057265E-3</v>
      </c>
      <c r="AQ336" s="4">
        <f t="shared" si="262"/>
        <v>3.3164275492956197E-3</v>
      </c>
      <c r="AR336" s="4">
        <f t="shared" si="262"/>
        <v>2.2256362146679809E-3</v>
      </c>
    </row>
    <row r="337" spans="1:44" x14ac:dyDescent="0.25">
      <c r="A337" s="24" t="s">
        <v>25</v>
      </c>
      <c r="B337" s="60">
        <f>'Parameter Input'!B60</f>
        <v>-10000</v>
      </c>
      <c r="C337" s="61">
        <f>'Parameter Input'!C60</f>
        <v>-10000</v>
      </c>
      <c r="D337" s="1" t="s">
        <v>15</v>
      </c>
      <c r="L337" s="54">
        <f>'Parameter Input'!E60</f>
        <v>12</v>
      </c>
      <c r="M337" s="37">
        <v>0</v>
      </c>
      <c r="N337" s="37">
        <v>1</v>
      </c>
      <c r="O337" s="37">
        <f>'Parameter Input'!F60</f>
        <v>0.9</v>
      </c>
      <c r="P337" s="55">
        <f>'Parameter Input'!G60</f>
        <v>0.4</v>
      </c>
      <c r="Q337" s="4">
        <f t="shared" si="262"/>
        <v>0.9867978615748374</v>
      </c>
      <c r="R337" s="4">
        <f t="shared" si="262"/>
        <v>0.98114509762858249</v>
      </c>
      <c r="S337" s="4">
        <f t="shared" si="262"/>
        <v>0.97311898315872036</v>
      </c>
      <c r="T337" s="4">
        <f t="shared" si="262"/>
        <v>0.96177484161592774</v>
      </c>
      <c r="U337" s="4">
        <f t="shared" si="262"/>
        <v>0.94584787155511363</v>
      </c>
      <c r="V337" s="4">
        <f t="shared" si="262"/>
        <v>0.92370360150141495</v>
      </c>
      <c r="W337" s="4">
        <f t="shared" si="262"/>
        <v>0.89334463567658451</v>
      </c>
      <c r="X337" s="4">
        <f t="shared" si="262"/>
        <v>0.85254543874327005</v>
      </c>
      <c r="Y337" s="4">
        <f t="shared" si="262"/>
        <v>0.79921300652623883</v>
      </c>
      <c r="Z337" s="4">
        <f t="shared" si="262"/>
        <v>0.73204982249993378</v>
      </c>
      <c r="AA337" s="4">
        <f t="shared" si="262"/>
        <v>0.65145592958786691</v>
      </c>
      <c r="AB337" s="4">
        <f t="shared" si="262"/>
        <v>0.56032247880849573</v>
      </c>
      <c r="AC337" s="4">
        <f t="shared" si="262"/>
        <v>0.46411326873185343</v>
      </c>
      <c r="AD337" s="4">
        <f t="shared" si="262"/>
        <v>0.36979727595523937</v>
      </c>
      <c r="AE337" s="4">
        <f t="shared" si="262"/>
        <v>0.28393948637231203</v>
      </c>
      <c r="AF337" s="4">
        <f t="shared" si="262"/>
        <v>0.21097259161117732</v>
      </c>
      <c r="AG337" s="4">
        <f t="shared" si="262"/>
        <v>0.15253917653798199</v>
      </c>
      <c r="AH337" s="4">
        <f t="shared" si="262"/>
        <v>0.10795188737709993</v>
      </c>
      <c r="AI337" s="4">
        <f t="shared" si="262"/>
        <v>7.5176653938091809E-2</v>
      </c>
      <c r="AJ337" s="4">
        <f t="shared" si="262"/>
        <v>5.1742836177502194E-2</v>
      </c>
      <c r="AK337" s="4">
        <f t="shared" si="262"/>
        <v>3.5319190625345942E-2</v>
      </c>
      <c r="AL337" s="4">
        <f t="shared" si="262"/>
        <v>2.3969442072658165E-2</v>
      </c>
      <c r="AM337" s="4">
        <f t="shared" si="262"/>
        <v>1.6202243558389728E-2</v>
      </c>
      <c r="AN337" s="4">
        <f t="shared" si="262"/>
        <v>1.0922240564108399E-2</v>
      </c>
      <c r="AO337" s="4">
        <f t="shared" si="262"/>
        <v>7.3493212906090566E-3</v>
      </c>
      <c r="AP337" s="4">
        <f t="shared" si="262"/>
        <v>4.9390262185057265E-3</v>
      </c>
      <c r="AQ337" s="4">
        <f t="shared" si="262"/>
        <v>3.3164275492956197E-3</v>
      </c>
      <c r="AR337" s="4">
        <f t="shared" si="262"/>
        <v>2.2256362146679809E-3</v>
      </c>
    </row>
    <row r="338" spans="1:44" x14ac:dyDescent="0.25">
      <c r="A338" s="24" t="s">
        <v>79</v>
      </c>
      <c r="B338" s="45">
        <f>'Parameter Input'!$L$40</f>
        <v>0.06</v>
      </c>
      <c r="C338" s="46">
        <f>'Parameter Input'!$M$40</f>
        <v>0.06</v>
      </c>
      <c r="D338" s="1" t="s">
        <v>57</v>
      </c>
      <c r="L338" s="54">
        <f>'Parameter Input'!$O$40</f>
        <v>12</v>
      </c>
      <c r="M338" s="37">
        <v>0</v>
      </c>
      <c r="N338" s="37">
        <v>1</v>
      </c>
      <c r="O338" s="37">
        <f>'Parameter Input'!$P$40</f>
        <v>0.9</v>
      </c>
      <c r="P338" s="55">
        <f>'Parameter Input'!$Q$40</f>
        <v>0.4</v>
      </c>
      <c r="Q338" s="4">
        <f t="shared" si="262"/>
        <v>0.9867978615748374</v>
      </c>
      <c r="R338" s="4">
        <f t="shared" si="262"/>
        <v>0.98114509762858249</v>
      </c>
      <c r="S338" s="4">
        <f t="shared" si="262"/>
        <v>0.97311898315872036</v>
      </c>
      <c r="T338" s="4">
        <f t="shared" si="262"/>
        <v>0.96177484161592774</v>
      </c>
      <c r="U338" s="4">
        <f t="shared" si="262"/>
        <v>0.94584787155511363</v>
      </c>
      <c r="V338" s="4">
        <f t="shared" si="262"/>
        <v>0.92370360150141495</v>
      </c>
      <c r="W338" s="4">
        <f t="shared" si="262"/>
        <v>0.89334463567658451</v>
      </c>
      <c r="X338" s="4">
        <f t="shared" si="262"/>
        <v>0.85254543874327005</v>
      </c>
      <c r="Y338" s="4">
        <f t="shared" si="262"/>
        <v>0.79921300652623883</v>
      </c>
      <c r="Z338" s="4">
        <f t="shared" si="262"/>
        <v>0.73204982249993378</v>
      </c>
      <c r="AA338" s="4">
        <f t="shared" si="262"/>
        <v>0.65145592958786691</v>
      </c>
      <c r="AB338" s="4">
        <f t="shared" si="262"/>
        <v>0.56032247880849573</v>
      </c>
      <c r="AC338" s="4">
        <f t="shared" si="262"/>
        <v>0.46411326873185343</v>
      </c>
      <c r="AD338" s="4">
        <f t="shared" si="262"/>
        <v>0.36979727595523937</v>
      </c>
      <c r="AE338" s="4">
        <f t="shared" si="262"/>
        <v>0.28393948637231203</v>
      </c>
      <c r="AF338" s="4">
        <f t="shared" si="262"/>
        <v>0.21097259161117732</v>
      </c>
      <c r="AG338" s="4">
        <f t="shared" si="262"/>
        <v>0.15253917653798199</v>
      </c>
      <c r="AH338" s="4">
        <f t="shared" si="262"/>
        <v>0.10795188737709993</v>
      </c>
      <c r="AI338" s="4">
        <f t="shared" si="262"/>
        <v>7.5176653938091809E-2</v>
      </c>
      <c r="AJ338" s="4">
        <f t="shared" si="262"/>
        <v>5.1742836177502194E-2</v>
      </c>
      <c r="AK338" s="4">
        <f t="shared" si="262"/>
        <v>3.5319190625345942E-2</v>
      </c>
      <c r="AL338" s="4">
        <f t="shared" si="262"/>
        <v>2.3969442072658165E-2</v>
      </c>
      <c r="AM338" s="4">
        <f t="shared" si="262"/>
        <v>1.6202243558389728E-2</v>
      </c>
      <c r="AN338" s="4">
        <f t="shared" si="262"/>
        <v>1.0922240564108399E-2</v>
      </c>
      <c r="AO338" s="4">
        <f t="shared" si="262"/>
        <v>7.3493212906090566E-3</v>
      </c>
      <c r="AP338" s="4">
        <f t="shared" si="262"/>
        <v>4.9390262185057265E-3</v>
      </c>
      <c r="AQ338" s="4">
        <f t="shared" si="262"/>
        <v>3.3164275492956197E-3</v>
      </c>
      <c r="AR338" s="4">
        <f t="shared" si="262"/>
        <v>2.2256362146679809E-3</v>
      </c>
    </row>
    <row r="339" spans="1:44" x14ac:dyDescent="0.25">
      <c r="A339" s="24" t="s">
        <v>37</v>
      </c>
      <c r="B339" s="60">
        <f>'Parameter Input'!B61</f>
        <v>70000</v>
      </c>
      <c r="C339" s="61">
        <f>'Parameter Input'!C61</f>
        <v>70000</v>
      </c>
      <c r="D339" s="1" t="s">
        <v>38</v>
      </c>
      <c r="L339" s="54">
        <f>'Parameter Input'!E61</f>
        <v>12</v>
      </c>
      <c r="M339" s="37">
        <v>0</v>
      </c>
      <c r="N339" s="37">
        <v>1</v>
      </c>
      <c r="O339" s="37">
        <f>'Parameter Input'!F61</f>
        <v>0.9</v>
      </c>
      <c r="P339" s="55">
        <f>'Parameter Input'!G61</f>
        <v>0.4</v>
      </c>
      <c r="Q339" s="4">
        <f t="shared" si="262"/>
        <v>0.9867978615748374</v>
      </c>
      <c r="R339" s="4">
        <f t="shared" si="262"/>
        <v>0.98114509762858249</v>
      </c>
      <c r="S339" s="4">
        <f t="shared" si="262"/>
        <v>0.97311898315872036</v>
      </c>
      <c r="T339" s="4">
        <f t="shared" si="262"/>
        <v>0.96177484161592774</v>
      </c>
      <c r="U339" s="4">
        <f t="shared" si="262"/>
        <v>0.94584787155511363</v>
      </c>
      <c r="V339" s="4">
        <f t="shared" si="262"/>
        <v>0.92370360150141495</v>
      </c>
      <c r="W339" s="4">
        <f t="shared" si="262"/>
        <v>0.89334463567658451</v>
      </c>
      <c r="X339" s="4">
        <f t="shared" si="262"/>
        <v>0.85254543874327005</v>
      </c>
      <c r="Y339" s="4">
        <f t="shared" si="262"/>
        <v>0.79921300652623883</v>
      </c>
      <c r="Z339" s="4">
        <f t="shared" si="262"/>
        <v>0.73204982249993378</v>
      </c>
      <c r="AA339" s="4">
        <f t="shared" si="262"/>
        <v>0.65145592958786691</v>
      </c>
      <c r="AB339" s="4">
        <f t="shared" si="262"/>
        <v>0.56032247880849573</v>
      </c>
      <c r="AC339" s="4">
        <f t="shared" si="262"/>
        <v>0.46411326873185343</v>
      </c>
      <c r="AD339" s="4">
        <f t="shared" si="262"/>
        <v>0.36979727595523937</v>
      </c>
      <c r="AE339" s="4">
        <f t="shared" si="262"/>
        <v>0.28393948637231203</v>
      </c>
      <c r="AF339" s="4">
        <f t="shared" si="262"/>
        <v>0.21097259161117732</v>
      </c>
      <c r="AG339" s="4">
        <f t="shared" si="262"/>
        <v>0.15253917653798199</v>
      </c>
      <c r="AH339" s="4">
        <f t="shared" si="262"/>
        <v>0.10795188737709993</v>
      </c>
      <c r="AI339" s="4">
        <f t="shared" si="262"/>
        <v>7.5176653938091809E-2</v>
      </c>
      <c r="AJ339" s="4">
        <f t="shared" si="262"/>
        <v>5.1742836177502194E-2</v>
      </c>
      <c r="AK339" s="4">
        <f t="shared" si="262"/>
        <v>3.5319190625345942E-2</v>
      </c>
      <c r="AL339" s="4">
        <f t="shared" si="262"/>
        <v>2.3969442072658165E-2</v>
      </c>
      <c r="AM339" s="4">
        <f t="shared" si="262"/>
        <v>1.6202243558389728E-2</v>
      </c>
      <c r="AN339" s="4">
        <f t="shared" si="262"/>
        <v>1.0922240564108399E-2</v>
      </c>
      <c r="AO339" s="4">
        <f t="shared" si="262"/>
        <v>7.3493212906090566E-3</v>
      </c>
      <c r="AP339" s="4">
        <f t="shared" si="262"/>
        <v>4.9390262185057265E-3</v>
      </c>
      <c r="AQ339" s="4">
        <f t="shared" si="262"/>
        <v>3.3164275492956197E-3</v>
      </c>
      <c r="AR339" s="4">
        <f t="shared" si="262"/>
        <v>2.2256362146679809E-3</v>
      </c>
    </row>
    <row r="340" spans="1:44" x14ac:dyDescent="0.25">
      <c r="A340" s="24" t="s">
        <v>52</v>
      </c>
      <c r="B340" s="43">
        <f>'Parameter Input'!$L$36</f>
        <v>15000</v>
      </c>
      <c r="C340" s="44">
        <f>'Parameter Input'!$M$36</f>
        <v>15000</v>
      </c>
      <c r="D340" s="1" t="s">
        <v>38</v>
      </c>
      <c r="L340" s="54">
        <f>'Parameter Input'!$O$36</f>
        <v>8</v>
      </c>
      <c r="M340" s="37">
        <v>0</v>
      </c>
      <c r="N340" s="37">
        <v>1</v>
      </c>
      <c r="O340" s="37">
        <f>'Parameter Input'!$P$36</f>
        <v>0.9</v>
      </c>
      <c r="P340" s="55">
        <f>'Parameter Input'!$Q$36</f>
        <v>0.4</v>
      </c>
      <c r="Q340" s="4">
        <f t="shared" si="262"/>
        <v>0.94584787155511363</v>
      </c>
      <c r="R340" s="4">
        <f t="shared" si="262"/>
        <v>0.92370360150141495</v>
      </c>
      <c r="S340" s="4">
        <f t="shared" si="262"/>
        <v>0.89334463567658451</v>
      </c>
      <c r="T340" s="4">
        <f t="shared" si="262"/>
        <v>0.85254543874327005</v>
      </c>
      <c r="U340" s="4">
        <f t="shared" si="262"/>
        <v>0.79921300652623883</v>
      </c>
      <c r="V340" s="4">
        <f t="shared" si="262"/>
        <v>0.73204982249993378</v>
      </c>
      <c r="W340" s="4">
        <f t="shared" si="262"/>
        <v>0.65145592958786691</v>
      </c>
      <c r="X340" s="4">
        <f t="shared" si="262"/>
        <v>0.56032247880849573</v>
      </c>
      <c r="Y340" s="4">
        <f t="shared" si="262"/>
        <v>0.46411326873185343</v>
      </c>
      <c r="Z340" s="4">
        <f t="shared" si="262"/>
        <v>0.36979727595523937</v>
      </c>
      <c r="AA340" s="4">
        <f t="shared" si="262"/>
        <v>0.28393948637231203</v>
      </c>
      <c r="AB340" s="4">
        <f t="shared" si="262"/>
        <v>0.21097259161117732</v>
      </c>
      <c r="AC340" s="4">
        <f t="shared" si="262"/>
        <v>0.15253917653798199</v>
      </c>
      <c r="AD340" s="4">
        <f t="shared" si="262"/>
        <v>0.10795188737709993</v>
      </c>
      <c r="AE340" s="4">
        <f t="shared" si="262"/>
        <v>7.5176653938091809E-2</v>
      </c>
      <c r="AF340" s="4">
        <f t="shared" si="262"/>
        <v>5.1742836177502194E-2</v>
      </c>
      <c r="AG340" s="4">
        <f t="shared" si="262"/>
        <v>3.5319190625345942E-2</v>
      </c>
      <c r="AH340" s="4">
        <f t="shared" si="262"/>
        <v>2.3969442072658165E-2</v>
      </c>
      <c r="AI340" s="4">
        <f t="shared" si="262"/>
        <v>1.6202243558389728E-2</v>
      </c>
      <c r="AJ340" s="4">
        <f t="shared" si="262"/>
        <v>1.0922240564108399E-2</v>
      </c>
      <c r="AK340" s="4">
        <f t="shared" si="262"/>
        <v>7.3493212906090566E-3</v>
      </c>
      <c r="AL340" s="4">
        <f t="shared" si="262"/>
        <v>4.9390262185057265E-3</v>
      </c>
      <c r="AM340" s="4">
        <f t="shared" si="262"/>
        <v>3.3164275492956197E-3</v>
      </c>
      <c r="AN340" s="4">
        <f t="shared" si="262"/>
        <v>2.2256362146679809E-3</v>
      </c>
      <c r="AO340" s="4">
        <f t="shared" si="262"/>
        <v>1.4930448704811861E-3</v>
      </c>
      <c r="AP340" s="4">
        <f t="shared" si="262"/>
        <v>1.0013381504474506E-3</v>
      </c>
      <c r="AQ340" s="4">
        <f t="shared" si="262"/>
        <v>6.7145100246257527E-4</v>
      </c>
      <c r="AR340" s="4">
        <f t="shared" si="262"/>
        <v>4.5019225748876845E-4</v>
      </c>
    </row>
    <row r="341" spans="1:44" x14ac:dyDescent="0.25">
      <c r="A341" s="24" t="s">
        <v>272</v>
      </c>
      <c r="B341" s="60">
        <f>'Parameter Input'!B66</f>
        <v>0.11</v>
      </c>
      <c r="C341" s="61">
        <f>'Parameter Input'!C66</f>
        <v>0.11</v>
      </c>
      <c r="D341" s="1" t="s">
        <v>76</v>
      </c>
      <c r="L341" s="54">
        <f>'Parameter Input'!E66</f>
        <v>12</v>
      </c>
      <c r="M341" s="37">
        <v>0</v>
      </c>
      <c r="N341" s="37">
        <v>1</v>
      </c>
      <c r="O341" s="37">
        <f>'Parameter Input'!F66</f>
        <v>0.9</v>
      </c>
      <c r="P341" s="55">
        <f>'Parameter Input'!G66</f>
        <v>0.4</v>
      </c>
      <c r="Q341" s="4">
        <f t="shared" si="262"/>
        <v>0.9867978615748374</v>
      </c>
      <c r="R341" s="4">
        <f t="shared" si="262"/>
        <v>0.98114509762858249</v>
      </c>
      <c r="S341" s="4">
        <f t="shared" si="262"/>
        <v>0.97311898315872036</v>
      </c>
      <c r="T341" s="4">
        <f t="shared" si="262"/>
        <v>0.96177484161592774</v>
      </c>
      <c r="U341" s="4">
        <f t="shared" si="262"/>
        <v>0.94584787155511363</v>
      </c>
      <c r="V341" s="4">
        <f t="shared" si="262"/>
        <v>0.92370360150141495</v>
      </c>
      <c r="W341" s="4">
        <f t="shared" si="262"/>
        <v>0.89334463567658451</v>
      </c>
      <c r="X341" s="4">
        <f t="shared" si="262"/>
        <v>0.85254543874327005</v>
      </c>
      <c r="Y341" s="4">
        <f t="shared" si="262"/>
        <v>0.79921300652623883</v>
      </c>
      <c r="Z341" s="4">
        <f t="shared" si="262"/>
        <v>0.73204982249993378</v>
      </c>
      <c r="AA341" s="4">
        <f t="shared" si="262"/>
        <v>0.65145592958786691</v>
      </c>
      <c r="AB341" s="4">
        <f t="shared" si="262"/>
        <v>0.56032247880849573</v>
      </c>
      <c r="AC341" s="4">
        <f t="shared" si="262"/>
        <v>0.46411326873185343</v>
      </c>
      <c r="AD341" s="4">
        <f t="shared" si="262"/>
        <v>0.36979727595523937</v>
      </c>
      <c r="AE341" s="4">
        <f t="shared" si="262"/>
        <v>0.28393948637231203</v>
      </c>
      <c r="AF341" s="4">
        <f t="shared" si="262"/>
        <v>0.21097259161117732</v>
      </c>
      <c r="AG341" s="4">
        <f t="shared" si="262"/>
        <v>0.15253917653798199</v>
      </c>
      <c r="AH341" s="4">
        <f t="shared" si="262"/>
        <v>0.10795188737709993</v>
      </c>
      <c r="AI341" s="4">
        <f t="shared" si="262"/>
        <v>7.5176653938091809E-2</v>
      </c>
      <c r="AJ341" s="4">
        <f t="shared" si="262"/>
        <v>5.1742836177502194E-2</v>
      </c>
      <c r="AK341" s="4">
        <f t="shared" si="262"/>
        <v>3.5319190625345942E-2</v>
      </c>
      <c r="AL341" s="4">
        <f t="shared" si="262"/>
        <v>2.3969442072658165E-2</v>
      </c>
      <c r="AM341" s="4">
        <f t="shared" si="262"/>
        <v>1.6202243558389728E-2</v>
      </c>
      <c r="AN341" s="4">
        <f t="shared" si="262"/>
        <v>1.0922240564108399E-2</v>
      </c>
      <c r="AO341" s="4">
        <f t="shared" si="262"/>
        <v>7.3493212906090566E-3</v>
      </c>
      <c r="AP341" s="4">
        <f t="shared" si="262"/>
        <v>4.9390262185057265E-3</v>
      </c>
      <c r="AQ341" s="4">
        <f t="shared" si="262"/>
        <v>3.3164275492956197E-3</v>
      </c>
      <c r="AR341" s="4">
        <f t="shared" si="262"/>
        <v>2.2256362146679809E-3</v>
      </c>
    </row>
    <row r="342" spans="1:44" x14ac:dyDescent="0.25">
      <c r="A342" s="24" t="s">
        <v>59</v>
      </c>
      <c r="B342" s="47">
        <f>'Parameter Input'!$L$37</f>
        <v>1.52</v>
      </c>
      <c r="C342" s="48">
        <f>'Parameter Input'!$M$37</f>
        <v>1.1499999999999999</v>
      </c>
      <c r="D342" s="1" t="s">
        <v>60</v>
      </c>
      <c r="L342" s="54">
        <f>'Parameter Input'!$O$37</f>
        <v>8</v>
      </c>
      <c r="M342" s="37">
        <v>0</v>
      </c>
      <c r="N342" s="37">
        <v>1</v>
      </c>
      <c r="O342" s="37">
        <f>'Parameter Input'!$P$37</f>
        <v>0.9</v>
      </c>
      <c r="P342" s="55">
        <f>'Parameter Input'!$Q$37</f>
        <v>0.4</v>
      </c>
      <c r="Q342" s="4">
        <f t="shared" si="262"/>
        <v>0.94584787155511363</v>
      </c>
      <c r="R342" s="4">
        <f t="shared" si="262"/>
        <v>0.92370360150141495</v>
      </c>
      <c r="S342" s="4">
        <f t="shared" si="262"/>
        <v>0.89334463567658451</v>
      </c>
      <c r="T342" s="4">
        <f t="shared" si="262"/>
        <v>0.85254543874327005</v>
      </c>
      <c r="U342" s="4">
        <f t="shared" si="262"/>
        <v>0.79921300652623883</v>
      </c>
      <c r="V342" s="4">
        <f t="shared" si="262"/>
        <v>0.73204982249993378</v>
      </c>
      <c r="W342" s="4">
        <f t="shared" si="262"/>
        <v>0.65145592958786691</v>
      </c>
      <c r="X342" s="4">
        <f t="shared" si="262"/>
        <v>0.56032247880849573</v>
      </c>
      <c r="Y342" s="4">
        <f t="shared" si="262"/>
        <v>0.46411326873185343</v>
      </c>
      <c r="Z342" s="4">
        <f t="shared" si="262"/>
        <v>0.36979727595523937</v>
      </c>
      <c r="AA342" s="4">
        <f t="shared" si="262"/>
        <v>0.28393948637231203</v>
      </c>
      <c r="AB342" s="4">
        <f t="shared" si="262"/>
        <v>0.21097259161117732</v>
      </c>
      <c r="AC342" s="4">
        <f t="shared" si="262"/>
        <v>0.15253917653798199</v>
      </c>
      <c r="AD342" s="4">
        <f t="shared" si="262"/>
        <v>0.10795188737709993</v>
      </c>
      <c r="AE342" s="4">
        <f t="shared" si="262"/>
        <v>7.5176653938091809E-2</v>
      </c>
      <c r="AF342" s="4">
        <f t="shared" si="262"/>
        <v>5.1742836177502194E-2</v>
      </c>
      <c r="AG342" s="4">
        <f t="shared" si="262"/>
        <v>3.5319190625345942E-2</v>
      </c>
      <c r="AH342" s="4">
        <f t="shared" si="262"/>
        <v>2.3969442072658165E-2</v>
      </c>
      <c r="AI342" s="4">
        <f t="shared" si="262"/>
        <v>1.6202243558389728E-2</v>
      </c>
      <c r="AJ342" s="4">
        <f t="shared" si="262"/>
        <v>1.0922240564108399E-2</v>
      </c>
      <c r="AK342" s="4">
        <f t="shared" si="262"/>
        <v>7.3493212906090566E-3</v>
      </c>
      <c r="AL342" s="4">
        <f t="shared" si="262"/>
        <v>4.9390262185057265E-3</v>
      </c>
      <c r="AM342" s="4">
        <f t="shared" si="262"/>
        <v>3.3164275492956197E-3</v>
      </c>
      <c r="AN342" s="4">
        <f t="shared" si="262"/>
        <v>2.2256362146679809E-3</v>
      </c>
      <c r="AO342" s="4">
        <f t="shared" si="262"/>
        <v>1.4930448704811861E-3</v>
      </c>
      <c r="AP342" s="4">
        <f t="shared" si="262"/>
        <v>1.0013381504474506E-3</v>
      </c>
      <c r="AQ342" s="4">
        <f t="shared" si="262"/>
        <v>6.7145100246257527E-4</v>
      </c>
      <c r="AR342" s="4">
        <f t="shared" si="262"/>
        <v>4.5019225748876845E-4</v>
      </c>
    </row>
    <row r="343" spans="1:44" x14ac:dyDescent="0.25">
      <c r="A343" s="24" t="s">
        <v>67</v>
      </c>
      <c r="B343" s="45">
        <f>'Parameter Input'!$L$38</f>
        <v>0.13371034051801745</v>
      </c>
      <c r="C343" s="46">
        <f>'Parameter Input'!$M$38</f>
        <v>8.7585019329602734E-2</v>
      </c>
      <c r="D343" s="1" t="s">
        <v>68</v>
      </c>
      <c r="L343" s="54">
        <f>'Parameter Input'!$O$38</f>
        <v>12</v>
      </c>
      <c r="M343" s="37">
        <v>0</v>
      </c>
      <c r="N343" s="37">
        <v>1</v>
      </c>
      <c r="O343" s="37">
        <f>'Parameter Input'!$P$38</f>
        <v>0.9</v>
      </c>
      <c r="P343" s="55">
        <f>'Parameter Input'!$Q$38</f>
        <v>0.4</v>
      </c>
      <c r="Q343" s="4">
        <f t="shared" si="262"/>
        <v>0.9867978615748374</v>
      </c>
      <c r="R343" s="4">
        <f t="shared" si="262"/>
        <v>0.98114509762858249</v>
      </c>
      <c r="S343" s="4">
        <f t="shared" si="262"/>
        <v>0.97311898315872036</v>
      </c>
      <c r="T343" s="4">
        <f t="shared" ref="T343:AI350" si="263">$N343+($M343-$N343)*((1/(1+EXP(-$P343*(T$9-$L343)))^$O343))</f>
        <v>0.96177484161592774</v>
      </c>
      <c r="U343" s="4">
        <f t="shared" si="263"/>
        <v>0.94584787155511363</v>
      </c>
      <c r="V343" s="4">
        <f t="shared" si="263"/>
        <v>0.92370360150141495</v>
      </c>
      <c r="W343" s="4">
        <f t="shared" si="263"/>
        <v>0.89334463567658451</v>
      </c>
      <c r="X343" s="4">
        <f t="shared" si="263"/>
        <v>0.85254543874327005</v>
      </c>
      <c r="Y343" s="4">
        <f t="shared" si="263"/>
        <v>0.79921300652623883</v>
      </c>
      <c r="Z343" s="4">
        <f t="shared" si="263"/>
        <v>0.73204982249993378</v>
      </c>
      <c r="AA343" s="4">
        <f t="shared" si="263"/>
        <v>0.65145592958786691</v>
      </c>
      <c r="AB343" s="4">
        <f t="shared" si="263"/>
        <v>0.56032247880849573</v>
      </c>
      <c r="AC343" s="4">
        <f t="shared" si="263"/>
        <v>0.46411326873185343</v>
      </c>
      <c r="AD343" s="4">
        <f t="shared" si="263"/>
        <v>0.36979727595523937</v>
      </c>
      <c r="AE343" s="4">
        <f t="shared" si="263"/>
        <v>0.28393948637231203</v>
      </c>
      <c r="AF343" s="4">
        <f t="shared" si="263"/>
        <v>0.21097259161117732</v>
      </c>
      <c r="AG343" s="4">
        <f t="shared" si="263"/>
        <v>0.15253917653798199</v>
      </c>
      <c r="AH343" s="4">
        <f t="shared" si="263"/>
        <v>0.10795188737709993</v>
      </c>
      <c r="AI343" s="4">
        <f t="shared" si="263"/>
        <v>7.5176653938091809E-2</v>
      </c>
      <c r="AJ343" s="4">
        <f t="shared" ref="AJ343:AR350" si="264">$N343+($M343-$N343)*((1/(1+EXP(-$P343*(AJ$9-$L343)))^$O343))</f>
        <v>5.1742836177502194E-2</v>
      </c>
      <c r="AK343" s="4">
        <f t="shared" si="264"/>
        <v>3.5319190625345942E-2</v>
      </c>
      <c r="AL343" s="4">
        <f t="shared" si="264"/>
        <v>2.3969442072658165E-2</v>
      </c>
      <c r="AM343" s="4">
        <f t="shared" si="264"/>
        <v>1.6202243558389728E-2</v>
      </c>
      <c r="AN343" s="4">
        <f t="shared" si="264"/>
        <v>1.0922240564108399E-2</v>
      </c>
      <c r="AO343" s="4">
        <f t="shared" si="264"/>
        <v>7.3493212906090566E-3</v>
      </c>
      <c r="AP343" s="4">
        <f t="shared" si="264"/>
        <v>4.9390262185057265E-3</v>
      </c>
      <c r="AQ343" s="4">
        <f t="shared" si="264"/>
        <v>3.3164275492956197E-3</v>
      </c>
      <c r="AR343" s="4">
        <f t="shared" si="264"/>
        <v>2.2256362146679809E-3</v>
      </c>
    </row>
    <row r="344" spans="1:44" x14ac:dyDescent="0.25">
      <c r="A344" s="24" t="s">
        <v>206</v>
      </c>
      <c r="B344" s="115">
        <f>'Parameter Input'!$L$41</f>
        <v>3.5200000000000006E-3</v>
      </c>
      <c r="C344" s="116">
        <f>'Parameter Input'!$M$41</f>
        <v>0</v>
      </c>
      <c r="D344" s="1" t="s">
        <v>76</v>
      </c>
      <c r="L344" s="54">
        <f>'Parameter Input'!$O$41</f>
        <v>17</v>
      </c>
      <c r="M344" s="37">
        <v>0</v>
      </c>
      <c r="N344" s="37">
        <v>1</v>
      </c>
      <c r="O344" s="37">
        <f>'Parameter Input'!$P$41</f>
        <v>0.9</v>
      </c>
      <c r="P344" s="55">
        <f>'Parameter Input'!$Q$41</f>
        <v>0.4</v>
      </c>
      <c r="Q344" s="4">
        <f t="shared" ref="Q344:AR344" si="265">$N344+($M344-$N344)*((1/(1+EXP(-$P344*(Q$9-$L344)))^$O344))</f>
        <v>0.99780374543478534</v>
      </c>
      <c r="R344" s="4">
        <f t="shared" si="265"/>
        <v>0.99685359315256394</v>
      </c>
      <c r="S344" s="4">
        <f t="shared" si="265"/>
        <v>0.99549347132349975</v>
      </c>
      <c r="T344" s="4">
        <f t="shared" si="265"/>
        <v>0.99354772139898062</v>
      </c>
      <c r="U344" s="4">
        <f t="shared" si="265"/>
        <v>0.99076681540580536</v>
      </c>
      <c r="V344" s="4">
        <f t="shared" si="265"/>
        <v>0.9867978615748374</v>
      </c>
      <c r="W344" s="4">
        <f t="shared" si="265"/>
        <v>0.98114509762858249</v>
      </c>
      <c r="X344" s="4">
        <f t="shared" si="265"/>
        <v>0.97311898315872036</v>
      </c>
      <c r="Y344" s="4">
        <f t="shared" si="265"/>
        <v>0.96177484161592774</v>
      </c>
      <c r="Z344" s="4">
        <f t="shared" si="265"/>
        <v>0.94584787155511363</v>
      </c>
      <c r="AA344" s="4">
        <f t="shared" si="265"/>
        <v>0.92370360150141495</v>
      </c>
      <c r="AB344" s="4">
        <f t="shared" si="265"/>
        <v>0.89334463567658451</v>
      </c>
      <c r="AC344" s="4">
        <f t="shared" si="265"/>
        <v>0.85254543874327005</v>
      </c>
      <c r="AD344" s="4">
        <f t="shared" si="265"/>
        <v>0.79921300652623883</v>
      </c>
      <c r="AE344" s="4">
        <f t="shared" si="265"/>
        <v>0.73204982249993378</v>
      </c>
      <c r="AF344" s="4">
        <f t="shared" si="265"/>
        <v>0.65145592958786691</v>
      </c>
      <c r="AG344" s="4">
        <f t="shared" si="265"/>
        <v>0.56032247880849573</v>
      </c>
      <c r="AH344" s="4">
        <f t="shared" si="265"/>
        <v>0.46411326873185343</v>
      </c>
      <c r="AI344" s="4">
        <f t="shared" si="265"/>
        <v>0.36979727595523937</v>
      </c>
      <c r="AJ344" s="4">
        <f t="shared" si="265"/>
        <v>0.28393948637231203</v>
      </c>
      <c r="AK344" s="4">
        <f t="shared" si="265"/>
        <v>0.21097259161117732</v>
      </c>
      <c r="AL344" s="4">
        <f t="shared" si="265"/>
        <v>0.15253917653798199</v>
      </c>
      <c r="AM344" s="4">
        <f t="shared" si="265"/>
        <v>0.10795188737709993</v>
      </c>
      <c r="AN344" s="4">
        <f t="shared" si="265"/>
        <v>7.5176653938091809E-2</v>
      </c>
      <c r="AO344" s="4">
        <f t="shared" si="265"/>
        <v>5.1742836177502194E-2</v>
      </c>
      <c r="AP344" s="4">
        <f t="shared" si="265"/>
        <v>3.5319190625345942E-2</v>
      </c>
      <c r="AQ344" s="4">
        <f t="shared" si="265"/>
        <v>2.3969442072658165E-2</v>
      </c>
      <c r="AR344" s="4">
        <f t="shared" si="265"/>
        <v>1.6202243558389728E-2</v>
      </c>
    </row>
    <row r="345" spans="1:44" x14ac:dyDescent="0.25">
      <c r="A345" s="24" t="s">
        <v>41</v>
      </c>
      <c r="B345" s="43">
        <f>'Parameter Input'!$L$35</f>
        <v>8</v>
      </c>
      <c r="C345" s="44">
        <f>'Parameter Input'!$M$35</f>
        <v>8</v>
      </c>
      <c r="D345" s="1" t="s">
        <v>42</v>
      </c>
      <c r="L345" s="54">
        <f>'Parameter Input'!$O$35</f>
        <v>8</v>
      </c>
      <c r="M345" s="37">
        <v>0</v>
      </c>
      <c r="N345" s="37">
        <v>1</v>
      </c>
      <c r="O345" s="37">
        <f>'Parameter Input'!$P$35</f>
        <v>0.9</v>
      </c>
      <c r="P345" s="55">
        <f>'Parameter Input'!$Q$35</f>
        <v>0.4</v>
      </c>
      <c r="Q345" s="4">
        <f t="shared" ref="Q345:AF350" si="266">$N345+($M345-$N345)*((1/(1+EXP(-$P345*(Q$9-$L345)))^$O345))</f>
        <v>0.94584787155511363</v>
      </c>
      <c r="R345" s="4">
        <f t="shared" si="266"/>
        <v>0.92370360150141495</v>
      </c>
      <c r="S345" s="4">
        <f t="shared" si="266"/>
        <v>0.89334463567658451</v>
      </c>
      <c r="T345" s="4">
        <f t="shared" si="266"/>
        <v>0.85254543874327005</v>
      </c>
      <c r="U345" s="4">
        <f t="shared" si="266"/>
        <v>0.79921300652623883</v>
      </c>
      <c r="V345" s="4">
        <f t="shared" si="266"/>
        <v>0.73204982249993378</v>
      </c>
      <c r="W345" s="4">
        <f t="shared" si="266"/>
        <v>0.65145592958786691</v>
      </c>
      <c r="X345" s="4">
        <f t="shared" si="266"/>
        <v>0.56032247880849573</v>
      </c>
      <c r="Y345" s="4">
        <f t="shared" si="266"/>
        <v>0.46411326873185343</v>
      </c>
      <c r="Z345" s="4">
        <f t="shared" si="266"/>
        <v>0.36979727595523937</v>
      </c>
      <c r="AA345" s="4">
        <f t="shared" si="266"/>
        <v>0.28393948637231203</v>
      </c>
      <c r="AB345" s="4">
        <f t="shared" si="266"/>
        <v>0.21097259161117732</v>
      </c>
      <c r="AC345" s="4">
        <f t="shared" si="266"/>
        <v>0.15253917653798199</v>
      </c>
      <c r="AD345" s="4">
        <f t="shared" si="266"/>
        <v>0.10795188737709993</v>
      </c>
      <c r="AE345" s="4">
        <f t="shared" si="266"/>
        <v>7.5176653938091809E-2</v>
      </c>
      <c r="AF345" s="4">
        <f t="shared" si="266"/>
        <v>5.1742836177502194E-2</v>
      </c>
      <c r="AG345" s="4">
        <f t="shared" si="263"/>
        <v>3.5319190625345942E-2</v>
      </c>
      <c r="AH345" s="4">
        <f t="shared" si="263"/>
        <v>2.3969442072658165E-2</v>
      </c>
      <c r="AI345" s="4">
        <f t="shared" si="263"/>
        <v>1.6202243558389728E-2</v>
      </c>
      <c r="AJ345" s="4">
        <f t="shared" si="264"/>
        <v>1.0922240564108399E-2</v>
      </c>
      <c r="AK345" s="4">
        <f t="shared" si="264"/>
        <v>7.3493212906090566E-3</v>
      </c>
      <c r="AL345" s="4">
        <f t="shared" si="264"/>
        <v>4.9390262185057265E-3</v>
      </c>
      <c r="AM345" s="4">
        <f t="shared" si="264"/>
        <v>3.3164275492956197E-3</v>
      </c>
      <c r="AN345" s="4">
        <f t="shared" si="264"/>
        <v>2.2256362146679809E-3</v>
      </c>
      <c r="AO345" s="4">
        <f t="shared" si="264"/>
        <v>1.4930448704811861E-3</v>
      </c>
      <c r="AP345" s="4">
        <f t="shared" si="264"/>
        <v>1.0013381504474506E-3</v>
      </c>
      <c r="AQ345" s="4">
        <f t="shared" si="264"/>
        <v>6.7145100246257527E-4</v>
      </c>
      <c r="AR345" s="4">
        <f t="shared" si="264"/>
        <v>4.5019225748876845E-4</v>
      </c>
    </row>
    <row r="346" spans="1:44" x14ac:dyDescent="0.25">
      <c r="A346" s="24" t="s">
        <v>70</v>
      </c>
      <c r="B346" s="60">
        <f>'Parameter Input'!B65</f>
        <v>10</v>
      </c>
      <c r="C346" s="61">
        <f>'Parameter Input'!C65</f>
        <v>10</v>
      </c>
      <c r="D346" s="1" t="s">
        <v>42</v>
      </c>
      <c r="L346" s="54">
        <f>'Parameter Input'!E65</f>
        <v>12</v>
      </c>
      <c r="M346" s="37">
        <v>0</v>
      </c>
      <c r="N346" s="37">
        <v>1</v>
      </c>
      <c r="O346" s="37">
        <f>'Parameter Input'!F65</f>
        <v>0.9</v>
      </c>
      <c r="P346" s="55">
        <f>'Parameter Input'!G65</f>
        <v>0.4</v>
      </c>
      <c r="Q346" s="4">
        <f t="shared" si="266"/>
        <v>0.9867978615748374</v>
      </c>
      <c r="R346" s="4">
        <f t="shared" si="266"/>
        <v>0.98114509762858249</v>
      </c>
      <c r="S346" s="4">
        <f t="shared" si="266"/>
        <v>0.97311898315872036</v>
      </c>
      <c r="T346" s="4">
        <f t="shared" si="266"/>
        <v>0.96177484161592774</v>
      </c>
      <c r="U346" s="4">
        <f t="shared" si="266"/>
        <v>0.94584787155511363</v>
      </c>
      <c r="V346" s="4">
        <f t="shared" si="266"/>
        <v>0.92370360150141495</v>
      </c>
      <c r="W346" s="4">
        <f t="shared" si="266"/>
        <v>0.89334463567658451</v>
      </c>
      <c r="X346" s="4">
        <f t="shared" si="266"/>
        <v>0.85254543874327005</v>
      </c>
      <c r="Y346" s="4">
        <f t="shared" si="266"/>
        <v>0.79921300652623883</v>
      </c>
      <c r="Z346" s="4">
        <f t="shared" si="266"/>
        <v>0.73204982249993378</v>
      </c>
      <c r="AA346" s="4">
        <f t="shared" si="266"/>
        <v>0.65145592958786691</v>
      </c>
      <c r="AB346" s="4">
        <f t="shared" si="266"/>
        <v>0.56032247880849573</v>
      </c>
      <c r="AC346" s="4">
        <f t="shared" si="266"/>
        <v>0.46411326873185343</v>
      </c>
      <c r="AD346" s="4">
        <f t="shared" si="266"/>
        <v>0.36979727595523937</v>
      </c>
      <c r="AE346" s="4">
        <f t="shared" si="266"/>
        <v>0.28393948637231203</v>
      </c>
      <c r="AF346" s="4">
        <f t="shared" si="266"/>
        <v>0.21097259161117732</v>
      </c>
      <c r="AG346" s="4">
        <f t="shared" si="263"/>
        <v>0.15253917653798199</v>
      </c>
      <c r="AH346" s="4">
        <f t="shared" si="263"/>
        <v>0.10795188737709993</v>
      </c>
      <c r="AI346" s="4">
        <f t="shared" si="263"/>
        <v>7.5176653938091809E-2</v>
      </c>
      <c r="AJ346" s="4">
        <f t="shared" si="264"/>
        <v>5.1742836177502194E-2</v>
      </c>
      <c r="AK346" s="4">
        <f t="shared" si="264"/>
        <v>3.5319190625345942E-2</v>
      </c>
      <c r="AL346" s="4">
        <f t="shared" si="264"/>
        <v>2.3969442072658165E-2</v>
      </c>
      <c r="AM346" s="4">
        <f t="shared" si="264"/>
        <v>1.6202243558389728E-2</v>
      </c>
      <c r="AN346" s="4">
        <f t="shared" si="264"/>
        <v>1.0922240564108399E-2</v>
      </c>
      <c r="AO346" s="4">
        <f t="shared" si="264"/>
        <v>7.3493212906090566E-3</v>
      </c>
      <c r="AP346" s="4">
        <f t="shared" si="264"/>
        <v>4.9390262185057265E-3</v>
      </c>
      <c r="AQ346" s="4">
        <f t="shared" si="264"/>
        <v>3.3164275492956197E-3</v>
      </c>
      <c r="AR346" s="4">
        <f t="shared" si="264"/>
        <v>2.2256362146679809E-3</v>
      </c>
    </row>
    <row r="347" spans="1:44" x14ac:dyDescent="0.25">
      <c r="A347" s="24" t="s">
        <v>207</v>
      </c>
      <c r="B347" s="43">
        <f>'Parameter Input'!B62</f>
        <v>25</v>
      </c>
      <c r="C347" s="44">
        <f>'Parameter Input'!C62</f>
        <v>25</v>
      </c>
      <c r="D347" s="1" t="s">
        <v>49</v>
      </c>
      <c r="L347" s="54">
        <f>'Parameter Input'!E62</f>
        <v>12</v>
      </c>
      <c r="M347" s="37">
        <v>0</v>
      </c>
      <c r="N347" s="37">
        <v>1</v>
      </c>
      <c r="O347" s="37">
        <f>'Parameter Input'!F62</f>
        <v>0.9</v>
      </c>
      <c r="P347" s="55">
        <f>'Parameter Input'!G62</f>
        <v>0.4</v>
      </c>
      <c r="Q347" s="4">
        <f t="shared" si="266"/>
        <v>0.9867978615748374</v>
      </c>
      <c r="R347" s="4">
        <f t="shared" si="266"/>
        <v>0.98114509762858249</v>
      </c>
      <c r="S347" s="4">
        <f t="shared" si="266"/>
        <v>0.97311898315872036</v>
      </c>
      <c r="T347" s="4">
        <f t="shared" si="266"/>
        <v>0.96177484161592774</v>
      </c>
      <c r="U347" s="4">
        <f t="shared" si="266"/>
        <v>0.94584787155511363</v>
      </c>
      <c r="V347" s="4">
        <f t="shared" si="266"/>
        <v>0.92370360150141495</v>
      </c>
      <c r="W347" s="4">
        <f t="shared" si="266"/>
        <v>0.89334463567658451</v>
      </c>
      <c r="X347" s="4">
        <f t="shared" si="266"/>
        <v>0.85254543874327005</v>
      </c>
      <c r="Y347" s="4">
        <f t="shared" si="266"/>
        <v>0.79921300652623883</v>
      </c>
      <c r="Z347" s="4">
        <f t="shared" si="266"/>
        <v>0.73204982249993378</v>
      </c>
      <c r="AA347" s="4">
        <f t="shared" si="266"/>
        <v>0.65145592958786691</v>
      </c>
      <c r="AB347" s="4">
        <f t="shared" si="266"/>
        <v>0.56032247880849573</v>
      </c>
      <c r="AC347" s="4">
        <f t="shared" si="266"/>
        <v>0.46411326873185343</v>
      </c>
      <c r="AD347" s="4">
        <f t="shared" si="266"/>
        <v>0.36979727595523937</v>
      </c>
      <c r="AE347" s="4">
        <f t="shared" si="266"/>
        <v>0.28393948637231203</v>
      </c>
      <c r="AF347" s="4">
        <f t="shared" si="266"/>
        <v>0.21097259161117732</v>
      </c>
      <c r="AG347" s="4">
        <f t="shared" si="263"/>
        <v>0.15253917653798199</v>
      </c>
      <c r="AH347" s="4">
        <f t="shared" si="263"/>
        <v>0.10795188737709993</v>
      </c>
      <c r="AI347" s="4">
        <f t="shared" si="263"/>
        <v>7.5176653938091809E-2</v>
      </c>
      <c r="AJ347" s="4">
        <f t="shared" si="264"/>
        <v>5.1742836177502194E-2</v>
      </c>
      <c r="AK347" s="4">
        <f t="shared" si="264"/>
        <v>3.5319190625345942E-2</v>
      </c>
      <c r="AL347" s="4">
        <f t="shared" si="264"/>
        <v>2.3969442072658165E-2</v>
      </c>
      <c r="AM347" s="4">
        <f t="shared" si="264"/>
        <v>1.6202243558389728E-2</v>
      </c>
      <c r="AN347" s="4">
        <f t="shared" si="264"/>
        <v>1.0922240564108399E-2</v>
      </c>
      <c r="AO347" s="4">
        <f t="shared" si="264"/>
        <v>7.3493212906090566E-3</v>
      </c>
      <c r="AP347" s="4">
        <f t="shared" si="264"/>
        <v>4.9390262185057265E-3</v>
      </c>
      <c r="AQ347" s="4">
        <f t="shared" si="264"/>
        <v>3.3164275492956197E-3</v>
      </c>
      <c r="AR347" s="4">
        <f t="shared" si="264"/>
        <v>2.2256362146679809E-3</v>
      </c>
    </row>
    <row r="348" spans="1:44" x14ac:dyDescent="0.25">
      <c r="A348" s="24" t="s">
        <v>56</v>
      </c>
      <c r="B348" s="45">
        <f>'Parameter Input'!B63</f>
        <v>0.6133333333333334</v>
      </c>
      <c r="C348" s="46">
        <f>'Parameter Input'!C63</f>
        <v>0.6133333333333334</v>
      </c>
      <c r="D348" s="1" t="s">
        <v>57</v>
      </c>
      <c r="L348" s="54">
        <f>'Parameter Input'!E63</f>
        <v>12</v>
      </c>
      <c r="M348" s="37">
        <v>0</v>
      </c>
      <c r="N348" s="37">
        <v>1</v>
      </c>
      <c r="O348" s="37">
        <f>'Parameter Input'!F63</f>
        <v>0.9</v>
      </c>
      <c r="P348" s="55">
        <f>'Parameter Input'!G63</f>
        <v>0.4</v>
      </c>
      <c r="Q348" s="4">
        <f t="shared" si="266"/>
        <v>0.9867978615748374</v>
      </c>
      <c r="R348" s="4">
        <f t="shared" si="266"/>
        <v>0.98114509762858249</v>
      </c>
      <c r="S348" s="4">
        <f t="shared" si="266"/>
        <v>0.97311898315872036</v>
      </c>
      <c r="T348" s="4">
        <f t="shared" si="266"/>
        <v>0.96177484161592774</v>
      </c>
      <c r="U348" s="4">
        <f t="shared" si="266"/>
        <v>0.94584787155511363</v>
      </c>
      <c r="V348" s="4">
        <f t="shared" si="266"/>
        <v>0.92370360150141495</v>
      </c>
      <c r="W348" s="4">
        <f t="shared" si="266"/>
        <v>0.89334463567658451</v>
      </c>
      <c r="X348" s="4">
        <f t="shared" si="266"/>
        <v>0.85254543874327005</v>
      </c>
      <c r="Y348" s="4">
        <f t="shared" si="266"/>
        <v>0.79921300652623883</v>
      </c>
      <c r="Z348" s="4">
        <f t="shared" si="266"/>
        <v>0.73204982249993378</v>
      </c>
      <c r="AA348" s="4">
        <f t="shared" si="266"/>
        <v>0.65145592958786691</v>
      </c>
      <c r="AB348" s="4">
        <f t="shared" si="266"/>
        <v>0.56032247880849573</v>
      </c>
      <c r="AC348" s="4">
        <f t="shared" si="266"/>
        <v>0.46411326873185343</v>
      </c>
      <c r="AD348" s="4">
        <f t="shared" si="266"/>
        <v>0.36979727595523937</v>
      </c>
      <c r="AE348" s="4">
        <f t="shared" si="266"/>
        <v>0.28393948637231203</v>
      </c>
      <c r="AF348" s="4">
        <f t="shared" si="266"/>
        <v>0.21097259161117732</v>
      </c>
      <c r="AG348" s="4">
        <f t="shared" si="263"/>
        <v>0.15253917653798199</v>
      </c>
      <c r="AH348" s="4">
        <f t="shared" si="263"/>
        <v>0.10795188737709993</v>
      </c>
      <c r="AI348" s="4">
        <f t="shared" si="263"/>
        <v>7.5176653938091809E-2</v>
      </c>
      <c r="AJ348" s="4">
        <f t="shared" si="264"/>
        <v>5.1742836177502194E-2</v>
      </c>
      <c r="AK348" s="4">
        <f t="shared" si="264"/>
        <v>3.5319190625345942E-2</v>
      </c>
      <c r="AL348" s="4">
        <f t="shared" si="264"/>
        <v>2.3969442072658165E-2</v>
      </c>
      <c r="AM348" s="4">
        <f t="shared" si="264"/>
        <v>1.6202243558389728E-2</v>
      </c>
      <c r="AN348" s="4">
        <f t="shared" si="264"/>
        <v>1.0922240564108399E-2</v>
      </c>
      <c r="AO348" s="4">
        <f t="shared" si="264"/>
        <v>7.3493212906090566E-3</v>
      </c>
      <c r="AP348" s="4">
        <f t="shared" si="264"/>
        <v>4.9390262185057265E-3</v>
      </c>
      <c r="AQ348" s="4">
        <f t="shared" si="264"/>
        <v>3.3164275492956197E-3</v>
      </c>
      <c r="AR348" s="4">
        <f t="shared" si="264"/>
        <v>2.2256362146679809E-3</v>
      </c>
    </row>
    <row r="349" spans="1:44" x14ac:dyDescent="0.25">
      <c r="A349" s="24" t="s">
        <v>73</v>
      </c>
      <c r="B349" s="72">
        <f>'Parameter Input'!$L$39</f>
        <v>0.1</v>
      </c>
      <c r="C349" s="73">
        <f>'Parameter Input'!$M$39</f>
        <v>0.05</v>
      </c>
      <c r="D349" s="1" t="s">
        <v>57</v>
      </c>
      <c r="L349" s="54">
        <f>'Parameter Input'!$O$39</f>
        <v>12</v>
      </c>
      <c r="M349" s="37">
        <v>0</v>
      </c>
      <c r="N349" s="37">
        <v>1</v>
      </c>
      <c r="O349" s="37">
        <f>'Parameter Input'!$P$39</f>
        <v>0.9</v>
      </c>
      <c r="P349" s="55">
        <f>'Parameter Input'!$Q$39</f>
        <v>0.4</v>
      </c>
      <c r="Q349" s="4">
        <f t="shared" si="266"/>
        <v>0.9867978615748374</v>
      </c>
      <c r="R349" s="4">
        <f t="shared" si="266"/>
        <v>0.98114509762858249</v>
      </c>
      <c r="S349" s="4">
        <f t="shared" si="266"/>
        <v>0.97311898315872036</v>
      </c>
      <c r="T349" s="4">
        <f t="shared" si="266"/>
        <v>0.96177484161592774</v>
      </c>
      <c r="U349" s="4">
        <f t="shared" si="266"/>
        <v>0.94584787155511363</v>
      </c>
      <c r="V349" s="4">
        <f t="shared" si="266"/>
        <v>0.92370360150141495</v>
      </c>
      <c r="W349" s="4">
        <f t="shared" si="266"/>
        <v>0.89334463567658451</v>
      </c>
      <c r="X349" s="4">
        <f t="shared" si="266"/>
        <v>0.85254543874327005</v>
      </c>
      <c r="Y349" s="4">
        <f t="shared" si="266"/>
        <v>0.79921300652623883</v>
      </c>
      <c r="Z349" s="4">
        <f t="shared" si="266"/>
        <v>0.73204982249993378</v>
      </c>
      <c r="AA349" s="4">
        <f t="shared" si="266"/>
        <v>0.65145592958786691</v>
      </c>
      <c r="AB349" s="4">
        <f t="shared" si="266"/>
        <v>0.56032247880849573</v>
      </c>
      <c r="AC349" s="4">
        <f t="shared" si="266"/>
        <v>0.46411326873185343</v>
      </c>
      <c r="AD349" s="4">
        <f t="shared" si="266"/>
        <v>0.36979727595523937</v>
      </c>
      <c r="AE349" s="4">
        <f t="shared" si="266"/>
        <v>0.28393948637231203</v>
      </c>
      <c r="AF349" s="4">
        <f t="shared" si="266"/>
        <v>0.21097259161117732</v>
      </c>
      <c r="AG349" s="4">
        <f t="shared" si="263"/>
        <v>0.15253917653798199</v>
      </c>
      <c r="AH349" s="4">
        <f t="shared" si="263"/>
        <v>0.10795188737709993</v>
      </c>
      <c r="AI349" s="4">
        <f t="shared" si="263"/>
        <v>7.5176653938091809E-2</v>
      </c>
      <c r="AJ349" s="4">
        <f t="shared" si="264"/>
        <v>5.1742836177502194E-2</v>
      </c>
      <c r="AK349" s="4">
        <f t="shared" si="264"/>
        <v>3.5319190625345942E-2</v>
      </c>
      <c r="AL349" s="4">
        <f t="shared" si="264"/>
        <v>2.3969442072658165E-2</v>
      </c>
      <c r="AM349" s="4">
        <f t="shared" si="264"/>
        <v>1.6202243558389728E-2</v>
      </c>
      <c r="AN349" s="4">
        <f t="shared" si="264"/>
        <v>1.0922240564108399E-2</v>
      </c>
      <c r="AO349" s="4">
        <f t="shared" si="264"/>
        <v>7.3493212906090566E-3</v>
      </c>
      <c r="AP349" s="4">
        <f t="shared" si="264"/>
        <v>4.9390262185057265E-3</v>
      </c>
      <c r="AQ349" s="4">
        <f t="shared" si="264"/>
        <v>3.3164275492956197E-3</v>
      </c>
      <c r="AR349" s="4">
        <f t="shared" si="264"/>
        <v>2.2256362146679809E-3</v>
      </c>
    </row>
    <row r="350" spans="1:44" ht="15.75" thickBot="1" x14ac:dyDescent="0.3">
      <c r="A350" s="24" t="s">
        <v>64</v>
      </c>
      <c r="B350" s="49">
        <f>'Parameter Input'!B64</f>
        <v>78000</v>
      </c>
      <c r="C350" s="50">
        <f>'Parameter Input'!C64</f>
        <v>78000</v>
      </c>
      <c r="D350" s="1" t="s">
        <v>65</v>
      </c>
      <c r="L350" s="56">
        <f>'Parameter Input'!E64</f>
        <v>12</v>
      </c>
      <c r="M350" s="57">
        <v>0</v>
      </c>
      <c r="N350" s="57">
        <v>1</v>
      </c>
      <c r="O350" s="57">
        <f>'Parameter Input'!F64</f>
        <v>0.9</v>
      </c>
      <c r="P350" s="58">
        <f>'Parameter Input'!G64</f>
        <v>0.4</v>
      </c>
      <c r="Q350" s="4">
        <f t="shared" si="266"/>
        <v>0.9867978615748374</v>
      </c>
      <c r="R350" s="4">
        <f t="shared" si="266"/>
        <v>0.98114509762858249</v>
      </c>
      <c r="S350" s="4">
        <f t="shared" si="266"/>
        <v>0.97311898315872036</v>
      </c>
      <c r="T350" s="4">
        <f t="shared" si="266"/>
        <v>0.96177484161592774</v>
      </c>
      <c r="U350" s="4">
        <f t="shared" si="266"/>
        <v>0.94584787155511363</v>
      </c>
      <c r="V350" s="4">
        <f t="shared" si="266"/>
        <v>0.92370360150141495</v>
      </c>
      <c r="W350" s="4">
        <f t="shared" si="266"/>
        <v>0.89334463567658451</v>
      </c>
      <c r="X350" s="4">
        <f t="shared" si="266"/>
        <v>0.85254543874327005</v>
      </c>
      <c r="Y350" s="4">
        <f t="shared" si="266"/>
        <v>0.79921300652623883</v>
      </c>
      <c r="Z350" s="4">
        <f t="shared" si="266"/>
        <v>0.73204982249993378</v>
      </c>
      <c r="AA350" s="4">
        <f t="shared" si="266"/>
        <v>0.65145592958786691</v>
      </c>
      <c r="AB350" s="4">
        <f t="shared" si="266"/>
        <v>0.56032247880849573</v>
      </c>
      <c r="AC350" s="4">
        <f t="shared" si="266"/>
        <v>0.46411326873185343</v>
      </c>
      <c r="AD350" s="4">
        <f t="shared" si="266"/>
        <v>0.36979727595523937</v>
      </c>
      <c r="AE350" s="4">
        <f t="shared" si="266"/>
        <v>0.28393948637231203</v>
      </c>
      <c r="AF350" s="4">
        <f t="shared" si="266"/>
        <v>0.21097259161117732</v>
      </c>
      <c r="AG350" s="4">
        <f t="shared" si="263"/>
        <v>0.15253917653798199</v>
      </c>
      <c r="AH350" s="4">
        <f t="shared" si="263"/>
        <v>0.10795188737709993</v>
      </c>
      <c r="AI350" s="4">
        <f t="shared" si="263"/>
        <v>7.5176653938091809E-2</v>
      </c>
      <c r="AJ350" s="4">
        <f t="shared" si="264"/>
        <v>5.1742836177502194E-2</v>
      </c>
      <c r="AK350" s="4">
        <f t="shared" si="264"/>
        <v>3.5319190625345942E-2</v>
      </c>
      <c r="AL350" s="4">
        <f t="shared" si="264"/>
        <v>2.3969442072658165E-2</v>
      </c>
      <c r="AM350" s="4">
        <f t="shared" si="264"/>
        <v>1.6202243558389728E-2</v>
      </c>
      <c r="AN350" s="4">
        <f t="shared" si="264"/>
        <v>1.0922240564108399E-2</v>
      </c>
      <c r="AO350" s="4">
        <f t="shared" si="264"/>
        <v>7.3493212906090566E-3</v>
      </c>
      <c r="AP350" s="4">
        <f t="shared" si="264"/>
        <v>4.9390262185057265E-3</v>
      </c>
      <c r="AQ350" s="4">
        <f t="shared" si="264"/>
        <v>3.3164275492956197E-3</v>
      </c>
      <c r="AR350" s="4">
        <f t="shared" si="264"/>
        <v>2.2256362146679809E-3</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67">A334</f>
        <v>Capex vehicle</v>
      </c>
      <c r="B354" s="62">
        <f t="shared" ref="B354:B363" si="268">$B334+($C334-$B334)*(1-Q334)</f>
        <v>386191.20724655397</v>
      </c>
      <c r="C354" s="62">
        <f t="shared" ref="C354:C363" si="269">$B334+($C334-$B334)*(1-R334)</f>
        <v>380544.41838286084</v>
      </c>
      <c r="D354" s="62">
        <f t="shared" ref="D354:D363" si="270">$B334+($C334-$B334)*(1-S334)</f>
        <v>372802.88209752907</v>
      </c>
      <c r="E354" s="62">
        <f t="shared" ref="E354:E363" si="271">$B334+($C334-$B334)*(1-T334)</f>
        <v>362399.08687953383</v>
      </c>
      <c r="F354" s="62">
        <f t="shared" ref="F354:F363" si="272">$B334+($C334-$B334)*(1-U334)</f>
        <v>348799.3166641909</v>
      </c>
      <c r="G354" s="62">
        <f t="shared" ref="G354:G363" si="273">$B334+($C334-$B334)*(1-V334)</f>
        <v>331672.70473748312</v>
      </c>
      <c r="H354" s="62">
        <f t="shared" ref="H354:H363" si="274">$B334+($C334-$B334)*(1-W334)</f>
        <v>311121.26204490603</v>
      </c>
      <c r="I354" s="62">
        <f t="shared" ref="I354:I363" si="275">$B334+($C334-$B334)*(1-X334)</f>
        <v>287882.23209616641</v>
      </c>
      <c r="J354" s="62">
        <f t="shared" ref="J354:J363" si="276">$B334+($C334-$B334)*(1-Y334)</f>
        <v>263348.88352662267</v>
      </c>
      <c r="K354" s="62">
        <f t="shared" ref="K354:K363" si="277">$B334+($C334-$B334)*(1-Z334)</f>
        <v>239298.30536858604</v>
      </c>
      <c r="L354" s="62">
        <f t="shared" ref="L354:L363" si="278">$B334+($C334-$B334)*(1-AA334)</f>
        <v>217404.56902493956</v>
      </c>
      <c r="M354" s="62">
        <f t="shared" ref="M354:M363" si="279">$B334+($C334-$B334)*(1-AB334)</f>
        <v>198798.01086085022</v>
      </c>
      <c r="N354" s="62">
        <f t="shared" ref="N354:N363" si="280">$B334+($C334-$B334)*(1-AC334)</f>
        <v>183897.4900171854</v>
      </c>
      <c r="O354" s="62">
        <f t="shared" ref="O354:O363" si="281">$B334+($C334-$B334)*(1-AD334)</f>
        <v>172527.73128116049</v>
      </c>
      <c r="P354" s="62">
        <f t="shared" ref="P354:P363" si="282">$B334+($C334-$B334)*(1-AE334)</f>
        <v>164170.0467542134</v>
      </c>
      <c r="Q354" s="62">
        <f t="shared" ref="Q354:Q363" si="283">$B334+($C334-$B334)*(1-AF334)</f>
        <v>158194.42322526305</v>
      </c>
      <c r="R354" s="62">
        <f t="shared" ref="R354:R363" si="284">$B334+($C334-$B334)*(1-AG334)</f>
        <v>154006.39360946321</v>
      </c>
      <c r="S354" s="62">
        <f t="shared" ref="S354:S363" si="285">$B334+($C334-$B334)*(1-AH334)</f>
        <v>151112.20772852784</v>
      </c>
      <c r="T354" s="62">
        <f t="shared" ref="T354:T363" si="286">$B334+($C334-$B334)*(1-AI334)</f>
        <v>149131.57210738939</v>
      </c>
      <c r="U354" s="62">
        <f t="shared" ref="U354:U363" si="287">$B334+($C334-$B334)*(1-AJ334)</f>
        <v>147785.17134384764</v>
      </c>
      <c r="V354" s="62">
        <f t="shared" ref="V354:V363" si="288">$B334+($C334-$B334)*(1-AK334)</f>
        <v>146874.0769291053</v>
      </c>
      <c r="W354" s="62">
        <f t="shared" ref="W354:W363" si="289">$B334+($C334-$B334)*(1-AL334)</f>
        <v>146259.45168571896</v>
      </c>
      <c r="X354" s="62">
        <f t="shared" ref="X354:X363" si="290">$B334+($C334-$B334)*(1-AM334)</f>
        <v>145845.68902507037</v>
      </c>
      <c r="Y354" s="62">
        <f t="shared" ref="Y354:Y363" si="291">$B334+($C334-$B334)*(1-AN334)</f>
        <v>145567.53723474033</v>
      </c>
      <c r="Z354" s="62">
        <f t="shared" ref="Z354:Z363" si="292">$B334+($C334-$B334)*(1-AO334)</f>
        <v>145380.72644197271</v>
      </c>
      <c r="AA354" s="62">
        <f t="shared" ref="AA354:AA363" si="293">$B334+($C334-$B334)*(1-AP334)</f>
        <v>145255.34122836409</v>
      </c>
      <c r="AB354" s="62">
        <f t="shared" ref="AB354:AB363" si="294">$B334+($C334-$B334)*(1-AQ334)</f>
        <v>145171.22000562795</v>
      </c>
      <c r="AC354" s="62">
        <f t="shared" ref="AC354:AC363" si="295">$B334+($C334-$B334)*(1-AR334)</f>
        <v>145114.79902565962</v>
      </c>
    </row>
    <row r="355" spans="1:29" x14ac:dyDescent="0.25">
      <c r="A355" s="30" t="str">
        <f t="shared" si="267"/>
        <v>Residual value (vehicle)</v>
      </c>
      <c r="B355" s="62">
        <f t="shared" si="268"/>
        <v>-58713.886949433945</v>
      </c>
      <c r="C355" s="62">
        <f t="shared" si="269"/>
        <v>-58187.960535658603</v>
      </c>
      <c r="D355" s="62">
        <f t="shared" si="270"/>
        <v>-57466.935097318885</v>
      </c>
      <c r="E355" s="62">
        <f t="shared" si="271"/>
        <v>-56497.954170152661</v>
      </c>
      <c r="F355" s="62">
        <f t="shared" si="272"/>
        <v>-55231.308904998172</v>
      </c>
      <c r="G355" s="62">
        <f t="shared" si="273"/>
        <v>-53636.18328437343</v>
      </c>
      <c r="H355" s="62">
        <f t="shared" si="274"/>
        <v>-51722.078327711839</v>
      </c>
      <c r="I355" s="62">
        <f t="shared" si="275"/>
        <v>-49557.658871701773</v>
      </c>
      <c r="J355" s="62">
        <f t="shared" si="276"/>
        <v>-47272.690132381518</v>
      </c>
      <c r="K355" s="62">
        <f t="shared" si="277"/>
        <v>-45032.685303936931</v>
      </c>
      <c r="L355" s="62">
        <f t="shared" si="278"/>
        <v>-42993.562801342414</v>
      </c>
      <c r="M355" s="62">
        <f t="shared" si="279"/>
        <v>-41260.599050765464</v>
      </c>
      <c r="N355" s="62">
        <f t="shared" si="280"/>
        <v>-39872.805442777069</v>
      </c>
      <c r="O355" s="62">
        <f t="shared" si="281"/>
        <v>-38813.857325206125</v>
      </c>
      <c r="P355" s="62">
        <f t="shared" si="282"/>
        <v>-38035.445531029676</v>
      </c>
      <c r="Q355" s="62">
        <f t="shared" si="283"/>
        <v>-37478.892359215679</v>
      </c>
      <c r="R355" s="62">
        <f t="shared" si="284"/>
        <v>-37088.830777351963</v>
      </c>
      <c r="S355" s="62">
        <f t="shared" si="285"/>
        <v>-36819.274249225637</v>
      </c>
      <c r="T355" s="62">
        <f t="shared" si="286"/>
        <v>-36634.803284511756</v>
      </c>
      <c r="U355" s="62">
        <f t="shared" si="287"/>
        <v>-36509.403213397571</v>
      </c>
      <c r="V355" s="62">
        <f t="shared" si="288"/>
        <v>-36424.546380651969</v>
      </c>
      <c r="W355" s="62">
        <f t="shared" si="289"/>
        <v>-36367.30187268951</v>
      </c>
      <c r="X355" s="62">
        <f t="shared" si="290"/>
        <v>-36328.765154295776</v>
      </c>
      <c r="Y355" s="62">
        <f t="shared" si="291"/>
        <v>-36302.858860098364</v>
      </c>
      <c r="Z355" s="62">
        <f t="shared" si="292"/>
        <v>-36285.459815673923</v>
      </c>
      <c r="AA355" s="62">
        <f t="shared" si="293"/>
        <v>-36273.781781073129</v>
      </c>
      <c r="AB355" s="62">
        <f t="shared" si="294"/>
        <v>-36265.946961308488</v>
      </c>
      <c r="AC355" s="62">
        <f t="shared" si="295"/>
        <v>-36260.692066115356</v>
      </c>
    </row>
    <row r="356" spans="1:29" x14ac:dyDescent="0.25">
      <c r="A356" s="30" t="str">
        <f t="shared" si="267"/>
        <v>Capex costumization</v>
      </c>
      <c r="B356" s="62">
        <f t="shared" si="268"/>
        <v>40000</v>
      </c>
      <c r="C356" s="62">
        <f t="shared" si="269"/>
        <v>40000</v>
      </c>
      <c r="D356" s="62">
        <f t="shared" si="270"/>
        <v>40000</v>
      </c>
      <c r="E356" s="62">
        <f t="shared" si="271"/>
        <v>40000</v>
      </c>
      <c r="F356" s="62">
        <f t="shared" si="272"/>
        <v>40000</v>
      </c>
      <c r="G356" s="62">
        <f t="shared" si="273"/>
        <v>40000</v>
      </c>
      <c r="H356" s="62">
        <f t="shared" si="274"/>
        <v>40000</v>
      </c>
      <c r="I356" s="62">
        <f t="shared" si="275"/>
        <v>40000</v>
      </c>
      <c r="J356" s="62">
        <f t="shared" si="276"/>
        <v>40000</v>
      </c>
      <c r="K356" s="62">
        <f t="shared" si="277"/>
        <v>40000</v>
      </c>
      <c r="L356" s="62">
        <f t="shared" si="278"/>
        <v>40000</v>
      </c>
      <c r="M356" s="62">
        <f t="shared" si="279"/>
        <v>40000</v>
      </c>
      <c r="N356" s="62">
        <f t="shared" si="280"/>
        <v>40000</v>
      </c>
      <c r="O356" s="62">
        <f t="shared" si="281"/>
        <v>40000</v>
      </c>
      <c r="P356" s="62">
        <f t="shared" si="282"/>
        <v>40000</v>
      </c>
      <c r="Q356" s="62">
        <f t="shared" si="283"/>
        <v>40000</v>
      </c>
      <c r="R356" s="62">
        <f t="shared" si="284"/>
        <v>40000</v>
      </c>
      <c r="S356" s="62">
        <f t="shared" si="285"/>
        <v>40000</v>
      </c>
      <c r="T356" s="62">
        <f t="shared" si="286"/>
        <v>40000</v>
      </c>
      <c r="U356" s="62">
        <f t="shared" si="287"/>
        <v>40000</v>
      </c>
      <c r="V356" s="62">
        <f t="shared" si="288"/>
        <v>40000</v>
      </c>
      <c r="W356" s="62">
        <f t="shared" si="289"/>
        <v>40000</v>
      </c>
      <c r="X356" s="62">
        <f t="shared" si="290"/>
        <v>40000</v>
      </c>
      <c r="Y356" s="62">
        <f t="shared" si="291"/>
        <v>40000</v>
      </c>
      <c r="Z356" s="62">
        <f t="shared" si="292"/>
        <v>40000</v>
      </c>
      <c r="AA356" s="62">
        <f t="shared" si="293"/>
        <v>40000</v>
      </c>
      <c r="AB356" s="62">
        <f t="shared" si="294"/>
        <v>40000</v>
      </c>
      <c r="AC356" s="62">
        <f t="shared" si="295"/>
        <v>40000</v>
      </c>
    </row>
    <row r="357" spans="1:29" x14ac:dyDescent="0.25">
      <c r="A357" s="30" t="str">
        <f t="shared" si="267"/>
        <v>Residual value (costumization)</v>
      </c>
      <c r="B357" s="62">
        <f t="shared" si="268"/>
        <v>-10000</v>
      </c>
      <c r="C357" s="62">
        <f t="shared" si="269"/>
        <v>-10000</v>
      </c>
      <c r="D357" s="62">
        <f t="shared" si="270"/>
        <v>-10000</v>
      </c>
      <c r="E357" s="62">
        <f t="shared" si="271"/>
        <v>-10000</v>
      </c>
      <c r="F357" s="62">
        <f t="shared" si="272"/>
        <v>-10000</v>
      </c>
      <c r="G357" s="62">
        <f t="shared" si="273"/>
        <v>-10000</v>
      </c>
      <c r="H357" s="62">
        <f t="shared" si="274"/>
        <v>-10000</v>
      </c>
      <c r="I357" s="62">
        <f t="shared" si="275"/>
        <v>-10000</v>
      </c>
      <c r="J357" s="62">
        <f t="shared" si="276"/>
        <v>-10000</v>
      </c>
      <c r="K357" s="62">
        <f t="shared" si="277"/>
        <v>-10000</v>
      </c>
      <c r="L357" s="62">
        <f t="shared" si="278"/>
        <v>-10000</v>
      </c>
      <c r="M357" s="62">
        <f t="shared" si="279"/>
        <v>-10000</v>
      </c>
      <c r="N357" s="62">
        <f t="shared" si="280"/>
        <v>-10000</v>
      </c>
      <c r="O357" s="62">
        <f t="shared" si="281"/>
        <v>-10000</v>
      </c>
      <c r="P357" s="62">
        <f t="shared" si="282"/>
        <v>-10000</v>
      </c>
      <c r="Q357" s="62">
        <f t="shared" si="283"/>
        <v>-10000</v>
      </c>
      <c r="R357" s="62">
        <f t="shared" si="284"/>
        <v>-10000</v>
      </c>
      <c r="S357" s="62">
        <f t="shared" si="285"/>
        <v>-10000</v>
      </c>
      <c r="T357" s="62">
        <f t="shared" si="286"/>
        <v>-10000</v>
      </c>
      <c r="U357" s="62">
        <f t="shared" si="287"/>
        <v>-10000</v>
      </c>
      <c r="V357" s="62">
        <f t="shared" si="288"/>
        <v>-10000</v>
      </c>
      <c r="W357" s="62">
        <f t="shared" si="289"/>
        <v>-10000</v>
      </c>
      <c r="X357" s="62">
        <f t="shared" si="290"/>
        <v>-10000</v>
      </c>
      <c r="Y357" s="62">
        <f t="shared" si="291"/>
        <v>-10000</v>
      </c>
      <c r="Z357" s="62">
        <f t="shared" si="292"/>
        <v>-10000</v>
      </c>
      <c r="AA357" s="62">
        <f t="shared" si="293"/>
        <v>-10000</v>
      </c>
      <c r="AB357" s="62">
        <f t="shared" si="294"/>
        <v>-10000</v>
      </c>
      <c r="AC357" s="62">
        <f t="shared" si="295"/>
        <v>-10000</v>
      </c>
    </row>
    <row r="358" spans="1:29" x14ac:dyDescent="0.25">
      <c r="A358" s="30" t="str">
        <f t="shared" si="267"/>
        <v>WACC</v>
      </c>
      <c r="B358" s="62">
        <f t="shared" si="268"/>
        <v>0.06</v>
      </c>
      <c r="C358" s="62">
        <f t="shared" si="269"/>
        <v>0.06</v>
      </c>
      <c r="D358" s="62">
        <f t="shared" si="270"/>
        <v>0.06</v>
      </c>
      <c r="E358" s="62">
        <f t="shared" si="271"/>
        <v>0.06</v>
      </c>
      <c r="F358" s="62">
        <f t="shared" si="272"/>
        <v>0.06</v>
      </c>
      <c r="G358" s="62">
        <f t="shared" si="273"/>
        <v>0.06</v>
      </c>
      <c r="H358" s="62">
        <f t="shared" si="274"/>
        <v>0.06</v>
      </c>
      <c r="I358" s="62">
        <f t="shared" si="275"/>
        <v>0.06</v>
      </c>
      <c r="J358" s="62">
        <f t="shared" si="276"/>
        <v>0.06</v>
      </c>
      <c r="K358" s="62">
        <f t="shared" si="277"/>
        <v>0.06</v>
      </c>
      <c r="L358" s="62">
        <f t="shared" si="278"/>
        <v>0.06</v>
      </c>
      <c r="M358" s="62">
        <f t="shared" si="279"/>
        <v>0.06</v>
      </c>
      <c r="N358" s="62">
        <f t="shared" si="280"/>
        <v>0.06</v>
      </c>
      <c r="O358" s="62">
        <f t="shared" si="281"/>
        <v>0.06</v>
      </c>
      <c r="P358" s="62">
        <f t="shared" si="282"/>
        <v>0.06</v>
      </c>
      <c r="Q358" s="62">
        <f t="shared" si="283"/>
        <v>0.06</v>
      </c>
      <c r="R358" s="62">
        <f t="shared" si="284"/>
        <v>0.06</v>
      </c>
      <c r="S358" s="62">
        <f t="shared" si="285"/>
        <v>0.06</v>
      </c>
      <c r="T358" s="62">
        <f t="shared" si="286"/>
        <v>0.06</v>
      </c>
      <c r="U358" s="62">
        <f t="shared" si="287"/>
        <v>0.06</v>
      </c>
      <c r="V358" s="62">
        <f t="shared" si="288"/>
        <v>0.06</v>
      </c>
      <c r="W358" s="62">
        <f t="shared" si="289"/>
        <v>0.06</v>
      </c>
      <c r="X358" s="62">
        <f t="shared" si="290"/>
        <v>0.06</v>
      </c>
      <c r="Y358" s="62">
        <f t="shared" si="291"/>
        <v>0.06</v>
      </c>
      <c r="Z358" s="62">
        <f t="shared" si="292"/>
        <v>0.06</v>
      </c>
      <c r="AA358" s="62">
        <f t="shared" si="293"/>
        <v>0.06</v>
      </c>
      <c r="AB358" s="62">
        <f t="shared" si="294"/>
        <v>0.06</v>
      </c>
      <c r="AC358" s="62">
        <f t="shared" si="295"/>
        <v>0.06</v>
      </c>
    </row>
    <row r="359" spans="1:29" x14ac:dyDescent="0.25">
      <c r="A359" s="30" t="str">
        <f t="shared" si="267"/>
        <v>Opex fix (admin, crew, insurance)</v>
      </c>
      <c r="B359" s="62">
        <f t="shared" si="268"/>
        <v>70000</v>
      </c>
      <c r="C359" s="62">
        <f t="shared" si="269"/>
        <v>70000</v>
      </c>
      <c r="D359" s="62">
        <f t="shared" si="270"/>
        <v>70000</v>
      </c>
      <c r="E359" s="62">
        <f t="shared" si="271"/>
        <v>70000</v>
      </c>
      <c r="F359" s="62">
        <f t="shared" si="272"/>
        <v>70000</v>
      </c>
      <c r="G359" s="62">
        <f t="shared" si="273"/>
        <v>70000</v>
      </c>
      <c r="H359" s="62">
        <f t="shared" si="274"/>
        <v>70000</v>
      </c>
      <c r="I359" s="62">
        <f t="shared" si="275"/>
        <v>70000</v>
      </c>
      <c r="J359" s="62">
        <f t="shared" si="276"/>
        <v>70000</v>
      </c>
      <c r="K359" s="62">
        <f t="shared" si="277"/>
        <v>70000</v>
      </c>
      <c r="L359" s="62">
        <f t="shared" si="278"/>
        <v>70000</v>
      </c>
      <c r="M359" s="62">
        <f t="shared" si="279"/>
        <v>70000</v>
      </c>
      <c r="N359" s="62">
        <f t="shared" si="280"/>
        <v>70000</v>
      </c>
      <c r="O359" s="62">
        <f t="shared" si="281"/>
        <v>70000</v>
      </c>
      <c r="P359" s="62">
        <f t="shared" si="282"/>
        <v>70000</v>
      </c>
      <c r="Q359" s="62">
        <f t="shared" si="283"/>
        <v>70000</v>
      </c>
      <c r="R359" s="62">
        <f t="shared" si="284"/>
        <v>70000</v>
      </c>
      <c r="S359" s="62">
        <f t="shared" si="285"/>
        <v>70000</v>
      </c>
      <c r="T359" s="62">
        <f t="shared" si="286"/>
        <v>70000</v>
      </c>
      <c r="U359" s="62">
        <f t="shared" si="287"/>
        <v>70000</v>
      </c>
      <c r="V359" s="62">
        <f t="shared" si="288"/>
        <v>70000</v>
      </c>
      <c r="W359" s="62">
        <f t="shared" si="289"/>
        <v>70000</v>
      </c>
      <c r="X359" s="62">
        <f t="shared" si="290"/>
        <v>70000</v>
      </c>
      <c r="Y359" s="62">
        <f t="shared" si="291"/>
        <v>70000</v>
      </c>
      <c r="Z359" s="62">
        <f t="shared" si="292"/>
        <v>70000</v>
      </c>
      <c r="AA359" s="62">
        <f t="shared" si="293"/>
        <v>70000</v>
      </c>
      <c r="AB359" s="62">
        <f t="shared" si="294"/>
        <v>70000</v>
      </c>
      <c r="AC359" s="62">
        <f t="shared" si="295"/>
        <v>70000</v>
      </c>
    </row>
    <row r="360" spans="1:29" x14ac:dyDescent="0.25">
      <c r="A360" s="30" t="str">
        <f t="shared" si="267"/>
        <v>Opex maintenance &amp; repair</v>
      </c>
      <c r="B360" s="62">
        <f t="shared" si="268"/>
        <v>15000</v>
      </c>
      <c r="C360" s="62">
        <f t="shared" si="269"/>
        <v>15000</v>
      </c>
      <c r="D360" s="62">
        <f t="shared" si="270"/>
        <v>15000</v>
      </c>
      <c r="E360" s="62">
        <f t="shared" si="271"/>
        <v>15000</v>
      </c>
      <c r="F360" s="62">
        <f t="shared" si="272"/>
        <v>15000</v>
      </c>
      <c r="G360" s="62">
        <f t="shared" si="273"/>
        <v>15000</v>
      </c>
      <c r="H360" s="62">
        <f t="shared" si="274"/>
        <v>15000</v>
      </c>
      <c r="I360" s="62">
        <f t="shared" si="275"/>
        <v>15000</v>
      </c>
      <c r="J360" s="62">
        <f t="shared" si="276"/>
        <v>15000</v>
      </c>
      <c r="K360" s="62">
        <f t="shared" si="277"/>
        <v>15000</v>
      </c>
      <c r="L360" s="62">
        <f t="shared" si="278"/>
        <v>15000</v>
      </c>
      <c r="M360" s="62">
        <f t="shared" si="279"/>
        <v>15000</v>
      </c>
      <c r="N360" s="62">
        <f t="shared" si="280"/>
        <v>15000</v>
      </c>
      <c r="O360" s="62">
        <f t="shared" si="281"/>
        <v>15000</v>
      </c>
      <c r="P360" s="62">
        <f t="shared" si="282"/>
        <v>15000</v>
      </c>
      <c r="Q360" s="62">
        <f t="shared" si="283"/>
        <v>15000</v>
      </c>
      <c r="R360" s="62">
        <f t="shared" si="284"/>
        <v>15000</v>
      </c>
      <c r="S360" s="62">
        <f t="shared" si="285"/>
        <v>15000</v>
      </c>
      <c r="T360" s="62">
        <f t="shared" si="286"/>
        <v>15000</v>
      </c>
      <c r="U360" s="62">
        <f t="shared" si="287"/>
        <v>15000</v>
      </c>
      <c r="V360" s="62">
        <f t="shared" si="288"/>
        <v>15000</v>
      </c>
      <c r="W360" s="62">
        <f t="shared" si="289"/>
        <v>15000</v>
      </c>
      <c r="X360" s="62">
        <f t="shared" si="290"/>
        <v>15000</v>
      </c>
      <c r="Y360" s="62">
        <f t="shared" si="291"/>
        <v>15000</v>
      </c>
      <c r="Z360" s="62">
        <f t="shared" si="292"/>
        <v>15000</v>
      </c>
      <c r="AA360" s="62">
        <f t="shared" si="293"/>
        <v>15000</v>
      </c>
      <c r="AB360" s="62">
        <f t="shared" si="294"/>
        <v>15000</v>
      </c>
      <c r="AC360" s="62">
        <f t="shared" si="295"/>
        <v>15000</v>
      </c>
    </row>
    <row r="361" spans="1:29" x14ac:dyDescent="0.25">
      <c r="A361" s="30" t="str">
        <f t="shared" si="267"/>
        <v>Opex var (mode-fees)</v>
      </c>
      <c r="B361" s="62">
        <f t="shared" si="268"/>
        <v>0.11</v>
      </c>
      <c r="C361" s="62">
        <f t="shared" si="269"/>
        <v>0.11</v>
      </c>
      <c r="D361" s="62">
        <f t="shared" si="270"/>
        <v>0.11</v>
      </c>
      <c r="E361" s="62">
        <f t="shared" si="271"/>
        <v>0.11</v>
      </c>
      <c r="F361" s="62">
        <f t="shared" si="272"/>
        <v>0.11</v>
      </c>
      <c r="G361" s="62">
        <f t="shared" si="273"/>
        <v>0.11</v>
      </c>
      <c r="H361" s="62">
        <f t="shared" si="274"/>
        <v>0.11</v>
      </c>
      <c r="I361" s="62">
        <f t="shared" si="275"/>
        <v>0.11</v>
      </c>
      <c r="J361" s="62">
        <f t="shared" si="276"/>
        <v>0.11</v>
      </c>
      <c r="K361" s="62">
        <f t="shared" si="277"/>
        <v>0.11</v>
      </c>
      <c r="L361" s="62">
        <f t="shared" si="278"/>
        <v>0.11</v>
      </c>
      <c r="M361" s="62">
        <f t="shared" si="279"/>
        <v>0.11</v>
      </c>
      <c r="N361" s="62">
        <f t="shared" si="280"/>
        <v>0.11</v>
      </c>
      <c r="O361" s="62">
        <f t="shared" si="281"/>
        <v>0.11</v>
      </c>
      <c r="P361" s="62">
        <f t="shared" si="282"/>
        <v>0.11</v>
      </c>
      <c r="Q361" s="62">
        <f t="shared" si="283"/>
        <v>0.11</v>
      </c>
      <c r="R361" s="62">
        <f t="shared" si="284"/>
        <v>0.11</v>
      </c>
      <c r="S361" s="62">
        <f t="shared" si="285"/>
        <v>0.11</v>
      </c>
      <c r="T361" s="62">
        <f t="shared" si="286"/>
        <v>0.11</v>
      </c>
      <c r="U361" s="62">
        <f t="shared" si="287"/>
        <v>0.11</v>
      </c>
      <c r="V361" s="62">
        <f t="shared" si="288"/>
        <v>0.11</v>
      </c>
      <c r="W361" s="62">
        <f t="shared" si="289"/>
        <v>0.11</v>
      </c>
      <c r="X361" s="62">
        <f t="shared" si="290"/>
        <v>0.11</v>
      </c>
      <c r="Y361" s="62">
        <f t="shared" si="291"/>
        <v>0.11</v>
      </c>
      <c r="Z361" s="62">
        <f t="shared" si="292"/>
        <v>0.11</v>
      </c>
      <c r="AA361" s="62">
        <f t="shared" si="293"/>
        <v>0.11</v>
      </c>
      <c r="AB361" s="62">
        <f t="shared" si="294"/>
        <v>0.11</v>
      </c>
      <c r="AC361" s="62">
        <f t="shared" si="295"/>
        <v>0.11</v>
      </c>
    </row>
    <row r="362" spans="1:29" x14ac:dyDescent="0.25">
      <c r="A362" s="30" t="str">
        <f t="shared" si="267"/>
        <v>Fuel Economy</v>
      </c>
      <c r="B362" s="62">
        <f t="shared" si="268"/>
        <v>1.499963712475392</v>
      </c>
      <c r="C362" s="62">
        <f t="shared" si="269"/>
        <v>1.4917703325555236</v>
      </c>
      <c r="D362" s="62">
        <f t="shared" si="270"/>
        <v>1.4805375152003362</v>
      </c>
      <c r="E362" s="62">
        <f t="shared" si="271"/>
        <v>1.4654418123350099</v>
      </c>
      <c r="F362" s="62">
        <f t="shared" si="272"/>
        <v>1.4457088124147084</v>
      </c>
      <c r="G362" s="62">
        <f t="shared" si="273"/>
        <v>1.4208584343249755</v>
      </c>
      <c r="H362" s="62">
        <f t="shared" si="274"/>
        <v>1.3910386939475108</v>
      </c>
      <c r="I362" s="62">
        <f t="shared" si="275"/>
        <v>1.3573193171591433</v>
      </c>
      <c r="J362" s="62">
        <f t="shared" si="276"/>
        <v>1.3217219094307857</v>
      </c>
      <c r="K362" s="62">
        <f t="shared" si="277"/>
        <v>1.2868249921034385</v>
      </c>
      <c r="L362" s="62">
        <f t="shared" si="278"/>
        <v>1.2550576099577553</v>
      </c>
      <c r="M362" s="62">
        <f t="shared" si="279"/>
        <v>1.2280598588961356</v>
      </c>
      <c r="N362" s="62">
        <f t="shared" si="280"/>
        <v>1.2064394953190534</v>
      </c>
      <c r="O362" s="62">
        <f t="shared" si="281"/>
        <v>1.1899421983295269</v>
      </c>
      <c r="P362" s="62">
        <f t="shared" si="282"/>
        <v>1.1778153619570939</v>
      </c>
      <c r="Q362" s="62">
        <f t="shared" si="283"/>
        <v>1.1691448493856758</v>
      </c>
      <c r="R362" s="62">
        <f t="shared" si="284"/>
        <v>1.1630681005313779</v>
      </c>
      <c r="S362" s="62">
        <f t="shared" si="285"/>
        <v>1.1588686935668835</v>
      </c>
      <c r="T362" s="62">
        <f t="shared" si="286"/>
        <v>1.1559948301166041</v>
      </c>
      <c r="U362" s="62">
        <f t="shared" si="287"/>
        <v>1.1540412290087201</v>
      </c>
      <c r="V362" s="62">
        <f t="shared" si="288"/>
        <v>1.1527192488775253</v>
      </c>
      <c r="W362" s="62">
        <f t="shared" si="289"/>
        <v>1.151827439700847</v>
      </c>
      <c r="X362" s="62">
        <f t="shared" si="290"/>
        <v>1.1512270781932392</v>
      </c>
      <c r="Y362" s="62">
        <f t="shared" si="291"/>
        <v>1.150823485399427</v>
      </c>
      <c r="Z362" s="62">
        <f t="shared" si="292"/>
        <v>1.1505524266020779</v>
      </c>
      <c r="AA362" s="62">
        <f t="shared" si="293"/>
        <v>1.1503704951156655</v>
      </c>
      <c r="AB362" s="62">
        <f t="shared" si="294"/>
        <v>1.1502484368709109</v>
      </c>
      <c r="AC362" s="62">
        <f t="shared" si="295"/>
        <v>1.1501665711352707</v>
      </c>
    </row>
    <row r="363" spans="1:29" x14ac:dyDescent="0.25">
      <c r="A363" s="30" t="str">
        <f t="shared" si="267"/>
        <v>Fuel Cost</v>
      </c>
      <c r="B363" s="62">
        <f t="shared" si="268"/>
        <v>0.1331013876427829</v>
      </c>
      <c r="C363" s="62">
        <f t="shared" si="269"/>
        <v>0.13284065209015961</v>
      </c>
      <c r="D363" s="62">
        <f t="shared" si="270"/>
        <v>0.13247044498234223</v>
      </c>
      <c r="E363" s="62">
        <f t="shared" si="271"/>
        <v>0.13194719281007408</v>
      </c>
      <c r="F363" s="62">
        <f t="shared" si="272"/>
        <v>0.13121255620046077</v>
      </c>
      <c r="G363" s="62">
        <f t="shared" si="273"/>
        <v>0.13019114463175094</v>
      </c>
      <c r="H363" s="62">
        <f t="shared" si="274"/>
        <v>0.12879082758213251</v>
      </c>
      <c r="I363" s="62">
        <f t="shared" si="275"/>
        <v>0.126908951519354</v>
      </c>
      <c r="J363" s="62">
        <f t="shared" si="276"/>
        <v>0.12444897595358409</v>
      </c>
      <c r="K363" s="62">
        <f t="shared" si="277"/>
        <v>0.12135105251833415</v>
      </c>
      <c r="L363" s="62">
        <f t="shared" si="278"/>
        <v>0.11763363332194038</v>
      </c>
      <c r="M363" s="62">
        <f t="shared" si="279"/>
        <v>0.11343007363373329</v>
      </c>
      <c r="N363" s="62">
        <f t="shared" si="280"/>
        <v>0.10899239291766451</v>
      </c>
      <c r="O363" s="62">
        <f t="shared" si="281"/>
        <v>0.10464203745763898</v>
      </c>
      <c r="P363" s="62">
        <f t="shared" si="282"/>
        <v>0.10068181933659913</v>
      </c>
      <c r="Q363" s="62">
        <f t="shared" si="283"/>
        <v>9.7316197879620536E-2</v>
      </c>
      <c r="R363" s="62">
        <f t="shared" si="284"/>
        <v>9.4620937841233446E-2</v>
      </c>
      <c r="S363" s="62">
        <f t="shared" si="285"/>
        <v>9.2564334807767046E-2</v>
      </c>
      <c r="T363" s="62">
        <f t="shared" si="286"/>
        <v>9.1052566638367527E-2</v>
      </c>
      <c r="U363" s="62">
        <f t="shared" si="287"/>
        <v>8.9971674267489546E-2</v>
      </c>
      <c r="V363" s="62">
        <f t="shared" si="288"/>
        <v>8.9214128341311663E-2</v>
      </c>
      <c r="W363" s="62">
        <f t="shared" si="289"/>
        <v>8.8690617543911193E-2</v>
      </c>
      <c r="X363" s="62">
        <f t="shared" si="290"/>
        <v>8.833235301770638E-2</v>
      </c>
      <c r="Y363" s="62">
        <f t="shared" si="291"/>
        <v>8.8088811183719362E-2</v>
      </c>
      <c r="Z363" s="62">
        <f t="shared" si="292"/>
        <v>8.7924009134648928E-2</v>
      </c>
      <c r="AA363" s="62">
        <f t="shared" si="293"/>
        <v>8.7812833500289317E-2</v>
      </c>
      <c r="AB363" s="62">
        <f t="shared" si="294"/>
        <v>8.7737990615512101E-2</v>
      </c>
      <c r="AC363" s="62">
        <f t="shared" si="295"/>
        <v>8.768767751485286E-2</v>
      </c>
    </row>
    <row r="364" spans="1:29" x14ac:dyDescent="0.25">
      <c r="A364" s="30" t="str">
        <f t="shared" ref="A364" si="296">A344</f>
        <v>Emission Cost</v>
      </c>
      <c r="B364" s="66">
        <f>$B344+($C344-$B344)*(1-Q344)</f>
        <v>3.5122691839304448E-3</v>
      </c>
      <c r="C364" s="66">
        <f t="shared" ref="C364" si="297">$B344+($C344-$B344)*(1-R344)</f>
        <v>3.5089246478970256E-3</v>
      </c>
      <c r="D364" s="66">
        <f t="shared" ref="D364" si="298">$B344+($C344-$B344)*(1-S344)</f>
        <v>3.5041370190587195E-3</v>
      </c>
      <c r="E364" s="66">
        <f t="shared" ref="E364" si="299">$B344+($C344-$B344)*(1-T344)</f>
        <v>3.4972879793244123E-3</v>
      </c>
      <c r="F364" s="66">
        <f t="shared" ref="F364" si="300">$B344+($C344-$B344)*(1-U344)</f>
        <v>3.4874991902284352E-3</v>
      </c>
      <c r="G364" s="66">
        <f t="shared" ref="G364" si="301">$B344+($C344-$B344)*(1-V344)</f>
        <v>3.4735284727434282E-3</v>
      </c>
      <c r="H364" s="66">
        <f t="shared" ref="H364" si="302">$B344+($C344-$B344)*(1-W344)</f>
        <v>3.4536307436526109E-3</v>
      </c>
      <c r="I364" s="66">
        <f t="shared" ref="I364" si="303">$B344+($C344-$B344)*(1-X344)</f>
        <v>3.4253788207186963E-3</v>
      </c>
      <c r="J364" s="66">
        <f t="shared" ref="J364" si="304">$B344+($C344-$B344)*(1-Y344)</f>
        <v>3.3854474424880663E-3</v>
      </c>
      <c r="K364" s="66">
        <f t="shared" ref="K364" si="305">$B344+($C344-$B344)*(1-Z344)</f>
        <v>3.3293845078740006E-3</v>
      </c>
      <c r="L364" s="66">
        <f t="shared" ref="L364" si="306">$B344+($C344-$B344)*(1-AA344)</f>
        <v>3.251436677284981E-3</v>
      </c>
      <c r="M364" s="66">
        <f t="shared" ref="M364" si="307">$B344+($C344-$B344)*(1-AB344)</f>
        <v>3.1445731175815781E-3</v>
      </c>
      <c r="N364" s="66">
        <f t="shared" ref="N364" si="308">$B344+($C344-$B344)*(1-AC344)</f>
        <v>3.0009599443763112E-3</v>
      </c>
      <c r="O364" s="66">
        <f t="shared" ref="O364" si="309">$B344+($C344-$B344)*(1-AD344)</f>
        <v>2.813229782972361E-3</v>
      </c>
      <c r="P364" s="66">
        <f t="shared" ref="P364" si="310">$B344+($C344-$B344)*(1-AE344)</f>
        <v>2.5768153751997672E-3</v>
      </c>
      <c r="Q364" s="66">
        <f t="shared" ref="Q364" si="311">$B344+($C344-$B344)*(1-AF344)</f>
        <v>2.2931248721492917E-3</v>
      </c>
      <c r="R364" s="66">
        <f t="shared" ref="R364" si="312">$B344+($C344-$B344)*(1-AG344)</f>
        <v>1.9723351254059053E-3</v>
      </c>
      <c r="S364" s="66">
        <f t="shared" ref="S364" si="313">$B344+($C344-$B344)*(1-AH344)</f>
        <v>1.6336787059361244E-3</v>
      </c>
      <c r="T364" s="66">
        <f t="shared" ref="T364" si="314">$B344+($C344-$B344)*(1-AI344)</f>
        <v>1.3016864113624426E-3</v>
      </c>
      <c r="U364" s="66">
        <f t="shared" ref="U364" si="315">$B344+($C344-$B344)*(1-AJ344)</f>
        <v>9.9946699203053851E-4</v>
      </c>
      <c r="V364" s="66">
        <f t="shared" ref="V364" si="316">$B344+($C344-$B344)*(1-AK344)</f>
        <v>7.4262352247134438E-4</v>
      </c>
      <c r="W364" s="66">
        <f t="shared" ref="W364" si="317">$B344+($C344-$B344)*(1-AL344)</f>
        <v>5.3693790141369664E-4</v>
      </c>
      <c r="X364" s="66">
        <f t="shared" ref="X364" si="318">$B344+($C344-$B344)*(1-AM344)</f>
        <v>3.7999064356739184E-4</v>
      </c>
      <c r="Y364" s="66">
        <f t="shared" ref="Y364" si="319">$B344+($C344-$B344)*(1-AN344)</f>
        <v>2.646218218620832E-4</v>
      </c>
      <c r="Z364" s="66">
        <f t="shared" ref="Z364" si="320">$B344+($C344-$B344)*(1-AO344)</f>
        <v>1.8213478334480789E-4</v>
      </c>
      <c r="AA364" s="66">
        <f t="shared" ref="AA364" si="321">$B344+($C344-$B344)*(1-AP344)</f>
        <v>1.2432355100121771E-4</v>
      </c>
      <c r="AB364" s="66">
        <f t="shared" ref="AB364" si="322">$B344+($C344-$B344)*(1-AQ344)</f>
        <v>8.4372436095756821E-5</v>
      </c>
      <c r="AC364" s="66">
        <f t="shared" ref="AC364" si="323">$B344+($C344-$B344)*(1-AR344)</f>
        <v>5.7031897325531943E-5</v>
      </c>
    </row>
    <row r="365" spans="1:29" x14ac:dyDescent="0.25">
      <c r="A365" s="30" t="str">
        <f>A345</f>
        <v>Lifetime vehicle</v>
      </c>
      <c r="B365" s="62">
        <f>$B345+($C345-$B345)*(1-Q345)</f>
        <v>8</v>
      </c>
      <c r="C365" s="62">
        <f t="shared" ref="C365:L367" si="324">$B345+($C345-$B345)*(1-R345)</f>
        <v>8</v>
      </c>
      <c r="D365" s="62">
        <f t="shared" si="324"/>
        <v>8</v>
      </c>
      <c r="E365" s="62">
        <f t="shared" si="324"/>
        <v>8</v>
      </c>
      <c r="F365" s="62">
        <f t="shared" si="324"/>
        <v>8</v>
      </c>
      <c r="G365" s="62">
        <f t="shared" si="324"/>
        <v>8</v>
      </c>
      <c r="H365" s="62">
        <f t="shared" si="324"/>
        <v>8</v>
      </c>
      <c r="I365" s="62">
        <f t="shared" si="324"/>
        <v>8</v>
      </c>
      <c r="J365" s="62">
        <f t="shared" si="324"/>
        <v>8</v>
      </c>
      <c r="K365" s="62">
        <f t="shared" si="324"/>
        <v>8</v>
      </c>
      <c r="L365" s="62">
        <f t="shared" si="324"/>
        <v>8</v>
      </c>
      <c r="M365" s="62">
        <f t="shared" ref="M365:V367" si="325">$B345+($C345-$B345)*(1-AB345)</f>
        <v>8</v>
      </c>
      <c r="N365" s="62">
        <f t="shared" si="325"/>
        <v>8</v>
      </c>
      <c r="O365" s="62">
        <f t="shared" si="325"/>
        <v>8</v>
      </c>
      <c r="P365" s="62">
        <f t="shared" si="325"/>
        <v>8</v>
      </c>
      <c r="Q365" s="62">
        <f t="shared" si="325"/>
        <v>8</v>
      </c>
      <c r="R365" s="62">
        <f t="shared" si="325"/>
        <v>8</v>
      </c>
      <c r="S365" s="62">
        <f t="shared" si="325"/>
        <v>8</v>
      </c>
      <c r="T365" s="62">
        <f t="shared" si="325"/>
        <v>8</v>
      </c>
      <c r="U365" s="62">
        <f t="shared" si="325"/>
        <v>8</v>
      </c>
      <c r="V365" s="62">
        <f t="shared" si="325"/>
        <v>8</v>
      </c>
      <c r="W365" s="62">
        <f t="shared" ref="W365:AC367" si="326">$B345+($C345-$B345)*(1-AL345)</f>
        <v>8</v>
      </c>
      <c r="X365" s="62">
        <f t="shared" si="326"/>
        <v>8</v>
      </c>
      <c r="Y365" s="62">
        <f t="shared" si="326"/>
        <v>8</v>
      </c>
      <c r="Z365" s="62">
        <f t="shared" si="326"/>
        <v>8</v>
      </c>
      <c r="AA365" s="62">
        <f t="shared" si="326"/>
        <v>8</v>
      </c>
      <c r="AB365" s="62">
        <f t="shared" si="326"/>
        <v>8</v>
      </c>
      <c r="AC365" s="62">
        <f t="shared" si="326"/>
        <v>8</v>
      </c>
    </row>
    <row r="366" spans="1:29" x14ac:dyDescent="0.25">
      <c r="A366" s="30" t="str">
        <f>A346</f>
        <v>Lifetime costumization</v>
      </c>
      <c r="B366" s="62">
        <f>$B346+($C346-$B346)*(1-Q346)</f>
        <v>10</v>
      </c>
      <c r="C366" s="62">
        <f t="shared" si="324"/>
        <v>10</v>
      </c>
      <c r="D366" s="62">
        <f t="shared" si="324"/>
        <v>10</v>
      </c>
      <c r="E366" s="62">
        <f t="shared" si="324"/>
        <v>10</v>
      </c>
      <c r="F366" s="62">
        <f t="shared" si="324"/>
        <v>10</v>
      </c>
      <c r="G366" s="62">
        <f t="shared" si="324"/>
        <v>10</v>
      </c>
      <c r="H366" s="62">
        <f t="shared" si="324"/>
        <v>10</v>
      </c>
      <c r="I366" s="62">
        <f t="shared" si="324"/>
        <v>10</v>
      </c>
      <c r="J366" s="62">
        <f t="shared" si="324"/>
        <v>10</v>
      </c>
      <c r="K366" s="62">
        <f t="shared" si="324"/>
        <v>10</v>
      </c>
      <c r="L366" s="62">
        <f t="shared" si="324"/>
        <v>10</v>
      </c>
      <c r="M366" s="62">
        <f t="shared" si="325"/>
        <v>10</v>
      </c>
      <c r="N366" s="62">
        <f t="shared" si="325"/>
        <v>10</v>
      </c>
      <c r="O366" s="62">
        <f t="shared" si="325"/>
        <v>10</v>
      </c>
      <c r="P366" s="62">
        <f t="shared" si="325"/>
        <v>10</v>
      </c>
      <c r="Q366" s="62">
        <f t="shared" si="325"/>
        <v>10</v>
      </c>
      <c r="R366" s="62">
        <f t="shared" si="325"/>
        <v>10</v>
      </c>
      <c r="S366" s="62">
        <f t="shared" si="325"/>
        <v>10</v>
      </c>
      <c r="T366" s="62">
        <f t="shared" si="325"/>
        <v>10</v>
      </c>
      <c r="U366" s="62">
        <f t="shared" si="325"/>
        <v>10</v>
      </c>
      <c r="V366" s="62">
        <f t="shared" si="325"/>
        <v>10</v>
      </c>
      <c r="W366" s="62">
        <f t="shared" si="326"/>
        <v>10</v>
      </c>
      <c r="X366" s="62">
        <f t="shared" si="326"/>
        <v>10</v>
      </c>
      <c r="Y366" s="62">
        <f t="shared" si="326"/>
        <v>10</v>
      </c>
      <c r="Z366" s="62">
        <f t="shared" si="326"/>
        <v>10</v>
      </c>
      <c r="AA366" s="62">
        <f t="shared" si="326"/>
        <v>10</v>
      </c>
      <c r="AB366" s="62">
        <f t="shared" si="326"/>
        <v>10</v>
      </c>
      <c r="AC366" s="62">
        <f t="shared" si="326"/>
        <v>10</v>
      </c>
    </row>
    <row r="367" spans="1:29" x14ac:dyDescent="0.25">
      <c r="A367" s="30" t="str">
        <f>A347</f>
        <v>Tonnage .</v>
      </c>
      <c r="B367" s="62">
        <f>$B347+($C347-$B347)*(1-Q347)</f>
        <v>25</v>
      </c>
      <c r="C367" s="62">
        <f t="shared" si="324"/>
        <v>25</v>
      </c>
      <c r="D367" s="62">
        <f t="shared" si="324"/>
        <v>25</v>
      </c>
      <c r="E367" s="62">
        <f t="shared" si="324"/>
        <v>25</v>
      </c>
      <c r="F367" s="62">
        <f t="shared" si="324"/>
        <v>25</v>
      </c>
      <c r="G367" s="62">
        <f t="shared" si="324"/>
        <v>25</v>
      </c>
      <c r="H367" s="62">
        <f t="shared" si="324"/>
        <v>25</v>
      </c>
      <c r="I367" s="62">
        <f t="shared" si="324"/>
        <v>25</v>
      </c>
      <c r="J367" s="62">
        <f t="shared" si="324"/>
        <v>25</v>
      </c>
      <c r="K367" s="62">
        <f t="shared" si="324"/>
        <v>25</v>
      </c>
      <c r="L367" s="62">
        <f t="shared" si="324"/>
        <v>25</v>
      </c>
      <c r="M367" s="62">
        <f t="shared" si="325"/>
        <v>25</v>
      </c>
      <c r="N367" s="62">
        <f t="shared" si="325"/>
        <v>25</v>
      </c>
      <c r="O367" s="62">
        <f t="shared" si="325"/>
        <v>25</v>
      </c>
      <c r="P367" s="62">
        <f t="shared" si="325"/>
        <v>25</v>
      </c>
      <c r="Q367" s="62">
        <f t="shared" si="325"/>
        <v>25</v>
      </c>
      <c r="R367" s="62">
        <f t="shared" si="325"/>
        <v>25</v>
      </c>
      <c r="S367" s="62">
        <f t="shared" si="325"/>
        <v>25</v>
      </c>
      <c r="T367" s="62">
        <f t="shared" si="325"/>
        <v>25</v>
      </c>
      <c r="U367" s="62">
        <f t="shared" si="325"/>
        <v>25</v>
      </c>
      <c r="V367" s="62">
        <f t="shared" si="325"/>
        <v>25</v>
      </c>
      <c r="W367" s="62">
        <f t="shared" si="326"/>
        <v>25</v>
      </c>
      <c r="X367" s="62">
        <f t="shared" si="326"/>
        <v>25</v>
      </c>
      <c r="Y367" s="62">
        <f t="shared" si="326"/>
        <v>25</v>
      </c>
      <c r="Z367" s="62">
        <f t="shared" si="326"/>
        <v>25</v>
      </c>
      <c r="AA367" s="62">
        <f t="shared" si="326"/>
        <v>25</v>
      </c>
      <c r="AB367" s="62">
        <f t="shared" si="326"/>
        <v>25</v>
      </c>
      <c r="AC367" s="62">
        <f t="shared" si="326"/>
        <v>25</v>
      </c>
    </row>
    <row r="368" spans="1:29" x14ac:dyDescent="0.25">
      <c r="A368" s="30" t="str">
        <f>A348</f>
        <v>Market failure (av. utilization)</v>
      </c>
      <c r="B368" s="62">
        <f t="shared" ref="B368:K369" si="327">($B348+($C348-$B348)*(1-Q348))*B$44</f>
        <v>15.333333333333336</v>
      </c>
      <c r="C368" s="62">
        <f t="shared" si="327"/>
        <v>15.333333333333336</v>
      </c>
      <c r="D368" s="62">
        <f t="shared" si="327"/>
        <v>15.333333333333336</v>
      </c>
      <c r="E368" s="62">
        <f t="shared" si="327"/>
        <v>15.333333333333336</v>
      </c>
      <c r="F368" s="62">
        <f t="shared" si="327"/>
        <v>15.333333333333336</v>
      </c>
      <c r="G368" s="62">
        <f t="shared" si="327"/>
        <v>15.333333333333336</v>
      </c>
      <c r="H368" s="62">
        <f t="shared" si="327"/>
        <v>15.333333333333336</v>
      </c>
      <c r="I368" s="62">
        <f t="shared" si="327"/>
        <v>15.333333333333336</v>
      </c>
      <c r="J368" s="62">
        <f t="shared" si="327"/>
        <v>15.333333333333336</v>
      </c>
      <c r="K368" s="62">
        <f t="shared" si="327"/>
        <v>15.333333333333336</v>
      </c>
      <c r="L368" s="62">
        <f t="shared" ref="L368:U369" si="328">($B348+($C348-$B348)*(1-AA348))*L$44</f>
        <v>15.333333333333336</v>
      </c>
      <c r="M368" s="62">
        <f t="shared" si="328"/>
        <v>15.333333333333336</v>
      </c>
      <c r="N368" s="62">
        <f t="shared" si="328"/>
        <v>15.333333333333336</v>
      </c>
      <c r="O368" s="62">
        <f t="shared" si="328"/>
        <v>15.333333333333336</v>
      </c>
      <c r="P368" s="62">
        <f t="shared" si="328"/>
        <v>15.333333333333336</v>
      </c>
      <c r="Q368" s="62">
        <f t="shared" si="328"/>
        <v>15.333333333333336</v>
      </c>
      <c r="R368" s="62">
        <f t="shared" si="328"/>
        <v>15.333333333333336</v>
      </c>
      <c r="S368" s="62">
        <f t="shared" si="328"/>
        <v>15.333333333333336</v>
      </c>
      <c r="T368" s="62">
        <f t="shared" si="328"/>
        <v>15.333333333333336</v>
      </c>
      <c r="U368" s="62">
        <f t="shared" si="328"/>
        <v>15.333333333333336</v>
      </c>
      <c r="V368" s="62">
        <f t="shared" ref="V368:AC369" si="329">($B348+($C348-$B348)*(1-AK348))*V$44</f>
        <v>15.333333333333336</v>
      </c>
      <c r="W368" s="62">
        <f t="shared" si="329"/>
        <v>15.333333333333336</v>
      </c>
      <c r="X368" s="62">
        <f t="shared" si="329"/>
        <v>15.333333333333336</v>
      </c>
      <c r="Y368" s="62">
        <f t="shared" si="329"/>
        <v>15.333333333333336</v>
      </c>
      <c r="Z368" s="62">
        <f t="shared" si="329"/>
        <v>15.333333333333336</v>
      </c>
      <c r="AA368" s="62">
        <f t="shared" si="329"/>
        <v>15.333333333333336</v>
      </c>
      <c r="AB368" s="62">
        <f t="shared" si="329"/>
        <v>15.333333333333336</v>
      </c>
      <c r="AC368" s="62">
        <f t="shared" si="329"/>
        <v>15.333333333333336</v>
      </c>
    </row>
    <row r="369" spans="1:29" x14ac:dyDescent="0.25">
      <c r="A369" s="30" t="s">
        <v>73</v>
      </c>
      <c r="B369" s="62">
        <f t="shared" si="327"/>
        <v>2.4834973269685467</v>
      </c>
      <c r="C369" s="62">
        <f t="shared" si="327"/>
        <v>2.4764313720357283</v>
      </c>
      <c r="D369" s="62">
        <f t="shared" si="327"/>
        <v>2.4663987289484006</v>
      </c>
      <c r="E369" s="62">
        <f t="shared" si="327"/>
        <v>2.4522185520199096</v>
      </c>
      <c r="F369" s="62">
        <f t="shared" si="327"/>
        <v>2.4323098394438922</v>
      </c>
      <c r="G369" s="62">
        <f t="shared" si="327"/>
        <v>2.4046295018767689</v>
      </c>
      <c r="H369" s="62">
        <f t="shared" si="327"/>
        <v>2.3666807945957307</v>
      </c>
      <c r="I369" s="62">
        <f t="shared" si="327"/>
        <v>2.3156817984290878</v>
      </c>
      <c r="J369" s="62">
        <f t="shared" si="327"/>
        <v>2.2490162581577988</v>
      </c>
      <c r="K369" s="62">
        <f t="shared" si="327"/>
        <v>2.1650622781249176</v>
      </c>
      <c r="L369" s="62">
        <f t="shared" si="328"/>
        <v>2.0643199119848337</v>
      </c>
      <c r="M369" s="62">
        <f t="shared" si="328"/>
        <v>1.9504030985106198</v>
      </c>
      <c r="N369" s="62">
        <f t="shared" si="328"/>
        <v>1.8301415859148171</v>
      </c>
      <c r="O369" s="62">
        <f t="shared" si="328"/>
        <v>1.7122465949440495</v>
      </c>
      <c r="P369" s="62">
        <f t="shared" si="328"/>
        <v>1.6049243579653898</v>
      </c>
      <c r="Q369" s="62">
        <f t="shared" si="328"/>
        <v>1.5137157395139718</v>
      </c>
      <c r="R369" s="62">
        <f t="shared" si="328"/>
        <v>1.4406739706724776</v>
      </c>
      <c r="S369" s="62">
        <f t="shared" si="328"/>
        <v>1.3849398592213749</v>
      </c>
      <c r="T369" s="62">
        <f t="shared" si="328"/>
        <v>1.3439708174226148</v>
      </c>
      <c r="U369" s="62">
        <f t="shared" si="328"/>
        <v>1.3146785452218777</v>
      </c>
      <c r="V369" s="62">
        <f t="shared" si="329"/>
        <v>1.2941489882816826</v>
      </c>
      <c r="W369" s="62">
        <f t="shared" si="329"/>
        <v>1.2799618025908228</v>
      </c>
      <c r="X369" s="62">
        <f t="shared" si="329"/>
        <v>1.2702528044479873</v>
      </c>
      <c r="Y369" s="62">
        <f t="shared" si="329"/>
        <v>1.2636528007051355</v>
      </c>
      <c r="Z369" s="62">
        <f t="shared" si="329"/>
        <v>1.2591866516132615</v>
      </c>
      <c r="AA369" s="62">
        <f t="shared" si="329"/>
        <v>1.2561737827731323</v>
      </c>
      <c r="AB369" s="62">
        <f t="shared" si="329"/>
        <v>1.2541455344366195</v>
      </c>
      <c r="AC369" s="62">
        <f t="shared" si="329"/>
        <v>1.2527820452683351</v>
      </c>
    </row>
    <row r="370" spans="1:29" x14ac:dyDescent="0.25">
      <c r="A370" s="30" t="str">
        <f>A350</f>
        <v>Annual Mileage</v>
      </c>
      <c r="B370" s="62">
        <f t="shared" ref="B370:AC370" si="330">$B350+($C350-$B350)*(1-Q350)</f>
        <v>78000</v>
      </c>
      <c r="C370" s="62">
        <f t="shared" si="330"/>
        <v>78000</v>
      </c>
      <c r="D370" s="62">
        <f t="shared" si="330"/>
        <v>78000</v>
      </c>
      <c r="E370" s="62">
        <f t="shared" si="330"/>
        <v>78000</v>
      </c>
      <c r="F370" s="62">
        <f t="shared" si="330"/>
        <v>78000</v>
      </c>
      <c r="G370" s="62">
        <f t="shared" si="330"/>
        <v>78000</v>
      </c>
      <c r="H370" s="62">
        <f t="shared" si="330"/>
        <v>78000</v>
      </c>
      <c r="I370" s="62">
        <f t="shared" si="330"/>
        <v>78000</v>
      </c>
      <c r="J370" s="62">
        <f t="shared" si="330"/>
        <v>78000</v>
      </c>
      <c r="K370" s="62">
        <f t="shared" si="330"/>
        <v>78000</v>
      </c>
      <c r="L370" s="62">
        <f t="shared" si="330"/>
        <v>78000</v>
      </c>
      <c r="M370" s="62">
        <f t="shared" si="330"/>
        <v>78000</v>
      </c>
      <c r="N370" s="62">
        <f t="shared" si="330"/>
        <v>78000</v>
      </c>
      <c r="O370" s="62">
        <f t="shared" si="330"/>
        <v>78000</v>
      </c>
      <c r="P370" s="62">
        <f t="shared" si="330"/>
        <v>78000</v>
      </c>
      <c r="Q370" s="62">
        <f t="shared" si="330"/>
        <v>78000</v>
      </c>
      <c r="R370" s="62">
        <f t="shared" si="330"/>
        <v>78000</v>
      </c>
      <c r="S370" s="62">
        <f t="shared" si="330"/>
        <v>78000</v>
      </c>
      <c r="T370" s="62">
        <f t="shared" si="330"/>
        <v>78000</v>
      </c>
      <c r="U370" s="62">
        <f t="shared" si="330"/>
        <v>78000</v>
      </c>
      <c r="V370" s="62">
        <f t="shared" si="330"/>
        <v>78000</v>
      </c>
      <c r="W370" s="62">
        <f t="shared" si="330"/>
        <v>78000</v>
      </c>
      <c r="X370" s="62">
        <f t="shared" si="330"/>
        <v>78000</v>
      </c>
      <c r="Y370" s="62">
        <f t="shared" si="330"/>
        <v>78000</v>
      </c>
      <c r="Z370" s="62">
        <f t="shared" si="330"/>
        <v>78000</v>
      </c>
      <c r="AA370" s="62">
        <f t="shared" si="330"/>
        <v>78000</v>
      </c>
      <c r="AB370" s="62">
        <f t="shared" si="330"/>
        <v>78000</v>
      </c>
      <c r="AC370" s="62">
        <f t="shared" si="330"/>
        <v>78000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62190.665101367747</v>
      </c>
      <c r="C373" s="63">
        <f t="shared" ref="C373:AC373" si="331">((1+C358)^C365)*C358/(((1+C358)^C365)-1)*(C354)</f>
        <v>61281.329133767969</v>
      </c>
      <c r="D373" s="63">
        <f t="shared" si="331"/>
        <v>60034.66354051487</v>
      </c>
      <c r="E373" s="63">
        <f t="shared" si="331"/>
        <v>58359.278570466915</v>
      </c>
      <c r="F373" s="63">
        <f t="shared" si="331"/>
        <v>56169.226754041214</v>
      </c>
      <c r="G373" s="63">
        <f t="shared" si="331"/>
        <v>53411.226658055137</v>
      </c>
      <c r="H373" s="63">
        <f t="shared" si="331"/>
        <v>50101.705711276991</v>
      </c>
      <c r="I373" s="63">
        <f t="shared" si="331"/>
        <v>46359.3866172536</v>
      </c>
      <c r="J373" s="63">
        <f t="shared" si="331"/>
        <v>42408.635704041997</v>
      </c>
      <c r="K373" s="63">
        <f t="shared" si="331"/>
        <v>38535.628179130072</v>
      </c>
      <c r="L373" s="63">
        <f t="shared" si="331"/>
        <v>35009.949708941356</v>
      </c>
      <c r="M373" s="63">
        <f t="shared" si="331"/>
        <v>32013.625075549993</v>
      </c>
      <c r="N373" s="63">
        <f t="shared" si="331"/>
        <v>29614.105655542335</v>
      </c>
      <c r="O373" s="63">
        <f t="shared" si="331"/>
        <v>27783.165839804766</v>
      </c>
      <c r="P373" s="63">
        <f t="shared" si="331"/>
        <v>26437.27823365216</v>
      </c>
      <c r="Q373" s="63">
        <f t="shared" si="331"/>
        <v>25474.988065757298</v>
      </c>
      <c r="R373" s="63">
        <f t="shared" si="331"/>
        <v>24800.564768738692</v>
      </c>
      <c r="S373" s="63">
        <f t="shared" si="331"/>
        <v>24334.496817203359</v>
      </c>
      <c r="T373" s="63">
        <f t="shared" si="331"/>
        <v>24015.543292910865</v>
      </c>
      <c r="U373" s="63">
        <f t="shared" si="331"/>
        <v>23798.724376771759</v>
      </c>
      <c r="V373" s="63">
        <f t="shared" si="331"/>
        <v>23652.005428852281</v>
      </c>
      <c r="W373" s="63">
        <f t="shared" si="331"/>
        <v>23553.028673408226</v>
      </c>
      <c r="X373" s="63">
        <f t="shared" si="331"/>
        <v>23486.398013318085</v>
      </c>
      <c r="Y373" s="63">
        <f t="shared" si="331"/>
        <v>23441.605577563019</v>
      </c>
      <c r="Z373" s="63">
        <f t="shared" si="331"/>
        <v>23411.522325452843</v>
      </c>
      <c r="AA373" s="63">
        <f t="shared" si="331"/>
        <v>23391.330799385243</v>
      </c>
      <c r="AB373" s="63">
        <f t="shared" si="331"/>
        <v>23377.784258985215</v>
      </c>
      <c r="AC373" s="63">
        <f t="shared" si="331"/>
        <v>23368.698453290883</v>
      </c>
    </row>
    <row r="374" spans="1:29" x14ac:dyDescent="0.25">
      <c r="A374" s="30" t="str">
        <f>A355</f>
        <v>Residual value (vehicle)</v>
      </c>
      <c r="B374" s="62">
        <f>((1+B358)^B365)*B358/(((1+B358)^B365)-1)*(B355)</f>
        <v>-9455.0461314377717</v>
      </c>
      <c r="C374" s="62">
        <f t="shared" ref="C374:AC374" si="332">((1+C358)^C365)*C358/(((1+C358)^C365)-1)*(C355)</f>
        <v>-9370.3530756319105</v>
      </c>
      <c r="D374" s="62">
        <f t="shared" si="332"/>
        <v>-9254.2420644955928</v>
      </c>
      <c r="E374" s="62">
        <f t="shared" si="332"/>
        <v>-9098.2013074813221</v>
      </c>
      <c r="F374" s="62">
        <f t="shared" si="332"/>
        <v>-8894.2258932063796</v>
      </c>
      <c r="G374" s="62">
        <f t="shared" si="332"/>
        <v>-8637.353335246893</v>
      </c>
      <c r="H374" s="62">
        <f t="shared" si="332"/>
        <v>-8329.1136392234366</v>
      </c>
      <c r="I374" s="62">
        <f t="shared" si="332"/>
        <v>-7980.5643118389062</v>
      </c>
      <c r="J374" s="62">
        <f t="shared" si="332"/>
        <v>-7612.6022169809621</v>
      </c>
      <c r="K374" s="62">
        <f t="shared" si="332"/>
        <v>-7251.8809278960271</v>
      </c>
      <c r="L374" s="62">
        <f t="shared" si="332"/>
        <v>-6923.5089135157077</v>
      </c>
      <c r="M374" s="62">
        <f t="shared" si="332"/>
        <v>-6644.4394623665112</v>
      </c>
      <c r="N374" s="62">
        <f t="shared" si="332"/>
        <v>-6420.9548105030526</v>
      </c>
      <c r="O374" s="62">
        <f t="shared" si="332"/>
        <v>-6250.4261021745533</v>
      </c>
      <c r="P374" s="62">
        <f t="shared" si="332"/>
        <v>-6125.0738251309276</v>
      </c>
      <c r="Q374" s="62">
        <f t="shared" si="332"/>
        <v>-6035.4487604740543</v>
      </c>
      <c r="R374" s="62">
        <f t="shared" si="332"/>
        <v>-5972.6348259478109</v>
      </c>
      <c r="S374" s="62">
        <f t="shared" si="332"/>
        <v>-5929.226536344031</v>
      </c>
      <c r="T374" s="62">
        <f t="shared" si="332"/>
        <v>-5899.5200806501216</v>
      </c>
      <c r="U374" s="62">
        <f t="shared" si="332"/>
        <v>-5879.3261619901059</v>
      </c>
      <c r="V374" s="62">
        <f t="shared" si="332"/>
        <v>-5865.6611619387841</v>
      </c>
      <c r="W374" s="62">
        <f t="shared" si="332"/>
        <v>-5856.442738637621</v>
      </c>
      <c r="X374" s="62">
        <f t="shared" si="332"/>
        <v>-5850.2369418645203</v>
      </c>
      <c r="Y374" s="62">
        <f t="shared" si="332"/>
        <v>-5846.0650973579204</v>
      </c>
      <c r="Z374" s="62">
        <f t="shared" si="332"/>
        <v>-5843.2632258378535</v>
      </c>
      <c r="AA374" s="62">
        <f t="shared" si="332"/>
        <v>-5841.3826425276375</v>
      </c>
      <c r="AB374" s="62">
        <f t="shared" si="332"/>
        <v>-5840.1209549413597</v>
      </c>
      <c r="AC374" s="62">
        <f t="shared" si="332"/>
        <v>-5839.2747279404175</v>
      </c>
    </row>
    <row r="375" spans="1:29" x14ac:dyDescent="0.25">
      <c r="A375" s="30" t="str">
        <f>A356</f>
        <v>Capex costumization</v>
      </c>
      <c r="B375" s="62">
        <f>((1+B358)^B366)*B358/(((1+B358)^B366)-1)*(B356)</f>
        <v>5434.7183288153492</v>
      </c>
      <c r="C375" s="62">
        <f t="shared" ref="C375:AC375" si="333">((1+C358)^C366)*C358/(((1+C358)^C366)-1)*(C356)</f>
        <v>5434.7183288153492</v>
      </c>
      <c r="D375" s="62">
        <f t="shared" si="333"/>
        <v>5434.7183288153492</v>
      </c>
      <c r="E375" s="62">
        <f t="shared" si="333"/>
        <v>5434.7183288153492</v>
      </c>
      <c r="F375" s="62">
        <f t="shared" si="333"/>
        <v>5434.7183288153492</v>
      </c>
      <c r="G375" s="62">
        <f t="shared" si="333"/>
        <v>5434.7183288153492</v>
      </c>
      <c r="H375" s="62">
        <f t="shared" si="333"/>
        <v>5434.7183288153492</v>
      </c>
      <c r="I375" s="62">
        <f t="shared" si="333"/>
        <v>5434.7183288153492</v>
      </c>
      <c r="J375" s="62">
        <f t="shared" si="333"/>
        <v>5434.7183288153492</v>
      </c>
      <c r="K375" s="62">
        <f t="shared" si="333"/>
        <v>5434.7183288153492</v>
      </c>
      <c r="L375" s="62">
        <f t="shared" si="333"/>
        <v>5434.7183288153492</v>
      </c>
      <c r="M375" s="62">
        <f t="shared" si="333"/>
        <v>5434.7183288153492</v>
      </c>
      <c r="N375" s="62">
        <f t="shared" si="333"/>
        <v>5434.7183288153492</v>
      </c>
      <c r="O375" s="62">
        <f t="shared" si="333"/>
        <v>5434.7183288153492</v>
      </c>
      <c r="P375" s="62">
        <f t="shared" si="333"/>
        <v>5434.7183288153492</v>
      </c>
      <c r="Q375" s="62">
        <f t="shared" si="333"/>
        <v>5434.7183288153492</v>
      </c>
      <c r="R375" s="62">
        <f t="shared" si="333"/>
        <v>5434.7183288153492</v>
      </c>
      <c r="S375" s="62">
        <f t="shared" si="333"/>
        <v>5434.7183288153492</v>
      </c>
      <c r="T375" s="62">
        <f t="shared" si="333"/>
        <v>5434.7183288153492</v>
      </c>
      <c r="U375" s="62">
        <f t="shared" si="333"/>
        <v>5434.7183288153492</v>
      </c>
      <c r="V375" s="62">
        <f t="shared" si="333"/>
        <v>5434.7183288153492</v>
      </c>
      <c r="W375" s="62">
        <f t="shared" si="333"/>
        <v>5434.7183288153492</v>
      </c>
      <c r="X375" s="62">
        <f t="shared" si="333"/>
        <v>5434.7183288153492</v>
      </c>
      <c r="Y375" s="62">
        <f t="shared" si="333"/>
        <v>5434.7183288153492</v>
      </c>
      <c r="Z375" s="62">
        <f t="shared" si="333"/>
        <v>5434.7183288153492</v>
      </c>
      <c r="AA375" s="62">
        <f t="shared" si="333"/>
        <v>5434.7183288153492</v>
      </c>
      <c r="AB375" s="62">
        <f t="shared" si="333"/>
        <v>5434.7183288153492</v>
      </c>
      <c r="AC375" s="62">
        <f t="shared" si="333"/>
        <v>5434.7183288153492</v>
      </c>
    </row>
    <row r="376" spans="1:29" x14ac:dyDescent="0.25">
      <c r="A376" s="30" t="str">
        <f>A357</f>
        <v>Residual value (costumization)</v>
      </c>
      <c r="B376" s="62">
        <f>((1+B358)^B366)*B358/(((1+B358)^B366)-1)*(B357)</f>
        <v>-1358.6795822038373</v>
      </c>
      <c r="C376" s="62">
        <f t="shared" ref="C376:AC376" si="334">((1+C358)^C366)*C358/(((1+C358)^C366)-1)*(C357)</f>
        <v>-1358.6795822038373</v>
      </c>
      <c r="D376" s="62">
        <f t="shared" si="334"/>
        <v>-1358.6795822038373</v>
      </c>
      <c r="E376" s="62">
        <f t="shared" si="334"/>
        <v>-1358.6795822038373</v>
      </c>
      <c r="F376" s="62">
        <f t="shared" si="334"/>
        <v>-1358.6795822038373</v>
      </c>
      <c r="G376" s="62">
        <f t="shared" si="334"/>
        <v>-1358.6795822038373</v>
      </c>
      <c r="H376" s="62">
        <f t="shared" si="334"/>
        <v>-1358.6795822038373</v>
      </c>
      <c r="I376" s="62">
        <f t="shared" si="334"/>
        <v>-1358.6795822038373</v>
      </c>
      <c r="J376" s="62">
        <f t="shared" si="334"/>
        <v>-1358.6795822038373</v>
      </c>
      <c r="K376" s="62">
        <f t="shared" si="334"/>
        <v>-1358.6795822038373</v>
      </c>
      <c r="L376" s="62">
        <f t="shared" si="334"/>
        <v>-1358.6795822038373</v>
      </c>
      <c r="M376" s="62">
        <f t="shared" si="334"/>
        <v>-1358.6795822038373</v>
      </c>
      <c r="N376" s="62">
        <f t="shared" si="334"/>
        <v>-1358.6795822038373</v>
      </c>
      <c r="O376" s="62">
        <f t="shared" si="334"/>
        <v>-1358.6795822038373</v>
      </c>
      <c r="P376" s="62">
        <f t="shared" si="334"/>
        <v>-1358.6795822038373</v>
      </c>
      <c r="Q376" s="62">
        <f t="shared" si="334"/>
        <v>-1358.6795822038373</v>
      </c>
      <c r="R376" s="62">
        <f t="shared" si="334"/>
        <v>-1358.6795822038373</v>
      </c>
      <c r="S376" s="62">
        <f t="shared" si="334"/>
        <v>-1358.6795822038373</v>
      </c>
      <c r="T376" s="62">
        <f t="shared" si="334"/>
        <v>-1358.6795822038373</v>
      </c>
      <c r="U376" s="62">
        <f t="shared" si="334"/>
        <v>-1358.6795822038373</v>
      </c>
      <c r="V376" s="62">
        <f t="shared" si="334"/>
        <v>-1358.6795822038373</v>
      </c>
      <c r="W376" s="62">
        <f t="shared" si="334"/>
        <v>-1358.6795822038373</v>
      </c>
      <c r="X376" s="62">
        <f t="shared" si="334"/>
        <v>-1358.6795822038373</v>
      </c>
      <c r="Y376" s="62">
        <f t="shared" si="334"/>
        <v>-1358.6795822038373</v>
      </c>
      <c r="Z376" s="62">
        <f t="shared" si="334"/>
        <v>-1358.6795822038373</v>
      </c>
      <c r="AA376" s="62">
        <f t="shared" si="334"/>
        <v>-1358.6795822038373</v>
      </c>
      <c r="AB376" s="62">
        <f t="shared" si="334"/>
        <v>-1358.6795822038373</v>
      </c>
      <c r="AC376" s="62">
        <f t="shared" si="334"/>
        <v>-1358.6795822038373</v>
      </c>
    </row>
    <row r="377" spans="1:29" x14ac:dyDescent="0.25">
      <c r="A377" s="30" t="str">
        <f t="shared" ref="A377:AC377" si="335">A359</f>
        <v>Opex fix (admin, crew, insurance)</v>
      </c>
      <c r="B377" s="62">
        <f t="shared" si="335"/>
        <v>70000</v>
      </c>
      <c r="C377" s="62">
        <f t="shared" si="335"/>
        <v>70000</v>
      </c>
      <c r="D377" s="62">
        <f t="shared" si="335"/>
        <v>70000</v>
      </c>
      <c r="E377" s="62">
        <f t="shared" si="335"/>
        <v>70000</v>
      </c>
      <c r="F377" s="62">
        <f t="shared" si="335"/>
        <v>70000</v>
      </c>
      <c r="G377" s="62">
        <f t="shared" si="335"/>
        <v>70000</v>
      </c>
      <c r="H377" s="62">
        <f t="shared" si="335"/>
        <v>70000</v>
      </c>
      <c r="I377" s="62">
        <f t="shared" si="335"/>
        <v>70000</v>
      </c>
      <c r="J377" s="62">
        <f t="shared" si="335"/>
        <v>70000</v>
      </c>
      <c r="K377" s="62">
        <f t="shared" si="335"/>
        <v>70000</v>
      </c>
      <c r="L377" s="62">
        <f t="shared" si="335"/>
        <v>70000</v>
      </c>
      <c r="M377" s="62">
        <f t="shared" si="335"/>
        <v>70000</v>
      </c>
      <c r="N377" s="62">
        <f t="shared" si="335"/>
        <v>70000</v>
      </c>
      <c r="O377" s="62">
        <f t="shared" si="335"/>
        <v>70000</v>
      </c>
      <c r="P377" s="62">
        <f t="shared" si="335"/>
        <v>70000</v>
      </c>
      <c r="Q377" s="62">
        <f t="shared" si="335"/>
        <v>70000</v>
      </c>
      <c r="R377" s="62">
        <f t="shared" si="335"/>
        <v>70000</v>
      </c>
      <c r="S377" s="62">
        <f t="shared" si="335"/>
        <v>70000</v>
      </c>
      <c r="T377" s="62">
        <f t="shared" si="335"/>
        <v>70000</v>
      </c>
      <c r="U377" s="62">
        <f t="shared" si="335"/>
        <v>70000</v>
      </c>
      <c r="V377" s="62">
        <f t="shared" si="335"/>
        <v>70000</v>
      </c>
      <c r="W377" s="62">
        <f t="shared" si="335"/>
        <v>70000</v>
      </c>
      <c r="X377" s="62">
        <f t="shared" si="335"/>
        <v>70000</v>
      </c>
      <c r="Y377" s="62">
        <f t="shared" si="335"/>
        <v>70000</v>
      </c>
      <c r="Z377" s="62">
        <f t="shared" si="335"/>
        <v>70000</v>
      </c>
      <c r="AA377" s="62">
        <f t="shared" si="335"/>
        <v>70000</v>
      </c>
      <c r="AB377" s="62">
        <f t="shared" si="335"/>
        <v>70000</v>
      </c>
      <c r="AC377" s="62">
        <f t="shared" si="335"/>
        <v>70000</v>
      </c>
    </row>
    <row r="378" spans="1:29" x14ac:dyDescent="0.25">
      <c r="A378" s="30" t="str">
        <f t="shared" ref="A378:AC378" si="336">A360</f>
        <v>Opex maintenance &amp; repair</v>
      </c>
      <c r="B378" s="62">
        <f t="shared" si="336"/>
        <v>15000</v>
      </c>
      <c r="C378" s="62">
        <f t="shared" si="336"/>
        <v>15000</v>
      </c>
      <c r="D378" s="62">
        <f t="shared" si="336"/>
        <v>15000</v>
      </c>
      <c r="E378" s="62">
        <f t="shared" si="336"/>
        <v>15000</v>
      </c>
      <c r="F378" s="62">
        <f t="shared" si="336"/>
        <v>15000</v>
      </c>
      <c r="G378" s="62">
        <f t="shared" si="336"/>
        <v>15000</v>
      </c>
      <c r="H378" s="62">
        <f t="shared" si="336"/>
        <v>15000</v>
      </c>
      <c r="I378" s="62">
        <f t="shared" si="336"/>
        <v>15000</v>
      </c>
      <c r="J378" s="62">
        <f t="shared" si="336"/>
        <v>15000</v>
      </c>
      <c r="K378" s="62">
        <f t="shared" si="336"/>
        <v>15000</v>
      </c>
      <c r="L378" s="62">
        <f t="shared" si="336"/>
        <v>15000</v>
      </c>
      <c r="M378" s="62">
        <f t="shared" si="336"/>
        <v>15000</v>
      </c>
      <c r="N378" s="62">
        <f t="shared" si="336"/>
        <v>15000</v>
      </c>
      <c r="O378" s="62">
        <f t="shared" si="336"/>
        <v>15000</v>
      </c>
      <c r="P378" s="62">
        <f t="shared" si="336"/>
        <v>15000</v>
      </c>
      <c r="Q378" s="62">
        <f t="shared" si="336"/>
        <v>15000</v>
      </c>
      <c r="R378" s="62">
        <f t="shared" si="336"/>
        <v>15000</v>
      </c>
      <c r="S378" s="62">
        <f t="shared" si="336"/>
        <v>15000</v>
      </c>
      <c r="T378" s="62">
        <f t="shared" si="336"/>
        <v>15000</v>
      </c>
      <c r="U378" s="62">
        <f t="shared" si="336"/>
        <v>15000</v>
      </c>
      <c r="V378" s="62">
        <f t="shared" si="336"/>
        <v>15000</v>
      </c>
      <c r="W378" s="62">
        <f t="shared" si="336"/>
        <v>15000</v>
      </c>
      <c r="X378" s="62">
        <f t="shared" si="336"/>
        <v>15000</v>
      </c>
      <c r="Y378" s="62">
        <f t="shared" si="336"/>
        <v>15000</v>
      </c>
      <c r="Z378" s="62">
        <f t="shared" si="336"/>
        <v>15000</v>
      </c>
      <c r="AA378" s="62">
        <f t="shared" si="336"/>
        <v>15000</v>
      </c>
      <c r="AB378" s="62">
        <f t="shared" si="336"/>
        <v>15000</v>
      </c>
      <c r="AC378" s="62">
        <f t="shared" si="336"/>
        <v>15000</v>
      </c>
    </row>
    <row r="379" spans="1:29" x14ac:dyDescent="0.25">
      <c r="A379" s="30" t="str">
        <f>A361</f>
        <v>Opex var (mode-fees)</v>
      </c>
      <c r="B379" s="62">
        <f>B361*B370</f>
        <v>8580</v>
      </c>
      <c r="C379" s="62">
        <f t="shared" ref="C379:AC379" si="337">C361*C370</f>
        <v>8580</v>
      </c>
      <c r="D379" s="62">
        <f t="shared" si="337"/>
        <v>8580</v>
      </c>
      <c r="E379" s="62">
        <f t="shared" si="337"/>
        <v>8580</v>
      </c>
      <c r="F379" s="62">
        <f t="shared" si="337"/>
        <v>8580</v>
      </c>
      <c r="G379" s="62">
        <f t="shared" si="337"/>
        <v>8580</v>
      </c>
      <c r="H379" s="62">
        <f t="shared" si="337"/>
        <v>8580</v>
      </c>
      <c r="I379" s="62">
        <f t="shared" si="337"/>
        <v>8580</v>
      </c>
      <c r="J379" s="62">
        <f t="shared" si="337"/>
        <v>8580</v>
      </c>
      <c r="K379" s="62">
        <f t="shared" si="337"/>
        <v>8580</v>
      </c>
      <c r="L379" s="62">
        <f t="shared" si="337"/>
        <v>8580</v>
      </c>
      <c r="M379" s="62">
        <f t="shared" si="337"/>
        <v>8580</v>
      </c>
      <c r="N379" s="62">
        <f t="shared" si="337"/>
        <v>8580</v>
      </c>
      <c r="O379" s="62">
        <f t="shared" si="337"/>
        <v>8580</v>
      </c>
      <c r="P379" s="62">
        <f t="shared" si="337"/>
        <v>8580</v>
      </c>
      <c r="Q379" s="62">
        <f t="shared" si="337"/>
        <v>8580</v>
      </c>
      <c r="R379" s="62">
        <f t="shared" si="337"/>
        <v>8580</v>
      </c>
      <c r="S379" s="62">
        <f t="shared" si="337"/>
        <v>8580</v>
      </c>
      <c r="T379" s="62">
        <f t="shared" si="337"/>
        <v>8580</v>
      </c>
      <c r="U379" s="62">
        <f t="shared" si="337"/>
        <v>8580</v>
      </c>
      <c r="V379" s="62">
        <f t="shared" si="337"/>
        <v>8580</v>
      </c>
      <c r="W379" s="62">
        <f t="shared" si="337"/>
        <v>8580</v>
      </c>
      <c r="X379" s="62">
        <f t="shared" si="337"/>
        <v>8580</v>
      </c>
      <c r="Y379" s="62">
        <f t="shared" si="337"/>
        <v>8580</v>
      </c>
      <c r="Z379" s="62">
        <f t="shared" si="337"/>
        <v>8580</v>
      </c>
      <c r="AA379" s="62">
        <f t="shared" si="337"/>
        <v>8580</v>
      </c>
      <c r="AB379" s="62">
        <f t="shared" si="337"/>
        <v>8580</v>
      </c>
      <c r="AC379" s="62">
        <f t="shared" si="337"/>
        <v>8580</v>
      </c>
    </row>
    <row r="380" spans="1:29" x14ac:dyDescent="0.25">
      <c r="A380" s="30" t="str">
        <f>A363</f>
        <v>Fuel Cost</v>
      </c>
      <c r="B380" s="62">
        <f>B362*B363*B370</f>
        <v>15572.485620455001</v>
      </c>
      <c r="C380" s="62">
        <f t="shared" ref="C380:AC380" si="338">C362*C363*C370</f>
        <v>15457.084012143539</v>
      </c>
      <c r="D380" s="62">
        <f t="shared" si="338"/>
        <v>15297.942149227905</v>
      </c>
      <c r="E380" s="62">
        <f t="shared" si="338"/>
        <v>15082.152802400731</v>
      </c>
      <c r="F380" s="62">
        <f t="shared" si="338"/>
        <v>14796.221606280375</v>
      </c>
      <c r="G380" s="62">
        <f t="shared" si="338"/>
        <v>14428.688502106794</v>
      </c>
      <c r="H380" s="62">
        <f t="shared" si="338"/>
        <v>13973.935918196954</v>
      </c>
      <c r="I380" s="62">
        <f t="shared" si="338"/>
        <v>13435.965770575325</v>
      </c>
      <c r="J380" s="62">
        <f t="shared" si="338"/>
        <v>12829.981173678014</v>
      </c>
      <c r="K380" s="62">
        <f t="shared" si="338"/>
        <v>12180.290241494644</v>
      </c>
      <c r="L380" s="62">
        <f t="shared" si="338"/>
        <v>11515.684961639154</v>
      </c>
      <c r="M380" s="62">
        <f t="shared" si="338"/>
        <v>10865.31577725522</v>
      </c>
      <c r="N380" s="62">
        <f t="shared" si="338"/>
        <v>10256.432745405844</v>
      </c>
      <c r="O380" s="62">
        <f t="shared" si="338"/>
        <v>9712.4021350218427</v>
      </c>
      <c r="P380" s="62">
        <f t="shared" si="338"/>
        <v>9249.5982917859492</v>
      </c>
      <c r="Q380" s="62">
        <f t="shared" si="338"/>
        <v>8874.5850579949347</v>
      </c>
      <c r="R380" s="62">
        <f t="shared" si="338"/>
        <v>8583.9463667490745</v>
      </c>
      <c r="S380" s="62">
        <f t="shared" si="338"/>
        <v>8367.0529604660387</v>
      </c>
      <c r="T380" s="62">
        <f t="shared" si="338"/>
        <v>8209.9911116184339</v>
      </c>
      <c r="U380" s="62">
        <f t="shared" si="338"/>
        <v>8098.8196807148179</v>
      </c>
      <c r="V380" s="62">
        <f t="shared" si="338"/>
        <v>8021.429754847074</v>
      </c>
      <c r="W380" s="62">
        <f t="shared" si="338"/>
        <v>7968.1903806250402</v>
      </c>
      <c r="X380" s="62">
        <f t="shared" si="338"/>
        <v>7931.8665406116143</v>
      </c>
      <c r="Y380" s="62">
        <f t="shared" si="338"/>
        <v>7907.224471468915</v>
      </c>
      <c r="Z380" s="62">
        <f t="shared" si="338"/>
        <v>7890.5722011833805</v>
      </c>
      <c r="AA380" s="62">
        <f t="shared" si="338"/>
        <v>7879.3488345965106</v>
      </c>
      <c r="AB380" s="62">
        <f t="shared" si="338"/>
        <v>7871.7979516556215</v>
      </c>
      <c r="AC380" s="62">
        <f t="shared" si="338"/>
        <v>7866.7239594897483</v>
      </c>
    </row>
    <row r="381" spans="1:29" ht="15.75" thickBot="1" x14ac:dyDescent="0.3">
      <c r="A381" s="59" t="str">
        <f>A344</f>
        <v>Emission Cost</v>
      </c>
      <c r="B381" s="62">
        <f>B364*B370</f>
        <v>273.95699634657467</v>
      </c>
      <c r="C381" s="62">
        <f t="shared" ref="C381:AC381" si="339">C364*C370</f>
        <v>273.69612253596802</v>
      </c>
      <c r="D381" s="62">
        <f t="shared" si="339"/>
        <v>273.32268748658009</v>
      </c>
      <c r="E381" s="62">
        <f t="shared" si="339"/>
        <v>272.78846238730415</v>
      </c>
      <c r="F381" s="62">
        <f t="shared" si="339"/>
        <v>272.02493683781796</v>
      </c>
      <c r="G381" s="62">
        <f t="shared" si="339"/>
        <v>270.93522087398742</v>
      </c>
      <c r="H381" s="62">
        <f t="shared" si="339"/>
        <v>269.38319800490365</v>
      </c>
      <c r="I381" s="62">
        <f t="shared" si="339"/>
        <v>267.17954801605833</v>
      </c>
      <c r="J381" s="62">
        <f t="shared" si="339"/>
        <v>264.06490051406917</v>
      </c>
      <c r="K381" s="62">
        <f t="shared" si="339"/>
        <v>259.69199161417203</v>
      </c>
      <c r="L381" s="62">
        <f t="shared" si="339"/>
        <v>253.61206082822852</v>
      </c>
      <c r="M381" s="62">
        <f t="shared" si="339"/>
        <v>245.2767031713631</v>
      </c>
      <c r="N381" s="62">
        <f t="shared" si="339"/>
        <v>234.07487566135228</v>
      </c>
      <c r="O381" s="62">
        <f t="shared" si="339"/>
        <v>219.43192307184415</v>
      </c>
      <c r="P381" s="62">
        <f t="shared" si="339"/>
        <v>200.99159926558184</v>
      </c>
      <c r="Q381" s="62">
        <f t="shared" si="339"/>
        <v>178.86374002764475</v>
      </c>
      <c r="R381" s="62">
        <f t="shared" si="339"/>
        <v>153.84213978166062</v>
      </c>
      <c r="S381" s="62">
        <f t="shared" si="339"/>
        <v>127.4269390630177</v>
      </c>
      <c r="T381" s="62">
        <f t="shared" si="339"/>
        <v>101.53154008627052</v>
      </c>
      <c r="U381" s="62">
        <f t="shared" si="339"/>
        <v>77.958425378382003</v>
      </c>
      <c r="V381" s="62">
        <f t="shared" si="339"/>
        <v>57.92463475276486</v>
      </c>
      <c r="W381" s="62">
        <f t="shared" si="339"/>
        <v>41.881156310268338</v>
      </c>
      <c r="X381" s="62">
        <f t="shared" si="339"/>
        <v>29.639270198256565</v>
      </c>
      <c r="Y381" s="62">
        <f t="shared" si="339"/>
        <v>20.64050210524249</v>
      </c>
      <c r="Z381" s="62">
        <f t="shared" si="339"/>
        <v>14.206513100895014</v>
      </c>
      <c r="AA381" s="62">
        <f t="shared" si="339"/>
        <v>9.6972369780949812</v>
      </c>
      <c r="AB381" s="62">
        <f t="shared" si="339"/>
        <v>6.5810500154690317</v>
      </c>
      <c r="AC381" s="62">
        <f t="shared" si="339"/>
        <v>4.4484879913914916</v>
      </c>
    </row>
    <row r="382" spans="1:29" ht="15.75" thickBot="1" x14ac:dyDescent="0.3">
      <c r="A382" s="31" t="s">
        <v>209</v>
      </c>
      <c r="B382" s="64">
        <f>B373+B374+B375+B376+B377+B378+B379+B380+B381</f>
        <v>166238.10033334306</v>
      </c>
      <c r="C382" s="64">
        <f t="shared" ref="C382:AC382" si="340">C373+C374+C375+C376+C377+C378+C379+C380+C381</f>
        <v>165297.79493942708</v>
      </c>
      <c r="D382" s="64">
        <f t="shared" si="340"/>
        <v>164007.72505934528</v>
      </c>
      <c r="E382" s="64">
        <f t="shared" si="340"/>
        <v>162272.05727438512</v>
      </c>
      <c r="F382" s="64">
        <f t="shared" si="340"/>
        <v>159999.28615056453</v>
      </c>
      <c r="G382" s="64">
        <f t="shared" si="340"/>
        <v>157129.53579240054</v>
      </c>
      <c r="H382" s="64">
        <f t="shared" si="340"/>
        <v>153671.94993486692</v>
      </c>
      <c r="I382" s="64">
        <f t="shared" si="340"/>
        <v>149738.0063706176</v>
      </c>
      <c r="J382" s="64">
        <f t="shared" si="340"/>
        <v>145546.11830786461</v>
      </c>
      <c r="K382" s="64">
        <f t="shared" si="340"/>
        <v>141379.76823095436</v>
      </c>
      <c r="L382" s="64">
        <f t="shared" si="340"/>
        <v>137511.77656450454</v>
      </c>
      <c r="M382" s="64">
        <f t="shared" si="340"/>
        <v>134135.81684022158</v>
      </c>
      <c r="N382" s="64">
        <f t="shared" si="340"/>
        <v>131339.69721271799</v>
      </c>
      <c r="O382" s="64">
        <f t="shared" si="340"/>
        <v>129120.6125423354</v>
      </c>
      <c r="P382" s="64">
        <f t="shared" si="340"/>
        <v>127418.83304618429</v>
      </c>
      <c r="Q382" s="64">
        <f t="shared" si="340"/>
        <v>126149.02684991734</v>
      </c>
      <c r="R382" s="64">
        <f t="shared" si="340"/>
        <v>125221.75719593313</v>
      </c>
      <c r="S382" s="64">
        <f t="shared" si="340"/>
        <v>124555.7889269999</v>
      </c>
      <c r="T382" s="64">
        <f t="shared" si="340"/>
        <v>124083.58461057696</v>
      </c>
      <c r="U382" s="64">
        <f t="shared" si="340"/>
        <v>123752.21506748637</v>
      </c>
      <c r="V382" s="64">
        <f t="shared" si="340"/>
        <v>123521.73740312486</v>
      </c>
      <c r="W382" s="64">
        <f t="shared" si="340"/>
        <v>123362.69621831742</v>
      </c>
      <c r="X382" s="64">
        <f t="shared" si="340"/>
        <v>123253.70562887494</v>
      </c>
      <c r="Y382" s="64">
        <f t="shared" si="340"/>
        <v>123179.44420039078</v>
      </c>
      <c r="Z382" s="64">
        <f t="shared" si="340"/>
        <v>123129.07656051079</v>
      </c>
      <c r="AA382" s="64">
        <f t="shared" si="340"/>
        <v>123095.03297504374</v>
      </c>
      <c r="AB382" s="64">
        <f t="shared" si="340"/>
        <v>123072.08105232645</v>
      </c>
      <c r="AC382" s="64">
        <f t="shared" si="340"/>
        <v>123056.63491944312</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341">A373</f>
        <v>Capex vehicle</v>
      </c>
      <c r="B385" s="65">
        <f>((1+B358)^B365)*B358/(((1+B358)^B365)-1)*(B354)/B370</f>
        <v>0.79731621924830443</v>
      </c>
      <c r="C385" s="65">
        <f t="shared" ref="C385:AC385" si="342">((1+C358)^C365)*C358/(((1+C358)^C365)-1)*(C354)/C370</f>
        <v>0.78565806581753805</v>
      </c>
      <c r="D385" s="65">
        <f t="shared" si="342"/>
        <v>0.76967517359634452</v>
      </c>
      <c r="E385" s="65">
        <f t="shared" si="342"/>
        <v>0.74819587910855023</v>
      </c>
      <c r="F385" s="65">
        <f t="shared" si="342"/>
        <v>0.72011829171847708</v>
      </c>
      <c r="G385" s="65">
        <f t="shared" si="342"/>
        <v>0.68475931612891205</v>
      </c>
      <c r="H385" s="65">
        <f t="shared" si="342"/>
        <v>0.6423295604009871</v>
      </c>
      <c r="I385" s="65">
        <f t="shared" si="342"/>
        <v>0.59435111047761024</v>
      </c>
      <c r="J385" s="65">
        <f t="shared" si="342"/>
        <v>0.54370045774412812</v>
      </c>
      <c r="K385" s="65">
        <f t="shared" si="342"/>
        <v>0.49404651511705222</v>
      </c>
      <c r="L385" s="65">
        <f t="shared" si="342"/>
        <v>0.44884550908899173</v>
      </c>
      <c r="M385" s="65">
        <f t="shared" si="342"/>
        <v>0.41043109071217942</v>
      </c>
      <c r="N385" s="65">
        <f t="shared" si="342"/>
        <v>0.37966802122490173</v>
      </c>
      <c r="O385" s="65">
        <f t="shared" si="342"/>
        <v>0.35619443384365085</v>
      </c>
      <c r="P385" s="65">
        <f t="shared" si="342"/>
        <v>0.33893946453400203</v>
      </c>
      <c r="Q385" s="65">
        <f t="shared" si="342"/>
        <v>0.32660241109945254</v>
      </c>
      <c r="R385" s="65">
        <f t="shared" si="342"/>
        <v>0.31795595857357295</v>
      </c>
      <c r="S385" s="65">
        <f t="shared" si="342"/>
        <v>0.31198072842568408</v>
      </c>
      <c r="T385" s="65">
        <f t="shared" si="342"/>
        <v>0.30789158067834443</v>
      </c>
      <c r="U385" s="65">
        <f t="shared" si="342"/>
        <v>0.30511185098425331</v>
      </c>
      <c r="V385" s="65">
        <f t="shared" si="342"/>
        <v>0.30323083883143948</v>
      </c>
      <c r="W385" s="65">
        <f t="shared" si="342"/>
        <v>0.30196190606933621</v>
      </c>
      <c r="X385" s="65">
        <f t="shared" si="342"/>
        <v>0.30110766683741136</v>
      </c>
      <c r="Y385" s="65">
        <f t="shared" si="342"/>
        <v>0.30053340484055152</v>
      </c>
      <c r="Z385" s="65">
        <f t="shared" si="342"/>
        <v>0.30014772212119029</v>
      </c>
      <c r="AA385" s="65">
        <f t="shared" si="342"/>
        <v>0.29988885640237489</v>
      </c>
      <c r="AB385" s="65">
        <f t="shared" si="342"/>
        <v>0.29971518280750276</v>
      </c>
      <c r="AC385" s="65">
        <f t="shared" si="342"/>
        <v>0.29959869811911388</v>
      </c>
    </row>
    <row r="386" spans="1:29" x14ac:dyDescent="0.25">
      <c r="A386" s="30" t="str">
        <f t="shared" si="341"/>
        <v>Residual value (vehicle)</v>
      </c>
      <c r="B386" s="66">
        <f>((1+B358)^B365)*B358/(((1+B358)^B365)-1)*(B355)/B370</f>
        <v>-0.1212185401466381</v>
      </c>
      <c r="C386" s="66">
        <f t="shared" ref="C386:AC386" si="343">((1+C358)^C365)*C358/(((1+C358)^C365)-1)*(C355)/C370</f>
        <v>-0.12013273173887065</v>
      </c>
      <c r="D386" s="66">
        <f t="shared" si="343"/>
        <v>-0.11864412903199478</v>
      </c>
      <c r="E386" s="66">
        <f t="shared" si="343"/>
        <v>-0.1166436065061708</v>
      </c>
      <c r="F386" s="66">
        <f t="shared" si="343"/>
        <v>-0.11402853709238948</v>
      </c>
      <c r="G386" s="66">
        <f t="shared" si="343"/>
        <v>-0.11073529916983196</v>
      </c>
      <c r="H386" s="66">
        <f t="shared" si="343"/>
        <v>-0.10678350819517227</v>
      </c>
      <c r="I386" s="66">
        <f t="shared" si="343"/>
        <v>-0.10231492707485777</v>
      </c>
      <c r="J386" s="66">
        <f t="shared" si="343"/>
        <v>-9.7597464320268751E-2</v>
      </c>
      <c r="K386" s="66">
        <f t="shared" si="343"/>
        <v>-9.2972832408923428E-2</v>
      </c>
      <c r="L386" s="66">
        <f t="shared" si="343"/>
        <v>-8.8762934788662914E-2</v>
      </c>
      <c r="M386" s="66">
        <f t="shared" si="343"/>
        <v>-8.5185121312391171E-2</v>
      </c>
      <c r="N386" s="66">
        <f t="shared" si="343"/>
        <v>-8.2319933467987855E-2</v>
      </c>
      <c r="O386" s="66">
        <f t="shared" si="343"/>
        <v>-8.0133667976596837E-2</v>
      </c>
      <c r="P386" s="66">
        <f t="shared" si="343"/>
        <v>-7.8526587501678555E-2</v>
      </c>
      <c r="Q386" s="66">
        <f t="shared" si="343"/>
        <v>-7.7377548211205821E-2</v>
      </c>
      <c r="R386" s="66">
        <f t="shared" si="343"/>
        <v>-7.6572241358305274E-2</v>
      </c>
      <c r="S386" s="66">
        <f t="shared" si="343"/>
        <v>-7.601572482492347E-2</v>
      </c>
      <c r="T386" s="66">
        <f t="shared" si="343"/>
        <v>-7.5634872828847718E-2</v>
      </c>
      <c r="U386" s="66">
        <f t="shared" si="343"/>
        <v>-7.5375976435770584E-2</v>
      </c>
      <c r="V386" s="66">
        <f t="shared" si="343"/>
        <v>-7.5200784127420303E-2</v>
      </c>
      <c r="W386" s="66">
        <f t="shared" si="343"/>
        <v>-7.5082599213302834E-2</v>
      </c>
      <c r="X386" s="66">
        <f t="shared" si="343"/>
        <v>-7.5003037716211793E-2</v>
      </c>
      <c r="Y386" s="66">
        <f t="shared" si="343"/>
        <v>-7.4949552530229752E-2</v>
      </c>
      <c r="Z386" s="66">
        <f t="shared" si="343"/>
        <v>-7.4913631100485295E-2</v>
      </c>
      <c r="AA386" s="66">
        <f t="shared" si="343"/>
        <v>-7.4889521058046638E-2</v>
      </c>
      <c r="AB386" s="66">
        <f t="shared" si="343"/>
        <v>-7.4873345576171285E-2</v>
      </c>
      <c r="AC386" s="66">
        <f t="shared" si="343"/>
        <v>-7.4862496512056634E-2</v>
      </c>
    </row>
    <row r="387" spans="1:29" x14ac:dyDescent="0.25">
      <c r="A387" s="30" t="str">
        <f t="shared" si="341"/>
        <v>Capex costumization</v>
      </c>
      <c r="B387" s="66">
        <f>((1+B358)^B366)*B358/(((1+B358)^B366)-1)*(B356)/B370</f>
        <v>6.9675876010453192E-2</v>
      </c>
      <c r="C387" s="66">
        <f t="shared" ref="C387:AC387" si="344">((1+C358)^C366)*C358/(((1+C358)^C366)-1)*(C356)/C370</f>
        <v>6.9675876010453192E-2</v>
      </c>
      <c r="D387" s="66">
        <f t="shared" si="344"/>
        <v>6.9675876010453192E-2</v>
      </c>
      <c r="E387" s="66">
        <f t="shared" si="344"/>
        <v>6.9675876010453192E-2</v>
      </c>
      <c r="F387" s="66">
        <f t="shared" si="344"/>
        <v>6.9675876010453192E-2</v>
      </c>
      <c r="G387" s="66">
        <f t="shared" si="344"/>
        <v>6.9675876010453192E-2</v>
      </c>
      <c r="H387" s="66">
        <f t="shared" si="344"/>
        <v>6.9675876010453192E-2</v>
      </c>
      <c r="I387" s="66">
        <f t="shared" si="344"/>
        <v>6.9675876010453192E-2</v>
      </c>
      <c r="J387" s="66">
        <f t="shared" si="344"/>
        <v>6.9675876010453192E-2</v>
      </c>
      <c r="K387" s="66">
        <f t="shared" si="344"/>
        <v>6.9675876010453192E-2</v>
      </c>
      <c r="L387" s="66">
        <f t="shared" si="344"/>
        <v>6.9675876010453192E-2</v>
      </c>
      <c r="M387" s="66">
        <f t="shared" si="344"/>
        <v>6.9675876010453192E-2</v>
      </c>
      <c r="N387" s="66">
        <f t="shared" si="344"/>
        <v>6.9675876010453192E-2</v>
      </c>
      <c r="O387" s="66">
        <f t="shared" si="344"/>
        <v>6.9675876010453192E-2</v>
      </c>
      <c r="P387" s="66">
        <f t="shared" si="344"/>
        <v>6.9675876010453192E-2</v>
      </c>
      <c r="Q387" s="66">
        <f t="shared" si="344"/>
        <v>6.9675876010453192E-2</v>
      </c>
      <c r="R387" s="66">
        <f t="shared" si="344"/>
        <v>6.9675876010453192E-2</v>
      </c>
      <c r="S387" s="66">
        <f t="shared" si="344"/>
        <v>6.9675876010453192E-2</v>
      </c>
      <c r="T387" s="66">
        <f t="shared" si="344"/>
        <v>6.9675876010453192E-2</v>
      </c>
      <c r="U387" s="66">
        <f t="shared" si="344"/>
        <v>6.9675876010453192E-2</v>
      </c>
      <c r="V387" s="66">
        <f t="shared" si="344"/>
        <v>6.9675876010453192E-2</v>
      </c>
      <c r="W387" s="66">
        <f t="shared" si="344"/>
        <v>6.9675876010453192E-2</v>
      </c>
      <c r="X387" s="66">
        <f t="shared" si="344"/>
        <v>6.9675876010453192E-2</v>
      </c>
      <c r="Y387" s="66">
        <f t="shared" si="344"/>
        <v>6.9675876010453192E-2</v>
      </c>
      <c r="Z387" s="66">
        <f t="shared" si="344"/>
        <v>6.9675876010453192E-2</v>
      </c>
      <c r="AA387" s="66">
        <f t="shared" si="344"/>
        <v>6.9675876010453192E-2</v>
      </c>
      <c r="AB387" s="66">
        <f t="shared" si="344"/>
        <v>6.9675876010453192E-2</v>
      </c>
      <c r="AC387" s="66">
        <f t="shared" si="344"/>
        <v>6.9675876010453192E-2</v>
      </c>
    </row>
    <row r="388" spans="1:29" x14ac:dyDescent="0.25">
      <c r="A388" s="30" t="str">
        <f t="shared" si="341"/>
        <v>Residual value (costumization)</v>
      </c>
      <c r="B388" s="66">
        <f>((1+B358)^B366)*B358/(((1+B358)^B366)-1)*(B357)/B370</f>
        <v>-1.7418969002613298E-2</v>
      </c>
      <c r="C388" s="66">
        <f t="shared" ref="C388:AC388" si="345">((1+C358)^C366)*C358/(((1+C358)^C366)-1)*(C357)/C370</f>
        <v>-1.7418969002613298E-2</v>
      </c>
      <c r="D388" s="66">
        <f t="shared" si="345"/>
        <v>-1.7418969002613298E-2</v>
      </c>
      <c r="E388" s="66">
        <f t="shared" si="345"/>
        <v>-1.7418969002613298E-2</v>
      </c>
      <c r="F388" s="66">
        <f t="shared" si="345"/>
        <v>-1.7418969002613298E-2</v>
      </c>
      <c r="G388" s="66">
        <f t="shared" si="345"/>
        <v>-1.7418969002613298E-2</v>
      </c>
      <c r="H388" s="66">
        <f t="shared" si="345"/>
        <v>-1.7418969002613298E-2</v>
      </c>
      <c r="I388" s="66">
        <f t="shared" si="345"/>
        <v>-1.7418969002613298E-2</v>
      </c>
      <c r="J388" s="66">
        <f t="shared" si="345"/>
        <v>-1.7418969002613298E-2</v>
      </c>
      <c r="K388" s="66">
        <f t="shared" si="345"/>
        <v>-1.7418969002613298E-2</v>
      </c>
      <c r="L388" s="66">
        <f t="shared" si="345"/>
        <v>-1.7418969002613298E-2</v>
      </c>
      <c r="M388" s="66">
        <f t="shared" si="345"/>
        <v>-1.7418969002613298E-2</v>
      </c>
      <c r="N388" s="66">
        <f t="shared" si="345"/>
        <v>-1.7418969002613298E-2</v>
      </c>
      <c r="O388" s="66">
        <f t="shared" si="345"/>
        <v>-1.7418969002613298E-2</v>
      </c>
      <c r="P388" s="66">
        <f t="shared" si="345"/>
        <v>-1.7418969002613298E-2</v>
      </c>
      <c r="Q388" s="66">
        <f t="shared" si="345"/>
        <v>-1.7418969002613298E-2</v>
      </c>
      <c r="R388" s="66">
        <f t="shared" si="345"/>
        <v>-1.7418969002613298E-2</v>
      </c>
      <c r="S388" s="66">
        <f t="shared" si="345"/>
        <v>-1.7418969002613298E-2</v>
      </c>
      <c r="T388" s="66">
        <f t="shared" si="345"/>
        <v>-1.7418969002613298E-2</v>
      </c>
      <c r="U388" s="66">
        <f t="shared" si="345"/>
        <v>-1.7418969002613298E-2</v>
      </c>
      <c r="V388" s="66">
        <f t="shared" si="345"/>
        <v>-1.7418969002613298E-2</v>
      </c>
      <c r="W388" s="66">
        <f t="shared" si="345"/>
        <v>-1.7418969002613298E-2</v>
      </c>
      <c r="X388" s="66">
        <f t="shared" si="345"/>
        <v>-1.7418969002613298E-2</v>
      </c>
      <c r="Y388" s="66">
        <f t="shared" si="345"/>
        <v>-1.7418969002613298E-2</v>
      </c>
      <c r="Z388" s="66">
        <f t="shared" si="345"/>
        <v>-1.7418969002613298E-2</v>
      </c>
      <c r="AA388" s="66">
        <f t="shared" si="345"/>
        <v>-1.7418969002613298E-2</v>
      </c>
      <c r="AB388" s="66">
        <f t="shared" si="345"/>
        <v>-1.7418969002613298E-2</v>
      </c>
      <c r="AC388" s="66">
        <f t="shared" si="345"/>
        <v>-1.7418969002613298E-2</v>
      </c>
    </row>
    <row r="389" spans="1:29" x14ac:dyDescent="0.25">
      <c r="A389" s="30" t="str">
        <f t="shared" si="341"/>
        <v>Opex fix (admin, crew, insurance)</v>
      </c>
      <c r="B389" s="66">
        <f>B359/B370</f>
        <v>0.89743589743589747</v>
      </c>
      <c r="C389" s="66">
        <f t="shared" ref="C389:AC389" si="346">C359/C370</f>
        <v>0.89743589743589747</v>
      </c>
      <c r="D389" s="66">
        <f t="shared" si="346"/>
        <v>0.89743589743589747</v>
      </c>
      <c r="E389" s="66">
        <f t="shared" si="346"/>
        <v>0.89743589743589747</v>
      </c>
      <c r="F389" s="66">
        <f t="shared" si="346"/>
        <v>0.89743589743589747</v>
      </c>
      <c r="G389" s="66">
        <f t="shared" si="346"/>
        <v>0.89743589743589747</v>
      </c>
      <c r="H389" s="66">
        <f t="shared" si="346"/>
        <v>0.89743589743589747</v>
      </c>
      <c r="I389" s="66">
        <f t="shared" si="346"/>
        <v>0.89743589743589747</v>
      </c>
      <c r="J389" s="66">
        <f t="shared" si="346"/>
        <v>0.89743589743589747</v>
      </c>
      <c r="K389" s="66">
        <f t="shared" si="346"/>
        <v>0.89743589743589747</v>
      </c>
      <c r="L389" s="66">
        <f t="shared" si="346"/>
        <v>0.89743589743589747</v>
      </c>
      <c r="M389" s="66">
        <f t="shared" si="346"/>
        <v>0.89743589743589747</v>
      </c>
      <c r="N389" s="66">
        <f t="shared" si="346"/>
        <v>0.89743589743589747</v>
      </c>
      <c r="O389" s="66">
        <f t="shared" si="346"/>
        <v>0.89743589743589747</v>
      </c>
      <c r="P389" s="66">
        <f t="shared" si="346"/>
        <v>0.89743589743589747</v>
      </c>
      <c r="Q389" s="66">
        <f t="shared" si="346"/>
        <v>0.89743589743589747</v>
      </c>
      <c r="R389" s="66">
        <f t="shared" si="346"/>
        <v>0.89743589743589747</v>
      </c>
      <c r="S389" s="66">
        <f t="shared" si="346"/>
        <v>0.89743589743589747</v>
      </c>
      <c r="T389" s="66">
        <f t="shared" si="346"/>
        <v>0.89743589743589747</v>
      </c>
      <c r="U389" s="66">
        <f t="shared" si="346"/>
        <v>0.89743589743589747</v>
      </c>
      <c r="V389" s="66">
        <f t="shared" si="346"/>
        <v>0.89743589743589747</v>
      </c>
      <c r="W389" s="66">
        <f t="shared" si="346"/>
        <v>0.89743589743589747</v>
      </c>
      <c r="X389" s="66">
        <f t="shared" si="346"/>
        <v>0.89743589743589747</v>
      </c>
      <c r="Y389" s="66">
        <f t="shared" si="346"/>
        <v>0.89743589743589747</v>
      </c>
      <c r="Z389" s="66">
        <f t="shared" si="346"/>
        <v>0.89743589743589747</v>
      </c>
      <c r="AA389" s="66">
        <f t="shared" si="346"/>
        <v>0.89743589743589747</v>
      </c>
      <c r="AB389" s="66">
        <f t="shared" si="346"/>
        <v>0.89743589743589747</v>
      </c>
      <c r="AC389" s="66">
        <f t="shared" si="346"/>
        <v>0.89743589743589747</v>
      </c>
    </row>
    <row r="390" spans="1:29" x14ac:dyDescent="0.25">
      <c r="A390" s="30" t="str">
        <f t="shared" si="341"/>
        <v>Opex maintenance &amp; repair</v>
      </c>
      <c r="B390" s="66">
        <f>B360/B370</f>
        <v>0.19230769230769232</v>
      </c>
      <c r="C390" s="66">
        <f t="shared" ref="C390:AC390" si="347">C360/C370</f>
        <v>0.19230769230769232</v>
      </c>
      <c r="D390" s="66">
        <f t="shared" si="347"/>
        <v>0.19230769230769232</v>
      </c>
      <c r="E390" s="66">
        <f t="shared" si="347"/>
        <v>0.19230769230769232</v>
      </c>
      <c r="F390" s="66">
        <f t="shared" si="347"/>
        <v>0.19230769230769232</v>
      </c>
      <c r="G390" s="66">
        <f t="shared" si="347"/>
        <v>0.19230769230769232</v>
      </c>
      <c r="H390" s="66">
        <f t="shared" si="347"/>
        <v>0.19230769230769232</v>
      </c>
      <c r="I390" s="66">
        <f t="shared" si="347"/>
        <v>0.19230769230769232</v>
      </c>
      <c r="J390" s="66">
        <f t="shared" si="347"/>
        <v>0.19230769230769232</v>
      </c>
      <c r="K390" s="66">
        <f t="shared" si="347"/>
        <v>0.19230769230769232</v>
      </c>
      <c r="L390" s="66">
        <f t="shared" si="347"/>
        <v>0.19230769230769232</v>
      </c>
      <c r="M390" s="66">
        <f t="shared" si="347"/>
        <v>0.19230769230769232</v>
      </c>
      <c r="N390" s="66">
        <f t="shared" si="347"/>
        <v>0.19230769230769232</v>
      </c>
      <c r="O390" s="66">
        <f t="shared" si="347"/>
        <v>0.19230769230769232</v>
      </c>
      <c r="P390" s="66">
        <f t="shared" si="347"/>
        <v>0.19230769230769232</v>
      </c>
      <c r="Q390" s="66">
        <f t="shared" si="347"/>
        <v>0.19230769230769232</v>
      </c>
      <c r="R390" s="66">
        <f t="shared" si="347"/>
        <v>0.19230769230769232</v>
      </c>
      <c r="S390" s="66">
        <f t="shared" si="347"/>
        <v>0.19230769230769232</v>
      </c>
      <c r="T390" s="66">
        <f t="shared" si="347"/>
        <v>0.19230769230769232</v>
      </c>
      <c r="U390" s="66">
        <f t="shared" si="347"/>
        <v>0.19230769230769232</v>
      </c>
      <c r="V390" s="66">
        <f t="shared" si="347"/>
        <v>0.19230769230769232</v>
      </c>
      <c r="W390" s="66">
        <f t="shared" si="347"/>
        <v>0.19230769230769232</v>
      </c>
      <c r="X390" s="66">
        <f t="shared" si="347"/>
        <v>0.19230769230769232</v>
      </c>
      <c r="Y390" s="66">
        <f t="shared" si="347"/>
        <v>0.19230769230769232</v>
      </c>
      <c r="Z390" s="66">
        <f t="shared" si="347"/>
        <v>0.19230769230769232</v>
      </c>
      <c r="AA390" s="66">
        <f t="shared" si="347"/>
        <v>0.19230769230769232</v>
      </c>
      <c r="AB390" s="66">
        <f t="shared" si="347"/>
        <v>0.19230769230769232</v>
      </c>
      <c r="AC390" s="66">
        <f t="shared" si="347"/>
        <v>0.19230769230769232</v>
      </c>
    </row>
    <row r="391" spans="1:29" x14ac:dyDescent="0.25">
      <c r="A391" s="30" t="str">
        <f t="shared" si="341"/>
        <v>Opex var (mode-fees)</v>
      </c>
      <c r="B391" s="66">
        <f>B361*B370/B370</f>
        <v>0.11</v>
      </c>
      <c r="C391" s="66">
        <f t="shared" ref="C391:AC391" si="348">C361*C370/C370</f>
        <v>0.11</v>
      </c>
      <c r="D391" s="66">
        <f t="shared" si="348"/>
        <v>0.11</v>
      </c>
      <c r="E391" s="66">
        <f t="shared" si="348"/>
        <v>0.11</v>
      </c>
      <c r="F391" s="66">
        <f t="shared" si="348"/>
        <v>0.11</v>
      </c>
      <c r="G391" s="66">
        <f t="shared" si="348"/>
        <v>0.11</v>
      </c>
      <c r="H391" s="66">
        <f t="shared" si="348"/>
        <v>0.11</v>
      </c>
      <c r="I391" s="66">
        <f t="shared" si="348"/>
        <v>0.11</v>
      </c>
      <c r="J391" s="66">
        <f t="shared" si="348"/>
        <v>0.11</v>
      </c>
      <c r="K391" s="66">
        <f t="shared" si="348"/>
        <v>0.11</v>
      </c>
      <c r="L391" s="66">
        <f t="shared" si="348"/>
        <v>0.11</v>
      </c>
      <c r="M391" s="66">
        <f t="shared" si="348"/>
        <v>0.11</v>
      </c>
      <c r="N391" s="66">
        <f t="shared" si="348"/>
        <v>0.11</v>
      </c>
      <c r="O391" s="66">
        <f t="shared" si="348"/>
        <v>0.11</v>
      </c>
      <c r="P391" s="66">
        <f t="shared" si="348"/>
        <v>0.11</v>
      </c>
      <c r="Q391" s="66">
        <f t="shared" si="348"/>
        <v>0.11</v>
      </c>
      <c r="R391" s="66">
        <f t="shared" si="348"/>
        <v>0.11</v>
      </c>
      <c r="S391" s="66">
        <f t="shared" si="348"/>
        <v>0.11</v>
      </c>
      <c r="T391" s="66">
        <f t="shared" si="348"/>
        <v>0.11</v>
      </c>
      <c r="U391" s="66">
        <f t="shared" si="348"/>
        <v>0.11</v>
      </c>
      <c r="V391" s="66">
        <f t="shared" si="348"/>
        <v>0.11</v>
      </c>
      <c r="W391" s="66">
        <f t="shared" si="348"/>
        <v>0.11</v>
      </c>
      <c r="X391" s="66">
        <f t="shared" si="348"/>
        <v>0.11</v>
      </c>
      <c r="Y391" s="66">
        <f t="shared" si="348"/>
        <v>0.11</v>
      </c>
      <c r="Z391" s="66">
        <f t="shared" si="348"/>
        <v>0.11</v>
      </c>
      <c r="AA391" s="66">
        <f t="shared" si="348"/>
        <v>0.11</v>
      </c>
      <c r="AB391" s="66">
        <f t="shared" si="348"/>
        <v>0.11</v>
      </c>
      <c r="AC391" s="66">
        <f t="shared" si="348"/>
        <v>0.11</v>
      </c>
    </row>
    <row r="392" spans="1:29" x14ac:dyDescent="0.25">
      <c r="A392" s="30" t="str">
        <f t="shared" si="341"/>
        <v>Fuel Cost</v>
      </c>
      <c r="B392" s="66">
        <f>B362*B363*B370/B370</f>
        <v>0.19964725154429488</v>
      </c>
      <c r="C392" s="66">
        <f t="shared" ref="C392:AC392" si="349">C362*C363*C370/C370</f>
        <v>0.19816774374543</v>
      </c>
      <c r="D392" s="66">
        <f t="shared" si="349"/>
        <v>0.19612746345163981</v>
      </c>
      <c r="E392" s="66">
        <f t="shared" si="349"/>
        <v>0.19336093336411195</v>
      </c>
      <c r="F392" s="66">
        <f t="shared" si="349"/>
        <v>0.18969514879846633</v>
      </c>
      <c r="G392" s="66">
        <f t="shared" si="349"/>
        <v>0.18498318592444607</v>
      </c>
      <c r="H392" s="66">
        <f t="shared" si="349"/>
        <v>0.17915302459226864</v>
      </c>
      <c r="I392" s="66">
        <f t="shared" si="349"/>
        <v>0.17225597141763238</v>
      </c>
      <c r="J392" s="66">
        <f t="shared" si="349"/>
        <v>0.16448693812407711</v>
      </c>
      <c r="K392" s="66">
        <f t="shared" si="349"/>
        <v>0.15615756719864929</v>
      </c>
      <c r="L392" s="66">
        <f t="shared" si="349"/>
        <v>0.14763698668768147</v>
      </c>
      <c r="M392" s="66">
        <f t="shared" si="349"/>
        <v>0.13929892022122078</v>
      </c>
      <c r="N392" s="66">
        <f t="shared" si="349"/>
        <v>0.13149272750520313</v>
      </c>
      <c r="O392" s="66">
        <f t="shared" si="349"/>
        <v>0.12451797609002363</v>
      </c>
      <c r="P392" s="66">
        <f t="shared" si="349"/>
        <v>0.11858459348443524</v>
      </c>
      <c r="Q392" s="66">
        <f t="shared" si="349"/>
        <v>0.11377673151275557</v>
      </c>
      <c r="R392" s="66">
        <f t="shared" si="349"/>
        <v>0.11005059444550096</v>
      </c>
      <c r="S392" s="66">
        <f t="shared" si="349"/>
        <v>0.1072699097495646</v>
      </c>
      <c r="T392" s="66">
        <f t="shared" si="349"/>
        <v>0.10525629630280044</v>
      </c>
      <c r="U392" s="66">
        <f t="shared" si="349"/>
        <v>0.10383102154762587</v>
      </c>
      <c r="V392" s="66">
        <f t="shared" si="349"/>
        <v>0.10283884301085992</v>
      </c>
      <c r="W392" s="66">
        <f t="shared" si="349"/>
        <v>0.10215628693109026</v>
      </c>
      <c r="X392" s="66">
        <f t="shared" si="349"/>
        <v>0.10169059667450787</v>
      </c>
      <c r="Y392" s="66">
        <f t="shared" si="349"/>
        <v>0.10137467271113994</v>
      </c>
      <c r="Z392" s="66">
        <f t="shared" si="349"/>
        <v>0.10116118206645359</v>
      </c>
      <c r="AA392" s="66">
        <f t="shared" si="349"/>
        <v>0.10101729275123732</v>
      </c>
      <c r="AB392" s="66">
        <f t="shared" si="349"/>
        <v>0.10092048655968745</v>
      </c>
      <c r="AC392" s="66">
        <f t="shared" si="349"/>
        <v>0.10085543537807369</v>
      </c>
    </row>
    <row r="393" spans="1:29" ht="15.75" thickBot="1" x14ac:dyDescent="0.3">
      <c r="A393" s="59" t="str">
        <f t="shared" ref="A393" si="350">A381</f>
        <v>Emission Cost</v>
      </c>
      <c r="B393" s="66">
        <f>B364</f>
        <v>3.5122691839304448E-3</v>
      </c>
      <c r="C393" s="66">
        <f t="shared" ref="C393:AC393" si="351">C364</f>
        <v>3.5089246478970256E-3</v>
      </c>
      <c r="D393" s="66">
        <f t="shared" si="351"/>
        <v>3.5041370190587195E-3</v>
      </c>
      <c r="E393" s="66">
        <f t="shared" si="351"/>
        <v>3.4972879793244123E-3</v>
      </c>
      <c r="F393" s="66">
        <f t="shared" si="351"/>
        <v>3.4874991902284352E-3</v>
      </c>
      <c r="G393" s="66">
        <f t="shared" si="351"/>
        <v>3.4735284727434282E-3</v>
      </c>
      <c r="H393" s="66">
        <f t="shared" si="351"/>
        <v>3.4536307436526109E-3</v>
      </c>
      <c r="I393" s="66">
        <f t="shared" si="351"/>
        <v>3.4253788207186963E-3</v>
      </c>
      <c r="J393" s="66">
        <f t="shared" si="351"/>
        <v>3.3854474424880663E-3</v>
      </c>
      <c r="K393" s="66">
        <f t="shared" si="351"/>
        <v>3.3293845078740006E-3</v>
      </c>
      <c r="L393" s="66">
        <f t="shared" si="351"/>
        <v>3.251436677284981E-3</v>
      </c>
      <c r="M393" s="66">
        <f t="shared" si="351"/>
        <v>3.1445731175815781E-3</v>
      </c>
      <c r="N393" s="66">
        <f t="shared" si="351"/>
        <v>3.0009599443763112E-3</v>
      </c>
      <c r="O393" s="66">
        <f t="shared" si="351"/>
        <v>2.813229782972361E-3</v>
      </c>
      <c r="P393" s="66">
        <f t="shared" si="351"/>
        <v>2.5768153751997672E-3</v>
      </c>
      <c r="Q393" s="66">
        <f t="shared" si="351"/>
        <v>2.2931248721492917E-3</v>
      </c>
      <c r="R393" s="66">
        <f t="shared" si="351"/>
        <v>1.9723351254059053E-3</v>
      </c>
      <c r="S393" s="66">
        <f t="shared" si="351"/>
        <v>1.6336787059361244E-3</v>
      </c>
      <c r="T393" s="66">
        <f t="shared" si="351"/>
        <v>1.3016864113624426E-3</v>
      </c>
      <c r="U393" s="66">
        <f t="shared" si="351"/>
        <v>9.9946699203053851E-4</v>
      </c>
      <c r="V393" s="66">
        <f t="shared" si="351"/>
        <v>7.4262352247134438E-4</v>
      </c>
      <c r="W393" s="66">
        <f t="shared" si="351"/>
        <v>5.3693790141369664E-4</v>
      </c>
      <c r="X393" s="66">
        <f t="shared" si="351"/>
        <v>3.7999064356739184E-4</v>
      </c>
      <c r="Y393" s="66">
        <f t="shared" si="351"/>
        <v>2.646218218620832E-4</v>
      </c>
      <c r="Z393" s="66">
        <f t="shared" si="351"/>
        <v>1.8213478334480789E-4</v>
      </c>
      <c r="AA393" s="66">
        <f t="shared" si="351"/>
        <v>1.2432355100121771E-4</v>
      </c>
      <c r="AB393" s="66">
        <f t="shared" si="351"/>
        <v>8.4372436095756821E-5</v>
      </c>
      <c r="AC393" s="66">
        <f t="shared" si="351"/>
        <v>5.7031897325531943E-5</v>
      </c>
    </row>
    <row r="394" spans="1:29" ht="15.75" thickBot="1" x14ac:dyDescent="0.3">
      <c r="A394" s="31" t="s">
        <v>63</v>
      </c>
      <c r="B394" s="76">
        <f>B385+B386+B387-B388+B389+B390+B391+B392+B393</f>
        <v>2.1660956345865481</v>
      </c>
      <c r="C394" s="76">
        <f t="shared" ref="C394:AC394" si="352">C385+C386+C387-C388+C389+C390+C391+C392+C393</f>
        <v>2.1540404372286508</v>
      </c>
      <c r="D394" s="76">
        <f t="shared" si="352"/>
        <v>2.1375010797917047</v>
      </c>
      <c r="E394" s="76">
        <f t="shared" si="352"/>
        <v>2.1152489287024721</v>
      </c>
      <c r="F394" s="76">
        <f t="shared" si="352"/>
        <v>2.086110837371439</v>
      </c>
      <c r="G394" s="76">
        <f t="shared" si="352"/>
        <v>2.0493191661129257</v>
      </c>
      <c r="H394" s="76">
        <f t="shared" si="352"/>
        <v>2.0049911422983926</v>
      </c>
      <c r="I394" s="76">
        <f t="shared" si="352"/>
        <v>1.95455596839776</v>
      </c>
      <c r="J394" s="76">
        <f t="shared" si="352"/>
        <v>1.9008138137470811</v>
      </c>
      <c r="K394" s="76">
        <f t="shared" si="352"/>
        <v>1.8473990691713085</v>
      </c>
      <c r="L394" s="76">
        <f t="shared" si="352"/>
        <v>1.7978094324219516</v>
      </c>
      <c r="M394" s="76">
        <f t="shared" si="352"/>
        <v>1.754527897495247</v>
      </c>
      <c r="N394" s="76">
        <f t="shared" si="352"/>
        <v>1.7186802099631497</v>
      </c>
      <c r="O394" s="76">
        <f t="shared" si="352"/>
        <v>1.6902304064967064</v>
      </c>
      <c r="P394" s="76">
        <f t="shared" si="352"/>
        <v>1.6684127206486146</v>
      </c>
      <c r="Q394" s="76">
        <f t="shared" si="352"/>
        <v>1.6521331540298081</v>
      </c>
      <c r="R394" s="76">
        <f t="shared" si="352"/>
        <v>1.6402450815428309</v>
      </c>
      <c r="S394" s="76">
        <f t="shared" si="352"/>
        <v>1.6317070268129177</v>
      </c>
      <c r="T394" s="76">
        <f t="shared" si="352"/>
        <v>1.6256531253203161</v>
      </c>
      <c r="U394" s="76">
        <f t="shared" si="352"/>
        <v>1.6214047978447956</v>
      </c>
      <c r="V394" s="76">
        <f t="shared" si="352"/>
        <v>1.6184499559940069</v>
      </c>
      <c r="W394" s="76">
        <f t="shared" si="352"/>
        <v>1.6164109664451938</v>
      </c>
      <c r="X394" s="76">
        <f t="shared" si="352"/>
        <v>1.615013651195931</v>
      </c>
      <c r="Y394" s="76">
        <f t="shared" si="352"/>
        <v>1.6140615815999801</v>
      </c>
      <c r="Z394" s="76">
        <f t="shared" si="352"/>
        <v>1.6134158426271596</v>
      </c>
      <c r="AA394" s="76">
        <f t="shared" si="352"/>
        <v>1.6129793864032231</v>
      </c>
      <c r="AB394" s="76">
        <f t="shared" si="352"/>
        <v>1.6126851309837711</v>
      </c>
      <c r="AC394" s="76">
        <f t="shared" si="352"/>
        <v>1.6124871036391129</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353">A373</f>
        <v>Capex vehicle</v>
      </c>
      <c r="B397" s="65">
        <f>((1+B358)^B365)*B358/(((1+B358)^B365)-1)*(B354)/B370/(B367)</f>
        <v>3.1892648769932176E-2</v>
      </c>
      <c r="C397" s="65">
        <f t="shared" ref="C397:AC397" si="354">((1+C358)^C365)*C358/(((1+C358)^C365)-1)*(C354)/C370/(C367)</f>
        <v>3.1426322632701523E-2</v>
      </c>
      <c r="D397" s="65">
        <f t="shared" si="354"/>
        <v>3.0787006943853782E-2</v>
      </c>
      <c r="E397" s="65">
        <f t="shared" si="354"/>
        <v>2.9927835164342009E-2</v>
      </c>
      <c r="F397" s="65">
        <f t="shared" si="354"/>
        <v>2.8804731668739082E-2</v>
      </c>
      <c r="G397" s="65">
        <f t="shared" si="354"/>
        <v>2.7390372645156483E-2</v>
      </c>
      <c r="H397" s="65">
        <f t="shared" si="354"/>
        <v>2.5693182416039483E-2</v>
      </c>
      <c r="I397" s="65">
        <f t="shared" si="354"/>
        <v>2.3774044419104409E-2</v>
      </c>
      <c r="J397" s="65">
        <f t="shared" si="354"/>
        <v>2.1748018309765124E-2</v>
      </c>
      <c r="K397" s="65">
        <f t="shared" si="354"/>
        <v>1.9761860604682088E-2</v>
      </c>
      <c r="L397" s="65">
        <f t="shared" si="354"/>
        <v>1.7953820363559671E-2</v>
      </c>
      <c r="M397" s="65">
        <f t="shared" si="354"/>
        <v>1.6417243628487177E-2</v>
      </c>
      <c r="N397" s="65">
        <f t="shared" si="354"/>
        <v>1.5186720848996069E-2</v>
      </c>
      <c r="O397" s="65">
        <f t="shared" si="354"/>
        <v>1.4247777353746034E-2</v>
      </c>
      <c r="P397" s="65">
        <f t="shared" si="354"/>
        <v>1.3557578581360081E-2</v>
      </c>
      <c r="Q397" s="65">
        <f t="shared" si="354"/>
        <v>1.3064096443978102E-2</v>
      </c>
      <c r="R397" s="65">
        <f t="shared" si="354"/>
        <v>1.2718238342942919E-2</v>
      </c>
      <c r="S397" s="65">
        <f t="shared" si="354"/>
        <v>1.2479229137027363E-2</v>
      </c>
      <c r="T397" s="65">
        <f t="shared" si="354"/>
        <v>1.2315663227133778E-2</v>
      </c>
      <c r="U397" s="65">
        <f t="shared" si="354"/>
        <v>1.2204474039370132E-2</v>
      </c>
      <c r="V397" s="65">
        <f t="shared" si="354"/>
        <v>1.2129233553257578E-2</v>
      </c>
      <c r="W397" s="65">
        <f t="shared" si="354"/>
        <v>1.2078476242773448E-2</v>
      </c>
      <c r="X397" s="65">
        <f t="shared" si="354"/>
        <v>1.2044306673496454E-2</v>
      </c>
      <c r="Y397" s="65">
        <f t="shared" si="354"/>
        <v>1.2021336193622062E-2</v>
      </c>
      <c r="Z397" s="65">
        <f t="shared" si="354"/>
        <v>1.2005908884847611E-2</v>
      </c>
      <c r="AA397" s="65">
        <f t="shared" si="354"/>
        <v>1.1995554256094996E-2</v>
      </c>
      <c r="AB397" s="65">
        <f t="shared" si="354"/>
        <v>1.1988607312300109E-2</v>
      </c>
      <c r="AC397" s="65">
        <f t="shared" si="354"/>
        <v>1.1983947924764555E-2</v>
      </c>
    </row>
    <row r="398" spans="1:29" x14ac:dyDescent="0.25">
      <c r="A398" s="30" t="str">
        <f t="shared" si="353"/>
        <v>Residual value (vehicle)</v>
      </c>
      <c r="B398" s="68">
        <f>((1+B358)^B365)*B358/(((1+B358)^B365)-1)*(B355)/B370/(B367)</f>
        <v>-4.8487416058655246E-3</v>
      </c>
      <c r="C398" s="68">
        <f t="shared" ref="C398:AC398" si="355">((1+C358)^C365)*C358/(((1+C358)^C365)-1)*(C355)/C370/(C367)</f>
        <v>-4.8053092695548262E-3</v>
      </c>
      <c r="D398" s="68">
        <f t="shared" si="355"/>
        <v>-4.7457651612797915E-3</v>
      </c>
      <c r="E398" s="68">
        <f t="shared" si="355"/>
        <v>-4.6657442602468322E-3</v>
      </c>
      <c r="F398" s="68">
        <f t="shared" si="355"/>
        <v>-4.5611414836955796E-3</v>
      </c>
      <c r="G398" s="68">
        <f t="shared" si="355"/>
        <v>-4.4294119667932785E-3</v>
      </c>
      <c r="H398" s="68">
        <f t="shared" si="355"/>
        <v>-4.2713403278068903E-3</v>
      </c>
      <c r="I398" s="68">
        <f t="shared" si="355"/>
        <v>-4.092597082994311E-3</v>
      </c>
      <c r="J398" s="68">
        <f t="shared" si="355"/>
        <v>-3.9038985728107501E-3</v>
      </c>
      <c r="K398" s="68">
        <f t="shared" si="355"/>
        <v>-3.7189132963569372E-3</v>
      </c>
      <c r="L398" s="68">
        <f t="shared" si="355"/>
        <v>-3.5505173915465166E-3</v>
      </c>
      <c r="M398" s="68">
        <f t="shared" si="355"/>
        <v>-3.4074048524956467E-3</v>
      </c>
      <c r="N398" s="68">
        <f t="shared" si="355"/>
        <v>-3.2927973387195143E-3</v>
      </c>
      <c r="O398" s="68">
        <f t="shared" si="355"/>
        <v>-3.2053467190638735E-3</v>
      </c>
      <c r="P398" s="68">
        <f t="shared" si="355"/>
        <v>-3.1410635000671421E-3</v>
      </c>
      <c r="Q398" s="68">
        <f t="shared" si="355"/>
        <v>-3.0951019284482326E-3</v>
      </c>
      <c r="R398" s="68">
        <f t="shared" si="355"/>
        <v>-3.0628896543322109E-3</v>
      </c>
      <c r="S398" s="68">
        <f t="shared" si="355"/>
        <v>-3.0406289929969387E-3</v>
      </c>
      <c r="T398" s="68">
        <f t="shared" si="355"/>
        <v>-3.0253949131539087E-3</v>
      </c>
      <c r="U398" s="68">
        <f t="shared" si="355"/>
        <v>-3.0150390574308233E-3</v>
      </c>
      <c r="V398" s="68">
        <f t="shared" si="355"/>
        <v>-3.0080313650968121E-3</v>
      </c>
      <c r="W398" s="68">
        <f t="shared" si="355"/>
        <v>-3.0033039685321132E-3</v>
      </c>
      <c r="X398" s="68">
        <f t="shared" si="355"/>
        <v>-3.0001215086484716E-3</v>
      </c>
      <c r="Y398" s="68">
        <f t="shared" si="355"/>
        <v>-2.9979821012091901E-3</v>
      </c>
      <c r="Z398" s="68">
        <f t="shared" si="355"/>
        <v>-2.9965452440194116E-3</v>
      </c>
      <c r="AA398" s="68">
        <f t="shared" si="355"/>
        <v>-2.9955808423218653E-3</v>
      </c>
      <c r="AB398" s="68">
        <f t="shared" si="355"/>
        <v>-2.9949338230468516E-3</v>
      </c>
      <c r="AC398" s="68">
        <f t="shared" si="355"/>
        <v>-2.9944998604822652E-3</v>
      </c>
    </row>
    <row r="399" spans="1:29" x14ac:dyDescent="0.25">
      <c r="A399" s="30" t="str">
        <f t="shared" si="353"/>
        <v>Capex costumization</v>
      </c>
      <c r="B399" s="66">
        <f>((1+B358)^B366)*B358/(((1+B358)^B366)-1)*(B356)/B370/(B367)</f>
        <v>2.7870350404181278E-3</v>
      </c>
      <c r="C399" s="66">
        <f t="shared" ref="C399:AC399" si="356">((1+C358)^C366)*C358/(((1+C358)^C366)-1)*(C356)/C370/(C367)</f>
        <v>2.7870350404181278E-3</v>
      </c>
      <c r="D399" s="66">
        <f t="shared" si="356"/>
        <v>2.7870350404181278E-3</v>
      </c>
      <c r="E399" s="66">
        <f t="shared" si="356"/>
        <v>2.7870350404181278E-3</v>
      </c>
      <c r="F399" s="66">
        <f t="shared" si="356"/>
        <v>2.7870350404181278E-3</v>
      </c>
      <c r="G399" s="66">
        <f t="shared" si="356"/>
        <v>2.7870350404181278E-3</v>
      </c>
      <c r="H399" s="66">
        <f t="shared" si="356"/>
        <v>2.7870350404181278E-3</v>
      </c>
      <c r="I399" s="66">
        <f t="shared" si="356"/>
        <v>2.7870350404181278E-3</v>
      </c>
      <c r="J399" s="66">
        <f t="shared" si="356"/>
        <v>2.7870350404181278E-3</v>
      </c>
      <c r="K399" s="66">
        <f t="shared" si="356"/>
        <v>2.7870350404181278E-3</v>
      </c>
      <c r="L399" s="66">
        <f t="shared" si="356"/>
        <v>2.7870350404181278E-3</v>
      </c>
      <c r="M399" s="66">
        <f t="shared" si="356"/>
        <v>2.7870350404181278E-3</v>
      </c>
      <c r="N399" s="66">
        <f t="shared" si="356"/>
        <v>2.7870350404181278E-3</v>
      </c>
      <c r="O399" s="66">
        <f t="shared" si="356"/>
        <v>2.7870350404181278E-3</v>
      </c>
      <c r="P399" s="66">
        <f t="shared" si="356"/>
        <v>2.7870350404181278E-3</v>
      </c>
      <c r="Q399" s="66">
        <f t="shared" si="356"/>
        <v>2.7870350404181278E-3</v>
      </c>
      <c r="R399" s="66">
        <f t="shared" si="356"/>
        <v>2.7870350404181278E-3</v>
      </c>
      <c r="S399" s="66">
        <f t="shared" si="356"/>
        <v>2.7870350404181278E-3</v>
      </c>
      <c r="T399" s="66">
        <f t="shared" si="356"/>
        <v>2.7870350404181278E-3</v>
      </c>
      <c r="U399" s="66">
        <f t="shared" si="356"/>
        <v>2.7870350404181278E-3</v>
      </c>
      <c r="V399" s="66">
        <f t="shared" si="356"/>
        <v>2.7870350404181278E-3</v>
      </c>
      <c r="W399" s="66">
        <f t="shared" si="356"/>
        <v>2.7870350404181278E-3</v>
      </c>
      <c r="X399" s="66">
        <f t="shared" si="356"/>
        <v>2.7870350404181278E-3</v>
      </c>
      <c r="Y399" s="66">
        <f t="shared" si="356"/>
        <v>2.7870350404181278E-3</v>
      </c>
      <c r="Z399" s="66">
        <f t="shared" si="356"/>
        <v>2.7870350404181278E-3</v>
      </c>
      <c r="AA399" s="66">
        <f t="shared" si="356"/>
        <v>2.7870350404181278E-3</v>
      </c>
      <c r="AB399" s="66">
        <f t="shared" si="356"/>
        <v>2.7870350404181278E-3</v>
      </c>
      <c r="AC399" s="66">
        <f t="shared" si="356"/>
        <v>2.7870350404181278E-3</v>
      </c>
    </row>
    <row r="400" spans="1:29" x14ac:dyDescent="0.25">
      <c r="A400" s="30" t="str">
        <f t="shared" si="353"/>
        <v>Residual value (costumization)</v>
      </c>
      <c r="B400" s="69">
        <f>((1+B358)^B366)*B358/(((1+B358)^B366)-1)*(B357)/B370/(B367)</f>
        <v>-6.9675876010453195E-4</v>
      </c>
      <c r="C400" s="69">
        <f t="shared" ref="C400:AC400" si="357">((1+C358)^C366)*C358/(((1+C358)^C366)-1)*(C357)/C370/(C367)</f>
        <v>-6.9675876010453195E-4</v>
      </c>
      <c r="D400" s="69">
        <f t="shared" si="357"/>
        <v>-6.9675876010453195E-4</v>
      </c>
      <c r="E400" s="69">
        <f t="shared" si="357"/>
        <v>-6.9675876010453195E-4</v>
      </c>
      <c r="F400" s="69">
        <f t="shared" si="357"/>
        <v>-6.9675876010453195E-4</v>
      </c>
      <c r="G400" s="69">
        <f t="shared" si="357"/>
        <v>-6.9675876010453195E-4</v>
      </c>
      <c r="H400" s="69">
        <f t="shared" si="357"/>
        <v>-6.9675876010453195E-4</v>
      </c>
      <c r="I400" s="69">
        <f t="shared" si="357"/>
        <v>-6.9675876010453195E-4</v>
      </c>
      <c r="J400" s="69">
        <f t="shared" si="357"/>
        <v>-6.9675876010453195E-4</v>
      </c>
      <c r="K400" s="69">
        <f t="shared" si="357"/>
        <v>-6.9675876010453195E-4</v>
      </c>
      <c r="L400" s="69">
        <f t="shared" si="357"/>
        <v>-6.9675876010453195E-4</v>
      </c>
      <c r="M400" s="69">
        <f t="shared" si="357"/>
        <v>-6.9675876010453195E-4</v>
      </c>
      <c r="N400" s="69">
        <f t="shared" si="357"/>
        <v>-6.9675876010453195E-4</v>
      </c>
      <c r="O400" s="69">
        <f t="shared" si="357"/>
        <v>-6.9675876010453195E-4</v>
      </c>
      <c r="P400" s="69">
        <f t="shared" si="357"/>
        <v>-6.9675876010453195E-4</v>
      </c>
      <c r="Q400" s="69">
        <f t="shared" si="357"/>
        <v>-6.9675876010453195E-4</v>
      </c>
      <c r="R400" s="69">
        <f t="shared" si="357"/>
        <v>-6.9675876010453195E-4</v>
      </c>
      <c r="S400" s="69">
        <f t="shared" si="357"/>
        <v>-6.9675876010453195E-4</v>
      </c>
      <c r="T400" s="69">
        <f t="shared" si="357"/>
        <v>-6.9675876010453195E-4</v>
      </c>
      <c r="U400" s="69">
        <f t="shared" si="357"/>
        <v>-6.9675876010453195E-4</v>
      </c>
      <c r="V400" s="69">
        <f t="shared" si="357"/>
        <v>-6.9675876010453195E-4</v>
      </c>
      <c r="W400" s="69">
        <f t="shared" si="357"/>
        <v>-6.9675876010453195E-4</v>
      </c>
      <c r="X400" s="69">
        <f t="shared" si="357"/>
        <v>-6.9675876010453195E-4</v>
      </c>
      <c r="Y400" s="69">
        <f t="shared" si="357"/>
        <v>-6.9675876010453195E-4</v>
      </c>
      <c r="Z400" s="69">
        <f t="shared" si="357"/>
        <v>-6.9675876010453195E-4</v>
      </c>
      <c r="AA400" s="69">
        <f t="shared" si="357"/>
        <v>-6.9675876010453195E-4</v>
      </c>
      <c r="AB400" s="69">
        <f t="shared" si="357"/>
        <v>-6.9675876010453195E-4</v>
      </c>
      <c r="AC400" s="69">
        <f t="shared" si="357"/>
        <v>-6.9675876010453195E-4</v>
      </c>
    </row>
    <row r="401" spans="1:29" x14ac:dyDescent="0.25">
      <c r="A401" s="30" t="str">
        <f t="shared" si="353"/>
        <v>Opex fix (admin, crew, insurance)</v>
      </c>
      <c r="B401" s="66">
        <f>B359/B370/(B367)</f>
        <v>3.5897435897435902E-2</v>
      </c>
      <c r="C401" s="66">
        <f t="shared" ref="C401:AC401" si="358">C359/C370/(C367)</f>
        <v>3.5897435897435902E-2</v>
      </c>
      <c r="D401" s="66">
        <f t="shared" si="358"/>
        <v>3.5897435897435902E-2</v>
      </c>
      <c r="E401" s="66">
        <f t="shared" si="358"/>
        <v>3.5897435897435902E-2</v>
      </c>
      <c r="F401" s="66">
        <f t="shared" si="358"/>
        <v>3.5897435897435902E-2</v>
      </c>
      <c r="G401" s="66">
        <f t="shared" si="358"/>
        <v>3.5897435897435902E-2</v>
      </c>
      <c r="H401" s="66">
        <f t="shared" si="358"/>
        <v>3.5897435897435902E-2</v>
      </c>
      <c r="I401" s="66">
        <f t="shared" si="358"/>
        <v>3.5897435897435902E-2</v>
      </c>
      <c r="J401" s="66">
        <f t="shared" si="358"/>
        <v>3.5897435897435902E-2</v>
      </c>
      <c r="K401" s="66">
        <f t="shared" si="358"/>
        <v>3.5897435897435902E-2</v>
      </c>
      <c r="L401" s="66">
        <f t="shared" si="358"/>
        <v>3.5897435897435902E-2</v>
      </c>
      <c r="M401" s="66">
        <f t="shared" si="358"/>
        <v>3.5897435897435902E-2</v>
      </c>
      <c r="N401" s="66">
        <f t="shared" si="358"/>
        <v>3.5897435897435902E-2</v>
      </c>
      <c r="O401" s="66">
        <f t="shared" si="358"/>
        <v>3.5897435897435902E-2</v>
      </c>
      <c r="P401" s="66">
        <f t="shared" si="358"/>
        <v>3.5897435897435902E-2</v>
      </c>
      <c r="Q401" s="66">
        <f t="shared" si="358"/>
        <v>3.5897435897435902E-2</v>
      </c>
      <c r="R401" s="66">
        <f t="shared" si="358"/>
        <v>3.5897435897435902E-2</v>
      </c>
      <c r="S401" s="66">
        <f t="shared" si="358"/>
        <v>3.5897435897435902E-2</v>
      </c>
      <c r="T401" s="66">
        <f t="shared" si="358"/>
        <v>3.5897435897435902E-2</v>
      </c>
      <c r="U401" s="66">
        <f t="shared" si="358"/>
        <v>3.5897435897435902E-2</v>
      </c>
      <c r="V401" s="66">
        <f t="shared" si="358"/>
        <v>3.5897435897435902E-2</v>
      </c>
      <c r="W401" s="66">
        <f t="shared" si="358"/>
        <v>3.5897435897435902E-2</v>
      </c>
      <c r="X401" s="66">
        <f t="shared" si="358"/>
        <v>3.5897435897435902E-2</v>
      </c>
      <c r="Y401" s="66">
        <f t="shared" si="358"/>
        <v>3.5897435897435902E-2</v>
      </c>
      <c r="Z401" s="66">
        <f t="shared" si="358"/>
        <v>3.5897435897435902E-2</v>
      </c>
      <c r="AA401" s="66">
        <f t="shared" si="358"/>
        <v>3.5897435897435902E-2</v>
      </c>
      <c r="AB401" s="66">
        <f t="shared" si="358"/>
        <v>3.5897435897435902E-2</v>
      </c>
      <c r="AC401" s="66">
        <f t="shared" si="358"/>
        <v>3.5897435897435902E-2</v>
      </c>
    </row>
    <row r="402" spans="1:29" x14ac:dyDescent="0.25">
      <c r="A402" s="30" t="str">
        <f t="shared" si="353"/>
        <v>Opex maintenance &amp; repair</v>
      </c>
      <c r="B402" s="66">
        <f>B360/B370/(B367)</f>
        <v>7.6923076923076927E-3</v>
      </c>
      <c r="C402" s="66">
        <f t="shared" ref="C402:AC402" si="359">C360/C370/(C367)</f>
        <v>7.6923076923076927E-3</v>
      </c>
      <c r="D402" s="66">
        <f t="shared" si="359"/>
        <v>7.6923076923076927E-3</v>
      </c>
      <c r="E402" s="66">
        <f t="shared" si="359"/>
        <v>7.6923076923076927E-3</v>
      </c>
      <c r="F402" s="66">
        <f t="shared" si="359"/>
        <v>7.6923076923076927E-3</v>
      </c>
      <c r="G402" s="66">
        <f t="shared" si="359"/>
        <v>7.6923076923076927E-3</v>
      </c>
      <c r="H402" s="66">
        <f t="shared" si="359"/>
        <v>7.6923076923076927E-3</v>
      </c>
      <c r="I402" s="66">
        <f t="shared" si="359"/>
        <v>7.6923076923076927E-3</v>
      </c>
      <c r="J402" s="66">
        <f t="shared" si="359"/>
        <v>7.6923076923076927E-3</v>
      </c>
      <c r="K402" s="66">
        <f t="shared" si="359"/>
        <v>7.6923076923076927E-3</v>
      </c>
      <c r="L402" s="66">
        <f t="shared" si="359"/>
        <v>7.6923076923076927E-3</v>
      </c>
      <c r="M402" s="66">
        <f t="shared" si="359"/>
        <v>7.6923076923076927E-3</v>
      </c>
      <c r="N402" s="66">
        <f t="shared" si="359"/>
        <v>7.6923076923076927E-3</v>
      </c>
      <c r="O402" s="66">
        <f t="shared" si="359"/>
        <v>7.6923076923076927E-3</v>
      </c>
      <c r="P402" s="66">
        <f t="shared" si="359"/>
        <v>7.6923076923076927E-3</v>
      </c>
      <c r="Q402" s="66">
        <f t="shared" si="359"/>
        <v>7.6923076923076927E-3</v>
      </c>
      <c r="R402" s="66">
        <f t="shared" si="359"/>
        <v>7.6923076923076927E-3</v>
      </c>
      <c r="S402" s="66">
        <f t="shared" si="359"/>
        <v>7.6923076923076927E-3</v>
      </c>
      <c r="T402" s="66">
        <f t="shared" si="359"/>
        <v>7.6923076923076927E-3</v>
      </c>
      <c r="U402" s="66">
        <f t="shared" si="359"/>
        <v>7.6923076923076927E-3</v>
      </c>
      <c r="V402" s="66">
        <f t="shared" si="359"/>
        <v>7.6923076923076927E-3</v>
      </c>
      <c r="W402" s="66">
        <f t="shared" si="359"/>
        <v>7.6923076923076927E-3</v>
      </c>
      <c r="X402" s="66">
        <f t="shared" si="359"/>
        <v>7.6923076923076927E-3</v>
      </c>
      <c r="Y402" s="66">
        <f t="shared" si="359"/>
        <v>7.6923076923076927E-3</v>
      </c>
      <c r="Z402" s="66">
        <f t="shared" si="359"/>
        <v>7.6923076923076927E-3</v>
      </c>
      <c r="AA402" s="66">
        <f t="shared" si="359"/>
        <v>7.6923076923076927E-3</v>
      </c>
      <c r="AB402" s="66">
        <f t="shared" si="359"/>
        <v>7.6923076923076927E-3</v>
      </c>
      <c r="AC402" s="66">
        <f t="shared" si="359"/>
        <v>7.6923076923076927E-3</v>
      </c>
    </row>
    <row r="403" spans="1:29" x14ac:dyDescent="0.25">
      <c r="A403" s="30" t="str">
        <f t="shared" si="353"/>
        <v>Opex var (mode-fees)</v>
      </c>
      <c r="B403" s="66">
        <f>B361*B370/B370/(B367)</f>
        <v>4.4000000000000003E-3</v>
      </c>
      <c r="C403" s="66">
        <f t="shared" ref="C403:AC403" si="360">C361*C370/C370/(C367)</f>
        <v>4.4000000000000003E-3</v>
      </c>
      <c r="D403" s="66">
        <f t="shared" si="360"/>
        <v>4.4000000000000003E-3</v>
      </c>
      <c r="E403" s="66">
        <f t="shared" si="360"/>
        <v>4.4000000000000003E-3</v>
      </c>
      <c r="F403" s="66">
        <f t="shared" si="360"/>
        <v>4.4000000000000003E-3</v>
      </c>
      <c r="G403" s="66">
        <f t="shared" si="360"/>
        <v>4.4000000000000003E-3</v>
      </c>
      <c r="H403" s="66">
        <f t="shared" si="360"/>
        <v>4.4000000000000003E-3</v>
      </c>
      <c r="I403" s="66">
        <f t="shared" si="360"/>
        <v>4.4000000000000003E-3</v>
      </c>
      <c r="J403" s="66">
        <f t="shared" si="360"/>
        <v>4.4000000000000003E-3</v>
      </c>
      <c r="K403" s="66">
        <f t="shared" si="360"/>
        <v>4.4000000000000003E-3</v>
      </c>
      <c r="L403" s="66">
        <f t="shared" si="360"/>
        <v>4.4000000000000003E-3</v>
      </c>
      <c r="M403" s="66">
        <f t="shared" si="360"/>
        <v>4.4000000000000003E-3</v>
      </c>
      <c r="N403" s="66">
        <f t="shared" si="360"/>
        <v>4.4000000000000003E-3</v>
      </c>
      <c r="O403" s="66">
        <f t="shared" si="360"/>
        <v>4.4000000000000003E-3</v>
      </c>
      <c r="P403" s="66">
        <f t="shared" si="360"/>
        <v>4.4000000000000003E-3</v>
      </c>
      <c r="Q403" s="66">
        <f t="shared" si="360"/>
        <v>4.4000000000000003E-3</v>
      </c>
      <c r="R403" s="66">
        <f t="shared" si="360"/>
        <v>4.4000000000000003E-3</v>
      </c>
      <c r="S403" s="66">
        <f t="shared" si="360"/>
        <v>4.4000000000000003E-3</v>
      </c>
      <c r="T403" s="66">
        <f t="shared" si="360"/>
        <v>4.4000000000000003E-3</v>
      </c>
      <c r="U403" s="66">
        <f t="shared" si="360"/>
        <v>4.4000000000000003E-3</v>
      </c>
      <c r="V403" s="66">
        <f t="shared" si="360"/>
        <v>4.4000000000000003E-3</v>
      </c>
      <c r="W403" s="66">
        <f t="shared" si="360"/>
        <v>4.4000000000000003E-3</v>
      </c>
      <c r="X403" s="66">
        <f t="shared" si="360"/>
        <v>4.4000000000000003E-3</v>
      </c>
      <c r="Y403" s="66">
        <f t="shared" si="360"/>
        <v>4.4000000000000003E-3</v>
      </c>
      <c r="Z403" s="66">
        <f t="shared" si="360"/>
        <v>4.4000000000000003E-3</v>
      </c>
      <c r="AA403" s="66">
        <f t="shared" si="360"/>
        <v>4.4000000000000003E-3</v>
      </c>
      <c r="AB403" s="66">
        <f t="shared" si="360"/>
        <v>4.4000000000000003E-3</v>
      </c>
      <c r="AC403" s="66">
        <f t="shared" si="360"/>
        <v>4.4000000000000003E-3</v>
      </c>
    </row>
    <row r="404" spans="1:29" x14ac:dyDescent="0.25">
      <c r="A404" s="30" t="str">
        <f t="shared" si="353"/>
        <v>Fuel Cost</v>
      </c>
      <c r="B404" s="66">
        <f>B362*B363*B370/B370/(B367)</f>
        <v>7.985890061771795E-3</v>
      </c>
      <c r="C404" s="66">
        <f t="shared" ref="C404:AC404" si="361">C362*C363*C370/C370/(C367)</f>
        <v>7.9267097498172002E-3</v>
      </c>
      <c r="D404" s="66">
        <f t="shared" si="361"/>
        <v>7.8450985380655921E-3</v>
      </c>
      <c r="E404" s="66">
        <f t="shared" si="361"/>
        <v>7.7344373345644779E-3</v>
      </c>
      <c r="F404" s="66">
        <f t="shared" si="361"/>
        <v>7.5878059519386533E-3</v>
      </c>
      <c r="G404" s="66">
        <f t="shared" si="361"/>
        <v>7.3993274369778426E-3</v>
      </c>
      <c r="H404" s="66">
        <f t="shared" si="361"/>
        <v>7.1661209836907458E-3</v>
      </c>
      <c r="I404" s="66">
        <f t="shared" si="361"/>
        <v>6.8902388567052952E-3</v>
      </c>
      <c r="J404" s="66">
        <f t="shared" si="361"/>
        <v>6.5794775249630845E-3</v>
      </c>
      <c r="K404" s="66">
        <f t="shared" si="361"/>
        <v>6.2463026879459715E-3</v>
      </c>
      <c r="L404" s="66">
        <f t="shared" si="361"/>
        <v>5.9054794675072585E-3</v>
      </c>
      <c r="M404" s="66">
        <f t="shared" si="361"/>
        <v>5.5719568088488311E-3</v>
      </c>
      <c r="N404" s="66">
        <f t="shared" si="361"/>
        <v>5.2597091002081252E-3</v>
      </c>
      <c r="O404" s="66">
        <f t="shared" si="361"/>
        <v>4.9807190436009455E-3</v>
      </c>
      <c r="P404" s="66">
        <f t="shared" si="361"/>
        <v>4.7433837393774094E-3</v>
      </c>
      <c r="Q404" s="66">
        <f t="shared" si="361"/>
        <v>4.5510692605102224E-3</v>
      </c>
      <c r="R404" s="66">
        <f t="shared" si="361"/>
        <v>4.4020237778200381E-3</v>
      </c>
      <c r="S404" s="66">
        <f t="shared" si="361"/>
        <v>4.2907963899825839E-3</v>
      </c>
      <c r="T404" s="66">
        <f t="shared" si="361"/>
        <v>4.2102518521120172E-3</v>
      </c>
      <c r="U404" s="66">
        <f t="shared" si="361"/>
        <v>4.1532408619050351E-3</v>
      </c>
      <c r="V404" s="66">
        <f t="shared" si="361"/>
        <v>4.1135537204343969E-3</v>
      </c>
      <c r="W404" s="66">
        <f t="shared" si="361"/>
        <v>4.08625147724361E-3</v>
      </c>
      <c r="X404" s="66">
        <f t="shared" si="361"/>
        <v>4.067623866980315E-3</v>
      </c>
      <c r="Y404" s="66">
        <f t="shared" si="361"/>
        <v>4.0549869084455974E-3</v>
      </c>
      <c r="Z404" s="66">
        <f t="shared" si="361"/>
        <v>4.0464472826581442E-3</v>
      </c>
      <c r="AA404" s="66">
        <f t="shared" si="361"/>
        <v>4.0406917100494931E-3</v>
      </c>
      <c r="AB404" s="66">
        <f t="shared" si="361"/>
        <v>4.0368194623874977E-3</v>
      </c>
      <c r="AC404" s="66">
        <f t="shared" si="361"/>
        <v>4.0342174151229478E-3</v>
      </c>
    </row>
    <row r="405" spans="1:29" x14ac:dyDescent="0.25">
      <c r="A405" s="59" t="str">
        <f>A368</f>
        <v>Market failure (av. utilization)</v>
      </c>
      <c r="B405" s="66">
        <f t="shared" ref="B405:AC405" si="362">B394/B368-B394/B367</f>
        <v>5.4623281220008577E-2</v>
      </c>
      <c r="C405" s="66">
        <f t="shared" si="362"/>
        <v>5.4319280590983343E-2</v>
      </c>
      <c r="D405" s="66">
        <f t="shared" si="362"/>
        <v>5.3902201142573394E-2</v>
      </c>
      <c r="E405" s="66">
        <f t="shared" si="362"/>
        <v>5.3341059941192759E-2</v>
      </c>
      <c r="F405" s="66">
        <f t="shared" si="362"/>
        <v>5.2606273290236261E-2</v>
      </c>
      <c r="G405" s="66">
        <f t="shared" si="362"/>
        <v>5.1678483319369417E-2</v>
      </c>
      <c r="H405" s="66">
        <f t="shared" si="362"/>
        <v>5.0560646197089873E-2</v>
      </c>
      <c r="I405" s="66">
        <f t="shared" si="362"/>
        <v>4.9288802681334787E-2</v>
      </c>
      <c r="J405" s="66">
        <f t="shared" si="362"/>
        <v>4.7933565737969863E-2</v>
      </c>
      <c r="K405" s="66">
        <f t="shared" si="362"/>
        <v>4.6586585222580801E-2</v>
      </c>
      <c r="L405" s="66">
        <f t="shared" si="362"/>
        <v>4.5336063948031802E-2</v>
      </c>
      <c r="M405" s="66">
        <f t="shared" si="362"/>
        <v>4.42446165455323E-2</v>
      </c>
      <c r="N405" s="66">
        <f t="shared" si="362"/>
        <v>4.3340631381679401E-2</v>
      </c>
      <c r="O405" s="66">
        <f t="shared" si="362"/>
        <v>4.2623201555134327E-2</v>
      </c>
      <c r="P405" s="66">
        <f t="shared" si="362"/>
        <v>4.2073016433747668E-2</v>
      </c>
      <c r="Q405" s="66">
        <f t="shared" si="362"/>
        <v>4.1662488232056011E-2</v>
      </c>
      <c r="R405" s="66">
        <f t="shared" si="362"/>
        <v>4.1362702056297468E-2</v>
      </c>
      <c r="S405" s="66">
        <f t="shared" si="362"/>
        <v>4.1147394589195294E-2</v>
      </c>
      <c r="T405" s="66">
        <f t="shared" si="362"/>
        <v>4.0994730986338393E-2</v>
      </c>
      <c r="U405" s="66">
        <f t="shared" si="362"/>
        <v>4.0887599249999171E-2</v>
      </c>
      <c r="V405" s="66">
        <f t="shared" si="362"/>
        <v>4.0813085846805375E-2</v>
      </c>
      <c r="W405" s="66">
        <f t="shared" si="362"/>
        <v>4.0761667849487482E-2</v>
      </c>
      <c r="X405" s="66">
        <f t="shared" si="362"/>
        <v>4.0726431204071281E-2</v>
      </c>
      <c r="Y405" s="66">
        <f t="shared" si="362"/>
        <v>4.070242249252122E-2</v>
      </c>
      <c r="Z405" s="66">
        <f t="shared" si="362"/>
        <v>4.0686138640163141E-2</v>
      </c>
      <c r="AA405" s="66">
        <f t="shared" si="362"/>
        <v>4.0675132352776922E-2</v>
      </c>
      <c r="AB405" s="66">
        <f t="shared" si="362"/>
        <v>4.0667711998721157E-2</v>
      </c>
      <c r="AC405" s="66">
        <f t="shared" si="362"/>
        <v>4.0662718265681963E-2</v>
      </c>
    </row>
    <row r="406" spans="1:29" x14ac:dyDescent="0.25">
      <c r="A406" s="59" t="str">
        <f>A369</f>
        <v>Payload loss (fuel)</v>
      </c>
      <c r="B406" s="66">
        <f>B394/(B367-B369)-B394/B367</f>
        <v>9.5565333507979938E-3</v>
      </c>
      <c r="C406" s="66">
        <f t="shared" ref="C406:AC406" si="363">C394/(C367-C369)-C394/C367</f>
        <v>9.4733359593181243E-3</v>
      </c>
      <c r="D406" s="66">
        <f t="shared" si="363"/>
        <v>9.3583442485011409E-3</v>
      </c>
      <c r="E406" s="66">
        <f t="shared" si="363"/>
        <v>9.2018856526021875E-3</v>
      </c>
      <c r="F406" s="66">
        <f t="shared" si="363"/>
        <v>8.9935086485325166E-3</v>
      </c>
      <c r="G406" s="66">
        <f t="shared" si="363"/>
        <v>8.7236512913226177E-3</v>
      </c>
      <c r="H406" s="66">
        <f t="shared" si="363"/>
        <v>8.386174359577156E-3</v>
      </c>
      <c r="I406" s="66">
        <f t="shared" si="363"/>
        <v>7.9810724568591118E-3</v>
      </c>
      <c r="J406" s="66">
        <f t="shared" si="363"/>
        <v>7.5160902391853551E-3</v>
      </c>
      <c r="K406" s="66">
        <f t="shared" si="363"/>
        <v>7.0063410481286809E-3</v>
      </c>
      <c r="L406" s="66">
        <f t="shared" si="363"/>
        <v>6.4724547867094917E-3</v>
      </c>
      <c r="M406" s="66">
        <f t="shared" si="363"/>
        <v>5.9385622444042552E-3</v>
      </c>
      <c r="N406" s="66">
        <f t="shared" si="363"/>
        <v>5.4302068988565377E-3</v>
      </c>
      <c r="O406" s="66">
        <f t="shared" si="363"/>
        <v>4.9710097970490363E-3</v>
      </c>
      <c r="P406" s="66">
        <f t="shared" si="363"/>
        <v>4.5781877442571117E-3</v>
      </c>
      <c r="Q406" s="66">
        <f t="shared" si="363"/>
        <v>4.2592688248013766E-3</v>
      </c>
      <c r="R406" s="66">
        <f t="shared" si="363"/>
        <v>4.0120984642102175E-3</v>
      </c>
      <c r="S406" s="66">
        <f t="shared" si="363"/>
        <v>3.827754130682981E-3</v>
      </c>
      <c r="T406" s="66">
        <f t="shared" si="363"/>
        <v>3.6943315259206772E-3</v>
      </c>
      <c r="U406" s="66">
        <f t="shared" si="363"/>
        <v>3.5999107800436386E-3</v>
      </c>
      <c r="V406" s="66">
        <f t="shared" si="363"/>
        <v>3.5341745328591051E-3</v>
      </c>
      <c r="W406" s="66">
        <f t="shared" si="363"/>
        <v>3.4889392287146409E-3</v>
      </c>
      <c r="X406" s="66">
        <f t="shared" si="363"/>
        <v>3.4580656974515928E-3</v>
      </c>
      <c r="Y406" s="66">
        <f t="shared" si="363"/>
        <v>3.4371142635796353E-3</v>
      </c>
      <c r="Z406" s="66">
        <f t="shared" si="363"/>
        <v>3.422952133483731E-3</v>
      </c>
      <c r="AA406" s="66">
        <f t="shared" si="363"/>
        <v>3.4134050659167386E-3</v>
      </c>
      <c r="AB406" s="66">
        <f t="shared" si="363"/>
        <v>3.4069809674084489E-3</v>
      </c>
      <c r="AC406" s="66">
        <f t="shared" si="363"/>
        <v>3.4026636644623326E-3</v>
      </c>
    </row>
    <row r="407" spans="1:29" ht="15.75" thickBot="1" x14ac:dyDescent="0.3">
      <c r="A407" s="59" t="str">
        <f>A344</f>
        <v>Emission Cost</v>
      </c>
      <c r="B407" s="68">
        <f>B364*B370/B370/(B367)</f>
        <v>1.4049076735721778E-4</v>
      </c>
      <c r="C407" s="68">
        <f t="shared" ref="C407:AC407" si="364">C364*C370/C370/(C367)</f>
        <v>1.4035698591588104E-4</v>
      </c>
      <c r="D407" s="68">
        <f t="shared" si="364"/>
        <v>1.4016548076234875E-4</v>
      </c>
      <c r="E407" s="68">
        <f t="shared" si="364"/>
        <v>1.3989151917297648E-4</v>
      </c>
      <c r="F407" s="68">
        <f t="shared" si="364"/>
        <v>1.3949996760913741E-4</v>
      </c>
      <c r="G407" s="68">
        <f t="shared" si="364"/>
        <v>1.3894113890973716E-4</v>
      </c>
      <c r="H407" s="68">
        <f t="shared" si="364"/>
        <v>1.3814522974610444E-4</v>
      </c>
      <c r="I407" s="68">
        <f t="shared" si="364"/>
        <v>1.3701515282874788E-4</v>
      </c>
      <c r="J407" s="68">
        <f t="shared" si="364"/>
        <v>1.3541789769952266E-4</v>
      </c>
      <c r="K407" s="68">
        <f t="shared" si="364"/>
        <v>1.3317538031496E-4</v>
      </c>
      <c r="L407" s="68">
        <f t="shared" si="364"/>
        <v>1.3005746709139924E-4</v>
      </c>
      <c r="M407" s="68">
        <f t="shared" si="364"/>
        <v>1.2578292470326314E-4</v>
      </c>
      <c r="N407" s="68">
        <f t="shared" si="364"/>
        <v>1.2003839777505244E-4</v>
      </c>
      <c r="O407" s="68">
        <f t="shared" si="364"/>
        <v>1.1252919131889444E-4</v>
      </c>
      <c r="P407" s="68">
        <f t="shared" si="364"/>
        <v>1.0307261500799069E-4</v>
      </c>
      <c r="Q407" s="68">
        <f t="shared" si="364"/>
        <v>9.1724994885971666E-5</v>
      </c>
      <c r="R407" s="68">
        <f t="shared" si="364"/>
        <v>7.8893405016236212E-5</v>
      </c>
      <c r="S407" s="68">
        <f t="shared" si="364"/>
        <v>6.534714823744498E-5</v>
      </c>
      <c r="T407" s="68">
        <f t="shared" si="364"/>
        <v>5.2067456454497702E-5</v>
      </c>
      <c r="U407" s="68">
        <f t="shared" si="364"/>
        <v>3.9978679681221538E-5</v>
      </c>
      <c r="V407" s="68">
        <f t="shared" si="364"/>
        <v>2.9704940898853776E-5</v>
      </c>
      <c r="W407" s="68">
        <f t="shared" si="364"/>
        <v>2.1477516056547865E-5</v>
      </c>
      <c r="X407" s="68">
        <f t="shared" si="364"/>
        <v>1.5199625742695674E-5</v>
      </c>
      <c r="Y407" s="68">
        <f t="shared" si="364"/>
        <v>1.0584872874483328E-5</v>
      </c>
      <c r="Z407" s="68">
        <f t="shared" si="364"/>
        <v>7.285391333792315E-6</v>
      </c>
      <c r="AA407" s="68">
        <f t="shared" si="364"/>
        <v>4.9729420400487081E-6</v>
      </c>
      <c r="AB407" s="68">
        <f t="shared" si="364"/>
        <v>3.3748974438302729E-6</v>
      </c>
      <c r="AC407" s="68">
        <f t="shared" si="364"/>
        <v>2.2812758930212777E-6</v>
      </c>
    </row>
    <row r="408" spans="1:29" ht="15.75" thickBot="1" x14ac:dyDescent="0.3">
      <c r="A408" s="31" t="s">
        <v>210</v>
      </c>
      <c r="B408" s="67">
        <f>B397+B398+B399+B400+B401+B402+B403+B404+B405+B406+B407</f>
        <v>0.1494301224340594</v>
      </c>
      <c r="C408" s="67">
        <f t="shared" ref="C408:AC408" si="365">C397+C398+C399+C400+C401+C402+C403+C404+C405+C406+C407</f>
        <v>0.14856071651923844</v>
      </c>
      <c r="D408" s="67">
        <f t="shared" si="365"/>
        <v>0.14736707106253366</v>
      </c>
      <c r="E408" s="67">
        <f t="shared" si="365"/>
        <v>0.14575938522168477</v>
      </c>
      <c r="F408" s="67">
        <f t="shared" si="365"/>
        <v>0.14365069791341728</v>
      </c>
      <c r="G408" s="67">
        <f t="shared" si="365"/>
        <v>0.14098138373500005</v>
      </c>
      <c r="H408" s="67">
        <f t="shared" si="365"/>
        <v>0.13775294872839369</v>
      </c>
      <c r="I408" s="67">
        <f t="shared" si="365"/>
        <v>0.13405859635389522</v>
      </c>
      <c r="J408" s="67">
        <f t="shared" si="365"/>
        <v>0.13008869100682938</v>
      </c>
      <c r="K408" s="67">
        <f t="shared" si="365"/>
        <v>0.12609537151735276</v>
      </c>
      <c r="L408" s="67">
        <f t="shared" si="365"/>
        <v>0.12232737851141029</v>
      </c>
      <c r="M408" s="67">
        <f t="shared" si="365"/>
        <v>0.11897077716953737</v>
      </c>
      <c r="N408" s="67">
        <f t="shared" si="365"/>
        <v>0.11612452915885287</v>
      </c>
      <c r="O408" s="67">
        <f t="shared" si="365"/>
        <v>0.11380991009184255</v>
      </c>
      <c r="P408" s="67">
        <f t="shared" si="365"/>
        <v>0.1119941954837403</v>
      </c>
      <c r="Q408" s="67">
        <f t="shared" si="365"/>
        <v>0.11061356569784064</v>
      </c>
      <c r="R408" s="67">
        <f t="shared" si="365"/>
        <v>0.10959108626201186</v>
      </c>
      <c r="S408" s="67">
        <f t="shared" si="365"/>
        <v>0.10884991227218592</v>
      </c>
      <c r="T408" s="67">
        <f t="shared" si="365"/>
        <v>0.10832167000486265</v>
      </c>
      <c r="U408" s="67">
        <f t="shared" si="365"/>
        <v>0.10795018442362557</v>
      </c>
      <c r="V408" s="67">
        <f t="shared" si="365"/>
        <v>0.10769174109921568</v>
      </c>
      <c r="W408" s="67">
        <f t="shared" si="365"/>
        <v>0.1075135282158008</v>
      </c>
      <c r="X408" s="67">
        <f t="shared" si="365"/>
        <v>0.10739152542915106</v>
      </c>
      <c r="Y408" s="67">
        <f t="shared" si="365"/>
        <v>0.107308482499891</v>
      </c>
      <c r="Z408" s="67">
        <f t="shared" si="365"/>
        <v>0.10725220695852421</v>
      </c>
      <c r="AA408" s="67">
        <f t="shared" si="365"/>
        <v>0.10721419535461353</v>
      </c>
      <c r="AB408" s="67">
        <f t="shared" si="365"/>
        <v>0.10718858068527139</v>
      </c>
      <c r="AC408" s="67">
        <f t="shared" si="365"/>
        <v>0.10717134855549974</v>
      </c>
    </row>
    <row r="410" spans="1:29" x14ac:dyDescent="0.25">
      <c r="B410" s="40"/>
    </row>
    <row r="429" spans="1:1" s="3" customFormat="1" ht="21" x14ac:dyDescent="0.35">
      <c r="A429" s="2" t="str">
        <f>'Parameter Input'!A72</f>
        <v>Road long-haul:  Neo bulk</v>
      </c>
    </row>
    <row r="430" spans="1:1" s="3" customFormat="1" ht="21" x14ac:dyDescent="0.35">
      <c r="A430" s="2" t="s">
        <v>87</v>
      </c>
    </row>
    <row r="431" spans="1:1" x14ac:dyDescent="0.25">
      <c r="A431" s="33" t="s">
        <v>195</v>
      </c>
    </row>
    <row r="432" spans="1:1" x14ac:dyDescent="0.25">
      <c r="A432" s="33" t="s">
        <v>196</v>
      </c>
    </row>
    <row r="433" spans="1:44" ht="15.75" thickBot="1" x14ac:dyDescent="0.3">
      <c r="A433" s="34" t="s">
        <v>197</v>
      </c>
      <c r="B433" s="34"/>
    </row>
    <row r="434" spans="1:44" ht="15.75" thickBot="1" x14ac:dyDescent="0.3">
      <c r="A434" s="39" t="s">
        <v>198</v>
      </c>
      <c r="B434" s="35"/>
    </row>
    <row r="435" spans="1:44" ht="15.75" thickBot="1" x14ac:dyDescent="0.3">
      <c r="A435" s="38" t="s">
        <v>199</v>
      </c>
      <c r="B435" s="36"/>
    </row>
    <row r="436" spans="1:44" ht="15.75" thickBot="1" x14ac:dyDescent="0.3"/>
    <row r="437" spans="1:44" x14ac:dyDescent="0.25">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18</v>
      </c>
      <c r="B439" s="41">
        <f>'Parameter Input'!$L$33</f>
        <v>400000</v>
      </c>
      <c r="C439" s="42">
        <f>'Parameter Input'!$M$33</f>
        <v>145000</v>
      </c>
      <c r="D439" s="1" t="s">
        <v>15</v>
      </c>
      <c r="L439" s="51">
        <f>'Parameter Input'!$O$33</f>
        <v>8</v>
      </c>
      <c r="M439" s="52">
        <v>0</v>
      </c>
      <c r="N439" s="52">
        <v>1</v>
      </c>
      <c r="O439" s="52">
        <f>'Parameter Input'!$P$33</f>
        <v>0.9</v>
      </c>
      <c r="P439" s="53">
        <f>'Parameter Input'!$Q$33</f>
        <v>0.4</v>
      </c>
      <c r="Q439" s="4">
        <f t="shared" ref="Q439:AR448" si="366">$N439+($M439-$N439)*((1/(1+EXP(-$P439*(Q$9-$L439)))^$O439))</f>
        <v>0.94584787155511363</v>
      </c>
      <c r="R439" s="4">
        <f t="shared" si="366"/>
        <v>0.92370360150141495</v>
      </c>
      <c r="S439" s="4">
        <f t="shared" si="366"/>
        <v>0.89334463567658451</v>
      </c>
      <c r="T439" s="4">
        <f t="shared" si="366"/>
        <v>0.85254543874327005</v>
      </c>
      <c r="U439" s="4">
        <f t="shared" si="366"/>
        <v>0.79921300652623883</v>
      </c>
      <c r="V439" s="4">
        <f t="shared" si="366"/>
        <v>0.73204982249993378</v>
      </c>
      <c r="W439" s="4">
        <f t="shared" si="366"/>
        <v>0.65145592958786691</v>
      </c>
      <c r="X439" s="4">
        <f t="shared" si="366"/>
        <v>0.56032247880849573</v>
      </c>
      <c r="Y439" s="4">
        <f t="shared" si="366"/>
        <v>0.46411326873185343</v>
      </c>
      <c r="Z439" s="4">
        <f t="shared" si="366"/>
        <v>0.36979727595523937</v>
      </c>
      <c r="AA439" s="4">
        <f t="shared" si="366"/>
        <v>0.28393948637231203</v>
      </c>
      <c r="AB439" s="4">
        <f t="shared" si="366"/>
        <v>0.21097259161117732</v>
      </c>
      <c r="AC439" s="4">
        <f t="shared" si="366"/>
        <v>0.15253917653798199</v>
      </c>
      <c r="AD439" s="4">
        <f t="shared" si="366"/>
        <v>0.10795188737709993</v>
      </c>
      <c r="AE439" s="4">
        <f t="shared" si="366"/>
        <v>7.5176653938091809E-2</v>
      </c>
      <c r="AF439" s="4">
        <f t="shared" si="366"/>
        <v>5.1742836177502194E-2</v>
      </c>
      <c r="AG439" s="4">
        <f t="shared" si="366"/>
        <v>3.5319190625345942E-2</v>
      </c>
      <c r="AH439" s="4">
        <f t="shared" si="366"/>
        <v>2.3969442072658165E-2</v>
      </c>
      <c r="AI439" s="4">
        <f t="shared" si="366"/>
        <v>1.6202243558389728E-2</v>
      </c>
      <c r="AJ439" s="4">
        <f t="shared" si="366"/>
        <v>1.0922240564108399E-2</v>
      </c>
      <c r="AK439" s="4">
        <f t="shared" si="366"/>
        <v>7.3493212906090566E-3</v>
      </c>
      <c r="AL439" s="4">
        <f t="shared" si="366"/>
        <v>4.9390262185057265E-3</v>
      </c>
      <c r="AM439" s="4">
        <f t="shared" si="366"/>
        <v>3.3164275492956197E-3</v>
      </c>
      <c r="AN439" s="4">
        <f t="shared" si="366"/>
        <v>2.2256362146679809E-3</v>
      </c>
      <c r="AO439" s="4">
        <f t="shared" si="366"/>
        <v>1.4930448704811861E-3</v>
      </c>
      <c r="AP439" s="4">
        <f t="shared" si="366"/>
        <v>1.0013381504474506E-3</v>
      </c>
      <c r="AQ439" s="4">
        <f t="shared" si="366"/>
        <v>6.7145100246257527E-4</v>
      </c>
      <c r="AR439" s="4">
        <f t="shared" si="366"/>
        <v>4.5019225748876845E-4</v>
      </c>
    </row>
    <row r="440" spans="1:44" x14ac:dyDescent="0.25">
      <c r="A440" s="24" t="s">
        <v>28</v>
      </c>
      <c r="B440" s="60">
        <f>'Parameter Input'!$L$34</f>
        <v>-60000</v>
      </c>
      <c r="C440" s="61">
        <f>'Parameter Input'!$M$34</f>
        <v>-36250</v>
      </c>
      <c r="D440" s="1" t="s">
        <v>15</v>
      </c>
      <c r="L440" s="54">
        <f>'Parameter Input'!$O$34</f>
        <v>8</v>
      </c>
      <c r="M440" s="37">
        <v>0</v>
      </c>
      <c r="N440" s="37">
        <v>1</v>
      </c>
      <c r="O440" s="37">
        <f>'Parameter Input'!$P$34</f>
        <v>0.9</v>
      </c>
      <c r="P440" s="55">
        <f>'Parameter Input'!$Q$34</f>
        <v>0.4</v>
      </c>
      <c r="Q440" s="4">
        <f t="shared" si="366"/>
        <v>0.94584787155511363</v>
      </c>
      <c r="R440" s="4">
        <f t="shared" si="366"/>
        <v>0.92370360150141495</v>
      </c>
      <c r="S440" s="4">
        <f t="shared" si="366"/>
        <v>0.89334463567658451</v>
      </c>
      <c r="T440" s="4">
        <f t="shared" si="366"/>
        <v>0.85254543874327005</v>
      </c>
      <c r="U440" s="4">
        <f t="shared" si="366"/>
        <v>0.79921300652623883</v>
      </c>
      <c r="V440" s="4">
        <f t="shared" si="366"/>
        <v>0.73204982249993378</v>
      </c>
      <c r="W440" s="4">
        <f t="shared" si="366"/>
        <v>0.65145592958786691</v>
      </c>
      <c r="X440" s="4">
        <f t="shared" si="366"/>
        <v>0.56032247880849573</v>
      </c>
      <c r="Y440" s="4">
        <f t="shared" si="366"/>
        <v>0.46411326873185343</v>
      </c>
      <c r="Z440" s="4">
        <f t="shared" si="366"/>
        <v>0.36979727595523937</v>
      </c>
      <c r="AA440" s="4">
        <f t="shared" si="366"/>
        <v>0.28393948637231203</v>
      </c>
      <c r="AB440" s="4">
        <f t="shared" si="366"/>
        <v>0.21097259161117732</v>
      </c>
      <c r="AC440" s="4">
        <f t="shared" si="366"/>
        <v>0.15253917653798199</v>
      </c>
      <c r="AD440" s="4">
        <f t="shared" si="366"/>
        <v>0.10795188737709993</v>
      </c>
      <c r="AE440" s="4">
        <f t="shared" si="366"/>
        <v>7.5176653938091809E-2</v>
      </c>
      <c r="AF440" s="4">
        <f t="shared" si="366"/>
        <v>5.1742836177502194E-2</v>
      </c>
      <c r="AG440" s="4">
        <f t="shared" si="366"/>
        <v>3.5319190625345942E-2</v>
      </c>
      <c r="AH440" s="4">
        <f t="shared" si="366"/>
        <v>2.3969442072658165E-2</v>
      </c>
      <c r="AI440" s="4">
        <f t="shared" si="366"/>
        <v>1.6202243558389728E-2</v>
      </c>
      <c r="AJ440" s="4">
        <f t="shared" si="366"/>
        <v>1.0922240564108399E-2</v>
      </c>
      <c r="AK440" s="4">
        <f t="shared" si="366"/>
        <v>7.3493212906090566E-3</v>
      </c>
      <c r="AL440" s="4">
        <f t="shared" si="366"/>
        <v>4.9390262185057265E-3</v>
      </c>
      <c r="AM440" s="4">
        <f t="shared" si="366"/>
        <v>3.3164275492956197E-3</v>
      </c>
      <c r="AN440" s="4">
        <f t="shared" si="366"/>
        <v>2.2256362146679809E-3</v>
      </c>
      <c r="AO440" s="4">
        <f t="shared" si="366"/>
        <v>1.4930448704811861E-3</v>
      </c>
      <c r="AP440" s="4">
        <f t="shared" si="366"/>
        <v>1.0013381504474506E-3</v>
      </c>
      <c r="AQ440" s="4">
        <f t="shared" si="366"/>
        <v>6.7145100246257527E-4</v>
      </c>
      <c r="AR440" s="4">
        <f t="shared" si="366"/>
        <v>4.5019225748876845E-4</v>
      </c>
    </row>
    <row r="441" spans="1:44" x14ac:dyDescent="0.25">
      <c r="A441" s="24" t="s">
        <v>14</v>
      </c>
      <c r="B441" s="60">
        <f>'Parameter Input'!B73</f>
        <v>35000</v>
      </c>
      <c r="C441" s="61">
        <f>'Parameter Input'!C73</f>
        <v>35000</v>
      </c>
      <c r="D441" s="1" t="s">
        <v>15</v>
      </c>
      <c r="L441" s="54">
        <f>'Parameter Input'!E73</f>
        <v>12</v>
      </c>
      <c r="M441" s="37">
        <v>0</v>
      </c>
      <c r="N441" s="37">
        <v>1</v>
      </c>
      <c r="O441" s="37">
        <f>'Parameter Input'!F59</f>
        <v>0.9</v>
      </c>
      <c r="P441" s="55">
        <f>'Parameter Input'!G73</f>
        <v>0.4</v>
      </c>
      <c r="Q441" s="4">
        <f t="shared" si="366"/>
        <v>0.9867978615748374</v>
      </c>
      <c r="R441" s="4">
        <f t="shared" si="366"/>
        <v>0.98114509762858249</v>
      </c>
      <c r="S441" s="4">
        <f t="shared" si="366"/>
        <v>0.97311898315872036</v>
      </c>
      <c r="T441" s="4">
        <f t="shared" si="366"/>
        <v>0.96177484161592774</v>
      </c>
      <c r="U441" s="4">
        <f t="shared" si="366"/>
        <v>0.94584787155511363</v>
      </c>
      <c r="V441" s="4">
        <f t="shared" si="366"/>
        <v>0.92370360150141495</v>
      </c>
      <c r="W441" s="4">
        <f t="shared" si="366"/>
        <v>0.89334463567658451</v>
      </c>
      <c r="X441" s="4">
        <f t="shared" si="366"/>
        <v>0.85254543874327005</v>
      </c>
      <c r="Y441" s="4">
        <f t="shared" si="366"/>
        <v>0.79921300652623883</v>
      </c>
      <c r="Z441" s="4">
        <f t="shared" si="366"/>
        <v>0.73204982249993378</v>
      </c>
      <c r="AA441" s="4">
        <f t="shared" si="366"/>
        <v>0.65145592958786691</v>
      </c>
      <c r="AB441" s="4">
        <f t="shared" si="366"/>
        <v>0.56032247880849573</v>
      </c>
      <c r="AC441" s="4">
        <f t="shared" si="366"/>
        <v>0.46411326873185343</v>
      </c>
      <c r="AD441" s="4">
        <f t="shared" si="366"/>
        <v>0.36979727595523937</v>
      </c>
      <c r="AE441" s="4">
        <f t="shared" si="366"/>
        <v>0.28393948637231203</v>
      </c>
      <c r="AF441" s="4">
        <f t="shared" si="366"/>
        <v>0.21097259161117732</v>
      </c>
      <c r="AG441" s="4">
        <f t="shared" si="366"/>
        <v>0.15253917653798199</v>
      </c>
      <c r="AH441" s="4">
        <f t="shared" si="366"/>
        <v>0.10795188737709993</v>
      </c>
      <c r="AI441" s="4">
        <f t="shared" si="366"/>
        <v>7.5176653938091809E-2</v>
      </c>
      <c r="AJ441" s="4">
        <f t="shared" si="366"/>
        <v>5.1742836177502194E-2</v>
      </c>
      <c r="AK441" s="4">
        <f t="shared" si="366"/>
        <v>3.5319190625345942E-2</v>
      </c>
      <c r="AL441" s="4">
        <f t="shared" si="366"/>
        <v>2.3969442072658165E-2</v>
      </c>
      <c r="AM441" s="4">
        <f t="shared" si="366"/>
        <v>1.6202243558389728E-2</v>
      </c>
      <c r="AN441" s="4">
        <f t="shared" si="366"/>
        <v>1.0922240564108399E-2</v>
      </c>
      <c r="AO441" s="4">
        <f t="shared" si="366"/>
        <v>7.3493212906090566E-3</v>
      </c>
      <c r="AP441" s="4">
        <f t="shared" si="366"/>
        <v>4.9390262185057265E-3</v>
      </c>
      <c r="AQ441" s="4">
        <f t="shared" si="366"/>
        <v>3.3164275492956197E-3</v>
      </c>
      <c r="AR441" s="4">
        <f t="shared" si="366"/>
        <v>2.2256362146679809E-3</v>
      </c>
    </row>
    <row r="442" spans="1:44" x14ac:dyDescent="0.25">
      <c r="A442" s="24" t="s">
        <v>25</v>
      </c>
      <c r="B442" s="60">
        <f>'Parameter Input'!B74</f>
        <v>-8750</v>
      </c>
      <c r="C442" s="61">
        <f>'Parameter Input'!C74</f>
        <v>-8750</v>
      </c>
      <c r="D442" s="1" t="s">
        <v>15</v>
      </c>
      <c r="L442" s="54">
        <f>'Parameter Input'!E74</f>
        <v>12</v>
      </c>
      <c r="M442" s="37">
        <v>0</v>
      </c>
      <c r="N442" s="37">
        <v>1</v>
      </c>
      <c r="O442" s="37">
        <f>'Parameter Input'!F74</f>
        <v>0.9</v>
      </c>
      <c r="P442" s="55">
        <f>'Parameter Input'!G74</f>
        <v>0.4</v>
      </c>
      <c r="Q442" s="4">
        <f t="shared" si="366"/>
        <v>0.9867978615748374</v>
      </c>
      <c r="R442" s="4">
        <f t="shared" si="366"/>
        <v>0.98114509762858249</v>
      </c>
      <c r="S442" s="4">
        <f t="shared" si="366"/>
        <v>0.97311898315872036</v>
      </c>
      <c r="T442" s="4">
        <f t="shared" si="366"/>
        <v>0.96177484161592774</v>
      </c>
      <c r="U442" s="4">
        <f t="shared" si="366"/>
        <v>0.94584787155511363</v>
      </c>
      <c r="V442" s="4">
        <f t="shared" si="366"/>
        <v>0.92370360150141495</v>
      </c>
      <c r="W442" s="4">
        <f t="shared" si="366"/>
        <v>0.89334463567658451</v>
      </c>
      <c r="X442" s="4">
        <f t="shared" si="366"/>
        <v>0.85254543874327005</v>
      </c>
      <c r="Y442" s="4">
        <f t="shared" si="366"/>
        <v>0.79921300652623883</v>
      </c>
      <c r="Z442" s="4">
        <f t="shared" si="366"/>
        <v>0.73204982249993378</v>
      </c>
      <c r="AA442" s="4">
        <f t="shared" si="366"/>
        <v>0.65145592958786691</v>
      </c>
      <c r="AB442" s="4">
        <f t="shared" si="366"/>
        <v>0.56032247880849573</v>
      </c>
      <c r="AC442" s="4">
        <f t="shared" si="366"/>
        <v>0.46411326873185343</v>
      </c>
      <c r="AD442" s="4">
        <f t="shared" si="366"/>
        <v>0.36979727595523937</v>
      </c>
      <c r="AE442" s="4">
        <f t="shared" si="366"/>
        <v>0.28393948637231203</v>
      </c>
      <c r="AF442" s="4">
        <f t="shared" si="366"/>
        <v>0.21097259161117732</v>
      </c>
      <c r="AG442" s="4">
        <f t="shared" si="366"/>
        <v>0.15253917653798199</v>
      </c>
      <c r="AH442" s="4">
        <f t="shared" si="366"/>
        <v>0.10795188737709993</v>
      </c>
      <c r="AI442" s="4">
        <f t="shared" si="366"/>
        <v>7.5176653938091809E-2</v>
      </c>
      <c r="AJ442" s="4">
        <f t="shared" si="366"/>
        <v>5.1742836177502194E-2</v>
      </c>
      <c r="AK442" s="4">
        <f t="shared" si="366"/>
        <v>3.5319190625345942E-2</v>
      </c>
      <c r="AL442" s="4">
        <f t="shared" si="366"/>
        <v>2.3969442072658165E-2</v>
      </c>
      <c r="AM442" s="4">
        <f t="shared" si="366"/>
        <v>1.6202243558389728E-2</v>
      </c>
      <c r="AN442" s="4">
        <f t="shared" si="366"/>
        <v>1.0922240564108399E-2</v>
      </c>
      <c r="AO442" s="4">
        <f t="shared" si="366"/>
        <v>7.3493212906090566E-3</v>
      </c>
      <c r="AP442" s="4">
        <f t="shared" si="366"/>
        <v>4.9390262185057265E-3</v>
      </c>
      <c r="AQ442" s="4">
        <f t="shared" si="366"/>
        <v>3.3164275492956197E-3</v>
      </c>
      <c r="AR442" s="4">
        <f t="shared" si="366"/>
        <v>2.2256362146679809E-3</v>
      </c>
    </row>
    <row r="443" spans="1:44" x14ac:dyDescent="0.25">
      <c r="A443" s="24" t="s">
        <v>79</v>
      </c>
      <c r="B443" s="45">
        <f>'Parameter Input'!$L$40</f>
        <v>0.06</v>
      </c>
      <c r="C443" s="46">
        <f>'Parameter Input'!$M$40</f>
        <v>0.06</v>
      </c>
      <c r="D443" s="1" t="s">
        <v>57</v>
      </c>
      <c r="L443" s="54">
        <f>'Parameter Input'!$O$40</f>
        <v>12</v>
      </c>
      <c r="M443" s="37">
        <v>0</v>
      </c>
      <c r="N443" s="37">
        <v>1</v>
      </c>
      <c r="O443" s="37">
        <f>'Parameter Input'!$P$40</f>
        <v>0.9</v>
      </c>
      <c r="P443" s="55">
        <f>'Parameter Input'!$Q$40</f>
        <v>0.4</v>
      </c>
      <c r="Q443" s="4">
        <f t="shared" si="366"/>
        <v>0.9867978615748374</v>
      </c>
      <c r="R443" s="4">
        <f t="shared" si="366"/>
        <v>0.98114509762858249</v>
      </c>
      <c r="S443" s="4">
        <f t="shared" si="366"/>
        <v>0.97311898315872036</v>
      </c>
      <c r="T443" s="4">
        <f t="shared" si="366"/>
        <v>0.96177484161592774</v>
      </c>
      <c r="U443" s="4">
        <f t="shared" si="366"/>
        <v>0.94584787155511363</v>
      </c>
      <c r="V443" s="4">
        <f t="shared" si="366"/>
        <v>0.92370360150141495</v>
      </c>
      <c r="W443" s="4">
        <f t="shared" si="366"/>
        <v>0.89334463567658451</v>
      </c>
      <c r="X443" s="4">
        <f t="shared" si="366"/>
        <v>0.85254543874327005</v>
      </c>
      <c r="Y443" s="4">
        <f t="shared" si="366"/>
        <v>0.79921300652623883</v>
      </c>
      <c r="Z443" s="4">
        <f t="shared" si="366"/>
        <v>0.73204982249993378</v>
      </c>
      <c r="AA443" s="4">
        <f t="shared" si="366"/>
        <v>0.65145592958786691</v>
      </c>
      <c r="AB443" s="4">
        <f t="shared" si="366"/>
        <v>0.56032247880849573</v>
      </c>
      <c r="AC443" s="4">
        <f t="shared" si="366"/>
        <v>0.46411326873185343</v>
      </c>
      <c r="AD443" s="4">
        <f t="shared" si="366"/>
        <v>0.36979727595523937</v>
      </c>
      <c r="AE443" s="4">
        <f t="shared" si="366"/>
        <v>0.28393948637231203</v>
      </c>
      <c r="AF443" s="4">
        <f t="shared" si="366"/>
        <v>0.21097259161117732</v>
      </c>
      <c r="AG443" s="4">
        <f t="shared" si="366"/>
        <v>0.15253917653798199</v>
      </c>
      <c r="AH443" s="4">
        <f t="shared" si="366"/>
        <v>0.10795188737709993</v>
      </c>
      <c r="AI443" s="4">
        <f t="shared" si="366"/>
        <v>7.5176653938091809E-2</v>
      </c>
      <c r="AJ443" s="4">
        <f t="shared" si="366"/>
        <v>5.1742836177502194E-2</v>
      </c>
      <c r="AK443" s="4">
        <f t="shared" si="366"/>
        <v>3.5319190625345942E-2</v>
      </c>
      <c r="AL443" s="4">
        <f t="shared" si="366"/>
        <v>2.3969442072658165E-2</v>
      </c>
      <c r="AM443" s="4">
        <f t="shared" si="366"/>
        <v>1.6202243558389728E-2</v>
      </c>
      <c r="AN443" s="4">
        <f t="shared" si="366"/>
        <v>1.0922240564108399E-2</v>
      </c>
      <c r="AO443" s="4">
        <f t="shared" si="366"/>
        <v>7.3493212906090566E-3</v>
      </c>
      <c r="AP443" s="4">
        <f t="shared" si="366"/>
        <v>4.9390262185057265E-3</v>
      </c>
      <c r="AQ443" s="4">
        <f t="shared" si="366"/>
        <v>3.3164275492956197E-3</v>
      </c>
      <c r="AR443" s="4">
        <f t="shared" si="366"/>
        <v>2.2256362146679809E-3</v>
      </c>
    </row>
    <row r="444" spans="1:44" x14ac:dyDescent="0.25">
      <c r="A444" s="24" t="s">
        <v>37</v>
      </c>
      <c r="B444" s="60">
        <f>'Parameter Input'!B75</f>
        <v>70000</v>
      </c>
      <c r="C444" s="61">
        <f>'Parameter Input'!C75</f>
        <v>70000</v>
      </c>
      <c r="D444" s="1" t="s">
        <v>38</v>
      </c>
      <c r="L444" s="54">
        <f>'Parameter Input'!E75</f>
        <v>12</v>
      </c>
      <c r="M444" s="37">
        <v>0</v>
      </c>
      <c r="N444" s="37">
        <v>1</v>
      </c>
      <c r="O444" s="37">
        <f>'Parameter Input'!F75</f>
        <v>0.9</v>
      </c>
      <c r="P444" s="55">
        <f>'Parameter Input'!G75</f>
        <v>0.4</v>
      </c>
      <c r="Q444" s="4">
        <f t="shared" si="366"/>
        <v>0.9867978615748374</v>
      </c>
      <c r="R444" s="4">
        <f t="shared" si="366"/>
        <v>0.98114509762858249</v>
      </c>
      <c r="S444" s="4">
        <f t="shared" si="366"/>
        <v>0.97311898315872036</v>
      </c>
      <c r="T444" s="4">
        <f t="shared" si="366"/>
        <v>0.96177484161592774</v>
      </c>
      <c r="U444" s="4">
        <f t="shared" si="366"/>
        <v>0.94584787155511363</v>
      </c>
      <c r="V444" s="4">
        <f t="shared" si="366"/>
        <v>0.92370360150141495</v>
      </c>
      <c r="W444" s="4">
        <f t="shared" si="366"/>
        <v>0.89334463567658451</v>
      </c>
      <c r="X444" s="4">
        <f t="shared" si="366"/>
        <v>0.85254543874327005</v>
      </c>
      <c r="Y444" s="4">
        <f t="shared" si="366"/>
        <v>0.79921300652623883</v>
      </c>
      <c r="Z444" s="4">
        <f t="shared" si="366"/>
        <v>0.73204982249993378</v>
      </c>
      <c r="AA444" s="4">
        <f t="shared" si="366"/>
        <v>0.65145592958786691</v>
      </c>
      <c r="AB444" s="4">
        <f t="shared" si="366"/>
        <v>0.56032247880849573</v>
      </c>
      <c r="AC444" s="4">
        <f t="shared" si="366"/>
        <v>0.46411326873185343</v>
      </c>
      <c r="AD444" s="4">
        <f t="shared" si="366"/>
        <v>0.36979727595523937</v>
      </c>
      <c r="AE444" s="4">
        <f t="shared" si="366"/>
        <v>0.28393948637231203</v>
      </c>
      <c r="AF444" s="4">
        <f t="shared" si="366"/>
        <v>0.21097259161117732</v>
      </c>
      <c r="AG444" s="4">
        <f t="shared" si="366"/>
        <v>0.15253917653798199</v>
      </c>
      <c r="AH444" s="4">
        <f t="shared" si="366"/>
        <v>0.10795188737709993</v>
      </c>
      <c r="AI444" s="4">
        <f t="shared" si="366"/>
        <v>7.5176653938091809E-2</v>
      </c>
      <c r="AJ444" s="4">
        <f t="shared" si="366"/>
        <v>5.1742836177502194E-2</v>
      </c>
      <c r="AK444" s="4">
        <f t="shared" si="366"/>
        <v>3.5319190625345942E-2</v>
      </c>
      <c r="AL444" s="4">
        <f t="shared" si="366"/>
        <v>2.3969442072658165E-2</v>
      </c>
      <c r="AM444" s="4">
        <f t="shared" si="366"/>
        <v>1.6202243558389728E-2</v>
      </c>
      <c r="AN444" s="4">
        <f t="shared" si="366"/>
        <v>1.0922240564108399E-2</v>
      </c>
      <c r="AO444" s="4">
        <f t="shared" si="366"/>
        <v>7.3493212906090566E-3</v>
      </c>
      <c r="AP444" s="4">
        <f t="shared" si="366"/>
        <v>4.9390262185057265E-3</v>
      </c>
      <c r="AQ444" s="4">
        <f t="shared" si="366"/>
        <v>3.3164275492956197E-3</v>
      </c>
      <c r="AR444" s="4">
        <f t="shared" si="366"/>
        <v>2.2256362146679809E-3</v>
      </c>
    </row>
    <row r="445" spans="1:44" x14ac:dyDescent="0.25">
      <c r="A445" s="24" t="s">
        <v>52</v>
      </c>
      <c r="B445" s="43">
        <f>'Parameter Input'!$L$36</f>
        <v>15000</v>
      </c>
      <c r="C445" s="44">
        <f>'Parameter Input'!$M$36</f>
        <v>15000</v>
      </c>
      <c r="D445" s="1" t="s">
        <v>38</v>
      </c>
      <c r="L445" s="54">
        <f>'Parameter Input'!$O$36</f>
        <v>8</v>
      </c>
      <c r="M445" s="37">
        <v>0</v>
      </c>
      <c r="N445" s="37">
        <v>1</v>
      </c>
      <c r="O445" s="37">
        <f>'Parameter Input'!$P$36</f>
        <v>0.9</v>
      </c>
      <c r="P445" s="55">
        <f>'Parameter Input'!$Q$36</f>
        <v>0.4</v>
      </c>
      <c r="Q445" s="4">
        <f t="shared" si="366"/>
        <v>0.94584787155511363</v>
      </c>
      <c r="R445" s="4">
        <f t="shared" si="366"/>
        <v>0.92370360150141495</v>
      </c>
      <c r="S445" s="4">
        <f t="shared" si="366"/>
        <v>0.89334463567658451</v>
      </c>
      <c r="T445" s="4">
        <f t="shared" si="366"/>
        <v>0.85254543874327005</v>
      </c>
      <c r="U445" s="4">
        <f t="shared" si="366"/>
        <v>0.79921300652623883</v>
      </c>
      <c r="V445" s="4">
        <f t="shared" si="366"/>
        <v>0.73204982249993378</v>
      </c>
      <c r="W445" s="4">
        <f t="shared" si="366"/>
        <v>0.65145592958786691</v>
      </c>
      <c r="X445" s="4">
        <f t="shared" si="366"/>
        <v>0.56032247880849573</v>
      </c>
      <c r="Y445" s="4">
        <f t="shared" si="366"/>
        <v>0.46411326873185343</v>
      </c>
      <c r="Z445" s="4">
        <f t="shared" si="366"/>
        <v>0.36979727595523937</v>
      </c>
      <c r="AA445" s="4">
        <f t="shared" si="366"/>
        <v>0.28393948637231203</v>
      </c>
      <c r="AB445" s="4">
        <f t="shared" si="366"/>
        <v>0.21097259161117732</v>
      </c>
      <c r="AC445" s="4">
        <f t="shared" si="366"/>
        <v>0.15253917653798199</v>
      </c>
      <c r="AD445" s="4">
        <f t="shared" si="366"/>
        <v>0.10795188737709993</v>
      </c>
      <c r="AE445" s="4">
        <f t="shared" si="366"/>
        <v>7.5176653938091809E-2</v>
      </c>
      <c r="AF445" s="4">
        <f t="shared" si="366"/>
        <v>5.1742836177502194E-2</v>
      </c>
      <c r="AG445" s="4">
        <f t="shared" si="366"/>
        <v>3.5319190625345942E-2</v>
      </c>
      <c r="AH445" s="4">
        <f t="shared" si="366"/>
        <v>2.3969442072658165E-2</v>
      </c>
      <c r="AI445" s="4">
        <f t="shared" si="366"/>
        <v>1.6202243558389728E-2</v>
      </c>
      <c r="AJ445" s="4">
        <f t="shared" si="366"/>
        <v>1.0922240564108399E-2</v>
      </c>
      <c r="AK445" s="4">
        <f t="shared" si="366"/>
        <v>7.3493212906090566E-3</v>
      </c>
      <c r="AL445" s="4">
        <f t="shared" si="366"/>
        <v>4.9390262185057265E-3</v>
      </c>
      <c r="AM445" s="4">
        <f t="shared" si="366"/>
        <v>3.3164275492956197E-3</v>
      </c>
      <c r="AN445" s="4">
        <f t="shared" si="366"/>
        <v>2.2256362146679809E-3</v>
      </c>
      <c r="AO445" s="4">
        <f t="shared" si="366"/>
        <v>1.4930448704811861E-3</v>
      </c>
      <c r="AP445" s="4">
        <f t="shared" si="366"/>
        <v>1.0013381504474506E-3</v>
      </c>
      <c r="AQ445" s="4">
        <f t="shared" si="366"/>
        <v>6.7145100246257527E-4</v>
      </c>
      <c r="AR445" s="4">
        <f t="shared" si="366"/>
        <v>4.5019225748876845E-4</v>
      </c>
    </row>
    <row r="446" spans="1:44" x14ac:dyDescent="0.25">
      <c r="A446" s="24" t="s">
        <v>272</v>
      </c>
      <c r="B446" s="60">
        <f>'Parameter Input'!B80</f>
        <v>0.11</v>
      </c>
      <c r="C446" s="61">
        <f>'Parameter Input'!C80</f>
        <v>0.11</v>
      </c>
      <c r="D446" s="1" t="s">
        <v>76</v>
      </c>
      <c r="L446" s="54">
        <f>'Parameter Input'!E80</f>
        <v>12</v>
      </c>
      <c r="M446" s="37">
        <v>0</v>
      </c>
      <c r="N446" s="37">
        <v>1</v>
      </c>
      <c r="O446" s="37">
        <f>'Parameter Input'!F80</f>
        <v>0.9</v>
      </c>
      <c r="P446" s="55">
        <f>'Parameter Input'!G80</f>
        <v>0.4</v>
      </c>
      <c r="Q446" s="4">
        <f t="shared" si="366"/>
        <v>0.9867978615748374</v>
      </c>
      <c r="R446" s="4">
        <f t="shared" si="366"/>
        <v>0.98114509762858249</v>
      </c>
      <c r="S446" s="4">
        <f t="shared" si="366"/>
        <v>0.97311898315872036</v>
      </c>
      <c r="T446" s="4">
        <f t="shared" si="366"/>
        <v>0.96177484161592774</v>
      </c>
      <c r="U446" s="4">
        <f t="shared" si="366"/>
        <v>0.94584787155511363</v>
      </c>
      <c r="V446" s="4">
        <f t="shared" si="366"/>
        <v>0.92370360150141495</v>
      </c>
      <c r="W446" s="4">
        <f t="shared" si="366"/>
        <v>0.89334463567658451</v>
      </c>
      <c r="X446" s="4">
        <f t="shared" si="366"/>
        <v>0.85254543874327005</v>
      </c>
      <c r="Y446" s="4">
        <f t="shared" si="366"/>
        <v>0.79921300652623883</v>
      </c>
      <c r="Z446" s="4">
        <f t="shared" si="366"/>
        <v>0.73204982249993378</v>
      </c>
      <c r="AA446" s="4">
        <f t="shared" si="366"/>
        <v>0.65145592958786691</v>
      </c>
      <c r="AB446" s="4">
        <f t="shared" si="366"/>
        <v>0.56032247880849573</v>
      </c>
      <c r="AC446" s="4">
        <f t="shared" si="366"/>
        <v>0.46411326873185343</v>
      </c>
      <c r="AD446" s="4">
        <f t="shared" si="366"/>
        <v>0.36979727595523937</v>
      </c>
      <c r="AE446" s="4">
        <f t="shared" si="366"/>
        <v>0.28393948637231203</v>
      </c>
      <c r="AF446" s="4">
        <f t="shared" si="366"/>
        <v>0.21097259161117732</v>
      </c>
      <c r="AG446" s="4">
        <f t="shared" si="366"/>
        <v>0.15253917653798199</v>
      </c>
      <c r="AH446" s="4">
        <f t="shared" si="366"/>
        <v>0.10795188737709993</v>
      </c>
      <c r="AI446" s="4">
        <f t="shared" si="366"/>
        <v>7.5176653938091809E-2</v>
      </c>
      <c r="AJ446" s="4">
        <f t="shared" si="366"/>
        <v>5.1742836177502194E-2</v>
      </c>
      <c r="AK446" s="4">
        <f t="shared" si="366"/>
        <v>3.5319190625345942E-2</v>
      </c>
      <c r="AL446" s="4">
        <f t="shared" si="366"/>
        <v>2.3969442072658165E-2</v>
      </c>
      <c r="AM446" s="4">
        <f t="shared" si="366"/>
        <v>1.6202243558389728E-2</v>
      </c>
      <c r="AN446" s="4">
        <f t="shared" si="366"/>
        <v>1.0922240564108399E-2</v>
      </c>
      <c r="AO446" s="4">
        <f t="shared" si="366"/>
        <v>7.3493212906090566E-3</v>
      </c>
      <c r="AP446" s="4">
        <f t="shared" si="366"/>
        <v>4.9390262185057265E-3</v>
      </c>
      <c r="AQ446" s="4">
        <f t="shared" si="366"/>
        <v>3.3164275492956197E-3</v>
      </c>
      <c r="AR446" s="4">
        <f t="shared" si="366"/>
        <v>2.2256362146679809E-3</v>
      </c>
    </row>
    <row r="447" spans="1:44" x14ac:dyDescent="0.25">
      <c r="A447" s="24" t="s">
        <v>59</v>
      </c>
      <c r="B447" s="47">
        <f>'Parameter Input'!$L$37</f>
        <v>1.52</v>
      </c>
      <c r="C447" s="48">
        <f>'Parameter Input'!$M$37</f>
        <v>1.1499999999999999</v>
      </c>
      <c r="D447" s="1" t="s">
        <v>60</v>
      </c>
      <c r="L447" s="54">
        <f>'Parameter Input'!$O$37</f>
        <v>8</v>
      </c>
      <c r="M447" s="37">
        <v>0</v>
      </c>
      <c r="N447" s="37">
        <v>1</v>
      </c>
      <c r="O447" s="37">
        <f>'Parameter Input'!$P$37</f>
        <v>0.9</v>
      </c>
      <c r="P447" s="55">
        <f>'Parameter Input'!$Q$37</f>
        <v>0.4</v>
      </c>
      <c r="Q447" s="4">
        <f t="shared" si="366"/>
        <v>0.94584787155511363</v>
      </c>
      <c r="R447" s="4">
        <f t="shared" si="366"/>
        <v>0.92370360150141495</v>
      </c>
      <c r="S447" s="4">
        <f t="shared" si="366"/>
        <v>0.89334463567658451</v>
      </c>
      <c r="T447" s="4">
        <f t="shared" si="366"/>
        <v>0.85254543874327005</v>
      </c>
      <c r="U447" s="4">
        <f t="shared" si="366"/>
        <v>0.79921300652623883</v>
      </c>
      <c r="V447" s="4">
        <f t="shared" si="366"/>
        <v>0.73204982249993378</v>
      </c>
      <c r="W447" s="4">
        <f t="shared" si="366"/>
        <v>0.65145592958786691</v>
      </c>
      <c r="X447" s="4">
        <f t="shared" si="366"/>
        <v>0.56032247880849573</v>
      </c>
      <c r="Y447" s="4">
        <f t="shared" si="366"/>
        <v>0.46411326873185343</v>
      </c>
      <c r="Z447" s="4">
        <f t="shared" si="366"/>
        <v>0.36979727595523937</v>
      </c>
      <c r="AA447" s="4">
        <f t="shared" si="366"/>
        <v>0.28393948637231203</v>
      </c>
      <c r="AB447" s="4">
        <f t="shared" si="366"/>
        <v>0.21097259161117732</v>
      </c>
      <c r="AC447" s="4">
        <f t="shared" si="366"/>
        <v>0.15253917653798199</v>
      </c>
      <c r="AD447" s="4">
        <f t="shared" si="366"/>
        <v>0.10795188737709993</v>
      </c>
      <c r="AE447" s="4">
        <f t="shared" si="366"/>
        <v>7.5176653938091809E-2</v>
      </c>
      <c r="AF447" s="4">
        <f t="shared" si="366"/>
        <v>5.1742836177502194E-2</v>
      </c>
      <c r="AG447" s="4">
        <f t="shared" si="366"/>
        <v>3.5319190625345942E-2</v>
      </c>
      <c r="AH447" s="4">
        <f t="shared" si="366"/>
        <v>2.3969442072658165E-2</v>
      </c>
      <c r="AI447" s="4">
        <f t="shared" si="366"/>
        <v>1.6202243558389728E-2</v>
      </c>
      <c r="AJ447" s="4">
        <f t="shared" si="366"/>
        <v>1.0922240564108399E-2</v>
      </c>
      <c r="AK447" s="4">
        <f t="shared" si="366"/>
        <v>7.3493212906090566E-3</v>
      </c>
      <c r="AL447" s="4">
        <f t="shared" si="366"/>
        <v>4.9390262185057265E-3</v>
      </c>
      <c r="AM447" s="4">
        <f t="shared" si="366"/>
        <v>3.3164275492956197E-3</v>
      </c>
      <c r="AN447" s="4">
        <f t="shared" si="366"/>
        <v>2.2256362146679809E-3</v>
      </c>
      <c r="AO447" s="4">
        <f t="shared" si="366"/>
        <v>1.4930448704811861E-3</v>
      </c>
      <c r="AP447" s="4">
        <f t="shared" si="366"/>
        <v>1.0013381504474506E-3</v>
      </c>
      <c r="AQ447" s="4">
        <f t="shared" si="366"/>
        <v>6.7145100246257527E-4</v>
      </c>
      <c r="AR447" s="4">
        <f t="shared" si="366"/>
        <v>4.5019225748876845E-4</v>
      </c>
    </row>
    <row r="448" spans="1:44" x14ac:dyDescent="0.25">
      <c r="A448" s="24" t="s">
        <v>67</v>
      </c>
      <c r="B448" s="45">
        <f>'Parameter Input'!$L$38</f>
        <v>0.13371034051801745</v>
      </c>
      <c r="C448" s="46">
        <f>'Parameter Input'!$M$38</f>
        <v>8.7585019329602734E-2</v>
      </c>
      <c r="D448" s="1" t="s">
        <v>68</v>
      </c>
      <c r="L448" s="54">
        <f>'Parameter Input'!$O$38</f>
        <v>12</v>
      </c>
      <c r="M448" s="37">
        <v>0</v>
      </c>
      <c r="N448" s="37">
        <v>1</v>
      </c>
      <c r="O448" s="37">
        <f>'Parameter Input'!$P$38</f>
        <v>0.9</v>
      </c>
      <c r="P448" s="55">
        <f>'Parameter Input'!$Q$38</f>
        <v>0.4</v>
      </c>
      <c r="Q448" s="4">
        <f t="shared" si="366"/>
        <v>0.9867978615748374</v>
      </c>
      <c r="R448" s="4">
        <f t="shared" si="366"/>
        <v>0.98114509762858249</v>
      </c>
      <c r="S448" s="4">
        <f t="shared" si="366"/>
        <v>0.97311898315872036</v>
      </c>
      <c r="T448" s="4">
        <f t="shared" ref="T448:AI455" si="367">$N448+($M448-$N448)*((1/(1+EXP(-$P448*(T$9-$L448)))^$O448))</f>
        <v>0.96177484161592774</v>
      </c>
      <c r="U448" s="4">
        <f t="shared" si="367"/>
        <v>0.94584787155511363</v>
      </c>
      <c r="V448" s="4">
        <f t="shared" si="367"/>
        <v>0.92370360150141495</v>
      </c>
      <c r="W448" s="4">
        <f t="shared" si="367"/>
        <v>0.89334463567658451</v>
      </c>
      <c r="X448" s="4">
        <f t="shared" si="367"/>
        <v>0.85254543874327005</v>
      </c>
      <c r="Y448" s="4">
        <f t="shared" si="367"/>
        <v>0.79921300652623883</v>
      </c>
      <c r="Z448" s="4">
        <f t="shared" si="367"/>
        <v>0.73204982249993378</v>
      </c>
      <c r="AA448" s="4">
        <f t="shared" si="367"/>
        <v>0.65145592958786691</v>
      </c>
      <c r="AB448" s="4">
        <f t="shared" si="367"/>
        <v>0.56032247880849573</v>
      </c>
      <c r="AC448" s="4">
        <f t="shared" si="367"/>
        <v>0.46411326873185343</v>
      </c>
      <c r="AD448" s="4">
        <f t="shared" si="367"/>
        <v>0.36979727595523937</v>
      </c>
      <c r="AE448" s="4">
        <f t="shared" si="367"/>
        <v>0.28393948637231203</v>
      </c>
      <c r="AF448" s="4">
        <f t="shared" si="367"/>
        <v>0.21097259161117732</v>
      </c>
      <c r="AG448" s="4">
        <f t="shared" si="367"/>
        <v>0.15253917653798199</v>
      </c>
      <c r="AH448" s="4">
        <f t="shared" si="367"/>
        <v>0.10795188737709993</v>
      </c>
      <c r="AI448" s="4">
        <f t="shared" si="367"/>
        <v>7.5176653938091809E-2</v>
      </c>
      <c r="AJ448" s="4">
        <f t="shared" ref="AJ448:AR455" si="368">$N448+($M448-$N448)*((1/(1+EXP(-$P448*(AJ$9-$L448)))^$O448))</f>
        <v>5.1742836177502194E-2</v>
      </c>
      <c r="AK448" s="4">
        <f t="shared" si="368"/>
        <v>3.5319190625345942E-2</v>
      </c>
      <c r="AL448" s="4">
        <f t="shared" si="368"/>
        <v>2.3969442072658165E-2</v>
      </c>
      <c r="AM448" s="4">
        <f t="shared" si="368"/>
        <v>1.6202243558389728E-2</v>
      </c>
      <c r="AN448" s="4">
        <f t="shared" si="368"/>
        <v>1.0922240564108399E-2</v>
      </c>
      <c r="AO448" s="4">
        <f t="shared" si="368"/>
        <v>7.3493212906090566E-3</v>
      </c>
      <c r="AP448" s="4">
        <f t="shared" si="368"/>
        <v>4.9390262185057265E-3</v>
      </c>
      <c r="AQ448" s="4">
        <f t="shared" si="368"/>
        <v>3.3164275492956197E-3</v>
      </c>
      <c r="AR448" s="4">
        <f t="shared" si="368"/>
        <v>2.2256362146679809E-3</v>
      </c>
    </row>
    <row r="449" spans="1:44" x14ac:dyDescent="0.25">
      <c r="A449" s="24" t="s">
        <v>206</v>
      </c>
      <c r="B449" s="115">
        <f>'Parameter Input'!$L$41</f>
        <v>3.5200000000000006E-3</v>
      </c>
      <c r="C449" s="116">
        <f>'Parameter Input'!$M$41</f>
        <v>0</v>
      </c>
      <c r="D449" s="1" t="s">
        <v>76</v>
      </c>
      <c r="L449" s="54">
        <f>'Parameter Input'!$O$41</f>
        <v>17</v>
      </c>
      <c r="M449" s="37">
        <v>0</v>
      </c>
      <c r="N449" s="37">
        <v>1</v>
      </c>
      <c r="O449" s="37">
        <f>'Parameter Input'!$P$41</f>
        <v>0.9</v>
      </c>
      <c r="P449" s="55">
        <f>'Parameter Input'!$Q$41</f>
        <v>0.4</v>
      </c>
      <c r="Q449" s="4">
        <f t="shared" ref="Q449:AR449" si="369">$N449+($M449-$N449)*((1/(1+EXP(-$P449*(Q$9-$L449)))^$O449))</f>
        <v>0.99780374543478534</v>
      </c>
      <c r="R449" s="4">
        <f t="shared" si="369"/>
        <v>0.99685359315256394</v>
      </c>
      <c r="S449" s="4">
        <f t="shared" si="369"/>
        <v>0.99549347132349975</v>
      </c>
      <c r="T449" s="4">
        <f t="shared" si="369"/>
        <v>0.99354772139898062</v>
      </c>
      <c r="U449" s="4">
        <f t="shared" si="369"/>
        <v>0.99076681540580536</v>
      </c>
      <c r="V449" s="4">
        <f t="shared" si="369"/>
        <v>0.9867978615748374</v>
      </c>
      <c r="W449" s="4">
        <f t="shared" si="369"/>
        <v>0.98114509762858249</v>
      </c>
      <c r="X449" s="4">
        <f t="shared" si="369"/>
        <v>0.97311898315872036</v>
      </c>
      <c r="Y449" s="4">
        <f t="shared" si="369"/>
        <v>0.96177484161592774</v>
      </c>
      <c r="Z449" s="4">
        <f t="shared" si="369"/>
        <v>0.94584787155511363</v>
      </c>
      <c r="AA449" s="4">
        <f t="shared" si="369"/>
        <v>0.92370360150141495</v>
      </c>
      <c r="AB449" s="4">
        <f t="shared" si="369"/>
        <v>0.89334463567658451</v>
      </c>
      <c r="AC449" s="4">
        <f t="shared" si="369"/>
        <v>0.85254543874327005</v>
      </c>
      <c r="AD449" s="4">
        <f t="shared" si="369"/>
        <v>0.79921300652623883</v>
      </c>
      <c r="AE449" s="4">
        <f t="shared" si="369"/>
        <v>0.73204982249993378</v>
      </c>
      <c r="AF449" s="4">
        <f t="shared" si="369"/>
        <v>0.65145592958786691</v>
      </c>
      <c r="AG449" s="4">
        <f t="shared" si="369"/>
        <v>0.56032247880849573</v>
      </c>
      <c r="AH449" s="4">
        <f t="shared" si="369"/>
        <v>0.46411326873185343</v>
      </c>
      <c r="AI449" s="4">
        <f t="shared" si="369"/>
        <v>0.36979727595523937</v>
      </c>
      <c r="AJ449" s="4">
        <f t="shared" si="369"/>
        <v>0.28393948637231203</v>
      </c>
      <c r="AK449" s="4">
        <f t="shared" si="369"/>
        <v>0.21097259161117732</v>
      </c>
      <c r="AL449" s="4">
        <f t="shared" si="369"/>
        <v>0.15253917653798199</v>
      </c>
      <c r="AM449" s="4">
        <f t="shared" si="369"/>
        <v>0.10795188737709993</v>
      </c>
      <c r="AN449" s="4">
        <f t="shared" si="369"/>
        <v>7.5176653938091809E-2</v>
      </c>
      <c r="AO449" s="4">
        <f t="shared" si="369"/>
        <v>5.1742836177502194E-2</v>
      </c>
      <c r="AP449" s="4">
        <f t="shared" si="369"/>
        <v>3.5319190625345942E-2</v>
      </c>
      <c r="AQ449" s="4">
        <f t="shared" si="369"/>
        <v>2.3969442072658165E-2</v>
      </c>
      <c r="AR449" s="4">
        <f t="shared" si="369"/>
        <v>1.6202243558389728E-2</v>
      </c>
    </row>
    <row r="450" spans="1:44" x14ac:dyDescent="0.25">
      <c r="A450" s="24" t="s">
        <v>41</v>
      </c>
      <c r="B450" s="43">
        <f>'Parameter Input'!$L$35</f>
        <v>8</v>
      </c>
      <c r="C450" s="44">
        <f>'Parameter Input'!$M$35</f>
        <v>8</v>
      </c>
      <c r="D450" s="1" t="s">
        <v>42</v>
      </c>
      <c r="L450" s="54">
        <f>'Parameter Input'!$O$35</f>
        <v>8</v>
      </c>
      <c r="M450" s="37">
        <v>0</v>
      </c>
      <c r="N450" s="37">
        <v>1</v>
      </c>
      <c r="O450" s="37">
        <f>'Parameter Input'!$P$35</f>
        <v>0.9</v>
      </c>
      <c r="P450" s="55">
        <f>'Parameter Input'!$Q$35</f>
        <v>0.4</v>
      </c>
      <c r="Q450" s="4">
        <f t="shared" ref="Q450:AF455" si="370">$N450+($M450-$N450)*((1/(1+EXP(-$P450*(Q$9-$L450)))^$O450))</f>
        <v>0.94584787155511363</v>
      </c>
      <c r="R450" s="4">
        <f t="shared" si="370"/>
        <v>0.92370360150141495</v>
      </c>
      <c r="S450" s="4">
        <f t="shared" si="370"/>
        <v>0.89334463567658451</v>
      </c>
      <c r="T450" s="4">
        <f t="shared" si="370"/>
        <v>0.85254543874327005</v>
      </c>
      <c r="U450" s="4">
        <f t="shared" si="370"/>
        <v>0.79921300652623883</v>
      </c>
      <c r="V450" s="4">
        <f t="shared" si="370"/>
        <v>0.73204982249993378</v>
      </c>
      <c r="W450" s="4">
        <f t="shared" si="370"/>
        <v>0.65145592958786691</v>
      </c>
      <c r="X450" s="4">
        <f t="shared" si="370"/>
        <v>0.56032247880849573</v>
      </c>
      <c r="Y450" s="4">
        <f t="shared" si="370"/>
        <v>0.46411326873185343</v>
      </c>
      <c r="Z450" s="4">
        <f t="shared" si="370"/>
        <v>0.36979727595523937</v>
      </c>
      <c r="AA450" s="4">
        <f t="shared" si="370"/>
        <v>0.28393948637231203</v>
      </c>
      <c r="AB450" s="4">
        <f t="shared" si="370"/>
        <v>0.21097259161117732</v>
      </c>
      <c r="AC450" s="4">
        <f t="shared" si="370"/>
        <v>0.15253917653798199</v>
      </c>
      <c r="AD450" s="4">
        <f t="shared" si="370"/>
        <v>0.10795188737709993</v>
      </c>
      <c r="AE450" s="4">
        <f t="shared" si="370"/>
        <v>7.5176653938091809E-2</v>
      </c>
      <c r="AF450" s="4">
        <f t="shared" si="370"/>
        <v>5.1742836177502194E-2</v>
      </c>
      <c r="AG450" s="4">
        <f t="shared" si="367"/>
        <v>3.5319190625345942E-2</v>
      </c>
      <c r="AH450" s="4">
        <f t="shared" si="367"/>
        <v>2.3969442072658165E-2</v>
      </c>
      <c r="AI450" s="4">
        <f t="shared" si="367"/>
        <v>1.6202243558389728E-2</v>
      </c>
      <c r="AJ450" s="4">
        <f t="shared" si="368"/>
        <v>1.0922240564108399E-2</v>
      </c>
      <c r="AK450" s="4">
        <f t="shared" si="368"/>
        <v>7.3493212906090566E-3</v>
      </c>
      <c r="AL450" s="4">
        <f t="shared" si="368"/>
        <v>4.9390262185057265E-3</v>
      </c>
      <c r="AM450" s="4">
        <f t="shared" si="368"/>
        <v>3.3164275492956197E-3</v>
      </c>
      <c r="AN450" s="4">
        <f t="shared" si="368"/>
        <v>2.2256362146679809E-3</v>
      </c>
      <c r="AO450" s="4">
        <f t="shared" si="368"/>
        <v>1.4930448704811861E-3</v>
      </c>
      <c r="AP450" s="4">
        <f t="shared" si="368"/>
        <v>1.0013381504474506E-3</v>
      </c>
      <c r="AQ450" s="4">
        <f t="shared" si="368"/>
        <v>6.7145100246257527E-4</v>
      </c>
      <c r="AR450" s="4">
        <f t="shared" si="368"/>
        <v>4.5019225748876845E-4</v>
      </c>
    </row>
    <row r="451" spans="1:44" x14ac:dyDescent="0.25">
      <c r="A451" s="24" t="s">
        <v>70</v>
      </c>
      <c r="B451" s="60">
        <f>'Parameter Input'!B79</f>
        <v>10</v>
      </c>
      <c r="C451" s="61">
        <f>'Parameter Input'!C79</f>
        <v>10</v>
      </c>
      <c r="D451" s="1" t="s">
        <v>42</v>
      </c>
      <c r="L451" s="54">
        <f>'Parameter Input'!E79</f>
        <v>12</v>
      </c>
      <c r="M451" s="37">
        <v>0</v>
      </c>
      <c r="N451" s="37">
        <v>1</v>
      </c>
      <c r="O451" s="37">
        <f>'Parameter Input'!F79</f>
        <v>0.9</v>
      </c>
      <c r="P451" s="55">
        <f>'Parameter Input'!G79</f>
        <v>0.4</v>
      </c>
      <c r="Q451" s="4">
        <f t="shared" si="370"/>
        <v>0.9867978615748374</v>
      </c>
      <c r="R451" s="4">
        <f t="shared" si="370"/>
        <v>0.98114509762858249</v>
      </c>
      <c r="S451" s="4">
        <f t="shared" si="370"/>
        <v>0.97311898315872036</v>
      </c>
      <c r="T451" s="4">
        <f t="shared" si="370"/>
        <v>0.96177484161592774</v>
      </c>
      <c r="U451" s="4">
        <f t="shared" si="370"/>
        <v>0.94584787155511363</v>
      </c>
      <c r="V451" s="4">
        <f t="shared" si="370"/>
        <v>0.92370360150141495</v>
      </c>
      <c r="W451" s="4">
        <f t="shared" si="370"/>
        <v>0.89334463567658451</v>
      </c>
      <c r="X451" s="4">
        <f t="shared" si="370"/>
        <v>0.85254543874327005</v>
      </c>
      <c r="Y451" s="4">
        <f t="shared" si="370"/>
        <v>0.79921300652623883</v>
      </c>
      <c r="Z451" s="4">
        <f t="shared" si="370"/>
        <v>0.73204982249993378</v>
      </c>
      <c r="AA451" s="4">
        <f t="shared" si="370"/>
        <v>0.65145592958786691</v>
      </c>
      <c r="AB451" s="4">
        <f t="shared" si="370"/>
        <v>0.56032247880849573</v>
      </c>
      <c r="AC451" s="4">
        <f t="shared" si="370"/>
        <v>0.46411326873185343</v>
      </c>
      <c r="AD451" s="4">
        <f t="shared" si="370"/>
        <v>0.36979727595523937</v>
      </c>
      <c r="AE451" s="4">
        <f t="shared" si="370"/>
        <v>0.28393948637231203</v>
      </c>
      <c r="AF451" s="4">
        <f t="shared" si="370"/>
        <v>0.21097259161117732</v>
      </c>
      <c r="AG451" s="4">
        <f t="shared" si="367"/>
        <v>0.15253917653798199</v>
      </c>
      <c r="AH451" s="4">
        <f t="shared" si="367"/>
        <v>0.10795188737709993</v>
      </c>
      <c r="AI451" s="4">
        <f t="shared" si="367"/>
        <v>7.5176653938091809E-2</v>
      </c>
      <c r="AJ451" s="4">
        <f t="shared" si="368"/>
        <v>5.1742836177502194E-2</v>
      </c>
      <c r="AK451" s="4">
        <f t="shared" si="368"/>
        <v>3.5319190625345942E-2</v>
      </c>
      <c r="AL451" s="4">
        <f t="shared" si="368"/>
        <v>2.3969442072658165E-2</v>
      </c>
      <c r="AM451" s="4">
        <f t="shared" si="368"/>
        <v>1.6202243558389728E-2</v>
      </c>
      <c r="AN451" s="4">
        <f t="shared" si="368"/>
        <v>1.0922240564108399E-2</v>
      </c>
      <c r="AO451" s="4">
        <f t="shared" si="368"/>
        <v>7.3493212906090566E-3</v>
      </c>
      <c r="AP451" s="4">
        <f t="shared" si="368"/>
        <v>4.9390262185057265E-3</v>
      </c>
      <c r="AQ451" s="4">
        <f t="shared" si="368"/>
        <v>3.3164275492956197E-3</v>
      </c>
      <c r="AR451" s="4">
        <f t="shared" si="368"/>
        <v>2.2256362146679809E-3</v>
      </c>
    </row>
    <row r="452" spans="1:44" x14ac:dyDescent="0.25">
      <c r="A452" s="24" t="s">
        <v>207</v>
      </c>
      <c r="B452" s="43">
        <f>'Parameter Input'!B76</f>
        <v>25</v>
      </c>
      <c r="C452" s="44">
        <f>'Parameter Input'!C76</f>
        <v>25</v>
      </c>
      <c r="D452" s="1" t="s">
        <v>49</v>
      </c>
      <c r="L452" s="54">
        <f>'Parameter Input'!E76</f>
        <v>12</v>
      </c>
      <c r="M452" s="37">
        <v>0</v>
      </c>
      <c r="N452" s="37">
        <v>1</v>
      </c>
      <c r="O452" s="37">
        <f>'Parameter Input'!F76</f>
        <v>0.9</v>
      </c>
      <c r="P452" s="55">
        <f>'Parameter Input'!G76</f>
        <v>0.4</v>
      </c>
      <c r="Q452" s="4">
        <f t="shared" si="370"/>
        <v>0.9867978615748374</v>
      </c>
      <c r="R452" s="4">
        <f t="shared" si="370"/>
        <v>0.98114509762858249</v>
      </c>
      <c r="S452" s="4">
        <f t="shared" si="370"/>
        <v>0.97311898315872036</v>
      </c>
      <c r="T452" s="4">
        <f t="shared" si="370"/>
        <v>0.96177484161592774</v>
      </c>
      <c r="U452" s="4">
        <f t="shared" si="370"/>
        <v>0.94584787155511363</v>
      </c>
      <c r="V452" s="4">
        <f t="shared" si="370"/>
        <v>0.92370360150141495</v>
      </c>
      <c r="W452" s="4">
        <f t="shared" si="370"/>
        <v>0.89334463567658451</v>
      </c>
      <c r="X452" s="4">
        <f t="shared" si="370"/>
        <v>0.85254543874327005</v>
      </c>
      <c r="Y452" s="4">
        <f t="shared" si="370"/>
        <v>0.79921300652623883</v>
      </c>
      <c r="Z452" s="4">
        <f t="shared" si="370"/>
        <v>0.73204982249993378</v>
      </c>
      <c r="AA452" s="4">
        <f t="shared" si="370"/>
        <v>0.65145592958786691</v>
      </c>
      <c r="AB452" s="4">
        <f t="shared" si="370"/>
        <v>0.56032247880849573</v>
      </c>
      <c r="AC452" s="4">
        <f t="shared" si="370"/>
        <v>0.46411326873185343</v>
      </c>
      <c r="AD452" s="4">
        <f t="shared" si="370"/>
        <v>0.36979727595523937</v>
      </c>
      <c r="AE452" s="4">
        <f t="shared" si="370"/>
        <v>0.28393948637231203</v>
      </c>
      <c r="AF452" s="4">
        <f t="shared" si="370"/>
        <v>0.21097259161117732</v>
      </c>
      <c r="AG452" s="4">
        <f t="shared" si="367"/>
        <v>0.15253917653798199</v>
      </c>
      <c r="AH452" s="4">
        <f t="shared" si="367"/>
        <v>0.10795188737709993</v>
      </c>
      <c r="AI452" s="4">
        <f t="shared" si="367"/>
        <v>7.5176653938091809E-2</v>
      </c>
      <c r="AJ452" s="4">
        <f t="shared" si="368"/>
        <v>5.1742836177502194E-2</v>
      </c>
      <c r="AK452" s="4">
        <f t="shared" si="368"/>
        <v>3.5319190625345942E-2</v>
      </c>
      <c r="AL452" s="4">
        <f t="shared" si="368"/>
        <v>2.3969442072658165E-2</v>
      </c>
      <c r="AM452" s="4">
        <f t="shared" si="368"/>
        <v>1.6202243558389728E-2</v>
      </c>
      <c r="AN452" s="4">
        <f t="shared" si="368"/>
        <v>1.0922240564108399E-2</v>
      </c>
      <c r="AO452" s="4">
        <f t="shared" si="368"/>
        <v>7.3493212906090566E-3</v>
      </c>
      <c r="AP452" s="4">
        <f t="shared" si="368"/>
        <v>4.9390262185057265E-3</v>
      </c>
      <c r="AQ452" s="4">
        <f t="shared" si="368"/>
        <v>3.3164275492956197E-3</v>
      </c>
      <c r="AR452" s="4">
        <f t="shared" si="368"/>
        <v>2.2256362146679809E-3</v>
      </c>
    </row>
    <row r="453" spans="1:44" x14ac:dyDescent="0.25">
      <c r="A453" s="24" t="s">
        <v>56</v>
      </c>
      <c r="B453" s="45">
        <f>'Parameter Input'!B77</f>
        <v>0.64</v>
      </c>
      <c r="C453" s="46">
        <f>'Parameter Input'!C77</f>
        <v>0.64</v>
      </c>
      <c r="D453" s="1" t="s">
        <v>57</v>
      </c>
      <c r="L453" s="54">
        <f>'Parameter Input'!E77</f>
        <v>12</v>
      </c>
      <c r="M453" s="37">
        <v>0</v>
      </c>
      <c r="N453" s="37">
        <v>1</v>
      </c>
      <c r="O453" s="37">
        <f>'Parameter Input'!F77</f>
        <v>0.9</v>
      </c>
      <c r="P453" s="55">
        <f>'Parameter Input'!G77</f>
        <v>0.4</v>
      </c>
      <c r="Q453" s="4">
        <f t="shared" si="370"/>
        <v>0.9867978615748374</v>
      </c>
      <c r="R453" s="4">
        <f t="shared" si="370"/>
        <v>0.98114509762858249</v>
      </c>
      <c r="S453" s="4">
        <f t="shared" si="370"/>
        <v>0.97311898315872036</v>
      </c>
      <c r="T453" s="4">
        <f t="shared" si="370"/>
        <v>0.96177484161592774</v>
      </c>
      <c r="U453" s="4">
        <f t="shared" si="370"/>
        <v>0.94584787155511363</v>
      </c>
      <c r="V453" s="4">
        <f t="shared" si="370"/>
        <v>0.92370360150141495</v>
      </c>
      <c r="W453" s="4">
        <f t="shared" si="370"/>
        <v>0.89334463567658451</v>
      </c>
      <c r="X453" s="4">
        <f t="shared" si="370"/>
        <v>0.85254543874327005</v>
      </c>
      <c r="Y453" s="4">
        <f t="shared" si="370"/>
        <v>0.79921300652623883</v>
      </c>
      <c r="Z453" s="4">
        <f t="shared" si="370"/>
        <v>0.73204982249993378</v>
      </c>
      <c r="AA453" s="4">
        <f t="shared" si="370"/>
        <v>0.65145592958786691</v>
      </c>
      <c r="AB453" s="4">
        <f t="shared" si="370"/>
        <v>0.56032247880849573</v>
      </c>
      <c r="AC453" s="4">
        <f t="shared" si="370"/>
        <v>0.46411326873185343</v>
      </c>
      <c r="AD453" s="4">
        <f t="shared" si="370"/>
        <v>0.36979727595523937</v>
      </c>
      <c r="AE453" s="4">
        <f t="shared" si="370"/>
        <v>0.28393948637231203</v>
      </c>
      <c r="AF453" s="4">
        <f t="shared" si="370"/>
        <v>0.21097259161117732</v>
      </c>
      <c r="AG453" s="4">
        <f t="shared" si="367"/>
        <v>0.15253917653798199</v>
      </c>
      <c r="AH453" s="4">
        <f t="shared" si="367"/>
        <v>0.10795188737709993</v>
      </c>
      <c r="AI453" s="4">
        <f t="shared" si="367"/>
        <v>7.5176653938091809E-2</v>
      </c>
      <c r="AJ453" s="4">
        <f t="shared" si="368"/>
        <v>5.1742836177502194E-2</v>
      </c>
      <c r="AK453" s="4">
        <f t="shared" si="368"/>
        <v>3.5319190625345942E-2</v>
      </c>
      <c r="AL453" s="4">
        <f t="shared" si="368"/>
        <v>2.3969442072658165E-2</v>
      </c>
      <c r="AM453" s="4">
        <f t="shared" si="368"/>
        <v>1.6202243558389728E-2</v>
      </c>
      <c r="AN453" s="4">
        <f t="shared" si="368"/>
        <v>1.0922240564108399E-2</v>
      </c>
      <c r="AO453" s="4">
        <f t="shared" si="368"/>
        <v>7.3493212906090566E-3</v>
      </c>
      <c r="AP453" s="4">
        <f t="shared" si="368"/>
        <v>4.9390262185057265E-3</v>
      </c>
      <c r="AQ453" s="4">
        <f t="shared" si="368"/>
        <v>3.3164275492956197E-3</v>
      </c>
      <c r="AR453" s="4">
        <f t="shared" si="368"/>
        <v>2.2256362146679809E-3</v>
      </c>
    </row>
    <row r="454" spans="1:44" x14ac:dyDescent="0.25">
      <c r="A454" s="24" t="s">
        <v>73</v>
      </c>
      <c r="B454" s="72">
        <f>'Parameter Input'!$L$39</f>
        <v>0.1</v>
      </c>
      <c r="C454" s="73">
        <f>'Parameter Input'!$M$39</f>
        <v>0.05</v>
      </c>
      <c r="D454" s="1" t="s">
        <v>57</v>
      </c>
      <c r="L454" s="54">
        <f>'Parameter Input'!$O$39</f>
        <v>12</v>
      </c>
      <c r="M454" s="37">
        <v>0</v>
      </c>
      <c r="N454" s="37">
        <v>1</v>
      </c>
      <c r="O454" s="37">
        <f>'Parameter Input'!$P$39</f>
        <v>0.9</v>
      </c>
      <c r="P454" s="55">
        <f>'Parameter Input'!$Q$39</f>
        <v>0.4</v>
      </c>
      <c r="Q454" s="4">
        <f t="shared" si="370"/>
        <v>0.9867978615748374</v>
      </c>
      <c r="R454" s="4">
        <f t="shared" si="370"/>
        <v>0.98114509762858249</v>
      </c>
      <c r="S454" s="4">
        <f t="shared" si="370"/>
        <v>0.97311898315872036</v>
      </c>
      <c r="T454" s="4">
        <f t="shared" si="370"/>
        <v>0.96177484161592774</v>
      </c>
      <c r="U454" s="4">
        <f t="shared" si="370"/>
        <v>0.94584787155511363</v>
      </c>
      <c r="V454" s="4">
        <f t="shared" si="370"/>
        <v>0.92370360150141495</v>
      </c>
      <c r="W454" s="4">
        <f t="shared" si="370"/>
        <v>0.89334463567658451</v>
      </c>
      <c r="X454" s="4">
        <f t="shared" si="370"/>
        <v>0.85254543874327005</v>
      </c>
      <c r="Y454" s="4">
        <f t="shared" si="370"/>
        <v>0.79921300652623883</v>
      </c>
      <c r="Z454" s="4">
        <f t="shared" si="370"/>
        <v>0.73204982249993378</v>
      </c>
      <c r="AA454" s="4">
        <f t="shared" si="370"/>
        <v>0.65145592958786691</v>
      </c>
      <c r="AB454" s="4">
        <f t="shared" si="370"/>
        <v>0.56032247880849573</v>
      </c>
      <c r="AC454" s="4">
        <f t="shared" si="370"/>
        <v>0.46411326873185343</v>
      </c>
      <c r="AD454" s="4">
        <f t="shared" si="370"/>
        <v>0.36979727595523937</v>
      </c>
      <c r="AE454" s="4">
        <f t="shared" si="370"/>
        <v>0.28393948637231203</v>
      </c>
      <c r="AF454" s="4">
        <f t="shared" si="370"/>
        <v>0.21097259161117732</v>
      </c>
      <c r="AG454" s="4">
        <f t="shared" si="367"/>
        <v>0.15253917653798199</v>
      </c>
      <c r="AH454" s="4">
        <f t="shared" si="367"/>
        <v>0.10795188737709993</v>
      </c>
      <c r="AI454" s="4">
        <f t="shared" si="367"/>
        <v>7.5176653938091809E-2</v>
      </c>
      <c r="AJ454" s="4">
        <f t="shared" si="368"/>
        <v>5.1742836177502194E-2</v>
      </c>
      <c r="AK454" s="4">
        <f t="shared" si="368"/>
        <v>3.5319190625345942E-2</v>
      </c>
      <c r="AL454" s="4">
        <f t="shared" si="368"/>
        <v>2.3969442072658165E-2</v>
      </c>
      <c r="AM454" s="4">
        <f t="shared" si="368"/>
        <v>1.6202243558389728E-2</v>
      </c>
      <c r="AN454" s="4">
        <f t="shared" si="368"/>
        <v>1.0922240564108399E-2</v>
      </c>
      <c r="AO454" s="4">
        <f t="shared" si="368"/>
        <v>7.3493212906090566E-3</v>
      </c>
      <c r="AP454" s="4">
        <f t="shared" si="368"/>
        <v>4.9390262185057265E-3</v>
      </c>
      <c r="AQ454" s="4">
        <f t="shared" si="368"/>
        <v>3.3164275492956197E-3</v>
      </c>
      <c r="AR454" s="4">
        <f t="shared" si="368"/>
        <v>2.2256362146679809E-3</v>
      </c>
    </row>
    <row r="455" spans="1:44" ht="15.75" thickBot="1" x14ac:dyDescent="0.3">
      <c r="A455" s="24" t="s">
        <v>64</v>
      </c>
      <c r="B455" s="49">
        <f>'Parameter Input'!B78</f>
        <v>90000</v>
      </c>
      <c r="C455" s="50">
        <f>'Parameter Input'!C78</f>
        <v>90000</v>
      </c>
      <c r="D455" s="1" t="s">
        <v>65</v>
      </c>
      <c r="L455" s="56">
        <f>'Parameter Input'!E78</f>
        <v>12</v>
      </c>
      <c r="M455" s="57">
        <v>0</v>
      </c>
      <c r="N455" s="57">
        <v>1</v>
      </c>
      <c r="O455" s="57">
        <f>'Parameter Input'!F78</f>
        <v>0.9</v>
      </c>
      <c r="P455" s="58">
        <f>'Parameter Input'!G78</f>
        <v>0.4</v>
      </c>
      <c r="Q455" s="4">
        <f t="shared" si="370"/>
        <v>0.9867978615748374</v>
      </c>
      <c r="R455" s="4">
        <f t="shared" si="370"/>
        <v>0.98114509762858249</v>
      </c>
      <c r="S455" s="4">
        <f t="shared" si="370"/>
        <v>0.97311898315872036</v>
      </c>
      <c r="T455" s="4">
        <f t="shared" si="370"/>
        <v>0.96177484161592774</v>
      </c>
      <c r="U455" s="4">
        <f t="shared" si="370"/>
        <v>0.94584787155511363</v>
      </c>
      <c r="V455" s="4">
        <f t="shared" si="370"/>
        <v>0.92370360150141495</v>
      </c>
      <c r="W455" s="4">
        <f t="shared" si="370"/>
        <v>0.89334463567658451</v>
      </c>
      <c r="X455" s="4">
        <f t="shared" si="370"/>
        <v>0.85254543874327005</v>
      </c>
      <c r="Y455" s="4">
        <f t="shared" si="370"/>
        <v>0.79921300652623883</v>
      </c>
      <c r="Z455" s="4">
        <f t="shared" si="370"/>
        <v>0.73204982249993378</v>
      </c>
      <c r="AA455" s="4">
        <f t="shared" si="370"/>
        <v>0.65145592958786691</v>
      </c>
      <c r="AB455" s="4">
        <f t="shared" si="370"/>
        <v>0.56032247880849573</v>
      </c>
      <c r="AC455" s="4">
        <f t="shared" si="370"/>
        <v>0.46411326873185343</v>
      </c>
      <c r="AD455" s="4">
        <f t="shared" si="370"/>
        <v>0.36979727595523937</v>
      </c>
      <c r="AE455" s="4">
        <f t="shared" si="370"/>
        <v>0.28393948637231203</v>
      </c>
      <c r="AF455" s="4">
        <f t="shared" si="370"/>
        <v>0.21097259161117732</v>
      </c>
      <c r="AG455" s="4">
        <f t="shared" si="367"/>
        <v>0.15253917653798199</v>
      </c>
      <c r="AH455" s="4">
        <f t="shared" si="367"/>
        <v>0.10795188737709993</v>
      </c>
      <c r="AI455" s="4">
        <f t="shared" si="367"/>
        <v>7.5176653938091809E-2</v>
      </c>
      <c r="AJ455" s="4">
        <f t="shared" si="368"/>
        <v>5.1742836177502194E-2</v>
      </c>
      <c r="AK455" s="4">
        <f t="shared" si="368"/>
        <v>3.5319190625345942E-2</v>
      </c>
      <c r="AL455" s="4">
        <f t="shared" si="368"/>
        <v>2.3969442072658165E-2</v>
      </c>
      <c r="AM455" s="4">
        <f t="shared" si="368"/>
        <v>1.6202243558389728E-2</v>
      </c>
      <c r="AN455" s="4">
        <f t="shared" si="368"/>
        <v>1.0922240564108399E-2</v>
      </c>
      <c r="AO455" s="4">
        <f t="shared" si="368"/>
        <v>7.3493212906090566E-3</v>
      </c>
      <c r="AP455" s="4">
        <f t="shared" si="368"/>
        <v>4.9390262185057265E-3</v>
      </c>
      <c r="AQ455" s="4">
        <f t="shared" si="368"/>
        <v>3.3164275492956197E-3</v>
      </c>
      <c r="AR455" s="4">
        <f t="shared" si="368"/>
        <v>2.2256362146679809E-3</v>
      </c>
    </row>
    <row r="456" spans="1:44" x14ac:dyDescent="0.25">
      <c r="A456" s="25"/>
      <c r="B456" s="40"/>
    </row>
    <row r="457" spans="1:44" ht="15.75" thickBot="1" x14ac:dyDescent="0.3"/>
    <row r="458" spans="1:44" ht="15.75" thickBot="1" x14ac:dyDescent="0.3">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68" si="371">A439</f>
        <v>Capex vehicle</v>
      </c>
      <c r="B459" s="62">
        <f t="shared" ref="B459:B468" si="372">$B439+($C439-$B439)*(1-Q439)</f>
        <v>386191.20724655397</v>
      </c>
      <c r="C459" s="62">
        <f t="shared" ref="C459:C468" si="373">$B439+($C439-$B439)*(1-R439)</f>
        <v>380544.41838286084</v>
      </c>
      <c r="D459" s="62">
        <f t="shared" ref="D459:D468" si="374">$B439+($C439-$B439)*(1-S439)</f>
        <v>372802.88209752907</v>
      </c>
      <c r="E459" s="62">
        <f t="shared" ref="E459:E468" si="375">$B439+($C439-$B439)*(1-T439)</f>
        <v>362399.08687953383</v>
      </c>
      <c r="F459" s="62">
        <f t="shared" ref="F459:F468" si="376">$B439+($C439-$B439)*(1-U439)</f>
        <v>348799.3166641909</v>
      </c>
      <c r="G459" s="62">
        <f t="shared" ref="G459:G468" si="377">$B439+($C439-$B439)*(1-V439)</f>
        <v>331672.70473748312</v>
      </c>
      <c r="H459" s="62">
        <f t="shared" ref="H459:H468" si="378">$B439+($C439-$B439)*(1-W439)</f>
        <v>311121.26204490603</v>
      </c>
      <c r="I459" s="62">
        <f t="shared" ref="I459:I468" si="379">$B439+($C439-$B439)*(1-X439)</f>
        <v>287882.23209616641</v>
      </c>
      <c r="J459" s="62">
        <f t="shared" ref="J459:J468" si="380">$B439+($C439-$B439)*(1-Y439)</f>
        <v>263348.88352662267</v>
      </c>
      <c r="K459" s="62">
        <f t="shared" ref="K459:K468" si="381">$B439+($C439-$B439)*(1-Z439)</f>
        <v>239298.30536858604</v>
      </c>
      <c r="L459" s="62">
        <f t="shared" ref="L459:L468" si="382">$B439+($C439-$B439)*(1-AA439)</f>
        <v>217404.56902493956</v>
      </c>
      <c r="M459" s="62">
        <f t="shared" ref="M459:M468" si="383">$B439+($C439-$B439)*(1-AB439)</f>
        <v>198798.01086085022</v>
      </c>
      <c r="N459" s="62">
        <f t="shared" ref="N459:N468" si="384">$B439+($C439-$B439)*(1-AC439)</f>
        <v>183897.4900171854</v>
      </c>
      <c r="O459" s="62">
        <f t="shared" ref="O459:O468" si="385">$B439+($C439-$B439)*(1-AD439)</f>
        <v>172527.73128116049</v>
      </c>
      <c r="P459" s="62">
        <f t="shared" ref="P459:P468" si="386">$B439+($C439-$B439)*(1-AE439)</f>
        <v>164170.0467542134</v>
      </c>
      <c r="Q459" s="62">
        <f t="shared" ref="Q459:Q468" si="387">$B439+($C439-$B439)*(1-AF439)</f>
        <v>158194.42322526305</v>
      </c>
      <c r="R459" s="62">
        <f t="shared" ref="R459:R468" si="388">$B439+($C439-$B439)*(1-AG439)</f>
        <v>154006.39360946321</v>
      </c>
      <c r="S459" s="62">
        <f t="shared" ref="S459:S468" si="389">$B439+($C439-$B439)*(1-AH439)</f>
        <v>151112.20772852784</v>
      </c>
      <c r="T459" s="62">
        <f t="shared" ref="T459:T468" si="390">$B439+($C439-$B439)*(1-AI439)</f>
        <v>149131.57210738939</v>
      </c>
      <c r="U459" s="62">
        <f t="shared" ref="U459:U468" si="391">$B439+($C439-$B439)*(1-AJ439)</f>
        <v>147785.17134384764</v>
      </c>
      <c r="V459" s="62">
        <f t="shared" ref="V459:V468" si="392">$B439+($C439-$B439)*(1-AK439)</f>
        <v>146874.0769291053</v>
      </c>
      <c r="W459" s="62">
        <f t="shared" ref="W459:W468" si="393">$B439+($C439-$B439)*(1-AL439)</f>
        <v>146259.45168571896</v>
      </c>
      <c r="X459" s="62">
        <f t="shared" ref="X459:X468" si="394">$B439+($C439-$B439)*(1-AM439)</f>
        <v>145845.68902507037</v>
      </c>
      <c r="Y459" s="62">
        <f t="shared" ref="Y459:Y468" si="395">$B439+($C439-$B439)*(1-AN439)</f>
        <v>145567.53723474033</v>
      </c>
      <c r="Z459" s="62">
        <f t="shared" ref="Z459:Z468" si="396">$B439+($C439-$B439)*(1-AO439)</f>
        <v>145380.72644197271</v>
      </c>
      <c r="AA459" s="62">
        <f t="shared" ref="AA459:AA468" si="397">$B439+($C439-$B439)*(1-AP439)</f>
        <v>145255.34122836409</v>
      </c>
      <c r="AB459" s="62">
        <f t="shared" ref="AB459:AB468" si="398">$B439+($C439-$B439)*(1-AQ439)</f>
        <v>145171.22000562795</v>
      </c>
      <c r="AC459" s="62">
        <f t="shared" ref="AC459:AC468" si="399">$B439+($C439-$B439)*(1-AR439)</f>
        <v>145114.79902565962</v>
      </c>
    </row>
    <row r="460" spans="1:44" x14ac:dyDescent="0.25">
      <c r="A460" s="30" t="str">
        <f t="shared" si="371"/>
        <v>Residual value (vehicle)</v>
      </c>
      <c r="B460" s="62">
        <f t="shared" si="372"/>
        <v>-58713.886949433945</v>
      </c>
      <c r="C460" s="62">
        <f t="shared" si="373"/>
        <v>-58187.960535658603</v>
      </c>
      <c r="D460" s="62">
        <f t="shared" si="374"/>
        <v>-57466.935097318885</v>
      </c>
      <c r="E460" s="62">
        <f t="shared" si="375"/>
        <v>-56497.954170152661</v>
      </c>
      <c r="F460" s="62">
        <f t="shared" si="376"/>
        <v>-55231.308904998172</v>
      </c>
      <c r="G460" s="62">
        <f t="shared" si="377"/>
        <v>-53636.18328437343</v>
      </c>
      <c r="H460" s="62">
        <f t="shared" si="378"/>
        <v>-51722.078327711839</v>
      </c>
      <c r="I460" s="62">
        <f t="shared" si="379"/>
        <v>-49557.658871701773</v>
      </c>
      <c r="J460" s="62">
        <f t="shared" si="380"/>
        <v>-47272.690132381518</v>
      </c>
      <c r="K460" s="62">
        <f t="shared" si="381"/>
        <v>-45032.685303936931</v>
      </c>
      <c r="L460" s="62">
        <f t="shared" si="382"/>
        <v>-42993.562801342414</v>
      </c>
      <c r="M460" s="62">
        <f t="shared" si="383"/>
        <v>-41260.599050765464</v>
      </c>
      <c r="N460" s="62">
        <f t="shared" si="384"/>
        <v>-39872.805442777069</v>
      </c>
      <c r="O460" s="62">
        <f t="shared" si="385"/>
        <v>-38813.857325206125</v>
      </c>
      <c r="P460" s="62">
        <f t="shared" si="386"/>
        <v>-38035.445531029676</v>
      </c>
      <c r="Q460" s="62">
        <f t="shared" si="387"/>
        <v>-37478.892359215679</v>
      </c>
      <c r="R460" s="62">
        <f t="shared" si="388"/>
        <v>-37088.830777351963</v>
      </c>
      <c r="S460" s="62">
        <f t="shared" si="389"/>
        <v>-36819.274249225637</v>
      </c>
      <c r="T460" s="62">
        <f t="shared" si="390"/>
        <v>-36634.803284511756</v>
      </c>
      <c r="U460" s="62">
        <f t="shared" si="391"/>
        <v>-36509.403213397571</v>
      </c>
      <c r="V460" s="62">
        <f t="shared" si="392"/>
        <v>-36424.546380651969</v>
      </c>
      <c r="W460" s="62">
        <f t="shared" si="393"/>
        <v>-36367.30187268951</v>
      </c>
      <c r="X460" s="62">
        <f t="shared" si="394"/>
        <v>-36328.765154295776</v>
      </c>
      <c r="Y460" s="62">
        <f t="shared" si="395"/>
        <v>-36302.858860098364</v>
      </c>
      <c r="Z460" s="62">
        <f t="shared" si="396"/>
        <v>-36285.459815673923</v>
      </c>
      <c r="AA460" s="62">
        <f t="shared" si="397"/>
        <v>-36273.781781073129</v>
      </c>
      <c r="AB460" s="62">
        <f t="shared" si="398"/>
        <v>-36265.946961308488</v>
      </c>
      <c r="AC460" s="62">
        <f t="shared" si="399"/>
        <v>-36260.692066115356</v>
      </c>
    </row>
    <row r="461" spans="1:44" x14ac:dyDescent="0.25">
      <c r="A461" s="30" t="str">
        <f t="shared" si="371"/>
        <v>Capex costumization</v>
      </c>
      <c r="B461" s="62">
        <f t="shared" si="372"/>
        <v>35000</v>
      </c>
      <c r="C461" s="62">
        <f t="shared" si="373"/>
        <v>35000</v>
      </c>
      <c r="D461" s="62">
        <f t="shared" si="374"/>
        <v>35000</v>
      </c>
      <c r="E461" s="62">
        <f t="shared" si="375"/>
        <v>35000</v>
      </c>
      <c r="F461" s="62">
        <f t="shared" si="376"/>
        <v>35000</v>
      </c>
      <c r="G461" s="62">
        <f t="shared" si="377"/>
        <v>35000</v>
      </c>
      <c r="H461" s="62">
        <f t="shared" si="378"/>
        <v>35000</v>
      </c>
      <c r="I461" s="62">
        <f t="shared" si="379"/>
        <v>35000</v>
      </c>
      <c r="J461" s="62">
        <f t="shared" si="380"/>
        <v>35000</v>
      </c>
      <c r="K461" s="62">
        <f t="shared" si="381"/>
        <v>35000</v>
      </c>
      <c r="L461" s="62">
        <f t="shared" si="382"/>
        <v>35000</v>
      </c>
      <c r="M461" s="62">
        <f t="shared" si="383"/>
        <v>35000</v>
      </c>
      <c r="N461" s="62">
        <f t="shared" si="384"/>
        <v>35000</v>
      </c>
      <c r="O461" s="62">
        <f t="shared" si="385"/>
        <v>35000</v>
      </c>
      <c r="P461" s="62">
        <f t="shared" si="386"/>
        <v>35000</v>
      </c>
      <c r="Q461" s="62">
        <f t="shared" si="387"/>
        <v>35000</v>
      </c>
      <c r="R461" s="62">
        <f t="shared" si="388"/>
        <v>35000</v>
      </c>
      <c r="S461" s="62">
        <f t="shared" si="389"/>
        <v>35000</v>
      </c>
      <c r="T461" s="62">
        <f t="shared" si="390"/>
        <v>35000</v>
      </c>
      <c r="U461" s="62">
        <f t="shared" si="391"/>
        <v>35000</v>
      </c>
      <c r="V461" s="62">
        <f t="shared" si="392"/>
        <v>35000</v>
      </c>
      <c r="W461" s="62">
        <f t="shared" si="393"/>
        <v>35000</v>
      </c>
      <c r="X461" s="62">
        <f t="shared" si="394"/>
        <v>35000</v>
      </c>
      <c r="Y461" s="62">
        <f t="shared" si="395"/>
        <v>35000</v>
      </c>
      <c r="Z461" s="62">
        <f t="shared" si="396"/>
        <v>35000</v>
      </c>
      <c r="AA461" s="62">
        <f t="shared" si="397"/>
        <v>35000</v>
      </c>
      <c r="AB461" s="62">
        <f t="shared" si="398"/>
        <v>35000</v>
      </c>
      <c r="AC461" s="62">
        <f t="shared" si="399"/>
        <v>35000</v>
      </c>
    </row>
    <row r="462" spans="1:44" x14ac:dyDescent="0.25">
      <c r="A462" s="30" t="str">
        <f t="shared" si="371"/>
        <v>Residual value (costumization)</v>
      </c>
      <c r="B462" s="62">
        <f t="shared" si="372"/>
        <v>-8750</v>
      </c>
      <c r="C462" s="62">
        <f t="shared" si="373"/>
        <v>-8750</v>
      </c>
      <c r="D462" s="62">
        <f t="shared" si="374"/>
        <v>-8750</v>
      </c>
      <c r="E462" s="62">
        <f t="shared" si="375"/>
        <v>-8750</v>
      </c>
      <c r="F462" s="62">
        <f t="shared" si="376"/>
        <v>-8750</v>
      </c>
      <c r="G462" s="62">
        <f t="shared" si="377"/>
        <v>-8750</v>
      </c>
      <c r="H462" s="62">
        <f t="shared" si="378"/>
        <v>-8750</v>
      </c>
      <c r="I462" s="62">
        <f t="shared" si="379"/>
        <v>-8750</v>
      </c>
      <c r="J462" s="62">
        <f t="shared" si="380"/>
        <v>-8750</v>
      </c>
      <c r="K462" s="62">
        <f t="shared" si="381"/>
        <v>-8750</v>
      </c>
      <c r="L462" s="62">
        <f t="shared" si="382"/>
        <v>-8750</v>
      </c>
      <c r="M462" s="62">
        <f t="shared" si="383"/>
        <v>-8750</v>
      </c>
      <c r="N462" s="62">
        <f t="shared" si="384"/>
        <v>-8750</v>
      </c>
      <c r="O462" s="62">
        <f t="shared" si="385"/>
        <v>-8750</v>
      </c>
      <c r="P462" s="62">
        <f t="shared" si="386"/>
        <v>-8750</v>
      </c>
      <c r="Q462" s="62">
        <f t="shared" si="387"/>
        <v>-8750</v>
      </c>
      <c r="R462" s="62">
        <f t="shared" si="388"/>
        <v>-8750</v>
      </c>
      <c r="S462" s="62">
        <f t="shared" si="389"/>
        <v>-8750</v>
      </c>
      <c r="T462" s="62">
        <f t="shared" si="390"/>
        <v>-8750</v>
      </c>
      <c r="U462" s="62">
        <f t="shared" si="391"/>
        <v>-8750</v>
      </c>
      <c r="V462" s="62">
        <f t="shared" si="392"/>
        <v>-8750</v>
      </c>
      <c r="W462" s="62">
        <f t="shared" si="393"/>
        <v>-8750</v>
      </c>
      <c r="X462" s="62">
        <f t="shared" si="394"/>
        <v>-8750</v>
      </c>
      <c r="Y462" s="62">
        <f t="shared" si="395"/>
        <v>-8750</v>
      </c>
      <c r="Z462" s="62">
        <f t="shared" si="396"/>
        <v>-8750</v>
      </c>
      <c r="AA462" s="62">
        <f t="shared" si="397"/>
        <v>-8750</v>
      </c>
      <c r="AB462" s="62">
        <f t="shared" si="398"/>
        <v>-8750</v>
      </c>
      <c r="AC462" s="62">
        <f t="shared" si="399"/>
        <v>-8750</v>
      </c>
    </row>
    <row r="463" spans="1:44" x14ac:dyDescent="0.25">
      <c r="A463" s="30" t="str">
        <f t="shared" si="371"/>
        <v>WACC</v>
      </c>
      <c r="B463" s="62">
        <f t="shared" si="372"/>
        <v>0.06</v>
      </c>
      <c r="C463" s="62">
        <f t="shared" si="373"/>
        <v>0.06</v>
      </c>
      <c r="D463" s="62">
        <f t="shared" si="374"/>
        <v>0.06</v>
      </c>
      <c r="E463" s="62">
        <f t="shared" si="375"/>
        <v>0.06</v>
      </c>
      <c r="F463" s="62">
        <f t="shared" si="376"/>
        <v>0.06</v>
      </c>
      <c r="G463" s="62">
        <f t="shared" si="377"/>
        <v>0.06</v>
      </c>
      <c r="H463" s="62">
        <f t="shared" si="378"/>
        <v>0.06</v>
      </c>
      <c r="I463" s="62">
        <f t="shared" si="379"/>
        <v>0.06</v>
      </c>
      <c r="J463" s="62">
        <f t="shared" si="380"/>
        <v>0.06</v>
      </c>
      <c r="K463" s="62">
        <f t="shared" si="381"/>
        <v>0.06</v>
      </c>
      <c r="L463" s="62">
        <f t="shared" si="382"/>
        <v>0.06</v>
      </c>
      <c r="M463" s="62">
        <f t="shared" si="383"/>
        <v>0.06</v>
      </c>
      <c r="N463" s="62">
        <f t="shared" si="384"/>
        <v>0.06</v>
      </c>
      <c r="O463" s="62">
        <f t="shared" si="385"/>
        <v>0.06</v>
      </c>
      <c r="P463" s="62">
        <f t="shared" si="386"/>
        <v>0.06</v>
      </c>
      <c r="Q463" s="62">
        <f t="shared" si="387"/>
        <v>0.06</v>
      </c>
      <c r="R463" s="62">
        <f t="shared" si="388"/>
        <v>0.06</v>
      </c>
      <c r="S463" s="62">
        <f t="shared" si="389"/>
        <v>0.06</v>
      </c>
      <c r="T463" s="62">
        <f t="shared" si="390"/>
        <v>0.06</v>
      </c>
      <c r="U463" s="62">
        <f t="shared" si="391"/>
        <v>0.06</v>
      </c>
      <c r="V463" s="62">
        <f t="shared" si="392"/>
        <v>0.06</v>
      </c>
      <c r="W463" s="62">
        <f t="shared" si="393"/>
        <v>0.06</v>
      </c>
      <c r="X463" s="62">
        <f t="shared" si="394"/>
        <v>0.06</v>
      </c>
      <c r="Y463" s="62">
        <f t="shared" si="395"/>
        <v>0.06</v>
      </c>
      <c r="Z463" s="62">
        <f t="shared" si="396"/>
        <v>0.06</v>
      </c>
      <c r="AA463" s="62">
        <f t="shared" si="397"/>
        <v>0.06</v>
      </c>
      <c r="AB463" s="62">
        <f t="shared" si="398"/>
        <v>0.06</v>
      </c>
      <c r="AC463" s="62">
        <f t="shared" si="399"/>
        <v>0.06</v>
      </c>
    </row>
    <row r="464" spans="1:44" x14ac:dyDescent="0.25">
      <c r="A464" s="30" t="str">
        <f t="shared" si="371"/>
        <v>Opex fix (admin, crew, insurance)</v>
      </c>
      <c r="B464" s="62">
        <f t="shared" si="372"/>
        <v>70000</v>
      </c>
      <c r="C464" s="62">
        <f t="shared" si="373"/>
        <v>70000</v>
      </c>
      <c r="D464" s="62">
        <f t="shared" si="374"/>
        <v>70000</v>
      </c>
      <c r="E464" s="62">
        <f t="shared" si="375"/>
        <v>70000</v>
      </c>
      <c r="F464" s="62">
        <f t="shared" si="376"/>
        <v>70000</v>
      </c>
      <c r="G464" s="62">
        <f t="shared" si="377"/>
        <v>70000</v>
      </c>
      <c r="H464" s="62">
        <f t="shared" si="378"/>
        <v>70000</v>
      </c>
      <c r="I464" s="62">
        <f t="shared" si="379"/>
        <v>70000</v>
      </c>
      <c r="J464" s="62">
        <f t="shared" si="380"/>
        <v>70000</v>
      </c>
      <c r="K464" s="62">
        <f t="shared" si="381"/>
        <v>70000</v>
      </c>
      <c r="L464" s="62">
        <f t="shared" si="382"/>
        <v>70000</v>
      </c>
      <c r="M464" s="62">
        <f t="shared" si="383"/>
        <v>70000</v>
      </c>
      <c r="N464" s="62">
        <f t="shared" si="384"/>
        <v>70000</v>
      </c>
      <c r="O464" s="62">
        <f t="shared" si="385"/>
        <v>70000</v>
      </c>
      <c r="P464" s="62">
        <f t="shared" si="386"/>
        <v>70000</v>
      </c>
      <c r="Q464" s="62">
        <f t="shared" si="387"/>
        <v>70000</v>
      </c>
      <c r="R464" s="62">
        <f t="shared" si="388"/>
        <v>70000</v>
      </c>
      <c r="S464" s="62">
        <f t="shared" si="389"/>
        <v>70000</v>
      </c>
      <c r="T464" s="62">
        <f t="shared" si="390"/>
        <v>70000</v>
      </c>
      <c r="U464" s="62">
        <f t="shared" si="391"/>
        <v>70000</v>
      </c>
      <c r="V464" s="62">
        <f t="shared" si="392"/>
        <v>70000</v>
      </c>
      <c r="W464" s="62">
        <f t="shared" si="393"/>
        <v>70000</v>
      </c>
      <c r="X464" s="62">
        <f t="shared" si="394"/>
        <v>70000</v>
      </c>
      <c r="Y464" s="62">
        <f t="shared" si="395"/>
        <v>70000</v>
      </c>
      <c r="Z464" s="62">
        <f t="shared" si="396"/>
        <v>70000</v>
      </c>
      <c r="AA464" s="62">
        <f t="shared" si="397"/>
        <v>70000</v>
      </c>
      <c r="AB464" s="62">
        <f t="shared" si="398"/>
        <v>70000</v>
      </c>
      <c r="AC464" s="62">
        <f t="shared" si="399"/>
        <v>70000</v>
      </c>
    </row>
    <row r="465" spans="1:29" x14ac:dyDescent="0.25">
      <c r="A465" s="30" t="str">
        <f t="shared" si="371"/>
        <v>Opex maintenance &amp; repair</v>
      </c>
      <c r="B465" s="62">
        <f t="shared" si="372"/>
        <v>15000</v>
      </c>
      <c r="C465" s="62">
        <f t="shared" si="373"/>
        <v>15000</v>
      </c>
      <c r="D465" s="62">
        <f t="shared" si="374"/>
        <v>15000</v>
      </c>
      <c r="E465" s="62">
        <f t="shared" si="375"/>
        <v>15000</v>
      </c>
      <c r="F465" s="62">
        <f t="shared" si="376"/>
        <v>15000</v>
      </c>
      <c r="G465" s="62">
        <f t="shared" si="377"/>
        <v>15000</v>
      </c>
      <c r="H465" s="62">
        <f t="shared" si="378"/>
        <v>15000</v>
      </c>
      <c r="I465" s="62">
        <f t="shared" si="379"/>
        <v>15000</v>
      </c>
      <c r="J465" s="62">
        <f t="shared" si="380"/>
        <v>15000</v>
      </c>
      <c r="K465" s="62">
        <f t="shared" si="381"/>
        <v>15000</v>
      </c>
      <c r="L465" s="62">
        <f t="shared" si="382"/>
        <v>15000</v>
      </c>
      <c r="M465" s="62">
        <f t="shared" si="383"/>
        <v>15000</v>
      </c>
      <c r="N465" s="62">
        <f t="shared" si="384"/>
        <v>15000</v>
      </c>
      <c r="O465" s="62">
        <f t="shared" si="385"/>
        <v>15000</v>
      </c>
      <c r="P465" s="62">
        <f t="shared" si="386"/>
        <v>15000</v>
      </c>
      <c r="Q465" s="62">
        <f t="shared" si="387"/>
        <v>15000</v>
      </c>
      <c r="R465" s="62">
        <f t="shared" si="388"/>
        <v>15000</v>
      </c>
      <c r="S465" s="62">
        <f t="shared" si="389"/>
        <v>15000</v>
      </c>
      <c r="T465" s="62">
        <f t="shared" si="390"/>
        <v>15000</v>
      </c>
      <c r="U465" s="62">
        <f t="shared" si="391"/>
        <v>15000</v>
      </c>
      <c r="V465" s="62">
        <f t="shared" si="392"/>
        <v>15000</v>
      </c>
      <c r="W465" s="62">
        <f t="shared" si="393"/>
        <v>15000</v>
      </c>
      <c r="X465" s="62">
        <f t="shared" si="394"/>
        <v>15000</v>
      </c>
      <c r="Y465" s="62">
        <f t="shared" si="395"/>
        <v>15000</v>
      </c>
      <c r="Z465" s="62">
        <f t="shared" si="396"/>
        <v>15000</v>
      </c>
      <c r="AA465" s="62">
        <f t="shared" si="397"/>
        <v>15000</v>
      </c>
      <c r="AB465" s="62">
        <f t="shared" si="398"/>
        <v>15000</v>
      </c>
      <c r="AC465" s="62">
        <f t="shared" si="399"/>
        <v>15000</v>
      </c>
    </row>
    <row r="466" spans="1:29" x14ac:dyDescent="0.25">
      <c r="A466" s="30" t="str">
        <f t="shared" si="371"/>
        <v>Opex var (mode-fees)</v>
      </c>
      <c r="B466" s="62">
        <f t="shared" si="372"/>
        <v>0.11</v>
      </c>
      <c r="C466" s="62">
        <f t="shared" si="373"/>
        <v>0.11</v>
      </c>
      <c r="D466" s="62">
        <f t="shared" si="374"/>
        <v>0.11</v>
      </c>
      <c r="E466" s="62">
        <f t="shared" si="375"/>
        <v>0.11</v>
      </c>
      <c r="F466" s="62">
        <f t="shared" si="376"/>
        <v>0.11</v>
      </c>
      <c r="G466" s="62">
        <f t="shared" si="377"/>
        <v>0.11</v>
      </c>
      <c r="H466" s="62">
        <f t="shared" si="378"/>
        <v>0.11</v>
      </c>
      <c r="I466" s="62">
        <f t="shared" si="379"/>
        <v>0.11</v>
      </c>
      <c r="J466" s="62">
        <f t="shared" si="380"/>
        <v>0.11</v>
      </c>
      <c r="K466" s="62">
        <f t="shared" si="381"/>
        <v>0.11</v>
      </c>
      <c r="L466" s="62">
        <f t="shared" si="382"/>
        <v>0.11</v>
      </c>
      <c r="M466" s="62">
        <f t="shared" si="383"/>
        <v>0.11</v>
      </c>
      <c r="N466" s="62">
        <f t="shared" si="384"/>
        <v>0.11</v>
      </c>
      <c r="O466" s="62">
        <f t="shared" si="385"/>
        <v>0.11</v>
      </c>
      <c r="P466" s="62">
        <f t="shared" si="386"/>
        <v>0.11</v>
      </c>
      <c r="Q466" s="62">
        <f t="shared" si="387"/>
        <v>0.11</v>
      </c>
      <c r="R466" s="62">
        <f t="shared" si="388"/>
        <v>0.11</v>
      </c>
      <c r="S466" s="62">
        <f t="shared" si="389"/>
        <v>0.11</v>
      </c>
      <c r="T466" s="62">
        <f t="shared" si="390"/>
        <v>0.11</v>
      </c>
      <c r="U466" s="62">
        <f t="shared" si="391"/>
        <v>0.11</v>
      </c>
      <c r="V466" s="62">
        <f t="shared" si="392"/>
        <v>0.11</v>
      </c>
      <c r="W466" s="62">
        <f t="shared" si="393"/>
        <v>0.11</v>
      </c>
      <c r="X466" s="62">
        <f t="shared" si="394"/>
        <v>0.11</v>
      </c>
      <c r="Y466" s="62">
        <f t="shared" si="395"/>
        <v>0.11</v>
      </c>
      <c r="Z466" s="62">
        <f t="shared" si="396"/>
        <v>0.11</v>
      </c>
      <c r="AA466" s="62">
        <f t="shared" si="397"/>
        <v>0.11</v>
      </c>
      <c r="AB466" s="62">
        <f t="shared" si="398"/>
        <v>0.11</v>
      </c>
      <c r="AC466" s="62">
        <f t="shared" si="399"/>
        <v>0.11</v>
      </c>
    </row>
    <row r="467" spans="1:29" x14ac:dyDescent="0.25">
      <c r="A467" s="30" t="str">
        <f t="shared" si="371"/>
        <v>Fuel Economy</v>
      </c>
      <c r="B467" s="62">
        <f t="shared" si="372"/>
        <v>1.499963712475392</v>
      </c>
      <c r="C467" s="62">
        <f t="shared" si="373"/>
        <v>1.4917703325555236</v>
      </c>
      <c r="D467" s="62">
        <f t="shared" si="374"/>
        <v>1.4805375152003362</v>
      </c>
      <c r="E467" s="62">
        <f t="shared" si="375"/>
        <v>1.4654418123350099</v>
      </c>
      <c r="F467" s="62">
        <f t="shared" si="376"/>
        <v>1.4457088124147084</v>
      </c>
      <c r="G467" s="62">
        <f t="shared" si="377"/>
        <v>1.4208584343249755</v>
      </c>
      <c r="H467" s="62">
        <f t="shared" si="378"/>
        <v>1.3910386939475108</v>
      </c>
      <c r="I467" s="62">
        <f t="shared" si="379"/>
        <v>1.3573193171591433</v>
      </c>
      <c r="J467" s="62">
        <f t="shared" si="380"/>
        <v>1.3217219094307857</v>
      </c>
      <c r="K467" s="62">
        <f t="shared" si="381"/>
        <v>1.2868249921034385</v>
      </c>
      <c r="L467" s="62">
        <f t="shared" si="382"/>
        <v>1.2550576099577553</v>
      </c>
      <c r="M467" s="62">
        <f t="shared" si="383"/>
        <v>1.2280598588961356</v>
      </c>
      <c r="N467" s="62">
        <f t="shared" si="384"/>
        <v>1.2064394953190534</v>
      </c>
      <c r="O467" s="62">
        <f t="shared" si="385"/>
        <v>1.1899421983295269</v>
      </c>
      <c r="P467" s="62">
        <f t="shared" si="386"/>
        <v>1.1778153619570939</v>
      </c>
      <c r="Q467" s="62">
        <f t="shared" si="387"/>
        <v>1.1691448493856758</v>
      </c>
      <c r="R467" s="62">
        <f t="shared" si="388"/>
        <v>1.1630681005313779</v>
      </c>
      <c r="S467" s="62">
        <f t="shared" si="389"/>
        <v>1.1588686935668835</v>
      </c>
      <c r="T467" s="62">
        <f t="shared" si="390"/>
        <v>1.1559948301166041</v>
      </c>
      <c r="U467" s="62">
        <f t="shared" si="391"/>
        <v>1.1540412290087201</v>
      </c>
      <c r="V467" s="62">
        <f t="shared" si="392"/>
        <v>1.1527192488775253</v>
      </c>
      <c r="W467" s="62">
        <f t="shared" si="393"/>
        <v>1.151827439700847</v>
      </c>
      <c r="X467" s="62">
        <f t="shared" si="394"/>
        <v>1.1512270781932392</v>
      </c>
      <c r="Y467" s="62">
        <f t="shared" si="395"/>
        <v>1.150823485399427</v>
      </c>
      <c r="Z467" s="62">
        <f t="shared" si="396"/>
        <v>1.1505524266020779</v>
      </c>
      <c r="AA467" s="62">
        <f t="shared" si="397"/>
        <v>1.1503704951156655</v>
      </c>
      <c r="AB467" s="62">
        <f t="shared" si="398"/>
        <v>1.1502484368709109</v>
      </c>
      <c r="AC467" s="62">
        <f t="shared" si="399"/>
        <v>1.1501665711352707</v>
      </c>
    </row>
    <row r="468" spans="1:29" x14ac:dyDescent="0.25">
      <c r="A468" s="30" t="str">
        <f t="shared" si="371"/>
        <v>Fuel Cost</v>
      </c>
      <c r="B468" s="62">
        <f t="shared" si="372"/>
        <v>0.1331013876427829</v>
      </c>
      <c r="C468" s="62">
        <f t="shared" si="373"/>
        <v>0.13284065209015961</v>
      </c>
      <c r="D468" s="62">
        <f t="shared" si="374"/>
        <v>0.13247044498234223</v>
      </c>
      <c r="E468" s="62">
        <f t="shared" si="375"/>
        <v>0.13194719281007408</v>
      </c>
      <c r="F468" s="62">
        <f t="shared" si="376"/>
        <v>0.13121255620046077</v>
      </c>
      <c r="G468" s="62">
        <f t="shared" si="377"/>
        <v>0.13019114463175094</v>
      </c>
      <c r="H468" s="62">
        <f t="shared" si="378"/>
        <v>0.12879082758213251</v>
      </c>
      <c r="I468" s="62">
        <f t="shared" si="379"/>
        <v>0.126908951519354</v>
      </c>
      <c r="J468" s="62">
        <f t="shared" si="380"/>
        <v>0.12444897595358409</v>
      </c>
      <c r="K468" s="62">
        <f t="shared" si="381"/>
        <v>0.12135105251833415</v>
      </c>
      <c r="L468" s="62">
        <f t="shared" si="382"/>
        <v>0.11763363332194038</v>
      </c>
      <c r="M468" s="62">
        <f t="shared" si="383"/>
        <v>0.11343007363373329</v>
      </c>
      <c r="N468" s="62">
        <f t="shared" si="384"/>
        <v>0.10899239291766451</v>
      </c>
      <c r="O468" s="62">
        <f t="shared" si="385"/>
        <v>0.10464203745763898</v>
      </c>
      <c r="P468" s="62">
        <f t="shared" si="386"/>
        <v>0.10068181933659913</v>
      </c>
      <c r="Q468" s="62">
        <f t="shared" si="387"/>
        <v>9.7316197879620536E-2</v>
      </c>
      <c r="R468" s="62">
        <f t="shared" si="388"/>
        <v>9.4620937841233446E-2</v>
      </c>
      <c r="S468" s="62">
        <f t="shared" si="389"/>
        <v>9.2564334807767046E-2</v>
      </c>
      <c r="T468" s="62">
        <f t="shared" si="390"/>
        <v>9.1052566638367527E-2</v>
      </c>
      <c r="U468" s="62">
        <f t="shared" si="391"/>
        <v>8.9971674267489546E-2</v>
      </c>
      <c r="V468" s="62">
        <f t="shared" si="392"/>
        <v>8.9214128341311663E-2</v>
      </c>
      <c r="W468" s="62">
        <f t="shared" si="393"/>
        <v>8.8690617543911193E-2</v>
      </c>
      <c r="X468" s="62">
        <f t="shared" si="394"/>
        <v>8.833235301770638E-2</v>
      </c>
      <c r="Y468" s="62">
        <f t="shared" si="395"/>
        <v>8.8088811183719362E-2</v>
      </c>
      <c r="Z468" s="62">
        <f t="shared" si="396"/>
        <v>8.7924009134648928E-2</v>
      </c>
      <c r="AA468" s="62">
        <f t="shared" si="397"/>
        <v>8.7812833500289317E-2</v>
      </c>
      <c r="AB468" s="62">
        <f t="shared" si="398"/>
        <v>8.7737990615512101E-2</v>
      </c>
      <c r="AC468" s="62">
        <f t="shared" si="399"/>
        <v>8.768767751485286E-2</v>
      </c>
    </row>
    <row r="469" spans="1:29" x14ac:dyDescent="0.25">
      <c r="A469" s="30" t="str">
        <f t="shared" ref="A469" si="400">A449</f>
        <v>Emission Cost</v>
      </c>
      <c r="B469" s="66">
        <f>$B449+($C449-$B449)*(1-Q449)</f>
        <v>3.5122691839304448E-3</v>
      </c>
      <c r="C469" s="66">
        <f t="shared" ref="C469" si="401">$B449+($C449-$B449)*(1-R449)</f>
        <v>3.5089246478970256E-3</v>
      </c>
      <c r="D469" s="66">
        <f t="shared" ref="D469" si="402">$B449+($C449-$B449)*(1-S449)</f>
        <v>3.5041370190587195E-3</v>
      </c>
      <c r="E469" s="66">
        <f t="shared" ref="E469" si="403">$B449+($C449-$B449)*(1-T449)</f>
        <v>3.4972879793244123E-3</v>
      </c>
      <c r="F469" s="66">
        <f t="shared" ref="F469" si="404">$B449+($C449-$B449)*(1-U449)</f>
        <v>3.4874991902284352E-3</v>
      </c>
      <c r="G469" s="66">
        <f t="shared" ref="G469" si="405">$B449+($C449-$B449)*(1-V449)</f>
        <v>3.4735284727434282E-3</v>
      </c>
      <c r="H469" s="66">
        <f t="shared" ref="H469" si="406">$B449+($C449-$B449)*(1-W449)</f>
        <v>3.4536307436526109E-3</v>
      </c>
      <c r="I469" s="66">
        <f t="shared" ref="I469" si="407">$B449+($C449-$B449)*(1-X449)</f>
        <v>3.4253788207186963E-3</v>
      </c>
      <c r="J469" s="66">
        <f t="shared" ref="J469" si="408">$B449+($C449-$B449)*(1-Y449)</f>
        <v>3.3854474424880663E-3</v>
      </c>
      <c r="K469" s="66">
        <f t="shared" ref="K469" si="409">$B449+($C449-$B449)*(1-Z449)</f>
        <v>3.3293845078740006E-3</v>
      </c>
      <c r="L469" s="66">
        <f t="shared" ref="L469" si="410">$B449+($C449-$B449)*(1-AA449)</f>
        <v>3.251436677284981E-3</v>
      </c>
      <c r="M469" s="66">
        <f t="shared" ref="M469" si="411">$B449+($C449-$B449)*(1-AB449)</f>
        <v>3.1445731175815781E-3</v>
      </c>
      <c r="N469" s="66">
        <f t="shared" ref="N469" si="412">$B449+($C449-$B449)*(1-AC449)</f>
        <v>3.0009599443763112E-3</v>
      </c>
      <c r="O469" s="66">
        <f t="shared" ref="O469" si="413">$B449+($C449-$B449)*(1-AD449)</f>
        <v>2.813229782972361E-3</v>
      </c>
      <c r="P469" s="66">
        <f t="shared" ref="P469" si="414">$B449+($C449-$B449)*(1-AE449)</f>
        <v>2.5768153751997672E-3</v>
      </c>
      <c r="Q469" s="66">
        <f t="shared" ref="Q469" si="415">$B449+($C449-$B449)*(1-AF449)</f>
        <v>2.2931248721492917E-3</v>
      </c>
      <c r="R469" s="66">
        <f t="shared" ref="R469" si="416">$B449+($C449-$B449)*(1-AG449)</f>
        <v>1.9723351254059053E-3</v>
      </c>
      <c r="S469" s="66">
        <f t="shared" ref="S469" si="417">$B449+($C449-$B449)*(1-AH449)</f>
        <v>1.6336787059361244E-3</v>
      </c>
      <c r="T469" s="66">
        <f t="shared" ref="T469" si="418">$B449+($C449-$B449)*(1-AI449)</f>
        <v>1.3016864113624426E-3</v>
      </c>
      <c r="U469" s="66">
        <f t="shared" ref="U469" si="419">$B449+($C449-$B449)*(1-AJ449)</f>
        <v>9.9946699203053851E-4</v>
      </c>
      <c r="V469" s="66">
        <f t="shared" ref="V469" si="420">$B449+($C449-$B449)*(1-AK449)</f>
        <v>7.4262352247134438E-4</v>
      </c>
      <c r="W469" s="66">
        <f t="shared" ref="W469" si="421">$B449+($C449-$B449)*(1-AL449)</f>
        <v>5.3693790141369664E-4</v>
      </c>
      <c r="X469" s="66">
        <f t="shared" ref="X469" si="422">$B449+($C449-$B449)*(1-AM449)</f>
        <v>3.7999064356739184E-4</v>
      </c>
      <c r="Y469" s="66">
        <f t="shared" ref="Y469" si="423">$B449+($C449-$B449)*(1-AN449)</f>
        <v>2.646218218620832E-4</v>
      </c>
      <c r="Z469" s="66">
        <f t="shared" ref="Z469" si="424">$B449+($C449-$B449)*(1-AO449)</f>
        <v>1.8213478334480789E-4</v>
      </c>
      <c r="AA469" s="66">
        <f t="shared" ref="AA469" si="425">$B449+($C449-$B449)*(1-AP449)</f>
        <v>1.2432355100121771E-4</v>
      </c>
      <c r="AB469" s="66">
        <f t="shared" ref="AB469" si="426">$B449+($C449-$B449)*(1-AQ449)</f>
        <v>8.4372436095756821E-5</v>
      </c>
      <c r="AC469" s="66">
        <f t="shared" ref="AC469" si="427">$B449+($C449-$B449)*(1-AR449)</f>
        <v>5.7031897325531943E-5</v>
      </c>
    </row>
    <row r="470" spans="1:29" x14ac:dyDescent="0.25">
      <c r="A470" s="30" t="str">
        <f>A450</f>
        <v>Lifetime vehicle</v>
      </c>
      <c r="B470" s="62">
        <f>$B450+($C450-$B450)*(1-Q450)</f>
        <v>8</v>
      </c>
      <c r="C470" s="62">
        <f t="shared" ref="C470:L472" si="428">$B450+($C450-$B450)*(1-R450)</f>
        <v>8</v>
      </c>
      <c r="D470" s="62">
        <f t="shared" si="428"/>
        <v>8</v>
      </c>
      <c r="E470" s="62">
        <f t="shared" si="428"/>
        <v>8</v>
      </c>
      <c r="F470" s="62">
        <f t="shared" si="428"/>
        <v>8</v>
      </c>
      <c r="G470" s="62">
        <f t="shared" si="428"/>
        <v>8</v>
      </c>
      <c r="H470" s="62">
        <f t="shared" si="428"/>
        <v>8</v>
      </c>
      <c r="I470" s="62">
        <f t="shared" si="428"/>
        <v>8</v>
      </c>
      <c r="J470" s="62">
        <f t="shared" si="428"/>
        <v>8</v>
      </c>
      <c r="K470" s="62">
        <f t="shared" si="428"/>
        <v>8</v>
      </c>
      <c r="L470" s="62">
        <f t="shared" si="428"/>
        <v>8</v>
      </c>
      <c r="M470" s="62">
        <f t="shared" ref="M470:V472" si="429">$B450+($C450-$B450)*(1-AB450)</f>
        <v>8</v>
      </c>
      <c r="N470" s="62">
        <f t="shared" si="429"/>
        <v>8</v>
      </c>
      <c r="O470" s="62">
        <f t="shared" si="429"/>
        <v>8</v>
      </c>
      <c r="P470" s="62">
        <f t="shared" si="429"/>
        <v>8</v>
      </c>
      <c r="Q470" s="62">
        <f t="shared" si="429"/>
        <v>8</v>
      </c>
      <c r="R470" s="62">
        <f t="shared" si="429"/>
        <v>8</v>
      </c>
      <c r="S470" s="62">
        <f t="shared" si="429"/>
        <v>8</v>
      </c>
      <c r="T470" s="62">
        <f t="shared" si="429"/>
        <v>8</v>
      </c>
      <c r="U470" s="62">
        <f t="shared" si="429"/>
        <v>8</v>
      </c>
      <c r="V470" s="62">
        <f t="shared" si="429"/>
        <v>8</v>
      </c>
      <c r="W470" s="62">
        <f t="shared" ref="W470:AC472" si="430">$B450+($C450-$B450)*(1-AL450)</f>
        <v>8</v>
      </c>
      <c r="X470" s="62">
        <f t="shared" si="430"/>
        <v>8</v>
      </c>
      <c r="Y470" s="62">
        <f t="shared" si="430"/>
        <v>8</v>
      </c>
      <c r="Z470" s="62">
        <f t="shared" si="430"/>
        <v>8</v>
      </c>
      <c r="AA470" s="62">
        <f t="shared" si="430"/>
        <v>8</v>
      </c>
      <c r="AB470" s="62">
        <f t="shared" si="430"/>
        <v>8</v>
      </c>
      <c r="AC470" s="62">
        <f t="shared" si="430"/>
        <v>8</v>
      </c>
    </row>
    <row r="471" spans="1:29" x14ac:dyDescent="0.25">
      <c r="A471" s="30" t="str">
        <f>A451</f>
        <v>Lifetime costumization</v>
      </c>
      <c r="B471" s="62">
        <f>$B451+($C451-$B451)*(1-Q451)</f>
        <v>10</v>
      </c>
      <c r="C471" s="62">
        <f t="shared" si="428"/>
        <v>10</v>
      </c>
      <c r="D471" s="62">
        <f t="shared" si="428"/>
        <v>10</v>
      </c>
      <c r="E471" s="62">
        <f t="shared" si="428"/>
        <v>10</v>
      </c>
      <c r="F471" s="62">
        <f t="shared" si="428"/>
        <v>10</v>
      </c>
      <c r="G471" s="62">
        <f t="shared" si="428"/>
        <v>10</v>
      </c>
      <c r="H471" s="62">
        <f t="shared" si="428"/>
        <v>10</v>
      </c>
      <c r="I471" s="62">
        <f t="shared" si="428"/>
        <v>10</v>
      </c>
      <c r="J471" s="62">
        <f t="shared" si="428"/>
        <v>10</v>
      </c>
      <c r="K471" s="62">
        <f t="shared" si="428"/>
        <v>10</v>
      </c>
      <c r="L471" s="62">
        <f t="shared" si="428"/>
        <v>10</v>
      </c>
      <c r="M471" s="62">
        <f t="shared" si="429"/>
        <v>10</v>
      </c>
      <c r="N471" s="62">
        <f t="shared" si="429"/>
        <v>10</v>
      </c>
      <c r="O471" s="62">
        <f t="shared" si="429"/>
        <v>10</v>
      </c>
      <c r="P471" s="62">
        <f t="shared" si="429"/>
        <v>10</v>
      </c>
      <c r="Q471" s="62">
        <f t="shared" si="429"/>
        <v>10</v>
      </c>
      <c r="R471" s="62">
        <f t="shared" si="429"/>
        <v>10</v>
      </c>
      <c r="S471" s="62">
        <f t="shared" si="429"/>
        <v>10</v>
      </c>
      <c r="T471" s="62">
        <f t="shared" si="429"/>
        <v>10</v>
      </c>
      <c r="U471" s="62">
        <f t="shared" si="429"/>
        <v>10</v>
      </c>
      <c r="V471" s="62">
        <f t="shared" si="429"/>
        <v>10</v>
      </c>
      <c r="W471" s="62">
        <f t="shared" si="430"/>
        <v>10</v>
      </c>
      <c r="X471" s="62">
        <f t="shared" si="430"/>
        <v>10</v>
      </c>
      <c r="Y471" s="62">
        <f t="shared" si="430"/>
        <v>10</v>
      </c>
      <c r="Z471" s="62">
        <f t="shared" si="430"/>
        <v>10</v>
      </c>
      <c r="AA471" s="62">
        <f t="shared" si="430"/>
        <v>10</v>
      </c>
      <c r="AB471" s="62">
        <f t="shared" si="430"/>
        <v>10</v>
      </c>
      <c r="AC471" s="62">
        <f t="shared" si="430"/>
        <v>10</v>
      </c>
    </row>
    <row r="472" spans="1:29" x14ac:dyDescent="0.25">
      <c r="A472" s="30" t="str">
        <f>A452</f>
        <v>Tonnage .</v>
      </c>
      <c r="B472" s="62">
        <f>$B452+($C452-$B452)*(1-Q452)</f>
        <v>25</v>
      </c>
      <c r="C472" s="62">
        <f t="shared" si="428"/>
        <v>25</v>
      </c>
      <c r="D472" s="62">
        <f t="shared" si="428"/>
        <v>25</v>
      </c>
      <c r="E472" s="62">
        <f t="shared" si="428"/>
        <v>25</v>
      </c>
      <c r="F472" s="62">
        <f t="shared" si="428"/>
        <v>25</v>
      </c>
      <c r="G472" s="62">
        <f t="shared" si="428"/>
        <v>25</v>
      </c>
      <c r="H472" s="62">
        <f t="shared" si="428"/>
        <v>25</v>
      </c>
      <c r="I472" s="62">
        <f t="shared" si="428"/>
        <v>25</v>
      </c>
      <c r="J472" s="62">
        <f t="shared" si="428"/>
        <v>25</v>
      </c>
      <c r="K472" s="62">
        <f t="shared" si="428"/>
        <v>25</v>
      </c>
      <c r="L472" s="62">
        <f t="shared" si="428"/>
        <v>25</v>
      </c>
      <c r="M472" s="62">
        <f t="shared" si="429"/>
        <v>25</v>
      </c>
      <c r="N472" s="62">
        <f t="shared" si="429"/>
        <v>25</v>
      </c>
      <c r="O472" s="62">
        <f t="shared" si="429"/>
        <v>25</v>
      </c>
      <c r="P472" s="62">
        <f t="shared" si="429"/>
        <v>25</v>
      </c>
      <c r="Q472" s="62">
        <f t="shared" si="429"/>
        <v>25</v>
      </c>
      <c r="R472" s="62">
        <f t="shared" si="429"/>
        <v>25</v>
      </c>
      <c r="S472" s="62">
        <f t="shared" si="429"/>
        <v>25</v>
      </c>
      <c r="T472" s="62">
        <f t="shared" si="429"/>
        <v>25</v>
      </c>
      <c r="U472" s="62">
        <f t="shared" si="429"/>
        <v>25</v>
      </c>
      <c r="V472" s="62">
        <f t="shared" si="429"/>
        <v>25</v>
      </c>
      <c r="W472" s="62">
        <f t="shared" si="430"/>
        <v>25</v>
      </c>
      <c r="X472" s="62">
        <f t="shared" si="430"/>
        <v>25</v>
      </c>
      <c r="Y472" s="62">
        <f t="shared" si="430"/>
        <v>25</v>
      </c>
      <c r="Z472" s="62">
        <f t="shared" si="430"/>
        <v>25</v>
      </c>
      <c r="AA472" s="62">
        <f t="shared" si="430"/>
        <v>25</v>
      </c>
      <c r="AB472" s="62">
        <f t="shared" si="430"/>
        <v>25</v>
      </c>
      <c r="AC472" s="62">
        <f t="shared" si="430"/>
        <v>25</v>
      </c>
    </row>
    <row r="473" spans="1:29" x14ac:dyDescent="0.25">
      <c r="A473" s="30" t="str">
        <f>A453</f>
        <v>Market failure (av. utilization)</v>
      </c>
      <c r="B473" s="62">
        <f t="shared" ref="B473:K474" si="431">($B453+($C453-$B453)*(1-Q453))*B$44</f>
        <v>16</v>
      </c>
      <c r="C473" s="62">
        <f t="shared" si="431"/>
        <v>16</v>
      </c>
      <c r="D473" s="62">
        <f t="shared" si="431"/>
        <v>16</v>
      </c>
      <c r="E473" s="62">
        <f t="shared" si="431"/>
        <v>16</v>
      </c>
      <c r="F473" s="62">
        <f t="shared" si="431"/>
        <v>16</v>
      </c>
      <c r="G473" s="62">
        <f t="shared" si="431"/>
        <v>16</v>
      </c>
      <c r="H473" s="62">
        <f t="shared" si="431"/>
        <v>16</v>
      </c>
      <c r="I473" s="62">
        <f t="shared" si="431"/>
        <v>16</v>
      </c>
      <c r="J473" s="62">
        <f t="shared" si="431"/>
        <v>16</v>
      </c>
      <c r="K473" s="62">
        <f t="shared" si="431"/>
        <v>16</v>
      </c>
      <c r="L473" s="62">
        <f t="shared" ref="L473:U474" si="432">($B453+($C453-$B453)*(1-AA453))*L$44</f>
        <v>16</v>
      </c>
      <c r="M473" s="62">
        <f t="shared" si="432"/>
        <v>16</v>
      </c>
      <c r="N473" s="62">
        <f t="shared" si="432"/>
        <v>16</v>
      </c>
      <c r="O473" s="62">
        <f t="shared" si="432"/>
        <v>16</v>
      </c>
      <c r="P473" s="62">
        <f t="shared" si="432"/>
        <v>16</v>
      </c>
      <c r="Q473" s="62">
        <f t="shared" si="432"/>
        <v>16</v>
      </c>
      <c r="R473" s="62">
        <f t="shared" si="432"/>
        <v>16</v>
      </c>
      <c r="S473" s="62">
        <f t="shared" si="432"/>
        <v>16</v>
      </c>
      <c r="T473" s="62">
        <f t="shared" si="432"/>
        <v>16</v>
      </c>
      <c r="U473" s="62">
        <f t="shared" si="432"/>
        <v>16</v>
      </c>
      <c r="V473" s="62">
        <f t="shared" ref="V473:AC474" si="433">($B453+($C453-$B453)*(1-AK453))*V$44</f>
        <v>16</v>
      </c>
      <c r="W473" s="62">
        <f t="shared" si="433"/>
        <v>16</v>
      </c>
      <c r="X473" s="62">
        <f t="shared" si="433"/>
        <v>16</v>
      </c>
      <c r="Y473" s="62">
        <f t="shared" si="433"/>
        <v>16</v>
      </c>
      <c r="Z473" s="62">
        <f t="shared" si="433"/>
        <v>16</v>
      </c>
      <c r="AA473" s="62">
        <f t="shared" si="433"/>
        <v>16</v>
      </c>
      <c r="AB473" s="62">
        <f t="shared" si="433"/>
        <v>16</v>
      </c>
      <c r="AC473" s="62">
        <f t="shared" si="433"/>
        <v>16</v>
      </c>
    </row>
    <row r="474" spans="1:29" x14ac:dyDescent="0.25">
      <c r="A474" s="30" t="s">
        <v>73</v>
      </c>
      <c r="B474" s="62">
        <f t="shared" si="431"/>
        <v>2.4834973269685467</v>
      </c>
      <c r="C474" s="62">
        <f t="shared" si="431"/>
        <v>2.4764313720357283</v>
      </c>
      <c r="D474" s="62">
        <f t="shared" si="431"/>
        <v>2.4663987289484006</v>
      </c>
      <c r="E474" s="62">
        <f t="shared" si="431"/>
        <v>2.4522185520199096</v>
      </c>
      <c r="F474" s="62">
        <f t="shared" si="431"/>
        <v>2.4323098394438922</v>
      </c>
      <c r="G474" s="62">
        <f t="shared" si="431"/>
        <v>2.4046295018767689</v>
      </c>
      <c r="H474" s="62">
        <f t="shared" si="431"/>
        <v>2.3666807945957307</v>
      </c>
      <c r="I474" s="62">
        <f t="shared" si="431"/>
        <v>2.3156817984290878</v>
      </c>
      <c r="J474" s="62">
        <f t="shared" si="431"/>
        <v>2.2490162581577988</v>
      </c>
      <c r="K474" s="62">
        <f t="shared" si="431"/>
        <v>2.1650622781249176</v>
      </c>
      <c r="L474" s="62">
        <f t="shared" si="432"/>
        <v>2.0643199119848337</v>
      </c>
      <c r="M474" s="62">
        <f t="shared" si="432"/>
        <v>1.9504030985106198</v>
      </c>
      <c r="N474" s="62">
        <f t="shared" si="432"/>
        <v>1.8301415859148171</v>
      </c>
      <c r="O474" s="62">
        <f t="shared" si="432"/>
        <v>1.7122465949440495</v>
      </c>
      <c r="P474" s="62">
        <f t="shared" si="432"/>
        <v>1.6049243579653898</v>
      </c>
      <c r="Q474" s="62">
        <f t="shared" si="432"/>
        <v>1.5137157395139718</v>
      </c>
      <c r="R474" s="62">
        <f t="shared" si="432"/>
        <v>1.4406739706724776</v>
      </c>
      <c r="S474" s="62">
        <f t="shared" si="432"/>
        <v>1.3849398592213749</v>
      </c>
      <c r="T474" s="62">
        <f t="shared" si="432"/>
        <v>1.3439708174226148</v>
      </c>
      <c r="U474" s="62">
        <f t="shared" si="432"/>
        <v>1.3146785452218777</v>
      </c>
      <c r="V474" s="62">
        <f t="shared" si="433"/>
        <v>1.2941489882816826</v>
      </c>
      <c r="W474" s="62">
        <f t="shared" si="433"/>
        <v>1.2799618025908228</v>
      </c>
      <c r="X474" s="62">
        <f t="shared" si="433"/>
        <v>1.2702528044479873</v>
      </c>
      <c r="Y474" s="62">
        <f t="shared" si="433"/>
        <v>1.2636528007051355</v>
      </c>
      <c r="Z474" s="62">
        <f t="shared" si="433"/>
        <v>1.2591866516132615</v>
      </c>
      <c r="AA474" s="62">
        <f t="shared" si="433"/>
        <v>1.2561737827731323</v>
      </c>
      <c r="AB474" s="62">
        <f t="shared" si="433"/>
        <v>1.2541455344366195</v>
      </c>
      <c r="AC474" s="62">
        <f t="shared" si="433"/>
        <v>1.2527820452683351</v>
      </c>
    </row>
    <row r="475" spans="1:29" x14ac:dyDescent="0.25">
      <c r="A475" s="30" t="str">
        <f>A455</f>
        <v>Annual Mileage</v>
      </c>
      <c r="B475" s="62">
        <f t="shared" ref="B475:AC475" si="434">$B455+($C455-$B455)*(1-Q455)</f>
        <v>90000</v>
      </c>
      <c r="C475" s="62">
        <f t="shared" si="434"/>
        <v>90000</v>
      </c>
      <c r="D475" s="62">
        <f t="shared" si="434"/>
        <v>90000</v>
      </c>
      <c r="E475" s="62">
        <f t="shared" si="434"/>
        <v>90000</v>
      </c>
      <c r="F475" s="62">
        <f t="shared" si="434"/>
        <v>90000</v>
      </c>
      <c r="G475" s="62">
        <f t="shared" si="434"/>
        <v>90000</v>
      </c>
      <c r="H475" s="62">
        <f t="shared" si="434"/>
        <v>90000</v>
      </c>
      <c r="I475" s="62">
        <f t="shared" si="434"/>
        <v>90000</v>
      </c>
      <c r="J475" s="62">
        <f t="shared" si="434"/>
        <v>90000</v>
      </c>
      <c r="K475" s="62">
        <f t="shared" si="434"/>
        <v>90000</v>
      </c>
      <c r="L475" s="62">
        <f t="shared" si="434"/>
        <v>90000</v>
      </c>
      <c r="M475" s="62">
        <f t="shared" si="434"/>
        <v>90000</v>
      </c>
      <c r="N475" s="62">
        <f t="shared" si="434"/>
        <v>90000</v>
      </c>
      <c r="O475" s="62">
        <f t="shared" si="434"/>
        <v>90000</v>
      </c>
      <c r="P475" s="62">
        <f t="shared" si="434"/>
        <v>90000</v>
      </c>
      <c r="Q475" s="62">
        <f t="shared" si="434"/>
        <v>90000</v>
      </c>
      <c r="R475" s="62">
        <f t="shared" si="434"/>
        <v>90000</v>
      </c>
      <c r="S475" s="62">
        <f t="shared" si="434"/>
        <v>90000</v>
      </c>
      <c r="T475" s="62">
        <f t="shared" si="434"/>
        <v>90000</v>
      </c>
      <c r="U475" s="62">
        <f t="shared" si="434"/>
        <v>90000</v>
      </c>
      <c r="V475" s="62">
        <f t="shared" si="434"/>
        <v>90000</v>
      </c>
      <c r="W475" s="62">
        <f t="shared" si="434"/>
        <v>90000</v>
      </c>
      <c r="X475" s="62">
        <f t="shared" si="434"/>
        <v>90000</v>
      </c>
      <c r="Y475" s="62">
        <f t="shared" si="434"/>
        <v>90000</v>
      </c>
      <c r="Z475" s="62">
        <f t="shared" si="434"/>
        <v>90000</v>
      </c>
      <c r="AA475" s="62">
        <f t="shared" si="434"/>
        <v>90000</v>
      </c>
      <c r="AB475" s="62">
        <f t="shared" si="434"/>
        <v>90000</v>
      </c>
      <c r="AC475" s="62">
        <f t="shared" si="434"/>
        <v>90000</v>
      </c>
    </row>
    <row r="476" spans="1:29" ht="15.75" thickBot="1" x14ac:dyDescent="0.3">
      <c r="AC476" s="32"/>
    </row>
    <row r="477" spans="1:29" ht="15.75" thickBot="1" x14ac:dyDescent="0.3">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62190.665101367747</v>
      </c>
      <c r="C478" s="63">
        <f t="shared" ref="C478:AC478" si="435">((1+C463)^C470)*C463/(((1+C463)^C470)-1)*(C459)</f>
        <v>61281.329133767969</v>
      </c>
      <c r="D478" s="63">
        <f t="shared" si="435"/>
        <v>60034.66354051487</v>
      </c>
      <c r="E478" s="63">
        <f t="shared" si="435"/>
        <v>58359.278570466915</v>
      </c>
      <c r="F478" s="63">
        <f t="shared" si="435"/>
        <v>56169.226754041214</v>
      </c>
      <c r="G478" s="63">
        <f t="shared" si="435"/>
        <v>53411.226658055137</v>
      </c>
      <c r="H478" s="63">
        <f t="shared" si="435"/>
        <v>50101.705711276991</v>
      </c>
      <c r="I478" s="63">
        <f t="shared" si="435"/>
        <v>46359.3866172536</v>
      </c>
      <c r="J478" s="63">
        <f t="shared" si="435"/>
        <v>42408.635704041997</v>
      </c>
      <c r="K478" s="63">
        <f t="shared" si="435"/>
        <v>38535.628179130072</v>
      </c>
      <c r="L478" s="63">
        <f t="shared" si="435"/>
        <v>35009.949708941356</v>
      </c>
      <c r="M478" s="63">
        <f t="shared" si="435"/>
        <v>32013.625075549993</v>
      </c>
      <c r="N478" s="63">
        <f t="shared" si="435"/>
        <v>29614.105655542335</v>
      </c>
      <c r="O478" s="63">
        <f t="shared" si="435"/>
        <v>27783.165839804766</v>
      </c>
      <c r="P478" s="63">
        <f t="shared" si="435"/>
        <v>26437.27823365216</v>
      </c>
      <c r="Q478" s="63">
        <f t="shared" si="435"/>
        <v>25474.988065757298</v>
      </c>
      <c r="R478" s="63">
        <f t="shared" si="435"/>
        <v>24800.564768738692</v>
      </c>
      <c r="S478" s="63">
        <f t="shared" si="435"/>
        <v>24334.496817203359</v>
      </c>
      <c r="T478" s="63">
        <f t="shared" si="435"/>
        <v>24015.543292910865</v>
      </c>
      <c r="U478" s="63">
        <f t="shared" si="435"/>
        <v>23798.724376771759</v>
      </c>
      <c r="V478" s="63">
        <f t="shared" si="435"/>
        <v>23652.005428852281</v>
      </c>
      <c r="W478" s="63">
        <f t="shared" si="435"/>
        <v>23553.028673408226</v>
      </c>
      <c r="X478" s="63">
        <f t="shared" si="435"/>
        <v>23486.398013318085</v>
      </c>
      <c r="Y478" s="63">
        <f t="shared" si="435"/>
        <v>23441.605577563019</v>
      </c>
      <c r="Z478" s="63">
        <f t="shared" si="435"/>
        <v>23411.522325452843</v>
      </c>
      <c r="AA478" s="63">
        <f t="shared" si="435"/>
        <v>23391.330799385243</v>
      </c>
      <c r="AB478" s="63">
        <f t="shared" si="435"/>
        <v>23377.784258985215</v>
      </c>
      <c r="AC478" s="63">
        <f t="shared" si="435"/>
        <v>23368.698453290883</v>
      </c>
    </row>
    <row r="479" spans="1:29" x14ac:dyDescent="0.25">
      <c r="A479" s="30" t="str">
        <f>A460</f>
        <v>Residual value (vehicle)</v>
      </c>
      <c r="B479" s="62">
        <f>((1+B463)^B470)*B463/(((1+B463)^B470)-1)*(B460)</f>
        <v>-9455.0461314377717</v>
      </c>
      <c r="C479" s="62">
        <f t="shared" ref="C479:AC479" si="436">((1+C463)^C470)*C463/(((1+C463)^C470)-1)*(C460)</f>
        <v>-9370.3530756319105</v>
      </c>
      <c r="D479" s="62">
        <f t="shared" si="436"/>
        <v>-9254.2420644955928</v>
      </c>
      <c r="E479" s="62">
        <f t="shared" si="436"/>
        <v>-9098.2013074813221</v>
      </c>
      <c r="F479" s="62">
        <f t="shared" si="436"/>
        <v>-8894.2258932063796</v>
      </c>
      <c r="G479" s="62">
        <f t="shared" si="436"/>
        <v>-8637.353335246893</v>
      </c>
      <c r="H479" s="62">
        <f t="shared" si="436"/>
        <v>-8329.1136392234366</v>
      </c>
      <c r="I479" s="62">
        <f t="shared" si="436"/>
        <v>-7980.5643118389062</v>
      </c>
      <c r="J479" s="62">
        <f t="shared" si="436"/>
        <v>-7612.6022169809621</v>
      </c>
      <c r="K479" s="62">
        <f t="shared" si="436"/>
        <v>-7251.8809278960271</v>
      </c>
      <c r="L479" s="62">
        <f t="shared" si="436"/>
        <v>-6923.5089135157077</v>
      </c>
      <c r="M479" s="62">
        <f t="shared" si="436"/>
        <v>-6644.4394623665112</v>
      </c>
      <c r="N479" s="62">
        <f t="shared" si="436"/>
        <v>-6420.9548105030526</v>
      </c>
      <c r="O479" s="62">
        <f t="shared" si="436"/>
        <v>-6250.4261021745533</v>
      </c>
      <c r="P479" s="62">
        <f t="shared" si="436"/>
        <v>-6125.0738251309276</v>
      </c>
      <c r="Q479" s="62">
        <f t="shared" si="436"/>
        <v>-6035.4487604740543</v>
      </c>
      <c r="R479" s="62">
        <f t="shared" si="436"/>
        <v>-5972.6348259478109</v>
      </c>
      <c r="S479" s="62">
        <f t="shared" si="436"/>
        <v>-5929.226536344031</v>
      </c>
      <c r="T479" s="62">
        <f t="shared" si="436"/>
        <v>-5899.5200806501216</v>
      </c>
      <c r="U479" s="62">
        <f t="shared" si="436"/>
        <v>-5879.3261619901059</v>
      </c>
      <c r="V479" s="62">
        <f t="shared" si="436"/>
        <v>-5865.6611619387841</v>
      </c>
      <c r="W479" s="62">
        <f t="shared" si="436"/>
        <v>-5856.442738637621</v>
      </c>
      <c r="X479" s="62">
        <f t="shared" si="436"/>
        <v>-5850.2369418645203</v>
      </c>
      <c r="Y479" s="62">
        <f t="shared" si="436"/>
        <v>-5846.0650973579204</v>
      </c>
      <c r="Z479" s="62">
        <f t="shared" si="436"/>
        <v>-5843.2632258378535</v>
      </c>
      <c r="AA479" s="62">
        <f t="shared" si="436"/>
        <v>-5841.3826425276375</v>
      </c>
      <c r="AB479" s="62">
        <f t="shared" si="436"/>
        <v>-5840.1209549413597</v>
      </c>
      <c r="AC479" s="62">
        <f t="shared" si="436"/>
        <v>-5839.2747279404175</v>
      </c>
    </row>
    <row r="480" spans="1:29" x14ac:dyDescent="0.25">
      <c r="A480" s="30" t="str">
        <f>A461</f>
        <v>Capex costumization</v>
      </c>
      <c r="B480" s="62">
        <f>((1+B463)^B471)*B463/(((1+B463)^B471)-1)*(B461)</f>
        <v>4755.37853771343</v>
      </c>
      <c r="C480" s="62">
        <f t="shared" ref="C480:AC480" si="437">((1+C463)^C471)*C463/(((1+C463)^C471)-1)*(C461)</f>
        <v>4755.37853771343</v>
      </c>
      <c r="D480" s="62">
        <f t="shared" si="437"/>
        <v>4755.37853771343</v>
      </c>
      <c r="E480" s="62">
        <f t="shared" si="437"/>
        <v>4755.37853771343</v>
      </c>
      <c r="F480" s="62">
        <f t="shared" si="437"/>
        <v>4755.37853771343</v>
      </c>
      <c r="G480" s="62">
        <f t="shared" si="437"/>
        <v>4755.37853771343</v>
      </c>
      <c r="H480" s="62">
        <f t="shared" si="437"/>
        <v>4755.37853771343</v>
      </c>
      <c r="I480" s="62">
        <f t="shared" si="437"/>
        <v>4755.37853771343</v>
      </c>
      <c r="J480" s="62">
        <f t="shared" si="437"/>
        <v>4755.37853771343</v>
      </c>
      <c r="K480" s="62">
        <f t="shared" si="437"/>
        <v>4755.37853771343</v>
      </c>
      <c r="L480" s="62">
        <f t="shared" si="437"/>
        <v>4755.37853771343</v>
      </c>
      <c r="M480" s="62">
        <f t="shared" si="437"/>
        <v>4755.37853771343</v>
      </c>
      <c r="N480" s="62">
        <f t="shared" si="437"/>
        <v>4755.37853771343</v>
      </c>
      <c r="O480" s="62">
        <f t="shared" si="437"/>
        <v>4755.37853771343</v>
      </c>
      <c r="P480" s="62">
        <f t="shared" si="437"/>
        <v>4755.37853771343</v>
      </c>
      <c r="Q480" s="62">
        <f t="shared" si="437"/>
        <v>4755.37853771343</v>
      </c>
      <c r="R480" s="62">
        <f t="shared" si="437"/>
        <v>4755.37853771343</v>
      </c>
      <c r="S480" s="62">
        <f t="shared" si="437"/>
        <v>4755.37853771343</v>
      </c>
      <c r="T480" s="62">
        <f t="shared" si="437"/>
        <v>4755.37853771343</v>
      </c>
      <c r="U480" s="62">
        <f t="shared" si="437"/>
        <v>4755.37853771343</v>
      </c>
      <c r="V480" s="62">
        <f t="shared" si="437"/>
        <v>4755.37853771343</v>
      </c>
      <c r="W480" s="62">
        <f t="shared" si="437"/>
        <v>4755.37853771343</v>
      </c>
      <c r="X480" s="62">
        <f t="shared" si="437"/>
        <v>4755.37853771343</v>
      </c>
      <c r="Y480" s="62">
        <f t="shared" si="437"/>
        <v>4755.37853771343</v>
      </c>
      <c r="Z480" s="62">
        <f t="shared" si="437"/>
        <v>4755.37853771343</v>
      </c>
      <c r="AA480" s="62">
        <f t="shared" si="437"/>
        <v>4755.37853771343</v>
      </c>
      <c r="AB480" s="62">
        <f t="shared" si="437"/>
        <v>4755.37853771343</v>
      </c>
      <c r="AC480" s="62">
        <f t="shared" si="437"/>
        <v>4755.37853771343</v>
      </c>
    </row>
    <row r="481" spans="1:29" x14ac:dyDescent="0.25">
      <c r="A481" s="30" t="str">
        <f>A462</f>
        <v>Residual value (costumization)</v>
      </c>
      <c r="B481" s="62">
        <f>((1+B463)^B471)*B463/(((1+B463)^B471)-1)*(B462)</f>
        <v>-1188.8446344283575</v>
      </c>
      <c r="C481" s="62">
        <f t="shared" ref="C481:AC481" si="438">((1+C463)^C471)*C463/(((1+C463)^C471)-1)*(C462)</f>
        <v>-1188.8446344283575</v>
      </c>
      <c r="D481" s="62">
        <f t="shared" si="438"/>
        <v>-1188.8446344283575</v>
      </c>
      <c r="E481" s="62">
        <f t="shared" si="438"/>
        <v>-1188.8446344283575</v>
      </c>
      <c r="F481" s="62">
        <f t="shared" si="438"/>
        <v>-1188.8446344283575</v>
      </c>
      <c r="G481" s="62">
        <f t="shared" si="438"/>
        <v>-1188.8446344283575</v>
      </c>
      <c r="H481" s="62">
        <f t="shared" si="438"/>
        <v>-1188.8446344283575</v>
      </c>
      <c r="I481" s="62">
        <f t="shared" si="438"/>
        <v>-1188.8446344283575</v>
      </c>
      <c r="J481" s="62">
        <f t="shared" si="438"/>
        <v>-1188.8446344283575</v>
      </c>
      <c r="K481" s="62">
        <f t="shared" si="438"/>
        <v>-1188.8446344283575</v>
      </c>
      <c r="L481" s="62">
        <f t="shared" si="438"/>
        <v>-1188.8446344283575</v>
      </c>
      <c r="M481" s="62">
        <f t="shared" si="438"/>
        <v>-1188.8446344283575</v>
      </c>
      <c r="N481" s="62">
        <f t="shared" si="438"/>
        <v>-1188.8446344283575</v>
      </c>
      <c r="O481" s="62">
        <f t="shared" si="438"/>
        <v>-1188.8446344283575</v>
      </c>
      <c r="P481" s="62">
        <f t="shared" si="438"/>
        <v>-1188.8446344283575</v>
      </c>
      <c r="Q481" s="62">
        <f t="shared" si="438"/>
        <v>-1188.8446344283575</v>
      </c>
      <c r="R481" s="62">
        <f t="shared" si="438"/>
        <v>-1188.8446344283575</v>
      </c>
      <c r="S481" s="62">
        <f t="shared" si="438"/>
        <v>-1188.8446344283575</v>
      </c>
      <c r="T481" s="62">
        <f t="shared" si="438"/>
        <v>-1188.8446344283575</v>
      </c>
      <c r="U481" s="62">
        <f t="shared" si="438"/>
        <v>-1188.8446344283575</v>
      </c>
      <c r="V481" s="62">
        <f t="shared" si="438"/>
        <v>-1188.8446344283575</v>
      </c>
      <c r="W481" s="62">
        <f t="shared" si="438"/>
        <v>-1188.8446344283575</v>
      </c>
      <c r="X481" s="62">
        <f t="shared" si="438"/>
        <v>-1188.8446344283575</v>
      </c>
      <c r="Y481" s="62">
        <f t="shared" si="438"/>
        <v>-1188.8446344283575</v>
      </c>
      <c r="Z481" s="62">
        <f t="shared" si="438"/>
        <v>-1188.8446344283575</v>
      </c>
      <c r="AA481" s="62">
        <f t="shared" si="438"/>
        <v>-1188.8446344283575</v>
      </c>
      <c r="AB481" s="62">
        <f t="shared" si="438"/>
        <v>-1188.8446344283575</v>
      </c>
      <c r="AC481" s="62">
        <f t="shared" si="438"/>
        <v>-1188.8446344283575</v>
      </c>
    </row>
    <row r="482" spans="1:29" x14ac:dyDescent="0.25">
      <c r="A482" s="30" t="str">
        <f t="shared" ref="A482:AC482" si="439">A464</f>
        <v>Opex fix (admin, crew, insurance)</v>
      </c>
      <c r="B482" s="62">
        <f t="shared" si="439"/>
        <v>70000</v>
      </c>
      <c r="C482" s="62">
        <f t="shared" si="439"/>
        <v>70000</v>
      </c>
      <c r="D482" s="62">
        <f t="shared" si="439"/>
        <v>70000</v>
      </c>
      <c r="E482" s="62">
        <f t="shared" si="439"/>
        <v>70000</v>
      </c>
      <c r="F482" s="62">
        <f t="shared" si="439"/>
        <v>70000</v>
      </c>
      <c r="G482" s="62">
        <f t="shared" si="439"/>
        <v>70000</v>
      </c>
      <c r="H482" s="62">
        <f t="shared" si="439"/>
        <v>70000</v>
      </c>
      <c r="I482" s="62">
        <f t="shared" si="439"/>
        <v>70000</v>
      </c>
      <c r="J482" s="62">
        <f t="shared" si="439"/>
        <v>70000</v>
      </c>
      <c r="K482" s="62">
        <f t="shared" si="439"/>
        <v>70000</v>
      </c>
      <c r="L482" s="62">
        <f t="shared" si="439"/>
        <v>70000</v>
      </c>
      <c r="M482" s="62">
        <f t="shared" si="439"/>
        <v>70000</v>
      </c>
      <c r="N482" s="62">
        <f t="shared" si="439"/>
        <v>70000</v>
      </c>
      <c r="O482" s="62">
        <f t="shared" si="439"/>
        <v>70000</v>
      </c>
      <c r="P482" s="62">
        <f t="shared" si="439"/>
        <v>70000</v>
      </c>
      <c r="Q482" s="62">
        <f t="shared" si="439"/>
        <v>70000</v>
      </c>
      <c r="R482" s="62">
        <f t="shared" si="439"/>
        <v>70000</v>
      </c>
      <c r="S482" s="62">
        <f t="shared" si="439"/>
        <v>70000</v>
      </c>
      <c r="T482" s="62">
        <f t="shared" si="439"/>
        <v>70000</v>
      </c>
      <c r="U482" s="62">
        <f t="shared" si="439"/>
        <v>70000</v>
      </c>
      <c r="V482" s="62">
        <f t="shared" si="439"/>
        <v>70000</v>
      </c>
      <c r="W482" s="62">
        <f t="shared" si="439"/>
        <v>70000</v>
      </c>
      <c r="X482" s="62">
        <f t="shared" si="439"/>
        <v>70000</v>
      </c>
      <c r="Y482" s="62">
        <f t="shared" si="439"/>
        <v>70000</v>
      </c>
      <c r="Z482" s="62">
        <f t="shared" si="439"/>
        <v>70000</v>
      </c>
      <c r="AA482" s="62">
        <f t="shared" si="439"/>
        <v>70000</v>
      </c>
      <c r="AB482" s="62">
        <f t="shared" si="439"/>
        <v>70000</v>
      </c>
      <c r="AC482" s="62">
        <f t="shared" si="439"/>
        <v>70000</v>
      </c>
    </row>
    <row r="483" spans="1:29" x14ac:dyDescent="0.25">
      <c r="A483" s="30" t="str">
        <f t="shared" ref="A483:AC483" si="440">A465</f>
        <v>Opex maintenance &amp; repair</v>
      </c>
      <c r="B483" s="62">
        <f t="shared" si="440"/>
        <v>15000</v>
      </c>
      <c r="C483" s="62">
        <f t="shared" si="440"/>
        <v>15000</v>
      </c>
      <c r="D483" s="62">
        <f t="shared" si="440"/>
        <v>15000</v>
      </c>
      <c r="E483" s="62">
        <f t="shared" si="440"/>
        <v>15000</v>
      </c>
      <c r="F483" s="62">
        <f t="shared" si="440"/>
        <v>15000</v>
      </c>
      <c r="G483" s="62">
        <f t="shared" si="440"/>
        <v>15000</v>
      </c>
      <c r="H483" s="62">
        <f t="shared" si="440"/>
        <v>15000</v>
      </c>
      <c r="I483" s="62">
        <f t="shared" si="440"/>
        <v>15000</v>
      </c>
      <c r="J483" s="62">
        <f t="shared" si="440"/>
        <v>15000</v>
      </c>
      <c r="K483" s="62">
        <f t="shared" si="440"/>
        <v>15000</v>
      </c>
      <c r="L483" s="62">
        <f t="shared" si="440"/>
        <v>15000</v>
      </c>
      <c r="M483" s="62">
        <f t="shared" si="440"/>
        <v>15000</v>
      </c>
      <c r="N483" s="62">
        <f t="shared" si="440"/>
        <v>15000</v>
      </c>
      <c r="O483" s="62">
        <f t="shared" si="440"/>
        <v>15000</v>
      </c>
      <c r="P483" s="62">
        <f t="shared" si="440"/>
        <v>15000</v>
      </c>
      <c r="Q483" s="62">
        <f t="shared" si="440"/>
        <v>15000</v>
      </c>
      <c r="R483" s="62">
        <f t="shared" si="440"/>
        <v>15000</v>
      </c>
      <c r="S483" s="62">
        <f t="shared" si="440"/>
        <v>15000</v>
      </c>
      <c r="T483" s="62">
        <f t="shared" si="440"/>
        <v>15000</v>
      </c>
      <c r="U483" s="62">
        <f t="shared" si="440"/>
        <v>15000</v>
      </c>
      <c r="V483" s="62">
        <f t="shared" si="440"/>
        <v>15000</v>
      </c>
      <c r="W483" s="62">
        <f t="shared" si="440"/>
        <v>15000</v>
      </c>
      <c r="X483" s="62">
        <f t="shared" si="440"/>
        <v>15000</v>
      </c>
      <c r="Y483" s="62">
        <f t="shared" si="440"/>
        <v>15000</v>
      </c>
      <c r="Z483" s="62">
        <f t="shared" si="440"/>
        <v>15000</v>
      </c>
      <c r="AA483" s="62">
        <f t="shared" si="440"/>
        <v>15000</v>
      </c>
      <c r="AB483" s="62">
        <f t="shared" si="440"/>
        <v>15000</v>
      </c>
      <c r="AC483" s="62">
        <f t="shared" si="440"/>
        <v>15000</v>
      </c>
    </row>
    <row r="484" spans="1:29" x14ac:dyDescent="0.25">
      <c r="A484" s="30" t="str">
        <f>A466</f>
        <v>Opex var (mode-fees)</v>
      </c>
      <c r="B484" s="62">
        <f>B466*B475</f>
        <v>9900</v>
      </c>
      <c r="C484" s="62">
        <f t="shared" ref="C484:AC484" si="441">C466*C475</f>
        <v>9900</v>
      </c>
      <c r="D484" s="62">
        <f t="shared" si="441"/>
        <v>9900</v>
      </c>
      <c r="E484" s="62">
        <f t="shared" si="441"/>
        <v>9900</v>
      </c>
      <c r="F484" s="62">
        <f t="shared" si="441"/>
        <v>9900</v>
      </c>
      <c r="G484" s="62">
        <f t="shared" si="441"/>
        <v>9900</v>
      </c>
      <c r="H484" s="62">
        <f t="shared" si="441"/>
        <v>9900</v>
      </c>
      <c r="I484" s="62">
        <f t="shared" si="441"/>
        <v>9900</v>
      </c>
      <c r="J484" s="62">
        <f t="shared" si="441"/>
        <v>9900</v>
      </c>
      <c r="K484" s="62">
        <f t="shared" si="441"/>
        <v>9900</v>
      </c>
      <c r="L484" s="62">
        <f t="shared" si="441"/>
        <v>9900</v>
      </c>
      <c r="M484" s="62">
        <f t="shared" si="441"/>
        <v>9900</v>
      </c>
      <c r="N484" s="62">
        <f t="shared" si="441"/>
        <v>9900</v>
      </c>
      <c r="O484" s="62">
        <f t="shared" si="441"/>
        <v>9900</v>
      </c>
      <c r="P484" s="62">
        <f t="shared" si="441"/>
        <v>9900</v>
      </c>
      <c r="Q484" s="62">
        <f t="shared" si="441"/>
        <v>9900</v>
      </c>
      <c r="R484" s="62">
        <f t="shared" si="441"/>
        <v>9900</v>
      </c>
      <c r="S484" s="62">
        <f t="shared" si="441"/>
        <v>9900</v>
      </c>
      <c r="T484" s="62">
        <f t="shared" si="441"/>
        <v>9900</v>
      </c>
      <c r="U484" s="62">
        <f t="shared" si="441"/>
        <v>9900</v>
      </c>
      <c r="V484" s="62">
        <f t="shared" si="441"/>
        <v>9900</v>
      </c>
      <c r="W484" s="62">
        <f t="shared" si="441"/>
        <v>9900</v>
      </c>
      <c r="X484" s="62">
        <f t="shared" si="441"/>
        <v>9900</v>
      </c>
      <c r="Y484" s="62">
        <f t="shared" si="441"/>
        <v>9900</v>
      </c>
      <c r="Z484" s="62">
        <f t="shared" si="441"/>
        <v>9900</v>
      </c>
      <c r="AA484" s="62">
        <f t="shared" si="441"/>
        <v>9900</v>
      </c>
      <c r="AB484" s="62">
        <f t="shared" si="441"/>
        <v>9900</v>
      </c>
      <c r="AC484" s="62">
        <f t="shared" si="441"/>
        <v>9900</v>
      </c>
    </row>
    <row r="485" spans="1:29" x14ac:dyDescent="0.25">
      <c r="A485" s="30" t="str">
        <f>A468</f>
        <v>Fuel Cost</v>
      </c>
      <c r="B485" s="62">
        <f>B467*B468*B475</f>
        <v>17968.252638986538</v>
      </c>
      <c r="C485" s="62">
        <f t="shared" ref="C485:AC485" si="442">C467*C468*C475</f>
        <v>17835.0969370887</v>
      </c>
      <c r="D485" s="62">
        <f t="shared" si="442"/>
        <v>17651.471710647584</v>
      </c>
      <c r="E485" s="62">
        <f t="shared" si="442"/>
        <v>17402.484002770074</v>
      </c>
      <c r="F485" s="62">
        <f t="shared" si="442"/>
        <v>17072.563391861968</v>
      </c>
      <c r="G485" s="62">
        <f t="shared" si="442"/>
        <v>16648.486733200145</v>
      </c>
      <c r="H485" s="62">
        <f t="shared" si="442"/>
        <v>16123.772213304179</v>
      </c>
      <c r="I485" s="62">
        <f t="shared" si="442"/>
        <v>15503.037427586914</v>
      </c>
      <c r="J485" s="62">
        <f t="shared" si="442"/>
        <v>14803.82443116694</v>
      </c>
      <c r="K485" s="62">
        <f t="shared" si="442"/>
        <v>14054.181047878435</v>
      </c>
      <c r="L485" s="62">
        <f t="shared" si="442"/>
        <v>13287.328801891332</v>
      </c>
      <c r="M485" s="62">
        <f t="shared" si="442"/>
        <v>12536.90281990987</v>
      </c>
      <c r="N485" s="62">
        <f t="shared" si="442"/>
        <v>11834.345475468283</v>
      </c>
      <c r="O485" s="62">
        <f t="shared" si="442"/>
        <v>11206.617848102125</v>
      </c>
      <c r="P485" s="62">
        <f t="shared" si="442"/>
        <v>10672.613413599172</v>
      </c>
      <c r="Q485" s="62">
        <f t="shared" si="442"/>
        <v>10239.905836148</v>
      </c>
      <c r="R485" s="62">
        <f t="shared" si="442"/>
        <v>9904.5535000950858</v>
      </c>
      <c r="S485" s="62">
        <f t="shared" si="442"/>
        <v>9654.2918774608133</v>
      </c>
      <c r="T485" s="62">
        <f t="shared" si="442"/>
        <v>9473.0666672520401</v>
      </c>
      <c r="U485" s="62">
        <f t="shared" si="442"/>
        <v>9344.7919392863278</v>
      </c>
      <c r="V485" s="62">
        <f t="shared" si="442"/>
        <v>9255.4958709773928</v>
      </c>
      <c r="W485" s="62">
        <f t="shared" si="442"/>
        <v>9194.0658237981224</v>
      </c>
      <c r="X485" s="62">
        <f t="shared" si="442"/>
        <v>9152.1537007057086</v>
      </c>
      <c r="Y485" s="62">
        <f t="shared" si="442"/>
        <v>9123.7205440025937</v>
      </c>
      <c r="Z485" s="62">
        <f t="shared" si="442"/>
        <v>9104.5063859808233</v>
      </c>
      <c r="AA485" s="62">
        <f t="shared" si="442"/>
        <v>9091.5563476113584</v>
      </c>
      <c r="AB485" s="62">
        <f t="shared" si="442"/>
        <v>9082.8437903718714</v>
      </c>
      <c r="AC485" s="62">
        <f t="shared" si="442"/>
        <v>9076.9891840266318</v>
      </c>
    </row>
    <row r="486" spans="1:29" ht="15.75" thickBot="1" x14ac:dyDescent="0.3">
      <c r="A486" s="59" t="str">
        <f>A449</f>
        <v>Emission Cost</v>
      </c>
      <c r="B486" s="62">
        <f>B469*B475</f>
        <v>316.10422655374003</v>
      </c>
      <c r="C486" s="62">
        <f t="shared" ref="C486:AC486" si="443">C469*C475</f>
        <v>315.80321831073229</v>
      </c>
      <c r="D486" s="62">
        <f t="shared" si="443"/>
        <v>315.37233171528476</v>
      </c>
      <c r="E486" s="62">
        <f t="shared" si="443"/>
        <v>314.75591813919709</v>
      </c>
      <c r="F486" s="62">
        <f t="shared" si="443"/>
        <v>313.87492712055916</v>
      </c>
      <c r="G486" s="62">
        <f t="shared" si="443"/>
        <v>312.61756254690852</v>
      </c>
      <c r="H486" s="62">
        <f t="shared" si="443"/>
        <v>310.82676692873497</v>
      </c>
      <c r="I486" s="62">
        <f t="shared" si="443"/>
        <v>308.28409386468269</v>
      </c>
      <c r="J486" s="62">
        <f t="shared" si="443"/>
        <v>304.69026982392597</v>
      </c>
      <c r="K486" s="62">
        <f t="shared" si="443"/>
        <v>299.64460570866004</v>
      </c>
      <c r="L486" s="62">
        <f t="shared" si="443"/>
        <v>292.62930095564832</v>
      </c>
      <c r="M486" s="62">
        <f t="shared" si="443"/>
        <v>283.01158058234205</v>
      </c>
      <c r="N486" s="62">
        <f t="shared" si="443"/>
        <v>270.086394993868</v>
      </c>
      <c r="O486" s="62">
        <f t="shared" si="443"/>
        <v>253.19068046751249</v>
      </c>
      <c r="P486" s="62">
        <f t="shared" si="443"/>
        <v>231.91338376797904</v>
      </c>
      <c r="Q486" s="62">
        <f t="shared" si="443"/>
        <v>206.38123849343626</v>
      </c>
      <c r="R486" s="62">
        <f t="shared" si="443"/>
        <v>177.51016128653148</v>
      </c>
      <c r="S486" s="62">
        <f t="shared" si="443"/>
        <v>147.0310835342512</v>
      </c>
      <c r="T486" s="62">
        <f t="shared" si="443"/>
        <v>117.15177702261984</v>
      </c>
      <c r="U486" s="62">
        <f t="shared" si="443"/>
        <v>89.95202928274847</v>
      </c>
      <c r="V486" s="62">
        <f t="shared" si="443"/>
        <v>66.836117022420993</v>
      </c>
      <c r="W486" s="62">
        <f t="shared" si="443"/>
        <v>48.3244111272327</v>
      </c>
      <c r="X486" s="62">
        <f t="shared" si="443"/>
        <v>34.199157921065265</v>
      </c>
      <c r="Y486" s="62">
        <f t="shared" si="443"/>
        <v>23.815963967587489</v>
      </c>
      <c r="Z486" s="62">
        <f t="shared" si="443"/>
        <v>16.39213050103271</v>
      </c>
      <c r="AA486" s="62">
        <f t="shared" si="443"/>
        <v>11.189119590109595</v>
      </c>
      <c r="AB486" s="62">
        <f t="shared" si="443"/>
        <v>7.5935192486181142</v>
      </c>
      <c r="AC486" s="62">
        <f t="shared" si="443"/>
        <v>5.1328707592978748</v>
      </c>
    </row>
    <row r="487" spans="1:29" ht="15.75" thickBot="1" x14ac:dyDescent="0.3">
      <c r="A487" s="31" t="s">
        <v>209</v>
      </c>
      <c r="B487" s="64">
        <f>B478+B479+B480+B481+B482+B483+B484+B485+B486</f>
        <v>169486.50973875533</v>
      </c>
      <c r="C487" s="64">
        <f t="shared" ref="C487:AC487" si="444">C478+C479+C480+C481+C482+C483+C484+C485+C486</f>
        <v>168528.41011682057</v>
      </c>
      <c r="D487" s="64">
        <f t="shared" si="444"/>
        <v>167213.79942166721</v>
      </c>
      <c r="E487" s="64">
        <f t="shared" si="444"/>
        <v>165444.85108717994</v>
      </c>
      <c r="F487" s="64">
        <f t="shared" si="444"/>
        <v>163127.97308310241</v>
      </c>
      <c r="G487" s="64">
        <f t="shared" si="444"/>
        <v>160201.51152184038</v>
      </c>
      <c r="H487" s="64">
        <f t="shared" si="444"/>
        <v>156673.72495557155</v>
      </c>
      <c r="I487" s="64">
        <f t="shared" si="444"/>
        <v>152656.67773015134</v>
      </c>
      <c r="J487" s="64">
        <f t="shared" si="444"/>
        <v>148371.08209133698</v>
      </c>
      <c r="K487" s="64">
        <f t="shared" si="444"/>
        <v>144104.10680810621</v>
      </c>
      <c r="L487" s="64">
        <f t="shared" si="444"/>
        <v>140132.9328015577</v>
      </c>
      <c r="M487" s="64">
        <f t="shared" si="444"/>
        <v>136655.63391696077</v>
      </c>
      <c r="N487" s="64">
        <f t="shared" si="444"/>
        <v>133764.11661878653</v>
      </c>
      <c r="O487" s="64">
        <f t="shared" si="444"/>
        <v>131459.08216948493</v>
      </c>
      <c r="P487" s="64">
        <f t="shared" si="444"/>
        <v>129683.26510917346</v>
      </c>
      <c r="Q487" s="64">
        <f t="shared" si="444"/>
        <v>128352.36028320975</v>
      </c>
      <c r="R487" s="64">
        <f t="shared" si="444"/>
        <v>127376.52750745758</v>
      </c>
      <c r="S487" s="64">
        <f t="shared" si="444"/>
        <v>126673.12714513946</v>
      </c>
      <c r="T487" s="64">
        <f t="shared" si="444"/>
        <v>126172.77555982048</v>
      </c>
      <c r="U487" s="64">
        <f t="shared" si="444"/>
        <v>125820.67608663581</v>
      </c>
      <c r="V487" s="64">
        <f t="shared" si="444"/>
        <v>125575.21015819839</v>
      </c>
      <c r="W487" s="64">
        <f t="shared" si="444"/>
        <v>125405.51007298104</v>
      </c>
      <c r="X487" s="64">
        <f t="shared" si="444"/>
        <v>125289.0478333654</v>
      </c>
      <c r="Y487" s="64">
        <f t="shared" si="444"/>
        <v>125209.61089146035</v>
      </c>
      <c r="Z487" s="64">
        <f t="shared" si="444"/>
        <v>125155.69151938191</v>
      </c>
      <c r="AA487" s="64">
        <f t="shared" si="444"/>
        <v>125119.22752734415</v>
      </c>
      <c r="AB487" s="64">
        <f t="shared" si="444"/>
        <v>125094.63451694942</v>
      </c>
      <c r="AC487" s="64">
        <f t="shared" si="444"/>
        <v>125078.07968342147</v>
      </c>
    </row>
    <row r="488" spans="1:29" ht="15.75" thickBot="1" x14ac:dyDescent="0.3">
      <c r="AC488" s="32"/>
    </row>
    <row r="489" spans="1:29" ht="15.75" thickBot="1" x14ac:dyDescent="0.3">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445">A478</f>
        <v>Capex vehicle</v>
      </c>
      <c r="B490" s="65">
        <f>((1+B463)^B470)*B463/(((1+B463)^B470)-1)*(B459)/B475</f>
        <v>0.69100739001519718</v>
      </c>
      <c r="C490" s="65">
        <f t="shared" ref="C490:AC490" si="446">((1+C463)^C470)*C463/(((1+C463)^C470)-1)*(C459)/C475</f>
        <v>0.68090365704186628</v>
      </c>
      <c r="D490" s="65">
        <f t="shared" si="446"/>
        <v>0.66705181711683192</v>
      </c>
      <c r="E490" s="65">
        <f t="shared" si="446"/>
        <v>0.64843642856074346</v>
      </c>
      <c r="F490" s="65">
        <f t="shared" si="446"/>
        <v>0.62410251948934681</v>
      </c>
      <c r="G490" s="65">
        <f t="shared" si="446"/>
        <v>0.59345807397839045</v>
      </c>
      <c r="H490" s="65">
        <f t="shared" si="446"/>
        <v>0.55668561901418878</v>
      </c>
      <c r="I490" s="65">
        <f t="shared" si="446"/>
        <v>0.51510429574726224</v>
      </c>
      <c r="J490" s="65">
        <f t="shared" si="446"/>
        <v>0.47120706337824442</v>
      </c>
      <c r="K490" s="65">
        <f t="shared" si="446"/>
        <v>0.42817364643477857</v>
      </c>
      <c r="L490" s="65">
        <f t="shared" si="446"/>
        <v>0.38899944121045954</v>
      </c>
      <c r="M490" s="65">
        <f t="shared" si="446"/>
        <v>0.3557069452838888</v>
      </c>
      <c r="N490" s="65">
        <f t="shared" si="446"/>
        <v>0.32904561839491481</v>
      </c>
      <c r="O490" s="65">
        <f t="shared" si="446"/>
        <v>0.30870184266449741</v>
      </c>
      <c r="P490" s="65">
        <f t="shared" si="446"/>
        <v>0.29374753592946845</v>
      </c>
      <c r="Q490" s="65">
        <f t="shared" si="446"/>
        <v>0.28305542295285885</v>
      </c>
      <c r="R490" s="65">
        <f t="shared" si="446"/>
        <v>0.27556183076376323</v>
      </c>
      <c r="S490" s="65">
        <f t="shared" si="446"/>
        <v>0.27038329796892618</v>
      </c>
      <c r="T490" s="65">
        <f t="shared" si="446"/>
        <v>0.26683936992123181</v>
      </c>
      <c r="U490" s="65">
        <f t="shared" si="446"/>
        <v>0.26443027085301957</v>
      </c>
      <c r="V490" s="65">
        <f t="shared" si="446"/>
        <v>0.2628000603205809</v>
      </c>
      <c r="W490" s="65">
        <f t="shared" si="446"/>
        <v>0.26170031859342474</v>
      </c>
      <c r="X490" s="65">
        <f t="shared" si="446"/>
        <v>0.26095997792575648</v>
      </c>
      <c r="Y490" s="65">
        <f t="shared" si="446"/>
        <v>0.26046228419514467</v>
      </c>
      <c r="Z490" s="65">
        <f t="shared" si="446"/>
        <v>0.26012802583836492</v>
      </c>
      <c r="AA490" s="65">
        <f t="shared" si="446"/>
        <v>0.2599036755487249</v>
      </c>
      <c r="AB490" s="65">
        <f t="shared" si="446"/>
        <v>0.25975315843316904</v>
      </c>
      <c r="AC490" s="65">
        <f t="shared" si="446"/>
        <v>0.25965220503656539</v>
      </c>
    </row>
    <row r="491" spans="1:29" x14ac:dyDescent="0.25">
      <c r="A491" s="30" t="str">
        <f t="shared" si="445"/>
        <v>Residual value (vehicle)</v>
      </c>
      <c r="B491" s="66">
        <f>((1+B463)^B470)*B463/(((1+B463)^B470)-1)*(B460)/B475</f>
        <v>-0.10505606812708636</v>
      </c>
      <c r="C491" s="66">
        <f t="shared" ref="C491:AC491" si="447">((1+C463)^C470)*C463/(((1+C463)^C470)-1)*(C460)/C475</f>
        <v>-0.10411503417368789</v>
      </c>
      <c r="D491" s="66">
        <f t="shared" si="447"/>
        <v>-0.10282491182772881</v>
      </c>
      <c r="E491" s="66">
        <f t="shared" si="447"/>
        <v>-0.10109112563868136</v>
      </c>
      <c r="F491" s="66">
        <f t="shared" si="447"/>
        <v>-9.8824732146737551E-2</v>
      </c>
      <c r="G491" s="66">
        <f t="shared" si="447"/>
        <v>-9.5970592613854364E-2</v>
      </c>
      <c r="H491" s="66">
        <f t="shared" si="447"/>
        <v>-9.2545707102482624E-2</v>
      </c>
      <c r="I491" s="66">
        <f t="shared" si="447"/>
        <v>-8.8672936798210075E-2</v>
      </c>
      <c r="J491" s="66">
        <f t="shared" si="447"/>
        <v>-8.4584469077566241E-2</v>
      </c>
      <c r="K491" s="66">
        <f t="shared" si="447"/>
        <v>-8.0576454754400298E-2</v>
      </c>
      <c r="L491" s="66">
        <f t="shared" si="447"/>
        <v>-7.6927876816841198E-2</v>
      </c>
      <c r="M491" s="66">
        <f t="shared" si="447"/>
        <v>-7.3827105137405674E-2</v>
      </c>
      <c r="N491" s="66">
        <f t="shared" si="447"/>
        <v>-7.13439423389228E-2</v>
      </c>
      <c r="O491" s="66">
        <f t="shared" si="447"/>
        <v>-6.9449178913050594E-2</v>
      </c>
      <c r="P491" s="66">
        <f t="shared" si="447"/>
        <v>-6.8056375834788088E-2</v>
      </c>
      <c r="Q491" s="66">
        <f t="shared" si="447"/>
        <v>-6.7060541783045047E-2</v>
      </c>
      <c r="R491" s="66">
        <f t="shared" si="447"/>
        <v>-6.6362609177197898E-2</v>
      </c>
      <c r="S491" s="66">
        <f t="shared" si="447"/>
        <v>-6.5880294848267018E-2</v>
      </c>
      <c r="T491" s="66">
        <f t="shared" si="447"/>
        <v>-6.555022311833468E-2</v>
      </c>
      <c r="U491" s="66">
        <f t="shared" si="447"/>
        <v>-6.5325846244334504E-2</v>
      </c>
      <c r="V491" s="66">
        <f t="shared" si="447"/>
        <v>-6.5174012910430928E-2</v>
      </c>
      <c r="W491" s="66">
        <f t="shared" si="447"/>
        <v>-6.5071585984862457E-2</v>
      </c>
      <c r="X491" s="66">
        <f t="shared" si="447"/>
        <v>-6.5002632687383557E-2</v>
      </c>
      <c r="Y491" s="66">
        <f t="shared" si="447"/>
        <v>-6.4956278859532451E-2</v>
      </c>
      <c r="Z491" s="66">
        <f t="shared" si="447"/>
        <v>-6.4925146953753926E-2</v>
      </c>
      <c r="AA491" s="66">
        <f t="shared" si="447"/>
        <v>-6.490425158364041E-2</v>
      </c>
      <c r="AB491" s="66">
        <f t="shared" si="447"/>
        <v>-6.4890232832681777E-2</v>
      </c>
      <c r="AC491" s="66">
        <f t="shared" si="447"/>
        <v>-6.4880830310449084E-2</v>
      </c>
    </row>
    <row r="492" spans="1:29" x14ac:dyDescent="0.25">
      <c r="A492" s="30" t="str">
        <f t="shared" si="445"/>
        <v>Capex costumization</v>
      </c>
      <c r="B492" s="66">
        <f>((1+B463)^B471)*B463/(((1+B463)^B471)-1)*(B461)/B475</f>
        <v>5.2837539307926999E-2</v>
      </c>
      <c r="C492" s="66">
        <f t="shared" ref="C492:AC492" si="448">((1+C463)^C471)*C463/(((1+C463)^C471)-1)*(C461)/C475</f>
        <v>5.2837539307926999E-2</v>
      </c>
      <c r="D492" s="66">
        <f t="shared" si="448"/>
        <v>5.2837539307926999E-2</v>
      </c>
      <c r="E492" s="66">
        <f t="shared" si="448"/>
        <v>5.2837539307926999E-2</v>
      </c>
      <c r="F492" s="66">
        <f t="shared" si="448"/>
        <v>5.2837539307926999E-2</v>
      </c>
      <c r="G492" s="66">
        <f t="shared" si="448"/>
        <v>5.2837539307926999E-2</v>
      </c>
      <c r="H492" s="66">
        <f t="shared" si="448"/>
        <v>5.2837539307926999E-2</v>
      </c>
      <c r="I492" s="66">
        <f t="shared" si="448"/>
        <v>5.2837539307926999E-2</v>
      </c>
      <c r="J492" s="66">
        <f t="shared" si="448"/>
        <v>5.2837539307926999E-2</v>
      </c>
      <c r="K492" s="66">
        <f t="shared" si="448"/>
        <v>5.2837539307926999E-2</v>
      </c>
      <c r="L492" s="66">
        <f t="shared" si="448"/>
        <v>5.2837539307926999E-2</v>
      </c>
      <c r="M492" s="66">
        <f t="shared" si="448"/>
        <v>5.2837539307926999E-2</v>
      </c>
      <c r="N492" s="66">
        <f t="shared" si="448"/>
        <v>5.2837539307926999E-2</v>
      </c>
      <c r="O492" s="66">
        <f t="shared" si="448"/>
        <v>5.2837539307926999E-2</v>
      </c>
      <c r="P492" s="66">
        <f t="shared" si="448"/>
        <v>5.2837539307926999E-2</v>
      </c>
      <c r="Q492" s="66">
        <f t="shared" si="448"/>
        <v>5.2837539307926999E-2</v>
      </c>
      <c r="R492" s="66">
        <f t="shared" si="448"/>
        <v>5.2837539307926999E-2</v>
      </c>
      <c r="S492" s="66">
        <f t="shared" si="448"/>
        <v>5.2837539307926999E-2</v>
      </c>
      <c r="T492" s="66">
        <f t="shared" si="448"/>
        <v>5.2837539307926999E-2</v>
      </c>
      <c r="U492" s="66">
        <f t="shared" si="448"/>
        <v>5.2837539307926999E-2</v>
      </c>
      <c r="V492" s="66">
        <f t="shared" si="448"/>
        <v>5.2837539307926999E-2</v>
      </c>
      <c r="W492" s="66">
        <f t="shared" si="448"/>
        <v>5.2837539307926999E-2</v>
      </c>
      <c r="X492" s="66">
        <f t="shared" si="448"/>
        <v>5.2837539307926999E-2</v>
      </c>
      <c r="Y492" s="66">
        <f t="shared" si="448"/>
        <v>5.2837539307926999E-2</v>
      </c>
      <c r="Z492" s="66">
        <f t="shared" si="448"/>
        <v>5.2837539307926999E-2</v>
      </c>
      <c r="AA492" s="66">
        <f t="shared" si="448"/>
        <v>5.2837539307926999E-2</v>
      </c>
      <c r="AB492" s="66">
        <f t="shared" si="448"/>
        <v>5.2837539307926999E-2</v>
      </c>
      <c r="AC492" s="66">
        <f t="shared" si="448"/>
        <v>5.2837539307926999E-2</v>
      </c>
    </row>
    <row r="493" spans="1:29" x14ac:dyDescent="0.25">
      <c r="A493" s="30" t="str">
        <f t="shared" si="445"/>
        <v>Residual value (costumization)</v>
      </c>
      <c r="B493" s="66">
        <f>((1+B463)^B471)*B463/(((1+B463)^B471)-1)*(B462)/B475</f>
        <v>-1.320938482698175E-2</v>
      </c>
      <c r="C493" s="66">
        <f t="shared" ref="C493:AC493" si="449">((1+C463)^C471)*C463/(((1+C463)^C471)-1)*(C462)/C475</f>
        <v>-1.320938482698175E-2</v>
      </c>
      <c r="D493" s="66">
        <f t="shared" si="449"/>
        <v>-1.320938482698175E-2</v>
      </c>
      <c r="E493" s="66">
        <f t="shared" si="449"/>
        <v>-1.320938482698175E-2</v>
      </c>
      <c r="F493" s="66">
        <f t="shared" si="449"/>
        <v>-1.320938482698175E-2</v>
      </c>
      <c r="G493" s="66">
        <f t="shared" si="449"/>
        <v>-1.320938482698175E-2</v>
      </c>
      <c r="H493" s="66">
        <f t="shared" si="449"/>
        <v>-1.320938482698175E-2</v>
      </c>
      <c r="I493" s="66">
        <f t="shared" si="449"/>
        <v>-1.320938482698175E-2</v>
      </c>
      <c r="J493" s="66">
        <f t="shared" si="449"/>
        <v>-1.320938482698175E-2</v>
      </c>
      <c r="K493" s="66">
        <f t="shared" si="449"/>
        <v>-1.320938482698175E-2</v>
      </c>
      <c r="L493" s="66">
        <f t="shared" si="449"/>
        <v>-1.320938482698175E-2</v>
      </c>
      <c r="M493" s="66">
        <f t="shared" si="449"/>
        <v>-1.320938482698175E-2</v>
      </c>
      <c r="N493" s="66">
        <f t="shared" si="449"/>
        <v>-1.320938482698175E-2</v>
      </c>
      <c r="O493" s="66">
        <f t="shared" si="449"/>
        <v>-1.320938482698175E-2</v>
      </c>
      <c r="P493" s="66">
        <f t="shared" si="449"/>
        <v>-1.320938482698175E-2</v>
      </c>
      <c r="Q493" s="66">
        <f t="shared" si="449"/>
        <v>-1.320938482698175E-2</v>
      </c>
      <c r="R493" s="66">
        <f t="shared" si="449"/>
        <v>-1.320938482698175E-2</v>
      </c>
      <c r="S493" s="66">
        <f t="shared" si="449"/>
        <v>-1.320938482698175E-2</v>
      </c>
      <c r="T493" s="66">
        <f t="shared" si="449"/>
        <v>-1.320938482698175E-2</v>
      </c>
      <c r="U493" s="66">
        <f t="shared" si="449"/>
        <v>-1.320938482698175E-2</v>
      </c>
      <c r="V493" s="66">
        <f t="shared" si="449"/>
        <v>-1.320938482698175E-2</v>
      </c>
      <c r="W493" s="66">
        <f t="shared" si="449"/>
        <v>-1.320938482698175E-2</v>
      </c>
      <c r="X493" s="66">
        <f t="shared" si="449"/>
        <v>-1.320938482698175E-2</v>
      </c>
      <c r="Y493" s="66">
        <f t="shared" si="449"/>
        <v>-1.320938482698175E-2</v>
      </c>
      <c r="Z493" s="66">
        <f t="shared" si="449"/>
        <v>-1.320938482698175E-2</v>
      </c>
      <c r="AA493" s="66">
        <f t="shared" si="449"/>
        <v>-1.320938482698175E-2</v>
      </c>
      <c r="AB493" s="66">
        <f t="shared" si="449"/>
        <v>-1.320938482698175E-2</v>
      </c>
      <c r="AC493" s="66">
        <f t="shared" si="449"/>
        <v>-1.320938482698175E-2</v>
      </c>
    </row>
    <row r="494" spans="1:29" x14ac:dyDescent="0.25">
      <c r="A494" s="30" t="str">
        <f t="shared" si="445"/>
        <v>Opex fix (admin, crew, insurance)</v>
      </c>
      <c r="B494" s="66">
        <f>B464/B475</f>
        <v>0.77777777777777779</v>
      </c>
      <c r="C494" s="66">
        <f t="shared" ref="C494:AC494" si="450">C464/C475</f>
        <v>0.77777777777777779</v>
      </c>
      <c r="D494" s="66">
        <f t="shared" si="450"/>
        <v>0.77777777777777779</v>
      </c>
      <c r="E494" s="66">
        <f t="shared" si="450"/>
        <v>0.77777777777777779</v>
      </c>
      <c r="F494" s="66">
        <f t="shared" si="450"/>
        <v>0.77777777777777779</v>
      </c>
      <c r="G494" s="66">
        <f t="shared" si="450"/>
        <v>0.77777777777777779</v>
      </c>
      <c r="H494" s="66">
        <f t="shared" si="450"/>
        <v>0.77777777777777779</v>
      </c>
      <c r="I494" s="66">
        <f t="shared" si="450"/>
        <v>0.77777777777777779</v>
      </c>
      <c r="J494" s="66">
        <f t="shared" si="450"/>
        <v>0.77777777777777779</v>
      </c>
      <c r="K494" s="66">
        <f t="shared" si="450"/>
        <v>0.77777777777777779</v>
      </c>
      <c r="L494" s="66">
        <f t="shared" si="450"/>
        <v>0.77777777777777779</v>
      </c>
      <c r="M494" s="66">
        <f t="shared" si="450"/>
        <v>0.77777777777777779</v>
      </c>
      <c r="N494" s="66">
        <f t="shared" si="450"/>
        <v>0.77777777777777779</v>
      </c>
      <c r="O494" s="66">
        <f t="shared" si="450"/>
        <v>0.77777777777777779</v>
      </c>
      <c r="P494" s="66">
        <f t="shared" si="450"/>
        <v>0.77777777777777779</v>
      </c>
      <c r="Q494" s="66">
        <f t="shared" si="450"/>
        <v>0.77777777777777779</v>
      </c>
      <c r="R494" s="66">
        <f t="shared" si="450"/>
        <v>0.77777777777777779</v>
      </c>
      <c r="S494" s="66">
        <f t="shared" si="450"/>
        <v>0.77777777777777779</v>
      </c>
      <c r="T494" s="66">
        <f t="shared" si="450"/>
        <v>0.77777777777777779</v>
      </c>
      <c r="U494" s="66">
        <f t="shared" si="450"/>
        <v>0.77777777777777779</v>
      </c>
      <c r="V494" s="66">
        <f t="shared" si="450"/>
        <v>0.77777777777777779</v>
      </c>
      <c r="W494" s="66">
        <f t="shared" si="450"/>
        <v>0.77777777777777779</v>
      </c>
      <c r="X494" s="66">
        <f t="shared" si="450"/>
        <v>0.77777777777777779</v>
      </c>
      <c r="Y494" s="66">
        <f t="shared" si="450"/>
        <v>0.77777777777777779</v>
      </c>
      <c r="Z494" s="66">
        <f t="shared" si="450"/>
        <v>0.77777777777777779</v>
      </c>
      <c r="AA494" s="66">
        <f t="shared" si="450"/>
        <v>0.77777777777777779</v>
      </c>
      <c r="AB494" s="66">
        <f t="shared" si="450"/>
        <v>0.77777777777777779</v>
      </c>
      <c r="AC494" s="66">
        <f t="shared" si="450"/>
        <v>0.77777777777777779</v>
      </c>
    </row>
    <row r="495" spans="1:29" x14ac:dyDescent="0.25">
      <c r="A495" s="30" t="str">
        <f t="shared" si="445"/>
        <v>Opex maintenance &amp; repair</v>
      </c>
      <c r="B495" s="66">
        <f>B465/B475</f>
        <v>0.16666666666666666</v>
      </c>
      <c r="C495" s="66">
        <f t="shared" ref="C495:AC495" si="451">C465/C475</f>
        <v>0.16666666666666666</v>
      </c>
      <c r="D495" s="66">
        <f t="shared" si="451"/>
        <v>0.16666666666666666</v>
      </c>
      <c r="E495" s="66">
        <f t="shared" si="451"/>
        <v>0.16666666666666666</v>
      </c>
      <c r="F495" s="66">
        <f t="shared" si="451"/>
        <v>0.16666666666666666</v>
      </c>
      <c r="G495" s="66">
        <f t="shared" si="451"/>
        <v>0.16666666666666666</v>
      </c>
      <c r="H495" s="66">
        <f t="shared" si="451"/>
        <v>0.16666666666666666</v>
      </c>
      <c r="I495" s="66">
        <f t="shared" si="451"/>
        <v>0.16666666666666666</v>
      </c>
      <c r="J495" s="66">
        <f t="shared" si="451"/>
        <v>0.16666666666666666</v>
      </c>
      <c r="K495" s="66">
        <f t="shared" si="451"/>
        <v>0.16666666666666666</v>
      </c>
      <c r="L495" s="66">
        <f t="shared" si="451"/>
        <v>0.16666666666666666</v>
      </c>
      <c r="M495" s="66">
        <f t="shared" si="451"/>
        <v>0.16666666666666666</v>
      </c>
      <c r="N495" s="66">
        <f t="shared" si="451"/>
        <v>0.16666666666666666</v>
      </c>
      <c r="O495" s="66">
        <f t="shared" si="451"/>
        <v>0.16666666666666666</v>
      </c>
      <c r="P495" s="66">
        <f t="shared" si="451"/>
        <v>0.16666666666666666</v>
      </c>
      <c r="Q495" s="66">
        <f t="shared" si="451"/>
        <v>0.16666666666666666</v>
      </c>
      <c r="R495" s="66">
        <f t="shared" si="451"/>
        <v>0.16666666666666666</v>
      </c>
      <c r="S495" s="66">
        <f t="shared" si="451"/>
        <v>0.16666666666666666</v>
      </c>
      <c r="T495" s="66">
        <f t="shared" si="451"/>
        <v>0.16666666666666666</v>
      </c>
      <c r="U495" s="66">
        <f t="shared" si="451"/>
        <v>0.16666666666666666</v>
      </c>
      <c r="V495" s="66">
        <f t="shared" si="451"/>
        <v>0.16666666666666666</v>
      </c>
      <c r="W495" s="66">
        <f t="shared" si="451"/>
        <v>0.16666666666666666</v>
      </c>
      <c r="X495" s="66">
        <f t="shared" si="451"/>
        <v>0.16666666666666666</v>
      </c>
      <c r="Y495" s="66">
        <f t="shared" si="451"/>
        <v>0.16666666666666666</v>
      </c>
      <c r="Z495" s="66">
        <f t="shared" si="451"/>
        <v>0.16666666666666666</v>
      </c>
      <c r="AA495" s="66">
        <f t="shared" si="451"/>
        <v>0.16666666666666666</v>
      </c>
      <c r="AB495" s="66">
        <f t="shared" si="451"/>
        <v>0.16666666666666666</v>
      </c>
      <c r="AC495" s="66">
        <f t="shared" si="451"/>
        <v>0.16666666666666666</v>
      </c>
    </row>
    <row r="496" spans="1:29" x14ac:dyDescent="0.25">
      <c r="A496" s="30" t="str">
        <f t="shared" si="445"/>
        <v>Opex var (mode-fees)</v>
      </c>
      <c r="B496" s="66">
        <f>B466*B475/B475</f>
        <v>0.11</v>
      </c>
      <c r="C496" s="66">
        <f t="shared" ref="C496:AC496" si="452">C466*C475/C475</f>
        <v>0.11</v>
      </c>
      <c r="D496" s="66">
        <f t="shared" si="452"/>
        <v>0.11</v>
      </c>
      <c r="E496" s="66">
        <f t="shared" si="452"/>
        <v>0.11</v>
      </c>
      <c r="F496" s="66">
        <f t="shared" si="452"/>
        <v>0.11</v>
      </c>
      <c r="G496" s="66">
        <f t="shared" si="452"/>
        <v>0.11</v>
      </c>
      <c r="H496" s="66">
        <f t="shared" si="452"/>
        <v>0.11</v>
      </c>
      <c r="I496" s="66">
        <f t="shared" si="452"/>
        <v>0.11</v>
      </c>
      <c r="J496" s="66">
        <f t="shared" si="452"/>
        <v>0.11</v>
      </c>
      <c r="K496" s="66">
        <f t="shared" si="452"/>
        <v>0.11</v>
      </c>
      <c r="L496" s="66">
        <f t="shared" si="452"/>
        <v>0.11</v>
      </c>
      <c r="M496" s="66">
        <f t="shared" si="452"/>
        <v>0.11</v>
      </c>
      <c r="N496" s="66">
        <f t="shared" si="452"/>
        <v>0.11</v>
      </c>
      <c r="O496" s="66">
        <f t="shared" si="452"/>
        <v>0.11</v>
      </c>
      <c r="P496" s="66">
        <f t="shared" si="452"/>
        <v>0.11</v>
      </c>
      <c r="Q496" s="66">
        <f t="shared" si="452"/>
        <v>0.11</v>
      </c>
      <c r="R496" s="66">
        <f t="shared" si="452"/>
        <v>0.11</v>
      </c>
      <c r="S496" s="66">
        <f t="shared" si="452"/>
        <v>0.11</v>
      </c>
      <c r="T496" s="66">
        <f t="shared" si="452"/>
        <v>0.11</v>
      </c>
      <c r="U496" s="66">
        <f t="shared" si="452"/>
        <v>0.11</v>
      </c>
      <c r="V496" s="66">
        <f t="shared" si="452"/>
        <v>0.11</v>
      </c>
      <c r="W496" s="66">
        <f t="shared" si="452"/>
        <v>0.11</v>
      </c>
      <c r="X496" s="66">
        <f t="shared" si="452"/>
        <v>0.11</v>
      </c>
      <c r="Y496" s="66">
        <f t="shared" si="452"/>
        <v>0.11</v>
      </c>
      <c r="Z496" s="66">
        <f t="shared" si="452"/>
        <v>0.11</v>
      </c>
      <c r="AA496" s="66">
        <f t="shared" si="452"/>
        <v>0.11</v>
      </c>
      <c r="AB496" s="66">
        <f t="shared" si="452"/>
        <v>0.11</v>
      </c>
      <c r="AC496" s="66">
        <f t="shared" si="452"/>
        <v>0.11</v>
      </c>
    </row>
    <row r="497" spans="1:29" x14ac:dyDescent="0.25">
      <c r="A497" s="30" t="str">
        <f t="shared" si="445"/>
        <v>Fuel Cost</v>
      </c>
      <c r="B497" s="66">
        <f>B467*B468*B475/B475</f>
        <v>0.19964725154429486</v>
      </c>
      <c r="C497" s="66">
        <f t="shared" ref="C497:AC497" si="453">C467*C468*C475/C475</f>
        <v>0.19816774374543</v>
      </c>
      <c r="D497" s="66">
        <f t="shared" si="453"/>
        <v>0.19612746345163981</v>
      </c>
      <c r="E497" s="66">
        <f t="shared" si="453"/>
        <v>0.19336093336411192</v>
      </c>
      <c r="F497" s="66">
        <f t="shared" si="453"/>
        <v>0.1896951487984663</v>
      </c>
      <c r="G497" s="66">
        <f t="shared" si="453"/>
        <v>0.18498318592444604</v>
      </c>
      <c r="H497" s="66">
        <f t="shared" si="453"/>
        <v>0.17915302459226864</v>
      </c>
      <c r="I497" s="66">
        <f t="shared" si="453"/>
        <v>0.17225597141763238</v>
      </c>
      <c r="J497" s="66">
        <f t="shared" si="453"/>
        <v>0.16448693812407711</v>
      </c>
      <c r="K497" s="66">
        <f t="shared" si="453"/>
        <v>0.15615756719864929</v>
      </c>
      <c r="L497" s="66">
        <f t="shared" si="453"/>
        <v>0.14763698668768147</v>
      </c>
      <c r="M497" s="66">
        <f t="shared" si="453"/>
        <v>0.13929892022122078</v>
      </c>
      <c r="N497" s="66">
        <f t="shared" si="453"/>
        <v>0.13149272750520313</v>
      </c>
      <c r="O497" s="66">
        <f t="shared" si="453"/>
        <v>0.12451797609002362</v>
      </c>
      <c r="P497" s="66">
        <f t="shared" si="453"/>
        <v>0.11858459348443524</v>
      </c>
      <c r="Q497" s="66">
        <f t="shared" si="453"/>
        <v>0.11377673151275555</v>
      </c>
      <c r="R497" s="66">
        <f t="shared" si="453"/>
        <v>0.11005059444550096</v>
      </c>
      <c r="S497" s="66">
        <f t="shared" si="453"/>
        <v>0.10726990974956459</v>
      </c>
      <c r="T497" s="66">
        <f t="shared" si="453"/>
        <v>0.10525629630280045</v>
      </c>
      <c r="U497" s="66">
        <f t="shared" si="453"/>
        <v>0.10383102154762587</v>
      </c>
      <c r="V497" s="66">
        <f t="shared" si="453"/>
        <v>0.10283884301085992</v>
      </c>
      <c r="W497" s="66">
        <f t="shared" si="453"/>
        <v>0.10215628693109025</v>
      </c>
      <c r="X497" s="66">
        <f t="shared" si="453"/>
        <v>0.10169059667450787</v>
      </c>
      <c r="Y497" s="66">
        <f t="shared" si="453"/>
        <v>0.10137467271113992</v>
      </c>
      <c r="Z497" s="66">
        <f t="shared" si="453"/>
        <v>0.10116118206645359</v>
      </c>
      <c r="AA497" s="66">
        <f t="shared" si="453"/>
        <v>0.10101729275123732</v>
      </c>
      <c r="AB497" s="66">
        <f t="shared" si="453"/>
        <v>0.10092048655968745</v>
      </c>
      <c r="AC497" s="66">
        <f t="shared" si="453"/>
        <v>0.10085543537807369</v>
      </c>
    </row>
    <row r="498" spans="1:29" ht="15.75" thickBot="1" x14ac:dyDescent="0.3">
      <c r="A498" s="59" t="str">
        <f t="shared" ref="A498" si="454">A486</f>
        <v>Emission Cost</v>
      </c>
      <c r="B498" s="66">
        <f>B469</f>
        <v>3.5122691839304448E-3</v>
      </c>
      <c r="C498" s="66">
        <f t="shared" ref="C498:AC498" si="455">C469</f>
        <v>3.5089246478970256E-3</v>
      </c>
      <c r="D498" s="66">
        <f t="shared" si="455"/>
        <v>3.5041370190587195E-3</v>
      </c>
      <c r="E498" s="66">
        <f t="shared" si="455"/>
        <v>3.4972879793244123E-3</v>
      </c>
      <c r="F498" s="66">
        <f t="shared" si="455"/>
        <v>3.4874991902284352E-3</v>
      </c>
      <c r="G498" s="66">
        <f t="shared" si="455"/>
        <v>3.4735284727434282E-3</v>
      </c>
      <c r="H498" s="66">
        <f t="shared" si="455"/>
        <v>3.4536307436526109E-3</v>
      </c>
      <c r="I498" s="66">
        <f t="shared" si="455"/>
        <v>3.4253788207186963E-3</v>
      </c>
      <c r="J498" s="66">
        <f t="shared" si="455"/>
        <v>3.3854474424880663E-3</v>
      </c>
      <c r="K498" s="66">
        <f t="shared" si="455"/>
        <v>3.3293845078740006E-3</v>
      </c>
      <c r="L498" s="66">
        <f t="shared" si="455"/>
        <v>3.251436677284981E-3</v>
      </c>
      <c r="M498" s="66">
        <f t="shared" si="455"/>
        <v>3.1445731175815781E-3</v>
      </c>
      <c r="N498" s="66">
        <f t="shared" si="455"/>
        <v>3.0009599443763112E-3</v>
      </c>
      <c r="O498" s="66">
        <f t="shared" si="455"/>
        <v>2.813229782972361E-3</v>
      </c>
      <c r="P498" s="66">
        <f t="shared" si="455"/>
        <v>2.5768153751997672E-3</v>
      </c>
      <c r="Q498" s="66">
        <f t="shared" si="455"/>
        <v>2.2931248721492917E-3</v>
      </c>
      <c r="R498" s="66">
        <f t="shared" si="455"/>
        <v>1.9723351254059053E-3</v>
      </c>
      <c r="S498" s="66">
        <f t="shared" si="455"/>
        <v>1.6336787059361244E-3</v>
      </c>
      <c r="T498" s="66">
        <f t="shared" si="455"/>
        <v>1.3016864113624426E-3</v>
      </c>
      <c r="U498" s="66">
        <f t="shared" si="455"/>
        <v>9.9946699203053851E-4</v>
      </c>
      <c r="V498" s="66">
        <f t="shared" si="455"/>
        <v>7.4262352247134438E-4</v>
      </c>
      <c r="W498" s="66">
        <f t="shared" si="455"/>
        <v>5.3693790141369664E-4</v>
      </c>
      <c r="X498" s="66">
        <f t="shared" si="455"/>
        <v>3.7999064356739184E-4</v>
      </c>
      <c r="Y498" s="66">
        <f t="shared" si="455"/>
        <v>2.646218218620832E-4</v>
      </c>
      <c r="Z498" s="66">
        <f t="shared" si="455"/>
        <v>1.8213478334480789E-4</v>
      </c>
      <c r="AA498" s="66">
        <f t="shared" si="455"/>
        <v>1.2432355100121771E-4</v>
      </c>
      <c r="AB498" s="66">
        <f t="shared" si="455"/>
        <v>8.4372436095756821E-5</v>
      </c>
      <c r="AC498" s="66">
        <f t="shared" si="455"/>
        <v>5.7031897325531943E-5</v>
      </c>
    </row>
    <row r="499" spans="1:29" ht="15.75" thickBot="1" x14ac:dyDescent="0.3">
      <c r="A499" s="31" t="s">
        <v>63</v>
      </c>
      <c r="B499" s="76">
        <f>B490+B491+B492-B493+B494+B495+B496+B497+B498</f>
        <v>1.9096022111956894</v>
      </c>
      <c r="C499" s="76">
        <f t="shared" ref="C499:AC499" si="456">C490+C491+C492-C493+C494+C495+C496+C497+C498</f>
        <v>1.8989566598408589</v>
      </c>
      <c r="D499" s="76">
        <f t="shared" si="456"/>
        <v>1.8843498743391551</v>
      </c>
      <c r="E499" s="76">
        <f t="shared" si="456"/>
        <v>1.8646948928448519</v>
      </c>
      <c r="F499" s="76">
        <f t="shared" si="456"/>
        <v>1.8389518039106574</v>
      </c>
      <c r="G499" s="76">
        <f t="shared" si="456"/>
        <v>1.8064355643410788</v>
      </c>
      <c r="H499" s="76">
        <f t="shared" si="456"/>
        <v>1.7672379358269807</v>
      </c>
      <c r="I499" s="76">
        <f t="shared" si="456"/>
        <v>1.7226040777667566</v>
      </c>
      <c r="J499" s="76">
        <f t="shared" si="456"/>
        <v>1.674986348446597</v>
      </c>
      <c r="K499" s="76">
        <f t="shared" si="456"/>
        <v>1.6275755119662549</v>
      </c>
      <c r="L499" s="76">
        <f t="shared" si="456"/>
        <v>1.583451356337938</v>
      </c>
      <c r="M499" s="76">
        <f t="shared" si="456"/>
        <v>1.544814702064639</v>
      </c>
      <c r="N499" s="76">
        <f t="shared" si="456"/>
        <v>1.5126867320849249</v>
      </c>
      <c r="O499" s="76">
        <f t="shared" si="456"/>
        <v>1.4870752382037964</v>
      </c>
      <c r="P499" s="76">
        <f t="shared" si="456"/>
        <v>1.4673439375336685</v>
      </c>
      <c r="Q499" s="76">
        <f t="shared" si="456"/>
        <v>1.4525561061340722</v>
      </c>
      <c r="R499" s="76">
        <f t="shared" si="456"/>
        <v>1.4417135197368256</v>
      </c>
      <c r="S499" s="76">
        <f t="shared" si="456"/>
        <v>1.4338979601555133</v>
      </c>
      <c r="T499" s="76">
        <f t="shared" si="456"/>
        <v>1.4283384980964136</v>
      </c>
      <c r="U499" s="76">
        <f t="shared" si="456"/>
        <v>1.4244262817276949</v>
      </c>
      <c r="V499" s="76">
        <f t="shared" si="456"/>
        <v>1.4216988825228347</v>
      </c>
      <c r="W499" s="76">
        <f t="shared" si="456"/>
        <v>1.4198133260204195</v>
      </c>
      <c r="X499" s="76">
        <f t="shared" si="456"/>
        <v>1.4185193011358015</v>
      </c>
      <c r="Y499" s="76">
        <f t="shared" si="456"/>
        <v>1.4176366684479675</v>
      </c>
      <c r="Z499" s="76">
        <f t="shared" si="456"/>
        <v>1.4170375643137627</v>
      </c>
      <c r="AA499" s="76">
        <f t="shared" si="456"/>
        <v>1.4166324088466764</v>
      </c>
      <c r="AB499" s="76">
        <f t="shared" si="456"/>
        <v>1.4163591531756239</v>
      </c>
      <c r="AC499" s="76">
        <f t="shared" si="456"/>
        <v>1.4161752105808689</v>
      </c>
    </row>
    <row r="500" spans="1:29" ht="15.75" thickBot="1" x14ac:dyDescent="0.3"/>
    <row r="501" spans="1:29" ht="15.75" thickBot="1" x14ac:dyDescent="0.3">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457">A478</f>
        <v>Capex vehicle</v>
      </c>
      <c r="B502" s="65">
        <f>((1+B463)^B470)*B463/(((1+B463)^B470)-1)*(B459)/B475/(B472)</f>
        <v>2.7640295600607889E-2</v>
      </c>
      <c r="C502" s="65">
        <f t="shared" ref="C502:AC502" si="458">((1+C463)^C470)*C463/(((1+C463)^C470)-1)*(C459)/C475/(C472)</f>
        <v>2.7236146281674652E-2</v>
      </c>
      <c r="D502" s="65">
        <f t="shared" si="458"/>
        <v>2.6682072684673278E-2</v>
      </c>
      <c r="E502" s="65">
        <f t="shared" si="458"/>
        <v>2.5937457142429739E-2</v>
      </c>
      <c r="F502" s="65">
        <f t="shared" si="458"/>
        <v>2.4964100779573874E-2</v>
      </c>
      <c r="G502" s="65">
        <f t="shared" si="458"/>
        <v>2.3738322959135617E-2</v>
      </c>
      <c r="H502" s="65">
        <f t="shared" si="458"/>
        <v>2.2267424760567551E-2</v>
      </c>
      <c r="I502" s="65">
        <f t="shared" si="458"/>
        <v>2.0604171829890491E-2</v>
      </c>
      <c r="J502" s="65">
        <f t="shared" si="458"/>
        <v>1.8848282535129778E-2</v>
      </c>
      <c r="K502" s="65">
        <f t="shared" si="458"/>
        <v>1.7126945857391142E-2</v>
      </c>
      <c r="L502" s="65">
        <f t="shared" si="458"/>
        <v>1.5559977648418382E-2</v>
      </c>
      <c r="M502" s="65">
        <f t="shared" si="458"/>
        <v>1.4228277811355551E-2</v>
      </c>
      <c r="N502" s="65">
        <f t="shared" si="458"/>
        <v>1.3161824735796593E-2</v>
      </c>
      <c r="O502" s="65">
        <f t="shared" si="458"/>
        <v>1.2348073706579896E-2</v>
      </c>
      <c r="P502" s="65">
        <f t="shared" si="458"/>
        <v>1.1749901437178738E-2</v>
      </c>
      <c r="Q502" s="65">
        <f t="shared" si="458"/>
        <v>1.1322216918114353E-2</v>
      </c>
      <c r="R502" s="65">
        <f t="shared" si="458"/>
        <v>1.102247323055053E-2</v>
      </c>
      <c r="S502" s="65">
        <f t="shared" si="458"/>
        <v>1.0815331918757047E-2</v>
      </c>
      <c r="T502" s="65">
        <f t="shared" si="458"/>
        <v>1.0673574796849272E-2</v>
      </c>
      <c r="U502" s="65">
        <f t="shared" si="458"/>
        <v>1.0577210834120783E-2</v>
      </c>
      <c r="V502" s="65">
        <f t="shared" si="458"/>
        <v>1.0512002412823235E-2</v>
      </c>
      <c r="W502" s="65">
        <f t="shared" si="458"/>
        <v>1.0468012743736989E-2</v>
      </c>
      <c r="X502" s="65">
        <f t="shared" si="458"/>
        <v>1.043839911703026E-2</v>
      </c>
      <c r="Y502" s="65">
        <f t="shared" si="458"/>
        <v>1.0418491367805786E-2</v>
      </c>
      <c r="Z502" s="65">
        <f t="shared" si="458"/>
        <v>1.0405121033534597E-2</v>
      </c>
      <c r="AA502" s="65">
        <f t="shared" si="458"/>
        <v>1.0396147021948996E-2</v>
      </c>
      <c r="AB502" s="65">
        <f t="shared" si="458"/>
        <v>1.0390126337326762E-2</v>
      </c>
      <c r="AC502" s="65">
        <f t="shared" si="458"/>
        <v>1.0386088201462616E-2</v>
      </c>
    </row>
    <row r="503" spans="1:29" x14ac:dyDescent="0.25">
      <c r="A503" s="30" t="str">
        <f t="shared" si="457"/>
        <v>Residual value (vehicle)</v>
      </c>
      <c r="B503" s="68">
        <f>((1+B463)^B470)*B463/(((1+B463)^B470)-1)*(B460)/B475/(B472)</f>
        <v>-4.2022427250834543E-3</v>
      </c>
      <c r="C503" s="68">
        <f t="shared" ref="C503:AC503" si="459">((1+C463)^C470)*C463/(((1+C463)^C470)-1)*(C460)/C475/(C472)</f>
        <v>-4.1646013669475153E-3</v>
      </c>
      <c r="D503" s="68">
        <f t="shared" si="459"/>
        <v>-4.1129964731091524E-3</v>
      </c>
      <c r="E503" s="68">
        <f t="shared" si="459"/>
        <v>-4.0436450255472546E-3</v>
      </c>
      <c r="F503" s="68">
        <f t="shared" si="459"/>
        <v>-3.9529892858695022E-3</v>
      </c>
      <c r="G503" s="68">
        <f t="shared" si="459"/>
        <v>-3.8388237045541744E-3</v>
      </c>
      <c r="H503" s="68">
        <f t="shared" si="459"/>
        <v>-3.7018282840993052E-3</v>
      </c>
      <c r="I503" s="68">
        <f t="shared" si="459"/>
        <v>-3.5469174719284032E-3</v>
      </c>
      <c r="J503" s="68">
        <f t="shared" si="459"/>
        <v>-3.3833787631026495E-3</v>
      </c>
      <c r="K503" s="68">
        <f t="shared" si="459"/>
        <v>-3.2230581901760121E-3</v>
      </c>
      <c r="L503" s="68">
        <f t="shared" si="459"/>
        <v>-3.077115072673648E-3</v>
      </c>
      <c r="M503" s="68">
        <f t="shared" si="459"/>
        <v>-2.9530842054962272E-3</v>
      </c>
      <c r="N503" s="68">
        <f t="shared" si="459"/>
        <v>-2.8537576935569122E-3</v>
      </c>
      <c r="O503" s="68">
        <f t="shared" si="459"/>
        <v>-2.7779671565220238E-3</v>
      </c>
      <c r="P503" s="68">
        <f t="shared" si="459"/>
        <v>-2.7222550333915237E-3</v>
      </c>
      <c r="Q503" s="68">
        <f t="shared" si="459"/>
        <v>-2.6824216713218019E-3</v>
      </c>
      <c r="R503" s="68">
        <f t="shared" si="459"/>
        <v>-2.6545043670879159E-3</v>
      </c>
      <c r="S503" s="68">
        <f t="shared" si="459"/>
        <v>-2.6352117939306809E-3</v>
      </c>
      <c r="T503" s="68">
        <f t="shared" si="459"/>
        <v>-2.6220089247333874E-3</v>
      </c>
      <c r="U503" s="68">
        <f t="shared" si="459"/>
        <v>-2.61303384977338E-3</v>
      </c>
      <c r="V503" s="68">
        <f t="shared" si="459"/>
        <v>-2.6069605164172373E-3</v>
      </c>
      <c r="W503" s="68">
        <f t="shared" si="459"/>
        <v>-2.6028634393944982E-3</v>
      </c>
      <c r="X503" s="68">
        <f t="shared" si="459"/>
        <v>-2.6001053074953422E-3</v>
      </c>
      <c r="Y503" s="68">
        <f t="shared" si="459"/>
        <v>-2.5982511543812979E-3</v>
      </c>
      <c r="Z503" s="68">
        <f t="shared" si="459"/>
        <v>-2.5970058781501571E-3</v>
      </c>
      <c r="AA503" s="68">
        <f t="shared" si="459"/>
        <v>-2.5961700633456166E-3</v>
      </c>
      <c r="AB503" s="68">
        <f t="shared" si="459"/>
        <v>-2.5956093133072712E-3</v>
      </c>
      <c r="AC503" s="68">
        <f t="shared" si="459"/>
        <v>-2.5952332124179632E-3</v>
      </c>
    </row>
    <row r="504" spans="1:29" x14ac:dyDescent="0.25">
      <c r="A504" s="30" t="str">
        <f t="shared" si="457"/>
        <v>Capex costumization</v>
      </c>
      <c r="B504" s="66">
        <f>((1+B463)^B471)*B463/(((1+B463)^B471)-1)*(B461)/B475/(B472)</f>
        <v>2.1135015723170798E-3</v>
      </c>
      <c r="C504" s="66">
        <f t="shared" ref="C504:AC504" si="460">((1+C463)^C471)*C463/(((1+C463)^C471)-1)*(C461)/C475/(C472)</f>
        <v>2.1135015723170798E-3</v>
      </c>
      <c r="D504" s="66">
        <f t="shared" si="460"/>
        <v>2.1135015723170798E-3</v>
      </c>
      <c r="E504" s="66">
        <f t="shared" si="460"/>
        <v>2.1135015723170798E-3</v>
      </c>
      <c r="F504" s="66">
        <f t="shared" si="460"/>
        <v>2.1135015723170798E-3</v>
      </c>
      <c r="G504" s="66">
        <f t="shared" si="460"/>
        <v>2.1135015723170798E-3</v>
      </c>
      <c r="H504" s="66">
        <f t="shared" si="460"/>
        <v>2.1135015723170798E-3</v>
      </c>
      <c r="I504" s="66">
        <f t="shared" si="460"/>
        <v>2.1135015723170798E-3</v>
      </c>
      <c r="J504" s="66">
        <f t="shared" si="460"/>
        <v>2.1135015723170798E-3</v>
      </c>
      <c r="K504" s="66">
        <f t="shared" si="460"/>
        <v>2.1135015723170798E-3</v>
      </c>
      <c r="L504" s="66">
        <f t="shared" si="460"/>
        <v>2.1135015723170798E-3</v>
      </c>
      <c r="M504" s="66">
        <f t="shared" si="460"/>
        <v>2.1135015723170798E-3</v>
      </c>
      <c r="N504" s="66">
        <f t="shared" si="460"/>
        <v>2.1135015723170798E-3</v>
      </c>
      <c r="O504" s="66">
        <f t="shared" si="460"/>
        <v>2.1135015723170798E-3</v>
      </c>
      <c r="P504" s="66">
        <f t="shared" si="460"/>
        <v>2.1135015723170798E-3</v>
      </c>
      <c r="Q504" s="66">
        <f t="shared" si="460"/>
        <v>2.1135015723170798E-3</v>
      </c>
      <c r="R504" s="66">
        <f t="shared" si="460"/>
        <v>2.1135015723170798E-3</v>
      </c>
      <c r="S504" s="66">
        <f t="shared" si="460"/>
        <v>2.1135015723170798E-3</v>
      </c>
      <c r="T504" s="66">
        <f t="shared" si="460"/>
        <v>2.1135015723170798E-3</v>
      </c>
      <c r="U504" s="66">
        <f t="shared" si="460"/>
        <v>2.1135015723170798E-3</v>
      </c>
      <c r="V504" s="66">
        <f t="shared" si="460"/>
        <v>2.1135015723170798E-3</v>
      </c>
      <c r="W504" s="66">
        <f t="shared" si="460"/>
        <v>2.1135015723170798E-3</v>
      </c>
      <c r="X504" s="66">
        <f t="shared" si="460"/>
        <v>2.1135015723170798E-3</v>
      </c>
      <c r="Y504" s="66">
        <f t="shared" si="460"/>
        <v>2.1135015723170798E-3</v>
      </c>
      <c r="Z504" s="66">
        <f t="shared" si="460"/>
        <v>2.1135015723170798E-3</v>
      </c>
      <c r="AA504" s="66">
        <f t="shared" si="460"/>
        <v>2.1135015723170798E-3</v>
      </c>
      <c r="AB504" s="66">
        <f t="shared" si="460"/>
        <v>2.1135015723170798E-3</v>
      </c>
      <c r="AC504" s="66">
        <f t="shared" si="460"/>
        <v>2.1135015723170798E-3</v>
      </c>
    </row>
    <row r="505" spans="1:29" x14ac:dyDescent="0.25">
      <c r="A505" s="30" t="str">
        <f t="shared" si="457"/>
        <v>Residual value (costumization)</v>
      </c>
      <c r="B505" s="69">
        <f>((1+B463)^B471)*B463/(((1+B463)^B471)-1)*(B462)/B475/(B472)</f>
        <v>-5.2837539307926996E-4</v>
      </c>
      <c r="C505" s="69">
        <f t="shared" ref="C505:AC505" si="461">((1+C463)^C471)*C463/(((1+C463)^C471)-1)*(C462)/C475/(C472)</f>
        <v>-5.2837539307926996E-4</v>
      </c>
      <c r="D505" s="69">
        <f t="shared" si="461"/>
        <v>-5.2837539307926996E-4</v>
      </c>
      <c r="E505" s="69">
        <f t="shared" si="461"/>
        <v>-5.2837539307926996E-4</v>
      </c>
      <c r="F505" s="69">
        <f t="shared" si="461"/>
        <v>-5.2837539307926996E-4</v>
      </c>
      <c r="G505" s="69">
        <f t="shared" si="461"/>
        <v>-5.2837539307926996E-4</v>
      </c>
      <c r="H505" s="69">
        <f t="shared" si="461"/>
        <v>-5.2837539307926996E-4</v>
      </c>
      <c r="I505" s="69">
        <f t="shared" si="461"/>
        <v>-5.2837539307926996E-4</v>
      </c>
      <c r="J505" s="69">
        <f t="shared" si="461"/>
        <v>-5.2837539307926996E-4</v>
      </c>
      <c r="K505" s="69">
        <f t="shared" si="461"/>
        <v>-5.2837539307926996E-4</v>
      </c>
      <c r="L505" s="69">
        <f t="shared" si="461"/>
        <v>-5.2837539307926996E-4</v>
      </c>
      <c r="M505" s="69">
        <f t="shared" si="461"/>
        <v>-5.2837539307926996E-4</v>
      </c>
      <c r="N505" s="69">
        <f t="shared" si="461"/>
        <v>-5.2837539307926996E-4</v>
      </c>
      <c r="O505" s="69">
        <f t="shared" si="461"/>
        <v>-5.2837539307926996E-4</v>
      </c>
      <c r="P505" s="69">
        <f t="shared" si="461"/>
        <v>-5.2837539307926996E-4</v>
      </c>
      <c r="Q505" s="69">
        <f t="shared" si="461"/>
        <v>-5.2837539307926996E-4</v>
      </c>
      <c r="R505" s="69">
        <f t="shared" si="461"/>
        <v>-5.2837539307926996E-4</v>
      </c>
      <c r="S505" s="69">
        <f t="shared" si="461"/>
        <v>-5.2837539307926996E-4</v>
      </c>
      <c r="T505" s="69">
        <f t="shared" si="461"/>
        <v>-5.2837539307926996E-4</v>
      </c>
      <c r="U505" s="69">
        <f t="shared" si="461"/>
        <v>-5.2837539307926996E-4</v>
      </c>
      <c r="V505" s="69">
        <f t="shared" si="461"/>
        <v>-5.2837539307926996E-4</v>
      </c>
      <c r="W505" s="69">
        <f t="shared" si="461"/>
        <v>-5.2837539307926996E-4</v>
      </c>
      <c r="X505" s="69">
        <f t="shared" si="461"/>
        <v>-5.2837539307926996E-4</v>
      </c>
      <c r="Y505" s="69">
        <f t="shared" si="461"/>
        <v>-5.2837539307926996E-4</v>
      </c>
      <c r="Z505" s="69">
        <f t="shared" si="461"/>
        <v>-5.2837539307926996E-4</v>
      </c>
      <c r="AA505" s="69">
        <f t="shared" si="461"/>
        <v>-5.2837539307926996E-4</v>
      </c>
      <c r="AB505" s="69">
        <f t="shared" si="461"/>
        <v>-5.2837539307926996E-4</v>
      </c>
      <c r="AC505" s="69">
        <f t="shared" si="461"/>
        <v>-5.2837539307926996E-4</v>
      </c>
    </row>
    <row r="506" spans="1:29" x14ac:dyDescent="0.25">
      <c r="A506" s="30" t="str">
        <f t="shared" si="457"/>
        <v>Opex fix (admin, crew, insurance)</v>
      </c>
      <c r="B506" s="66">
        <f>B464/B475/(B472)</f>
        <v>3.111111111111111E-2</v>
      </c>
      <c r="C506" s="66">
        <f t="shared" ref="C506:AC506" si="462">C464/C475/(C472)</f>
        <v>3.111111111111111E-2</v>
      </c>
      <c r="D506" s="66">
        <f t="shared" si="462"/>
        <v>3.111111111111111E-2</v>
      </c>
      <c r="E506" s="66">
        <f t="shared" si="462"/>
        <v>3.111111111111111E-2</v>
      </c>
      <c r="F506" s="66">
        <f t="shared" si="462"/>
        <v>3.111111111111111E-2</v>
      </c>
      <c r="G506" s="66">
        <f t="shared" si="462"/>
        <v>3.111111111111111E-2</v>
      </c>
      <c r="H506" s="66">
        <f t="shared" si="462"/>
        <v>3.111111111111111E-2</v>
      </c>
      <c r="I506" s="66">
        <f t="shared" si="462"/>
        <v>3.111111111111111E-2</v>
      </c>
      <c r="J506" s="66">
        <f t="shared" si="462"/>
        <v>3.111111111111111E-2</v>
      </c>
      <c r="K506" s="66">
        <f t="shared" si="462"/>
        <v>3.111111111111111E-2</v>
      </c>
      <c r="L506" s="66">
        <f t="shared" si="462"/>
        <v>3.111111111111111E-2</v>
      </c>
      <c r="M506" s="66">
        <f t="shared" si="462"/>
        <v>3.111111111111111E-2</v>
      </c>
      <c r="N506" s="66">
        <f t="shared" si="462"/>
        <v>3.111111111111111E-2</v>
      </c>
      <c r="O506" s="66">
        <f t="shared" si="462"/>
        <v>3.111111111111111E-2</v>
      </c>
      <c r="P506" s="66">
        <f t="shared" si="462"/>
        <v>3.111111111111111E-2</v>
      </c>
      <c r="Q506" s="66">
        <f t="shared" si="462"/>
        <v>3.111111111111111E-2</v>
      </c>
      <c r="R506" s="66">
        <f t="shared" si="462"/>
        <v>3.111111111111111E-2</v>
      </c>
      <c r="S506" s="66">
        <f t="shared" si="462"/>
        <v>3.111111111111111E-2</v>
      </c>
      <c r="T506" s="66">
        <f t="shared" si="462"/>
        <v>3.111111111111111E-2</v>
      </c>
      <c r="U506" s="66">
        <f t="shared" si="462"/>
        <v>3.111111111111111E-2</v>
      </c>
      <c r="V506" s="66">
        <f t="shared" si="462"/>
        <v>3.111111111111111E-2</v>
      </c>
      <c r="W506" s="66">
        <f t="shared" si="462"/>
        <v>3.111111111111111E-2</v>
      </c>
      <c r="X506" s="66">
        <f t="shared" si="462"/>
        <v>3.111111111111111E-2</v>
      </c>
      <c r="Y506" s="66">
        <f t="shared" si="462"/>
        <v>3.111111111111111E-2</v>
      </c>
      <c r="Z506" s="66">
        <f t="shared" si="462"/>
        <v>3.111111111111111E-2</v>
      </c>
      <c r="AA506" s="66">
        <f t="shared" si="462"/>
        <v>3.111111111111111E-2</v>
      </c>
      <c r="AB506" s="66">
        <f t="shared" si="462"/>
        <v>3.111111111111111E-2</v>
      </c>
      <c r="AC506" s="66">
        <f t="shared" si="462"/>
        <v>3.111111111111111E-2</v>
      </c>
    </row>
    <row r="507" spans="1:29" x14ac:dyDescent="0.25">
      <c r="A507" s="30" t="str">
        <f t="shared" si="457"/>
        <v>Opex maintenance &amp; repair</v>
      </c>
      <c r="B507" s="66">
        <f>B465/B475/(B472)</f>
        <v>6.6666666666666662E-3</v>
      </c>
      <c r="C507" s="66">
        <f t="shared" ref="C507:AC507" si="463">C465/C475/(C472)</f>
        <v>6.6666666666666662E-3</v>
      </c>
      <c r="D507" s="66">
        <f t="shared" si="463"/>
        <v>6.6666666666666662E-3</v>
      </c>
      <c r="E507" s="66">
        <f t="shared" si="463"/>
        <v>6.6666666666666662E-3</v>
      </c>
      <c r="F507" s="66">
        <f t="shared" si="463"/>
        <v>6.6666666666666662E-3</v>
      </c>
      <c r="G507" s="66">
        <f t="shared" si="463"/>
        <v>6.6666666666666662E-3</v>
      </c>
      <c r="H507" s="66">
        <f t="shared" si="463"/>
        <v>6.6666666666666662E-3</v>
      </c>
      <c r="I507" s="66">
        <f t="shared" si="463"/>
        <v>6.6666666666666662E-3</v>
      </c>
      <c r="J507" s="66">
        <f t="shared" si="463"/>
        <v>6.6666666666666662E-3</v>
      </c>
      <c r="K507" s="66">
        <f t="shared" si="463"/>
        <v>6.6666666666666662E-3</v>
      </c>
      <c r="L507" s="66">
        <f t="shared" si="463"/>
        <v>6.6666666666666662E-3</v>
      </c>
      <c r="M507" s="66">
        <f t="shared" si="463"/>
        <v>6.6666666666666662E-3</v>
      </c>
      <c r="N507" s="66">
        <f t="shared" si="463"/>
        <v>6.6666666666666662E-3</v>
      </c>
      <c r="O507" s="66">
        <f t="shared" si="463"/>
        <v>6.6666666666666662E-3</v>
      </c>
      <c r="P507" s="66">
        <f t="shared" si="463"/>
        <v>6.6666666666666662E-3</v>
      </c>
      <c r="Q507" s="66">
        <f t="shared" si="463"/>
        <v>6.6666666666666662E-3</v>
      </c>
      <c r="R507" s="66">
        <f t="shared" si="463"/>
        <v>6.6666666666666662E-3</v>
      </c>
      <c r="S507" s="66">
        <f t="shared" si="463"/>
        <v>6.6666666666666662E-3</v>
      </c>
      <c r="T507" s="66">
        <f t="shared" si="463"/>
        <v>6.6666666666666662E-3</v>
      </c>
      <c r="U507" s="66">
        <f t="shared" si="463"/>
        <v>6.6666666666666662E-3</v>
      </c>
      <c r="V507" s="66">
        <f t="shared" si="463"/>
        <v>6.6666666666666662E-3</v>
      </c>
      <c r="W507" s="66">
        <f t="shared" si="463"/>
        <v>6.6666666666666662E-3</v>
      </c>
      <c r="X507" s="66">
        <f t="shared" si="463"/>
        <v>6.6666666666666662E-3</v>
      </c>
      <c r="Y507" s="66">
        <f t="shared" si="463"/>
        <v>6.6666666666666662E-3</v>
      </c>
      <c r="Z507" s="66">
        <f t="shared" si="463"/>
        <v>6.6666666666666662E-3</v>
      </c>
      <c r="AA507" s="66">
        <f t="shared" si="463"/>
        <v>6.6666666666666662E-3</v>
      </c>
      <c r="AB507" s="66">
        <f t="shared" si="463"/>
        <v>6.6666666666666662E-3</v>
      </c>
      <c r="AC507" s="66">
        <f t="shared" si="463"/>
        <v>6.6666666666666662E-3</v>
      </c>
    </row>
    <row r="508" spans="1:29" x14ac:dyDescent="0.25">
      <c r="A508" s="30" t="str">
        <f t="shared" si="457"/>
        <v>Opex var (mode-fees)</v>
      </c>
      <c r="B508" s="66">
        <f>B466*B475/B475/(B472)</f>
        <v>4.4000000000000003E-3</v>
      </c>
      <c r="C508" s="66">
        <f t="shared" ref="C508:AC508" si="464">C466*C475/C475/(C472)</f>
        <v>4.4000000000000003E-3</v>
      </c>
      <c r="D508" s="66">
        <f t="shared" si="464"/>
        <v>4.4000000000000003E-3</v>
      </c>
      <c r="E508" s="66">
        <f t="shared" si="464"/>
        <v>4.4000000000000003E-3</v>
      </c>
      <c r="F508" s="66">
        <f t="shared" si="464"/>
        <v>4.4000000000000003E-3</v>
      </c>
      <c r="G508" s="66">
        <f t="shared" si="464"/>
        <v>4.4000000000000003E-3</v>
      </c>
      <c r="H508" s="66">
        <f t="shared" si="464"/>
        <v>4.4000000000000003E-3</v>
      </c>
      <c r="I508" s="66">
        <f t="shared" si="464"/>
        <v>4.4000000000000003E-3</v>
      </c>
      <c r="J508" s="66">
        <f t="shared" si="464"/>
        <v>4.4000000000000003E-3</v>
      </c>
      <c r="K508" s="66">
        <f t="shared" si="464"/>
        <v>4.4000000000000003E-3</v>
      </c>
      <c r="L508" s="66">
        <f t="shared" si="464"/>
        <v>4.4000000000000003E-3</v>
      </c>
      <c r="M508" s="66">
        <f t="shared" si="464"/>
        <v>4.4000000000000003E-3</v>
      </c>
      <c r="N508" s="66">
        <f t="shared" si="464"/>
        <v>4.4000000000000003E-3</v>
      </c>
      <c r="O508" s="66">
        <f t="shared" si="464"/>
        <v>4.4000000000000003E-3</v>
      </c>
      <c r="P508" s="66">
        <f t="shared" si="464"/>
        <v>4.4000000000000003E-3</v>
      </c>
      <c r="Q508" s="66">
        <f t="shared" si="464"/>
        <v>4.4000000000000003E-3</v>
      </c>
      <c r="R508" s="66">
        <f t="shared" si="464"/>
        <v>4.4000000000000003E-3</v>
      </c>
      <c r="S508" s="66">
        <f t="shared" si="464"/>
        <v>4.4000000000000003E-3</v>
      </c>
      <c r="T508" s="66">
        <f t="shared" si="464"/>
        <v>4.4000000000000003E-3</v>
      </c>
      <c r="U508" s="66">
        <f t="shared" si="464"/>
        <v>4.4000000000000003E-3</v>
      </c>
      <c r="V508" s="66">
        <f t="shared" si="464"/>
        <v>4.4000000000000003E-3</v>
      </c>
      <c r="W508" s="66">
        <f t="shared" si="464"/>
        <v>4.4000000000000003E-3</v>
      </c>
      <c r="X508" s="66">
        <f t="shared" si="464"/>
        <v>4.4000000000000003E-3</v>
      </c>
      <c r="Y508" s="66">
        <f t="shared" si="464"/>
        <v>4.4000000000000003E-3</v>
      </c>
      <c r="Z508" s="66">
        <f t="shared" si="464"/>
        <v>4.4000000000000003E-3</v>
      </c>
      <c r="AA508" s="66">
        <f t="shared" si="464"/>
        <v>4.4000000000000003E-3</v>
      </c>
      <c r="AB508" s="66">
        <f t="shared" si="464"/>
        <v>4.4000000000000003E-3</v>
      </c>
      <c r="AC508" s="66">
        <f t="shared" si="464"/>
        <v>4.4000000000000003E-3</v>
      </c>
    </row>
    <row r="509" spans="1:29" x14ac:dyDescent="0.25">
      <c r="A509" s="30" t="str">
        <f t="shared" si="457"/>
        <v>Fuel Cost</v>
      </c>
      <c r="B509" s="66">
        <f>B467*B468*B475/B475/(B472)</f>
        <v>7.985890061771795E-3</v>
      </c>
      <c r="C509" s="66">
        <f t="shared" ref="C509:AC509" si="465">C467*C468*C475/C475/(C472)</f>
        <v>7.9267097498172002E-3</v>
      </c>
      <c r="D509" s="66">
        <f t="shared" si="465"/>
        <v>7.8450985380655921E-3</v>
      </c>
      <c r="E509" s="66">
        <f t="shared" si="465"/>
        <v>7.7344373345644771E-3</v>
      </c>
      <c r="F509" s="66">
        <f t="shared" si="465"/>
        <v>7.5878059519386525E-3</v>
      </c>
      <c r="G509" s="66">
        <f t="shared" si="465"/>
        <v>7.3993274369778417E-3</v>
      </c>
      <c r="H509" s="66">
        <f t="shared" si="465"/>
        <v>7.1661209836907458E-3</v>
      </c>
      <c r="I509" s="66">
        <f t="shared" si="465"/>
        <v>6.8902388567052952E-3</v>
      </c>
      <c r="J509" s="66">
        <f t="shared" si="465"/>
        <v>6.5794775249630845E-3</v>
      </c>
      <c r="K509" s="66">
        <f t="shared" si="465"/>
        <v>6.2463026879459715E-3</v>
      </c>
      <c r="L509" s="66">
        <f t="shared" si="465"/>
        <v>5.9054794675072585E-3</v>
      </c>
      <c r="M509" s="66">
        <f t="shared" si="465"/>
        <v>5.5719568088488311E-3</v>
      </c>
      <c r="N509" s="66">
        <f t="shared" si="465"/>
        <v>5.2597091002081252E-3</v>
      </c>
      <c r="O509" s="66">
        <f t="shared" si="465"/>
        <v>4.9807190436009447E-3</v>
      </c>
      <c r="P509" s="66">
        <f t="shared" si="465"/>
        <v>4.7433837393774094E-3</v>
      </c>
      <c r="Q509" s="66">
        <f t="shared" si="465"/>
        <v>4.5510692605102224E-3</v>
      </c>
      <c r="R509" s="66">
        <f t="shared" si="465"/>
        <v>4.4020237778200381E-3</v>
      </c>
      <c r="S509" s="66">
        <f t="shared" si="465"/>
        <v>4.2907963899825839E-3</v>
      </c>
      <c r="T509" s="66">
        <f t="shared" si="465"/>
        <v>4.210251852112018E-3</v>
      </c>
      <c r="U509" s="66">
        <f t="shared" si="465"/>
        <v>4.1532408619050351E-3</v>
      </c>
      <c r="V509" s="66">
        <f t="shared" si="465"/>
        <v>4.1135537204343969E-3</v>
      </c>
      <c r="W509" s="66">
        <f t="shared" si="465"/>
        <v>4.08625147724361E-3</v>
      </c>
      <c r="X509" s="66">
        <f t="shared" si="465"/>
        <v>4.067623866980315E-3</v>
      </c>
      <c r="Y509" s="66">
        <f t="shared" si="465"/>
        <v>4.0549869084455965E-3</v>
      </c>
      <c r="Z509" s="66">
        <f t="shared" si="465"/>
        <v>4.0464472826581442E-3</v>
      </c>
      <c r="AA509" s="66">
        <f t="shared" si="465"/>
        <v>4.0406917100494931E-3</v>
      </c>
      <c r="AB509" s="66">
        <f t="shared" si="465"/>
        <v>4.0368194623874977E-3</v>
      </c>
      <c r="AC509" s="66">
        <f t="shared" si="465"/>
        <v>4.0342174151229478E-3</v>
      </c>
    </row>
    <row r="510" spans="1:29" x14ac:dyDescent="0.25">
      <c r="A510" s="59" t="str">
        <f>A473</f>
        <v>Market failure (av. utilization)</v>
      </c>
      <c r="B510" s="66">
        <f t="shared" ref="B510:AC510" si="466">B499/B473-B499/B472</f>
        <v>4.2966049751903018E-2</v>
      </c>
      <c r="C510" s="66">
        <f t="shared" si="466"/>
        <v>4.2726524846419325E-2</v>
      </c>
      <c r="D510" s="66">
        <f t="shared" si="466"/>
        <v>4.2397872172630996E-2</v>
      </c>
      <c r="E510" s="66">
        <f t="shared" si="466"/>
        <v>4.1955635089009166E-2</v>
      </c>
      <c r="F510" s="66">
        <f t="shared" si="466"/>
        <v>4.1376415587989795E-2</v>
      </c>
      <c r="G510" s="66">
        <f t="shared" si="466"/>
        <v>4.0644800197674275E-2</v>
      </c>
      <c r="H510" s="66">
        <f t="shared" si="466"/>
        <v>3.9762853556107064E-2</v>
      </c>
      <c r="I510" s="66">
        <f t="shared" si="466"/>
        <v>3.8758591749752019E-2</v>
      </c>
      <c r="J510" s="66">
        <f t="shared" si="466"/>
        <v>3.7687192840048428E-2</v>
      </c>
      <c r="K510" s="66">
        <f t="shared" si="466"/>
        <v>3.6620449019240733E-2</v>
      </c>
      <c r="L510" s="66">
        <f t="shared" si="466"/>
        <v>3.5627655517603607E-2</v>
      </c>
      <c r="M510" s="66">
        <f t="shared" si="466"/>
        <v>3.4758330796454379E-2</v>
      </c>
      <c r="N510" s="66">
        <f t="shared" si="466"/>
        <v>3.403545147191081E-2</v>
      </c>
      <c r="O510" s="66">
        <f t="shared" si="466"/>
        <v>3.3459192859585415E-2</v>
      </c>
      <c r="P510" s="66">
        <f t="shared" si="466"/>
        <v>3.3015238594507543E-2</v>
      </c>
      <c r="Q510" s="66">
        <f t="shared" si="466"/>
        <v>3.2682512388016623E-2</v>
      </c>
      <c r="R510" s="66">
        <f t="shared" si="466"/>
        <v>3.2438554194078574E-2</v>
      </c>
      <c r="S510" s="66">
        <f t="shared" si="466"/>
        <v>3.2262704103499046E-2</v>
      </c>
      <c r="T510" s="66">
        <f t="shared" si="466"/>
        <v>3.2137616207169303E-2</v>
      </c>
      <c r="U510" s="66">
        <f t="shared" si="466"/>
        <v>3.2049591338873133E-2</v>
      </c>
      <c r="V510" s="66">
        <f t="shared" si="466"/>
        <v>3.1988224856763781E-2</v>
      </c>
      <c r="W510" s="66">
        <f t="shared" si="466"/>
        <v>3.1945799835459442E-2</v>
      </c>
      <c r="X510" s="66">
        <f t="shared" si="466"/>
        <v>3.1916684275555531E-2</v>
      </c>
      <c r="Y510" s="66">
        <f t="shared" si="466"/>
        <v>3.189682504007927E-2</v>
      </c>
      <c r="Z510" s="66">
        <f t="shared" si="466"/>
        <v>3.1883345197059661E-2</v>
      </c>
      <c r="AA510" s="66">
        <f t="shared" si="466"/>
        <v>3.1874229199050218E-2</v>
      </c>
      <c r="AB510" s="66">
        <f t="shared" si="466"/>
        <v>3.1868080946451535E-2</v>
      </c>
      <c r="AC510" s="66">
        <f t="shared" si="466"/>
        <v>3.1863942238069549E-2</v>
      </c>
    </row>
    <row r="511" spans="1:29" x14ac:dyDescent="0.25">
      <c r="A511" s="59" t="str">
        <f>A474</f>
        <v>Payload loss (fuel)</v>
      </c>
      <c r="B511" s="66">
        <f>B499/(B472-B474)-B499/B472</f>
        <v>8.4249175921230768E-3</v>
      </c>
      <c r="C511" s="66">
        <f t="shared" ref="C511:AC511" si="467">C499/(C472-C474)-C499/C472</f>
        <v>8.3514933610076142E-3</v>
      </c>
      <c r="D511" s="66">
        <f t="shared" si="467"/>
        <v>8.2500050996017066E-3</v>
      </c>
      <c r="E511" s="66">
        <f t="shared" si="467"/>
        <v>8.1119101152198891E-3</v>
      </c>
      <c r="F511" s="66">
        <f t="shared" si="467"/>
        <v>7.927972309248979E-3</v>
      </c>
      <c r="G511" s="66">
        <f t="shared" si="467"/>
        <v>7.6897314015979823E-3</v>
      </c>
      <c r="H511" s="66">
        <f t="shared" si="467"/>
        <v>7.39173612892631E-3</v>
      </c>
      <c r="I511" s="66">
        <f t="shared" si="467"/>
        <v>7.0339392585455074E-3</v>
      </c>
      <c r="J511" s="66">
        <f t="shared" si="467"/>
        <v>6.6231360763896879E-3</v>
      </c>
      <c r="K511" s="66">
        <f t="shared" si="467"/>
        <v>6.1726506788451763E-3</v>
      </c>
      <c r="L511" s="66">
        <f t="shared" si="467"/>
        <v>5.7007250746505672E-3</v>
      </c>
      <c r="M511" s="66">
        <f t="shared" si="467"/>
        <v>5.2287445969815549E-3</v>
      </c>
      <c r="N511" s="66">
        <f t="shared" si="467"/>
        <v>4.7793660977526742E-3</v>
      </c>
      <c r="O511" s="66">
        <f t="shared" si="467"/>
        <v>4.3735253783428463E-3</v>
      </c>
      <c r="P511" s="66">
        <f t="shared" si="467"/>
        <v>4.0264473821651214E-3</v>
      </c>
      <c r="Q511" s="66">
        <f t="shared" si="467"/>
        <v>3.7447507932645147E-3</v>
      </c>
      <c r="R511" s="66">
        <f t="shared" si="467"/>
        <v>3.5264831234405741E-3</v>
      </c>
      <c r="S511" s="66">
        <f t="shared" si="467"/>
        <v>3.3637220100005485E-3</v>
      </c>
      <c r="T511" s="66">
        <f t="shared" si="467"/>
        <v>3.2459298118496446E-3</v>
      </c>
      <c r="U511" s="66">
        <f t="shared" si="467"/>
        <v>3.1625708359719895E-3</v>
      </c>
      <c r="V511" s="66">
        <f t="shared" si="467"/>
        <v>3.1045334243409023E-3</v>
      </c>
      <c r="W511" s="66">
        <f t="shared" si="467"/>
        <v>3.0645934192704005E-3</v>
      </c>
      <c r="X511" s="66">
        <f t="shared" si="467"/>
        <v>3.0373321815566623E-3</v>
      </c>
      <c r="Y511" s="66">
        <f t="shared" si="467"/>
        <v>3.0188310466233645E-3</v>
      </c>
      <c r="Z511" s="66">
        <f t="shared" si="467"/>
        <v>3.0063246100870619E-3</v>
      </c>
      <c r="AA511" s="66">
        <f t="shared" si="467"/>
        <v>2.9978933901206456E-3</v>
      </c>
      <c r="AB511" s="66">
        <f t="shared" si="467"/>
        <v>2.992219984654064E-3</v>
      </c>
      <c r="AC511" s="66">
        <f t="shared" si="467"/>
        <v>2.9884071138805771E-3</v>
      </c>
    </row>
    <row r="512" spans="1:29" ht="15.75" thickBot="1" x14ac:dyDescent="0.3">
      <c r="A512" s="59" t="str">
        <f>A449</f>
        <v>Emission Cost</v>
      </c>
      <c r="B512" s="68">
        <f>B469*B475/B475/(B472)</f>
        <v>1.4049076735721778E-4</v>
      </c>
      <c r="C512" s="68">
        <f t="shared" ref="C512:AC512" si="468">C469*C475/C475/(C472)</f>
        <v>1.4035698591588104E-4</v>
      </c>
      <c r="D512" s="68">
        <f t="shared" si="468"/>
        <v>1.4016548076234878E-4</v>
      </c>
      <c r="E512" s="68">
        <f t="shared" si="468"/>
        <v>1.3989151917297648E-4</v>
      </c>
      <c r="F512" s="68">
        <f t="shared" si="468"/>
        <v>1.3949996760913741E-4</v>
      </c>
      <c r="G512" s="68">
        <f t="shared" si="468"/>
        <v>1.389411389097371E-4</v>
      </c>
      <c r="H512" s="68">
        <f t="shared" si="468"/>
        <v>1.3814522974610444E-4</v>
      </c>
      <c r="I512" s="68">
        <f t="shared" si="468"/>
        <v>1.3701515282874788E-4</v>
      </c>
      <c r="J512" s="68">
        <f t="shared" si="468"/>
        <v>1.3541789769952266E-4</v>
      </c>
      <c r="K512" s="68">
        <f t="shared" si="468"/>
        <v>1.3317538031496002E-4</v>
      </c>
      <c r="L512" s="68">
        <f t="shared" si="468"/>
        <v>1.3005746709139927E-4</v>
      </c>
      <c r="M512" s="68">
        <f t="shared" si="468"/>
        <v>1.2578292470326314E-4</v>
      </c>
      <c r="N512" s="68">
        <f t="shared" si="468"/>
        <v>1.2003839777505244E-4</v>
      </c>
      <c r="O512" s="68">
        <f t="shared" si="468"/>
        <v>1.1252919131889444E-4</v>
      </c>
      <c r="P512" s="68">
        <f t="shared" si="468"/>
        <v>1.0307261500799069E-4</v>
      </c>
      <c r="Q512" s="68">
        <f t="shared" si="468"/>
        <v>9.1724994885971666E-5</v>
      </c>
      <c r="R512" s="68">
        <f t="shared" si="468"/>
        <v>7.8893405016236212E-5</v>
      </c>
      <c r="S512" s="68">
        <f t="shared" si="468"/>
        <v>6.534714823744498E-5</v>
      </c>
      <c r="T512" s="68">
        <f t="shared" si="468"/>
        <v>5.2067456454497702E-5</v>
      </c>
      <c r="U512" s="68">
        <f t="shared" si="468"/>
        <v>3.9978679681221538E-5</v>
      </c>
      <c r="V512" s="68">
        <f t="shared" si="468"/>
        <v>2.9704940898853776E-5</v>
      </c>
      <c r="W512" s="68">
        <f t="shared" si="468"/>
        <v>2.1477516056547865E-5</v>
      </c>
      <c r="X512" s="68">
        <f t="shared" si="468"/>
        <v>1.5199625742695674E-5</v>
      </c>
      <c r="Y512" s="68">
        <f t="shared" si="468"/>
        <v>1.0584872874483328E-5</v>
      </c>
      <c r="Z512" s="68">
        <f t="shared" si="468"/>
        <v>7.285391333792315E-6</v>
      </c>
      <c r="AA512" s="68">
        <f t="shared" si="468"/>
        <v>4.9729420400487081E-6</v>
      </c>
      <c r="AB512" s="68">
        <f t="shared" si="468"/>
        <v>3.3748974438302729E-6</v>
      </c>
      <c r="AC512" s="68">
        <f t="shared" si="468"/>
        <v>2.2812758930212777E-6</v>
      </c>
    </row>
    <row r="513" spans="1:29" ht="15.75" thickBot="1" x14ac:dyDescent="0.3">
      <c r="A513" s="31" t="s">
        <v>210</v>
      </c>
      <c r="B513" s="67">
        <f>B502+B503+B504+B505+B506+B507+B508+B509+B510+B511+B512</f>
        <v>0.12671830500569514</v>
      </c>
      <c r="C513" s="67">
        <f t="shared" ref="C513:AC513" si="469">C502+C503+C504+C505+C506+C507+C508+C509+C510+C511+C512</f>
        <v>0.12597953381490276</v>
      </c>
      <c r="D513" s="67">
        <f t="shared" si="469"/>
        <v>0.12496512145964034</v>
      </c>
      <c r="E513" s="67">
        <f t="shared" si="469"/>
        <v>0.12359859013186458</v>
      </c>
      <c r="F513" s="67">
        <f t="shared" si="469"/>
        <v>0.12180570926750652</v>
      </c>
      <c r="G513" s="67">
        <f t="shared" si="469"/>
        <v>0.11953520338675686</v>
      </c>
      <c r="H513" s="67">
        <f t="shared" si="469"/>
        <v>0.11678735633195406</v>
      </c>
      <c r="I513" s="67">
        <f t="shared" si="469"/>
        <v>0.11363994333280925</v>
      </c>
      <c r="J513" s="67">
        <f t="shared" si="469"/>
        <v>0.11025303206814344</v>
      </c>
      <c r="K513" s="67">
        <f t="shared" si="469"/>
        <v>0.10683936939057756</v>
      </c>
      <c r="L513" s="67">
        <f t="shared" si="469"/>
        <v>0.10360968405961316</v>
      </c>
      <c r="M513" s="67">
        <f t="shared" si="469"/>
        <v>0.10072291268986294</v>
      </c>
      <c r="N513" s="67">
        <f t="shared" si="469"/>
        <v>9.8265536066901943E-2</v>
      </c>
      <c r="O513" s="67">
        <f t="shared" si="469"/>
        <v>9.6258976979921557E-2</v>
      </c>
      <c r="P513" s="67">
        <f t="shared" si="469"/>
        <v>9.4678692691860869E-2</v>
      </c>
      <c r="Q513" s="67">
        <f t="shared" si="469"/>
        <v>9.3472756640485474E-2</v>
      </c>
      <c r="R513" s="67">
        <f t="shared" si="469"/>
        <v>9.2576827320833624E-2</v>
      </c>
      <c r="S513" s="67">
        <f t="shared" si="469"/>
        <v>9.1925593733561572E-2</v>
      </c>
      <c r="T513" s="67">
        <f t="shared" si="469"/>
        <v>9.1460335156716949E-2</v>
      </c>
      <c r="U513" s="67">
        <f t="shared" si="469"/>
        <v>9.1132462657794372E-2</v>
      </c>
      <c r="V513" s="67">
        <f t="shared" si="469"/>
        <v>9.0903962795859522E-2</v>
      </c>
      <c r="W513" s="67">
        <f t="shared" si="469"/>
        <v>9.0746175509388086E-2</v>
      </c>
      <c r="X513" s="67">
        <f t="shared" si="469"/>
        <v>9.0638037716385705E-2</v>
      </c>
      <c r="Y513" s="67">
        <f t="shared" si="469"/>
        <v>9.0564372038462806E-2</v>
      </c>
      <c r="Z513" s="67">
        <f t="shared" si="469"/>
        <v>9.0514421593538702E-2</v>
      </c>
      <c r="AA513" s="67">
        <f t="shared" si="469"/>
        <v>9.0480668156879371E-2</v>
      </c>
      <c r="AB513" s="67">
        <f t="shared" si="469"/>
        <v>9.0457916271972014E-2</v>
      </c>
      <c r="AC513" s="67">
        <f t="shared" si="469"/>
        <v>9.0442606989026342E-2</v>
      </c>
    </row>
    <row r="515" spans="1:29" x14ac:dyDescent="0.25">
      <c r="B515" s="40"/>
    </row>
  </sheetData>
  <conditionalFormatting sqref="Q11:AR20 Q22:AR27">
    <cfRule type="colorScale" priority="50">
      <colorScale>
        <cfvo type="min"/>
        <cfvo type="max"/>
        <color rgb="FFFF7128"/>
        <color rgb="FFFFEF9C"/>
      </colorScale>
    </cfRule>
    <cfRule type="colorScale" priority="46">
      <colorScale>
        <cfvo type="min"/>
        <cfvo type="max"/>
        <color rgb="FFFF7128"/>
        <color rgb="FFFFEF9C"/>
      </colorScale>
    </cfRule>
    <cfRule type="colorScale" priority="47">
      <colorScale>
        <cfvo type="min"/>
        <cfvo type="percentile" val="50"/>
        <cfvo type="max"/>
        <color rgb="FFF8696B"/>
        <color rgb="FFFFEB84"/>
        <color rgb="FF63BE7B"/>
      </colorScale>
    </cfRule>
    <cfRule type="colorScale" priority="48">
      <colorScale>
        <cfvo type="min"/>
        <cfvo type="percentile" val="50"/>
        <cfvo type="max"/>
        <color theme="5" tint="-0.249977111117893"/>
        <color theme="7" tint="0.79998168889431442"/>
        <color theme="7" tint="0.39997558519241921"/>
      </colorScale>
    </cfRule>
    <cfRule type="colorScale" priority="49">
      <colorScale>
        <cfvo type="min"/>
        <cfvo type="percentile" val="50"/>
        <cfvo type="max"/>
        <color rgb="FFF8696B"/>
        <color rgb="FFFFEB84"/>
        <color rgb="FF63BE7B"/>
      </colorScale>
    </cfRule>
  </conditionalFormatting>
  <conditionalFormatting sqref="Q21:AR21">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26 Q128:AR133">
    <cfRule type="colorScale" priority="45">
      <colorScale>
        <cfvo type="min"/>
        <cfvo type="max"/>
        <color rgb="FFFF7128"/>
        <color rgb="FFFFEF9C"/>
      </colorScale>
    </cfRule>
    <cfRule type="colorScale" priority="43">
      <colorScale>
        <cfvo type="min"/>
        <cfvo type="percentile" val="50"/>
        <cfvo type="max"/>
        <color theme="5" tint="-0.249977111117893"/>
        <color theme="7" tint="0.79998168889431442"/>
        <color theme="7" tint="0.39997558519241921"/>
      </colorScale>
    </cfRule>
    <cfRule type="colorScale" priority="42">
      <colorScale>
        <cfvo type="min"/>
        <cfvo type="percentile" val="50"/>
        <cfvo type="max"/>
        <color rgb="FFF8696B"/>
        <color rgb="FFFFEB84"/>
        <color rgb="FF63BE7B"/>
      </colorScale>
    </cfRule>
    <cfRule type="colorScale" priority="41">
      <colorScale>
        <cfvo type="min"/>
        <cfvo type="max"/>
        <color rgb="FFFF7128"/>
        <color rgb="FFFFEF9C"/>
      </colorScale>
    </cfRule>
    <cfRule type="colorScale" priority="44">
      <colorScale>
        <cfvo type="min"/>
        <cfvo type="percentile" val="50"/>
        <cfvo type="max"/>
        <color rgb="FFF8696B"/>
        <color rgb="FFFFEB84"/>
        <color rgb="FF63BE7B"/>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40">
      <colorScale>
        <cfvo type="min"/>
        <cfvo type="max"/>
        <color rgb="FFFF7128"/>
        <color rgb="FFFFEF9C"/>
      </colorScale>
    </cfRule>
    <cfRule type="colorScale" priority="39">
      <colorScale>
        <cfvo type="min"/>
        <cfvo type="percentile" val="50"/>
        <cfvo type="max"/>
        <color rgb="FFF8696B"/>
        <color rgb="FFFFEB84"/>
        <color rgb="FF63BE7B"/>
      </colorScale>
    </cfRule>
    <cfRule type="colorScale" priority="37">
      <colorScale>
        <cfvo type="min"/>
        <cfvo type="percentile" val="50"/>
        <cfvo type="max"/>
        <color rgb="FFF8696B"/>
        <color rgb="FFFFEB84"/>
        <color rgb="FF63BE7B"/>
      </colorScale>
    </cfRule>
    <cfRule type="colorScale" priority="36">
      <colorScale>
        <cfvo type="min"/>
        <cfvo type="max"/>
        <color rgb="FFFF7128"/>
        <color rgb="FFFFEF9C"/>
      </colorScale>
    </cfRule>
    <cfRule type="colorScale" priority="38">
      <colorScale>
        <cfvo type="min"/>
        <cfvo type="percentile" val="50"/>
        <cfvo type="max"/>
        <color theme="5" tint="-0.249977111117893"/>
        <color theme="7" tint="0.79998168889431442"/>
        <color theme="7" tint="0.39997558519241921"/>
      </colorScale>
    </cfRule>
  </conditionalFormatting>
  <conditionalFormatting sqref="Q235:AR235">
    <cfRule type="colorScale" priority="13">
      <colorScale>
        <cfvo type="min"/>
        <cfvo type="percentile" val="50"/>
        <cfvo type="max"/>
        <color theme="5" tint="-0.249977111117893"/>
        <color theme="7" tint="0.79998168889431442"/>
        <color theme="7" tint="0.39997558519241921"/>
      </colorScale>
    </cfRule>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32">
      <colorScale>
        <cfvo type="min"/>
        <cfvo type="percentile" val="50"/>
        <cfvo type="max"/>
        <color rgb="FFF8696B"/>
        <color rgb="FFFFEB84"/>
        <color rgb="FF63BE7B"/>
      </colorScale>
    </cfRule>
    <cfRule type="colorScale" priority="31">
      <colorScale>
        <cfvo type="min"/>
        <cfvo type="max"/>
        <color rgb="FFFF7128"/>
        <color rgb="FFFFEF9C"/>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344:AR344">
    <cfRule type="colorScale" priority="10">
      <colorScale>
        <cfvo type="min"/>
        <cfvo type="max"/>
        <color rgb="FFFF7128"/>
        <color rgb="FFFFEF9C"/>
      </colorScale>
    </cfRule>
    <cfRule type="colorScale" priority="9">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onditionalFormatting>
  <conditionalFormatting sqref="Q439:AR448 Q450:AR455">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B1A82-B6BF-4A88-B56E-73F23EAC9051}">
  <sheetPr>
    <tabColor theme="4" tint="-0.249977111117893"/>
  </sheetPr>
  <dimension ref="A1:AR515"/>
  <sheetViews>
    <sheetView topLeftCell="A427" zoomScale="80" zoomScaleNormal="80" workbookViewId="0">
      <selection activeCell="AC502" sqref="AC502"/>
    </sheetView>
  </sheetViews>
  <sheetFormatPr defaultColWidth="9.140625" defaultRowHeight="15" x14ac:dyDescent="0.25"/>
  <cols>
    <col min="1" max="1" width="38.5703125" style="4" customWidth="1"/>
    <col min="2" max="4" width="14.85546875" style="4" bestFit="1" customWidth="1"/>
    <col min="5" max="5" width="28" style="4" bestFit="1" customWidth="1"/>
    <col min="6" max="11" width="14.85546875" style="4" bestFit="1" customWidth="1"/>
    <col min="12" max="12" width="24.42578125" style="4" bestFit="1" customWidth="1"/>
    <col min="13" max="29" width="14.85546875" style="4" bestFit="1" customWidth="1"/>
    <col min="30" max="44" width="13.5703125" style="4" bestFit="1" customWidth="1"/>
    <col min="45" max="16384" width="9.140625" style="4"/>
  </cols>
  <sheetData>
    <row r="1" spans="1:44" s="3" customFormat="1" ht="21" x14ac:dyDescent="0.35">
      <c r="A1" s="2" t="str">
        <f>'Parameter Input'!A20</f>
        <v>Road long-haul: Dry bulk</v>
      </c>
    </row>
    <row r="2" spans="1:44" s="3" customFormat="1" ht="21" x14ac:dyDescent="0.35">
      <c r="A2" s="2" t="s">
        <v>103</v>
      </c>
    </row>
    <row r="3" spans="1:44" x14ac:dyDescent="0.25">
      <c r="A3" s="33" t="s">
        <v>195</v>
      </c>
    </row>
    <row r="4" spans="1:44" x14ac:dyDescent="0.25">
      <c r="A4" s="33" t="s">
        <v>196</v>
      </c>
    </row>
    <row r="5" spans="1:44" ht="15.75" thickBot="1" x14ac:dyDescent="0.3">
      <c r="A5" s="34" t="s">
        <v>197</v>
      </c>
      <c r="B5" s="34"/>
    </row>
    <row r="6" spans="1:44" ht="15.75" thickBot="1" x14ac:dyDescent="0.3">
      <c r="A6" s="39" t="s">
        <v>198</v>
      </c>
      <c r="B6" s="35"/>
    </row>
    <row r="7" spans="1:44" ht="15.75" thickBot="1" x14ac:dyDescent="0.3">
      <c r="A7" s="38" t="s">
        <v>199</v>
      </c>
      <c r="B7" s="36"/>
    </row>
    <row r="8" spans="1:44" ht="15.75" thickBot="1" x14ac:dyDescent="0.3"/>
    <row r="9" spans="1:44"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18</v>
      </c>
      <c r="B11" s="41">
        <f>'Parameter Input'!$L$45</f>
        <v>390000</v>
      </c>
      <c r="C11" s="42">
        <f>'Parameter Input'!$M$45</f>
        <v>155000</v>
      </c>
      <c r="D11" s="1" t="s">
        <v>15</v>
      </c>
      <c r="L11" s="51">
        <f>'Parameter Input'!$O$45</f>
        <v>9</v>
      </c>
      <c r="M11" s="52">
        <v>0</v>
      </c>
      <c r="N11" s="52">
        <v>1</v>
      </c>
      <c r="O11" s="52">
        <f>'Parameter Input'!$P$45</f>
        <v>0.9</v>
      </c>
      <c r="P11" s="53">
        <f>'Parameter Input'!$Q$45</f>
        <v>0.4</v>
      </c>
      <c r="Q11" s="4">
        <f t="shared" ref="Q11:AR20" si="0">$N11+($M11-$N11)*((1/(1+EXP(-$P11*(Q$9-$L11)))^$O11))</f>
        <v>0.96177484161592774</v>
      </c>
      <c r="R11" s="4">
        <f t="shared" si="0"/>
        <v>0.94584787155511363</v>
      </c>
      <c r="S11" s="4">
        <f t="shared" si="0"/>
        <v>0.92370360150141495</v>
      </c>
      <c r="T11" s="4">
        <f t="shared" si="0"/>
        <v>0.89334463567658451</v>
      </c>
      <c r="U11" s="4">
        <f t="shared" si="0"/>
        <v>0.85254543874327005</v>
      </c>
      <c r="V11" s="4">
        <f t="shared" si="0"/>
        <v>0.79921300652623883</v>
      </c>
      <c r="W11" s="4">
        <f t="shared" si="0"/>
        <v>0.73204982249993378</v>
      </c>
      <c r="X11" s="4">
        <f t="shared" si="0"/>
        <v>0.65145592958786691</v>
      </c>
      <c r="Y11" s="4">
        <f t="shared" si="0"/>
        <v>0.56032247880849573</v>
      </c>
      <c r="Z11" s="4">
        <f t="shared" si="0"/>
        <v>0.46411326873185343</v>
      </c>
      <c r="AA11" s="4">
        <f t="shared" si="0"/>
        <v>0.36979727595523937</v>
      </c>
      <c r="AB11" s="4">
        <f t="shared" si="0"/>
        <v>0.28393948637231203</v>
      </c>
      <c r="AC11" s="4">
        <f t="shared" si="0"/>
        <v>0.21097259161117732</v>
      </c>
      <c r="AD11" s="4">
        <f t="shared" si="0"/>
        <v>0.15253917653798199</v>
      </c>
      <c r="AE11" s="4">
        <f t="shared" si="0"/>
        <v>0.10795188737709993</v>
      </c>
      <c r="AF11" s="4">
        <f t="shared" si="0"/>
        <v>7.5176653938091809E-2</v>
      </c>
      <c r="AG11" s="4">
        <f t="shared" si="0"/>
        <v>5.1742836177502194E-2</v>
      </c>
      <c r="AH11" s="4">
        <f t="shared" si="0"/>
        <v>3.5319190625345942E-2</v>
      </c>
      <c r="AI11" s="4">
        <f t="shared" si="0"/>
        <v>2.3969442072658165E-2</v>
      </c>
      <c r="AJ11" s="4">
        <f t="shared" si="0"/>
        <v>1.6202243558389728E-2</v>
      </c>
      <c r="AK11" s="4">
        <f t="shared" si="0"/>
        <v>1.0922240564108399E-2</v>
      </c>
      <c r="AL11" s="4">
        <f t="shared" si="0"/>
        <v>7.3493212906090566E-3</v>
      </c>
      <c r="AM11" s="4">
        <f t="shared" si="0"/>
        <v>4.9390262185057265E-3</v>
      </c>
      <c r="AN11" s="4">
        <f t="shared" si="0"/>
        <v>3.3164275492956197E-3</v>
      </c>
      <c r="AO11" s="4">
        <f t="shared" si="0"/>
        <v>2.2256362146679809E-3</v>
      </c>
      <c r="AP11" s="4">
        <f t="shared" si="0"/>
        <v>1.4930448704811861E-3</v>
      </c>
      <c r="AQ11" s="4">
        <f t="shared" si="0"/>
        <v>1.0013381504474506E-3</v>
      </c>
      <c r="AR11" s="4">
        <f t="shared" si="0"/>
        <v>6.7145100246257527E-4</v>
      </c>
    </row>
    <row r="12" spans="1:44" x14ac:dyDescent="0.25">
      <c r="A12" s="24" t="s">
        <v>28</v>
      </c>
      <c r="B12" s="60">
        <f>'Parameter Input'!$L$46</f>
        <v>-58500</v>
      </c>
      <c r="C12" s="61">
        <f>'Parameter Input'!$M$46</f>
        <v>-38750</v>
      </c>
      <c r="D12" s="1" t="s">
        <v>15</v>
      </c>
      <c r="L12" s="54">
        <f>'Parameter Input'!$O$46</f>
        <v>9</v>
      </c>
      <c r="M12" s="37">
        <v>0</v>
      </c>
      <c r="N12" s="37">
        <v>1</v>
      </c>
      <c r="O12" s="37">
        <f>'Parameter Input'!$P$46</f>
        <v>0.9</v>
      </c>
      <c r="P12" s="55">
        <f>'Parameter Input'!$Q$46</f>
        <v>0.4</v>
      </c>
      <c r="Q12" s="4">
        <f t="shared" si="0"/>
        <v>0.96177484161592774</v>
      </c>
      <c r="R12" s="4">
        <f t="shared" si="0"/>
        <v>0.94584787155511363</v>
      </c>
      <c r="S12" s="4">
        <f t="shared" si="0"/>
        <v>0.92370360150141495</v>
      </c>
      <c r="T12" s="4">
        <f t="shared" si="0"/>
        <v>0.89334463567658451</v>
      </c>
      <c r="U12" s="4">
        <f t="shared" si="0"/>
        <v>0.85254543874327005</v>
      </c>
      <c r="V12" s="4">
        <f t="shared" si="0"/>
        <v>0.79921300652623883</v>
      </c>
      <c r="W12" s="4">
        <f t="shared" si="0"/>
        <v>0.73204982249993378</v>
      </c>
      <c r="X12" s="4">
        <f t="shared" si="0"/>
        <v>0.65145592958786691</v>
      </c>
      <c r="Y12" s="4">
        <f t="shared" si="0"/>
        <v>0.56032247880849573</v>
      </c>
      <c r="Z12" s="4">
        <f t="shared" si="0"/>
        <v>0.46411326873185343</v>
      </c>
      <c r="AA12" s="4">
        <f t="shared" si="0"/>
        <v>0.36979727595523937</v>
      </c>
      <c r="AB12" s="4">
        <f t="shared" si="0"/>
        <v>0.28393948637231203</v>
      </c>
      <c r="AC12" s="4">
        <f t="shared" si="0"/>
        <v>0.21097259161117732</v>
      </c>
      <c r="AD12" s="4">
        <f t="shared" si="0"/>
        <v>0.15253917653798199</v>
      </c>
      <c r="AE12" s="4">
        <f t="shared" si="0"/>
        <v>0.10795188737709993</v>
      </c>
      <c r="AF12" s="4">
        <f t="shared" si="0"/>
        <v>7.5176653938091809E-2</v>
      </c>
      <c r="AG12" s="4">
        <f t="shared" si="0"/>
        <v>5.1742836177502194E-2</v>
      </c>
      <c r="AH12" s="4">
        <f t="shared" si="0"/>
        <v>3.5319190625345942E-2</v>
      </c>
      <c r="AI12" s="4">
        <f t="shared" si="0"/>
        <v>2.3969442072658165E-2</v>
      </c>
      <c r="AJ12" s="4">
        <f t="shared" si="0"/>
        <v>1.6202243558389728E-2</v>
      </c>
      <c r="AK12" s="4">
        <f t="shared" si="0"/>
        <v>1.0922240564108399E-2</v>
      </c>
      <c r="AL12" s="4">
        <f t="shared" si="0"/>
        <v>7.3493212906090566E-3</v>
      </c>
      <c r="AM12" s="4">
        <f t="shared" si="0"/>
        <v>4.9390262185057265E-3</v>
      </c>
      <c r="AN12" s="4">
        <f t="shared" si="0"/>
        <v>3.3164275492956197E-3</v>
      </c>
      <c r="AO12" s="4">
        <f t="shared" si="0"/>
        <v>2.2256362146679809E-3</v>
      </c>
      <c r="AP12" s="4">
        <f t="shared" si="0"/>
        <v>1.4930448704811861E-3</v>
      </c>
      <c r="AQ12" s="4">
        <f t="shared" si="0"/>
        <v>1.0013381504474506E-3</v>
      </c>
      <c r="AR12" s="4">
        <f t="shared" si="0"/>
        <v>6.7145100246257527E-4</v>
      </c>
    </row>
    <row r="13" spans="1:44" x14ac:dyDescent="0.25">
      <c r="A13" s="24" t="s">
        <v>14</v>
      </c>
      <c r="B13" s="43">
        <f>'Parameter Input'!B21</f>
        <v>40000</v>
      </c>
      <c r="C13" s="44">
        <f>'Parameter Input'!C21</f>
        <v>40000</v>
      </c>
      <c r="D13" s="1" t="s">
        <v>15</v>
      </c>
      <c r="L13" s="54">
        <f>'Parameter Input'!E21</f>
        <v>12</v>
      </c>
      <c r="M13" s="37">
        <v>0</v>
      </c>
      <c r="N13" s="37">
        <v>1</v>
      </c>
      <c r="O13" s="37">
        <f>'Parameter Input'!F21</f>
        <v>0.9</v>
      </c>
      <c r="P13" s="55">
        <f>'Parameter Input'!G21</f>
        <v>0.4</v>
      </c>
      <c r="Q13" s="4">
        <f t="shared" si="0"/>
        <v>0.9867978615748374</v>
      </c>
      <c r="R13" s="4">
        <f t="shared" si="0"/>
        <v>0.98114509762858249</v>
      </c>
      <c r="S13" s="4">
        <f t="shared" si="0"/>
        <v>0.97311898315872036</v>
      </c>
      <c r="T13" s="4">
        <f t="shared" si="0"/>
        <v>0.96177484161592774</v>
      </c>
      <c r="U13" s="4">
        <f t="shared" si="0"/>
        <v>0.94584787155511363</v>
      </c>
      <c r="V13" s="4">
        <f t="shared" si="0"/>
        <v>0.92370360150141495</v>
      </c>
      <c r="W13" s="4">
        <f t="shared" si="0"/>
        <v>0.89334463567658451</v>
      </c>
      <c r="X13" s="4">
        <f t="shared" si="0"/>
        <v>0.85254543874327005</v>
      </c>
      <c r="Y13" s="4">
        <f t="shared" si="0"/>
        <v>0.79921300652623883</v>
      </c>
      <c r="Z13" s="4">
        <f t="shared" si="0"/>
        <v>0.73204982249993378</v>
      </c>
      <c r="AA13" s="4">
        <f t="shared" si="0"/>
        <v>0.65145592958786691</v>
      </c>
      <c r="AB13" s="4">
        <f t="shared" si="0"/>
        <v>0.56032247880849573</v>
      </c>
      <c r="AC13" s="4">
        <f t="shared" si="0"/>
        <v>0.46411326873185343</v>
      </c>
      <c r="AD13" s="4">
        <f t="shared" si="0"/>
        <v>0.36979727595523937</v>
      </c>
      <c r="AE13" s="4">
        <f t="shared" si="0"/>
        <v>0.28393948637231203</v>
      </c>
      <c r="AF13" s="4">
        <f t="shared" si="0"/>
        <v>0.21097259161117732</v>
      </c>
      <c r="AG13" s="4">
        <f t="shared" si="0"/>
        <v>0.15253917653798199</v>
      </c>
      <c r="AH13" s="4">
        <f t="shared" si="0"/>
        <v>0.10795188737709993</v>
      </c>
      <c r="AI13" s="4">
        <f t="shared" si="0"/>
        <v>7.5176653938091809E-2</v>
      </c>
      <c r="AJ13" s="4">
        <f t="shared" si="0"/>
        <v>5.1742836177502194E-2</v>
      </c>
      <c r="AK13" s="4">
        <f t="shared" si="0"/>
        <v>3.5319190625345942E-2</v>
      </c>
      <c r="AL13" s="4">
        <f t="shared" si="0"/>
        <v>2.3969442072658165E-2</v>
      </c>
      <c r="AM13" s="4">
        <f t="shared" si="0"/>
        <v>1.6202243558389728E-2</v>
      </c>
      <c r="AN13" s="4">
        <f t="shared" si="0"/>
        <v>1.0922240564108399E-2</v>
      </c>
      <c r="AO13" s="4">
        <f t="shared" si="0"/>
        <v>7.3493212906090566E-3</v>
      </c>
      <c r="AP13" s="4">
        <f t="shared" si="0"/>
        <v>4.9390262185057265E-3</v>
      </c>
      <c r="AQ13" s="4">
        <f t="shared" si="0"/>
        <v>3.3164275492956197E-3</v>
      </c>
      <c r="AR13" s="4">
        <f t="shared" si="0"/>
        <v>2.2256362146679809E-3</v>
      </c>
    </row>
    <row r="14" spans="1:44" x14ac:dyDescent="0.25">
      <c r="A14" s="24" t="s">
        <v>25</v>
      </c>
      <c r="B14" s="60">
        <f>'Parameter Input'!B22</f>
        <v>-10000</v>
      </c>
      <c r="C14" s="61">
        <f>'Parameter Input'!C22</f>
        <v>-10000</v>
      </c>
      <c r="D14" s="1" t="s">
        <v>15</v>
      </c>
      <c r="L14" s="54">
        <f>'Parameter Input'!E22</f>
        <v>12</v>
      </c>
      <c r="M14" s="37">
        <v>0</v>
      </c>
      <c r="N14" s="37">
        <v>1</v>
      </c>
      <c r="O14" s="37">
        <f>'Parameter Input'!F22</f>
        <v>0.9</v>
      </c>
      <c r="P14" s="55">
        <f>'Parameter Input'!G22</f>
        <v>0.4</v>
      </c>
      <c r="Q14" s="4">
        <f t="shared" si="0"/>
        <v>0.9867978615748374</v>
      </c>
      <c r="R14" s="4">
        <f t="shared" si="0"/>
        <v>0.98114509762858249</v>
      </c>
      <c r="S14" s="4">
        <f t="shared" si="0"/>
        <v>0.97311898315872036</v>
      </c>
      <c r="T14" s="4">
        <f t="shared" si="0"/>
        <v>0.96177484161592774</v>
      </c>
      <c r="U14" s="4">
        <f t="shared" si="0"/>
        <v>0.94584787155511363</v>
      </c>
      <c r="V14" s="4">
        <f t="shared" si="0"/>
        <v>0.92370360150141495</v>
      </c>
      <c r="W14" s="4">
        <f t="shared" si="0"/>
        <v>0.89334463567658451</v>
      </c>
      <c r="X14" s="4">
        <f t="shared" si="0"/>
        <v>0.85254543874327005</v>
      </c>
      <c r="Y14" s="4">
        <f t="shared" si="0"/>
        <v>0.79921300652623883</v>
      </c>
      <c r="Z14" s="4">
        <f t="shared" si="0"/>
        <v>0.73204982249993378</v>
      </c>
      <c r="AA14" s="4">
        <f t="shared" si="0"/>
        <v>0.65145592958786691</v>
      </c>
      <c r="AB14" s="4">
        <f t="shared" si="0"/>
        <v>0.56032247880849573</v>
      </c>
      <c r="AC14" s="4">
        <f t="shared" si="0"/>
        <v>0.46411326873185343</v>
      </c>
      <c r="AD14" s="4">
        <f t="shared" si="0"/>
        <v>0.36979727595523937</v>
      </c>
      <c r="AE14" s="4">
        <f t="shared" si="0"/>
        <v>0.28393948637231203</v>
      </c>
      <c r="AF14" s="4">
        <f t="shared" si="0"/>
        <v>0.21097259161117732</v>
      </c>
      <c r="AG14" s="4">
        <f t="shared" si="0"/>
        <v>0.15253917653798199</v>
      </c>
      <c r="AH14" s="4">
        <f t="shared" si="0"/>
        <v>0.10795188737709993</v>
      </c>
      <c r="AI14" s="4">
        <f t="shared" si="0"/>
        <v>7.5176653938091809E-2</v>
      </c>
      <c r="AJ14" s="4">
        <f t="shared" si="0"/>
        <v>5.1742836177502194E-2</v>
      </c>
      <c r="AK14" s="4">
        <f t="shared" si="0"/>
        <v>3.5319190625345942E-2</v>
      </c>
      <c r="AL14" s="4">
        <f t="shared" si="0"/>
        <v>2.3969442072658165E-2</v>
      </c>
      <c r="AM14" s="4">
        <f t="shared" si="0"/>
        <v>1.6202243558389728E-2</v>
      </c>
      <c r="AN14" s="4">
        <f t="shared" si="0"/>
        <v>1.0922240564108399E-2</v>
      </c>
      <c r="AO14" s="4">
        <f t="shared" si="0"/>
        <v>7.3493212906090566E-3</v>
      </c>
      <c r="AP14" s="4">
        <f t="shared" si="0"/>
        <v>4.9390262185057265E-3</v>
      </c>
      <c r="AQ14" s="4">
        <f t="shared" si="0"/>
        <v>3.3164275492956197E-3</v>
      </c>
      <c r="AR14" s="4">
        <f t="shared" si="0"/>
        <v>2.2256362146679809E-3</v>
      </c>
    </row>
    <row r="15" spans="1:44" x14ac:dyDescent="0.25">
      <c r="A15" s="24" t="s">
        <v>79</v>
      </c>
      <c r="B15" s="45">
        <f>'Parameter Input'!$L$52</f>
        <v>0.06</v>
      </c>
      <c r="C15" s="46">
        <f>'Parameter Input'!$M$52</f>
        <v>0.06</v>
      </c>
      <c r="D15" s="1" t="s">
        <v>57</v>
      </c>
      <c r="L15" s="54">
        <f>'Parameter Input'!$O$52</f>
        <v>12</v>
      </c>
      <c r="M15" s="37">
        <v>0</v>
      </c>
      <c r="N15" s="37">
        <v>1</v>
      </c>
      <c r="O15" s="37">
        <f>'Parameter Input'!$P$52</f>
        <v>0.9</v>
      </c>
      <c r="P15" s="55">
        <f>'Parameter Input'!$Q$52</f>
        <v>0.4</v>
      </c>
      <c r="Q15" s="4">
        <f t="shared" si="0"/>
        <v>0.9867978615748374</v>
      </c>
      <c r="R15" s="4">
        <f t="shared" si="0"/>
        <v>0.98114509762858249</v>
      </c>
      <c r="S15" s="4">
        <f t="shared" si="0"/>
        <v>0.97311898315872036</v>
      </c>
      <c r="T15" s="4">
        <f t="shared" si="0"/>
        <v>0.96177484161592774</v>
      </c>
      <c r="U15" s="4">
        <f t="shared" si="0"/>
        <v>0.94584787155511363</v>
      </c>
      <c r="V15" s="4">
        <f t="shared" si="0"/>
        <v>0.92370360150141495</v>
      </c>
      <c r="W15" s="4">
        <f t="shared" si="0"/>
        <v>0.89334463567658451</v>
      </c>
      <c r="X15" s="4">
        <f t="shared" si="0"/>
        <v>0.85254543874327005</v>
      </c>
      <c r="Y15" s="4">
        <f t="shared" si="0"/>
        <v>0.79921300652623883</v>
      </c>
      <c r="Z15" s="4">
        <f t="shared" si="0"/>
        <v>0.73204982249993378</v>
      </c>
      <c r="AA15" s="4">
        <f t="shared" si="0"/>
        <v>0.65145592958786691</v>
      </c>
      <c r="AB15" s="4">
        <f t="shared" si="0"/>
        <v>0.56032247880849573</v>
      </c>
      <c r="AC15" s="4">
        <f t="shared" si="0"/>
        <v>0.46411326873185343</v>
      </c>
      <c r="AD15" s="4">
        <f t="shared" si="0"/>
        <v>0.36979727595523937</v>
      </c>
      <c r="AE15" s="4">
        <f t="shared" si="0"/>
        <v>0.28393948637231203</v>
      </c>
      <c r="AF15" s="4">
        <f t="shared" si="0"/>
        <v>0.21097259161117732</v>
      </c>
      <c r="AG15" s="4">
        <f t="shared" si="0"/>
        <v>0.15253917653798199</v>
      </c>
      <c r="AH15" s="4">
        <f t="shared" si="0"/>
        <v>0.10795188737709993</v>
      </c>
      <c r="AI15" s="4">
        <f t="shared" si="0"/>
        <v>7.5176653938091809E-2</v>
      </c>
      <c r="AJ15" s="4">
        <f t="shared" si="0"/>
        <v>5.1742836177502194E-2</v>
      </c>
      <c r="AK15" s="4">
        <f t="shared" si="0"/>
        <v>3.5319190625345942E-2</v>
      </c>
      <c r="AL15" s="4">
        <f t="shared" si="0"/>
        <v>2.3969442072658165E-2</v>
      </c>
      <c r="AM15" s="4">
        <f t="shared" si="0"/>
        <v>1.6202243558389728E-2</v>
      </c>
      <c r="AN15" s="4">
        <f t="shared" si="0"/>
        <v>1.0922240564108399E-2</v>
      </c>
      <c r="AO15" s="4">
        <f t="shared" si="0"/>
        <v>7.3493212906090566E-3</v>
      </c>
      <c r="AP15" s="4">
        <f t="shared" si="0"/>
        <v>4.9390262185057265E-3</v>
      </c>
      <c r="AQ15" s="4">
        <f t="shared" si="0"/>
        <v>3.3164275492956197E-3</v>
      </c>
      <c r="AR15" s="4">
        <f t="shared" si="0"/>
        <v>2.2256362146679809E-3</v>
      </c>
    </row>
    <row r="16" spans="1:44" x14ac:dyDescent="0.25">
      <c r="A16" s="24" t="s">
        <v>37</v>
      </c>
      <c r="B16" s="43">
        <f>'Parameter Input'!B23</f>
        <v>70000</v>
      </c>
      <c r="C16" s="44">
        <f>'Parameter Input'!C23</f>
        <v>70000</v>
      </c>
      <c r="D16" s="1" t="s">
        <v>38</v>
      </c>
      <c r="L16" s="54">
        <f>'Parameter Input'!E23</f>
        <v>12</v>
      </c>
      <c r="M16" s="37">
        <v>0</v>
      </c>
      <c r="N16" s="37">
        <v>1</v>
      </c>
      <c r="O16" s="37">
        <f>'Parameter Input'!F23</f>
        <v>0.9</v>
      </c>
      <c r="P16" s="55">
        <f>'Parameter Input'!G23</f>
        <v>0.4</v>
      </c>
      <c r="Q16" s="4">
        <f t="shared" si="0"/>
        <v>0.9867978615748374</v>
      </c>
      <c r="R16" s="4">
        <f t="shared" si="0"/>
        <v>0.98114509762858249</v>
      </c>
      <c r="S16" s="4">
        <f t="shared" si="0"/>
        <v>0.97311898315872036</v>
      </c>
      <c r="T16" s="4">
        <f t="shared" si="0"/>
        <v>0.96177484161592774</v>
      </c>
      <c r="U16" s="4">
        <f t="shared" si="0"/>
        <v>0.94584787155511363</v>
      </c>
      <c r="V16" s="4">
        <f t="shared" si="0"/>
        <v>0.92370360150141495</v>
      </c>
      <c r="W16" s="4">
        <f t="shared" si="0"/>
        <v>0.89334463567658451</v>
      </c>
      <c r="X16" s="4">
        <f t="shared" si="0"/>
        <v>0.85254543874327005</v>
      </c>
      <c r="Y16" s="4">
        <f t="shared" si="0"/>
        <v>0.79921300652623883</v>
      </c>
      <c r="Z16" s="4">
        <f t="shared" si="0"/>
        <v>0.73204982249993378</v>
      </c>
      <c r="AA16" s="4">
        <f t="shared" si="0"/>
        <v>0.65145592958786691</v>
      </c>
      <c r="AB16" s="4">
        <f t="shared" si="0"/>
        <v>0.56032247880849573</v>
      </c>
      <c r="AC16" s="4">
        <f t="shared" si="0"/>
        <v>0.46411326873185343</v>
      </c>
      <c r="AD16" s="4">
        <f t="shared" si="0"/>
        <v>0.36979727595523937</v>
      </c>
      <c r="AE16" s="4">
        <f t="shared" si="0"/>
        <v>0.28393948637231203</v>
      </c>
      <c r="AF16" s="4">
        <f t="shared" si="0"/>
        <v>0.21097259161117732</v>
      </c>
      <c r="AG16" s="4">
        <f t="shared" si="0"/>
        <v>0.15253917653798199</v>
      </c>
      <c r="AH16" s="4">
        <f t="shared" si="0"/>
        <v>0.10795188737709993</v>
      </c>
      <c r="AI16" s="4">
        <f t="shared" si="0"/>
        <v>7.5176653938091809E-2</v>
      </c>
      <c r="AJ16" s="4">
        <f t="shared" si="0"/>
        <v>5.1742836177502194E-2</v>
      </c>
      <c r="AK16" s="4">
        <f t="shared" si="0"/>
        <v>3.5319190625345942E-2</v>
      </c>
      <c r="AL16" s="4">
        <f t="shared" si="0"/>
        <v>2.3969442072658165E-2</v>
      </c>
      <c r="AM16" s="4">
        <f t="shared" si="0"/>
        <v>1.6202243558389728E-2</v>
      </c>
      <c r="AN16" s="4">
        <f t="shared" si="0"/>
        <v>1.0922240564108399E-2</v>
      </c>
      <c r="AO16" s="4">
        <f t="shared" si="0"/>
        <v>7.3493212906090566E-3</v>
      </c>
      <c r="AP16" s="4">
        <f t="shared" si="0"/>
        <v>4.9390262185057265E-3</v>
      </c>
      <c r="AQ16" s="4">
        <f t="shared" si="0"/>
        <v>3.3164275492956197E-3</v>
      </c>
      <c r="AR16" s="4">
        <f t="shared" si="0"/>
        <v>2.2256362146679809E-3</v>
      </c>
    </row>
    <row r="17" spans="1:44" x14ac:dyDescent="0.25">
      <c r="A17" s="24" t="s">
        <v>52</v>
      </c>
      <c r="B17" s="43">
        <f>'Parameter Input'!$L$48</f>
        <v>26000</v>
      </c>
      <c r="C17" s="44">
        <f>'Parameter Input'!$M$48</f>
        <v>18000</v>
      </c>
      <c r="D17" s="1" t="s">
        <v>38</v>
      </c>
      <c r="L17" s="54">
        <f>'Parameter Input'!$O$48</f>
        <v>9</v>
      </c>
      <c r="M17" s="37">
        <v>0</v>
      </c>
      <c r="N17" s="37">
        <v>1</v>
      </c>
      <c r="O17" s="37">
        <f>'Parameter Input'!$P$48</f>
        <v>0.9</v>
      </c>
      <c r="P17" s="55">
        <f>'Parameter Input'!$Q$48</f>
        <v>0.4</v>
      </c>
      <c r="Q17" s="4">
        <f t="shared" si="0"/>
        <v>0.96177484161592774</v>
      </c>
      <c r="R17" s="4">
        <f t="shared" si="0"/>
        <v>0.94584787155511363</v>
      </c>
      <c r="S17" s="4">
        <f t="shared" si="0"/>
        <v>0.92370360150141495</v>
      </c>
      <c r="T17" s="4">
        <f t="shared" si="0"/>
        <v>0.89334463567658451</v>
      </c>
      <c r="U17" s="4">
        <f t="shared" si="0"/>
        <v>0.85254543874327005</v>
      </c>
      <c r="V17" s="4">
        <f t="shared" si="0"/>
        <v>0.79921300652623883</v>
      </c>
      <c r="W17" s="4">
        <f t="shared" si="0"/>
        <v>0.73204982249993378</v>
      </c>
      <c r="X17" s="4">
        <f t="shared" si="0"/>
        <v>0.65145592958786691</v>
      </c>
      <c r="Y17" s="4">
        <f t="shared" si="0"/>
        <v>0.56032247880849573</v>
      </c>
      <c r="Z17" s="4">
        <f t="shared" si="0"/>
        <v>0.46411326873185343</v>
      </c>
      <c r="AA17" s="4">
        <f t="shared" si="0"/>
        <v>0.36979727595523937</v>
      </c>
      <c r="AB17" s="4">
        <f t="shared" si="0"/>
        <v>0.28393948637231203</v>
      </c>
      <c r="AC17" s="4">
        <f t="shared" si="0"/>
        <v>0.21097259161117732</v>
      </c>
      <c r="AD17" s="4">
        <f t="shared" si="0"/>
        <v>0.15253917653798199</v>
      </c>
      <c r="AE17" s="4">
        <f t="shared" si="0"/>
        <v>0.10795188737709993</v>
      </c>
      <c r="AF17" s="4">
        <f t="shared" si="0"/>
        <v>7.5176653938091809E-2</v>
      </c>
      <c r="AG17" s="4">
        <f t="shared" si="0"/>
        <v>5.1742836177502194E-2</v>
      </c>
      <c r="AH17" s="4">
        <f t="shared" si="0"/>
        <v>3.5319190625345942E-2</v>
      </c>
      <c r="AI17" s="4">
        <f t="shared" si="0"/>
        <v>2.3969442072658165E-2</v>
      </c>
      <c r="AJ17" s="4">
        <f t="shared" si="0"/>
        <v>1.6202243558389728E-2</v>
      </c>
      <c r="AK17" s="4">
        <f t="shared" si="0"/>
        <v>1.0922240564108399E-2</v>
      </c>
      <c r="AL17" s="4">
        <f t="shared" si="0"/>
        <v>7.3493212906090566E-3</v>
      </c>
      <c r="AM17" s="4">
        <f t="shared" si="0"/>
        <v>4.9390262185057265E-3</v>
      </c>
      <c r="AN17" s="4">
        <f t="shared" si="0"/>
        <v>3.3164275492956197E-3</v>
      </c>
      <c r="AO17" s="4">
        <f t="shared" si="0"/>
        <v>2.2256362146679809E-3</v>
      </c>
      <c r="AP17" s="4">
        <f t="shared" si="0"/>
        <v>1.4930448704811861E-3</v>
      </c>
      <c r="AQ17" s="4">
        <f t="shared" si="0"/>
        <v>1.0013381504474506E-3</v>
      </c>
      <c r="AR17" s="4">
        <f t="shared" si="0"/>
        <v>6.7145100246257527E-4</v>
      </c>
    </row>
    <row r="18" spans="1:44" x14ac:dyDescent="0.25">
      <c r="A18" s="24" t="s">
        <v>272</v>
      </c>
      <c r="B18" s="45">
        <f>'Parameter Input'!B28</f>
        <v>0.11</v>
      </c>
      <c r="C18" s="46">
        <f>'Parameter Input'!C28</f>
        <v>0.11</v>
      </c>
      <c r="D18" s="1" t="s">
        <v>76</v>
      </c>
      <c r="L18" s="54">
        <f>'Parameter Input'!E28</f>
        <v>12</v>
      </c>
      <c r="M18" s="37">
        <v>0</v>
      </c>
      <c r="N18" s="37">
        <v>1</v>
      </c>
      <c r="O18" s="37">
        <f>'Parameter Input'!F28</f>
        <v>0.9</v>
      </c>
      <c r="P18" s="55">
        <f>'Parameter Input'!G28</f>
        <v>0.4</v>
      </c>
      <c r="Q18" s="4">
        <f t="shared" si="0"/>
        <v>0.9867978615748374</v>
      </c>
      <c r="R18" s="4">
        <f t="shared" si="0"/>
        <v>0.98114509762858249</v>
      </c>
      <c r="S18" s="4">
        <f t="shared" si="0"/>
        <v>0.97311898315872036</v>
      </c>
      <c r="T18" s="4">
        <f t="shared" si="0"/>
        <v>0.96177484161592774</v>
      </c>
      <c r="U18" s="4">
        <f t="shared" si="0"/>
        <v>0.94584787155511363</v>
      </c>
      <c r="V18" s="4">
        <f t="shared" si="0"/>
        <v>0.92370360150141495</v>
      </c>
      <c r="W18" s="4">
        <f t="shared" si="0"/>
        <v>0.89334463567658451</v>
      </c>
      <c r="X18" s="4">
        <f t="shared" si="0"/>
        <v>0.85254543874327005</v>
      </c>
      <c r="Y18" s="4">
        <f t="shared" si="0"/>
        <v>0.79921300652623883</v>
      </c>
      <c r="Z18" s="4">
        <f t="shared" si="0"/>
        <v>0.73204982249993378</v>
      </c>
      <c r="AA18" s="4">
        <f t="shared" si="0"/>
        <v>0.65145592958786691</v>
      </c>
      <c r="AB18" s="4">
        <f t="shared" si="0"/>
        <v>0.56032247880849573</v>
      </c>
      <c r="AC18" s="4">
        <f t="shared" si="0"/>
        <v>0.46411326873185343</v>
      </c>
      <c r="AD18" s="4">
        <f t="shared" si="0"/>
        <v>0.36979727595523937</v>
      </c>
      <c r="AE18" s="4">
        <f t="shared" si="0"/>
        <v>0.28393948637231203</v>
      </c>
      <c r="AF18" s="4">
        <f t="shared" si="0"/>
        <v>0.21097259161117732</v>
      </c>
      <c r="AG18" s="4">
        <f t="shared" si="0"/>
        <v>0.15253917653798199</v>
      </c>
      <c r="AH18" s="4">
        <f t="shared" si="0"/>
        <v>0.10795188737709993</v>
      </c>
      <c r="AI18" s="4">
        <f t="shared" si="0"/>
        <v>7.5176653938091809E-2</v>
      </c>
      <c r="AJ18" s="4">
        <f t="shared" si="0"/>
        <v>5.1742836177502194E-2</v>
      </c>
      <c r="AK18" s="4">
        <f t="shared" si="0"/>
        <v>3.5319190625345942E-2</v>
      </c>
      <c r="AL18" s="4">
        <f t="shared" si="0"/>
        <v>2.3969442072658165E-2</v>
      </c>
      <c r="AM18" s="4">
        <f t="shared" si="0"/>
        <v>1.6202243558389728E-2</v>
      </c>
      <c r="AN18" s="4">
        <f t="shared" si="0"/>
        <v>1.0922240564108399E-2</v>
      </c>
      <c r="AO18" s="4">
        <f t="shared" si="0"/>
        <v>7.3493212906090566E-3</v>
      </c>
      <c r="AP18" s="4">
        <f t="shared" si="0"/>
        <v>4.9390262185057265E-3</v>
      </c>
      <c r="AQ18" s="4">
        <f t="shared" si="0"/>
        <v>3.3164275492956197E-3</v>
      </c>
      <c r="AR18" s="4">
        <f t="shared" si="0"/>
        <v>2.2256362146679809E-3</v>
      </c>
    </row>
    <row r="19" spans="1:44" x14ac:dyDescent="0.25">
      <c r="A19" s="24" t="s">
        <v>59</v>
      </c>
      <c r="B19" s="47">
        <f>'Parameter Input'!$L$49</f>
        <v>2.5299999999999998</v>
      </c>
      <c r="C19" s="48">
        <f>'Parameter Input'!$M$49</f>
        <v>1.79</v>
      </c>
      <c r="D19" s="1" t="s">
        <v>60</v>
      </c>
      <c r="L19" s="54">
        <f>'Parameter Input'!$O$49</f>
        <v>9</v>
      </c>
      <c r="M19" s="37">
        <v>0</v>
      </c>
      <c r="N19" s="37">
        <v>1</v>
      </c>
      <c r="O19" s="37">
        <f>'Parameter Input'!$P$49</f>
        <v>0.9</v>
      </c>
      <c r="P19" s="55">
        <f>'Parameter Input'!$Q$49</f>
        <v>0.4</v>
      </c>
      <c r="Q19" s="4">
        <f t="shared" si="0"/>
        <v>0.96177484161592774</v>
      </c>
      <c r="R19" s="4">
        <f t="shared" si="0"/>
        <v>0.94584787155511363</v>
      </c>
      <c r="S19" s="4">
        <f t="shared" si="0"/>
        <v>0.92370360150141495</v>
      </c>
      <c r="T19" s="4">
        <f t="shared" si="0"/>
        <v>0.89334463567658451</v>
      </c>
      <c r="U19" s="4">
        <f t="shared" si="0"/>
        <v>0.85254543874327005</v>
      </c>
      <c r="V19" s="4">
        <f t="shared" si="0"/>
        <v>0.79921300652623883</v>
      </c>
      <c r="W19" s="4">
        <f t="shared" si="0"/>
        <v>0.73204982249993378</v>
      </c>
      <c r="X19" s="4">
        <f t="shared" si="0"/>
        <v>0.65145592958786691</v>
      </c>
      <c r="Y19" s="4">
        <f t="shared" si="0"/>
        <v>0.56032247880849573</v>
      </c>
      <c r="Z19" s="4">
        <f t="shared" si="0"/>
        <v>0.46411326873185343</v>
      </c>
      <c r="AA19" s="4">
        <f t="shared" si="0"/>
        <v>0.36979727595523937</v>
      </c>
      <c r="AB19" s="4">
        <f t="shared" si="0"/>
        <v>0.28393948637231203</v>
      </c>
      <c r="AC19" s="4">
        <f t="shared" si="0"/>
        <v>0.21097259161117732</v>
      </c>
      <c r="AD19" s="4">
        <f t="shared" si="0"/>
        <v>0.15253917653798199</v>
      </c>
      <c r="AE19" s="4">
        <f t="shared" si="0"/>
        <v>0.10795188737709993</v>
      </c>
      <c r="AF19" s="4">
        <f t="shared" si="0"/>
        <v>7.5176653938091809E-2</v>
      </c>
      <c r="AG19" s="4">
        <f t="shared" si="0"/>
        <v>5.1742836177502194E-2</v>
      </c>
      <c r="AH19" s="4">
        <f t="shared" si="0"/>
        <v>3.5319190625345942E-2</v>
      </c>
      <c r="AI19" s="4">
        <f t="shared" si="0"/>
        <v>2.3969442072658165E-2</v>
      </c>
      <c r="AJ19" s="4">
        <f t="shared" si="0"/>
        <v>1.6202243558389728E-2</v>
      </c>
      <c r="AK19" s="4">
        <f t="shared" si="0"/>
        <v>1.0922240564108399E-2</v>
      </c>
      <c r="AL19" s="4">
        <f t="shared" si="0"/>
        <v>7.3493212906090566E-3</v>
      </c>
      <c r="AM19" s="4">
        <f t="shared" si="0"/>
        <v>4.9390262185057265E-3</v>
      </c>
      <c r="AN19" s="4">
        <f t="shared" si="0"/>
        <v>3.3164275492956197E-3</v>
      </c>
      <c r="AO19" s="4">
        <f t="shared" si="0"/>
        <v>2.2256362146679809E-3</v>
      </c>
      <c r="AP19" s="4">
        <f t="shared" si="0"/>
        <v>1.4930448704811861E-3</v>
      </c>
      <c r="AQ19" s="4">
        <f t="shared" si="0"/>
        <v>1.0013381504474506E-3</v>
      </c>
      <c r="AR19" s="4">
        <f t="shared" si="0"/>
        <v>6.7145100246257527E-4</v>
      </c>
    </row>
    <row r="20" spans="1:44" x14ac:dyDescent="0.25">
      <c r="A20" s="24" t="s">
        <v>67</v>
      </c>
      <c r="B20" s="45">
        <f>'Parameter Input'!$L$50</f>
        <v>0.2544561408768215</v>
      </c>
      <c r="C20" s="46">
        <f>'Parameter Input'!$M$50</f>
        <v>0.10949010032952979</v>
      </c>
      <c r="D20" s="1" t="s">
        <v>68</v>
      </c>
      <c r="L20" s="54">
        <f>'Parameter Input'!$O$50</f>
        <v>12</v>
      </c>
      <c r="M20" s="37">
        <v>0</v>
      </c>
      <c r="N20" s="37">
        <v>1</v>
      </c>
      <c r="O20" s="37">
        <f>'Parameter Input'!$P$50</f>
        <v>0.9</v>
      </c>
      <c r="P20" s="55">
        <f>'Parameter Input'!$Q$50</f>
        <v>0.4</v>
      </c>
      <c r="Q20" s="4">
        <f t="shared" si="0"/>
        <v>0.9867978615748374</v>
      </c>
      <c r="R20" s="4">
        <f t="shared" si="0"/>
        <v>0.98114509762858249</v>
      </c>
      <c r="S20" s="4">
        <f t="shared" si="0"/>
        <v>0.97311898315872036</v>
      </c>
      <c r="T20" s="4">
        <f t="shared" ref="T20:AR27" si="1">$N20+($M20-$N20)*((1/(1+EXP(-$P20*(T$9-$L20)))^$O20))</f>
        <v>0.96177484161592774</v>
      </c>
      <c r="U20" s="4">
        <f t="shared" si="1"/>
        <v>0.94584787155511363</v>
      </c>
      <c r="V20" s="4">
        <f t="shared" si="1"/>
        <v>0.92370360150141495</v>
      </c>
      <c r="W20" s="4">
        <f t="shared" si="1"/>
        <v>0.89334463567658451</v>
      </c>
      <c r="X20" s="4">
        <f t="shared" si="1"/>
        <v>0.85254543874327005</v>
      </c>
      <c r="Y20" s="4">
        <f t="shared" si="1"/>
        <v>0.79921300652623883</v>
      </c>
      <c r="Z20" s="4">
        <f t="shared" si="1"/>
        <v>0.73204982249993378</v>
      </c>
      <c r="AA20" s="4">
        <f t="shared" si="1"/>
        <v>0.65145592958786691</v>
      </c>
      <c r="AB20" s="4">
        <f t="shared" si="1"/>
        <v>0.56032247880849573</v>
      </c>
      <c r="AC20" s="4">
        <f t="shared" si="1"/>
        <v>0.46411326873185343</v>
      </c>
      <c r="AD20" s="4">
        <f t="shared" si="1"/>
        <v>0.36979727595523937</v>
      </c>
      <c r="AE20" s="4">
        <f t="shared" si="1"/>
        <v>0.28393948637231203</v>
      </c>
      <c r="AF20" s="4">
        <f t="shared" si="1"/>
        <v>0.21097259161117732</v>
      </c>
      <c r="AG20" s="4">
        <f t="shared" si="1"/>
        <v>0.15253917653798199</v>
      </c>
      <c r="AH20" s="4">
        <f t="shared" si="1"/>
        <v>0.10795188737709993</v>
      </c>
      <c r="AI20" s="4">
        <f t="shared" si="1"/>
        <v>7.5176653938091809E-2</v>
      </c>
      <c r="AJ20" s="4">
        <f t="shared" si="1"/>
        <v>5.1742836177502194E-2</v>
      </c>
      <c r="AK20" s="4">
        <f t="shared" si="1"/>
        <v>3.5319190625345942E-2</v>
      </c>
      <c r="AL20" s="4">
        <f t="shared" si="1"/>
        <v>2.3969442072658165E-2</v>
      </c>
      <c r="AM20" s="4">
        <f t="shared" si="1"/>
        <v>1.6202243558389728E-2</v>
      </c>
      <c r="AN20" s="4">
        <f t="shared" si="1"/>
        <v>1.0922240564108399E-2</v>
      </c>
      <c r="AO20" s="4">
        <f t="shared" si="1"/>
        <v>7.3493212906090566E-3</v>
      </c>
      <c r="AP20" s="4">
        <f t="shared" si="1"/>
        <v>4.9390262185057265E-3</v>
      </c>
      <c r="AQ20" s="4">
        <f t="shared" si="1"/>
        <v>3.3164275492956197E-3</v>
      </c>
      <c r="AR20" s="4">
        <f t="shared" si="1"/>
        <v>2.2256362146679809E-3</v>
      </c>
    </row>
    <row r="21" spans="1:44" x14ac:dyDescent="0.25">
      <c r="A21" s="24" t="s">
        <v>206</v>
      </c>
      <c r="B21" s="115">
        <f>'Parameter Input'!$L$53</f>
        <v>9.1245901639344252E-3</v>
      </c>
      <c r="C21" s="116">
        <f>'Parameter Input'!$M$53</f>
        <v>0</v>
      </c>
      <c r="D21" s="1" t="s">
        <v>76</v>
      </c>
      <c r="L21" s="54">
        <f>'Parameter Input'!$O$53</f>
        <v>17</v>
      </c>
      <c r="M21" s="37">
        <v>0</v>
      </c>
      <c r="N21" s="37">
        <v>1</v>
      </c>
      <c r="O21" s="37">
        <f>'Parameter Input'!$P$53</f>
        <v>0.9</v>
      </c>
      <c r="P21" s="55">
        <f>'Parameter Input'!$Q$53</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41</v>
      </c>
      <c r="B22" s="43">
        <f>'Parameter Input'!$L$47</f>
        <v>8</v>
      </c>
      <c r="C22" s="44">
        <f>'Parameter Input'!$M$47</f>
        <v>8</v>
      </c>
      <c r="D22" s="1" t="s">
        <v>42</v>
      </c>
      <c r="L22" s="54">
        <f>'Parameter Input'!$O$47</f>
        <v>9</v>
      </c>
      <c r="M22" s="37">
        <v>0</v>
      </c>
      <c r="N22" s="37">
        <v>1</v>
      </c>
      <c r="O22" s="37">
        <f>'Parameter Input'!$P$47</f>
        <v>0.9</v>
      </c>
      <c r="P22" s="55">
        <f>'Parameter Input'!$Q$47</f>
        <v>0.4</v>
      </c>
      <c r="Q22" s="4">
        <f t="shared" ref="Q22:AF27" si="3">$N22+($M22-$N22)*((1/(1+EXP(-$P22*(Q$9-$L22)))^$O22))</f>
        <v>0.96177484161592774</v>
      </c>
      <c r="R22" s="4">
        <f t="shared" si="3"/>
        <v>0.94584787155511363</v>
      </c>
      <c r="S22" s="4">
        <f t="shared" si="3"/>
        <v>0.92370360150141495</v>
      </c>
      <c r="T22" s="4">
        <f t="shared" si="3"/>
        <v>0.89334463567658451</v>
      </c>
      <c r="U22" s="4">
        <f t="shared" si="3"/>
        <v>0.85254543874327005</v>
      </c>
      <c r="V22" s="4">
        <f t="shared" si="3"/>
        <v>0.79921300652623883</v>
      </c>
      <c r="W22" s="4">
        <f t="shared" si="3"/>
        <v>0.73204982249993378</v>
      </c>
      <c r="X22" s="4">
        <f t="shared" si="3"/>
        <v>0.65145592958786691</v>
      </c>
      <c r="Y22" s="4">
        <f t="shared" si="3"/>
        <v>0.56032247880849573</v>
      </c>
      <c r="Z22" s="4">
        <f t="shared" si="3"/>
        <v>0.46411326873185343</v>
      </c>
      <c r="AA22" s="4">
        <f t="shared" si="3"/>
        <v>0.36979727595523937</v>
      </c>
      <c r="AB22" s="4">
        <f t="shared" si="3"/>
        <v>0.28393948637231203</v>
      </c>
      <c r="AC22" s="4">
        <f t="shared" si="3"/>
        <v>0.21097259161117732</v>
      </c>
      <c r="AD22" s="4">
        <f t="shared" si="3"/>
        <v>0.15253917653798199</v>
      </c>
      <c r="AE22" s="4">
        <f t="shared" si="3"/>
        <v>0.10795188737709993</v>
      </c>
      <c r="AF22" s="4">
        <f t="shared" si="3"/>
        <v>7.5176653938091809E-2</v>
      </c>
      <c r="AG22" s="4">
        <f t="shared" si="1"/>
        <v>5.1742836177502194E-2</v>
      </c>
      <c r="AH22" s="4">
        <f t="shared" si="1"/>
        <v>3.5319190625345942E-2</v>
      </c>
      <c r="AI22" s="4">
        <f t="shared" si="1"/>
        <v>2.3969442072658165E-2</v>
      </c>
      <c r="AJ22" s="4">
        <f t="shared" si="1"/>
        <v>1.6202243558389728E-2</v>
      </c>
      <c r="AK22" s="4">
        <f t="shared" si="1"/>
        <v>1.0922240564108399E-2</v>
      </c>
      <c r="AL22" s="4">
        <f t="shared" si="1"/>
        <v>7.3493212906090566E-3</v>
      </c>
      <c r="AM22" s="4">
        <f t="shared" si="1"/>
        <v>4.9390262185057265E-3</v>
      </c>
      <c r="AN22" s="4">
        <f t="shared" si="1"/>
        <v>3.3164275492956197E-3</v>
      </c>
      <c r="AO22" s="4">
        <f t="shared" si="1"/>
        <v>2.2256362146679809E-3</v>
      </c>
      <c r="AP22" s="4">
        <f t="shared" si="1"/>
        <v>1.4930448704811861E-3</v>
      </c>
      <c r="AQ22" s="4">
        <f t="shared" si="1"/>
        <v>1.0013381504474506E-3</v>
      </c>
      <c r="AR22" s="4">
        <f t="shared" si="1"/>
        <v>6.7145100246257527E-4</v>
      </c>
    </row>
    <row r="23" spans="1:44" x14ac:dyDescent="0.25">
      <c r="A23" s="24" t="s">
        <v>70</v>
      </c>
      <c r="B23" s="43">
        <f>'Parameter Input'!B27</f>
        <v>10</v>
      </c>
      <c r="C23" s="44">
        <f>'Parameter Input'!C27</f>
        <v>10</v>
      </c>
      <c r="D23" s="1" t="s">
        <v>42</v>
      </c>
      <c r="L23" s="54">
        <f>'Parameter Input'!E27</f>
        <v>12</v>
      </c>
      <c r="M23" s="37">
        <v>0</v>
      </c>
      <c r="N23" s="37">
        <v>1</v>
      </c>
      <c r="O23" s="37">
        <f>'Parameter Input'!F27</f>
        <v>0.9</v>
      </c>
      <c r="P23" s="55">
        <f>'Parameter Input'!G27</f>
        <v>0.4</v>
      </c>
      <c r="Q23" s="4">
        <f t="shared" si="3"/>
        <v>0.9867978615748374</v>
      </c>
      <c r="R23" s="4">
        <f t="shared" si="3"/>
        <v>0.98114509762858249</v>
      </c>
      <c r="S23" s="4">
        <f t="shared" si="3"/>
        <v>0.97311898315872036</v>
      </c>
      <c r="T23" s="4">
        <f t="shared" si="3"/>
        <v>0.96177484161592774</v>
      </c>
      <c r="U23" s="4">
        <f t="shared" si="3"/>
        <v>0.94584787155511363</v>
      </c>
      <c r="V23" s="4">
        <f t="shared" si="3"/>
        <v>0.92370360150141495</v>
      </c>
      <c r="W23" s="4">
        <f t="shared" si="3"/>
        <v>0.89334463567658451</v>
      </c>
      <c r="X23" s="4">
        <f t="shared" si="3"/>
        <v>0.85254543874327005</v>
      </c>
      <c r="Y23" s="4">
        <f t="shared" si="3"/>
        <v>0.79921300652623883</v>
      </c>
      <c r="Z23" s="4">
        <f t="shared" si="3"/>
        <v>0.73204982249993378</v>
      </c>
      <c r="AA23" s="4">
        <f t="shared" si="3"/>
        <v>0.65145592958786691</v>
      </c>
      <c r="AB23" s="4">
        <f t="shared" si="3"/>
        <v>0.56032247880849573</v>
      </c>
      <c r="AC23" s="4">
        <f t="shared" si="3"/>
        <v>0.46411326873185343</v>
      </c>
      <c r="AD23" s="4">
        <f t="shared" si="3"/>
        <v>0.36979727595523937</v>
      </c>
      <c r="AE23" s="4">
        <f t="shared" si="3"/>
        <v>0.28393948637231203</v>
      </c>
      <c r="AF23" s="4">
        <f t="shared" si="3"/>
        <v>0.21097259161117732</v>
      </c>
      <c r="AG23" s="4">
        <f t="shared" si="1"/>
        <v>0.15253917653798199</v>
      </c>
      <c r="AH23" s="4">
        <f t="shared" si="1"/>
        <v>0.10795188737709993</v>
      </c>
      <c r="AI23" s="4">
        <f t="shared" si="1"/>
        <v>7.5176653938091809E-2</v>
      </c>
      <c r="AJ23" s="4">
        <f t="shared" si="1"/>
        <v>5.1742836177502194E-2</v>
      </c>
      <c r="AK23" s="4">
        <f t="shared" si="1"/>
        <v>3.5319190625345942E-2</v>
      </c>
      <c r="AL23" s="4">
        <f t="shared" si="1"/>
        <v>2.3969442072658165E-2</v>
      </c>
      <c r="AM23" s="4">
        <f t="shared" si="1"/>
        <v>1.6202243558389728E-2</v>
      </c>
      <c r="AN23" s="4">
        <f t="shared" si="1"/>
        <v>1.0922240564108399E-2</v>
      </c>
      <c r="AO23" s="4">
        <f t="shared" si="1"/>
        <v>7.3493212906090566E-3</v>
      </c>
      <c r="AP23" s="4">
        <f t="shared" si="1"/>
        <v>4.9390262185057265E-3</v>
      </c>
      <c r="AQ23" s="4">
        <f t="shared" si="1"/>
        <v>3.3164275492956197E-3</v>
      </c>
      <c r="AR23" s="4">
        <f t="shared" si="1"/>
        <v>2.2256362146679809E-3</v>
      </c>
    </row>
    <row r="24" spans="1:44" x14ac:dyDescent="0.25">
      <c r="A24" s="24" t="s">
        <v>207</v>
      </c>
      <c r="B24" s="70">
        <f>'Parameter Input'!B24</f>
        <v>25</v>
      </c>
      <c r="C24" s="71">
        <f>'Parameter Input'!C24</f>
        <v>25</v>
      </c>
      <c r="D24" s="1" t="s">
        <v>49</v>
      </c>
      <c r="L24" s="54">
        <f>'Parameter Input'!E24</f>
        <v>12</v>
      </c>
      <c r="M24" s="37">
        <v>0</v>
      </c>
      <c r="N24" s="37">
        <v>1</v>
      </c>
      <c r="O24" s="37">
        <f>'Parameter Input'!F24</f>
        <v>0.9</v>
      </c>
      <c r="P24" s="55">
        <f>'Parameter Input'!G24</f>
        <v>0.4</v>
      </c>
      <c r="Q24" s="4">
        <f t="shared" si="3"/>
        <v>0.9867978615748374</v>
      </c>
      <c r="R24" s="4">
        <f t="shared" si="3"/>
        <v>0.98114509762858249</v>
      </c>
      <c r="S24" s="4">
        <f t="shared" si="3"/>
        <v>0.97311898315872036</v>
      </c>
      <c r="T24" s="4">
        <f t="shared" si="3"/>
        <v>0.96177484161592774</v>
      </c>
      <c r="U24" s="4">
        <f t="shared" si="3"/>
        <v>0.94584787155511363</v>
      </c>
      <c r="V24" s="4">
        <f t="shared" si="3"/>
        <v>0.92370360150141495</v>
      </c>
      <c r="W24" s="4">
        <f t="shared" si="3"/>
        <v>0.89334463567658451</v>
      </c>
      <c r="X24" s="4">
        <f t="shared" si="3"/>
        <v>0.85254543874327005</v>
      </c>
      <c r="Y24" s="4">
        <f t="shared" si="3"/>
        <v>0.79921300652623883</v>
      </c>
      <c r="Z24" s="4">
        <f t="shared" si="3"/>
        <v>0.73204982249993378</v>
      </c>
      <c r="AA24" s="4">
        <f t="shared" si="3"/>
        <v>0.65145592958786691</v>
      </c>
      <c r="AB24" s="4">
        <f t="shared" si="3"/>
        <v>0.56032247880849573</v>
      </c>
      <c r="AC24" s="4">
        <f t="shared" si="3"/>
        <v>0.46411326873185343</v>
      </c>
      <c r="AD24" s="4">
        <f t="shared" si="3"/>
        <v>0.36979727595523937</v>
      </c>
      <c r="AE24" s="4">
        <f t="shared" si="3"/>
        <v>0.28393948637231203</v>
      </c>
      <c r="AF24" s="4">
        <f t="shared" si="3"/>
        <v>0.21097259161117732</v>
      </c>
      <c r="AG24" s="4">
        <f t="shared" si="1"/>
        <v>0.15253917653798199</v>
      </c>
      <c r="AH24" s="4">
        <f t="shared" si="1"/>
        <v>0.10795188737709993</v>
      </c>
      <c r="AI24" s="4">
        <f t="shared" si="1"/>
        <v>7.5176653938091809E-2</v>
      </c>
      <c r="AJ24" s="4">
        <f t="shared" si="1"/>
        <v>5.1742836177502194E-2</v>
      </c>
      <c r="AK24" s="4">
        <f t="shared" si="1"/>
        <v>3.5319190625345942E-2</v>
      </c>
      <c r="AL24" s="4">
        <f t="shared" si="1"/>
        <v>2.3969442072658165E-2</v>
      </c>
      <c r="AM24" s="4">
        <f t="shared" si="1"/>
        <v>1.6202243558389728E-2</v>
      </c>
      <c r="AN24" s="4">
        <f t="shared" si="1"/>
        <v>1.0922240564108399E-2</v>
      </c>
      <c r="AO24" s="4">
        <f t="shared" si="1"/>
        <v>7.3493212906090566E-3</v>
      </c>
      <c r="AP24" s="4">
        <f t="shared" si="1"/>
        <v>4.9390262185057265E-3</v>
      </c>
      <c r="AQ24" s="4">
        <f t="shared" si="1"/>
        <v>3.3164275492956197E-3</v>
      </c>
      <c r="AR24" s="4">
        <f t="shared" si="1"/>
        <v>2.2256362146679809E-3</v>
      </c>
    </row>
    <row r="25" spans="1:44" x14ac:dyDescent="0.25">
      <c r="A25" s="24" t="s">
        <v>56</v>
      </c>
      <c r="B25" s="72">
        <f>'Parameter Input'!B25</f>
        <v>0.55999999999999994</v>
      </c>
      <c r="C25" s="73">
        <f>'Parameter Input'!C25</f>
        <v>0.55999999999999994</v>
      </c>
      <c r="D25" s="1" t="s">
        <v>57</v>
      </c>
      <c r="L25" s="54">
        <f>'Parameter Input'!E25</f>
        <v>12</v>
      </c>
      <c r="M25" s="37">
        <v>0</v>
      </c>
      <c r="N25" s="37">
        <v>1</v>
      </c>
      <c r="O25" s="37">
        <f>'Parameter Input'!F25</f>
        <v>0.9</v>
      </c>
      <c r="P25" s="55">
        <f>'Parameter Input'!G25</f>
        <v>0.4</v>
      </c>
      <c r="Q25" s="4">
        <f t="shared" si="3"/>
        <v>0.9867978615748374</v>
      </c>
      <c r="R25" s="4">
        <f t="shared" si="3"/>
        <v>0.98114509762858249</v>
      </c>
      <c r="S25" s="4">
        <f t="shared" si="3"/>
        <v>0.97311898315872036</v>
      </c>
      <c r="T25" s="4">
        <f t="shared" si="3"/>
        <v>0.96177484161592774</v>
      </c>
      <c r="U25" s="4">
        <f t="shared" si="3"/>
        <v>0.94584787155511363</v>
      </c>
      <c r="V25" s="4">
        <f t="shared" si="3"/>
        <v>0.92370360150141495</v>
      </c>
      <c r="W25" s="4">
        <f t="shared" si="3"/>
        <v>0.89334463567658451</v>
      </c>
      <c r="X25" s="4">
        <f t="shared" si="3"/>
        <v>0.85254543874327005</v>
      </c>
      <c r="Y25" s="4">
        <f t="shared" si="3"/>
        <v>0.79921300652623883</v>
      </c>
      <c r="Z25" s="4">
        <f t="shared" si="3"/>
        <v>0.73204982249993378</v>
      </c>
      <c r="AA25" s="4">
        <f t="shared" si="3"/>
        <v>0.65145592958786691</v>
      </c>
      <c r="AB25" s="4">
        <f t="shared" si="3"/>
        <v>0.56032247880849573</v>
      </c>
      <c r="AC25" s="4">
        <f t="shared" si="3"/>
        <v>0.46411326873185343</v>
      </c>
      <c r="AD25" s="4">
        <f t="shared" si="3"/>
        <v>0.36979727595523937</v>
      </c>
      <c r="AE25" s="4">
        <f t="shared" si="3"/>
        <v>0.28393948637231203</v>
      </c>
      <c r="AF25" s="4">
        <f t="shared" si="3"/>
        <v>0.21097259161117732</v>
      </c>
      <c r="AG25" s="4">
        <f t="shared" si="1"/>
        <v>0.15253917653798199</v>
      </c>
      <c r="AH25" s="4">
        <f t="shared" si="1"/>
        <v>0.10795188737709993</v>
      </c>
      <c r="AI25" s="4">
        <f t="shared" si="1"/>
        <v>7.5176653938091809E-2</v>
      </c>
      <c r="AJ25" s="4">
        <f t="shared" si="1"/>
        <v>5.1742836177502194E-2</v>
      </c>
      <c r="AK25" s="4">
        <f t="shared" si="1"/>
        <v>3.5319190625345942E-2</v>
      </c>
      <c r="AL25" s="4">
        <f t="shared" si="1"/>
        <v>2.3969442072658165E-2</v>
      </c>
      <c r="AM25" s="4">
        <f t="shared" si="1"/>
        <v>1.6202243558389728E-2</v>
      </c>
      <c r="AN25" s="4">
        <f t="shared" si="1"/>
        <v>1.0922240564108399E-2</v>
      </c>
      <c r="AO25" s="4">
        <f t="shared" si="1"/>
        <v>7.3493212906090566E-3</v>
      </c>
      <c r="AP25" s="4">
        <f t="shared" si="1"/>
        <v>4.9390262185057265E-3</v>
      </c>
      <c r="AQ25" s="4">
        <f t="shared" si="1"/>
        <v>3.3164275492956197E-3</v>
      </c>
      <c r="AR25" s="4">
        <f t="shared" si="1"/>
        <v>2.2256362146679809E-3</v>
      </c>
    </row>
    <row r="26" spans="1:44" x14ac:dyDescent="0.25">
      <c r="A26" s="24" t="s">
        <v>73</v>
      </c>
      <c r="B26" s="72">
        <f>'Parameter Input'!$L$51</f>
        <v>0.05</v>
      </c>
      <c r="C26" s="73">
        <f>'Parameter Input'!$M$51</f>
        <v>0.02</v>
      </c>
      <c r="D26" s="1" t="s">
        <v>57</v>
      </c>
      <c r="L26" s="54">
        <f>'Parameter Input'!$O$51</f>
        <v>12</v>
      </c>
      <c r="M26" s="37">
        <v>0</v>
      </c>
      <c r="N26" s="37">
        <v>1</v>
      </c>
      <c r="O26" s="37">
        <f>'Parameter Input'!$P$51</f>
        <v>0.9</v>
      </c>
      <c r="P26" s="55">
        <f>'Parameter Input'!$Q$51</f>
        <v>0.4</v>
      </c>
      <c r="Q26" s="4">
        <f t="shared" si="3"/>
        <v>0.9867978615748374</v>
      </c>
      <c r="R26" s="4">
        <f t="shared" si="3"/>
        <v>0.98114509762858249</v>
      </c>
      <c r="S26" s="4">
        <f t="shared" si="3"/>
        <v>0.97311898315872036</v>
      </c>
      <c r="T26" s="4">
        <f t="shared" si="3"/>
        <v>0.96177484161592774</v>
      </c>
      <c r="U26" s="4">
        <f t="shared" si="3"/>
        <v>0.94584787155511363</v>
      </c>
      <c r="V26" s="4">
        <f t="shared" si="3"/>
        <v>0.92370360150141495</v>
      </c>
      <c r="W26" s="4">
        <f t="shared" si="3"/>
        <v>0.89334463567658451</v>
      </c>
      <c r="X26" s="4">
        <f t="shared" si="3"/>
        <v>0.85254543874327005</v>
      </c>
      <c r="Y26" s="4">
        <f t="shared" si="3"/>
        <v>0.79921300652623883</v>
      </c>
      <c r="Z26" s="4">
        <f t="shared" si="3"/>
        <v>0.73204982249993378</v>
      </c>
      <c r="AA26" s="4">
        <f t="shared" si="3"/>
        <v>0.65145592958786691</v>
      </c>
      <c r="AB26" s="4">
        <f t="shared" si="3"/>
        <v>0.56032247880849573</v>
      </c>
      <c r="AC26" s="4">
        <f t="shared" si="3"/>
        <v>0.46411326873185343</v>
      </c>
      <c r="AD26" s="4">
        <f t="shared" si="3"/>
        <v>0.36979727595523937</v>
      </c>
      <c r="AE26" s="4">
        <f t="shared" si="3"/>
        <v>0.28393948637231203</v>
      </c>
      <c r="AF26" s="4">
        <f t="shared" si="3"/>
        <v>0.21097259161117732</v>
      </c>
      <c r="AG26" s="4">
        <f t="shared" si="1"/>
        <v>0.15253917653798199</v>
      </c>
      <c r="AH26" s="4">
        <f t="shared" si="1"/>
        <v>0.10795188737709993</v>
      </c>
      <c r="AI26" s="4">
        <f t="shared" si="1"/>
        <v>7.5176653938091809E-2</v>
      </c>
      <c r="AJ26" s="4">
        <f t="shared" si="1"/>
        <v>5.1742836177502194E-2</v>
      </c>
      <c r="AK26" s="4">
        <f t="shared" si="1"/>
        <v>3.5319190625345942E-2</v>
      </c>
      <c r="AL26" s="4">
        <f t="shared" si="1"/>
        <v>2.3969442072658165E-2</v>
      </c>
      <c r="AM26" s="4">
        <f t="shared" si="1"/>
        <v>1.6202243558389728E-2</v>
      </c>
      <c r="AN26" s="4">
        <f t="shared" si="1"/>
        <v>1.0922240564108399E-2</v>
      </c>
      <c r="AO26" s="4">
        <f t="shared" si="1"/>
        <v>7.3493212906090566E-3</v>
      </c>
      <c r="AP26" s="4">
        <f t="shared" si="1"/>
        <v>4.9390262185057265E-3</v>
      </c>
      <c r="AQ26" s="4">
        <f t="shared" si="1"/>
        <v>3.3164275492956197E-3</v>
      </c>
      <c r="AR26" s="4">
        <f t="shared" si="1"/>
        <v>2.2256362146679809E-3</v>
      </c>
    </row>
    <row r="27" spans="1:44" ht="15.75" thickBot="1" x14ac:dyDescent="0.3">
      <c r="A27" s="24" t="s">
        <v>64</v>
      </c>
      <c r="B27" s="74">
        <f>'Parameter Input'!B26</f>
        <v>55000</v>
      </c>
      <c r="C27" s="75">
        <f>'Parameter Input'!C26</f>
        <v>55000</v>
      </c>
      <c r="D27" s="1" t="s">
        <v>65</v>
      </c>
      <c r="L27" s="56">
        <f>'Parameter Input'!E26</f>
        <v>12</v>
      </c>
      <c r="M27" s="57">
        <v>0</v>
      </c>
      <c r="N27" s="57">
        <v>1</v>
      </c>
      <c r="O27" s="57">
        <f>'Parameter Input'!F26</f>
        <v>0.9</v>
      </c>
      <c r="P27" s="58">
        <f>'Parameter Input'!G26</f>
        <v>0.4</v>
      </c>
      <c r="Q27" s="4">
        <f t="shared" si="3"/>
        <v>0.9867978615748374</v>
      </c>
      <c r="R27" s="4">
        <f t="shared" si="3"/>
        <v>0.98114509762858249</v>
      </c>
      <c r="S27" s="4">
        <f t="shared" si="3"/>
        <v>0.97311898315872036</v>
      </c>
      <c r="T27" s="4">
        <f t="shared" si="3"/>
        <v>0.96177484161592774</v>
      </c>
      <c r="U27" s="4">
        <f t="shared" si="3"/>
        <v>0.94584787155511363</v>
      </c>
      <c r="V27" s="4">
        <f t="shared" si="3"/>
        <v>0.92370360150141495</v>
      </c>
      <c r="W27" s="4">
        <f t="shared" si="3"/>
        <v>0.89334463567658451</v>
      </c>
      <c r="X27" s="4">
        <f t="shared" si="3"/>
        <v>0.85254543874327005</v>
      </c>
      <c r="Y27" s="4">
        <f t="shared" si="3"/>
        <v>0.79921300652623883</v>
      </c>
      <c r="Z27" s="4">
        <f t="shared" si="3"/>
        <v>0.73204982249993378</v>
      </c>
      <c r="AA27" s="4">
        <f t="shared" si="3"/>
        <v>0.65145592958786691</v>
      </c>
      <c r="AB27" s="4">
        <f t="shared" si="3"/>
        <v>0.56032247880849573</v>
      </c>
      <c r="AC27" s="4">
        <f t="shared" si="3"/>
        <v>0.46411326873185343</v>
      </c>
      <c r="AD27" s="4">
        <f t="shared" si="3"/>
        <v>0.36979727595523937</v>
      </c>
      <c r="AE27" s="4">
        <f t="shared" si="3"/>
        <v>0.28393948637231203</v>
      </c>
      <c r="AF27" s="4">
        <f t="shared" si="3"/>
        <v>0.21097259161117732</v>
      </c>
      <c r="AG27" s="4">
        <f t="shared" si="1"/>
        <v>0.15253917653798199</v>
      </c>
      <c r="AH27" s="4">
        <f t="shared" si="1"/>
        <v>0.10795188737709993</v>
      </c>
      <c r="AI27" s="4">
        <f t="shared" si="1"/>
        <v>7.5176653938091809E-2</v>
      </c>
      <c r="AJ27" s="4">
        <f t="shared" si="1"/>
        <v>5.1742836177502194E-2</v>
      </c>
      <c r="AK27" s="4">
        <f t="shared" si="1"/>
        <v>3.5319190625345942E-2</v>
      </c>
      <c r="AL27" s="4">
        <f t="shared" si="1"/>
        <v>2.3969442072658165E-2</v>
      </c>
      <c r="AM27" s="4">
        <f t="shared" si="1"/>
        <v>1.6202243558389728E-2</v>
      </c>
      <c r="AN27" s="4">
        <f t="shared" si="1"/>
        <v>1.0922240564108399E-2</v>
      </c>
      <c r="AO27" s="4">
        <f t="shared" si="1"/>
        <v>7.3493212906090566E-3</v>
      </c>
      <c r="AP27" s="4">
        <f t="shared" si="1"/>
        <v>4.9390262185057265E-3</v>
      </c>
      <c r="AQ27" s="4">
        <f t="shared" si="1"/>
        <v>3.3164275492956197E-3</v>
      </c>
      <c r="AR27" s="4">
        <f t="shared" si="1"/>
        <v>2.2256362146679809E-3</v>
      </c>
    </row>
    <row r="28" spans="1:44" x14ac:dyDescent="0.25">
      <c r="A28" s="25"/>
      <c r="B28" s="40"/>
    </row>
    <row r="29" spans="1:44" ht="15.75" thickBot="1" x14ac:dyDescent="0.3"/>
    <row r="30" spans="1:44"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0" si="4">A11</f>
        <v>Capex vehicle</v>
      </c>
      <c r="B31" s="62">
        <f t="shared" ref="B31:B39" si="5">$B11+($C11-$B11)*(1-Q11)</f>
        <v>381017.08777974301</v>
      </c>
      <c r="C31" s="62">
        <f t="shared" ref="C31:C39" si="6">$B11+($C11-$B11)*(1-R11)</f>
        <v>377274.24981545168</v>
      </c>
      <c r="D31" s="62">
        <f t="shared" ref="D31:D39" si="7">$B11+($C11-$B11)*(1-S11)</f>
        <v>372070.34635283251</v>
      </c>
      <c r="E31" s="62">
        <f t="shared" ref="E31:E39" si="8">$B11+($C11-$B11)*(1-T11)</f>
        <v>364935.98938399734</v>
      </c>
      <c r="F31" s="62">
        <f t="shared" ref="F31:F39" si="9">$B11+($C11-$B11)*(1-U11)</f>
        <v>355348.17810466845</v>
      </c>
      <c r="G31" s="62">
        <f t="shared" ref="G31:G39" si="10">$B11+($C11-$B11)*(1-V11)</f>
        <v>342815.05653366609</v>
      </c>
      <c r="H31" s="62">
        <f t="shared" ref="H31:H39" si="11">$B11+($C11-$B11)*(1-W11)</f>
        <v>327031.70828748442</v>
      </c>
      <c r="I31" s="62">
        <f t="shared" ref="I31:I39" si="12">$B11+($C11-$B11)*(1-X11)</f>
        <v>308092.14345314872</v>
      </c>
      <c r="J31" s="62">
        <f t="shared" ref="J31:J39" si="13">$B11+($C11-$B11)*(1-Y11)</f>
        <v>286675.78251999652</v>
      </c>
      <c r="K31" s="62">
        <f t="shared" ref="K31:K39" si="14">$B11+($C11-$B11)*(1-Z11)</f>
        <v>264066.61815198557</v>
      </c>
      <c r="L31" s="62">
        <f t="shared" ref="L31:L39" si="15">$B11+($C11-$B11)*(1-AA11)</f>
        <v>241902.35984948126</v>
      </c>
      <c r="M31" s="62">
        <f t="shared" ref="M31:M39" si="16">$B11+($C11-$B11)*(1-AB11)</f>
        <v>221725.77929749334</v>
      </c>
      <c r="N31" s="62">
        <f t="shared" ref="N31:N39" si="17">$B11+($C11-$B11)*(1-AC11)</f>
        <v>204578.55902862668</v>
      </c>
      <c r="O31" s="62">
        <f t="shared" ref="O31:O39" si="18">$B11+($C11-$B11)*(1-AD11)</f>
        <v>190846.70648642577</v>
      </c>
      <c r="P31" s="62">
        <f t="shared" ref="P31:P39" si="19">$B11+($C11-$B11)*(1-AE11)</f>
        <v>180368.6935336185</v>
      </c>
      <c r="Q31" s="62">
        <f t="shared" ref="Q31:Q39" si="20">$B11+($C11-$B11)*(1-AF11)</f>
        <v>172666.51367545157</v>
      </c>
      <c r="R31" s="62">
        <f t="shared" ref="R31:R39" si="21">$B11+($C11-$B11)*(1-AG11)</f>
        <v>167159.56650171301</v>
      </c>
      <c r="S31" s="62">
        <f t="shared" ref="S31:S39" si="22">$B11+($C11-$B11)*(1-AH11)</f>
        <v>163300.00979695629</v>
      </c>
      <c r="T31" s="62">
        <f t="shared" ref="T31:T39" si="23">$B11+($C11-$B11)*(1-AI11)</f>
        <v>160632.81888707468</v>
      </c>
      <c r="U31" s="62">
        <f t="shared" ref="U31:U39" si="24">$B11+($C11-$B11)*(1-AJ11)</f>
        <v>158807.52723622159</v>
      </c>
      <c r="V31" s="62">
        <f t="shared" ref="V31:V39" si="25">$B11+($C11-$B11)*(1-AK11)</f>
        <v>157566.72653256549</v>
      </c>
      <c r="W31" s="62">
        <f t="shared" ref="W31:W39" si="26">$B11+($C11-$B11)*(1-AL11)</f>
        <v>156727.09050329312</v>
      </c>
      <c r="X31" s="62">
        <f t="shared" ref="X31:X39" si="27">$B11+($C11-$B11)*(1-AM11)</f>
        <v>156160.67116134884</v>
      </c>
      <c r="Y31" s="62">
        <f t="shared" ref="Y31:Y39" si="28">$B11+($C11-$B11)*(1-AN11)</f>
        <v>155779.36047408447</v>
      </c>
      <c r="Z31" s="62">
        <f t="shared" ref="Z31:Z39" si="29">$B11+($C11-$B11)*(1-AO11)</f>
        <v>155523.02451044696</v>
      </c>
      <c r="AA31" s="62">
        <f t="shared" ref="AA31:AA39" si="30">$B11+($C11-$B11)*(1-AP11)</f>
        <v>155350.86554456307</v>
      </c>
      <c r="AB31" s="62">
        <f t="shared" ref="AB31:AB39" si="31">$B11+($C11-$B11)*(1-AQ11)</f>
        <v>155235.31446535516</v>
      </c>
      <c r="AC31" s="62">
        <f t="shared" ref="AC31:AC39" si="32">$B11+($C11-$B11)*(1-AR11)</f>
        <v>155157.7909855787</v>
      </c>
    </row>
    <row r="32" spans="1:44" x14ac:dyDescent="0.25">
      <c r="A32" s="30" t="str">
        <f t="shared" si="4"/>
        <v>Residual value (vehicle)</v>
      </c>
      <c r="B32" s="62">
        <f t="shared" si="5"/>
        <v>-57745.053121914571</v>
      </c>
      <c r="C32" s="62">
        <f t="shared" si="6"/>
        <v>-57430.49546321349</v>
      </c>
      <c r="D32" s="62">
        <f t="shared" si="7"/>
        <v>-56993.146129652945</v>
      </c>
      <c r="E32" s="62">
        <f t="shared" si="8"/>
        <v>-56393.556554612544</v>
      </c>
      <c r="F32" s="62">
        <f t="shared" si="9"/>
        <v>-55587.772415179585</v>
      </c>
      <c r="G32" s="62">
        <f t="shared" si="10"/>
        <v>-54534.456878893216</v>
      </c>
      <c r="H32" s="62">
        <f t="shared" si="11"/>
        <v>-53207.983994373695</v>
      </c>
      <c r="I32" s="62">
        <f t="shared" si="12"/>
        <v>-51616.254609360374</v>
      </c>
      <c r="J32" s="62">
        <f t="shared" si="13"/>
        <v>-49816.368956467792</v>
      </c>
      <c r="K32" s="62">
        <f t="shared" si="14"/>
        <v>-47916.237057454106</v>
      </c>
      <c r="L32" s="62">
        <f t="shared" si="15"/>
        <v>-46053.49620011598</v>
      </c>
      <c r="M32" s="62">
        <f t="shared" si="16"/>
        <v>-44357.804855853159</v>
      </c>
      <c r="N32" s="62">
        <f t="shared" si="17"/>
        <v>-42916.708684320751</v>
      </c>
      <c r="O32" s="62">
        <f t="shared" si="18"/>
        <v>-41762.648736625146</v>
      </c>
      <c r="P32" s="62">
        <f t="shared" si="19"/>
        <v>-40882.049775697727</v>
      </c>
      <c r="Q32" s="62">
        <f t="shared" si="20"/>
        <v>-40234.73891527731</v>
      </c>
      <c r="R32" s="62">
        <f t="shared" si="21"/>
        <v>-39771.921014505671</v>
      </c>
      <c r="S32" s="62">
        <f t="shared" si="22"/>
        <v>-39447.554014850582</v>
      </c>
      <c r="T32" s="62">
        <f t="shared" si="23"/>
        <v>-39223.396480935</v>
      </c>
      <c r="U32" s="62">
        <f t="shared" si="24"/>
        <v>-39069.994310278198</v>
      </c>
      <c r="V32" s="62">
        <f t="shared" si="25"/>
        <v>-38965.714251141137</v>
      </c>
      <c r="W32" s="62">
        <f t="shared" si="26"/>
        <v>-38895.149095489527</v>
      </c>
      <c r="X32" s="62">
        <f t="shared" si="27"/>
        <v>-38847.545767815493</v>
      </c>
      <c r="Y32" s="62">
        <f t="shared" si="28"/>
        <v>-38815.49944409859</v>
      </c>
      <c r="Z32" s="62">
        <f t="shared" si="29"/>
        <v>-38793.956315239688</v>
      </c>
      <c r="AA32" s="62">
        <f t="shared" si="30"/>
        <v>-38779.487636192003</v>
      </c>
      <c r="AB32" s="62">
        <f t="shared" si="31"/>
        <v>-38769.776428471334</v>
      </c>
      <c r="AC32" s="62">
        <f t="shared" si="32"/>
        <v>-38763.261157298635</v>
      </c>
    </row>
    <row r="33" spans="1:29" x14ac:dyDescent="0.25">
      <c r="A33" s="30" t="str">
        <f t="shared" si="4"/>
        <v>Capex costumization</v>
      </c>
      <c r="B33" s="62">
        <f t="shared" si="5"/>
        <v>40000</v>
      </c>
      <c r="C33" s="62">
        <f t="shared" si="6"/>
        <v>40000</v>
      </c>
      <c r="D33" s="62">
        <f t="shared" si="7"/>
        <v>40000</v>
      </c>
      <c r="E33" s="62">
        <f t="shared" si="8"/>
        <v>40000</v>
      </c>
      <c r="F33" s="62">
        <f t="shared" si="9"/>
        <v>40000</v>
      </c>
      <c r="G33" s="62">
        <f t="shared" si="10"/>
        <v>40000</v>
      </c>
      <c r="H33" s="62">
        <f t="shared" si="11"/>
        <v>40000</v>
      </c>
      <c r="I33" s="62">
        <f t="shared" si="12"/>
        <v>40000</v>
      </c>
      <c r="J33" s="62">
        <f t="shared" si="13"/>
        <v>40000</v>
      </c>
      <c r="K33" s="62">
        <f t="shared" si="14"/>
        <v>40000</v>
      </c>
      <c r="L33" s="62">
        <f t="shared" si="15"/>
        <v>40000</v>
      </c>
      <c r="M33" s="62">
        <f t="shared" si="16"/>
        <v>40000</v>
      </c>
      <c r="N33" s="62">
        <f t="shared" si="17"/>
        <v>40000</v>
      </c>
      <c r="O33" s="62">
        <f t="shared" si="18"/>
        <v>40000</v>
      </c>
      <c r="P33" s="62">
        <f t="shared" si="19"/>
        <v>40000</v>
      </c>
      <c r="Q33" s="62">
        <f t="shared" si="20"/>
        <v>40000</v>
      </c>
      <c r="R33" s="62">
        <f t="shared" si="21"/>
        <v>40000</v>
      </c>
      <c r="S33" s="62">
        <f t="shared" si="22"/>
        <v>40000</v>
      </c>
      <c r="T33" s="62">
        <f t="shared" si="23"/>
        <v>40000</v>
      </c>
      <c r="U33" s="62">
        <f t="shared" si="24"/>
        <v>40000</v>
      </c>
      <c r="V33" s="62">
        <f t="shared" si="25"/>
        <v>40000</v>
      </c>
      <c r="W33" s="62">
        <f t="shared" si="26"/>
        <v>40000</v>
      </c>
      <c r="X33" s="62">
        <f t="shared" si="27"/>
        <v>40000</v>
      </c>
      <c r="Y33" s="62">
        <f t="shared" si="28"/>
        <v>40000</v>
      </c>
      <c r="Z33" s="62">
        <f t="shared" si="29"/>
        <v>40000</v>
      </c>
      <c r="AA33" s="62">
        <f t="shared" si="30"/>
        <v>40000</v>
      </c>
      <c r="AB33" s="62">
        <f t="shared" si="31"/>
        <v>40000</v>
      </c>
      <c r="AC33" s="62">
        <f t="shared" si="32"/>
        <v>40000</v>
      </c>
    </row>
    <row r="34" spans="1:29" x14ac:dyDescent="0.25">
      <c r="A34" s="30" t="str">
        <f t="shared" si="4"/>
        <v>Residual value (costumization)</v>
      </c>
      <c r="B34" s="62">
        <f t="shared" si="5"/>
        <v>-10000</v>
      </c>
      <c r="C34" s="62">
        <f t="shared" si="6"/>
        <v>-10000</v>
      </c>
      <c r="D34" s="62">
        <f t="shared" si="7"/>
        <v>-10000</v>
      </c>
      <c r="E34" s="62">
        <f t="shared" si="8"/>
        <v>-10000</v>
      </c>
      <c r="F34" s="62">
        <f t="shared" si="9"/>
        <v>-10000</v>
      </c>
      <c r="G34" s="62">
        <f t="shared" si="10"/>
        <v>-10000</v>
      </c>
      <c r="H34" s="62">
        <f t="shared" si="11"/>
        <v>-10000</v>
      </c>
      <c r="I34" s="62">
        <f t="shared" si="12"/>
        <v>-10000</v>
      </c>
      <c r="J34" s="62">
        <f t="shared" si="13"/>
        <v>-10000</v>
      </c>
      <c r="K34" s="62">
        <f t="shared" si="14"/>
        <v>-10000</v>
      </c>
      <c r="L34" s="62">
        <f t="shared" si="15"/>
        <v>-10000</v>
      </c>
      <c r="M34" s="62">
        <f t="shared" si="16"/>
        <v>-10000</v>
      </c>
      <c r="N34" s="62">
        <f t="shared" si="17"/>
        <v>-10000</v>
      </c>
      <c r="O34" s="62">
        <f t="shared" si="18"/>
        <v>-10000</v>
      </c>
      <c r="P34" s="62">
        <f t="shared" si="19"/>
        <v>-10000</v>
      </c>
      <c r="Q34" s="62">
        <f t="shared" si="20"/>
        <v>-10000</v>
      </c>
      <c r="R34" s="62">
        <f t="shared" si="21"/>
        <v>-10000</v>
      </c>
      <c r="S34" s="62">
        <f t="shared" si="22"/>
        <v>-10000</v>
      </c>
      <c r="T34" s="62">
        <f t="shared" si="23"/>
        <v>-10000</v>
      </c>
      <c r="U34" s="62">
        <f t="shared" si="24"/>
        <v>-10000</v>
      </c>
      <c r="V34" s="62">
        <f t="shared" si="25"/>
        <v>-10000</v>
      </c>
      <c r="W34" s="62">
        <f t="shared" si="26"/>
        <v>-10000</v>
      </c>
      <c r="X34" s="62">
        <f t="shared" si="27"/>
        <v>-10000</v>
      </c>
      <c r="Y34" s="62">
        <f t="shared" si="28"/>
        <v>-10000</v>
      </c>
      <c r="Z34" s="62">
        <f t="shared" si="29"/>
        <v>-10000</v>
      </c>
      <c r="AA34" s="62">
        <f t="shared" si="30"/>
        <v>-10000</v>
      </c>
      <c r="AB34" s="62">
        <f t="shared" si="31"/>
        <v>-10000</v>
      </c>
      <c r="AC34" s="62">
        <f t="shared" si="32"/>
        <v>-10000</v>
      </c>
    </row>
    <row r="35" spans="1:29" x14ac:dyDescent="0.25">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25">
      <c r="A36" s="30" t="str">
        <f t="shared" si="4"/>
        <v>Opex fix (admin, crew, insurance)</v>
      </c>
      <c r="B36" s="62">
        <f t="shared" si="5"/>
        <v>70000</v>
      </c>
      <c r="C36" s="62">
        <f t="shared" si="6"/>
        <v>70000</v>
      </c>
      <c r="D36" s="62">
        <f t="shared" si="7"/>
        <v>70000</v>
      </c>
      <c r="E36" s="62">
        <f t="shared" si="8"/>
        <v>70000</v>
      </c>
      <c r="F36" s="62">
        <f t="shared" si="9"/>
        <v>70000</v>
      </c>
      <c r="G36" s="62">
        <f t="shared" si="10"/>
        <v>70000</v>
      </c>
      <c r="H36" s="62">
        <f t="shared" si="11"/>
        <v>70000</v>
      </c>
      <c r="I36" s="62">
        <f t="shared" si="12"/>
        <v>70000</v>
      </c>
      <c r="J36" s="62">
        <f t="shared" si="13"/>
        <v>70000</v>
      </c>
      <c r="K36" s="62">
        <f t="shared" si="14"/>
        <v>70000</v>
      </c>
      <c r="L36" s="62">
        <f t="shared" si="15"/>
        <v>70000</v>
      </c>
      <c r="M36" s="62">
        <f t="shared" si="16"/>
        <v>70000</v>
      </c>
      <c r="N36" s="62">
        <f t="shared" si="17"/>
        <v>70000</v>
      </c>
      <c r="O36" s="62">
        <f t="shared" si="18"/>
        <v>70000</v>
      </c>
      <c r="P36" s="62">
        <f t="shared" si="19"/>
        <v>70000</v>
      </c>
      <c r="Q36" s="62">
        <f t="shared" si="20"/>
        <v>70000</v>
      </c>
      <c r="R36" s="62">
        <f t="shared" si="21"/>
        <v>70000</v>
      </c>
      <c r="S36" s="62">
        <f t="shared" si="22"/>
        <v>70000</v>
      </c>
      <c r="T36" s="62">
        <f t="shared" si="23"/>
        <v>70000</v>
      </c>
      <c r="U36" s="62">
        <f t="shared" si="24"/>
        <v>70000</v>
      </c>
      <c r="V36" s="62">
        <f t="shared" si="25"/>
        <v>70000</v>
      </c>
      <c r="W36" s="62">
        <f t="shared" si="26"/>
        <v>70000</v>
      </c>
      <c r="X36" s="62">
        <f t="shared" si="27"/>
        <v>70000</v>
      </c>
      <c r="Y36" s="62">
        <f t="shared" si="28"/>
        <v>70000</v>
      </c>
      <c r="Z36" s="62">
        <f t="shared" si="29"/>
        <v>70000</v>
      </c>
      <c r="AA36" s="62">
        <f t="shared" si="30"/>
        <v>70000</v>
      </c>
      <c r="AB36" s="62">
        <f t="shared" si="31"/>
        <v>70000</v>
      </c>
      <c r="AC36" s="62">
        <f t="shared" si="32"/>
        <v>70000</v>
      </c>
    </row>
    <row r="37" spans="1:29" x14ac:dyDescent="0.25">
      <c r="A37" s="30" t="str">
        <f t="shared" si="4"/>
        <v>Opex maintenance &amp; repair</v>
      </c>
      <c r="B37" s="62">
        <f t="shared" si="5"/>
        <v>25694.198732927423</v>
      </c>
      <c r="C37" s="62">
        <f t="shared" si="6"/>
        <v>25566.782972440909</v>
      </c>
      <c r="D37" s="62">
        <f t="shared" si="7"/>
        <v>25389.62881201132</v>
      </c>
      <c r="E37" s="62">
        <f t="shared" si="8"/>
        <v>25146.757085412675</v>
      </c>
      <c r="F37" s="62">
        <f t="shared" si="9"/>
        <v>24820.363509946161</v>
      </c>
      <c r="G37" s="62">
        <f t="shared" si="10"/>
        <v>24393.704052209912</v>
      </c>
      <c r="H37" s="62">
        <f t="shared" si="11"/>
        <v>23856.39857999947</v>
      </c>
      <c r="I37" s="62">
        <f t="shared" si="12"/>
        <v>23211.647436702937</v>
      </c>
      <c r="J37" s="62">
        <f t="shared" si="13"/>
        <v>22482.579830467967</v>
      </c>
      <c r="K37" s="62">
        <f t="shared" si="14"/>
        <v>21712.906149854825</v>
      </c>
      <c r="L37" s="62">
        <f t="shared" si="15"/>
        <v>20958.378207641916</v>
      </c>
      <c r="M37" s="62">
        <f t="shared" si="16"/>
        <v>20271.515890978495</v>
      </c>
      <c r="N37" s="62">
        <f t="shared" si="17"/>
        <v>19687.78073288942</v>
      </c>
      <c r="O37" s="62">
        <f t="shared" si="18"/>
        <v>19220.313412303854</v>
      </c>
      <c r="P37" s="62">
        <f t="shared" si="19"/>
        <v>18863.615099016799</v>
      </c>
      <c r="Q37" s="62">
        <f t="shared" si="20"/>
        <v>18601.413231504735</v>
      </c>
      <c r="R37" s="62">
        <f t="shared" si="21"/>
        <v>18413.942689420019</v>
      </c>
      <c r="S37" s="62">
        <f t="shared" si="22"/>
        <v>18282.553525002768</v>
      </c>
      <c r="T37" s="62">
        <f t="shared" si="23"/>
        <v>18191.755536581266</v>
      </c>
      <c r="U37" s="62">
        <f t="shared" si="24"/>
        <v>18129.617948467116</v>
      </c>
      <c r="V37" s="62">
        <f t="shared" si="25"/>
        <v>18087.377924512868</v>
      </c>
      <c r="W37" s="62">
        <f t="shared" si="26"/>
        <v>18058.794570324873</v>
      </c>
      <c r="X37" s="62">
        <f t="shared" si="27"/>
        <v>18039.512209748045</v>
      </c>
      <c r="Y37" s="62">
        <f t="shared" si="28"/>
        <v>18026.531420394364</v>
      </c>
      <c r="Z37" s="62">
        <f t="shared" si="29"/>
        <v>18017.805089717345</v>
      </c>
      <c r="AA37" s="62">
        <f t="shared" si="30"/>
        <v>18011.94435896385</v>
      </c>
      <c r="AB37" s="62">
        <f t="shared" si="31"/>
        <v>18008.010705203578</v>
      </c>
      <c r="AC37" s="62">
        <f t="shared" si="32"/>
        <v>18005.371608019701</v>
      </c>
    </row>
    <row r="38" spans="1:29" x14ac:dyDescent="0.25">
      <c r="A38" s="30" t="str">
        <f t="shared" si="4"/>
        <v>Opex var (mode-fees)</v>
      </c>
      <c r="B38" s="62">
        <f t="shared" si="5"/>
        <v>0.11</v>
      </c>
      <c r="C38" s="62">
        <f t="shared" si="6"/>
        <v>0.11</v>
      </c>
      <c r="D38" s="62">
        <f t="shared" si="7"/>
        <v>0.11</v>
      </c>
      <c r="E38" s="62">
        <f t="shared" si="8"/>
        <v>0.11</v>
      </c>
      <c r="F38" s="62">
        <f t="shared" si="9"/>
        <v>0.11</v>
      </c>
      <c r="G38" s="62">
        <f t="shared" si="10"/>
        <v>0.11</v>
      </c>
      <c r="H38" s="62">
        <f t="shared" si="11"/>
        <v>0.11</v>
      </c>
      <c r="I38" s="62">
        <f t="shared" si="12"/>
        <v>0.11</v>
      </c>
      <c r="J38" s="62">
        <f t="shared" si="13"/>
        <v>0.11</v>
      </c>
      <c r="K38" s="62">
        <f t="shared" si="14"/>
        <v>0.11</v>
      </c>
      <c r="L38" s="62">
        <f t="shared" si="15"/>
        <v>0.11</v>
      </c>
      <c r="M38" s="62">
        <f t="shared" si="16"/>
        <v>0.11</v>
      </c>
      <c r="N38" s="62">
        <f t="shared" si="17"/>
        <v>0.11</v>
      </c>
      <c r="O38" s="62">
        <f t="shared" si="18"/>
        <v>0.11</v>
      </c>
      <c r="P38" s="62">
        <f t="shared" si="19"/>
        <v>0.11</v>
      </c>
      <c r="Q38" s="62">
        <f t="shared" si="20"/>
        <v>0.11</v>
      </c>
      <c r="R38" s="62">
        <f t="shared" si="21"/>
        <v>0.11</v>
      </c>
      <c r="S38" s="62">
        <f t="shared" si="22"/>
        <v>0.11</v>
      </c>
      <c r="T38" s="62">
        <f t="shared" si="23"/>
        <v>0.11</v>
      </c>
      <c r="U38" s="62">
        <f t="shared" si="24"/>
        <v>0.11</v>
      </c>
      <c r="V38" s="62">
        <f t="shared" si="25"/>
        <v>0.11</v>
      </c>
      <c r="W38" s="62">
        <f t="shared" si="26"/>
        <v>0.11</v>
      </c>
      <c r="X38" s="62">
        <f t="shared" si="27"/>
        <v>0.11</v>
      </c>
      <c r="Y38" s="62">
        <f t="shared" si="28"/>
        <v>0.11</v>
      </c>
      <c r="Z38" s="62">
        <f t="shared" si="29"/>
        <v>0.11</v>
      </c>
      <c r="AA38" s="62">
        <f t="shared" si="30"/>
        <v>0.11</v>
      </c>
      <c r="AB38" s="62">
        <f t="shared" si="31"/>
        <v>0.11</v>
      </c>
      <c r="AC38" s="62">
        <f t="shared" si="32"/>
        <v>0.11</v>
      </c>
    </row>
    <row r="39" spans="1:29" x14ac:dyDescent="0.25">
      <c r="A39" s="30" t="str">
        <f t="shared" si="4"/>
        <v>Fuel Economy</v>
      </c>
      <c r="B39" s="62">
        <f t="shared" si="5"/>
        <v>2.5017133827957863</v>
      </c>
      <c r="C39" s="62">
        <f t="shared" si="6"/>
        <v>2.4899274249507841</v>
      </c>
      <c r="D39" s="62">
        <f t="shared" si="7"/>
        <v>2.473540665111047</v>
      </c>
      <c r="E39" s="62">
        <f t="shared" si="8"/>
        <v>2.4510750304006725</v>
      </c>
      <c r="F39" s="62">
        <f t="shared" si="9"/>
        <v>2.4208836246700196</v>
      </c>
      <c r="G39" s="62">
        <f t="shared" si="10"/>
        <v>2.3814176248294165</v>
      </c>
      <c r="H39" s="62">
        <f t="shared" si="11"/>
        <v>2.3317168686499508</v>
      </c>
      <c r="I39" s="62">
        <f t="shared" si="12"/>
        <v>2.2720773878950213</v>
      </c>
      <c r="J39" s="62">
        <f t="shared" si="13"/>
        <v>2.2046386343182869</v>
      </c>
      <c r="K39" s="62">
        <f t="shared" si="14"/>
        <v>2.1334438188615716</v>
      </c>
      <c r="L39" s="62">
        <f t="shared" si="15"/>
        <v>2.0636499842068772</v>
      </c>
      <c r="M39" s="62">
        <f t="shared" si="16"/>
        <v>2.0001152199155108</v>
      </c>
      <c r="N39" s="62">
        <f t="shared" si="17"/>
        <v>1.9461197177922713</v>
      </c>
      <c r="O39" s="62">
        <f t="shared" si="18"/>
        <v>1.9028789906381067</v>
      </c>
      <c r="P39" s="62">
        <f t="shared" si="19"/>
        <v>1.8698843966590539</v>
      </c>
      <c r="Q39" s="62">
        <f t="shared" si="20"/>
        <v>1.845630723914188</v>
      </c>
      <c r="R39" s="62">
        <f t="shared" si="21"/>
        <v>1.8282896987713517</v>
      </c>
      <c r="S39" s="62">
        <f t="shared" si="22"/>
        <v>1.816136201062756</v>
      </c>
      <c r="T39" s="62">
        <f t="shared" si="23"/>
        <v>1.8077373871337672</v>
      </c>
      <c r="U39" s="62">
        <f t="shared" si="24"/>
        <v>1.8019896602332084</v>
      </c>
      <c r="V39" s="62">
        <f t="shared" si="25"/>
        <v>1.7980824580174404</v>
      </c>
      <c r="W39" s="62">
        <f t="shared" si="26"/>
        <v>1.7954384977550508</v>
      </c>
      <c r="X39" s="62">
        <f t="shared" si="27"/>
        <v>1.7936548794016942</v>
      </c>
      <c r="Y39" s="62">
        <f t="shared" si="28"/>
        <v>1.7924541563864786</v>
      </c>
      <c r="Z39" s="62">
        <f t="shared" si="29"/>
        <v>1.7916469707988543</v>
      </c>
      <c r="AA39" s="62">
        <f t="shared" si="30"/>
        <v>1.791104853204156</v>
      </c>
      <c r="AB39" s="62">
        <f t="shared" si="31"/>
        <v>1.7907409902313312</v>
      </c>
      <c r="AC39" s="62">
        <f t="shared" si="32"/>
        <v>1.7904968737418223</v>
      </c>
    </row>
    <row r="40" spans="1:29" x14ac:dyDescent="0.25">
      <c r="A40" s="30" t="str">
        <f t="shared" si="4"/>
        <v>Fuel Cost</v>
      </c>
      <c r="B40" s="62">
        <f>$B20+($C20-$B20)*(1-Q20)</f>
        <v>0.25254227914256844</v>
      </c>
      <c r="C40" s="62">
        <f>$B20+($C20-$B20)*(1-R20)</f>
        <v>0.25172282033513138</v>
      </c>
      <c r="D40" s="62">
        <f>$B20+($C20-$B20)*(1-S20)</f>
        <v>0.25055930629945611</v>
      </c>
      <c r="E40" s="62">
        <f t="shared" ref="E40:AC40" si="33">$B20+($C20-$B20)*(1-T20)</f>
        <v>0.24891479101658942</v>
      </c>
      <c r="F40" s="62">
        <f t="shared" si="33"/>
        <v>0.24660592122895794</v>
      </c>
      <c r="G40" s="62">
        <f t="shared" si="33"/>
        <v>0.24339575407846328</v>
      </c>
      <c r="H40" s="62">
        <f t="shared" si="33"/>
        <v>0.23899473500772708</v>
      </c>
      <c r="I40" s="62">
        <f t="shared" si="33"/>
        <v>0.23308023697079527</v>
      </c>
      <c r="J40" s="62">
        <f t="shared" si="33"/>
        <v>0.22534884543953543</v>
      </c>
      <c r="K40" s="62">
        <f t="shared" si="33"/>
        <v>0.21561246458069289</v>
      </c>
      <c r="L40" s="62">
        <f t="shared" si="33"/>
        <v>0.20392908703293811</v>
      </c>
      <c r="M40" s="62">
        <f t="shared" si="33"/>
        <v>0.19071783151204119</v>
      </c>
      <c r="N40" s="62">
        <f t="shared" si="33"/>
        <v>0.17677076326304775</v>
      </c>
      <c r="O40" s="62">
        <f t="shared" si="33"/>
        <v>0.16309814722993504</v>
      </c>
      <c r="P40" s="62">
        <f t="shared" si="33"/>
        <v>0.15065168342395555</v>
      </c>
      <c r="Q40" s="62">
        <f t="shared" si="33"/>
        <v>0.14007396159940294</v>
      </c>
      <c r="R40" s="62">
        <f t="shared" si="33"/>
        <v>0.13160310078058535</v>
      </c>
      <c r="S40" s="62">
        <f t="shared" si="33"/>
        <v>0.12513945801219511</v>
      </c>
      <c r="T40" s="62">
        <f t="shared" si="33"/>
        <v>0.1203881621925289</v>
      </c>
      <c r="U40" s="62">
        <f t="shared" si="33"/>
        <v>0.11699105441686944</v>
      </c>
      <c r="V40" s="62">
        <f t="shared" si="33"/>
        <v>0.11461018354982119</v>
      </c>
      <c r="W40" s="62">
        <f t="shared" si="33"/>
        <v>0.11296485544093068</v>
      </c>
      <c r="X40" s="62">
        <f t="shared" si="33"/>
        <v>0.11183887542617238</v>
      </c>
      <c r="Y40" s="62">
        <f t="shared" si="33"/>
        <v>0.11107345429801357</v>
      </c>
      <c r="Z40" s="62">
        <f t="shared" si="33"/>
        <v>0.11055550233773928</v>
      </c>
      <c r="AA40" s="62">
        <f t="shared" si="33"/>
        <v>0.11020609140458582</v>
      </c>
      <c r="AB40" s="62">
        <f t="shared" si="33"/>
        <v>0.10997086970011311</v>
      </c>
      <c r="AC40" s="62">
        <f t="shared" si="33"/>
        <v>0.10981274199926885</v>
      </c>
    </row>
    <row r="41" spans="1:29" x14ac:dyDescent="0.25">
      <c r="A41" s="30" t="str">
        <f t="shared" ref="A41" si="34">A21</f>
        <v>Emission Cost</v>
      </c>
      <c r="B41" s="66">
        <f>$B21+($C21-$B21)*(1-Q21)</f>
        <v>9.1045502411311718E-3</v>
      </c>
      <c r="C41" s="66">
        <f t="shared" ref="C41:AC41" si="35">$B21+($C21-$B21)*(1-R21)</f>
        <v>9.095880490962575E-3</v>
      </c>
      <c r="D41" s="66">
        <f t="shared" si="35"/>
        <v>9.0834699366993434E-3</v>
      </c>
      <c r="E41" s="66">
        <f t="shared" si="35"/>
        <v>9.0657157660766E-3</v>
      </c>
      <c r="F41" s="66">
        <f t="shared" si="35"/>
        <v>9.040341138604446E-3</v>
      </c>
      <c r="G41" s="66">
        <f t="shared" si="35"/>
        <v>9.0041260615172855E-3</v>
      </c>
      <c r="H41" s="66">
        <f t="shared" si="35"/>
        <v>8.9525469072142452E-3</v>
      </c>
      <c r="I41" s="66">
        <f t="shared" si="35"/>
        <v>8.8793119020679299E-3</v>
      </c>
      <c r="J41" s="66">
        <f t="shared" si="35"/>
        <v>8.7758012597282838E-3</v>
      </c>
      <c r="K41" s="66">
        <f t="shared" si="35"/>
        <v>8.630474185370102E-3</v>
      </c>
      <c r="L41" s="66">
        <f t="shared" si="35"/>
        <v>8.4284167966506146E-3</v>
      </c>
      <c r="M41" s="66">
        <f t="shared" si="35"/>
        <v>8.1514036756981448E-3</v>
      </c>
      <c r="N41" s="66">
        <f t="shared" si="35"/>
        <v>7.7791277246640009E-3</v>
      </c>
      <c r="O41" s="66">
        <f t="shared" si="35"/>
        <v>7.2924911382377788E-3</v>
      </c>
      <c r="P41" s="66">
        <f t="shared" si="35"/>
        <v>6.6796546098928378E-3</v>
      </c>
      <c r="Q41" s="66">
        <f t="shared" si="35"/>
        <v>5.9442683673542078E-3</v>
      </c>
      <c r="R41" s="66">
        <f t="shared" si="35"/>
        <v>5.1127129787673555E-3</v>
      </c>
      <c r="S41" s="66">
        <f t="shared" si="35"/>
        <v>4.2348433668221242E-3</v>
      </c>
      <c r="T41" s="66">
        <f t="shared" si="35"/>
        <v>3.3742485868309214E-3</v>
      </c>
      <c r="U41" s="66">
        <f t="shared" si="35"/>
        <v>2.5908314445053909E-3</v>
      </c>
      <c r="V41" s="66">
        <f t="shared" si="35"/>
        <v>1.9250384342751033E-3</v>
      </c>
      <c r="W41" s="66">
        <f t="shared" si="35"/>
        <v>1.3918574698531276E-3</v>
      </c>
      <c r="X41" s="66">
        <f t="shared" si="35"/>
        <v>9.8501672973924301E-4</v>
      </c>
      <c r="Y41" s="66">
        <f t="shared" si="35"/>
        <v>6.8595615708101458E-4</v>
      </c>
      <c r="Z41" s="66">
        <f t="shared" si="35"/>
        <v>4.7213217403930738E-4</v>
      </c>
      <c r="AA41" s="66">
        <f t="shared" si="35"/>
        <v>3.2227313937815624E-4</v>
      </c>
      <c r="AB41" s="66">
        <f t="shared" si="35"/>
        <v>2.1871133537117345E-4</v>
      </c>
      <c r="AC41" s="66">
        <f t="shared" si="35"/>
        <v>1.4783883220655276E-4</v>
      </c>
    </row>
    <row r="42" spans="1:29" x14ac:dyDescent="0.25">
      <c r="A42" s="30" t="str">
        <f>A22</f>
        <v>Lifetime vehicle</v>
      </c>
      <c r="B42" s="62">
        <f>$B22+($C22-$B22)*(1-Q22)</f>
        <v>8</v>
      </c>
      <c r="C42" s="62">
        <f t="shared" ref="C42:L44" si="36">$B22+($C22-$B22)*(1-R22)</f>
        <v>8</v>
      </c>
      <c r="D42" s="62">
        <f t="shared" si="36"/>
        <v>8</v>
      </c>
      <c r="E42" s="62">
        <f t="shared" si="36"/>
        <v>8</v>
      </c>
      <c r="F42" s="62">
        <f t="shared" si="36"/>
        <v>8</v>
      </c>
      <c r="G42" s="62">
        <f t="shared" si="36"/>
        <v>8</v>
      </c>
      <c r="H42" s="62">
        <f t="shared" si="36"/>
        <v>8</v>
      </c>
      <c r="I42" s="62">
        <f t="shared" si="36"/>
        <v>8</v>
      </c>
      <c r="J42" s="62">
        <f t="shared" si="36"/>
        <v>8</v>
      </c>
      <c r="K42" s="62">
        <f t="shared" si="36"/>
        <v>8</v>
      </c>
      <c r="L42" s="62">
        <f t="shared" si="36"/>
        <v>8</v>
      </c>
      <c r="M42" s="62">
        <f t="shared" ref="M42:V44" si="37">$B22+($C22-$B22)*(1-AB22)</f>
        <v>8</v>
      </c>
      <c r="N42" s="62">
        <f t="shared" si="37"/>
        <v>8</v>
      </c>
      <c r="O42" s="62">
        <f t="shared" si="37"/>
        <v>8</v>
      </c>
      <c r="P42" s="62">
        <f t="shared" si="37"/>
        <v>8</v>
      </c>
      <c r="Q42" s="62">
        <f t="shared" si="37"/>
        <v>8</v>
      </c>
      <c r="R42" s="62">
        <f t="shared" si="37"/>
        <v>8</v>
      </c>
      <c r="S42" s="62">
        <f t="shared" si="37"/>
        <v>8</v>
      </c>
      <c r="T42" s="62">
        <f t="shared" si="37"/>
        <v>8</v>
      </c>
      <c r="U42" s="62">
        <f t="shared" si="37"/>
        <v>8</v>
      </c>
      <c r="V42" s="62">
        <f t="shared" si="37"/>
        <v>8</v>
      </c>
      <c r="W42" s="62">
        <f t="shared" ref="W42:AC44" si="38">$B22+($C22-$B22)*(1-AL22)</f>
        <v>8</v>
      </c>
      <c r="X42" s="62">
        <f t="shared" si="38"/>
        <v>8</v>
      </c>
      <c r="Y42" s="62">
        <f t="shared" si="38"/>
        <v>8</v>
      </c>
      <c r="Z42" s="62">
        <f t="shared" si="38"/>
        <v>8</v>
      </c>
      <c r="AA42" s="62">
        <f t="shared" si="38"/>
        <v>8</v>
      </c>
      <c r="AB42" s="62">
        <f t="shared" si="38"/>
        <v>8</v>
      </c>
      <c r="AC42" s="62">
        <f t="shared" si="38"/>
        <v>8</v>
      </c>
    </row>
    <row r="43" spans="1:29" x14ac:dyDescent="0.25">
      <c r="A43" s="30" t="str">
        <f>A23</f>
        <v>Lifetime costumization</v>
      </c>
      <c r="B43" s="62">
        <f>$B23+($C23-$B23)*(1-Q23)</f>
        <v>10</v>
      </c>
      <c r="C43" s="62">
        <f t="shared" si="36"/>
        <v>10</v>
      </c>
      <c r="D43" s="62">
        <f t="shared" si="36"/>
        <v>10</v>
      </c>
      <c r="E43" s="62">
        <f t="shared" si="36"/>
        <v>10</v>
      </c>
      <c r="F43" s="62">
        <f t="shared" si="36"/>
        <v>10</v>
      </c>
      <c r="G43" s="62">
        <f t="shared" si="36"/>
        <v>10</v>
      </c>
      <c r="H43" s="62">
        <f t="shared" si="36"/>
        <v>10</v>
      </c>
      <c r="I43" s="62">
        <f t="shared" si="36"/>
        <v>10</v>
      </c>
      <c r="J43" s="62">
        <f t="shared" si="36"/>
        <v>10</v>
      </c>
      <c r="K43" s="62">
        <f t="shared" si="36"/>
        <v>10</v>
      </c>
      <c r="L43" s="62">
        <f t="shared" si="36"/>
        <v>10</v>
      </c>
      <c r="M43" s="62">
        <f t="shared" si="37"/>
        <v>10</v>
      </c>
      <c r="N43" s="62">
        <f t="shared" si="37"/>
        <v>10</v>
      </c>
      <c r="O43" s="62">
        <f t="shared" si="37"/>
        <v>10</v>
      </c>
      <c r="P43" s="62">
        <f t="shared" si="37"/>
        <v>10</v>
      </c>
      <c r="Q43" s="62">
        <f t="shared" si="37"/>
        <v>10</v>
      </c>
      <c r="R43" s="62">
        <f t="shared" si="37"/>
        <v>10</v>
      </c>
      <c r="S43" s="62">
        <f t="shared" si="37"/>
        <v>10</v>
      </c>
      <c r="T43" s="62">
        <f t="shared" si="37"/>
        <v>10</v>
      </c>
      <c r="U43" s="62">
        <f t="shared" si="37"/>
        <v>10</v>
      </c>
      <c r="V43" s="62">
        <f t="shared" si="37"/>
        <v>10</v>
      </c>
      <c r="W43" s="62">
        <f t="shared" si="38"/>
        <v>10</v>
      </c>
      <c r="X43" s="62">
        <f t="shared" si="38"/>
        <v>10</v>
      </c>
      <c r="Y43" s="62">
        <f t="shared" si="38"/>
        <v>10</v>
      </c>
      <c r="Z43" s="62">
        <f t="shared" si="38"/>
        <v>10</v>
      </c>
      <c r="AA43" s="62">
        <f t="shared" si="38"/>
        <v>10</v>
      </c>
      <c r="AB43" s="62">
        <f t="shared" si="38"/>
        <v>10</v>
      </c>
      <c r="AC43" s="62">
        <f t="shared" si="38"/>
        <v>10</v>
      </c>
    </row>
    <row r="44" spans="1:29" x14ac:dyDescent="0.25">
      <c r="A44" s="30" t="str">
        <f>A24</f>
        <v>Tonnage .</v>
      </c>
      <c r="B44" s="62">
        <f>$B24+($C24-$B24)*(1-Q24)</f>
        <v>25</v>
      </c>
      <c r="C44" s="62">
        <f t="shared" si="36"/>
        <v>25</v>
      </c>
      <c r="D44" s="62">
        <f t="shared" si="36"/>
        <v>25</v>
      </c>
      <c r="E44" s="62">
        <f t="shared" si="36"/>
        <v>25</v>
      </c>
      <c r="F44" s="62">
        <f t="shared" si="36"/>
        <v>25</v>
      </c>
      <c r="G44" s="62">
        <f t="shared" si="36"/>
        <v>25</v>
      </c>
      <c r="H44" s="62">
        <f t="shared" si="36"/>
        <v>25</v>
      </c>
      <c r="I44" s="62">
        <f t="shared" si="36"/>
        <v>25</v>
      </c>
      <c r="J44" s="62">
        <f t="shared" si="36"/>
        <v>25</v>
      </c>
      <c r="K44" s="62">
        <f t="shared" si="36"/>
        <v>25</v>
      </c>
      <c r="L44" s="62">
        <f t="shared" si="36"/>
        <v>25</v>
      </c>
      <c r="M44" s="62">
        <f t="shared" si="37"/>
        <v>25</v>
      </c>
      <c r="N44" s="62">
        <f t="shared" si="37"/>
        <v>25</v>
      </c>
      <c r="O44" s="62">
        <f t="shared" si="37"/>
        <v>25</v>
      </c>
      <c r="P44" s="62">
        <f t="shared" si="37"/>
        <v>25</v>
      </c>
      <c r="Q44" s="62">
        <f t="shared" si="37"/>
        <v>25</v>
      </c>
      <c r="R44" s="62">
        <f t="shared" si="37"/>
        <v>25</v>
      </c>
      <c r="S44" s="62">
        <f t="shared" si="37"/>
        <v>25</v>
      </c>
      <c r="T44" s="62">
        <f t="shared" si="37"/>
        <v>25</v>
      </c>
      <c r="U44" s="62">
        <f t="shared" si="37"/>
        <v>25</v>
      </c>
      <c r="V44" s="62">
        <f t="shared" si="37"/>
        <v>25</v>
      </c>
      <c r="W44" s="62">
        <f t="shared" si="38"/>
        <v>25</v>
      </c>
      <c r="X44" s="62">
        <f t="shared" si="38"/>
        <v>25</v>
      </c>
      <c r="Y44" s="62">
        <f t="shared" si="38"/>
        <v>25</v>
      </c>
      <c r="Z44" s="62">
        <f t="shared" si="38"/>
        <v>25</v>
      </c>
      <c r="AA44" s="62">
        <f t="shared" si="38"/>
        <v>25</v>
      </c>
      <c r="AB44" s="62">
        <f t="shared" si="38"/>
        <v>25</v>
      </c>
      <c r="AC44" s="62">
        <f t="shared" si="38"/>
        <v>25</v>
      </c>
    </row>
    <row r="45" spans="1:29" x14ac:dyDescent="0.25">
      <c r="A45" s="30" t="str">
        <f>A25</f>
        <v>Market failure (av. utilization)</v>
      </c>
      <c r="B45" s="62">
        <f t="shared" ref="B45:K46" si="39">($B25+($C25-$B25)*(1-Q25))*B$44</f>
        <v>13.999999999999998</v>
      </c>
      <c r="C45" s="62">
        <f t="shared" si="39"/>
        <v>13.999999999999998</v>
      </c>
      <c r="D45" s="62">
        <f t="shared" si="39"/>
        <v>13.999999999999998</v>
      </c>
      <c r="E45" s="62">
        <f t="shared" si="39"/>
        <v>13.999999999999998</v>
      </c>
      <c r="F45" s="62">
        <f t="shared" si="39"/>
        <v>13.999999999999998</v>
      </c>
      <c r="G45" s="62">
        <f t="shared" si="39"/>
        <v>13.999999999999998</v>
      </c>
      <c r="H45" s="62">
        <f t="shared" si="39"/>
        <v>13.999999999999998</v>
      </c>
      <c r="I45" s="62">
        <f t="shared" si="39"/>
        <v>13.999999999999998</v>
      </c>
      <c r="J45" s="62">
        <f t="shared" si="39"/>
        <v>13.999999999999998</v>
      </c>
      <c r="K45" s="62">
        <f t="shared" si="39"/>
        <v>13.999999999999998</v>
      </c>
      <c r="L45" s="62">
        <f t="shared" ref="L45:U46" si="40">($B25+($C25-$B25)*(1-AA25))*L$44</f>
        <v>13.999999999999998</v>
      </c>
      <c r="M45" s="62">
        <f t="shared" si="40"/>
        <v>13.999999999999998</v>
      </c>
      <c r="N45" s="62">
        <f t="shared" si="40"/>
        <v>13.999999999999998</v>
      </c>
      <c r="O45" s="62">
        <f t="shared" si="40"/>
        <v>13.999999999999998</v>
      </c>
      <c r="P45" s="62">
        <f t="shared" si="40"/>
        <v>13.999999999999998</v>
      </c>
      <c r="Q45" s="62">
        <f t="shared" si="40"/>
        <v>13.999999999999998</v>
      </c>
      <c r="R45" s="62">
        <f t="shared" si="40"/>
        <v>13.999999999999998</v>
      </c>
      <c r="S45" s="62">
        <f t="shared" si="40"/>
        <v>13.999999999999998</v>
      </c>
      <c r="T45" s="62">
        <f t="shared" si="40"/>
        <v>13.999999999999998</v>
      </c>
      <c r="U45" s="62">
        <f t="shared" si="40"/>
        <v>13.999999999999998</v>
      </c>
      <c r="V45" s="62">
        <f t="shared" ref="V45:AC46" si="41">($B25+($C25-$B25)*(1-AK25))*V$44</f>
        <v>13.999999999999998</v>
      </c>
      <c r="W45" s="62">
        <f t="shared" si="41"/>
        <v>13.999999999999998</v>
      </c>
      <c r="X45" s="62">
        <f t="shared" si="41"/>
        <v>13.999999999999998</v>
      </c>
      <c r="Y45" s="62">
        <f t="shared" si="41"/>
        <v>13.999999999999998</v>
      </c>
      <c r="Z45" s="62">
        <f t="shared" si="41"/>
        <v>13.999999999999998</v>
      </c>
      <c r="AA45" s="62">
        <f t="shared" si="41"/>
        <v>13.999999999999998</v>
      </c>
      <c r="AB45" s="62">
        <f t="shared" si="41"/>
        <v>13.999999999999998</v>
      </c>
      <c r="AC45" s="62">
        <f t="shared" si="41"/>
        <v>13.999999999999998</v>
      </c>
    </row>
    <row r="46" spans="1:29" x14ac:dyDescent="0.25">
      <c r="A46" s="30" t="s">
        <v>73</v>
      </c>
      <c r="B46" s="62">
        <f t="shared" si="39"/>
        <v>1.240098396181128</v>
      </c>
      <c r="C46" s="62">
        <f t="shared" si="39"/>
        <v>1.2358588232214369</v>
      </c>
      <c r="D46" s="62">
        <f t="shared" si="39"/>
        <v>1.2298392373690403</v>
      </c>
      <c r="E46" s="62">
        <f t="shared" si="39"/>
        <v>1.2213311312119457</v>
      </c>
      <c r="F46" s="62">
        <f t="shared" si="39"/>
        <v>1.2093859036663352</v>
      </c>
      <c r="G46" s="62">
        <f t="shared" si="39"/>
        <v>1.1927777011260612</v>
      </c>
      <c r="H46" s="62">
        <f t="shared" si="39"/>
        <v>1.1700084767574384</v>
      </c>
      <c r="I46" s="62">
        <f t="shared" si="39"/>
        <v>1.1394090790574525</v>
      </c>
      <c r="J46" s="62">
        <f t="shared" si="39"/>
        <v>1.0994097548946793</v>
      </c>
      <c r="K46" s="62">
        <f t="shared" si="39"/>
        <v>1.0490373668749504</v>
      </c>
      <c r="L46" s="62">
        <f t="shared" si="40"/>
        <v>0.98859194719090016</v>
      </c>
      <c r="M46" s="62">
        <f t="shared" si="40"/>
        <v>0.92024185910637191</v>
      </c>
      <c r="N46" s="62">
        <f t="shared" si="40"/>
        <v>0.84808495154888996</v>
      </c>
      <c r="O46" s="62">
        <f t="shared" si="40"/>
        <v>0.77734795696642955</v>
      </c>
      <c r="P46" s="62">
        <f t="shared" si="40"/>
        <v>0.71295461477923405</v>
      </c>
      <c r="Q46" s="62">
        <f t="shared" si="40"/>
        <v>0.65822944370838299</v>
      </c>
      <c r="R46" s="62">
        <f t="shared" si="40"/>
        <v>0.61440438240348649</v>
      </c>
      <c r="S46" s="62">
        <f t="shared" si="40"/>
        <v>0.580963915532825</v>
      </c>
      <c r="T46" s="62">
        <f t="shared" si="40"/>
        <v>0.55638249045356891</v>
      </c>
      <c r="U46" s="62">
        <f t="shared" si="40"/>
        <v>0.53880712713312673</v>
      </c>
      <c r="V46" s="62">
        <f t="shared" si="41"/>
        <v>0.52648939296900943</v>
      </c>
      <c r="W46" s="62">
        <f t="shared" si="41"/>
        <v>0.51797708155449362</v>
      </c>
      <c r="X46" s="62">
        <f t="shared" si="41"/>
        <v>0.5121516826687923</v>
      </c>
      <c r="Y46" s="62">
        <f t="shared" si="41"/>
        <v>0.50819168042308127</v>
      </c>
      <c r="Z46" s="62">
        <f t="shared" si="41"/>
        <v>0.50551199096795685</v>
      </c>
      <c r="AA46" s="62">
        <f t="shared" si="41"/>
        <v>0.50370426966387927</v>
      </c>
      <c r="AB46" s="62">
        <f t="shared" si="41"/>
        <v>0.50248732066197166</v>
      </c>
      <c r="AC46" s="62">
        <f t="shared" si="41"/>
        <v>0.50166922716100104</v>
      </c>
    </row>
    <row r="47" spans="1:29" x14ac:dyDescent="0.25">
      <c r="A47" s="30" t="str">
        <f>A27</f>
        <v>Annual Mileage</v>
      </c>
      <c r="B47" s="62">
        <f t="shared" ref="B47:AC47" si="42">$B27+($C27-$B27)*(1-Q27)</f>
        <v>55000</v>
      </c>
      <c r="C47" s="62">
        <f t="shared" si="42"/>
        <v>55000</v>
      </c>
      <c r="D47" s="62">
        <f t="shared" si="42"/>
        <v>55000</v>
      </c>
      <c r="E47" s="62">
        <f t="shared" si="42"/>
        <v>55000</v>
      </c>
      <c r="F47" s="62">
        <f t="shared" si="42"/>
        <v>55000</v>
      </c>
      <c r="G47" s="62">
        <f t="shared" si="42"/>
        <v>55000</v>
      </c>
      <c r="H47" s="62">
        <f t="shared" si="42"/>
        <v>55000</v>
      </c>
      <c r="I47" s="62">
        <f t="shared" si="42"/>
        <v>55000</v>
      </c>
      <c r="J47" s="62">
        <f t="shared" si="42"/>
        <v>55000</v>
      </c>
      <c r="K47" s="62">
        <f t="shared" si="42"/>
        <v>55000</v>
      </c>
      <c r="L47" s="62">
        <f t="shared" si="42"/>
        <v>55000</v>
      </c>
      <c r="M47" s="62">
        <f t="shared" si="42"/>
        <v>55000</v>
      </c>
      <c r="N47" s="62">
        <f t="shared" si="42"/>
        <v>55000</v>
      </c>
      <c r="O47" s="62">
        <f t="shared" si="42"/>
        <v>55000</v>
      </c>
      <c r="P47" s="62">
        <f t="shared" si="42"/>
        <v>55000</v>
      </c>
      <c r="Q47" s="62">
        <f t="shared" si="42"/>
        <v>55000</v>
      </c>
      <c r="R47" s="62">
        <f t="shared" si="42"/>
        <v>55000</v>
      </c>
      <c r="S47" s="62">
        <f t="shared" si="42"/>
        <v>55000</v>
      </c>
      <c r="T47" s="62">
        <f t="shared" si="42"/>
        <v>55000</v>
      </c>
      <c r="U47" s="62">
        <f t="shared" si="42"/>
        <v>55000</v>
      </c>
      <c r="V47" s="62">
        <f t="shared" si="42"/>
        <v>55000</v>
      </c>
      <c r="W47" s="62">
        <f t="shared" si="42"/>
        <v>55000</v>
      </c>
      <c r="X47" s="62">
        <f t="shared" si="42"/>
        <v>55000</v>
      </c>
      <c r="Y47" s="62">
        <f t="shared" si="42"/>
        <v>55000</v>
      </c>
      <c r="Z47" s="62">
        <f t="shared" si="42"/>
        <v>55000</v>
      </c>
      <c r="AA47" s="62">
        <f t="shared" si="42"/>
        <v>55000</v>
      </c>
      <c r="AB47" s="62">
        <f t="shared" si="42"/>
        <v>55000</v>
      </c>
      <c r="AC47" s="62">
        <f t="shared" si="42"/>
        <v>55000</v>
      </c>
    </row>
    <row r="48" spans="1:29"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61357.445895655808</v>
      </c>
      <c r="C50" s="63">
        <f t="shared" ref="C50:AC50" si="43">((1+C35)^C42)*C35/(((1+C35)^C42)-1)*(C31)</f>
        <v>60754.714455896952</v>
      </c>
      <c r="D50" s="63">
        <f t="shared" si="43"/>
        <v>59916.698956344211</v>
      </c>
      <c r="E50" s="63">
        <f t="shared" si="43"/>
        <v>58767.811056679595</v>
      </c>
      <c r="F50" s="63">
        <f t="shared" si="43"/>
        <v>57223.828829380502</v>
      </c>
      <c r="G50" s="63">
        <f t="shared" si="43"/>
        <v>55205.54578287054</v>
      </c>
      <c r="H50" s="63">
        <f t="shared" si="43"/>
        <v>52663.859419902983</v>
      </c>
      <c r="I50" s="63">
        <f t="shared" si="43"/>
        <v>49613.908743460379</v>
      </c>
      <c r="J50" s="63">
        <f t="shared" si="43"/>
        <v>46165.10487249765</v>
      </c>
      <c r="K50" s="63">
        <f t="shared" si="43"/>
        <v>42524.216776008514</v>
      </c>
      <c r="L50" s="63">
        <f t="shared" si="43"/>
        <v>38954.974547168116</v>
      </c>
      <c r="M50" s="63">
        <f t="shared" si="43"/>
        <v>35705.819878562834</v>
      </c>
      <c r="N50" s="63">
        <f t="shared" si="43"/>
        <v>32944.501098770794</v>
      </c>
      <c r="O50" s="63">
        <f t="shared" si="43"/>
        <v>30733.179280332359</v>
      </c>
      <c r="P50" s="63">
        <f t="shared" si="43"/>
        <v>29045.842587397736</v>
      </c>
      <c r="Q50" s="63">
        <f t="shared" si="43"/>
        <v>27805.514793492392</v>
      </c>
      <c r="R50" s="63">
        <f t="shared" si="43"/>
        <v>26918.698364255953</v>
      </c>
      <c r="S50" s="63">
        <f t="shared" si="43"/>
        <v>26297.171012101549</v>
      </c>
      <c r="T50" s="63">
        <f t="shared" si="43"/>
        <v>25867.657409706244</v>
      </c>
      <c r="U50" s="63">
        <f t="shared" si="43"/>
        <v>25573.719848103356</v>
      </c>
      <c r="V50" s="63">
        <f t="shared" si="43"/>
        <v>25373.906337151635</v>
      </c>
      <c r="W50" s="63">
        <f t="shared" si="43"/>
        <v>25238.694757696427</v>
      </c>
      <c r="X50" s="63">
        <f t="shared" si="43"/>
        <v>25147.480885032299</v>
      </c>
      <c r="Y50" s="63">
        <f t="shared" si="43"/>
        <v>25086.076159066874</v>
      </c>
      <c r="Z50" s="63">
        <f t="shared" si="43"/>
        <v>25044.796855527889</v>
      </c>
      <c r="AA50" s="63">
        <f t="shared" si="43"/>
        <v>25017.073074171451</v>
      </c>
      <c r="AB50" s="63">
        <f t="shared" si="43"/>
        <v>24998.465197207195</v>
      </c>
      <c r="AC50" s="63">
        <f t="shared" si="43"/>
        <v>24985.981130564032</v>
      </c>
    </row>
    <row r="51" spans="1:29" x14ac:dyDescent="0.25">
      <c r="A51" s="30" t="str">
        <f>A32</f>
        <v>Residual value (vehicle)</v>
      </c>
      <c r="B51" s="62">
        <f>((1+B35)^B42)*B35/(((1+B35)^B42)-1)*(B32)</f>
        <v>-9299.0290627537943</v>
      </c>
      <c r="C51" s="62">
        <f t="shared" ref="C51:AC51" si="44">((1+C35)^C42)*C35/(((1+C35)^C42)-1)*(C32)</f>
        <v>-9248.373973667678</v>
      </c>
      <c r="D51" s="62">
        <f t="shared" si="44"/>
        <v>-9177.9450114712236</v>
      </c>
      <c r="E51" s="62">
        <f t="shared" si="44"/>
        <v>-9081.3895390526031</v>
      </c>
      <c r="F51" s="62">
        <f t="shared" si="44"/>
        <v>-8951.6293305881045</v>
      </c>
      <c r="G51" s="62">
        <f t="shared" si="44"/>
        <v>-8782.0076702963088</v>
      </c>
      <c r="H51" s="62">
        <f t="shared" si="44"/>
        <v>-8568.3978589405251</v>
      </c>
      <c r="I51" s="62">
        <f t="shared" si="44"/>
        <v>-8312.0722169841792</v>
      </c>
      <c r="J51" s="62">
        <f t="shared" si="44"/>
        <v>-8022.2259342117786</v>
      </c>
      <c r="K51" s="62">
        <f t="shared" si="44"/>
        <v>-7716.2364026983305</v>
      </c>
      <c r="L51" s="62">
        <f t="shared" si="44"/>
        <v>-7416.2681728277021</v>
      </c>
      <c r="M51" s="62">
        <f t="shared" si="44"/>
        <v>-7143.2009187640651</v>
      </c>
      <c r="N51" s="62">
        <f t="shared" si="44"/>
        <v>-6911.1326383347341</v>
      </c>
      <c r="O51" s="62">
        <f t="shared" si="44"/>
        <v>-6725.2875067851219</v>
      </c>
      <c r="P51" s="62">
        <f t="shared" si="44"/>
        <v>-6583.4794230172129</v>
      </c>
      <c r="Q51" s="62">
        <f t="shared" si="44"/>
        <v>-6479.2391084230394</v>
      </c>
      <c r="R51" s="62">
        <f t="shared" si="44"/>
        <v>-6404.7087914978501</v>
      </c>
      <c r="S51" s="62">
        <f t="shared" si="44"/>
        <v>-6352.4740459444474</v>
      </c>
      <c r="T51" s="62">
        <f t="shared" si="44"/>
        <v>-6316.3766261686715</v>
      </c>
      <c r="U51" s="62">
        <f t="shared" si="44"/>
        <v>-6291.6733630126846</v>
      </c>
      <c r="V51" s="62">
        <f t="shared" si="44"/>
        <v>-6274.8805253901455</v>
      </c>
      <c r="W51" s="62">
        <f t="shared" si="44"/>
        <v>-6263.5169990316763</v>
      </c>
      <c r="X51" s="62">
        <f t="shared" si="44"/>
        <v>-6255.8511522865001</v>
      </c>
      <c r="Y51" s="62">
        <f t="shared" si="44"/>
        <v>-6250.6905423383423</v>
      </c>
      <c r="Z51" s="62">
        <f t="shared" si="44"/>
        <v>-6247.2213242749585</v>
      </c>
      <c r="AA51" s="62">
        <f t="shared" si="44"/>
        <v>-6244.8913469056415</v>
      </c>
      <c r="AB51" s="62">
        <f t="shared" si="44"/>
        <v>-6243.3274934160918</v>
      </c>
      <c r="AC51" s="62">
        <f t="shared" si="44"/>
        <v>-6242.278300581188</v>
      </c>
    </row>
    <row r="52" spans="1:29" x14ac:dyDescent="0.25">
      <c r="A52" s="30" t="str">
        <f>A33</f>
        <v>Capex costumization</v>
      </c>
      <c r="B52" s="62">
        <f>((1+B35)^B43)*B35/(((1+B35)^B43)-1)*(B33)</f>
        <v>5434.7183288153492</v>
      </c>
      <c r="C52" s="62">
        <f t="shared" ref="C52:AC52" si="45">((1+C35)^C43)*C35/(((1+C35)^C43)-1)*(C33)</f>
        <v>5434.7183288153492</v>
      </c>
      <c r="D52" s="62">
        <f t="shared" si="45"/>
        <v>5434.7183288153492</v>
      </c>
      <c r="E52" s="62">
        <f t="shared" si="45"/>
        <v>5434.7183288153492</v>
      </c>
      <c r="F52" s="62">
        <f t="shared" si="45"/>
        <v>5434.7183288153492</v>
      </c>
      <c r="G52" s="62">
        <f t="shared" si="45"/>
        <v>5434.7183288153492</v>
      </c>
      <c r="H52" s="62">
        <f t="shared" si="45"/>
        <v>5434.7183288153492</v>
      </c>
      <c r="I52" s="62">
        <f t="shared" si="45"/>
        <v>5434.7183288153492</v>
      </c>
      <c r="J52" s="62">
        <f t="shared" si="45"/>
        <v>5434.7183288153492</v>
      </c>
      <c r="K52" s="62">
        <f t="shared" si="45"/>
        <v>5434.7183288153492</v>
      </c>
      <c r="L52" s="62">
        <f t="shared" si="45"/>
        <v>5434.7183288153492</v>
      </c>
      <c r="M52" s="62">
        <f t="shared" si="45"/>
        <v>5434.7183288153492</v>
      </c>
      <c r="N52" s="62">
        <f t="shared" si="45"/>
        <v>5434.7183288153492</v>
      </c>
      <c r="O52" s="62">
        <f t="shared" si="45"/>
        <v>5434.7183288153492</v>
      </c>
      <c r="P52" s="62">
        <f t="shared" si="45"/>
        <v>5434.7183288153492</v>
      </c>
      <c r="Q52" s="62">
        <f t="shared" si="45"/>
        <v>5434.7183288153492</v>
      </c>
      <c r="R52" s="62">
        <f t="shared" si="45"/>
        <v>5434.7183288153492</v>
      </c>
      <c r="S52" s="62">
        <f t="shared" si="45"/>
        <v>5434.7183288153492</v>
      </c>
      <c r="T52" s="62">
        <f t="shared" si="45"/>
        <v>5434.7183288153492</v>
      </c>
      <c r="U52" s="62">
        <f t="shared" si="45"/>
        <v>5434.7183288153492</v>
      </c>
      <c r="V52" s="62">
        <f t="shared" si="45"/>
        <v>5434.7183288153492</v>
      </c>
      <c r="W52" s="62">
        <f t="shared" si="45"/>
        <v>5434.7183288153492</v>
      </c>
      <c r="X52" s="62">
        <f t="shared" si="45"/>
        <v>5434.7183288153492</v>
      </c>
      <c r="Y52" s="62">
        <f t="shared" si="45"/>
        <v>5434.7183288153492</v>
      </c>
      <c r="Z52" s="62">
        <f t="shared" si="45"/>
        <v>5434.7183288153492</v>
      </c>
      <c r="AA52" s="62">
        <f t="shared" si="45"/>
        <v>5434.7183288153492</v>
      </c>
      <c r="AB52" s="62">
        <f t="shared" si="45"/>
        <v>5434.7183288153492</v>
      </c>
      <c r="AC52" s="62">
        <f t="shared" si="45"/>
        <v>5434.7183288153492</v>
      </c>
    </row>
    <row r="53" spans="1:29" x14ac:dyDescent="0.25">
      <c r="A53" s="30" t="str">
        <f>A34</f>
        <v>Residual value (costumization)</v>
      </c>
      <c r="B53" s="62">
        <f>((1+B35)^B43)*B35/(((1+B35)^B43)-1)*(B34)</f>
        <v>-1358.6795822038373</v>
      </c>
      <c r="C53" s="62">
        <f t="shared" ref="C53:AC53" si="46">((1+C35)^C43)*C35/(((1+C35)^C43)-1)*(C34)</f>
        <v>-1358.6795822038373</v>
      </c>
      <c r="D53" s="62">
        <f t="shared" si="46"/>
        <v>-1358.6795822038373</v>
      </c>
      <c r="E53" s="62">
        <f t="shared" si="46"/>
        <v>-1358.6795822038373</v>
      </c>
      <c r="F53" s="62">
        <f t="shared" si="46"/>
        <v>-1358.6795822038373</v>
      </c>
      <c r="G53" s="62">
        <f t="shared" si="46"/>
        <v>-1358.6795822038373</v>
      </c>
      <c r="H53" s="62">
        <f t="shared" si="46"/>
        <v>-1358.6795822038373</v>
      </c>
      <c r="I53" s="62">
        <f t="shared" si="46"/>
        <v>-1358.6795822038373</v>
      </c>
      <c r="J53" s="62">
        <f t="shared" si="46"/>
        <v>-1358.6795822038373</v>
      </c>
      <c r="K53" s="62">
        <f t="shared" si="46"/>
        <v>-1358.6795822038373</v>
      </c>
      <c r="L53" s="62">
        <f t="shared" si="46"/>
        <v>-1358.6795822038373</v>
      </c>
      <c r="M53" s="62">
        <f t="shared" si="46"/>
        <v>-1358.6795822038373</v>
      </c>
      <c r="N53" s="62">
        <f t="shared" si="46"/>
        <v>-1358.6795822038373</v>
      </c>
      <c r="O53" s="62">
        <f t="shared" si="46"/>
        <v>-1358.6795822038373</v>
      </c>
      <c r="P53" s="62">
        <f t="shared" si="46"/>
        <v>-1358.6795822038373</v>
      </c>
      <c r="Q53" s="62">
        <f t="shared" si="46"/>
        <v>-1358.6795822038373</v>
      </c>
      <c r="R53" s="62">
        <f t="shared" si="46"/>
        <v>-1358.6795822038373</v>
      </c>
      <c r="S53" s="62">
        <f t="shared" si="46"/>
        <v>-1358.6795822038373</v>
      </c>
      <c r="T53" s="62">
        <f t="shared" si="46"/>
        <v>-1358.6795822038373</v>
      </c>
      <c r="U53" s="62">
        <f t="shared" si="46"/>
        <v>-1358.6795822038373</v>
      </c>
      <c r="V53" s="62">
        <f t="shared" si="46"/>
        <v>-1358.6795822038373</v>
      </c>
      <c r="W53" s="62">
        <f t="shared" si="46"/>
        <v>-1358.6795822038373</v>
      </c>
      <c r="X53" s="62">
        <f t="shared" si="46"/>
        <v>-1358.6795822038373</v>
      </c>
      <c r="Y53" s="62">
        <f t="shared" si="46"/>
        <v>-1358.6795822038373</v>
      </c>
      <c r="Z53" s="62">
        <f t="shared" si="46"/>
        <v>-1358.6795822038373</v>
      </c>
      <c r="AA53" s="62">
        <f t="shared" si="46"/>
        <v>-1358.6795822038373</v>
      </c>
      <c r="AB53" s="62">
        <f t="shared" si="46"/>
        <v>-1358.6795822038373</v>
      </c>
      <c r="AC53" s="62">
        <f t="shared" si="46"/>
        <v>-1358.6795822038373</v>
      </c>
    </row>
    <row r="54" spans="1:29" x14ac:dyDescent="0.25">
      <c r="A54" s="30" t="str">
        <f t="shared" ref="A54:AC54" si="47">A36</f>
        <v>Opex fix (admin, crew, insurance)</v>
      </c>
      <c r="B54" s="62">
        <f t="shared" si="47"/>
        <v>70000</v>
      </c>
      <c r="C54" s="62">
        <f t="shared" si="47"/>
        <v>70000</v>
      </c>
      <c r="D54" s="62">
        <f t="shared" si="47"/>
        <v>70000</v>
      </c>
      <c r="E54" s="62">
        <f t="shared" si="47"/>
        <v>70000</v>
      </c>
      <c r="F54" s="62">
        <f t="shared" si="47"/>
        <v>70000</v>
      </c>
      <c r="G54" s="62">
        <f t="shared" si="47"/>
        <v>70000</v>
      </c>
      <c r="H54" s="62">
        <f t="shared" si="47"/>
        <v>70000</v>
      </c>
      <c r="I54" s="62">
        <f t="shared" si="47"/>
        <v>70000</v>
      </c>
      <c r="J54" s="62">
        <f t="shared" si="47"/>
        <v>70000</v>
      </c>
      <c r="K54" s="62">
        <f t="shared" si="47"/>
        <v>70000</v>
      </c>
      <c r="L54" s="62">
        <f t="shared" si="47"/>
        <v>70000</v>
      </c>
      <c r="M54" s="62">
        <f t="shared" si="47"/>
        <v>70000</v>
      </c>
      <c r="N54" s="62">
        <f t="shared" si="47"/>
        <v>70000</v>
      </c>
      <c r="O54" s="62">
        <f t="shared" si="47"/>
        <v>70000</v>
      </c>
      <c r="P54" s="62">
        <f t="shared" si="47"/>
        <v>70000</v>
      </c>
      <c r="Q54" s="62">
        <f t="shared" si="47"/>
        <v>70000</v>
      </c>
      <c r="R54" s="62">
        <f t="shared" si="47"/>
        <v>70000</v>
      </c>
      <c r="S54" s="62">
        <f t="shared" si="47"/>
        <v>70000</v>
      </c>
      <c r="T54" s="62">
        <f t="shared" si="47"/>
        <v>70000</v>
      </c>
      <c r="U54" s="62">
        <f t="shared" si="47"/>
        <v>70000</v>
      </c>
      <c r="V54" s="62">
        <f t="shared" si="47"/>
        <v>70000</v>
      </c>
      <c r="W54" s="62">
        <f t="shared" si="47"/>
        <v>70000</v>
      </c>
      <c r="X54" s="62">
        <f t="shared" si="47"/>
        <v>70000</v>
      </c>
      <c r="Y54" s="62">
        <f t="shared" si="47"/>
        <v>70000</v>
      </c>
      <c r="Z54" s="62">
        <f t="shared" si="47"/>
        <v>70000</v>
      </c>
      <c r="AA54" s="62">
        <f t="shared" si="47"/>
        <v>70000</v>
      </c>
      <c r="AB54" s="62">
        <f t="shared" si="47"/>
        <v>70000</v>
      </c>
      <c r="AC54" s="62">
        <f t="shared" si="47"/>
        <v>70000</v>
      </c>
    </row>
    <row r="55" spans="1:29" x14ac:dyDescent="0.25">
      <c r="A55" s="30" t="str">
        <f t="shared" ref="A55:AC55" si="48">A37</f>
        <v>Opex maintenance &amp; repair</v>
      </c>
      <c r="B55" s="62">
        <f t="shared" si="48"/>
        <v>25694.198732927423</v>
      </c>
      <c r="C55" s="62">
        <f t="shared" si="48"/>
        <v>25566.782972440909</v>
      </c>
      <c r="D55" s="62">
        <f t="shared" si="48"/>
        <v>25389.62881201132</v>
      </c>
      <c r="E55" s="62">
        <f t="shared" si="48"/>
        <v>25146.757085412675</v>
      </c>
      <c r="F55" s="62">
        <f t="shared" si="48"/>
        <v>24820.363509946161</v>
      </c>
      <c r="G55" s="62">
        <f t="shared" si="48"/>
        <v>24393.704052209912</v>
      </c>
      <c r="H55" s="62">
        <f t="shared" si="48"/>
        <v>23856.39857999947</v>
      </c>
      <c r="I55" s="62">
        <f t="shared" si="48"/>
        <v>23211.647436702937</v>
      </c>
      <c r="J55" s="62">
        <f t="shared" si="48"/>
        <v>22482.579830467967</v>
      </c>
      <c r="K55" s="62">
        <f t="shared" si="48"/>
        <v>21712.906149854825</v>
      </c>
      <c r="L55" s="62">
        <f t="shared" si="48"/>
        <v>20958.378207641916</v>
      </c>
      <c r="M55" s="62">
        <f t="shared" si="48"/>
        <v>20271.515890978495</v>
      </c>
      <c r="N55" s="62">
        <f t="shared" si="48"/>
        <v>19687.78073288942</v>
      </c>
      <c r="O55" s="62">
        <f t="shared" si="48"/>
        <v>19220.313412303854</v>
      </c>
      <c r="P55" s="62">
        <f t="shared" si="48"/>
        <v>18863.615099016799</v>
      </c>
      <c r="Q55" s="62">
        <f t="shared" si="48"/>
        <v>18601.413231504735</v>
      </c>
      <c r="R55" s="62">
        <f t="shared" si="48"/>
        <v>18413.942689420019</v>
      </c>
      <c r="S55" s="62">
        <f t="shared" si="48"/>
        <v>18282.553525002768</v>
      </c>
      <c r="T55" s="62">
        <f t="shared" si="48"/>
        <v>18191.755536581266</v>
      </c>
      <c r="U55" s="62">
        <f t="shared" si="48"/>
        <v>18129.617948467116</v>
      </c>
      <c r="V55" s="62">
        <f t="shared" si="48"/>
        <v>18087.377924512868</v>
      </c>
      <c r="W55" s="62">
        <f t="shared" si="48"/>
        <v>18058.794570324873</v>
      </c>
      <c r="X55" s="62">
        <f t="shared" si="48"/>
        <v>18039.512209748045</v>
      </c>
      <c r="Y55" s="62">
        <f t="shared" si="48"/>
        <v>18026.531420394364</v>
      </c>
      <c r="Z55" s="62">
        <f t="shared" si="48"/>
        <v>18017.805089717345</v>
      </c>
      <c r="AA55" s="62">
        <f t="shared" si="48"/>
        <v>18011.94435896385</v>
      </c>
      <c r="AB55" s="62">
        <f t="shared" si="48"/>
        <v>18008.010705203578</v>
      </c>
      <c r="AC55" s="62">
        <f t="shared" si="48"/>
        <v>18005.371608019701</v>
      </c>
    </row>
    <row r="56" spans="1:29" x14ac:dyDescent="0.25">
      <c r="A56" s="30" t="str">
        <f>A38</f>
        <v>Opex var (mode-fees)</v>
      </c>
      <c r="B56" s="62">
        <f>B38*B47</f>
        <v>6050</v>
      </c>
      <c r="C56" s="62">
        <f t="shared" ref="C56:AC56" si="49">C38*C47</f>
        <v>6050</v>
      </c>
      <c r="D56" s="62">
        <f t="shared" si="49"/>
        <v>6050</v>
      </c>
      <c r="E56" s="62">
        <f t="shared" si="49"/>
        <v>6050</v>
      </c>
      <c r="F56" s="62">
        <f t="shared" si="49"/>
        <v>6050</v>
      </c>
      <c r="G56" s="62">
        <f t="shared" si="49"/>
        <v>6050</v>
      </c>
      <c r="H56" s="62">
        <f t="shared" si="49"/>
        <v>6050</v>
      </c>
      <c r="I56" s="62">
        <f t="shared" si="49"/>
        <v>6050</v>
      </c>
      <c r="J56" s="62">
        <f t="shared" si="49"/>
        <v>6050</v>
      </c>
      <c r="K56" s="62">
        <f t="shared" si="49"/>
        <v>6050</v>
      </c>
      <c r="L56" s="62">
        <f t="shared" si="49"/>
        <v>6050</v>
      </c>
      <c r="M56" s="62">
        <f t="shared" si="49"/>
        <v>6050</v>
      </c>
      <c r="N56" s="62">
        <f t="shared" si="49"/>
        <v>6050</v>
      </c>
      <c r="O56" s="62">
        <f t="shared" si="49"/>
        <v>6050</v>
      </c>
      <c r="P56" s="62">
        <f t="shared" si="49"/>
        <v>6050</v>
      </c>
      <c r="Q56" s="62">
        <f t="shared" si="49"/>
        <v>6050</v>
      </c>
      <c r="R56" s="62">
        <f t="shared" si="49"/>
        <v>6050</v>
      </c>
      <c r="S56" s="62">
        <f t="shared" si="49"/>
        <v>6050</v>
      </c>
      <c r="T56" s="62">
        <f t="shared" si="49"/>
        <v>6050</v>
      </c>
      <c r="U56" s="62">
        <f t="shared" si="49"/>
        <v>6050</v>
      </c>
      <c r="V56" s="62">
        <f t="shared" si="49"/>
        <v>6050</v>
      </c>
      <c r="W56" s="62">
        <f t="shared" si="49"/>
        <v>6050</v>
      </c>
      <c r="X56" s="62">
        <f t="shared" si="49"/>
        <v>6050</v>
      </c>
      <c r="Y56" s="62">
        <f t="shared" si="49"/>
        <v>6050</v>
      </c>
      <c r="Z56" s="62">
        <f t="shared" si="49"/>
        <v>6050</v>
      </c>
      <c r="AA56" s="62">
        <f t="shared" si="49"/>
        <v>6050</v>
      </c>
      <c r="AB56" s="62">
        <f t="shared" si="49"/>
        <v>6050</v>
      </c>
      <c r="AC56" s="62">
        <f t="shared" si="49"/>
        <v>6050</v>
      </c>
    </row>
    <row r="57" spans="1:29" x14ac:dyDescent="0.25">
      <c r="A57" s="30" t="str">
        <f>A40</f>
        <v>Fuel Cost</v>
      </c>
      <c r="B57" s="62">
        <f>B39*B40*B47</f>
        <v>34748.36196989919</v>
      </c>
      <c r="C57" s="62">
        <f t="shared" ref="C57:AC57" si="50">C39*C40*C47</f>
        <v>34472.435461112138</v>
      </c>
      <c r="D57" s="62">
        <f t="shared" si="50"/>
        <v>34087.274823454558</v>
      </c>
      <c r="E57" s="62">
        <f t="shared" si="50"/>
        <v>33555.98559269902</v>
      </c>
      <c r="F57" s="62">
        <f t="shared" si="50"/>
        <v>32835.233004741698</v>
      </c>
      <c r="G57" s="62">
        <f t="shared" si="50"/>
        <v>31879.481621410436</v>
      </c>
      <c r="H57" s="62">
        <f t="shared" si="50"/>
        <v>30649.743032482318</v>
      </c>
      <c r="I57" s="62">
        <f t="shared" si="50"/>
        <v>29126.698479260638</v>
      </c>
      <c r="J57" s="62">
        <f t="shared" si="50"/>
        <v>27324.702397026103</v>
      </c>
      <c r="K57" s="62">
        <f t="shared" si="50"/>
        <v>25299.839390605383</v>
      </c>
      <c r="L57" s="62">
        <f t="shared" si="50"/>
        <v>23146.104147916507</v>
      </c>
      <c r="M57" s="62">
        <f t="shared" si="50"/>
        <v>20980.170063408361</v>
      </c>
      <c r="N57" s="62">
        <f t="shared" si="50"/>
        <v>18920.938735347379</v>
      </c>
      <c r="O57" s="62">
        <f t="shared" si="50"/>
        <v>17069.582077671428</v>
      </c>
      <c r="P57" s="62">
        <f t="shared" si="50"/>
        <v>15493.567769068066</v>
      </c>
      <c r="Q57" s="62">
        <f t="shared" si="50"/>
        <v>14218.864393152882</v>
      </c>
      <c r="R57" s="62">
        <f t="shared" si="50"/>
        <v>13233.472641593173</v>
      </c>
      <c r="S57" s="62">
        <f t="shared" si="50"/>
        <v>12499.866493252617</v>
      </c>
      <c r="T57" s="62">
        <f t="shared" si="50"/>
        <v>11969.659997006711</v>
      </c>
      <c r="U57" s="62">
        <f t="shared" si="50"/>
        <v>11594.916871943864</v>
      </c>
      <c r="V57" s="62">
        <f t="shared" si="50"/>
        <v>11334.320830310087</v>
      </c>
      <c r="W57" s="62">
        <f t="shared" si="50"/>
        <v>11155.17976935896</v>
      </c>
      <c r="X57" s="62">
        <f t="shared" si="50"/>
        <v>11033.018953822379</v>
      </c>
      <c r="Y57" s="62">
        <f t="shared" si="50"/>
        <v>10950.17411513729</v>
      </c>
      <c r="Z57" s="62">
        <f t="shared" si="50"/>
        <v>10894.203697770592</v>
      </c>
      <c r="AA57" s="62">
        <f t="shared" si="50"/>
        <v>10856.486584207796</v>
      </c>
      <c r="AB57" s="62">
        <f t="shared" si="50"/>
        <v>10831.113925685968</v>
      </c>
      <c r="AC57" s="62">
        <f t="shared" si="50"/>
        <v>10814.065418568951</v>
      </c>
    </row>
    <row r="58" spans="1:29" ht="15.75" thickBot="1" x14ac:dyDescent="0.3">
      <c r="A58" s="59" t="str">
        <f>A21</f>
        <v>Emission Cost</v>
      </c>
      <c r="B58" s="62">
        <f>B41*B47</f>
        <v>500.75026326221445</v>
      </c>
      <c r="C58" s="62">
        <f t="shared" ref="C58:AC58" si="51">C41*C47</f>
        <v>500.27342700294162</v>
      </c>
      <c r="D58" s="62">
        <f t="shared" si="51"/>
        <v>499.59084651846388</v>
      </c>
      <c r="E58" s="62">
        <f t="shared" si="51"/>
        <v>498.61436713421301</v>
      </c>
      <c r="F58" s="62">
        <f t="shared" si="51"/>
        <v>497.21876262324452</v>
      </c>
      <c r="G58" s="62">
        <f t="shared" si="51"/>
        <v>495.22693338345073</v>
      </c>
      <c r="H58" s="62">
        <f t="shared" si="51"/>
        <v>492.3900798967835</v>
      </c>
      <c r="I58" s="62">
        <f t="shared" si="51"/>
        <v>488.36215461373615</v>
      </c>
      <c r="J58" s="62">
        <f t="shared" si="51"/>
        <v>482.66906928505563</v>
      </c>
      <c r="K58" s="62">
        <f t="shared" si="51"/>
        <v>474.67608019535561</v>
      </c>
      <c r="L58" s="62">
        <f t="shared" si="51"/>
        <v>463.56292381578379</v>
      </c>
      <c r="M58" s="62">
        <f t="shared" si="51"/>
        <v>448.32720216339794</v>
      </c>
      <c r="N58" s="62">
        <f t="shared" si="51"/>
        <v>427.85202485652007</v>
      </c>
      <c r="O58" s="62">
        <f t="shared" si="51"/>
        <v>401.08701260307782</v>
      </c>
      <c r="P58" s="62">
        <f t="shared" si="51"/>
        <v>367.38100354410608</v>
      </c>
      <c r="Q58" s="62">
        <f t="shared" si="51"/>
        <v>326.93476020448145</v>
      </c>
      <c r="R58" s="62">
        <f t="shared" si="51"/>
        <v>281.19921383220458</v>
      </c>
      <c r="S58" s="62">
        <f t="shared" si="51"/>
        <v>232.91638517521682</v>
      </c>
      <c r="T58" s="62">
        <f t="shared" si="51"/>
        <v>185.58367227570068</v>
      </c>
      <c r="U58" s="62">
        <f t="shared" si="51"/>
        <v>142.49572944779649</v>
      </c>
      <c r="V58" s="62">
        <f t="shared" si="51"/>
        <v>105.87711388513068</v>
      </c>
      <c r="W58" s="62">
        <f t="shared" si="51"/>
        <v>76.552160841922017</v>
      </c>
      <c r="X58" s="62">
        <f t="shared" si="51"/>
        <v>54.175920135658366</v>
      </c>
      <c r="Y58" s="62">
        <f t="shared" si="51"/>
        <v>37.727588639455803</v>
      </c>
      <c r="Z58" s="62">
        <f t="shared" si="51"/>
        <v>25.967269572161907</v>
      </c>
      <c r="AA58" s="62">
        <f t="shared" si="51"/>
        <v>17.725022665798594</v>
      </c>
      <c r="AB58" s="62">
        <f t="shared" si="51"/>
        <v>12.029123445414539</v>
      </c>
      <c r="AC58" s="62">
        <f t="shared" si="51"/>
        <v>8.1311357713604018</v>
      </c>
    </row>
    <row r="59" spans="1:29" ht="15.75" thickBot="1" x14ac:dyDescent="0.3">
      <c r="A59" s="31" t="s">
        <v>209</v>
      </c>
      <c r="B59" s="64">
        <f>B50+B51+B52+B53+B54+B55+B56+B57+B58</f>
        <v>193127.76654560235</v>
      </c>
      <c r="C59" s="64">
        <f t="shared" ref="C59:AC59" si="52">C50+C51+C52+C53+C54+C55+C56+C57+C58</f>
        <v>192171.87108939677</v>
      </c>
      <c r="D59" s="64">
        <f t="shared" si="52"/>
        <v>190841.28717346885</v>
      </c>
      <c r="E59" s="64">
        <f t="shared" si="52"/>
        <v>189013.81730948441</v>
      </c>
      <c r="F59" s="64">
        <f t="shared" si="52"/>
        <v>186551.053522715</v>
      </c>
      <c r="G59" s="64">
        <f t="shared" si="52"/>
        <v>183317.98946618952</v>
      </c>
      <c r="H59" s="64">
        <f t="shared" si="52"/>
        <v>179220.03199995254</v>
      </c>
      <c r="I59" s="64">
        <f t="shared" si="52"/>
        <v>174254.58334366503</v>
      </c>
      <c r="J59" s="64">
        <f t="shared" si="52"/>
        <v>168558.8689816765</v>
      </c>
      <c r="K59" s="64">
        <f t="shared" si="52"/>
        <v>162421.44074057724</v>
      </c>
      <c r="L59" s="64">
        <f t="shared" si="52"/>
        <v>156232.79040032614</v>
      </c>
      <c r="M59" s="64">
        <f t="shared" si="52"/>
        <v>150388.67086296054</v>
      </c>
      <c r="N59" s="64">
        <f t="shared" si="52"/>
        <v>145195.9787001409</v>
      </c>
      <c r="O59" s="64">
        <f t="shared" si="52"/>
        <v>140824.91302273711</v>
      </c>
      <c r="P59" s="64">
        <f t="shared" si="52"/>
        <v>137312.965782621</v>
      </c>
      <c r="Q59" s="64">
        <f t="shared" si="52"/>
        <v>134599.52681654296</v>
      </c>
      <c r="R59" s="64">
        <f t="shared" si="52"/>
        <v>132568.64286421501</v>
      </c>
      <c r="S59" s="64">
        <f t="shared" si="52"/>
        <v>131086.07211619921</v>
      </c>
      <c r="T59" s="64">
        <f t="shared" si="52"/>
        <v>130024.31873601275</v>
      </c>
      <c r="U59" s="64">
        <f t="shared" si="52"/>
        <v>129275.11578156096</v>
      </c>
      <c r="V59" s="64">
        <f t="shared" si="52"/>
        <v>128752.64042708109</v>
      </c>
      <c r="W59" s="64">
        <f t="shared" si="52"/>
        <v>128391.74300580203</v>
      </c>
      <c r="X59" s="64">
        <f t="shared" si="52"/>
        <v>128144.3755630634</v>
      </c>
      <c r="Y59" s="64">
        <f t="shared" si="52"/>
        <v>127975.85748751115</v>
      </c>
      <c r="Z59" s="64">
        <f t="shared" si="52"/>
        <v>127861.59033492453</v>
      </c>
      <c r="AA59" s="64">
        <f t="shared" si="52"/>
        <v>127784.37643971478</v>
      </c>
      <c r="AB59" s="64">
        <f t="shared" si="52"/>
        <v>127732.33020473758</v>
      </c>
      <c r="AC59" s="64">
        <f t="shared" si="52"/>
        <v>127697.30973895437</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53">A50</f>
        <v>Capex vehicle</v>
      </c>
      <c r="B62" s="65">
        <f>((1+B35)^B42)*B35/(((1+B35)^B42)-1)*(B31)/B47</f>
        <v>1.1155899253755601</v>
      </c>
      <c r="C62" s="65">
        <f t="shared" ref="C62:AC62" si="54">((1+C35)^C42)*C35/(((1+C35)^C42)-1)*(C31)/C47</f>
        <v>1.1046311719253992</v>
      </c>
      <c r="D62" s="65">
        <f t="shared" si="54"/>
        <v>1.0893945264789857</v>
      </c>
      <c r="E62" s="65">
        <f t="shared" si="54"/>
        <v>1.0685056555759926</v>
      </c>
      <c r="F62" s="65">
        <f t="shared" si="54"/>
        <v>1.0404332514432819</v>
      </c>
      <c r="G62" s="65">
        <f t="shared" si="54"/>
        <v>1.0037371960521917</v>
      </c>
      <c r="H62" s="65">
        <f t="shared" si="54"/>
        <v>0.95752471672550876</v>
      </c>
      <c r="I62" s="65">
        <f t="shared" si="54"/>
        <v>0.90207106806291593</v>
      </c>
      <c r="J62" s="65">
        <f t="shared" si="54"/>
        <v>0.83936554313632095</v>
      </c>
      <c r="K62" s="65">
        <f t="shared" si="54"/>
        <v>0.77316757774560929</v>
      </c>
      <c r="L62" s="65">
        <f t="shared" si="54"/>
        <v>0.70827226449396574</v>
      </c>
      <c r="M62" s="65">
        <f t="shared" si="54"/>
        <v>0.64919672506477877</v>
      </c>
      <c r="N62" s="65">
        <f t="shared" si="54"/>
        <v>0.59899092906855989</v>
      </c>
      <c r="O62" s="65">
        <f t="shared" si="54"/>
        <v>0.55878507782422471</v>
      </c>
      <c r="P62" s="65">
        <f t="shared" si="54"/>
        <v>0.52810622886177705</v>
      </c>
      <c r="Q62" s="65">
        <f t="shared" si="54"/>
        <v>0.50555481442713435</v>
      </c>
      <c r="R62" s="65">
        <f t="shared" si="54"/>
        <v>0.48943087935010826</v>
      </c>
      <c r="S62" s="65">
        <f t="shared" si="54"/>
        <v>0.47813038203821001</v>
      </c>
      <c r="T62" s="65">
        <f t="shared" si="54"/>
        <v>0.47032104381284079</v>
      </c>
      <c r="U62" s="65">
        <f t="shared" si="54"/>
        <v>0.46497672451097011</v>
      </c>
      <c r="V62" s="65">
        <f t="shared" si="54"/>
        <v>0.46134375158457519</v>
      </c>
      <c r="W62" s="65">
        <f t="shared" si="54"/>
        <v>0.45888535923084411</v>
      </c>
      <c r="X62" s="65">
        <f t="shared" si="54"/>
        <v>0.45722692518240543</v>
      </c>
      <c r="Y62" s="65">
        <f t="shared" si="54"/>
        <v>0.45611047561939771</v>
      </c>
      <c r="Z62" s="65">
        <f t="shared" si="54"/>
        <v>0.45535994282777981</v>
      </c>
      <c r="AA62" s="65">
        <f t="shared" si="54"/>
        <v>0.45485587407584455</v>
      </c>
      <c r="AB62" s="65">
        <f t="shared" si="54"/>
        <v>0.45451754904013081</v>
      </c>
      <c r="AC62" s="65">
        <f t="shared" si="54"/>
        <v>0.45429056601025514</v>
      </c>
    </row>
    <row r="63" spans="1:29" x14ac:dyDescent="0.25">
      <c r="A63" s="30" t="str">
        <f t="shared" si="53"/>
        <v>Residual value (vehicle)</v>
      </c>
      <c r="B63" s="66">
        <f>((1+B35)^B42)*B35/(((1+B35)^B42)-1)*(B32)/B47</f>
        <v>-0.16907325568643261</v>
      </c>
      <c r="C63" s="66">
        <f t="shared" ref="C63:AC63" si="55">((1+C35)^C42)*C35/(((1+C35)^C42)-1)*(C32)/C47</f>
        <v>-0.16815225406668505</v>
      </c>
      <c r="D63" s="66">
        <f t="shared" si="55"/>
        <v>-0.16687172748129497</v>
      </c>
      <c r="E63" s="66">
        <f t="shared" si="55"/>
        <v>-0.16511617343732005</v>
      </c>
      <c r="F63" s="66">
        <f t="shared" si="55"/>
        <v>-0.16275689691978371</v>
      </c>
      <c r="G63" s="66">
        <f t="shared" si="55"/>
        <v>-0.15967286673266015</v>
      </c>
      <c r="H63" s="66">
        <f t="shared" si="55"/>
        <v>-0.15578905198073681</v>
      </c>
      <c r="I63" s="66">
        <f t="shared" si="55"/>
        <v>-0.15112858576334873</v>
      </c>
      <c r="J63" s="66">
        <f t="shared" si="55"/>
        <v>-0.14585865334930506</v>
      </c>
      <c r="K63" s="66">
        <f t="shared" si="55"/>
        <v>-0.14029520732178782</v>
      </c>
      <c r="L63" s="66">
        <f t="shared" si="55"/>
        <v>-0.13484123950595822</v>
      </c>
      <c r="M63" s="66">
        <f t="shared" si="55"/>
        <v>-0.12987638034116483</v>
      </c>
      <c r="N63" s="66">
        <f t="shared" si="55"/>
        <v>-0.12565695706063154</v>
      </c>
      <c r="O63" s="66">
        <f t="shared" si="55"/>
        <v>-0.1222779546688204</v>
      </c>
      <c r="P63" s="66">
        <f t="shared" si="55"/>
        <v>-0.11969962587304023</v>
      </c>
      <c r="Q63" s="66">
        <f t="shared" si="55"/>
        <v>-0.11780434742587344</v>
      </c>
      <c r="R63" s="66">
        <f t="shared" si="55"/>
        <v>-0.11644925075450636</v>
      </c>
      <c r="S63" s="66">
        <f t="shared" si="55"/>
        <v>-0.11549952810808087</v>
      </c>
      <c r="T63" s="66">
        <f t="shared" si="55"/>
        <v>-0.11484321138488493</v>
      </c>
      <c r="U63" s="66">
        <f t="shared" si="55"/>
        <v>-0.11439406114568518</v>
      </c>
      <c r="V63" s="66">
        <f t="shared" si="55"/>
        <v>-0.11408873682527537</v>
      </c>
      <c r="W63" s="66">
        <f t="shared" si="55"/>
        <v>-0.11388212725512138</v>
      </c>
      <c r="X63" s="66">
        <f t="shared" si="55"/>
        <v>-0.11374274822339091</v>
      </c>
      <c r="Y63" s="66">
        <f t="shared" si="55"/>
        <v>-0.11364891895160623</v>
      </c>
      <c r="Z63" s="66">
        <f t="shared" si="55"/>
        <v>-0.1135858422595447</v>
      </c>
      <c r="AA63" s="66">
        <f t="shared" si="55"/>
        <v>-0.11354347903464802</v>
      </c>
      <c r="AB63" s="66">
        <f t="shared" si="55"/>
        <v>-0.11351504533483803</v>
      </c>
      <c r="AC63" s="66">
        <f t="shared" si="55"/>
        <v>-0.11349596910147615</v>
      </c>
    </row>
    <row r="64" spans="1:29" x14ac:dyDescent="0.25">
      <c r="A64" s="30" t="str">
        <f t="shared" si="53"/>
        <v>Capex costumization</v>
      </c>
      <c r="B64" s="66">
        <f>((1+B35)^B43)*B35/(((1+B35)^B43)-1)*(B33)/B47</f>
        <v>9.8813060523915433E-2</v>
      </c>
      <c r="C64" s="66">
        <f t="shared" ref="C64:AC64" si="56">((1+C35)^C43)*C35/(((1+C35)^C43)-1)*(C33)/C47</f>
        <v>9.8813060523915433E-2</v>
      </c>
      <c r="D64" s="66">
        <f t="shared" si="56"/>
        <v>9.8813060523915433E-2</v>
      </c>
      <c r="E64" s="66">
        <f t="shared" si="56"/>
        <v>9.8813060523915433E-2</v>
      </c>
      <c r="F64" s="66">
        <f t="shared" si="56"/>
        <v>9.8813060523915433E-2</v>
      </c>
      <c r="G64" s="66">
        <f t="shared" si="56"/>
        <v>9.8813060523915433E-2</v>
      </c>
      <c r="H64" s="66">
        <f t="shared" si="56"/>
        <v>9.8813060523915433E-2</v>
      </c>
      <c r="I64" s="66">
        <f t="shared" si="56"/>
        <v>9.8813060523915433E-2</v>
      </c>
      <c r="J64" s="66">
        <f t="shared" si="56"/>
        <v>9.8813060523915433E-2</v>
      </c>
      <c r="K64" s="66">
        <f t="shared" si="56"/>
        <v>9.8813060523915433E-2</v>
      </c>
      <c r="L64" s="66">
        <f t="shared" si="56"/>
        <v>9.8813060523915433E-2</v>
      </c>
      <c r="M64" s="66">
        <f t="shared" si="56"/>
        <v>9.8813060523915433E-2</v>
      </c>
      <c r="N64" s="66">
        <f t="shared" si="56"/>
        <v>9.8813060523915433E-2</v>
      </c>
      <c r="O64" s="66">
        <f t="shared" si="56"/>
        <v>9.8813060523915433E-2</v>
      </c>
      <c r="P64" s="66">
        <f t="shared" si="56"/>
        <v>9.8813060523915433E-2</v>
      </c>
      <c r="Q64" s="66">
        <f t="shared" si="56"/>
        <v>9.8813060523915433E-2</v>
      </c>
      <c r="R64" s="66">
        <f t="shared" si="56"/>
        <v>9.8813060523915433E-2</v>
      </c>
      <c r="S64" s="66">
        <f t="shared" si="56"/>
        <v>9.8813060523915433E-2</v>
      </c>
      <c r="T64" s="66">
        <f t="shared" si="56"/>
        <v>9.8813060523915433E-2</v>
      </c>
      <c r="U64" s="66">
        <f t="shared" si="56"/>
        <v>9.8813060523915433E-2</v>
      </c>
      <c r="V64" s="66">
        <f t="shared" si="56"/>
        <v>9.8813060523915433E-2</v>
      </c>
      <c r="W64" s="66">
        <f t="shared" si="56"/>
        <v>9.8813060523915433E-2</v>
      </c>
      <c r="X64" s="66">
        <f t="shared" si="56"/>
        <v>9.8813060523915433E-2</v>
      </c>
      <c r="Y64" s="66">
        <f t="shared" si="56"/>
        <v>9.8813060523915433E-2</v>
      </c>
      <c r="Z64" s="66">
        <f t="shared" si="56"/>
        <v>9.8813060523915433E-2</v>
      </c>
      <c r="AA64" s="66">
        <f t="shared" si="56"/>
        <v>9.8813060523915433E-2</v>
      </c>
      <c r="AB64" s="66">
        <f t="shared" si="56"/>
        <v>9.8813060523915433E-2</v>
      </c>
      <c r="AC64" s="66">
        <f t="shared" si="56"/>
        <v>9.8813060523915433E-2</v>
      </c>
    </row>
    <row r="65" spans="1:29" x14ac:dyDescent="0.25">
      <c r="A65" s="30" t="str">
        <f t="shared" si="53"/>
        <v>Residual value (costumization)</v>
      </c>
      <c r="B65" s="66">
        <f>((1+B35)^B43)*B35/(((1+B35)^B43)-1)*(B34)/B47</f>
        <v>-2.4703265130978858E-2</v>
      </c>
      <c r="C65" s="66">
        <f t="shared" ref="C65:AC65" si="57">((1+C35)^C43)*C35/(((1+C35)^C43)-1)*(C34)/C47</f>
        <v>-2.4703265130978858E-2</v>
      </c>
      <c r="D65" s="66">
        <f t="shared" si="57"/>
        <v>-2.4703265130978858E-2</v>
      </c>
      <c r="E65" s="66">
        <f t="shared" si="57"/>
        <v>-2.4703265130978858E-2</v>
      </c>
      <c r="F65" s="66">
        <f t="shared" si="57"/>
        <v>-2.4703265130978858E-2</v>
      </c>
      <c r="G65" s="66">
        <f t="shared" si="57"/>
        <v>-2.4703265130978858E-2</v>
      </c>
      <c r="H65" s="66">
        <f t="shared" si="57"/>
        <v>-2.4703265130978858E-2</v>
      </c>
      <c r="I65" s="66">
        <f t="shared" si="57"/>
        <v>-2.4703265130978858E-2</v>
      </c>
      <c r="J65" s="66">
        <f t="shared" si="57"/>
        <v>-2.4703265130978858E-2</v>
      </c>
      <c r="K65" s="66">
        <f t="shared" si="57"/>
        <v>-2.4703265130978858E-2</v>
      </c>
      <c r="L65" s="66">
        <f t="shared" si="57"/>
        <v>-2.4703265130978858E-2</v>
      </c>
      <c r="M65" s="66">
        <f t="shared" si="57"/>
        <v>-2.4703265130978858E-2</v>
      </c>
      <c r="N65" s="66">
        <f t="shared" si="57"/>
        <v>-2.4703265130978858E-2</v>
      </c>
      <c r="O65" s="66">
        <f t="shared" si="57"/>
        <v>-2.4703265130978858E-2</v>
      </c>
      <c r="P65" s="66">
        <f t="shared" si="57"/>
        <v>-2.4703265130978858E-2</v>
      </c>
      <c r="Q65" s="66">
        <f t="shared" si="57"/>
        <v>-2.4703265130978858E-2</v>
      </c>
      <c r="R65" s="66">
        <f t="shared" si="57"/>
        <v>-2.4703265130978858E-2</v>
      </c>
      <c r="S65" s="66">
        <f t="shared" si="57"/>
        <v>-2.4703265130978858E-2</v>
      </c>
      <c r="T65" s="66">
        <f t="shared" si="57"/>
        <v>-2.4703265130978858E-2</v>
      </c>
      <c r="U65" s="66">
        <f t="shared" si="57"/>
        <v>-2.4703265130978858E-2</v>
      </c>
      <c r="V65" s="66">
        <f t="shared" si="57"/>
        <v>-2.4703265130978858E-2</v>
      </c>
      <c r="W65" s="66">
        <f t="shared" si="57"/>
        <v>-2.4703265130978858E-2</v>
      </c>
      <c r="X65" s="66">
        <f t="shared" si="57"/>
        <v>-2.4703265130978858E-2</v>
      </c>
      <c r="Y65" s="66">
        <f t="shared" si="57"/>
        <v>-2.4703265130978858E-2</v>
      </c>
      <c r="Z65" s="66">
        <f t="shared" si="57"/>
        <v>-2.4703265130978858E-2</v>
      </c>
      <c r="AA65" s="66">
        <f t="shared" si="57"/>
        <v>-2.4703265130978858E-2</v>
      </c>
      <c r="AB65" s="66">
        <f t="shared" si="57"/>
        <v>-2.4703265130978858E-2</v>
      </c>
      <c r="AC65" s="66">
        <f t="shared" si="57"/>
        <v>-2.4703265130978858E-2</v>
      </c>
    </row>
    <row r="66" spans="1:29" x14ac:dyDescent="0.25">
      <c r="A66" s="30" t="str">
        <f t="shared" si="53"/>
        <v>Opex fix (admin, crew, insurance)</v>
      </c>
      <c r="B66" s="66">
        <f>B36/B47</f>
        <v>1.2727272727272727</v>
      </c>
      <c r="C66" s="66">
        <f t="shared" ref="C66:AC66" si="58">C36/C47</f>
        <v>1.2727272727272727</v>
      </c>
      <c r="D66" s="66">
        <f t="shared" si="58"/>
        <v>1.2727272727272727</v>
      </c>
      <c r="E66" s="66">
        <f t="shared" si="58"/>
        <v>1.2727272727272727</v>
      </c>
      <c r="F66" s="66">
        <f t="shared" si="58"/>
        <v>1.2727272727272727</v>
      </c>
      <c r="G66" s="66">
        <f t="shared" si="58"/>
        <v>1.2727272727272727</v>
      </c>
      <c r="H66" s="66">
        <f t="shared" si="58"/>
        <v>1.2727272727272727</v>
      </c>
      <c r="I66" s="66">
        <f t="shared" si="58"/>
        <v>1.2727272727272727</v>
      </c>
      <c r="J66" s="66">
        <f t="shared" si="58"/>
        <v>1.2727272727272727</v>
      </c>
      <c r="K66" s="66">
        <f t="shared" si="58"/>
        <v>1.2727272727272727</v>
      </c>
      <c r="L66" s="66">
        <f t="shared" si="58"/>
        <v>1.2727272727272727</v>
      </c>
      <c r="M66" s="66">
        <f t="shared" si="58"/>
        <v>1.2727272727272727</v>
      </c>
      <c r="N66" s="66">
        <f t="shared" si="58"/>
        <v>1.2727272727272727</v>
      </c>
      <c r="O66" s="66">
        <f t="shared" si="58"/>
        <v>1.2727272727272727</v>
      </c>
      <c r="P66" s="66">
        <f t="shared" si="58"/>
        <v>1.2727272727272727</v>
      </c>
      <c r="Q66" s="66">
        <f t="shared" si="58"/>
        <v>1.2727272727272727</v>
      </c>
      <c r="R66" s="66">
        <f t="shared" si="58"/>
        <v>1.2727272727272727</v>
      </c>
      <c r="S66" s="66">
        <f t="shared" si="58"/>
        <v>1.2727272727272727</v>
      </c>
      <c r="T66" s="66">
        <f t="shared" si="58"/>
        <v>1.2727272727272727</v>
      </c>
      <c r="U66" s="66">
        <f t="shared" si="58"/>
        <v>1.2727272727272727</v>
      </c>
      <c r="V66" s="66">
        <f t="shared" si="58"/>
        <v>1.2727272727272727</v>
      </c>
      <c r="W66" s="66">
        <f t="shared" si="58"/>
        <v>1.2727272727272727</v>
      </c>
      <c r="X66" s="66">
        <f t="shared" si="58"/>
        <v>1.2727272727272727</v>
      </c>
      <c r="Y66" s="66">
        <f t="shared" si="58"/>
        <v>1.2727272727272727</v>
      </c>
      <c r="Z66" s="66">
        <f t="shared" si="58"/>
        <v>1.2727272727272727</v>
      </c>
      <c r="AA66" s="66">
        <f t="shared" si="58"/>
        <v>1.2727272727272727</v>
      </c>
      <c r="AB66" s="66">
        <f t="shared" si="58"/>
        <v>1.2727272727272727</v>
      </c>
      <c r="AC66" s="66">
        <f t="shared" si="58"/>
        <v>1.2727272727272727</v>
      </c>
    </row>
    <row r="67" spans="1:29" x14ac:dyDescent="0.25">
      <c r="A67" s="30" t="str">
        <f t="shared" si="53"/>
        <v>Opex maintenance &amp; repair</v>
      </c>
      <c r="B67" s="66">
        <f>B37/B47</f>
        <v>0.4671672496895895</v>
      </c>
      <c r="C67" s="66">
        <f t="shared" ref="C67:AC67" si="59">C37/C47</f>
        <v>0.4648505994989256</v>
      </c>
      <c r="D67" s="66">
        <f t="shared" si="59"/>
        <v>0.46162961476384218</v>
      </c>
      <c r="E67" s="66">
        <f t="shared" si="59"/>
        <v>0.45721376518932139</v>
      </c>
      <c r="F67" s="66">
        <f t="shared" si="59"/>
        <v>0.45127933654447566</v>
      </c>
      <c r="G67" s="66">
        <f t="shared" si="59"/>
        <v>0.44352189185836205</v>
      </c>
      <c r="H67" s="66">
        <f t="shared" si="59"/>
        <v>0.43375270145453582</v>
      </c>
      <c r="I67" s="66">
        <f t="shared" si="59"/>
        <v>0.42202995339459887</v>
      </c>
      <c r="J67" s="66">
        <f t="shared" si="59"/>
        <v>0.4087741787357812</v>
      </c>
      <c r="K67" s="66">
        <f t="shared" si="59"/>
        <v>0.39478011181554229</v>
      </c>
      <c r="L67" s="66">
        <f t="shared" si="59"/>
        <v>0.38106142195712572</v>
      </c>
      <c r="M67" s="66">
        <f t="shared" si="59"/>
        <v>0.36857301619960903</v>
      </c>
      <c r="N67" s="66">
        <f t="shared" si="59"/>
        <v>0.35795964968889854</v>
      </c>
      <c r="O67" s="66">
        <f t="shared" si="59"/>
        <v>0.34946024386007007</v>
      </c>
      <c r="P67" s="66">
        <f t="shared" si="59"/>
        <v>0.34297481998212359</v>
      </c>
      <c r="Q67" s="66">
        <f t="shared" si="59"/>
        <v>0.33820751330008608</v>
      </c>
      <c r="R67" s="66">
        <f t="shared" si="59"/>
        <v>0.33479895798945486</v>
      </c>
      <c r="S67" s="66">
        <f t="shared" si="59"/>
        <v>0.33241006409095941</v>
      </c>
      <c r="T67" s="66">
        <f t="shared" si="59"/>
        <v>0.33075919157420486</v>
      </c>
      <c r="U67" s="66">
        <f t="shared" si="59"/>
        <v>0.32962941724485667</v>
      </c>
      <c r="V67" s="66">
        <f t="shared" si="59"/>
        <v>0.32886141680932485</v>
      </c>
      <c r="W67" s="66">
        <f t="shared" si="59"/>
        <v>0.32834171946045226</v>
      </c>
      <c r="X67" s="66">
        <f t="shared" si="59"/>
        <v>0.3279911310863281</v>
      </c>
      <c r="Y67" s="66">
        <f t="shared" si="59"/>
        <v>0.32775511673444296</v>
      </c>
      <c r="Z67" s="66">
        <f t="shared" si="59"/>
        <v>0.32759645617667899</v>
      </c>
      <c r="AA67" s="66">
        <f t="shared" si="59"/>
        <v>0.32748989743570639</v>
      </c>
      <c r="AB67" s="66">
        <f t="shared" si="59"/>
        <v>0.3274183764582469</v>
      </c>
      <c r="AC67" s="66">
        <f t="shared" si="59"/>
        <v>0.32737039287308545</v>
      </c>
    </row>
    <row r="68" spans="1:29" x14ac:dyDescent="0.25">
      <c r="A68" s="30" t="str">
        <f t="shared" si="53"/>
        <v>Opex var (mode-fees)</v>
      </c>
      <c r="B68" s="66">
        <f>B38*B47/B47</f>
        <v>0.11</v>
      </c>
      <c r="C68" s="66">
        <f t="shared" ref="C68:AC68" si="60">C38*C47/C47</f>
        <v>0.11</v>
      </c>
      <c r="D68" s="66">
        <f t="shared" si="60"/>
        <v>0.11</v>
      </c>
      <c r="E68" s="66">
        <f t="shared" si="60"/>
        <v>0.11</v>
      </c>
      <c r="F68" s="66">
        <f t="shared" si="60"/>
        <v>0.11</v>
      </c>
      <c r="G68" s="66">
        <f t="shared" si="60"/>
        <v>0.11</v>
      </c>
      <c r="H68" s="66">
        <f t="shared" si="60"/>
        <v>0.11</v>
      </c>
      <c r="I68" s="66">
        <f t="shared" si="60"/>
        <v>0.11</v>
      </c>
      <c r="J68" s="66">
        <f t="shared" si="60"/>
        <v>0.11</v>
      </c>
      <c r="K68" s="66">
        <f t="shared" si="60"/>
        <v>0.11</v>
      </c>
      <c r="L68" s="66">
        <f t="shared" si="60"/>
        <v>0.11</v>
      </c>
      <c r="M68" s="66">
        <f t="shared" si="60"/>
        <v>0.11</v>
      </c>
      <c r="N68" s="66">
        <f t="shared" si="60"/>
        <v>0.11</v>
      </c>
      <c r="O68" s="66">
        <f t="shared" si="60"/>
        <v>0.11</v>
      </c>
      <c r="P68" s="66">
        <f t="shared" si="60"/>
        <v>0.11</v>
      </c>
      <c r="Q68" s="66">
        <f t="shared" si="60"/>
        <v>0.11</v>
      </c>
      <c r="R68" s="66">
        <f t="shared" si="60"/>
        <v>0.11</v>
      </c>
      <c r="S68" s="66">
        <f t="shared" si="60"/>
        <v>0.11</v>
      </c>
      <c r="T68" s="66">
        <f t="shared" si="60"/>
        <v>0.11</v>
      </c>
      <c r="U68" s="66">
        <f t="shared" si="60"/>
        <v>0.11</v>
      </c>
      <c r="V68" s="66">
        <f t="shared" si="60"/>
        <v>0.11</v>
      </c>
      <c r="W68" s="66">
        <f t="shared" si="60"/>
        <v>0.11</v>
      </c>
      <c r="X68" s="66">
        <f t="shared" si="60"/>
        <v>0.11</v>
      </c>
      <c r="Y68" s="66">
        <f t="shared" si="60"/>
        <v>0.11</v>
      </c>
      <c r="Z68" s="66">
        <f t="shared" si="60"/>
        <v>0.11</v>
      </c>
      <c r="AA68" s="66">
        <f t="shared" si="60"/>
        <v>0.11</v>
      </c>
      <c r="AB68" s="66">
        <f t="shared" si="60"/>
        <v>0.11</v>
      </c>
      <c r="AC68" s="66">
        <f t="shared" si="60"/>
        <v>0.11</v>
      </c>
    </row>
    <row r="69" spans="1:29" x14ac:dyDescent="0.25">
      <c r="A69" s="30" t="str">
        <f t="shared" si="53"/>
        <v>Fuel Cost</v>
      </c>
      <c r="B69" s="66">
        <f>B39*B40*B47/B47</f>
        <v>0.63178839945271259</v>
      </c>
      <c r="C69" s="66">
        <f t="shared" ref="C69:AC69" si="61">C39*C40*C47/C47</f>
        <v>0.62677155383840255</v>
      </c>
      <c r="D69" s="66">
        <f t="shared" si="61"/>
        <v>0.61976863315371922</v>
      </c>
      <c r="E69" s="66">
        <f t="shared" si="61"/>
        <v>0.61010882895816398</v>
      </c>
      <c r="F69" s="66">
        <f t="shared" si="61"/>
        <v>0.59700423644984901</v>
      </c>
      <c r="G69" s="66">
        <f t="shared" si="61"/>
        <v>0.57962693857109882</v>
      </c>
      <c r="H69" s="66">
        <f t="shared" si="61"/>
        <v>0.55726805513604216</v>
      </c>
      <c r="I69" s="66">
        <f t="shared" si="61"/>
        <v>0.52957633598655707</v>
      </c>
      <c r="J69" s="66">
        <f t="shared" si="61"/>
        <v>0.49681277085502007</v>
      </c>
      <c r="K69" s="66">
        <f t="shared" si="61"/>
        <v>0.45999707982918875</v>
      </c>
      <c r="L69" s="66">
        <f t="shared" si="61"/>
        <v>0.42083825723484558</v>
      </c>
      <c r="M69" s="66">
        <f t="shared" si="61"/>
        <v>0.38145763751651568</v>
      </c>
      <c r="N69" s="66">
        <f t="shared" si="61"/>
        <v>0.34401706791540687</v>
      </c>
      <c r="O69" s="66">
        <f t="shared" si="61"/>
        <v>0.31035603777584414</v>
      </c>
      <c r="P69" s="66">
        <f t="shared" si="61"/>
        <v>0.28170123216487392</v>
      </c>
      <c r="Q69" s="66">
        <f t="shared" si="61"/>
        <v>0.25852480714823423</v>
      </c>
      <c r="R69" s="66">
        <f t="shared" si="61"/>
        <v>0.24060859348351224</v>
      </c>
      <c r="S69" s="66">
        <f t="shared" si="61"/>
        <v>0.22727029987732031</v>
      </c>
      <c r="T69" s="66">
        <f t="shared" si="61"/>
        <v>0.21763018176375837</v>
      </c>
      <c r="U69" s="66">
        <f t="shared" si="61"/>
        <v>0.21081667039897933</v>
      </c>
      <c r="V69" s="66">
        <f t="shared" si="61"/>
        <v>0.2060785605510925</v>
      </c>
      <c r="W69" s="66">
        <f t="shared" si="61"/>
        <v>0.2028214503519811</v>
      </c>
      <c r="X69" s="66">
        <f t="shared" si="61"/>
        <v>0.20060034461495233</v>
      </c>
      <c r="Y69" s="66">
        <f t="shared" si="61"/>
        <v>0.19909407482067801</v>
      </c>
      <c r="Z69" s="66">
        <f t="shared" si="61"/>
        <v>0.19807643086855622</v>
      </c>
      <c r="AA69" s="66">
        <f t="shared" si="61"/>
        <v>0.19739066516741446</v>
      </c>
      <c r="AB69" s="66">
        <f t="shared" si="61"/>
        <v>0.19692934410338123</v>
      </c>
      <c r="AC69" s="66">
        <f t="shared" si="61"/>
        <v>0.1966193712467082</v>
      </c>
    </row>
    <row r="70" spans="1:29" ht="15.75" thickBot="1" x14ac:dyDescent="0.3">
      <c r="A70" s="59" t="str">
        <f t="shared" ref="A70" si="62">A58</f>
        <v>Emission Cost</v>
      </c>
      <c r="B70" s="66">
        <f>B41</f>
        <v>9.1045502411311718E-3</v>
      </c>
      <c r="C70" s="66">
        <f t="shared" ref="C70:AC70" si="63">C41</f>
        <v>9.095880490962575E-3</v>
      </c>
      <c r="D70" s="66">
        <f t="shared" si="63"/>
        <v>9.0834699366993434E-3</v>
      </c>
      <c r="E70" s="66">
        <f t="shared" si="63"/>
        <v>9.0657157660766E-3</v>
      </c>
      <c r="F70" s="66">
        <f t="shared" si="63"/>
        <v>9.040341138604446E-3</v>
      </c>
      <c r="G70" s="66">
        <f t="shared" si="63"/>
        <v>9.0041260615172855E-3</v>
      </c>
      <c r="H70" s="66">
        <f t="shared" si="63"/>
        <v>8.9525469072142452E-3</v>
      </c>
      <c r="I70" s="66">
        <f t="shared" si="63"/>
        <v>8.8793119020679299E-3</v>
      </c>
      <c r="J70" s="66">
        <f t="shared" si="63"/>
        <v>8.7758012597282838E-3</v>
      </c>
      <c r="K70" s="66">
        <f t="shared" si="63"/>
        <v>8.630474185370102E-3</v>
      </c>
      <c r="L70" s="66">
        <f t="shared" si="63"/>
        <v>8.4284167966506146E-3</v>
      </c>
      <c r="M70" s="66">
        <f t="shared" si="63"/>
        <v>8.1514036756981448E-3</v>
      </c>
      <c r="N70" s="66">
        <f t="shared" si="63"/>
        <v>7.7791277246640009E-3</v>
      </c>
      <c r="O70" s="66">
        <f t="shared" si="63"/>
        <v>7.2924911382377788E-3</v>
      </c>
      <c r="P70" s="66">
        <f t="shared" si="63"/>
        <v>6.6796546098928378E-3</v>
      </c>
      <c r="Q70" s="66">
        <f t="shared" si="63"/>
        <v>5.9442683673542078E-3</v>
      </c>
      <c r="R70" s="66">
        <f t="shared" si="63"/>
        <v>5.1127129787673555E-3</v>
      </c>
      <c r="S70" s="66">
        <f t="shared" si="63"/>
        <v>4.2348433668221242E-3</v>
      </c>
      <c r="T70" s="66">
        <f t="shared" si="63"/>
        <v>3.3742485868309214E-3</v>
      </c>
      <c r="U70" s="66">
        <f t="shared" si="63"/>
        <v>2.5908314445053909E-3</v>
      </c>
      <c r="V70" s="66">
        <f t="shared" si="63"/>
        <v>1.9250384342751033E-3</v>
      </c>
      <c r="W70" s="66">
        <f t="shared" si="63"/>
        <v>1.3918574698531276E-3</v>
      </c>
      <c r="X70" s="66">
        <f t="shared" si="63"/>
        <v>9.8501672973924301E-4</v>
      </c>
      <c r="Y70" s="66">
        <f t="shared" si="63"/>
        <v>6.8595615708101458E-4</v>
      </c>
      <c r="Z70" s="66">
        <f t="shared" si="63"/>
        <v>4.7213217403930738E-4</v>
      </c>
      <c r="AA70" s="66">
        <f t="shared" si="63"/>
        <v>3.2227313937815624E-4</v>
      </c>
      <c r="AB70" s="66">
        <f t="shared" si="63"/>
        <v>2.1871133537117345E-4</v>
      </c>
      <c r="AC70" s="66">
        <f t="shared" si="63"/>
        <v>1.4783883220655276E-4</v>
      </c>
    </row>
    <row r="71" spans="1:29" ht="15.75" thickBot="1" x14ac:dyDescent="0.3">
      <c r="A71" s="31" t="s">
        <v>63</v>
      </c>
      <c r="B71" s="76">
        <f>B62+B63+B64-B65+B66+B67+B68+B69+B70</f>
        <v>3.560820467454727</v>
      </c>
      <c r="C71" s="76">
        <f t="shared" ref="C71:AC71" si="64">C62+C63+C64-C65+C66+C67+C68+C69+C70</f>
        <v>3.5434405500691719</v>
      </c>
      <c r="D71" s="76">
        <f t="shared" si="64"/>
        <v>3.5192481152341188</v>
      </c>
      <c r="E71" s="76">
        <f t="shared" si="64"/>
        <v>3.4860213904344017</v>
      </c>
      <c r="F71" s="76">
        <f t="shared" si="64"/>
        <v>3.4412438670385948</v>
      </c>
      <c r="G71" s="76">
        <f t="shared" si="64"/>
        <v>3.3824608841926764</v>
      </c>
      <c r="H71" s="76">
        <f t="shared" si="64"/>
        <v>3.3079525666247309</v>
      </c>
      <c r="I71" s="76">
        <f t="shared" si="64"/>
        <v>3.2176716819649585</v>
      </c>
      <c r="J71" s="76">
        <f t="shared" si="64"/>
        <v>3.1141132390197122</v>
      </c>
      <c r="K71" s="76">
        <f t="shared" si="64"/>
        <v>3.0025236346360895</v>
      </c>
      <c r="L71" s="76">
        <f t="shared" si="64"/>
        <v>2.890002719358796</v>
      </c>
      <c r="M71" s="76">
        <f t="shared" si="64"/>
        <v>2.7837460004976036</v>
      </c>
      <c r="N71" s="76">
        <f t="shared" si="64"/>
        <v>2.6893334157190649</v>
      </c>
      <c r="O71" s="76">
        <f t="shared" si="64"/>
        <v>2.6098594943117233</v>
      </c>
      <c r="P71" s="76">
        <f t="shared" si="64"/>
        <v>2.5460059081277944</v>
      </c>
      <c r="Q71" s="76">
        <f t="shared" si="64"/>
        <v>2.4966706541991024</v>
      </c>
      <c r="R71" s="76">
        <f t="shared" si="64"/>
        <v>2.4597454914295027</v>
      </c>
      <c r="S71" s="76">
        <f t="shared" si="64"/>
        <v>2.4327896596473977</v>
      </c>
      <c r="T71" s="76">
        <f t="shared" si="64"/>
        <v>2.413485052734917</v>
      </c>
      <c r="U71" s="76">
        <f t="shared" si="64"/>
        <v>2.3998631808357933</v>
      </c>
      <c r="V71" s="76">
        <f t="shared" si="64"/>
        <v>2.3903636289361589</v>
      </c>
      <c r="W71" s="76">
        <f t="shared" si="64"/>
        <v>2.3838018576401763</v>
      </c>
      <c r="X71" s="76">
        <f t="shared" si="64"/>
        <v>2.3793042677722012</v>
      </c>
      <c r="Y71" s="76">
        <f t="shared" si="64"/>
        <v>2.3762403027621604</v>
      </c>
      <c r="Z71" s="76">
        <f t="shared" si="64"/>
        <v>2.3741627181696767</v>
      </c>
      <c r="AA71" s="76">
        <f t="shared" si="64"/>
        <v>2.3727588291658623</v>
      </c>
      <c r="AB71" s="76">
        <f t="shared" si="64"/>
        <v>2.3718125339844591</v>
      </c>
      <c r="AC71" s="76">
        <f t="shared" si="64"/>
        <v>2.371175798242946</v>
      </c>
    </row>
    <row r="72" spans="1:29" ht="15.75" thickBot="1" x14ac:dyDescent="0.3"/>
    <row r="73" spans="1:29" ht="15.75" thickBot="1" x14ac:dyDescent="0.3">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5">A50</f>
        <v>Capex vehicle</v>
      </c>
      <c r="B74" s="65">
        <f>((1+B35)^B42)*B35/(((1+B35)^B42)-1)*(B31)/B47/(B44)</f>
        <v>4.4623597015022408E-2</v>
      </c>
      <c r="C74" s="65">
        <f t="shared" ref="C74:AC74" si="66">((1+C35)^C42)*C35/(((1+C35)^C42)-1)*(C31)/C47/(C44)</f>
        <v>4.4185246877015964E-2</v>
      </c>
      <c r="D74" s="65">
        <f t="shared" si="66"/>
        <v>4.3575781059159428E-2</v>
      </c>
      <c r="E74" s="65">
        <f t="shared" si="66"/>
        <v>4.2740226223039704E-2</v>
      </c>
      <c r="F74" s="65">
        <f t="shared" si="66"/>
        <v>4.1617330057731279E-2</v>
      </c>
      <c r="G74" s="65">
        <f t="shared" si="66"/>
        <v>4.0149487842087668E-2</v>
      </c>
      <c r="H74" s="65">
        <f t="shared" si="66"/>
        <v>3.8300988669020347E-2</v>
      </c>
      <c r="I74" s="65">
        <f t="shared" si="66"/>
        <v>3.6082842722516634E-2</v>
      </c>
      <c r="J74" s="65">
        <f t="shared" si="66"/>
        <v>3.3574621725452836E-2</v>
      </c>
      <c r="K74" s="65">
        <f t="shared" si="66"/>
        <v>3.0926703109824372E-2</v>
      </c>
      <c r="L74" s="65">
        <f t="shared" si="66"/>
        <v>2.8330890579758631E-2</v>
      </c>
      <c r="M74" s="65">
        <f t="shared" si="66"/>
        <v>2.5967869002591151E-2</v>
      </c>
      <c r="N74" s="65">
        <f t="shared" si="66"/>
        <v>2.3959637162742395E-2</v>
      </c>
      <c r="O74" s="65">
        <f t="shared" si="66"/>
        <v>2.2351403112968987E-2</v>
      </c>
      <c r="P74" s="65">
        <f t="shared" si="66"/>
        <v>2.1124249154471083E-2</v>
      </c>
      <c r="Q74" s="65">
        <f t="shared" si="66"/>
        <v>2.0222192577085372E-2</v>
      </c>
      <c r="R74" s="65">
        <f t="shared" si="66"/>
        <v>1.957723517400433E-2</v>
      </c>
      <c r="S74" s="65">
        <f t="shared" si="66"/>
        <v>1.9125215281528399E-2</v>
      </c>
      <c r="T74" s="65">
        <f t="shared" si="66"/>
        <v>1.8812841752513632E-2</v>
      </c>
      <c r="U74" s="65">
        <f t="shared" si="66"/>
        <v>1.8599068980438803E-2</v>
      </c>
      <c r="V74" s="65">
        <f t="shared" si="66"/>
        <v>1.8453750063383009E-2</v>
      </c>
      <c r="W74" s="65">
        <f t="shared" si="66"/>
        <v>1.8355414369233766E-2</v>
      </c>
      <c r="X74" s="65">
        <f t="shared" si="66"/>
        <v>1.8289077007296217E-2</v>
      </c>
      <c r="Y74" s="65">
        <f t="shared" si="66"/>
        <v>1.8244419024775908E-2</v>
      </c>
      <c r="Z74" s="65">
        <f t="shared" si="66"/>
        <v>1.8214397713111192E-2</v>
      </c>
      <c r="AA74" s="65">
        <f t="shared" si="66"/>
        <v>1.8194234963033781E-2</v>
      </c>
      <c r="AB74" s="65">
        <f t="shared" si="66"/>
        <v>1.8180701961605233E-2</v>
      </c>
      <c r="AC74" s="65">
        <f t="shared" si="66"/>
        <v>1.8171622640410206E-2</v>
      </c>
    </row>
    <row r="75" spans="1:29" x14ac:dyDescent="0.25">
      <c r="A75" s="30" t="str">
        <f t="shared" si="65"/>
        <v>Residual value (vehicle)</v>
      </c>
      <c r="B75" s="68">
        <f>((1+B35)^B42)*B35/(((1+B35)^B42)-1)*(B32)/B47/(B44)</f>
        <v>-6.7629302274573042E-3</v>
      </c>
      <c r="C75" s="68">
        <f t="shared" ref="C75:AC75" si="67">((1+C35)^C42)*C35/(((1+C35)^C42)-1)*(C32)/C47/(C44)</f>
        <v>-6.7260901626674018E-3</v>
      </c>
      <c r="D75" s="68">
        <f t="shared" si="67"/>
        <v>-6.6748690992517986E-3</v>
      </c>
      <c r="E75" s="68">
        <f t="shared" si="67"/>
        <v>-6.6046469374928017E-3</v>
      </c>
      <c r="F75" s="68">
        <f t="shared" si="67"/>
        <v>-6.5102758767913481E-3</v>
      </c>
      <c r="G75" s="68">
        <f t="shared" si="67"/>
        <v>-6.3869146693064059E-3</v>
      </c>
      <c r="H75" s="68">
        <f t="shared" si="67"/>
        <v>-6.2315620792294723E-3</v>
      </c>
      <c r="I75" s="68">
        <f t="shared" si="67"/>
        <v>-6.045143430533949E-3</v>
      </c>
      <c r="J75" s="68">
        <f t="shared" si="67"/>
        <v>-5.8343461339722021E-3</v>
      </c>
      <c r="K75" s="68">
        <f t="shared" si="67"/>
        <v>-5.6118082928715129E-3</v>
      </c>
      <c r="L75" s="68">
        <f t="shared" si="67"/>
        <v>-5.3936495802383291E-3</v>
      </c>
      <c r="M75" s="68">
        <f t="shared" si="67"/>
        <v>-5.1950552136465931E-3</v>
      </c>
      <c r="N75" s="68">
        <f t="shared" si="67"/>
        <v>-5.0262782824252615E-3</v>
      </c>
      <c r="O75" s="68">
        <f t="shared" si="67"/>
        <v>-4.8911181867528162E-3</v>
      </c>
      <c r="P75" s="68">
        <f t="shared" si="67"/>
        <v>-4.7879850349216088E-3</v>
      </c>
      <c r="Q75" s="68">
        <f t="shared" si="67"/>
        <v>-4.7121738970349377E-3</v>
      </c>
      <c r="R75" s="68">
        <f t="shared" si="67"/>
        <v>-4.657970030180255E-3</v>
      </c>
      <c r="S75" s="68">
        <f t="shared" si="67"/>
        <v>-4.6199811243232344E-3</v>
      </c>
      <c r="T75" s="68">
        <f t="shared" si="67"/>
        <v>-4.5937284553953968E-3</v>
      </c>
      <c r="U75" s="68">
        <f t="shared" si="67"/>
        <v>-4.5757624458274068E-3</v>
      </c>
      <c r="V75" s="68">
        <f t="shared" si="67"/>
        <v>-4.563549473011015E-3</v>
      </c>
      <c r="W75" s="68">
        <f t="shared" si="67"/>
        <v>-4.5552850902048549E-3</v>
      </c>
      <c r="X75" s="68">
        <f t="shared" si="67"/>
        <v>-4.5497099289356366E-3</v>
      </c>
      <c r="Y75" s="68">
        <f t="shared" si="67"/>
        <v>-4.5459567580642488E-3</v>
      </c>
      <c r="Z75" s="68">
        <f t="shared" si="67"/>
        <v>-4.5434336903817877E-3</v>
      </c>
      <c r="AA75" s="68">
        <f t="shared" si="67"/>
        <v>-4.5417391613859206E-3</v>
      </c>
      <c r="AB75" s="68">
        <f t="shared" si="67"/>
        <v>-4.540601813393521E-3</v>
      </c>
      <c r="AC75" s="68">
        <f t="shared" si="67"/>
        <v>-4.5398387640590461E-3</v>
      </c>
    </row>
    <row r="76" spans="1:29" x14ac:dyDescent="0.25">
      <c r="A76" s="30" t="str">
        <f t="shared" si="65"/>
        <v>Capex costumization</v>
      </c>
      <c r="B76" s="66">
        <f>((1+B35)^B43)*B35/(((1+B35)^B43)-1)*(B33)/B47/(B44)</f>
        <v>3.9525224209566176E-3</v>
      </c>
      <c r="C76" s="66">
        <f t="shared" ref="C76:AC76" si="68">((1+C35)^C43)*C35/(((1+C35)^C43)-1)*(C33)/C47/(C44)</f>
        <v>3.9525224209566176E-3</v>
      </c>
      <c r="D76" s="66">
        <f t="shared" si="68"/>
        <v>3.9525224209566176E-3</v>
      </c>
      <c r="E76" s="66">
        <f t="shared" si="68"/>
        <v>3.9525224209566176E-3</v>
      </c>
      <c r="F76" s="66">
        <f t="shared" si="68"/>
        <v>3.9525224209566176E-3</v>
      </c>
      <c r="G76" s="66">
        <f t="shared" si="68"/>
        <v>3.9525224209566176E-3</v>
      </c>
      <c r="H76" s="66">
        <f t="shared" si="68"/>
        <v>3.9525224209566176E-3</v>
      </c>
      <c r="I76" s="66">
        <f t="shared" si="68"/>
        <v>3.9525224209566176E-3</v>
      </c>
      <c r="J76" s="66">
        <f t="shared" si="68"/>
        <v>3.9525224209566176E-3</v>
      </c>
      <c r="K76" s="66">
        <f t="shared" si="68"/>
        <v>3.9525224209566176E-3</v>
      </c>
      <c r="L76" s="66">
        <f t="shared" si="68"/>
        <v>3.9525224209566176E-3</v>
      </c>
      <c r="M76" s="66">
        <f t="shared" si="68"/>
        <v>3.9525224209566176E-3</v>
      </c>
      <c r="N76" s="66">
        <f t="shared" si="68"/>
        <v>3.9525224209566176E-3</v>
      </c>
      <c r="O76" s="66">
        <f t="shared" si="68"/>
        <v>3.9525224209566176E-3</v>
      </c>
      <c r="P76" s="66">
        <f t="shared" si="68"/>
        <v>3.9525224209566176E-3</v>
      </c>
      <c r="Q76" s="66">
        <f t="shared" si="68"/>
        <v>3.9525224209566176E-3</v>
      </c>
      <c r="R76" s="66">
        <f t="shared" si="68"/>
        <v>3.9525224209566176E-3</v>
      </c>
      <c r="S76" s="66">
        <f t="shared" si="68"/>
        <v>3.9525224209566176E-3</v>
      </c>
      <c r="T76" s="66">
        <f t="shared" si="68"/>
        <v>3.9525224209566176E-3</v>
      </c>
      <c r="U76" s="66">
        <f t="shared" si="68"/>
        <v>3.9525224209566176E-3</v>
      </c>
      <c r="V76" s="66">
        <f t="shared" si="68"/>
        <v>3.9525224209566176E-3</v>
      </c>
      <c r="W76" s="66">
        <f t="shared" si="68"/>
        <v>3.9525224209566176E-3</v>
      </c>
      <c r="X76" s="66">
        <f t="shared" si="68"/>
        <v>3.9525224209566176E-3</v>
      </c>
      <c r="Y76" s="66">
        <f t="shared" si="68"/>
        <v>3.9525224209566176E-3</v>
      </c>
      <c r="Z76" s="66">
        <f t="shared" si="68"/>
        <v>3.9525224209566176E-3</v>
      </c>
      <c r="AA76" s="66">
        <f t="shared" si="68"/>
        <v>3.9525224209566176E-3</v>
      </c>
      <c r="AB76" s="66">
        <f t="shared" si="68"/>
        <v>3.9525224209566176E-3</v>
      </c>
      <c r="AC76" s="66">
        <f t="shared" si="68"/>
        <v>3.9525224209566176E-3</v>
      </c>
    </row>
    <row r="77" spans="1:29" x14ac:dyDescent="0.25">
      <c r="A77" s="30" t="str">
        <f t="shared" si="65"/>
        <v>Residual value (costumization)</v>
      </c>
      <c r="B77" s="69">
        <f>((1+B35)^B43)*B35/(((1+B35)^B43)-1)*(B34)/B47/(B44)</f>
        <v>-9.8813060523915441E-4</v>
      </c>
      <c r="C77" s="69">
        <f t="shared" ref="C77:AC77" si="69">((1+C35)^C43)*C35/(((1+C35)^C43)-1)*(C34)/C47/(C44)</f>
        <v>-9.8813060523915441E-4</v>
      </c>
      <c r="D77" s="69">
        <f t="shared" si="69"/>
        <v>-9.8813060523915441E-4</v>
      </c>
      <c r="E77" s="69">
        <f t="shared" si="69"/>
        <v>-9.8813060523915441E-4</v>
      </c>
      <c r="F77" s="69">
        <f t="shared" si="69"/>
        <v>-9.8813060523915441E-4</v>
      </c>
      <c r="G77" s="69">
        <f t="shared" si="69"/>
        <v>-9.8813060523915441E-4</v>
      </c>
      <c r="H77" s="69">
        <f t="shared" si="69"/>
        <v>-9.8813060523915441E-4</v>
      </c>
      <c r="I77" s="69">
        <f t="shared" si="69"/>
        <v>-9.8813060523915441E-4</v>
      </c>
      <c r="J77" s="69">
        <f t="shared" si="69"/>
        <v>-9.8813060523915441E-4</v>
      </c>
      <c r="K77" s="69">
        <f t="shared" si="69"/>
        <v>-9.8813060523915441E-4</v>
      </c>
      <c r="L77" s="69">
        <f t="shared" si="69"/>
        <v>-9.8813060523915441E-4</v>
      </c>
      <c r="M77" s="69">
        <f t="shared" si="69"/>
        <v>-9.8813060523915441E-4</v>
      </c>
      <c r="N77" s="69">
        <f t="shared" si="69"/>
        <v>-9.8813060523915441E-4</v>
      </c>
      <c r="O77" s="69">
        <f t="shared" si="69"/>
        <v>-9.8813060523915441E-4</v>
      </c>
      <c r="P77" s="69">
        <f t="shared" si="69"/>
        <v>-9.8813060523915441E-4</v>
      </c>
      <c r="Q77" s="69">
        <f t="shared" si="69"/>
        <v>-9.8813060523915441E-4</v>
      </c>
      <c r="R77" s="69">
        <f t="shared" si="69"/>
        <v>-9.8813060523915441E-4</v>
      </c>
      <c r="S77" s="69">
        <f t="shared" si="69"/>
        <v>-9.8813060523915441E-4</v>
      </c>
      <c r="T77" s="69">
        <f t="shared" si="69"/>
        <v>-9.8813060523915441E-4</v>
      </c>
      <c r="U77" s="69">
        <f t="shared" si="69"/>
        <v>-9.8813060523915441E-4</v>
      </c>
      <c r="V77" s="69">
        <f t="shared" si="69"/>
        <v>-9.8813060523915441E-4</v>
      </c>
      <c r="W77" s="69">
        <f t="shared" si="69"/>
        <v>-9.8813060523915441E-4</v>
      </c>
      <c r="X77" s="69">
        <f t="shared" si="69"/>
        <v>-9.8813060523915441E-4</v>
      </c>
      <c r="Y77" s="69">
        <f t="shared" si="69"/>
        <v>-9.8813060523915441E-4</v>
      </c>
      <c r="Z77" s="69">
        <f t="shared" si="69"/>
        <v>-9.8813060523915441E-4</v>
      </c>
      <c r="AA77" s="69">
        <f t="shared" si="69"/>
        <v>-9.8813060523915441E-4</v>
      </c>
      <c r="AB77" s="69">
        <f t="shared" si="69"/>
        <v>-9.8813060523915441E-4</v>
      </c>
      <c r="AC77" s="69">
        <f t="shared" si="69"/>
        <v>-9.8813060523915441E-4</v>
      </c>
    </row>
    <row r="78" spans="1:29" x14ac:dyDescent="0.25">
      <c r="A78" s="30" t="str">
        <f t="shared" si="65"/>
        <v>Opex fix (admin, crew, insurance)</v>
      </c>
      <c r="B78" s="66">
        <f>B36/B47/(B44)</f>
        <v>5.0909090909090911E-2</v>
      </c>
      <c r="C78" s="66">
        <f t="shared" ref="C78:AC78" si="70">C36/C47/(C44)</f>
        <v>5.0909090909090911E-2</v>
      </c>
      <c r="D78" s="66">
        <f t="shared" si="70"/>
        <v>5.0909090909090911E-2</v>
      </c>
      <c r="E78" s="66">
        <f t="shared" si="70"/>
        <v>5.0909090909090911E-2</v>
      </c>
      <c r="F78" s="66">
        <f t="shared" si="70"/>
        <v>5.0909090909090911E-2</v>
      </c>
      <c r="G78" s="66">
        <f t="shared" si="70"/>
        <v>5.0909090909090911E-2</v>
      </c>
      <c r="H78" s="66">
        <f t="shared" si="70"/>
        <v>5.0909090909090911E-2</v>
      </c>
      <c r="I78" s="66">
        <f t="shared" si="70"/>
        <v>5.0909090909090911E-2</v>
      </c>
      <c r="J78" s="66">
        <f t="shared" si="70"/>
        <v>5.0909090909090911E-2</v>
      </c>
      <c r="K78" s="66">
        <f t="shared" si="70"/>
        <v>5.0909090909090911E-2</v>
      </c>
      <c r="L78" s="66">
        <f t="shared" si="70"/>
        <v>5.0909090909090911E-2</v>
      </c>
      <c r="M78" s="66">
        <f t="shared" si="70"/>
        <v>5.0909090909090911E-2</v>
      </c>
      <c r="N78" s="66">
        <f t="shared" si="70"/>
        <v>5.0909090909090911E-2</v>
      </c>
      <c r="O78" s="66">
        <f t="shared" si="70"/>
        <v>5.0909090909090911E-2</v>
      </c>
      <c r="P78" s="66">
        <f t="shared" si="70"/>
        <v>5.0909090909090911E-2</v>
      </c>
      <c r="Q78" s="66">
        <f t="shared" si="70"/>
        <v>5.0909090909090911E-2</v>
      </c>
      <c r="R78" s="66">
        <f t="shared" si="70"/>
        <v>5.0909090909090911E-2</v>
      </c>
      <c r="S78" s="66">
        <f t="shared" si="70"/>
        <v>5.0909090909090911E-2</v>
      </c>
      <c r="T78" s="66">
        <f t="shared" si="70"/>
        <v>5.0909090909090911E-2</v>
      </c>
      <c r="U78" s="66">
        <f t="shared" si="70"/>
        <v>5.0909090909090911E-2</v>
      </c>
      <c r="V78" s="66">
        <f t="shared" si="70"/>
        <v>5.0909090909090911E-2</v>
      </c>
      <c r="W78" s="66">
        <f t="shared" si="70"/>
        <v>5.0909090909090911E-2</v>
      </c>
      <c r="X78" s="66">
        <f t="shared" si="70"/>
        <v>5.0909090909090911E-2</v>
      </c>
      <c r="Y78" s="66">
        <f t="shared" si="70"/>
        <v>5.0909090909090911E-2</v>
      </c>
      <c r="Z78" s="66">
        <f t="shared" si="70"/>
        <v>5.0909090909090911E-2</v>
      </c>
      <c r="AA78" s="66">
        <f t="shared" si="70"/>
        <v>5.0909090909090911E-2</v>
      </c>
      <c r="AB78" s="66">
        <f t="shared" si="70"/>
        <v>5.0909090909090911E-2</v>
      </c>
      <c r="AC78" s="66">
        <f t="shared" si="70"/>
        <v>5.0909090909090911E-2</v>
      </c>
    </row>
    <row r="79" spans="1:29" x14ac:dyDescent="0.25">
      <c r="A79" s="30" t="str">
        <f t="shared" si="65"/>
        <v>Opex maintenance &amp; repair</v>
      </c>
      <c r="B79" s="66">
        <f>B37/B47/(B44)</f>
        <v>1.868668998758358E-2</v>
      </c>
      <c r="C79" s="66">
        <f t="shared" ref="C79:AC79" si="71">C37/C47/(C44)</f>
        <v>1.8594023979957023E-2</v>
      </c>
      <c r="D79" s="66">
        <f t="shared" si="71"/>
        <v>1.8465184590553688E-2</v>
      </c>
      <c r="E79" s="66">
        <f t="shared" si="71"/>
        <v>1.8288550607572854E-2</v>
      </c>
      <c r="F79" s="66">
        <f t="shared" si="71"/>
        <v>1.8051173461779025E-2</v>
      </c>
      <c r="G79" s="66">
        <f t="shared" si="71"/>
        <v>1.774087567433448E-2</v>
      </c>
      <c r="H79" s="66">
        <f t="shared" si="71"/>
        <v>1.7350108058181431E-2</v>
      </c>
      <c r="I79" s="66">
        <f t="shared" si="71"/>
        <v>1.6881198135783954E-2</v>
      </c>
      <c r="J79" s="66">
        <f t="shared" si="71"/>
        <v>1.635096714943125E-2</v>
      </c>
      <c r="K79" s="66">
        <f t="shared" si="71"/>
        <v>1.5791204472621691E-2</v>
      </c>
      <c r="L79" s="66">
        <f t="shared" si="71"/>
        <v>1.5242456878285029E-2</v>
      </c>
      <c r="M79" s="66">
        <f t="shared" si="71"/>
        <v>1.474292064798436E-2</v>
      </c>
      <c r="N79" s="66">
        <f t="shared" si="71"/>
        <v>1.4318385987555941E-2</v>
      </c>
      <c r="O79" s="66">
        <f t="shared" si="71"/>
        <v>1.3978409754402803E-2</v>
      </c>
      <c r="P79" s="66">
        <f t="shared" si="71"/>
        <v>1.3718992799284943E-2</v>
      </c>
      <c r="Q79" s="66">
        <f t="shared" si="71"/>
        <v>1.3528300532003443E-2</v>
      </c>
      <c r="R79" s="66">
        <f t="shared" si="71"/>
        <v>1.3391958319578194E-2</v>
      </c>
      <c r="S79" s="66">
        <f t="shared" si="71"/>
        <v>1.3296402563638376E-2</v>
      </c>
      <c r="T79" s="66">
        <f t="shared" si="71"/>
        <v>1.3230367662968194E-2</v>
      </c>
      <c r="U79" s="66">
        <f t="shared" si="71"/>
        <v>1.3185176689794267E-2</v>
      </c>
      <c r="V79" s="66">
        <f t="shared" si="71"/>
        <v>1.3154456672372994E-2</v>
      </c>
      <c r="W79" s="66">
        <f t="shared" si="71"/>
        <v>1.313366877841809E-2</v>
      </c>
      <c r="X79" s="66">
        <f t="shared" si="71"/>
        <v>1.3119645243453125E-2</v>
      </c>
      <c r="Y79" s="66">
        <f t="shared" si="71"/>
        <v>1.3110204669377718E-2</v>
      </c>
      <c r="Z79" s="66">
        <f t="shared" si="71"/>
        <v>1.310385824706716E-2</v>
      </c>
      <c r="AA79" s="66">
        <f t="shared" si="71"/>
        <v>1.3099595897428255E-2</v>
      </c>
      <c r="AB79" s="66">
        <f t="shared" si="71"/>
        <v>1.3096735058329876E-2</v>
      </c>
      <c r="AC79" s="66">
        <f t="shared" si="71"/>
        <v>1.3094815714923418E-2</v>
      </c>
    </row>
    <row r="80" spans="1:29" x14ac:dyDescent="0.25">
      <c r="A80" s="30" t="str">
        <f t="shared" si="65"/>
        <v>Opex var (mode-fees)</v>
      </c>
      <c r="B80" s="66">
        <f>B38*B47/B47/(B44)</f>
        <v>4.4000000000000003E-3</v>
      </c>
      <c r="C80" s="66">
        <f t="shared" ref="C80:AC80" si="72">C38*C47/C47/(C44)</f>
        <v>4.4000000000000003E-3</v>
      </c>
      <c r="D80" s="66">
        <f t="shared" si="72"/>
        <v>4.4000000000000003E-3</v>
      </c>
      <c r="E80" s="66">
        <f t="shared" si="72"/>
        <v>4.4000000000000003E-3</v>
      </c>
      <c r="F80" s="66">
        <f t="shared" si="72"/>
        <v>4.4000000000000003E-3</v>
      </c>
      <c r="G80" s="66">
        <f t="shared" si="72"/>
        <v>4.4000000000000003E-3</v>
      </c>
      <c r="H80" s="66">
        <f t="shared" si="72"/>
        <v>4.4000000000000003E-3</v>
      </c>
      <c r="I80" s="66">
        <f t="shared" si="72"/>
        <v>4.4000000000000003E-3</v>
      </c>
      <c r="J80" s="66">
        <f t="shared" si="72"/>
        <v>4.4000000000000003E-3</v>
      </c>
      <c r="K80" s="66">
        <f t="shared" si="72"/>
        <v>4.4000000000000003E-3</v>
      </c>
      <c r="L80" s="66">
        <f t="shared" si="72"/>
        <v>4.4000000000000003E-3</v>
      </c>
      <c r="M80" s="66">
        <f t="shared" si="72"/>
        <v>4.4000000000000003E-3</v>
      </c>
      <c r="N80" s="66">
        <f t="shared" si="72"/>
        <v>4.4000000000000003E-3</v>
      </c>
      <c r="O80" s="66">
        <f t="shared" si="72"/>
        <v>4.4000000000000003E-3</v>
      </c>
      <c r="P80" s="66">
        <f t="shared" si="72"/>
        <v>4.4000000000000003E-3</v>
      </c>
      <c r="Q80" s="66">
        <f t="shared" si="72"/>
        <v>4.4000000000000003E-3</v>
      </c>
      <c r="R80" s="66">
        <f t="shared" si="72"/>
        <v>4.4000000000000003E-3</v>
      </c>
      <c r="S80" s="66">
        <f t="shared" si="72"/>
        <v>4.4000000000000003E-3</v>
      </c>
      <c r="T80" s="66">
        <f t="shared" si="72"/>
        <v>4.4000000000000003E-3</v>
      </c>
      <c r="U80" s="66">
        <f t="shared" si="72"/>
        <v>4.4000000000000003E-3</v>
      </c>
      <c r="V80" s="66">
        <f t="shared" si="72"/>
        <v>4.4000000000000003E-3</v>
      </c>
      <c r="W80" s="66">
        <f t="shared" si="72"/>
        <v>4.4000000000000003E-3</v>
      </c>
      <c r="X80" s="66">
        <f t="shared" si="72"/>
        <v>4.4000000000000003E-3</v>
      </c>
      <c r="Y80" s="66">
        <f t="shared" si="72"/>
        <v>4.4000000000000003E-3</v>
      </c>
      <c r="Z80" s="66">
        <f t="shared" si="72"/>
        <v>4.4000000000000003E-3</v>
      </c>
      <c r="AA80" s="66">
        <f t="shared" si="72"/>
        <v>4.4000000000000003E-3</v>
      </c>
      <c r="AB80" s="66">
        <f t="shared" si="72"/>
        <v>4.4000000000000003E-3</v>
      </c>
      <c r="AC80" s="66">
        <f t="shared" si="72"/>
        <v>4.4000000000000003E-3</v>
      </c>
    </row>
    <row r="81" spans="1:29" x14ac:dyDescent="0.25">
      <c r="A81" s="30" t="str">
        <f t="shared" si="65"/>
        <v>Fuel Cost</v>
      </c>
      <c r="B81" s="66">
        <f>B39*B40*B47/B47/(B44)</f>
        <v>2.5271535978108505E-2</v>
      </c>
      <c r="C81" s="66">
        <f t="shared" ref="C81:AC81" si="73">C39*C40*C47/C47/(C44)</f>
        <v>2.5070862153536103E-2</v>
      </c>
      <c r="D81" s="66">
        <f t="shared" si="73"/>
        <v>2.4790745326148767E-2</v>
      </c>
      <c r="E81" s="66">
        <f t="shared" si="73"/>
        <v>2.440435315832656E-2</v>
      </c>
      <c r="F81" s="66">
        <f t="shared" si="73"/>
        <v>2.3880169457993962E-2</v>
      </c>
      <c r="G81" s="66">
        <f t="shared" si="73"/>
        <v>2.3185077542843952E-2</v>
      </c>
      <c r="H81" s="66">
        <f t="shared" si="73"/>
        <v>2.2290722205441687E-2</v>
      </c>
      <c r="I81" s="66">
        <f t="shared" si="73"/>
        <v>2.1183053439462283E-2</v>
      </c>
      <c r="J81" s="66">
        <f t="shared" si="73"/>
        <v>1.9872510834200802E-2</v>
      </c>
      <c r="K81" s="66">
        <f t="shared" si="73"/>
        <v>1.839988319316755E-2</v>
      </c>
      <c r="L81" s="66">
        <f t="shared" si="73"/>
        <v>1.6833530289393824E-2</v>
      </c>
      <c r="M81" s="66">
        <f t="shared" si="73"/>
        <v>1.5258305500660627E-2</v>
      </c>
      <c r="N81" s="66">
        <f t="shared" si="73"/>
        <v>1.3760682716616275E-2</v>
      </c>
      <c r="O81" s="66">
        <f t="shared" si="73"/>
        <v>1.2414241511033765E-2</v>
      </c>
      <c r="P81" s="66">
        <f t="shared" si="73"/>
        <v>1.1268049286594957E-2</v>
      </c>
      <c r="Q81" s="66">
        <f t="shared" si="73"/>
        <v>1.0340992285929369E-2</v>
      </c>
      <c r="R81" s="66">
        <f t="shared" si="73"/>
        <v>9.6243437393404904E-3</v>
      </c>
      <c r="S81" s="66">
        <f t="shared" si="73"/>
        <v>9.0908119950928127E-3</v>
      </c>
      <c r="T81" s="66">
        <f t="shared" si="73"/>
        <v>8.7052072705503351E-3</v>
      </c>
      <c r="U81" s="66">
        <f t="shared" si="73"/>
        <v>8.4326668159591736E-3</v>
      </c>
      <c r="V81" s="66">
        <f t="shared" si="73"/>
        <v>8.2431424220437005E-3</v>
      </c>
      <c r="W81" s="66">
        <f t="shared" si="73"/>
        <v>8.1128580140792435E-3</v>
      </c>
      <c r="X81" s="66">
        <f t="shared" si="73"/>
        <v>8.0240137845980931E-3</v>
      </c>
      <c r="Y81" s="66">
        <f t="shared" si="73"/>
        <v>7.9637629928271201E-3</v>
      </c>
      <c r="Z81" s="66">
        <f t="shared" si="73"/>
        <v>7.9230572347422489E-3</v>
      </c>
      <c r="AA81" s="66">
        <f t="shared" si="73"/>
        <v>7.8956266066965777E-3</v>
      </c>
      <c r="AB81" s="66">
        <f t="shared" si="73"/>
        <v>7.8771737641352493E-3</v>
      </c>
      <c r="AC81" s="66">
        <f t="shared" si="73"/>
        <v>7.8647748498683282E-3</v>
      </c>
    </row>
    <row r="82" spans="1:29" x14ac:dyDescent="0.25">
      <c r="A82" s="59" t="str">
        <f>A45</f>
        <v>Market failure (av. utilization)</v>
      </c>
      <c r="B82" s="66">
        <f t="shared" ref="B82:AC82" si="74">B71/B45-B71/B44</f>
        <v>0.11191150040572001</v>
      </c>
      <c r="C82" s="66">
        <f t="shared" si="74"/>
        <v>0.11136527443074543</v>
      </c>
      <c r="D82" s="66">
        <f t="shared" si="74"/>
        <v>0.11060494076450092</v>
      </c>
      <c r="E82" s="66">
        <f t="shared" si="74"/>
        <v>0.10956067227079552</v>
      </c>
      <c r="F82" s="66">
        <f t="shared" si="74"/>
        <v>0.10815337867835587</v>
      </c>
      <c r="G82" s="66">
        <f t="shared" si="74"/>
        <v>0.10630591350319843</v>
      </c>
      <c r="H82" s="66">
        <f t="shared" si="74"/>
        <v>0.1039642235224916</v>
      </c>
      <c r="I82" s="66">
        <f t="shared" si="74"/>
        <v>0.10112682429032729</v>
      </c>
      <c r="J82" s="66">
        <f t="shared" si="74"/>
        <v>9.7872130369190971E-2</v>
      </c>
      <c r="K82" s="66">
        <f t="shared" si="74"/>
        <v>9.436502851713427E-2</v>
      </c>
      <c r="L82" s="66">
        <f t="shared" si="74"/>
        <v>9.0828656894133608E-2</v>
      </c>
      <c r="M82" s="66">
        <f t="shared" si="74"/>
        <v>8.7489160015639E-2</v>
      </c>
      <c r="N82" s="66">
        <f t="shared" si="74"/>
        <v>8.4521907351170641E-2</v>
      </c>
      <c r="O82" s="66">
        <f t="shared" si="74"/>
        <v>8.2024155535511317E-2</v>
      </c>
      <c r="P82" s="66">
        <f t="shared" si="74"/>
        <v>8.0017328541159283E-2</v>
      </c>
      <c r="Q82" s="66">
        <f t="shared" si="74"/>
        <v>7.8466791989114673E-2</v>
      </c>
      <c r="R82" s="66">
        <f t="shared" si="74"/>
        <v>7.7306286873498692E-2</v>
      </c>
      <c r="S82" s="66">
        <f t="shared" si="74"/>
        <v>7.6459103588918248E-2</v>
      </c>
      <c r="T82" s="66">
        <f t="shared" si="74"/>
        <v>7.5852387371668828E-2</v>
      </c>
      <c r="U82" s="66">
        <f t="shared" si="74"/>
        <v>7.5424271397696377E-2</v>
      </c>
      <c r="V82" s="66">
        <f t="shared" si="74"/>
        <v>7.5125714052279302E-2</v>
      </c>
      <c r="W82" s="66">
        <f t="shared" si="74"/>
        <v>7.4919486954405562E-2</v>
      </c>
      <c r="X82" s="66">
        <f t="shared" si="74"/>
        <v>7.4778134129983492E-2</v>
      </c>
      <c r="Y82" s="66">
        <f t="shared" si="74"/>
        <v>7.4681838086810767E-2</v>
      </c>
      <c r="Z82" s="66">
        <f t="shared" si="74"/>
        <v>7.4616542571047009E-2</v>
      </c>
      <c r="AA82" s="66">
        <f t="shared" si="74"/>
        <v>7.4572420345212831E-2</v>
      </c>
      <c r="AB82" s="66">
        <f t="shared" si="74"/>
        <v>7.4542679639511611E-2</v>
      </c>
      <c r="AC82" s="66">
        <f t="shared" si="74"/>
        <v>7.4522667944778312E-2</v>
      </c>
    </row>
    <row r="83" spans="1:29" x14ac:dyDescent="0.25">
      <c r="A83" s="59" t="str">
        <f>A46</f>
        <v>Payload loss (fuel)</v>
      </c>
      <c r="B83" s="66">
        <f>B71/(B44-B46)-B71/B44</f>
        <v>7.4339832283982221E-3</v>
      </c>
      <c r="C83" s="66">
        <f t="shared" ref="C83:AC83" si="75">C71/(C44-C46)-C71/C44</f>
        <v>7.3710928340095794E-3</v>
      </c>
      <c r="D83" s="66">
        <f t="shared" si="75"/>
        <v>7.2832648653452792E-3</v>
      </c>
      <c r="E83" s="66">
        <f t="shared" si="75"/>
        <v>7.1620265569984354E-3</v>
      </c>
      <c r="F83" s="66">
        <f t="shared" si="75"/>
        <v>6.9973676291375242E-3</v>
      </c>
      <c r="G83" s="66">
        <f t="shared" si="75"/>
        <v>6.7786554297634138E-3</v>
      </c>
      <c r="H83" s="66">
        <f t="shared" si="75"/>
        <v>6.4965739327058347E-3</v>
      </c>
      <c r="I83" s="66">
        <f t="shared" si="75"/>
        <v>6.146108183161636E-3</v>
      </c>
      <c r="J83" s="66">
        <f t="shared" si="75"/>
        <v>5.7298776937545898E-3</v>
      </c>
      <c r="K83" s="66">
        <f t="shared" si="75"/>
        <v>5.2603472117687955E-3</v>
      </c>
      <c r="L83" s="66">
        <f t="shared" si="75"/>
        <v>4.7594600190615094E-3</v>
      </c>
      <c r="M83" s="66">
        <f t="shared" si="75"/>
        <v>4.2553909051559619E-3</v>
      </c>
      <c r="N83" s="66">
        <f t="shared" si="75"/>
        <v>3.7773952003283262E-3</v>
      </c>
      <c r="O83" s="66">
        <f t="shared" si="75"/>
        <v>3.3502011955889588E-3</v>
      </c>
      <c r="P83" s="66">
        <f t="shared" si="75"/>
        <v>2.9895553496342431E-3</v>
      </c>
      <c r="Q83" s="66">
        <f t="shared" si="75"/>
        <v>2.7005137231675275E-3</v>
      </c>
      <c r="R83" s="66">
        <f t="shared" si="75"/>
        <v>2.4789690327530478E-3</v>
      </c>
      <c r="S83" s="66">
        <f t="shared" si="75"/>
        <v>2.3151823052271064E-3</v>
      </c>
      <c r="T83" s="66">
        <f t="shared" si="75"/>
        <v>2.1974175038349808E-3</v>
      </c>
      <c r="U83" s="66">
        <f t="shared" si="75"/>
        <v>2.1144731456052696E-3</v>
      </c>
      <c r="V83" s="66">
        <f t="shared" si="75"/>
        <v>2.0569196077856317E-3</v>
      </c>
      <c r="W83" s="66">
        <f t="shared" si="75"/>
        <v>2.0174063774678341E-3</v>
      </c>
      <c r="X83" s="66">
        <f t="shared" si="75"/>
        <v>1.9904806147596765E-3</v>
      </c>
      <c r="Y83" s="66">
        <f t="shared" si="75"/>
        <v>1.9722276718693726E-3</v>
      </c>
      <c r="Z83" s="66">
        <f t="shared" si="75"/>
        <v>1.9598984426231758E-3</v>
      </c>
      <c r="AA83" s="66">
        <f t="shared" si="75"/>
        <v>1.9515909936593662E-3</v>
      </c>
      <c r="AB83" s="66">
        <f t="shared" si="75"/>
        <v>1.9460028304335436E-3</v>
      </c>
      <c r="AC83" s="66">
        <f t="shared" si="75"/>
        <v>1.9422481330625962E-3</v>
      </c>
    </row>
    <row r="84" spans="1:29" ht="15.75" thickBot="1" x14ac:dyDescent="0.3">
      <c r="A84" s="59" t="str">
        <f>A21</f>
        <v>Emission Cost</v>
      </c>
      <c r="B84" s="68">
        <f>B41*B47/B47/(B44)</f>
        <v>3.6418200964524684E-4</v>
      </c>
      <c r="C84" s="68">
        <f t="shared" ref="C84:AC84" si="76">C41*C47/C47/(C44)</f>
        <v>3.6383521963850298E-4</v>
      </c>
      <c r="D84" s="68">
        <f t="shared" si="76"/>
        <v>3.6333879746797376E-4</v>
      </c>
      <c r="E84" s="68">
        <f t="shared" si="76"/>
        <v>3.6262863064306401E-4</v>
      </c>
      <c r="F84" s="68">
        <f t="shared" si="76"/>
        <v>3.6161364554417784E-4</v>
      </c>
      <c r="G84" s="68">
        <f t="shared" si="76"/>
        <v>3.6016504246069139E-4</v>
      </c>
      <c r="H84" s="68">
        <f t="shared" si="76"/>
        <v>3.581018762885698E-4</v>
      </c>
      <c r="I84" s="68">
        <f t="shared" si="76"/>
        <v>3.551724760827172E-4</v>
      </c>
      <c r="J84" s="68">
        <f t="shared" si="76"/>
        <v>3.5103205038913133E-4</v>
      </c>
      <c r="K84" s="68">
        <f t="shared" si="76"/>
        <v>3.4521896741480408E-4</v>
      </c>
      <c r="L84" s="68">
        <f t="shared" si="76"/>
        <v>3.371366718660246E-4</v>
      </c>
      <c r="M84" s="68">
        <f t="shared" si="76"/>
        <v>3.2605614702792577E-4</v>
      </c>
      <c r="N84" s="68">
        <f t="shared" si="76"/>
        <v>3.1116510898656003E-4</v>
      </c>
      <c r="O84" s="68">
        <f t="shared" si="76"/>
        <v>2.9169964552951117E-4</v>
      </c>
      <c r="P84" s="68">
        <f t="shared" si="76"/>
        <v>2.6718618439571353E-4</v>
      </c>
      <c r="Q84" s="68">
        <f t="shared" si="76"/>
        <v>2.3777073469416832E-4</v>
      </c>
      <c r="R84" s="68">
        <f t="shared" si="76"/>
        <v>2.0450851915069425E-4</v>
      </c>
      <c r="S84" s="68">
        <f t="shared" si="76"/>
        <v>1.6939373467288497E-4</v>
      </c>
      <c r="T84" s="68">
        <f t="shared" si="76"/>
        <v>1.3496994347323685E-4</v>
      </c>
      <c r="U84" s="68">
        <f t="shared" si="76"/>
        <v>1.0363325778021563E-4</v>
      </c>
      <c r="V84" s="68">
        <f t="shared" si="76"/>
        <v>7.700153737100413E-5</v>
      </c>
      <c r="W84" s="68">
        <f t="shared" si="76"/>
        <v>5.5674298794125105E-5</v>
      </c>
      <c r="X84" s="68">
        <f t="shared" si="76"/>
        <v>3.940066918956972E-5</v>
      </c>
      <c r="Y84" s="68">
        <f t="shared" si="76"/>
        <v>2.7438246283240584E-5</v>
      </c>
      <c r="Z84" s="68">
        <f t="shared" si="76"/>
        <v>1.8885286961572295E-5</v>
      </c>
      <c r="AA84" s="68">
        <f t="shared" si="76"/>
        <v>1.2890925575126249E-5</v>
      </c>
      <c r="AB84" s="68">
        <f t="shared" si="76"/>
        <v>8.748453414846938E-6</v>
      </c>
      <c r="AC84" s="68">
        <f t="shared" si="76"/>
        <v>5.9135532882621105E-6</v>
      </c>
    </row>
    <row r="85" spans="1:29" ht="15.75" thickBot="1" x14ac:dyDescent="0.3">
      <c r="A85" s="31" t="s">
        <v>210</v>
      </c>
      <c r="B85" s="67">
        <f>B74+B75+B76+B77+B78+B79+B80+B81+B82+B83+B84</f>
        <v>0.25980204112182903</v>
      </c>
      <c r="C85" s="67">
        <f t="shared" ref="C85:AC85" si="77">C74+C75+C76+C77+C78+C79+C80+C81+C82+C83+C84</f>
        <v>0.25849772805704357</v>
      </c>
      <c r="D85" s="67">
        <f t="shared" si="77"/>
        <v>0.25668186902873263</v>
      </c>
      <c r="E85" s="67">
        <f t="shared" si="77"/>
        <v>0.25418729323469169</v>
      </c>
      <c r="F85" s="67">
        <f t="shared" si="77"/>
        <v>0.25082423977855883</v>
      </c>
      <c r="G85" s="67">
        <f t="shared" si="77"/>
        <v>0.24640674309019062</v>
      </c>
      <c r="H85" s="67">
        <f t="shared" si="77"/>
        <v>0.24080263890970838</v>
      </c>
      <c r="I85" s="67">
        <f t="shared" si="77"/>
        <v>0.23400353854160896</v>
      </c>
      <c r="J85" s="67">
        <f t="shared" si="77"/>
        <v>0.22619027641325576</v>
      </c>
      <c r="K85" s="67">
        <f t="shared" si="77"/>
        <v>0.21775005990386834</v>
      </c>
      <c r="L85" s="67">
        <f t="shared" si="77"/>
        <v>0.20921196447706869</v>
      </c>
      <c r="M85" s="67">
        <f t="shared" si="77"/>
        <v>0.20111812973022083</v>
      </c>
      <c r="N85" s="67">
        <f t="shared" si="77"/>
        <v>0.19389637796978326</v>
      </c>
      <c r="O85" s="67">
        <f t="shared" si="77"/>
        <v>0.18779247529309087</v>
      </c>
      <c r="P85" s="67">
        <f t="shared" si="77"/>
        <v>0.18287085900542702</v>
      </c>
      <c r="Q85" s="67">
        <f t="shared" si="77"/>
        <v>0.17905787066976803</v>
      </c>
      <c r="R85" s="67">
        <f t="shared" si="77"/>
        <v>0.17619881435295354</v>
      </c>
      <c r="S85" s="67">
        <f t="shared" si="77"/>
        <v>0.17410961106956296</v>
      </c>
      <c r="T85" s="67">
        <f t="shared" si="77"/>
        <v>0.17261294577442218</v>
      </c>
      <c r="U85" s="67">
        <f t="shared" si="77"/>
        <v>0.17155701056625508</v>
      </c>
      <c r="V85" s="67">
        <f t="shared" si="77"/>
        <v>0.170820917607033</v>
      </c>
      <c r="W85" s="67">
        <f t="shared" si="77"/>
        <v>0.17031270642700216</v>
      </c>
      <c r="X85" s="67">
        <f t="shared" si="77"/>
        <v>0.1699645242451529</v>
      </c>
      <c r="Y85" s="67">
        <f t="shared" si="77"/>
        <v>0.16972741665868826</v>
      </c>
      <c r="Z85" s="67">
        <f t="shared" si="77"/>
        <v>0.16956668852997894</v>
      </c>
      <c r="AA85" s="67">
        <f t="shared" si="77"/>
        <v>0.16945810329502839</v>
      </c>
      <c r="AB85" s="67">
        <f t="shared" si="77"/>
        <v>0.16938492261884522</v>
      </c>
      <c r="AC85" s="67">
        <f t="shared" si="77"/>
        <v>0.16933568679708047</v>
      </c>
    </row>
    <row r="87" spans="1:29" x14ac:dyDescent="0.25">
      <c r="B87" s="40"/>
    </row>
    <row r="107" spans="1:2" s="3" customFormat="1" ht="21" x14ac:dyDescent="0.35">
      <c r="A107" s="2" t="str">
        <f>'Parameter Input'!A32</f>
        <v>Road long-haul: Liquid bulk</v>
      </c>
    </row>
    <row r="108" spans="1:2" s="3" customFormat="1" ht="21" x14ac:dyDescent="0.35">
      <c r="A108" s="2" t="s">
        <v>103</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Input'!$L$45</f>
        <v>390000</v>
      </c>
      <c r="C117" s="42">
        <f>'Parameter Input'!$M$45</f>
        <v>155000</v>
      </c>
      <c r="D117" s="1" t="s">
        <v>15</v>
      </c>
      <c r="L117" s="51">
        <f>'Parameter Input'!$O$45</f>
        <v>9</v>
      </c>
      <c r="M117" s="52">
        <v>0</v>
      </c>
      <c r="N117" s="52">
        <v>1</v>
      </c>
      <c r="O117" s="52">
        <f>'Parameter Input'!$P$45</f>
        <v>0.9</v>
      </c>
      <c r="P117" s="53">
        <f>'Parameter Input'!$Q$45</f>
        <v>0.4</v>
      </c>
      <c r="Q117" s="4">
        <f t="shared" ref="Q117:AR126" si="78">$N117+($M117-$N117)*((1/(1+EXP(-$P117*(Q$9-$L117)))^$O117))</f>
        <v>0.96177484161592774</v>
      </c>
      <c r="R117" s="4">
        <f t="shared" si="78"/>
        <v>0.94584787155511363</v>
      </c>
      <c r="S117" s="4">
        <f t="shared" si="78"/>
        <v>0.92370360150141495</v>
      </c>
      <c r="T117" s="4">
        <f t="shared" si="78"/>
        <v>0.89334463567658451</v>
      </c>
      <c r="U117" s="4">
        <f t="shared" si="78"/>
        <v>0.85254543874327005</v>
      </c>
      <c r="V117" s="4">
        <f t="shared" si="78"/>
        <v>0.79921300652623883</v>
      </c>
      <c r="W117" s="4">
        <f t="shared" si="78"/>
        <v>0.73204982249993378</v>
      </c>
      <c r="X117" s="4">
        <f t="shared" si="78"/>
        <v>0.65145592958786691</v>
      </c>
      <c r="Y117" s="4">
        <f t="shared" si="78"/>
        <v>0.56032247880849573</v>
      </c>
      <c r="Z117" s="4">
        <f t="shared" si="78"/>
        <v>0.46411326873185343</v>
      </c>
      <c r="AA117" s="4">
        <f t="shared" si="78"/>
        <v>0.36979727595523937</v>
      </c>
      <c r="AB117" s="4">
        <f t="shared" si="78"/>
        <v>0.28393948637231203</v>
      </c>
      <c r="AC117" s="4">
        <f t="shared" si="78"/>
        <v>0.21097259161117732</v>
      </c>
      <c r="AD117" s="4">
        <f t="shared" si="78"/>
        <v>0.15253917653798199</v>
      </c>
      <c r="AE117" s="4">
        <f t="shared" si="78"/>
        <v>0.10795188737709993</v>
      </c>
      <c r="AF117" s="4">
        <f t="shared" si="78"/>
        <v>7.5176653938091809E-2</v>
      </c>
      <c r="AG117" s="4">
        <f t="shared" si="78"/>
        <v>5.1742836177502194E-2</v>
      </c>
      <c r="AH117" s="4">
        <f t="shared" si="78"/>
        <v>3.5319190625345942E-2</v>
      </c>
      <c r="AI117" s="4">
        <f t="shared" si="78"/>
        <v>2.3969442072658165E-2</v>
      </c>
      <c r="AJ117" s="4">
        <f t="shared" si="78"/>
        <v>1.6202243558389728E-2</v>
      </c>
      <c r="AK117" s="4">
        <f t="shared" si="78"/>
        <v>1.0922240564108399E-2</v>
      </c>
      <c r="AL117" s="4">
        <f t="shared" si="78"/>
        <v>7.3493212906090566E-3</v>
      </c>
      <c r="AM117" s="4">
        <f t="shared" si="78"/>
        <v>4.9390262185057265E-3</v>
      </c>
      <c r="AN117" s="4">
        <f t="shared" si="78"/>
        <v>3.3164275492956197E-3</v>
      </c>
      <c r="AO117" s="4">
        <f t="shared" si="78"/>
        <v>2.2256362146679809E-3</v>
      </c>
      <c r="AP117" s="4">
        <f t="shared" si="78"/>
        <v>1.4930448704811861E-3</v>
      </c>
      <c r="AQ117" s="4">
        <f t="shared" si="78"/>
        <v>1.0013381504474506E-3</v>
      </c>
      <c r="AR117" s="4">
        <f t="shared" si="78"/>
        <v>6.7145100246257527E-4</v>
      </c>
    </row>
    <row r="118" spans="1:44" x14ac:dyDescent="0.25">
      <c r="A118" s="24" t="s">
        <v>28</v>
      </c>
      <c r="B118" s="60">
        <f>'Parameter Input'!$L$46</f>
        <v>-58500</v>
      </c>
      <c r="C118" s="61">
        <f>'Parameter Input'!$M$46</f>
        <v>-38750</v>
      </c>
      <c r="D118" s="1" t="s">
        <v>15</v>
      </c>
      <c r="L118" s="54">
        <f>'Parameter Input'!$O$46</f>
        <v>9</v>
      </c>
      <c r="M118" s="37">
        <v>0</v>
      </c>
      <c r="N118" s="37">
        <v>1</v>
      </c>
      <c r="O118" s="37">
        <f>'Parameter Input'!$P$46</f>
        <v>0.9</v>
      </c>
      <c r="P118" s="55">
        <f>'Parameter Input'!$Q$46</f>
        <v>0.4</v>
      </c>
      <c r="Q118" s="4">
        <f t="shared" si="78"/>
        <v>0.96177484161592774</v>
      </c>
      <c r="R118" s="4">
        <f t="shared" si="78"/>
        <v>0.94584787155511363</v>
      </c>
      <c r="S118" s="4">
        <f t="shared" si="78"/>
        <v>0.92370360150141495</v>
      </c>
      <c r="T118" s="4">
        <f t="shared" si="78"/>
        <v>0.89334463567658451</v>
      </c>
      <c r="U118" s="4">
        <f t="shared" si="78"/>
        <v>0.85254543874327005</v>
      </c>
      <c r="V118" s="4">
        <f t="shared" si="78"/>
        <v>0.79921300652623883</v>
      </c>
      <c r="W118" s="4">
        <f t="shared" si="78"/>
        <v>0.73204982249993378</v>
      </c>
      <c r="X118" s="4">
        <f t="shared" si="78"/>
        <v>0.65145592958786691</v>
      </c>
      <c r="Y118" s="4">
        <f t="shared" si="78"/>
        <v>0.56032247880849573</v>
      </c>
      <c r="Z118" s="4">
        <f t="shared" si="78"/>
        <v>0.46411326873185343</v>
      </c>
      <c r="AA118" s="4">
        <f t="shared" si="78"/>
        <v>0.36979727595523937</v>
      </c>
      <c r="AB118" s="4">
        <f t="shared" si="78"/>
        <v>0.28393948637231203</v>
      </c>
      <c r="AC118" s="4">
        <f t="shared" si="78"/>
        <v>0.21097259161117732</v>
      </c>
      <c r="AD118" s="4">
        <f t="shared" si="78"/>
        <v>0.15253917653798199</v>
      </c>
      <c r="AE118" s="4">
        <f t="shared" si="78"/>
        <v>0.10795188737709993</v>
      </c>
      <c r="AF118" s="4">
        <f t="shared" si="78"/>
        <v>7.5176653938091809E-2</v>
      </c>
      <c r="AG118" s="4">
        <f t="shared" si="78"/>
        <v>5.1742836177502194E-2</v>
      </c>
      <c r="AH118" s="4">
        <f t="shared" si="78"/>
        <v>3.5319190625345942E-2</v>
      </c>
      <c r="AI118" s="4">
        <f t="shared" si="78"/>
        <v>2.3969442072658165E-2</v>
      </c>
      <c r="AJ118" s="4">
        <f t="shared" si="78"/>
        <v>1.6202243558389728E-2</v>
      </c>
      <c r="AK118" s="4">
        <f t="shared" si="78"/>
        <v>1.0922240564108399E-2</v>
      </c>
      <c r="AL118" s="4">
        <f t="shared" si="78"/>
        <v>7.3493212906090566E-3</v>
      </c>
      <c r="AM118" s="4">
        <f t="shared" si="78"/>
        <v>4.9390262185057265E-3</v>
      </c>
      <c r="AN118" s="4">
        <f t="shared" si="78"/>
        <v>3.3164275492956197E-3</v>
      </c>
      <c r="AO118" s="4">
        <f t="shared" si="78"/>
        <v>2.2256362146679809E-3</v>
      </c>
      <c r="AP118" s="4">
        <f t="shared" si="78"/>
        <v>1.4930448704811861E-3</v>
      </c>
      <c r="AQ118" s="4">
        <f t="shared" si="78"/>
        <v>1.0013381504474506E-3</v>
      </c>
      <c r="AR118" s="4">
        <f t="shared" si="78"/>
        <v>6.7145100246257527E-4</v>
      </c>
    </row>
    <row r="119" spans="1:44" x14ac:dyDescent="0.25">
      <c r="A119" s="24" t="s">
        <v>14</v>
      </c>
      <c r="B119" s="60">
        <f>'Parameter Input'!B33</f>
        <v>60000</v>
      </c>
      <c r="C119" s="61">
        <f>'Parameter Input'!C33</f>
        <v>60000</v>
      </c>
      <c r="D119" s="1" t="s">
        <v>15</v>
      </c>
      <c r="L119" s="54">
        <f>'Parameter Input'!E33</f>
        <v>12</v>
      </c>
      <c r="M119" s="37">
        <v>0</v>
      </c>
      <c r="N119" s="37">
        <v>1</v>
      </c>
      <c r="O119" s="37">
        <f>'Parameter Input'!F33</f>
        <v>0.9</v>
      </c>
      <c r="P119" s="55">
        <f>'Parameter Input'!G33</f>
        <v>0.4</v>
      </c>
      <c r="Q119" s="4">
        <f t="shared" si="78"/>
        <v>0.9867978615748374</v>
      </c>
      <c r="R119" s="4">
        <f t="shared" si="78"/>
        <v>0.98114509762858249</v>
      </c>
      <c r="S119" s="4">
        <f t="shared" si="78"/>
        <v>0.97311898315872036</v>
      </c>
      <c r="T119" s="4">
        <f t="shared" si="78"/>
        <v>0.96177484161592774</v>
      </c>
      <c r="U119" s="4">
        <f t="shared" si="78"/>
        <v>0.94584787155511363</v>
      </c>
      <c r="V119" s="4">
        <f t="shared" si="78"/>
        <v>0.92370360150141495</v>
      </c>
      <c r="W119" s="4">
        <f t="shared" si="78"/>
        <v>0.89334463567658451</v>
      </c>
      <c r="X119" s="4">
        <f t="shared" si="78"/>
        <v>0.85254543874327005</v>
      </c>
      <c r="Y119" s="4">
        <f t="shared" si="78"/>
        <v>0.79921300652623883</v>
      </c>
      <c r="Z119" s="4">
        <f t="shared" si="78"/>
        <v>0.73204982249993378</v>
      </c>
      <c r="AA119" s="4">
        <f t="shared" si="78"/>
        <v>0.65145592958786691</v>
      </c>
      <c r="AB119" s="4">
        <f t="shared" si="78"/>
        <v>0.56032247880849573</v>
      </c>
      <c r="AC119" s="4">
        <f t="shared" si="78"/>
        <v>0.46411326873185343</v>
      </c>
      <c r="AD119" s="4">
        <f t="shared" si="78"/>
        <v>0.36979727595523937</v>
      </c>
      <c r="AE119" s="4">
        <f t="shared" si="78"/>
        <v>0.28393948637231203</v>
      </c>
      <c r="AF119" s="4">
        <f t="shared" si="78"/>
        <v>0.21097259161117732</v>
      </c>
      <c r="AG119" s="4">
        <f t="shared" si="78"/>
        <v>0.15253917653798199</v>
      </c>
      <c r="AH119" s="4">
        <f t="shared" si="78"/>
        <v>0.10795188737709993</v>
      </c>
      <c r="AI119" s="4">
        <f t="shared" si="78"/>
        <v>7.5176653938091809E-2</v>
      </c>
      <c r="AJ119" s="4">
        <f t="shared" si="78"/>
        <v>5.1742836177502194E-2</v>
      </c>
      <c r="AK119" s="4">
        <f t="shared" si="78"/>
        <v>3.5319190625345942E-2</v>
      </c>
      <c r="AL119" s="4">
        <f t="shared" si="78"/>
        <v>2.3969442072658165E-2</v>
      </c>
      <c r="AM119" s="4">
        <f t="shared" si="78"/>
        <v>1.6202243558389728E-2</v>
      </c>
      <c r="AN119" s="4">
        <f t="shared" si="78"/>
        <v>1.0922240564108399E-2</v>
      </c>
      <c r="AO119" s="4">
        <f t="shared" si="78"/>
        <v>7.3493212906090566E-3</v>
      </c>
      <c r="AP119" s="4">
        <f t="shared" si="78"/>
        <v>4.9390262185057265E-3</v>
      </c>
      <c r="AQ119" s="4">
        <f t="shared" si="78"/>
        <v>3.3164275492956197E-3</v>
      </c>
      <c r="AR119" s="4">
        <f t="shared" si="78"/>
        <v>2.2256362146679809E-3</v>
      </c>
    </row>
    <row r="120" spans="1:44" x14ac:dyDescent="0.25">
      <c r="A120" s="24" t="s">
        <v>25</v>
      </c>
      <c r="B120" s="60">
        <f>'Parameter Input'!B34</f>
        <v>-15000</v>
      </c>
      <c r="C120" s="61">
        <f>'Parameter Input'!C34</f>
        <v>-15000</v>
      </c>
      <c r="D120" s="1" t="s">
        <v>15</v>
      </c>
      <c r="L120" s="54">
        <f>'Parameter Input'!E34</f>
        <v>12</v>
      </c>
      <c r="M120" s="37">
        <v>0</v>
      </c>
      <c r="N120" s="37">
        <v>1</v>
      </c>
      <c r="O120" s="37">
        <f>'Parameter Input'!F34</f>
        <v>0.9</v>
      </c>
      <c r="P120" s="55">
        <f>'Parameter Input'!G34</f>
        <v>0.4</v>
      </c>
      <c r="Q120" s="4">
        <f t="shared" si="78"/>
        <v>0.9867978615748374</v>
      </c>
      <c r="R120" s="4">
        <f t="shared" si="78"/>
        <v>0.98114509762858249</v>
      </c>
      <c r="S120" s="4">
        <f t="shared" si="78"/>
        <v>0.97311898315872036</v>
      </c>
      <c r="T120" s="4">
        <f t="shared" si="78"/>
        <v>0.96177484161592774</v>
      </c>
      <c r="U120" s="4">
        <f t="shared" si="78"/>
        <v>0.94584787155511363</v>
      </c>
      <c r="V120" s="4">
        <f t="shared" si="78"/>
        <v>0.92370360150141495</v>
      </c>
      <c r="W120" s="4">
        <f t="shared" si="78"/>
        <v>0.89334463567658451</v>
      </c>
      <c r="X120" s="4">
        <f t="shared" si="78"/>
        <v>0.85254543874327005</v>
      </c>
      <c r="Y120" s="4">
        <f t="shared" si="78"/>
        <v>0.79921300652623883</v>
      </c>
      <c r="Z120" s="4">
        <f t="shared" si="78"/>
        <v>0.73204982249993378</v>
      </c>
      <c r="AA120" s="4">
        <f t="shared" si="78"/>
        <v>0.65145592958786691</v>
      </c>
      <c r="AB120" s="4">
        <f t="shared" si="78"/>
        <v>0.56032247880849573</v>
      </c>
      <c r="AC120" s="4">
        <f t="shared" si="78"/>
        <v>0.46411326873185343</v>
      </c>
      <c r="AD120" s="4">
        <f t="shared" si="78"/>
        <v>0.36979727595523937</v>
      </c>
      <c r="AE120" s="4">
        <f t="shared" si="78"/>
        <v>0.28393948637231203</v>
      </c>
      <c r="AF120" s="4">
        <f t="shared" si="78"/>
        <v>0.21097259161117732</v>
      </c>
      <c r="AG120" s="4">
        <f t="shared" si="78"/>
        <v>0.15253917653798199</v>
      </c>
      <c r="AH120" s="4">
        <f t="shared" si="78"/>
        <v>0.10795188737709993</v>
      </c>
      <c r="AI120" s="4">
        <f t="shared" si="78"/>
        <v>7.5176653938091809E-2</v>
      </c>
      <c r="AJ120" s="4">
        <f t="shared" si="78"/>
        <v>5.1742836177502194E-2</v>
      </c>
      <c r="AK120" s="4">
        <f t="shared" si="78"/>
        <v>3.5319190625345942E-2</v>
      </c>
      <c r="AL120" s="4">
        <f t="shared" si="78"/>
        <v>2.3969442072658165E-2</v>
      </c>
      <c r="AM120" s="4">
        <f t="shared" si="78"/>
        <v>1.6202243558389728E-2</v>
      </c>
      <c r="AN120" s="4">
        <f t="shared" si="78"/>
        <v>1.0922240564108399E-2</v>
      </c>
      <c r="AO120" s="4">
        <f t="shared" si="78"/>
        <v>7.3493212906090566E-3</v>
      </c>
      <c r="AP120" s="4">
        <f t="shared" si="78"/>
        <v>4.9390262185057265E-3</v>
      </c>
      <c r="AQ120" s="4">
        <f t="shared" si="78"/>
        <v>3.3164275492956197E-3</v>
      </c>
      <c r="AR120" s="4">
        <f t="shared" si="78"/>
        <v>2.2256362146679809E-3</v>
      </c>
    </row>
    <row r="121" spans="1:44" x14ac:dyDescent="0.25">
      <c r="A121" s="24" t="s">
        <v>79</v>
      </c>
      <c r="B121" s="45">
        <f>'Parameter Input'!$L$52</f>
        <v>0.06</v>
      </c>
      <c r="C121" s="46">
        <f>'Parameter Input'!$M$52</f>
        <v>0.06</v>
      </c>
      <c r="D121" s="1" t="s">
        <v>57</v>
      </c>
      <c r="L121" s="54">
        <f>'Parameter Input'!$O$52</f>
        <v>12</v>
      </c>
      <c r="M121" s="37">
        <v>0</v>
      </c>
      <c r="N121" s="37">
        <v>1</v>
      </c>
      <c r="O121" s="37">
        <f>'Parameter Input'!$P$52</f>
        <v>0.9</v>
      </c>
      <c r="P121" s="55">
        <f>'Parameter Input'!$Q$52</f>
        <v>0.4</v>
      </c>
      <c r="Q121" s="4">
        <f t="shared" si="78"/>
        <v>0.9867978615748374</v>
      </c>
      <c r="R121" s="4">
        <f t="shared" si="78"/>
        <v>0.98114509762858249</v>
      </c>
      <c r="S121" s="4">
        <f t="shared" si="78"/>
        <v>0.97311898315872036</v>
      </c>
      <c r="T121" s="4">
        <f t="shared" si="78"/>
        <v>0.96177484161592774</v>
      </c>
      <c r="U121" s="4">
        <f t="shared" si="78"/>
        <v>0.94584787155511363</v>
      </c>
      <c r="V121" s="4">
        <f t="shared" si="78"/>
        <v>0.92370360150141495</v>
      </c>
      <c r="W121" s="4">
        <f t="shared" si="78"/>
        <v>0.89334463567658451</v>
      </c>
      <c r="X121" s="4">
        <f t="shared" si="78"/>
        <v>0.85254543874327005</v>
      </c>
      <c r="Y121" s="4">
        <f t="shared" si="78"/>
        <v>0.79921300652623883</v>
      </c>
      <c r="Z121" s="4">
        <f t="shared" si="78"/>
        <v>0.73204982249993378</v>
      </c>
      <c r="AA121" s="4">
        <f t="shared" si="78"/>
        <v>0.65145592958786691</v>
      </c>
      <c r="AB121" s="4">
        <f t="shared" si="78"/>
        <v>0.56032247880849573</v>
      </c>
      <c r="AC121" s="4">
        <f t="shared" si="78"/>
        <v>0.46411326873185343</v>
      </c>
      <c r="AD121" s="4">
        <f t="shared" si="78"/>
        <v>0.36979727595523937</v>
      </c>
      <c r="AE121" s="4">
        <f t="shared" si="78"/>
        <v>0.28393948637231203</v>
      </c>
      <c r="AF121" s="4">
        <f t="shared" si="78"/>
        <v>0.21097259161117732</v>
      </c>
      <c r="AG121" s="4">
        <f t="shared" si="78"/>
        <v>0.15253917653798199</v>
      </c>
      <c r="AH121" s="4">
        <f t="shared" si="78"/>
        <v>0.10795188737709993</v>
      </c>
      <c r="AI121" s="4">
        <f t="shared" si="78"/>
        <v>7.5176653938091809E-2</v>
      </c>
      <c r="AJ121" s="4">
        <f t="shared" si="78"/>
        <v>5.1742836177502194E-2</v>
      </c>
      <c r="AK121" s="4">
        <f t="shared" si="78"/>
        <v>3.5319190625345942E-2</v>
      </c>
      <c r="AL121" s="4">
        <f t="shared" si="78"/>
        <v>2.3969442072658165E-2</v>
      </c>
      <c r="AM121" s="4">
        <f t="shared" si="78"/>
        <v>1.6202243558389728E-2</v>
      </c>
      <c r="AN121" s="4">
        <f t="shared" si="78"/>
        <v>1.0922240564108399E-2</v>
      </c>
      <c r="AO121" s="4">
        <f t="shared" si="78"/>
        <v>7.3493212906090566E-3</v>
      </c>
      <c r="AP121" s="4">
        <f t="shared" si="78"/>
        <v>4.9390262185057265E-3</v>
      </c>
      <c r="AQ121" s="4">
        <f t="shared" si="78"/>
        <v>3.3164275492956197E-3</v>
      </c>
      <c r="AR121" s="4">
        <f t="shared" si="78"/>
        <v>2.2256362146679809E-3</v>
      </c>
    </row>
    <row r="122" spans="1:44" x14ac:dyDescent="0.25">
      <c r="A122" s="24" t="s">
        <v>37</v>
      </c>
      <c r="B122" s="60">
        <f>'Parameter Input'!B35</f>
        <v>70000</v>
      </c>
      <c r="C122" s="61">
        <f>'Parameter Input'!C35</f>
        <v>70000</v>
      </c>
      <c r="D122" s="1" t="s">
        <v>38</v>
      </c>
      <c r="L122" s="54">
        <f>'Parameter Input'!E35</f>
        <v>12</v>
      </c>
      <c r="M122" s="37">
        <v>0</v>
      </c>
      <c r="N122" s="37">
        <v>1</v>
      </c>
      <c r="O122" s="37">
        <f>'Parameter Input'!F35</f>
        <v>0.9</v>
      </c>
      <c r="P122" s="55">
        <f>'Parameter Input'!G35</f>
        <v>0.4</v>
      </c>
      <c r="Q122" s="4">
        <f t="shared" si="78"/>
        <v>0.9867978615748374</v>
      </c>
      <c r="R122" s="4">
        <f t="shared" si="78"/>
        <v>0.98114509762858249</v>
      </c>
      <c r="S122" s="4">
        <f t="shared" si="78"/>
        <v>0.97311898315872036</v>
      </c>
      <c r="T122" s="4">
        <f t="shared" si="78"/>
        <v>0.96177484161592774</v>
      </c>
      <c r="U122" s="4">
        <f t="shared" si="78"/>
        <v>0.94584787155511363</v>
      </c>
      <c r="V122" s="4">
        <f t="shared" si="78"/>
        <v>0.92370360150141495</v>
      </c>
      <c r="W122" s="4">
        <f t="shared" si="78"/>
        <v>0.89334463567658451</v>
      </c>
      <c r="X122" s="4">
        <f t="shared" si="78"/>
        <v>0.85254543874327005</v>
      </c>
      <c r="Y122" s="4">
        <f t="shared" si="78"/>
        <v>0.79921300652623883</v>
      </c>
      <c r="Z122" s="4">
        <f t="shared" si="78"/>
        <v>0.73204982249993378</v>
      </c>
      <c r="AA122" s="4">
        <f t="shared" si="78"/>
        <v>0.65145592958786691</v>
      </c>
      <c r="AB122" s="4">
        <f t="shared" si="78"/>
        <v>0.56032247880849573</v>
      </c>
      <c r="AC122" s="4">
        <f t="shared" si="78"/>
        <v>0.46411326873185343</v>
      </c>
      <c r="AD122" s="4">
        <f t="shared" si="78"/>
        <v>0.36979727595523937</v>
      </c>
      <c r="AE122" s="4">
        <f t="shared" si="78"/>
        <v>0.28393948637231203</v>
      </c>
      <c r="AF122" s="4">
        <f t="shared" si="78"/>
        <v>0.21097259161117732</v>
      </c>
      <c r="AG122" s="4">
        <f t="shared" si="78"/>
        <v>0.15253917653798199</v>
      </c>
      <c r="AH122" s="4">
        <f t="shared" si="78"/>
        <v>0.10795188737709993</v>
      </c>
      <c r="AI122" s="4">
        <f t="shared" si="78"/>
        <v>7.5176653938091809E-2</v>
      </c>
      <c r="AJ122" s="4">
        <f t="shared" si="78"/>
        <v>5.1742836177502194E-2</v>
      </c>
      <c r="AK122" s="4">
        <f t="shared" si="78"/>
        <v>3.5319190625345942E-2</v>
      </c>
      <c r="AL122" s="4">
        <f t="shared" si="78"/>
        <v>2.3969442072658165E-2</v>
      </c>
      <c r="AM122" s="4">
        <f t="shared" si="78"/>
        <v>1.6202243558389728E-2</v>
      </c>
      <c r="AN122" s="4">
        <f t="shared" si="78"/>
        <v>1.0922240564108399E-2</v>
      </c>
      <c r="AO122" s="4">
        <f t="shared" si="78"/>
        <v>7.3493212906090566E-3</v>
      </c>
      <c r="AP122" s="4">
        <f t="shared" si="78"/>
        <v>4.9390262185057265E-3</v>
      </c>
      <c r="AQ122" s="4">
        <f t="shared" si="78"/>
        <v>3.3164275492956197E-3</v>
      </c>
      <c r="AR122" s="4">
        <f t="shared" si="78"/>
        <v>2.2256362146679809E-3</v>
      </c>
    </row>
    <row r="123" spans="1:44" x14ac:dyDescent="0.25">
      <c r="A123" s="24" t="s">
        <v>52</v>
      </c>
      <c r="B123" s="43">
        <f>'Parameter Input'!$L$48</f>
        <v>26000</v>
      </c>
      <c r="C123" s="44">
        <f>'Parameter Input'!$M$48</f>
        <v>18000</v>
      </c>
      <c r="D123" s="1" t="s">
        <v>38</v>
      </c>
      <c r="L123" s="54">
        <f>'Parameter Input'!$O$48</f>
        <v>9</v>
      </c>
      <c r="M123" s="37">
        <v>0</v>
      </c>
      <c r="N123" s="37">
        <v>1</v>
      </c>
      <c r="O123" s="37">
        <f>'Parameter Input'!$P$48</f>
        <v>0.9</v>
      </c>
      <c r="P123" s="55">
        <f>'Parameter Input'!$Q$48</f>
        <v>0.4</v>
      </c>
      <c r="Q123" s="4">
        <f t="shared" si="78"/>
        <v>0.96177484161592774</v>
      </c>
      <c r="R123" s="4">
        <f t="shared" si="78"/>
        <v>0.94584787155511363</v>
      </c>
      <c r="S123" s="4">
        <f t="shared" si="78"/>
        <v>0.92370360150141495</v>
      </c>
      <c r="T123" s="4">
        <f t="shared" si="78"/>
        <v>0.89334463567658451</v>
      </c>
      <c r="U123" s="4">
        <f t="shared" si="78"/>
        <v>0.85254543874327005</v>
      </c>
      <c r="V123" s="4">
        <f t="shared" si="78"/>
        <v>0.79921300652623883</v>
      </c>
      <c r="W123" s="4">
        <f t="shared" si="78"/>
        <v>0.73204982249993378</v>
      </c>
      <c r="X123" s="4">
        <f t="shared" si="78"/>
        <v>0.65145592958786691</v>
      </c>
      <c r="Y123" s="4">
        <f t="shared" si="78"/>
        <v>0.56032247880849573</v>
      </c>
      <c r="Z123" s="4">
        <f t="shared" si="78"/>
        <v>0.46411326873185343</v>
      </c>
      <c r="AA123" s="4">
        <f t="shared" si="78"/>
        <v>0.36979727595523937</v>
      </c>
      <c r="AB123" s="4">
        <f t="shared" si="78"/>
        <v>0.28393948637231203</v>
      </c>
      <c r="AC123" s="4">
        <f t="shared" si="78"/>
        <v>0.21097259161117732</v>
      </c>
      <c r="AD123" s="4">
        <f t="shared" si="78"/>
        <v>0.15253917653798199</v>
      </c>
      <c r="AE123" s="4">
        <f t="shared" si="78"/>
        <v>0.10795188737709993</v>
      </c>
      <c r="AF123" s="4">
        <f t="shared" si="78"/>
        <v>7.5176653938091809E-2</v>
      </c>
      <c r="AG123" s="4">
        <f t="shared" si="78"/>
        <v>5.1742836177502194E-2</v>
      </c>
      <c r="AH123" s="4">
        <f t="shared" si="78"/>
        <v>3.5319190625345942E-2</v>
      </c>
      <c r="AI123" s="4">
        <f t="shared" si="78"/>
        <v>2.3969442072658165E-2</v>
      </c>
      <c r="AJ123" s="4">
        <f t="shared" si="78"/>
        <v>1.6202243558389728E-2</v>
      </c>
      <c r="AK123" s="4">
        <f t="shared" si="78"/>
        <v>1.0922240564108399E-2</v>
      </c>
      <c r="AL123" s="4">
        <f t="shared" si="78"/>
        <v>7.3493212906090566E-3</v>
      </c>
      <c r="AM123" s="4">
        <f t="shared" si="78"/>
        <v>4.9390262185057265E-3</v>
      </c>
      <c r="AN123" s="4">
        <f t="shared" si="78"/>
        <v>3.3164275492956197E-3</v>
      </c>
      <c r="AO123" s="4">
        <f t="shared" si="78"/>
        <v>2.2256362146679809E-3</v>
      </c>
      <c r="AP123" s="4">
        <f t="shared" si="78"/>
        <v>1.4930448704811861E-3</v>
      </c>
      <c r="AQ123" s="4">
        <f t="shared" si="78"/>
        <v>1.0013381504474506E-3</v>
      </c>
      <c r="AR123" s="4">
        <f t="shared" si="78"/>
        <v>6.7145100246257527E-4</v>
      </c>
    </row>
    <row r="124" spans="1:44" x14ac:dyDescent="0.25">
      <c r="A124" s="24" t="s">
        <v>272</v>
      </c>
      <c r="B124" s="60">
        <f>'Parameter Input'!B40</f>
        <v>0.11</v>
      </c>
      <c r="C124" s="61">
        <f>'Parameter Input'!C40</f>
        <v>0.11</v>
      </c>
      <c r="D124" s="1" t="s">
        <v>76</v>
      </c>
      <c r="L124" s="54">
        <f>'Parameter Input'!E40</f>
        <v>12</v>
      </c>
      <c r="M124" s="37">
        <v>0</v>
      </c>
      <c r="N124" s="37">
        <v>1</v>
      </c>
      <c r="O124" s="37">
        <f>'Parameter Input'!F40</f>
        <v>0.9</v>
      </c>
      <c r="P124" s="55">
        <f>'Parameter Input'!G40</f>
        <v>0.4</v>
      </c>
      <c r="Q124" s="4">
        <f t="shared" si="78"/>
        <v>0.9867978615748374</v>
      </c>
      <c r="R124" s="4">
        <f t="shared" si="78"/>
        <v>0.98114509762858249</v>
      </c>
      <c r="S124" s="4">
        <f t="shared" si="78"/>
        <v>0.97311898315872036</v>
      </c>
      <c r="T124" s="4">
        <f t="shared" si="78"/>
        <v>0.96177484161592774</v>
      </c>
      <c r="U124" s="4">
        <f t="shared" si="78"/>
        <v>0.94584787155511363</v>
      </c>
      <c r="V124" s="4">
        <f t="shared" si="78"/>
        <v>0.92370360150141495</v>
      </c>
      <c r="W124" s="4">
        <f t="shared" si="78"/>
        <v>0.89334463567658451</v>
      </c>
      <c r="X124" s="4">
        <f t="shared" si="78"/>
        <v>0.85254543874327005</v>
      </c>
      <c r="Y124" s="4">
        <f t="shared" si="78"/>
        <v>0.79921300652623883</v>
      </c>
      <c r="Z124" s="4">
        <f t="shared" si="78"/>
        <v>0.73204982249993378</v>
      </c>
      <c r="AA124" s="4">
        <f t="shared" si="78"/>
        <v>0.65145592958786691</v>
      </c>
      <c r="AB124" s="4">
        <f t="shared" si="78"/>
        <v>0.56032247880849573</v>
      </c>
      <c r="AC124" s="4">
        <f t="shared" si="78"/>
        <v>0.46411326873185343</v>
      </c>
      <c r="AD124" s="4">
        <f t="shared" si="78"/>
        <v>0.36979727595523937</v>
      </c>
      <c r="AE124" s="4">
        <f t="shared" si="78"/>
        <v>0.28393948637231203</v>
      </c>
      <c r="AF124" s="4">
        <f t="shared" si="78"/>
        <v>0.21097259161117732</v>
      </c>
      <c r="AG124" s="4">
        <f t="shared" si="78"/>
        <v>0.15253917653798199</v>
      </c>
      <c r="AH124" s="4">
        <f t="shared" si="78"/>
        <v>0.10795188737709993</v>
      </c>
      <c r="AI124" s="4">
        <f t="shared" si="78"/>
        <v>7.5176653938091809E-2</v>
      </c>
      <c r="AJ124" s="4">
        <f t="shared" si="78"/>
        <v>5.1742836177502194E-2</v>
      </c>
      <c r="AK124" s="4">
        <f t="shared" si="78"/>
        <v>3.5319190625345942E-2</v>
      </c>
      <c r="AL124" s="4">
        <f t="shared" si="78"/>
        <v>2.3969442072658165E-2</v>
      </c>
      <c r="AM124" s="4">
        <f t="shared" si="78"/>
        <v>1.6202243558389728E-2</v>
      </c>
      <c r="AN124" s="4">
        <f t="shared" si="78"/>
        <v>1.0922240564108399E-2</v>
      </c>
      <c r="AO124" s="4">
        <f t="shared" si="78"/>
        <v>7.3493212906090566E-3</v>
      </c>
      <c r="AP124" s="4">
        <f t="shared" si="78"/>
        <v>4.9390262185057265E-3</v>
      </c>
      <c r="AQ124" s="4">
        <f t="shared" si="78"/>
        <v>3.3164275492956197E-3</v>
      </c>
      <c r="AR124" s="4">
        <f t="shared" si="78"/>
        <v>2.2256362146679809E-3</v>
      </c>
    </row>
    <row r="125" spans="1:44" x14ac:dyDescent="0.25">
      <c r="A125" s="24" t="s">
        <v>59</v>
      </c>
      <c r="B125" s="47">
        <f>'Parameter Input'!$L$49</f>
        <v>2.5299999999999998</v>
      </c>
      <c r="C125" s="48">
        <f>'Parameter Input'!$M$49</f>
        <v>1.79</v>
      </c>
      <c r="D125" s="1" t="s">
        <v>60</v>
      </c>
      <c r="L125" s="54">
        <f>'Parameter Input'!$O$49</f>
        <v>9</v>
      </c>
      <c r="M125" s="37">
        <v>0</v>
      </c>
      <c r="N125" s="37">
        <v>1</v>
      </c>
      <c r="O125" s="37">
        <f>'Parameter Input'!$P$49</f>
        <v>0.9</v>
      </c>
      <c r="P125" s="55">
        <f>'Parameter Input'!$Q$49</f>
        <v>0.4</v>
      </c>
      <c r="Q125" s="4">
        <f t="shared" si="78"/>
        <v>0.96177484161592774</v>
      </c>
      <c r="R125" s="4">
        <f t="shared" si="78"/>
        <v>0.94584787155511363</v>
      </c>
      <c r="S125" s="4">
        <f t="shared" si="78"/>
        <v>0.92370360150141495</v>
      </c>
      <c r="T125" s="4">
        <f t="shared" si="78"/>
        <v>0.89334463567658451</v>
      </c>
      <c r="U125" s="4">
        <f t="shared" si="78"/>
        <v>0.85254543874327005</v>
      </c>
      <c r="V125" s="4">
        <f t="shared" si="78"/>
        <v>0.79921300652623883</v>
      </c>
      <c r="W125" s="4">
        <f t="shared" si="78"/>
        <v>0.73204982249993378</v>
      </c>
      <c r="X125" s="4">
        <f t="shared" si="78"/>
        <v>0.65145592958786691</v>
      </c>
      <c r="Y125" s="4">
        <f t="shared" si="78"/>
        <v>0.56032247880849573</v>
      </c>
      <c r="Z125" s="4">
        <f t="shared" si="78"/>
        <v>0.46411326873185343</v>
      </c>
      <c r="AA125" s="4">
        <f t="shared" si="78"/>
        <v>0.36979727595523937</v>
      </c>
      <c r="AB125" s="4">
        <f t="shared" si="78"/>
        <v>0.28393948637231203</v>
      </c>
      <c r="AC125" s="4">
        <f t="shared" si="78"/>
        <v>0.21097259161117732</v>
      </c>
      <c r="AD125" s="4">
        <f t="shared" si="78"/>
        <v>0.15253917653798199</v>
      </c>
      <c r="AE125" s="4">
        <f t="shared" si="78"/>
        <v>0.10795188737709993</v>
      </c>
      <c r="AF125" s="4">
        <f t="shared" si="78"/>
        <v>7.5176653938091809E-2</v>
      </c>
      <c r="AG125" s="4">
        <f t="shared" si="78"/>
        <v>5.1742836177502194E-2</v>
      </c>
      <c r="AH125" s="4">
        <f t="shared" si="78"/>
        <v>3.5319190625345942E-2</v>
      </c>
      <c r="AI125" s="4">
        <f t="shared" si="78"/>
        <v>2.3969442072658165E-2</v>
      </c>
      <c r="AJ125" s="4">
        <f t="shared" si="78"/>
        <v>1.6202243558389728E-2</v>
      </c>
      <c r="AK125" s="4">
        <f t="shared" si="78"/>
        <v>1.0922240564108399E-2</v>
      </c>
      <c r="AL125" s="4">
        <f t="shared" si="78"/>
        <v>7.3493212906090566E-3</v>
      </c>
      <c r="AM125" s="4">
        <f t="shared" si="78"/>
        <v>4.9390262185057265E-3</v>
      </c>
      <c r="AN125" s="4">
        <f t="shared" si="78"/>
        <v>3.3164275492956197E-3</v>
      </c>
      <c r="AO125" s="4">
        <f t="shared" si="78"/>
        <v>2.2256362146679809E-3</v>
      </c>
      <c r="AP125" s="4">
        <f t="shared" si="78"/>
        <v>1.4930448704811861E-3</v>
      </c>
      <c r="AQ125" s="4">
        <f t="shared" si="78"/>
        <v>1.0013381504474506E-3</v>
      </c>
      <c r="AR125" s="4">
        <f t="shared" si="78"/>
        <v>6.7145100246257527E-4</v>
      </c>
    </row>
    <row r="126" spans="1:44" x14ac:dyDescent="0.25">
      <c r="A126" s="24" t="s">
        <v>67</v>
      </c>
      <c r="B126" s="45">
        <f>'Parameter Input'!$L$50</f>
        <v>0.2544561408768215</v>
      </c>
      <c r="C126" s="46">
        <f>'Parameter Input'!$M$50</f>
        <v>0.10949010032952979</v>
      </c>
      <c r="D126" s="1" t="s">
        <v>68</v>
      </c>
      <c r="L126" s="54">
        <f>'Parameter Input'!$O$50</f>
        <v>12</v>
      </c>
      <c r="M126" s="37">
        <v>0</v>
      </c>
      <c r="N126" s="37">
        <v>1</v>
      </c>
      <c r="O126" s="37">
        <f>'Parameter Input'!$P$50</f>
        <v>0.9</v>
      </c>
      <c r="P126" s="55">
        <f>'Parameter Input'!$Q$50</f>
        <v>0.4</v>
      </c>
      <c r="Q126" s="4">
        <f t="shared" si="78"/>
        <v>0.9867978615748374</v>
      </c>
      <c r="R126" s="4">
        <f t="shared" si="78"/>
        <v>0.98114509762858249</v>
      </c>
      <c r="S126" s="4">
        <f t="shared" si="78"/>
        <v>0.97311898315872036</v>
      </c>
      <c r="T126" s="4">
        <f t="shared" ref="T126:AI133" si="79">$N126+($M126-$N126)*((1/(1+EXP(-$P126*(T$9-$L126)))^$O126))</f>
        <v>0.96177484161592774</v>
      </c>
      <c r="U126" s="4">
        <f t="shared" si="79"/>
        <v>0.94584787155511363</v>
      </c>
      <c r="V126" s="4">
        <f t="shared" si="79"/>
        <v>0.92370360150141495</v>
      </c>
      <c r="W126" s="4">
        <f t="shared" si="79"/>
        <v>0.89334463567658451</v>
      </c>
      <c r="X126" s="4">
        <f t="shared" si="79"/>
        <v>0.85254543874327005</v>
      </c>
      <c r="Y126" s="4">
        <f t="shared" si="79"/>
        <v>0.79921300652623883</v>
      </c>
      <c r="Z126" s="4">
        <f t="shared" si="79"/>
        <v>0.73204982249993378</v>
      </c>
      <c r="AA126" s="4">
        <f t="shared" si="79"/>
        <v>0.65145592958786691</v>
      </c>
      <c r="AB126" s="4">
        <f t="shared" si="79"/>
        <v>0.56032247880849573</v>
      </c>
      <c r="AC126" s="4">
        <f t="shared" si="79"/>
        <v>0.46411326873185343</v>
      </c>
      <c r="AD126" s="4">
        <f t="shared" si="79"/>
        <v>0.36979727595523937</v>
      </c>
      <c r="AE126" s="4">
        <f t="shared" si="79"/>
        <v>0.28393948637231203</v>
      </c>
      <c r="AF126" s="4">
        <f t="shared" si="79"/>
        <v>0.21097259161117732</v>
      </c>
      <c r="AG126" s="4">
        <f t="shared" si="79"/>
        <v>0.15253917653798199</v>
      </c>
      <c r="AH126" s="4">
        <f t="shared" si="79"/>
        <v>0.10795188737709993</v>
      </c>
      <c r="AI126" s="4">
        <f t="shared" si="79"/>
        <v>7.5176653938091809E-2</v>
      </c>
      <c r="AJ126" s="4">
        <f t="shared" ref="AJ126:AR133" si="80">$N126+($M126-$N126)*((1/(1+EXP(-$P126*(AJ$9-$L126)))^$O126))</f>
        <v>5.1742836177502194E-2</v>
      </c>
      <c r="AK126" s="4">
        <f t="shared" si="80"/>
        <v>3.5319190625345942E-2</v>
      </c>
      <c r="AL126" s="4">
        <f t="shared" si="80"/>
        <v>2.3969442072658165E-2</v>
      </c>
      <c r="AM126" s="4">
        <f t="shared" si="80"/>
        <v>1.6202243558389728E-2</v>
      </c>
      <c r="AN126" s="4">
        <f t="shared" si="80"/>
        <v>1.0922240564108399E-2</v>
      </c>
      <c r="AO126" s="4">
        <f t="shared" si="80"/>
        <v>7.3493212906090566E-3</v>
      </c>
      <c r="AP126" s="4">
        <f t="shared" si="80"/>
        <v>4.9390262185057265E-3</v>
      </c>
      <c r="AQ126" s="4">
        <f t="shared" si="80"/>
        <v>3.3164275492956197E-3</v>
      </c>
      <c r="AR126" s="4">
        <f t="shared" si="80"/>
        <v>2.2256362146679809E-3</v>
      </c>
    </row>
    <row r="127" spans="1:44" x14ac:dyDescent="0.25">
      <c r="A127" s="24" t="s">
        <v>206</v>
      </c>
      <c r="B127" s="115">
        <f>'Parameter Input'!$L$53</f>
        <v>9.1245901639344252E-3</v>
      </c>
      <c r="C127" s="116">
        <f>'Parameter Input'!$M$53</f>
        <v>0</v>
      </c>
      <c r="D127" s="1" t="s">
        <v>76</v>
      </c>
      <c r="L127" s="54">
        <f>'Parameter Input'!$O$53</f>
        <v>17</v>
      </c>
      <c r="M127" s="37">
        <v>0</v>
      </c>
      <c r="N127" s="37">
        <v>1</v>
      </c>
      <c r="O127" s="37">
        <f>'Parameter Input'!$P$53</f>
        <v>0.9</v>
      </c>
      <c r="P127" s="55">
        <f>'Parameter Input'!$Q$53</f>
        <v>0.4</v>
      </c>
      <c r="Q127" s="4">
        <f t="shared" ref="Q127:AR127" si="81">$N127+($M127-$N127)*((1/(1+EXP(-$P127*(Q$9-$L127)))^$O127))</f>
        <v>0.99780374543478534</v>
      </c>
      <c r="R127" s="4">
        <f t="shared" si="81"/>
        <v>0.99685359315256394</v>
      </c>
      <c r="S127" s="4">
        <f t="shared" si="81"/>
        <v>0.99549347132349975</v>
      </c>
      <c r="T127" s="4">
        <f t="shared" si="81"/>
        <v>0.99354772139898062</v>
      </c>
      <c r="U127" s="4">
        <f t="shared" si="81"/>
        <v>0.99076681540580536</v>
      </c>
      <c r="V127" s="4">
        <f t="shared" si="81"/>
        <v>0.9867978615748374</v>
      </c>
      <c r="W127" s="4">
        <f t="shared" si="81"/>
        <v>0.98114509762858249</v>
      </c>
      <c r="X127" s="4">
        <f t="shared" si="81"/>
        <v>0.97311898315872036</v>
      </c>
      <c r="Y127" s="4">
        <f t="shared" si="81"/>
        <v>0.96177484161592774</v>
      </c>
      <c r="Z127" s="4">
        <f t="shared" si="81"/>
        <v>0.94584787155511363</v>
      </c>
      <c r="AA127" s="4">
        <f t="shared" si="81"/>
        <v>0.92370360150141495</v>
      </c>
      <c r="AB127" s="4">
        <f t="shared" si="81"/>
        <v>0.89334463567658451</v>
      </c>
      <c r="AC127" s="4">
        <f t="shared" si="81"/>
        <v>0.85254543874327005</v>
      </c>
      <c r="AD127" s="4">
        <f t="shared" si="81"/>
        <v>0.79921300652623883</v>
      </c>
      <c r="AE127" s="4">
        <f t="shared" si="81"/>
        <v>0.73204982249993378</v>
      </c>
      <c r="AF127" s="4">
        <f t="shared" si="81"/>
        <v>0.65145592958786691</v>
      </c>
      <c r="AG127" s="4">
        <f t="shared" si="81"/>
        <v>0.56032247880849573</v>
      </c>
      <c r="AH127" s="4">
        <f t="shared" si="81"/>
        <v>0.46411326873185343</v>
      </c>
      <c r="AI127" s="4">
        <f t="shared" si="81"/>
        <v>0.36979727595523937</v>
      </c>
      <c r="AJ127" s="4">
        <f t="shared" si="81"/>
        <v>0.28393948637231203</v>
      </c>
      <c r="AK127" s="4">
        <f t="shared" si="81"/>
        <v>0.21097259161117732</v>
      </c>
      <c r="AL127" s="4">
        <f t="shared" si="81"/>
        <v>0.15253917653798199</v>
      </c>
      <c r="AM127" s="4">
        <f t="shared" si="81"/>
        <v>0.10795188737709993</v>
      </c>
      <c r="AN127" s="4">
        <f t="shared" si="81"/>
        <v>7.5176653938091809E-2</v>
      </c>
      <c r="AO127" s="4">
        <f t="shared" si="81"/>
        <v>5.1742836177502194E-2</v>
      </c>
      <c r="AP127" s="4">
        <f t="shared" si="81"/>
        <v>3.5319190625345942E-2</v>
      </c>
      <c r="AQ127" s="4">
        <f t="shared" si="81"/>
        <v>2.3969442072658165E-2</v>
      </c>
      <c r="AR127" s="4">
        <f t="shared" si="81"/>
        <v>1.6202243558389728E-2</v>
      </c>
    </row>
    <row r="128" spans="1:44" x14ac:dyDescent="0.25">
      <c r="A128" s="24" t="s">
        <v>41</v>
      </c>
      <c r="B128" s="43">
        <f>'Parameter Input'!$L$47</f>
        <v>8</v>
      </c>
      <c r="C128" s="44">
        <f>'Parameter Input'!$M$47</f>
        <v>8</v>
      </c>
      <c r="D128" s="1" t="s">
        <v>42</v>
      </c>
      <c r="L128" s="54">
        <f>'Parameter Input'!$O$47</f>
        <v>9</v>
      </c>
      <c r="M128" s="37">
        <v>0</v>
      </c>
      <c r="N128" s="37">
        <v>1</v>
      </c>
      <c r="O128" s="37">
        <f>'Parameter Input'!$P$47</f>
        <v>0.9</v>
      </c>
      <c r="P128" s="55">
        <f>'Parameter Input'!$Q$47</f>
        <v>0.4</v>
      </c>
      <c r="Q128" s="4">
        <f t="shared" ref="Q128:AF133" si="82">$N128+($M128-$N128)*((1/(1+EXP(-$P128*(Q$9-$L128)))^$O128))</f>
        <v>0.96177484161592774</v>
      </c>
      <c r="R128" s="4">
        <f t="shared" si="82"/>
        <v>0.94584787155511363</v>
      </c>
      <c r="S128" s="4">
        <f t="shared" si="82"/>
        <v>0.92370360150141495</v>
      </c>
      <c r="T128" s="4">
        <f t="shared" si="82"/>
        <v>0.89334463567658451</v>
      </c>
      <c r="U128" s="4">
        <f t="shared" si="82"/>
        <v>0.85254543874327005</v>
      </c>
      <c r="V128" s="4">
        <f t="shared" si="82"/>
        <v>0.79921300652623883</v>
      </c>
      <c r="W128" s="4">
        <f t="shared" si="82"/>
        <v>0.73204982249993378</v>
      </c>
      <c r="X128" s="4">
        <f t="shared" si="82"/>
        <v>0.65145592958786691</v>
      </c>
      <c r="Y128" s="4">
        <f t="shared" si="82"/>
        <v>0.56032247880849573</v>
      </c>
      <c r="Z128" s="4">
        <f t="shared" si="82"/>
        <v>0.46411326873185343</v>
      </c>
      <c r="AA128" s="4">
        <f t="shared" si="82"/>
        <v>0.36979727595523937</v>
      </c>
      <c r="AB128" s="4">
        <f t="shared" si="82"/>
        <v>0.28393948637231203</v>
      </c>
      <c r="AC128" s="4">
        <f t="shared" si="82"/>
        <v>0.21097259161117732</v>
      </c>
      <c r="AD128" s="4">
        <f t="shared" si="82"/>
        <v>0.15253917653798199</v>
      </c>
      <c r="AE128" s="4">
        <f t="shared" si="82"/>
        <v>0.10795188737709993</v>
      </c>
      <c r="AF128" s="4">
        <f t="shared" si="82"/>
        <v>7.5176653938091809E-2</v>
      </c>
      <c r="AG128" s="4">
        <f t="shared" si="79"/>
        <v>5.1742836177502194E-2</v>
      </c>
      <c r="AH128" s="4">
        <f t="shared" si="79"/>
        <v>3.5319190625345942E-2</v>
      </c>
      <c r="AI128" s="4">
        <f t="shared" si="79"/>
        <v>2.3969442072658165E-2</v>
      </c>
      <c r="AJ128" s="4">
        <f t="shared" si="80"/>
        <v>1.6202243558389728E-2</v>
      </c>
      <c r="AK128" s="4">
        <f t="shared" si="80"/>
        <v>1.0922240564108399E-2</v>
      </c>
      <c r="AL128" s="4">
        <f t="shared" si="80"/>
        <v>7.3493212906090566E-3</v>
      </c>
      <c r="AM128" s="4">
        <f t="shared" si="80"/>
        <v>4.9390262185057265E-3</v>
      </c>
      <c r="AN128" s="4">
        <f t="shared" si="80"/>
        <v>3.3164275492956197E-3</v>
      </c>
      <c r="AO128" s="4">
        <f t="shared" si="80"/>
        <v>2.2256362146679809E-3</v>
      </c>
      <c r="AP128" s="4">
        <f t="shared" si="80"/>
        <v>1.4930448704811861E-3</v>
      </c>
      <c r="AQ128" s="4">
        <f t="shared" si="80"/>
        <v>1.0013381504474506E-3</v>
      </c>
      <c r="AR128" s="4">
        <f t="shared" si="80"/>
        <v>6.7145100246257527E-4</v>
      </c>
    </row>
    <row r="129" spans="1:44" x14ac:dyDescent="0.25">
      <c r="A129" s="24" t="s">
        <v>70</v>
      </c>
      <c r="B129" s="60">
        <f>'Parameter Input'!B39</f>
        <v>10</v>
      </c>
      <c r="C129" s="61">
        <f>'Parameter Input'!C39</f>
        <v>10</v>
      </c>
      <c r="D129" s="1" t="s">
        <v>42</v>
      </c>
      <c r="L129" s="54">
        <f>'Parameter Input'!E39</f>
        <v>12</v>
      </c>
      <c r="M129" s="37">
        <v>0</v>
      </c>
      <c r="N129" s="37">
        <v>1</v>
      </c>
      <c r="O129" s="37">
        <f>'Parameter Input'!F39</f>
        <v>0.9</v>
      </c>
      <c r="P129" s="55">
        <f>'Parameter Input'!G39</f>
        <v>0.4</v>
      </c>
      <c r="Q129" s="4">
        <f t="shared" si="82"/>
        <v>0.9867978615748374</v>
      </c>
      <c r="R129" s="4">
        <f t="shared" si="82"/>
        <v>0.98114509762858249</v>
      </c>
      <c r="S129" s="4">
        <f t="shared" si="82"/>
        <v>0.97311898315872036</v>
      </c>
      <c r="T129" s="4">
        <f t="shared" si="82"/>
        <v>0.96177484161592774</v>
      </c>
      <c r="U129" s="4">
        <f t="shared" si="82"/>
        <v>0.94584787155511363</v>
      </c>
      <c r="V129" s="4">
        <f t="shared" si="82"/>
        <v>0.92370360150141495</v>
      </c>
      <c r="W129" s="4">
        <f t="shared" si="82"/>
        <v>0.89334463567658451</v>
      </c>
      <c r="X129" s="4">
        <f t="shared" si="82"/>
        <v>0.85254543874327005</v>
      </c>
      <c r="Y129" s="4">
        <f t="shared" si="82"/>
        <v>0.79921300652623883</v>
      </c>
      <c r="Z129" s="4">
        <f t="shared" si="82"/>
        <v>0.73204982249993378</v>
      </c>
      <c r="AA129" s="4">
        <f t="shared" si="82"/>
        <v>0.65145592958786691</v>
      </c>
      <c r="AB129" s="4">
        <f t="shared" si="82"/>
        <v>0.56032247880849573</v>
      </c>
      <c r="AC129" s="4">
        <f t="shared" si="82"/>
        <v>0.46411326873185343</v>
      </c>
      <c r="AD129" s="4">
        <f t="shared" si="82"/>
        <v>0.36979727595523937</v>
      </c>
      <c r="AE129" s="4">
        <f t="shared" si="82"/>
        <v>0.28393948637231203</v>
      </c>
      <c r="AF129" s="4">
        <f t="shared" si="82"/>
        <v>0.21097259161117732</v>
      </c>
      <c r="AG129" s="4">
        <f t="shared" si="79"/>
        <v>0.15253917653798199</v>
      </c>
      <c r="AH129" s="4">
        <f t="shared" si="79"/>
        <v>0.10795188737709993</v>
      </c>
      <c r="AI129" s="4">
        <f t="shared" si="79"/>
        <v>7.5176653938091809E-2</v>
      </c>
      <c r="AJ129" s="4">
        <f t="shared" si="80"/>
        <v>5.1742836177502194E-2</v>
      </c>
      <c r="AK129" s="4">
        <f t="shared" si="80"/>
        <v>3.5319190625345942E-2</v>
      </c>
      <c r="AL129" s="4">
        <f t="shared" si="80"/>
        <v>2.3969442072658165E-2</v>
      </c>
      <c r="AM129" s="4">
        <f t="shared" si="80"/>
        <v>1.6202243558389728E-2</v>
      </c>
      <c r="AN129" s="4">
        <f t="shared" si="80"/>
        <v>1.0922240564108399E-2</v>
      </c>
      <c r="AO129" s="4">
        <f t="shared" si="80"/>
        <v>7.3493212906090566E-3</v>
      </c>
      <c r="AP129" s="4">
        <f t="shared" si="80"/>
        <v>4.9390262185057265E-3</v>
      </c>
      <c r="AQ129" s="4">
        <f t="shared" si="80"/>
        <v>3.3164275492956197E-3</v>
      </c>
      <c r="AR129" s="4">
        <f t="shared" si="80"/>
        <v>2.2256362146679809E-3</v>
      </c>
    </row>
    <row r="130" spans="1:44" x14ac:dyDescent="0.25">
      <c r="A130" s="24" t="s">
        <v>207</v>
      </c>
      <c r="B130" s="43">
        <f>'Parameter Input'!B36</f>
        <v>25</v>
      </c>
      <c r="C130" s="44">
        <f>'Parameter Input'!C36</f>
        <v>25</v>
      </c>
      <c r="D130" s="1" t="s">
        <v>49</v>
      </c>
      <c r="L130" s="54">
        <f>'Parameter Input'!E36</f>
        <v>12</v>
      </c>
      <c r="M130" s="37">
        <v>0</v>
      </c>
      <c r="N130" s="37">
        <v>1</v>
      </c>
      <c r="O130" s="37">
        <f>'Parameter Input'!F36</f>
        <v>0.9</v>
      </c>
      <c r="P130" s="55">
        <f>'Parameter Input'!G36</f>
        <v>0.4</v>
      </c>
      <c r="Q130" s="4">
        <f t="shared" si="82"/>
        <v>0.9867978615748374</v>
      </c>
      <c r="R130" s="4">
        <f t="shared" si="82"/>
        <v>0.98114509762858249</v>
      </c>
      <c r="S130" s="4">
        <f t="shared" si="82"/>
        <v>0.97311898315872036</v>
      </c>
      <c r="T130" s="4">
        <f t="shared" si="82"/>
        <v>0.96177484161592774</v>
      </c>
      <c r="U130" s="4">
        <f t="shared" si="82"/>
        <v>0.94584787155511363</v>
      </c>
      <c r="V130" s="4">
        <f t="shared" si="82"/>
        <v>0.92370360150141495</v>
      </c>
      <c r="W130" s="4">
        <f t="shared" si="82"/>
        <v>0.89334463567658451</v>
      </c>
      <c r="X130" s="4">
        <f t="shared" si="82"/>
        <v>0.85254543874327005</v>
      </c>
      <c r="Y130" s="4">
        <f t="shared" si="82"/>
        <v>0.79921300652623883</v>
      </c>
      <c r="Z130" s="4">
        <f t="shared" si="82"/>
        <v>0.73204982249993378</v>
      </c>
      <c r="AA130" s="4">
        <f t="shared" si="82"/>
        <v>0.65145592958786691</v>
      </c>
      <c r="AB130" s="4">
        <f t="shared" si="82"/>
        <v>0.56032247880849573</v>
      </c>
      <c r="AC130" s="4">
        <f t="shared" si="82"/>
        <v>0.46411326873185343</v>
      </c>
      <c r="AD130" s="4">
        <f t="shared" si="82"/>
        <v>0.36979727595523937</v>
      </c>
      <c r="AE130" s="4">
        <f t="shared" si="82"/>
        <v>0.28393948637231203</v>
      </c>
      <c r="AF130" s="4">
        <f t="shared" si="82"/>
        <v>0.21097259161117732</v>
      </c>
      <c r="AG130" s="4">
        <f t="shared" si="79"/>
        <v>0.15253917653798199</v>
      </c>
      <c r="AH130" s="4">
        <f t="shared" si="79"/>
        <v>0.10795188737709993</v>
      </c>
      <c r="AI130" s="4">
        <f t="shared" si="79"/>
        <v>7.5176653938091809E-2</v>
      </c>
      <c r="AJ130" s="4">
        <f t="shared" si="80"/>
        <v>5.1742836177502194E-2</v>
      </c>
      <c r="AK130" s="4">
        <f t="shared" si="80"/>
        <v>3.5319190625345942E-2</v>
      </c>
      <c r="AL130" s="4">
        <f t="shared" si="80"/>
        <v>2.3969442072658165E-2</v>
      </c>
      <c r="AM130" s="4">
        <f t="shared" si="80"/>
        <v>1.6202243558389728E-2</v>
      </c>
      <c r="AN130" s="4">
        <f t="shared" si="80"/>
        <v>1.0922240564108399E-2</v>
      </c>
      <c r="AO130" s="4">
        <f t="shared" si="80"/>
        <v>7.3493212906090566E-3</v>
      </c>
      <c r="AP130" s="4">
        <f t="shared" si="80"/>
        <v>4.9390262185057265E-3</v>
      </c>
      <c r="AQ130" s="4">
        <f t="shared" si="80"/>
        <v>3.3164275492956197E-3</v>
      </c>
      <c r="AR130" s="4">
        <f t="shared" si="80"/>
        <v>2.2256362146679809E-3</v>
      </c>
    </row>
    <row r="131" spans="1:44" x14ac:dyDescent="0.25">
      <c r="A131" s="24" t="s">
        <v>56</v>
      </c>
      <c r="B131" s="45">
        <f>'Parameter Input'!B37</f>
        <v>0.64</v>
      </c>
      <c r="C131" s="46">
        <f>'Parameter Input'!C37</f>
        <v>0.64</v>
      </c>
      <c r="D131" s="1" t="s">
        <v>57</v>
      </c>
      <c r="L131" s="54">
        <f>'Parameter Input'!E37</f>
        <v>12</v>
      </c>
      <c r="M131" s="37">
        <v>0</v>
      </c>
      <c r="N131" s="37">
        <v>1</v>
      </c>
      <c r="O131" s="37">
        <f>'Parameter Input'!F37</f>
        <v>0.9</v>
      </c>
      <c r="P131" s="55">
        <f>'Parameter Input'!G37</f>
        <v>0.4</v>
      </c>
      <c r="Q131" s="4">
        <f t="shared" si="82"/>
        <v>0.9867978615748374</v>
      </c>
      <c r="R131" s="4">
        <f t="shared" si="82"/>
        <v>0.98114509762858249</v>
      </c>
      <c r="S131" s="4">
        <f t="shared" si="82"/>
        <v>0.97311898315872036</v>
      </c>
      <c r="T131" s="4">
        <f t="shared" si="82"/>
        <v>0.96177484161592774</v>
      </c>
      <c r="U131" s="4">
        <f t="shared" si="82"/>
        <v>0.94584787155511363</v>
      </c>
      <c r="V131" s="4">
        <f t="shared" si="82"/>
        <v>0.92370360150141495</v>
      </c>
      <c r="W131" s="4">
        <f t="shared" si="82"/>
        <v>0.89334463567658451</v>
      </c>
      <c r="X131" s="4">
        <f t="shared" si="82"/>
        <v>0.85254543874327005</v>
      </c>
      <c r="Y131" s="4">
        <f t="shared" si="82"/>
        <v>0.79921300652623883</v>
      </c>
      <c r="Z131" s="4">
        <f t="shared" si="82"/>
        <v>0.73204982249993378</v>
      </c>
      <c r="AA131" s="4">
        <f t="shared" si="82"/>
        <v>0.65145592958786691</v>
      </c>
      <c r="AB131" s="4">
        <f t="shared" si="82"/>
        <v>0.56032247880849573</v>
      </c>
      <c r="AC131" s="4">
        <f t="shared" si="82"/>
        <v>0.46411326873185343</v>
      </c>
      <c r="AD131" s="4">
        <f t="shared" si="82"/>
        <v>0.36979727595523937</v>
      </c>
      <c r="AE131" s="4">
        <f t="shared" si="82"/>
        <v>0.28393948637231203</v>
      </c>
      <c r="AF131" s="4">
        <f t="shared" si="82"/>
        <v>0.21097259161117732</v>
      </c>
      <c r="AG131" s="4">
        <f t="shared" si="79"/>
        <v>0.15253917653798199</v>
      </c>
      <c r="AH131" s="4">
        <f t="shared" si="79"/>
        <v>0.10795188737709993</v>
      </c>
      <c r="AI131" s="4">
        <f t="shared" si="79"/>
        <v>7.5176653938091809E-2</v>
      </c>
      <c r="AJ131" s="4">
        <f t="shared" si="80"/>
        <v>5.1742836177502194E-2</v>
      </c>
      <c r="AK131" s="4">
        <f t="shared" si="80"/>
        <v>3.5319190625345942E-2</v>
      </c>
      <c r="AL131" s="4">
        <f t="shared" si="80"/>
        <v>2.3969442072658165E-2</v>
      </c>
      <c r="AM131" s="4">
        <f t="shared" si="80"/>
        <v>1.6202243558389728E-2</v>
      </c>
      <c r="AN131" s="4">
        <f t="shared" si="80"/>
        <v>1.0922240564108399E-2</v>
      </c>
      <c r="AO131" s="4">
        <f t="shared" si="80"/>
        <v>7.3493212906090566E-3</v>
      </c>
      <c r="AP131" s="4">
        <f t="shared" si="80"/>
        <v>4.9390262185057265E-3</v>
      </c>
      <c r="AQ131" s="4">
        <f t="shared" si="80"/>
        <v>3.3164275492956197E-3</v>
      </c>
      <c r="AR131" s="4">
        <f t="shared" si="80"/>
        <v>2.2256362146679809E-3</v>
      </c>
    </row>
    <row r="132" spans="1:44" x14ac:dyDescent="0.25">
      <c r="A132" s="24" t="s">
        <v>73</v>
      </c>
      <c r="B132" s="72">
        <f>'Parameter Input'!$L$51</f>
        <v>0.05</v>
      </c>
      <c r="C132" s="73">
        <f>'Parameter Input'!$M$51</f>
        <v>0.02</v>
      </c>
      <c r="D132" s="1" t="s">
        <v>57</v>
      </c>
      <c r="L132" s="54">
        <f>'Parameter Input'!$O$51</f>
        <v>12</v>
      </c>
      <c r="M132" s="37">
        <v>0</v>
      </c>
      <c r="N132" s="37">
        <v>1</v>
      </c>
      <c r="O132" s="37">
        <f>'Parameter Input'!$P$51</f>
        <v>0.9</v>
      </c>
      <c r="P132" s="55">
        <f>'Parameter Input'!$Q$51</f>
        <v>0.4</v>
      </c>
      <c r="Q132" s="4">
        <f t="shared" si="82"/>
        <v>0.9867978615748374</v>
      </c>
      <c r="R132" s="4">
        <f t="shared" si="82"/>
        <v>0.98114509762858249</v>
      </c>
      <c r="S132" s="4">
        <f t="shared" si="82"/>
        <v>0.97311898315872036</v>
      </c>
      <c r="T132" s="4">
        <f t="shared" si="82"/>
        <v>0.96177484161592774</v>
      </c>
      <c r="U132" s="4">
        <f t="shared" si="82"/>
        <v>0.94584787155511363</v>
      </c>
      <c r="V132" s="4">
        <f t="shared" si="82"/>
        <v>0.92370360150141495</v>
      </c>
      <c r="W132" s="4">
        <f t="shared" si="82"/>
        <v>0.89334463567658451</v>
      </c>
      <c r="X132" s="4">
        <f t="shared" si="82"/>
        <v>0.85254543874327005</v>
      </c>
      <c r="Y132" s="4">
        <f t="shared" si="82"/>
        <v>0.79921300652623883</v>
      </c>
      <c r="Z132" s="4">
        <f t="shared" si="82"/>
        <v>0.73204982249993378</v>
      </c>
      <c r="AA132" s="4">
        <f t="shared" si="82"/>
        <v>0.65145592958786691</v>
      </c>
      <c r="AB132" s="4">
        <f t="shared" si="82"/>
        <v>0.56032247880849573</v>
      </c>
      <c r="AC132" s="4">
        <f t="shared" si="82"/>
        <v>0.46411326873185343</v>
      </c>
      <c r="AD132" s="4">
        <f t="shared" si="82"/>
        <v>0.36979727595523937</v>
      </c>
      <c r="AE132" s="4">
        <f t="shared" si="82"/>
        <v>0.28393948637231203</v>
      </c>
      <c r="AF132" s="4">
        <f t="shared" si="82"/>
        <v>0.21097259161117732</v>
      </c>
      <c r="AG132" s="4">
        <f t="shared" si="79"/>
        <v>0.15253917653798199</v>
      </c>
      <c r="AH132" s="4">
        <f t="shared" si="79"/>
        <v>0.10795188737709993</v>
      </c>
      <c r="AI132" s="4">
        <f t="shared" si="79"/>
        <v>7.5176653938091809E-2</v>
      </c>
      <c r="AJ132" s="4">
        <f t="shared" si="80"/>
        <v>5.1742836177502194E-2</v>
      </c>
      <c r="AK132" s="4">
        <f t="shared" si="80"/>
        <v>3.5319190625345942E-2</v>
      </c>
      <c r="AL132" s="4">
        <f t="shared" si="80"/>
        <v>2.3969442072658165E-2</v>
      </c>
      <c r="AM132" s="4">
        <f t="shared" si="80"/>
        <v>1.6202243558389728E-2</v>
      </c>
      <c r="AN132" s="4">
        <f t="shared" si="80"/>
        <v>1.0922240564108399E-2</v>
      </c>
      <c r="AO132" s="4">
        <f t="shared" si="80"/>
        <v>7.3493212906090566E-3</v>
      </c>
      <c r="AP132" s="4">
        <f t="shared" si="80"/>
        <v>4.9390262185057265E-3</v>
      </c>
      <c r="AQ132" s="4">
        <f t="shared" si="80"/>
        <v>3.3164275492956197E-3</v>
      </c>
      <c r="AR132" s="4">
        <f t="shared" si="80"/>
        <v>2.2256362146679809E-3</v>
      </c>
    </row>
    <row r="133" spans="1:44" ht="15.75" thickBot="1" x14ac:dyDescent="0.3">
      <c r="A133" s="24" t="s">
        <v>64</v>
      </c>
      <c r="B133" s="49">
        <f>'Parameter Input'!B38</f>
        <v>110000</v>
      </c>
      <c r="C133" s="50">
        <f>'Parameter Input'!C38</f>
        <v>110000</v>
      </c>
      <c r="D133" s="1" t="s">
        <v>65</v>
      </c>
      <c r="L133" s="56">
        <f>'Parameter Input'!E38</f>
        <v>12</v>
      </c>
      <c r="M133" s="57">
        <v>0</v>
      </c>
      <c r="N133" s="57">
        <v>1</v>
      </c>
      <c r="O133" s="57">
        <f>'Parameter Input'!F38</f>
        <v>0.9</v>
      </c>
      <c r="P133" s="58">
        <f>'Parameter Input'!G38</f>
        <v>0.4</v>
      </c>
      <c r="Q133" s="4">
        <f t="shared" si="82"/>
        <v>0.9867978615748374</v>
      </c>
      <c r="R133" s="4">
        <f t="shared" si="82"/>
        <v>0.98114509762858249</v>
      </c>
      <c r="S133" s="4">
        <f t="shared" si="82"/>
        <v>0.97311898315872036</v>
      </c>
      <c r="T133" s="4">
        <f t="shared" si="82"/>
        <v>0.96177484161592774</v>
      </c>
      <c r="U133" s="4">
        <f t="shared" si="82"/>
        <v>0.94584787155511363</v>
      </c>
      <c r="V133" s="4">
        <f t="shared" si="82"/>
        <v>0.92370360150141495</v>
      </c>
      <c r="W133" s="4">
        <f t="shared" si="82"/>
        <v>0.89334463567658451</v>
      </c>
      <c r="X133" s="4">
        <f t="shared" si="82"/>
        <v>0.85254543874327005</v>
      </c>
      <c r="Y133" s="4">
        <f t="shared" si="82"/>
        <v>0.79921300652623883</v>
      </c>
      <c r="Z133" s="4">
        <f t="shared" si="82"/>
        <v>0.73204982249993378</v>
      </c>
      <c r="AA133" s="4">
        <f t="shared" si="82"/>
        <v>0.65145592958786691</v>
      </c>
      <c r="AB133" s="4">
        <f t="shared" si="82"/>
        <v>0.56032247880849573</v>
      </c>
      <c r="AC133" s="4">
        <f t="shared" si="82"/>
        <v>0.46411326873185343</v>
      </c>
      <c r="AD133" s="4">
        <f t="shared" si="82"/>
        <v>0.36979727595523937</v>
      </c>
      <c r="AE133" s="4">
        <f t="shared" si="82"/>
        <v>0.28393948637231203</v>
      </c>
      <c r="AF133" s="4">
        <f t="shared" si="82"/>
        <v>0.21097259161117732</v>
      </c>
      <c r="AG133" s="4">
        <f t="shared" si="79"/>
        <v>0.15253917653798199</v>
      </c>
      <c r="AH133" s="4">
        <f t="shared" si="79"/>
        <v>0.10795188737709993</v>
      </c>
      <c r="AI133" s="4">
        <f t="shared" si="79"/>
        <v>7.5176653938091809E-2</v>
      </c>
      <c r="AJ133" s="4">
        <f t="shared" si="80"/>
        <v>5.1742836177502194E-2</v>
      </c>
      <c r="AK133" s="4">
        <f t="shared" si="80"/>
        <v>3.5319190625345942E-2</v>
      </c>
      <c r="AL133" s="4">
        <f t="shared" si="80"/>
        <v>2.3969442072658165E-2</v>
      </c>
      <c r="AM133" s="4">
        <f t="shared" si="80"/>
        <v>1.6202243558389728E-2</v>
      </c>
      <c r="AN133" s="4">
        <f t="shared" si="80"/>
        <v>1.0922240564108399E-2</v>
      </c>
      <c r="AO133" s="4">
        <f t="shared" si="80"/>
        <v>7.3493212906090566E-3</v>
      </c>
      <c r="AP133" s="4">
        <f t="shared" si="80"/>
        <v>4.9390262185057265E-3</v>
      </c>
      <c r="AQ133" s="4">
        <f t="shared" si="80"/>
        <v>3.3164275492956197E-3</v>
      </c>
      <c r="AR133" s="4">
        <f t="shared" si="80"/>
        <v>2.2256362146679809E-3</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83">A117</f>
        <v>Capex vehicle</v>
      </c>
      <c r="B137" s="62">
        <f t="shared" ref="B137:B146" si="84">$B117+($C117-$B117)*(1-Q117)</f>
        <v>381017.08777974301</v>
      </c>
      <c r="C137" s="62">
        <f t="shared" ref="C137:C146" si="85">$B117+($C117-$B117)*(1-R117)</f>
        <v>377274.24981545168</v>
      </c>
      <c r="D137" s="62">
        <f t="shared" ref="D137:D146" si="86">$B117+($C117-$B117)*(1-S117)</f>
        <v>372070.34635283251</v>
      </c>
      <c r="E137" s="62">
        <f t="shared" ref="E137:E146" si="87">$B117+($C117-$B117)*(1-T117)</f>
        <v>364935.98938399734</v>
      </c>
      <c r="F137" s="62">
        <f t="shared" ref="F137:F146" si="88">$B117+($C117-$B117)*(1-U117)</f>
        <v>355348.17810466845</v>
      </c>
      <c r="G137" s="62">
        <f t="shared" ref="G137:G146" si="89">$B117+($C117-$B117)*(1-V117)</f>
        <v>342815.05653366609</v>
      </c>
      <c r="H137" s="62">
        <f t="shared" ref="H137:H146" si="90">$B117+($C117-$B117)*(1-W117)</f>
        <v>327031.70828748442</v>
      </c>
      <c r="I137" s="62">
        <f t="shared" ref="I137:I146" si="91">$B117+($C117-$B117)*(1-X117)</f>
        <v>308092.14345314872</v>
      </c>
      <c r="J137" s="62">
        <f t="shared" ref="J137:J146" si="92">$B117+($C117-$B117)*(1-Y117)</f>
        <v>286675.78251999652</v>
      </c>
      <c r="K137" s="62">
        <f t="shared" ref="K137:K146" si="93">$B117+($C117-$B117)*(1-Z117)</f>
        <v>264066.61815198557</v>
      </c>
      <c r="L137" s="62">
        <f t="shared" ref="L137:L146" si="94">$B117+($C117-$B117)*(1-AA117)</f>
        <v>241902.35984948126</v>
      </c>
      <c r="M137" s="62">
        <f t="shared" ref="M137:M146" si="95">$B117+($C117-$B117)*(1-AB117)</f>
        <v>221725.77929749334</v>
      </c>
      <c r="N137" s="62">
        <f t="shared" ref="N137:N146" si="96">$B117+($C117-$B117)*(1-AC117)</f>
        <v>204578.55902862668</v>
      </c>
      <c r="O137" s="62">
        <f t="shared" ref="O137:O146" si="97">$B117+($C117-$B117)*(1-AD117)</f>
        <v>190846.70648642577</v>
      </c>
      <c r="P137" s="62">
        <f t="shared" ref="P137:P146" si="98">$B117+($C117-$B117)*(1-AE117)</f>
        <v>180368.6935336185</v>
      </c>
      <c r="Q137" s="62">
        <f t="shared" ref="Q137:Q146" si="99">$B117+($C117-$B117)*(1-AF117)</f>
        <v>172666.51367545157</v>
      </c>
      <c r="R137" s="62">
        <f t="shared" ref="R137:R146" si="100">$B117+($C117-$B117)*(1-AG117)</f>
        <v>167159.56650171301</v>
      </c>
      <c r="S137" s="62">
        <f t="shared" ref="S137:S146" si="101">$B117+($C117-$B117)*(1-AH117)</f>
        <v>163300.00979695629</v>
      </c>
      <c r="T137" s="62">
        <f t="shared" ref="T137:T146" si="102">$B117+($C117-$B117)*(1-AI117)</f>
        <v>160632.81888707468</v>
      </c>
      <c r="U137" s="62">
        <f t="shared" ref="U137:U146" si="103">$B117+($C117-$B117)*(1-AJ117)</f>
        <v>158807.52723622159</v>
      </c>
      <c r="V137" s="62">
        <f t="shared" ref="V137:V146" si="104">$B117+($C117-$B117)*(1-AK117)</f>
        <v>157566.72653256549</v>
      </c>
      <c r="W137" s="62">
        <f t="shared" ref="W137:W146" si="105">$B117+($C117-$B117)*(1-AL117)</f>
        <v>156727.09050329312</v>
      </c>
      <c r="X137" s="62">
        <f t="shared" ref="X137:X146" si="106">$B117+($C117-$B117)*(1-AM117)</f>
        <v>156160.67116134884</v>
      </c>
      <c r="Y137" s="62">
        <f t="shared" ref="Y137:Y146" si="107">$B117+($C117-$B117)*(1-AN117)</f>
        <v>155779.36047408447</v>
      </c>
      <c r="Z137" s="62">
        <f t="shared" ref="Z137:Z146" si="108">$B117+($C117-$B117)*(1-AO117)</f>
        <v>155523.02451044696</v>
      </c>
      <c r="AA137" s="62">
        <f t="shared" ref="AA137:AA146" si="109">$B117+($C117-$B117)*(1-AP117)</f>
        <v>155350.86554456307</v>
      </c>
      <c r="AB137" s="62">
        <f t="shared" ref="AB137:AB146" si="110">$B117+($C117-$B117)*(1-AQ117)</f>
        <v>155235.31446535516</v>
      </c>
      <c r="AC137" s="62">
        <f t="shared" ref="AC137:AC146" si="111">$B117+($C117-$B117)*(1-AR117)</f>
        <v>155157.7909855787</v>
      </c>
    </row>
    <row r="138" spans="1:44" x14ac:dyDescent="0.25">
      <c r="A138" s="30" t="str">
        <f t="shared" si="83"/>
        <v>Residual value (vehicle)</v>
      </c>
      <c r="B138" s="62">
        <f t="shared" si="84"/>
        <v>-57745.053121914571</v>
      </c>
      <c r="C138" s="62">
        <f t="shared" si="85"/>
        <v>-57430.49546321349</v>
      </c>
      <c r="D138" s="62">
        <f t="shared" si="86"/>
        <v>-56993.146129652945</v>
      </c>
      <c r="E138" s="62">
        <f t="shared" si="87"/>
        <v>-56393.556554612544</v>
      </c>
      <c r="F138" s="62">
        <f t="shared" si="88"/>
        <v>-55587.772415179585</v>
      </c>
      <c r="G138" s="62">
        <f t="shared" si="89"/>
        <v>-54534.456878893216</v>
      </c>
      <c r="H138" s="62">
        <f t="shared" si="90"/>
        <v>-53207.983994373695</v>
      </c>
      <c r="I138" s="62">
        <f t="shared" si="91"/>
        <v>-51616.254609360374</v>
      </c>
      <c r="J138" s="62">
        <f t="shared" si="92"/>
        <v>-49816.368956467792</v>
      </c>
      <c r="K138" s="62">
        <f t="shared" si="93"/>
        <v>-47916.237057454106</v>
      </c>
      <c r="L138" s="62">
        <f t="shared" si="94"/>
        <v>-46053.49620011598</v>
      </c>
      <c r="M138" s="62">
        <f t="shared" si="95"/>
        <v>-44357.804855853159</v>
      </c>
      <c r="N138" s="62">
        <f t="shared" si="96"/>
        <v>-42916.708684320751</v>
      </c>
      <c r="O138" s="62">
        <f t="shared" si="97"/>
        <v>-41762.648736625146</v>
      </c>
      <c r="P138" s="62">
        <f t="shared" si="98"/>
        <v>-40882.049775697727</v>
      </c>
      <c r="Q138" s="62">
        <f t="shared" si="99"/>
        <v>-40234.73891527731</v>
      </c>
      <c r="R138" s="62">
        <f t="shared" si="100"/>
        <v>-39771.921014505671</v>
      </c>
      <c r="S138" s="62">
        <f t="shared" si="101"/>
        <v>-39447.554014850582</v>
      </c>
      <c r="T138" s="62">
        <f t="shared" si="102"/>
        <v>-39223.396480935</v>
      </c>
      <c r="U138" s="62">
        <f t="shared" si="103"/>
        <v>-39069.994310278198</v>
      </c>
      <c r="V138" s="62">
        <f t="shared" si="104"/>
        <v>-38965.714251141137</v>
      </c>
      <c r="W138" s="62">
        <f t="shared" si="105"/>
        <v>-38895.149095489527</v>
      </c>
      <c r="X138" s="62">
        <f t="shared" si="106"/>
        <v>-38847.545767815493</v>
      </c>
      <c r="Y138" s="62">
        <f t="shared" si="107"/>
        <v>-38815.49944409859</v>
      </c>
      <c r="Z138" s="62">
        <f t="shared" si="108"/>
        <v>-38793.956315239688</v>
      </c>
      <c r="AA138" s="62">
        <f t="shared" si="109"/>
        <v>-38779.487636192003</v>
      </c>
      <c r="AB138" s="62">
        <f t="shared" si="110"/>
        <v>-38769.776428471334</v>
      </c>
      <c r="AC138" s="62">
        <f t="shared" si="111"/>
        <v>-38763.261157298635</v>
      </c>
    </row>
    <row r="139" spans="1:44" x14ac:dyDescent="0.25">
      <c r="A139" s="30" t="str">
        <f t="shared" si="83"/>
        <v>Capex costumization</v>
      </c>
      <c r="B139" s="62">
        <f t="shared" si="84"/>
        <v>60000</v>
      </c>
      <c r="C139" s="62">
        <f t="shared" si="85"/>
        <v>60000</v>
      </c>
      <c r="D139" s="62">
        <f t="shared" si="86"/>
        <v>60000</v>
      </c>
      <c r="E139" s="62">
        <f t="shared" si="87"/>
        <v>60000</v>
      </c>
      <c r="F139" s="62">
        <f t="shared" si="88"/>
        <v>60000</v>
      </c>
      <c r="G139" s="62">
        <f t="shared" si="89"/>
        <v>60000</v>
      </c>
      <c r="H139" s="62">
        <f t="shared" si="90"/>
        <v>60000</v>
      </c>
      <c r="I139" s="62">
        <f t="shared" si="91"/>
        <v>60000</v>
      </c>
      <c r="J139" s="62">
        <f t="shared" si="92"/>
        <v>60000</v>
      </c>
      <c r="K139" s="62">
        <f t="shared" si="93"/>
        <v>60000</v>
      </c>
      <c r="L139" s="62">
        <f t="shared" si="94"/>
        <v>60000</v>
      </c>
      <c r="M139" s="62">
        <f t="shared" si="95"/>
        <v>60000</v>
      </c>
      <c r="N139" s="62">
        <f t="shared" si="96"/>
        <v>60000</v>
      </c>
      <c r="O139" s="62">
        <f t="shared" si="97"/>
        <v>60000</v>
      </c>
      <c r="P139" s="62">
        <f t="shared" si="98"/>
        <v>60000</v>
      </c>
      <c r="Q139" s="62">
        <f t="shared" si="99"/>
        <v>60000</v>
      </c>
      <c r="R139" s="62">
        <f t="shared" si="100"/>
        <v>60000</v>
      </c>
      <c r="S139" s="62">
        <f t="shared" si="101"/>
        <v>60000</v>
      </c>
      <c r="T139" s="62">
        <f t="shared" si="102"/>
        <v>60000</v>
      </c>
      <c r="U139" s="62">
        <f t="shared" si="103"/>
        <v>60000</v>
      </c>
      <c r="V139" s="62">
        <f t="shared" si="104"/>
        <v>60000</v>
      </c>
      <c r="W139" s="62">
        <f t="shared" si="105"/>
        <v>60000</v>
      </c>
      <c r="X139" s="62">
        <f t="shared" si="106"/>
        <v>60000</v>
      </c>
      <c r="Y139" s="62">
        <f t="shared" si="107"/>
        <v>60000</v>
      </c>
      <c r="Z139" s="62">
        <f t="shared" si="108"/>
        <v>60000</v>
      </c>
      <c r="AA139" s="62">
        <f t="shared" si="109"/>
        <v>60000</v>
      </c>
      <c r="AB139" s="62">
        <f t="shared" si="110"/>
        <v>60000</v>
      </c>
      <c r="AC139" s="62">
        <f t="shared" si="111"/>
        <v>60000</v>
      </c>
    </row>
    <row r="140" spans="1:44" x14ac:dyDescent="0.25">
      <c r="A140" s="30" t="str">
        <f t="shared" si="83"/>
        <v>Residual value (costumization)</v>
      </c>
      <c r="B140" s="62">
        <f t="shared" si="84"/>
        <v>-15000</v>
      </c>
      <c r="C140" s="62">
        <f t="shared" si="85"/>
        <v>-15000</v>
      </c>
      <c r="D140" s="62">
        <f t="shared" si="86"/>
        <v>-15000</v>
      </c>
      <c r="E140" s="62">
        <f t="shared" si="87"/>
        <v>-15000</v>
      </c>
      <c r="F140" s="62">
        <f t="shared" si="88"/>
        <v>-15000</v>
      </c>
      <c r="G140" s="62">
        <f t="shared" si="89"/>
        <v>-15000</v>
      </c>
      <c r="H140" s="62">
        <f t="shared" si="90"/>
        <v>-15000</v>
      </c>
      <c r="I140" s="62">
        <f t="shared" si="91"/>
        <v>-15000</v>
      </c>
      <c r="J140" s="62">
        <f t="shared" si="92"/>
        <v>-15000</v>
      </c>
      <c r="K140" s="62">
        <f t="shared" si="93"/>
        <v>-15000</v>
      </c>
      <c r="L140" s="62">
        <f t="shared" si="94"/>
        <v>-15000</v>
      </c>
      <c r="M140" s="62">
        <f t="shared" si="95"/>
        <v>-15000</v>
      </c>
      <c r="N140" s="62">
        <f t="shared" si="96"/>
        <v>-15000</v>
      </c>
      <c r="O140" s="62">
        <f t="shared" si="97"/>
        <v>-15000</v>
      </c>
      <c r="P140" s="62">
        <f t="shared" si="98"/>
        <v>-15000</v>
      </c>
      <c r="Q140" s="62">
        <f t="shared" si="99"/>
        <v>-15000</v>
      </c>
      <c r="R140" s="62">
        <f t="shared" si="100"/>
        <v>-15000</v>
      </c>
      <c r="S140" s="62">
        <f t="shared" si="101"/>
        <v>-15000</v>
      </c>
      <c r="T140" s="62">
        <f t="shared" si="102"/>
        <v>-15000</v>
      </c>
      <c r="U140" s="62">
        <f t="shared" si="103"/>
        <v>-15000</v>
      </c>
      <c r="V140" s="62">
        <f t="shared" si="104"/>
        <v>-15000</v>
      </c>
      <c r="W140" s="62">
        <f t="shared" si="105"/>
        <v>-15000</v>
      </c>
      <c r="X140" s="62">
        <f t="shared" si="106"/>
        <v>-15000</v>
      </c>
      <c r="Y140" s="62">
        <f t="shared" si="107"/>
        <v>-15000</v>
      </c>
      <c r="Z140" s="62">
        <f t="shared" si="108"/>
        <v>-15000</v>
      </c>
      <c r="AA140" s="62">
        <f t="shared" si="109"/>
        <v>-15000</v>
      </c>
      <c r="AB140" s="62">
        <f t="shared" si="110"/>
        <v>-15000</v>
      </c>
      <c r="AC140" s="62">
        <f t="shared" si="111"/>
        <v>-15000</v>
      </c>
    </row>
    <row r="141" spans="1:44" x14ac:dyDescent="0.25">
      <c r="A141" s="30" t="str">
        <f t="shared" si="83"/>
        <v>WACC</v>
      </c>
      <c r="B141" s="62">
        <f t="shared" si="84"/>
        <v>0.06</v>
      </c>
      <c r="C141" s="62">
        <f t="shared" si="85"/>
        <v>0.06</v>
      </c>
      <c r="D141" s="62">
        <f t="shared" si="86"/>
        <v>0.06</v>
      </c>
      <c r="E141" s="62">
        <f t="shared" si="87"/>
        <v>0.06</v>
      </c>
      <c r="F141" s="62">
        <f t="shared" si="88"/>
        <v>0.06</v>
      </c>
      <c r="G141" s="62">
        <f t="shared" si="89"/>
        <v>0.06</v>
      </c>
      <c r="H141" s="62">
        <f t="shared" si="90"/>
        <v>0.06</v>
      </c>
      <c r="I141" s="62">
        <f t="shared" si="91"/>
        <v>0.06</v>
      </c>
      <c r="J141" s="62">
        <f t="shared" si="92"/>
        <v>0.06</v>
      </c>
      <c r="K141" s="62">
        <f t="shared" si="93"/>
        <v>0.06</v>
      </c>
      <c r="L141" s="62">
        <f t="shared" si="94"/>
        <v>0.06</v>
      </c>
      <c r="M141" s="62">
        <f t="shared" si="95"/>
        <v>0.06</v>
      </c>
      <c r="N141" s="62">
        <f t="shared" si="96"/>
        <v>0.06</v>
      </c>
      <c r="O141" s="62">
        <f t="shared" si="97"/>
        <v>0.06</v>
      </c>
      <c r="P141" s="62">
        <f t="shared" si="98"/>
        <v>0.06</v>
      </c>
      <c r="Q141" s="62">
        <f t="shared" si="99"/>
        <v>0.06</v>
      </c>
      <c r="R141" s="62">
        <f t="shared" si="100"/>
        <v>0.06</v>
      </c>
      <c r="S141" s="62">
        <f t="shared" si="101"/>
        <v>0.06</v>
      </c>
      <c r="T141" s="62">
        <f t="shared" si="102"/>
        <v>0.06</v>
      </c>
      <c r="U141" s="62">
        <f t="shared" si="103"/>
        <v>0.06</v>
      </c>
      <c r="V141" s="62">
        <f t="shared" si="104"/>
        <v>0.06</v>
      </c>
      <c r="W141" s="62">
        <f t="shared" si="105"/>
        <v>0.06</v>
      </c>
      <c r="X141" s="62">
        <f t="shared" si="106"/>
        <v>0.06</v>
      </c>
      <c r="Y141" s="62">
        <f t="shared" si="107"/>
        <v>0.06</v>
      </c>
      <c r="Z141" s="62">
        <f t="shared" si="108"/>
        <v>0.06</v>
      </c>
      <c r="AA141" s="62">
        <f t="shared" si="109"/>
        <v>0.06</v>
      </c>
      <c r="AB141" s="62">
        <f t="shared" si="110"/>
        <v>0.06</v>
      </c>
      <c r="AC141" s="62">
        <f t="shared" si="111"/>
        <v>0.06</v>
      </c>
    </row>
    <row r="142" spans="1:44" x14ac:dyDescent="0.25">
      <c r="A142" s="30" t="str">
        <f t="shared" si="83"/>
        <v>Opex fix (admin, crew, insurance)</v>
      </c>
      <c r="B142" s="62">
        <f t="shared" si="84"/>
        <v>70000</v>
      </c>
      <c r="C142" s="62">
        <f t="shared" si="85"/>
        <v>70000</v>
      </c>
      <c r="D142" s="62">
        <f t="shared" si="86"/>
        <v>70000</v>
      </c>
      <c r="E142" s="62">
        <f t="shared" si="87"/>
        <v>70000</v>
      </c>
      <c r="F142" s="62">
        <f t="shared" si="88"/>
        <v>70000</v>
      </c>
      <c r="G142" s="62">
        <f t="shared" si="89"/>
        <v>70000</v>
      </c>
      <c r="H142" s="62">
        <f t="shared" si="90"/>
        <v>70000</v>
      </c>
      <c r="I142" s="62">
        <f t="shared" si="91"/>
        <v>70000</v>
      </c>
      <c r="J142" s="62">
        <f t="shared" si="92"/>
        <v>70000</v>
      </c>
      <c r="K142" s="62">
        <f t="shared" si="93"/>
        <v>70000</v>
      </c>
      <c r="L142" s="62">
        <f t="shared" si="94"/>
        <v>70000</v>
      </c>
      <c r="M142" s="62">
        <f t="shared" si="95"/>
        <v>70000</v>
      </c>
      <c r="N142" s="62">
        <f t="shared" si="96"/>
        <v>70000</v>
      </c>
      <c r="O142" s="62">
        <f t="shared" si="97"/>
        <v>70000</v>
      </c>
      <c r="P142" s="62">
        <f t="shared" si="98"/>
        <v>70000</v>
      </c>
      <c r="Q142" s="62">
        <f t="shared" si="99"/>
        <v>70000</v>
      </c>
      <c r="R142" s="62">
        <f t="shared" si="100"/>
        <v>70000</v>
      </c>
      <c r="S142" s="62">
        <f t="shared" si="101"/>
        <v>70000</v>
      </c>
      <c r="T142" s="62">
        <f t="shared" si="102"/>
        <v>70000</v>
      </c>
      <c r="U142" s="62">
        <f t="shared" si="103"/>
        <v>70000</v>
      </c>
      <c r="V142" s="62">
        <f t="shared" si="104"/>
        <v>70000</v>
      </c>
      <c r="W142" s="62">
        <f t="shared" si="105"/>
        <v>70000</v>
      </c>
      <c r="X142" s="62">
        <f t="shared" si="106"/>
        <v>70000</v>
      </c>
      <c r="Y142" s="62">
        <f t="shared" si="107"/>
        <v>70000</v>
      </c>
      <c r="Z142" s="62">
        <f t="shared" si="108"/>
        <v>70000</v>
      </c>
      <c r="AA142" s="62">
        <f t="shared" si="109"/>
        <v>70000</v>
      </c>
      <c r="AB142" s="62">
        <f t="shared" si="110"/>
        <v>70000</v>
      </c>
      <c r="AC142" s="62">
        <f t="shared" si="111"/>
        <v>70000</v>
      </c>
    </row>
    <row r="143" spans="1:44" x14ac:dyDescent="0.25">
      <c r="A143" s="30" t="str">
        <f t="shared" si="83"/>
        <v>Opex maintenance &amp; repair</v>
      </c>
      <c r="B143" s="62">
        <f t="shared" si="84"/>
        <v>25694.198732927423</v>
      </c>
      <c r="C143" s="62">
        <f t="shared" si="85"/>
        <v>25566.782972440909</v>
      </c>
      <c r="D143" s="62">
        <f t="shared" si="86"/>
        <v>25389.62881201132</v>
      </c>
      <c r="E143" s="62">
        <f t="shared" si="87"/>
        <v>25146.757085412675</v>
      </c>
      <c r="F143" s="62">
        <f t="shared" si="88"/>
        <v>24820.363509946161</v>
      </c>
      <c r="G143" s="62">
        <f t="shared" si="89"/>
        <v>24393.704052209912</v>
      </c>
      <c r="H143" s="62">
        <f t="shared" si="90"/>
        <v>23856.39857999947</v>
      </c>
      <c r="I143" s="62">
        <f t="shared" si="91"/>
        <v>23211.647436702937</v>
      </c>
      <c r="J143" s="62">
        <f t="shared" si="92"/>
        <v>22482.579830467967</v>
      </c>
      <c r="K143" s="62">
        <f t="shared" si="93"/>
        <v>21712.906149854825</v>
      </c>
      <c r="L143" s="62">
        <f t="shared" si="94"/>
        <v>20958.378207641916</v>
      </c>
      <c r="M143" s="62">
        <f t="shared" si="95"/>
        <v>20271.515890978495</v>
      </c>
      <c r="N143" s="62">
        <f t="shared" si="96"/>
        <v>19687.78073288942</v>
      </c>
      <c r="O143" s="62">
        <f t="shared" si="97"/>
        <v>19220.313412303854</v>
      </c>
      <c r="P143" s="62">
        <f t="shared" si="98"/>
        <v>18863.615099016799</v>
      </c>
      <c r="Q143" s="62">
        <f t="shared" si="99"/>
        <v>18601.413231504735</v>
      </c>
      <c r="R143" s="62">
        <f t="shared" si="100"/>
        <v>18413.942689420019</v>
      </c>
      <c r="S143" s="62">
        <f t="shared" si="101"/>
        <v>18282.553525002768</v>
      </c>
      <c r="T143" s="62">
        <f t="shared" si="102"/>
        <v>18191.755536581266</v>
      </c>
      <c r="U143" s="62">
        <f t="shared" si="103"/>
        <v>18129.617948467116</v>
      </c>
      <c r="V143" s="62">
        <f t="shared" si="104"/>
        <v>18087.377924512868</v>
      </c>
      <c r="W143" s="62">
        <f t="shared" si="105"/>
        <v>18058.794570324873</v>
      </c>
      <c r="X143" s="62">
        <f t="shared" si="106"/>
        <v>18039.512209748045</v>
      </c>
      <c r="Y143" s="62">
        <f t="shared" si="107"/>
        <v>18026.531420394364</v>
      </c>
      <c r="Z143" s="62">
        <f t="shared" si="108"/>
        <v>18017.805089717345</v>
      </c>
      <c r="AA143" s="62">
        <f t="shared" si="109"/>
        <v>18011.94435896385</v>
      </c>
      <c r="AB143" s="62">
        <f t="shared" si="110"/>
        <v>18008.010705203578</v>
      </c>
      <c r="AC143" s="62">
        <f t="shared" si="111"/>
        <v>18005.371608019701</v>
      </c>
    </row>
    <row r="144" spans="1:44" x14ac:dyDescent="0.25">
      <c r="A144" s="30" t="str">
        <f t="shared" si="83"/>
        <v>Opex var (mode-fees)</v>
      </c>
      <c r="B144" s="62">
        <f t="shared" si="84"/>
        <v>0.11</v>
      </c>
      <c r="C144" s="62">
        <f t="shared" si="85"/>
        <v>0.11</v>
      </c>
      <c r="D144" s="62">
        <f t="shared" si="86"/>
        <v>0.11</v>
      </c>
      <c r="E144" s="62">
        <f t="shared" si="87"/>
        <v>0.11</v>
      </c>
      <c r="F144" s="62">
        <f t="shared" si="88"/>
        <v>0.11</v>
      </c>
      <c r="G144" s="62">
        <f t="shared" si="89"/>
        <v>0.11</v>
      </c>
      <c r="H144" s="62">
        <f t="shared" si="90"/>
        <v>0.11</v>
      </c>
      <c r="I144" s="62">
        <f t="shared" si="91"/>
        <v>0.11</v>
      </c>
      <c r="J144" s="62">
        <f t="shared" si="92"/>
        <v>0.11</v>
      </c>
      <c r="K144" s="62">
        <f t="shared" si="93"/>
        <v>0.11</v>
      </c>
      <c r="L144" s="62">
        <f t="shared" si="94"/>
        <v>0.11</v>
      </c>
      <c r="M144" s="62">
        <f t="shared" si="95"/>
        <v>0.11</v>
      </c>
      <c r="N144" s="62">
        <f t="shared" si="96"/>
        <v>0.11</v>
      </c>
      <c r="O144" s="62">
        <f t="shared" si="97"/>
        <v>0.11</v>
      </c>
      <c r="P144" s="62">
        <f t="shared" si="98"/>
        <v>0.11</v>
      </c>
      <c r="Q144" s="62">
        <f t="shared" si="99"/>
        <v>0.11</v>
      </c>
      <c r="R144" s="62">
        <f t="shared" si="100"/>
        <v>0.11</v>
      </c>
      <c r="S144" s="62">
        <f t="shared" si="101"/>
        <v>0.11</v>
      </c>
      <c r="T144" s="62">
        <f t="shared" si="102"/>
        <v>0.11</v>
      </c>
      <c r="U144" s="62">
        <f t="shared" si="103"/>
        <v>0.11</v>
      </c>
      <c r="V144" s="62">
        <f t="shared" si="104"/>
        <v>0.11</v>
      </c>
      <c r="W144" s="62">
        <f t="shared" si="105"/>
        <v>0.11</v>
      </c>
      <c r="X144" s="62">
        <f t="shared" si="106"/>
        <v>0.11</v>
      </c>
      <c r="Y144" s="62">
        <f t="shared" si="107"/>
        <v>0.11</v>
      </c>
      <c r="Z144" s="62">
        <f t="shared" si="108"/>
        <v>0.11</v>
      </c>
      <c r="AA144" s="62">
        <f t="shared" si="109"/>
        <v>0.11</v>
      </c>
      <c r="AB144" s="62">
        <f t="shared" si="110"/>
        <v>0.11</v>
      </c>
      <c r="AC144" s="62">
        <f t="shared" si="111"/>
        <v>0.11</v>
      </c>
    </row>
    <row r="145" spans="1:29" x14ac:dyDescent="0.25">
      <c r="A145" s="30" t="str">
        <f t="shared" si="83"/>
        <v>Fuel Economy</v>
      </c>
      <c r="B145" s="62">
        <f t="shared" si="84"/>
        <v>2.5017133827957863</v>
      </c>
      <c r="C145" s="62">
        <f t="shared" si="85"/>
        <v>2.4899274249507841</v>
      </c>
      <c r="D145" s="62">
        <f t="shared" si="86"/>
        <v>2.473540665111047</v>
      </c>
      <c r="E145" s="62">
        <f t="shared" si="87"/>
        <v>2.4510750304006725</v>
      </c>
      <c r="F145" s="62">
        <f t="shared" si="88"/>
        <v>2.4208836246700196</v>
      </c>
      <c r="G145" s="62">
        <f t="shared" si="89"/>
        <v>2.3814176248294165</v>
      </c>
      <c r="H145" s="62">
        <f t="shared" si="90"/>
        <v>2.3317168686499508</v>
      </c>
      <c r="I145" s="62">
        <f t="shared" si="91"/>
        <v>2.2720773878950213</v>
      </c>
      <c r="J145" s="62">
        <f t="shared" si="92"/>
        <v>2.2046386343182869</v>
      </c>
      <c r="K145" s="62">
        <f t="shared" si="93"/>
        <v>2.1334438188615716</v>
      </c>
      <c r="L145" s="62">
        <f t="shared" si="94"/>
        <v>2.0636499842068772</v>
      </c>
      <c r="M145" s="62">
        <f t="shared" si="95"/>
        <v>2.0001152199155108</v>
      </c>
      <c r="N145" s="62">
        <f t="shared" si="96"/>
        <v>1.9461197177922713</v>
      </c>
      <c r="O145" s="62">
        <f t="shared" si="97"/>
        <v>1.9028789906381067</v>
      </c>
      <c r="P145" s="62">
        <f t="shared" si="98"/>
        <v>1.8698843966590539</v>
      </c>
      <c r="Q145" s="62">
        <f t="shared" si="99"/>
        <v>1.845630723914188</v>
      </c>
      <c r="R145" s="62">
        <f t="shared" si="100"/>
        <v>1.8282896987713517</v>
      </c>
      <c r="S145" s="62">
        <f t="shared" si="101"/>
        <v>1.816136201062756</v>
      </c>
      <c r="T145" s="62">
        <f t="shared" si="102"/>
        <v>1.8077373871337672</v>
      </c>
      <c r="U145" s="62">
        <f t="shared" si="103"/>
        <v>1.8019896602332084</v>
      </c>
      <c r="V145" s="62">
        <f t="shared" si="104"/>
        <v>1.7980824580174404</v>
      </c>
      <c r="W145" s="62">
        <f t="shared" si="105"/>
        <v>1.7954384977550508</v>
      </c>
      <c r="X145" s="62">
        <f t="shared" si="106"/>
        <v>1.7936548794016942</v>
      </c>
      <c r="Y145" s="62">
        <f t="shared" si="107"/>
        <v>1.7924541563864786</v>
      </c>
      <c r="Z145" s="62">
        <f t="shared" si="108"/>
        <v>1.7916469707988543</v>
      </c>
      <c r="AA145" s="62">
        <f t="shared" si="109"/>
        <v>1.791104853204156</v>
      </c>
      <c r="AB145" s="62">
        <f t="shared" si="110"/>
        <v>1.7907409902313312</v>
      </c>
      <c r="AC145" s="62">
        <f t="shared" si="111"/>
        <v>1.7904968737418223</v>
      </c>
    </row>
    <row r="146" spans="1:29" x14ac:dyDescent="0.25">
      <c r="A146" s="30" t="str">
        <f t="shared" si="83"/>
        <v>Fuel Cost</v>
      </c>
      <c r="B146" s="62">
        <f t="shared" si="84"/>
        <v>0.25254227914256844</v>
      </c>
      <c r="C146" s="62">
        <f t="shared" si="85"/>
        <v>0.25172282033513138</v>
      </c>
      <c r="D146" s="62">
        <f t="shared" si="86"/>
        <v>0.25055930629945611</v>
      </c>
      <c r="E146" s="62">
        <f t="shared" si="87"/>
        <v>0.24891479101658942</v>
      </c>
      <c r="F146" s="62">
        <f t="shared" si="88"/>
        <v>0.24660592122895794</v>
      </c>
      <c r="G146" s="62">
        <f t="shared" si="89"/>
        <v>0.24339575407846328</v>
      </c>
      <c r="H146" s="62">
        <f t="shared" si="90"/>
        <v>0.23899473500772708</v>
      </c>
      <c r="I146" s="62">
        <f t="shared" si="91"/>
        <v>0.23308023697079527</v>
      </c>
      <c r="J146" s="62">
        <f t="shared" si="92"/>
        <v>0.22534884543953543</v>
      </c>
      <c r="K146" s="62">
        <f t="shared" si="93"/>
        <v>0.21561246458069289</v>
      </c>
      <c r="L146" s="62">
        <f t="shared" si="94"/>
        <v>0.20392908703293811</v>
      </c>
      <c r="M146" s="62">
        <f t="shared" si="95"/>
        <v>0.19071783151204119</v>
      </c>
      <c r="N146" s="62">
        <f t="shared" si="96"/>
        <v>0.17677076326304775</v>
      </c>
      <c r="O146" s="62">
        <f t="shared" si="97"/>
        <v>0.16309814722993504</v>
      </c>
      <c r="P146" s="62">
        <f t="shared" si="98"/>
        <v>0.15065168342395555</v>
      </c>
      <c r="Q146" s="62">
        <f t="shared" si="99"/>
        <v>0.14007396159940294</v>
      </c>
      <c r="R146" s="62">
        <f t="shared" si="100"/>
        <v>0.13160310078058535</v>
      </c>
      <c r="S146" s="62">
        <f t="shared" si="101"/>
        <v>0.12513945801219511</v>
      </c>
      <c r="T146" s="62">
        <f t="shared" si="102"/>
        <v>0.1203881621925289</v>
      </c>
      <c r="U146" s="62">
        <f t="shared" si="103"/>
        <v>0.11699105441686944</v>
      </c>
      <c r="V146" s="62">
        <f t="shared" si="104"/>
        <v>0.11461018354982119</v>
      </c>
      <c r="W146" s="62">
        <f t="shared" si="105"/>
        <v>0.11296485544093068</v>
      </c>
      <c r="X146" s="62">
        <f t="shared" si="106"/>
        <v>0.11183887542617238</v>
      </c>
      <c r="Y146" s="62">
        <f t="shared" si="107"/>
        <v>0.11107345429801357</v>
      </c>
      <c r="Z146" s="62">
        <f t="shared" si="108"/>
        <v>0.11055550233773928</v>
      </c>
      <c r="AA146" s="62">
        <f t="shared" si="109"/>
        <v>0.11020609140458582</v>
      </c>
      <c r="AB146" s="62">
        <f t="shared" si="110"/>
        <v>0.10997086970011311</v>
      </c>
      <c r="AC146" s="62">
        <f t="shared" si="111"/>
        <v>0.10981274199926885</v>
      </c>
    </row>
    <row r="147" spans="1:29" x14ac:dyDescent="0.25">
      <c r="A147" s="30" t="str">
        <f t="shared" ref="A147" si="112">A127</f>
        <v>Emission Cost</v>
      </c>
      <c r="B147" s="66">
        <f>$B127+($C127-$B127)*(1-Q127)</f>
        <v>9.1045502411311718E-3</v>
      </c>
      <c r="C147" s="66">
        <f t="shared" ref="C147:AC147" si="113">$B127+($C127-$B127)*(1-R127)</f>
        <v>9.095880490962575E-3</v>
      </c>
      <c r="D147" s="66">
        <f t="shared" si="113"/>
        <v>9.0834699366993434E-3</v>
      </c>
      <c r="E147" s="66">
        <f t="shared" si="113"/>
        <v>9.0657157660766E-3</v>
      </c>
      <c r="F147" s="66">
        <f t="shared" si="113"/>
        <v>9.040341138604446E-3</v>
      </c>
      <c r="G147" s="66">
        <f t="shared" si="113"/>
        <v>9.0041260615172855E-3</v>
      </c>
      <c r="H147" s="66">
        <f t="shared" si="113"/>
        <v>8.9525469072142452E-3</v>
      </c>
      <c r="I147" s="66">
        <f t="shared" si="113"/>
        <v>8.8793119020679299E-3</v>
      </c>
      <c r="J147" s="66">
        <f t="shared" si="113"/>
        <v>8.7758012597282838E-3</v>
      </c>
      <c r="K147" s="66">
        <f t="shared" si="113"/>
        <v>8.630474185370102E-3</v>
      </c>
      <c r="L147" s="66">
        <f t="shared" si="113"/>
        <v>8.4284167966506146E-3</v>
      </c>
      <c r="M147" s="66">
        <f t="shared" si="113"/>
        <v>8.1514036756981448E-3</v>
      </c>
      <c r="N147" s="66">
        <f t="shared" si="113"/>
        <v>7.7791277246640009E-3</v>
      </c>
      <c r="O147" s="66">
        <f t="shared" si="113"/>
        <v>7.2924911382377788E-3</v>
      </c>
      <c r="P147" s="66">
        <f t="shared" si="113"/>
        <v>6.6796546098928378E-3</v>
      </c>
      <c r="Q147" s="66">
        <f t="shared" si="113"/>
        <v>5.9442683673542078E-3</v>
      </c>
      <c r="R147" s="66">
        <f t="shared" si="113"/>
        <v>5.1127129787673555E-3</v>
      </c>
      <c r="S147" s="66">
        <f t="shared" si="113"/>
        <v>4.2348433668221242E-3</v>
      </c>
      <c r="T147" s="66">
        <f t="shared" si="113"/>
        <v>3.3742485868309214E-3</v>
      </c>
      <c r="U147" s="66">
        <f t="shared" si="113"/>
        <v>2.5908314445053909E-3</v>
      </c>
      <c r="V147" s="66">
        <f t="shared" si="113"/>
        <v>1.9250384342751033E-3</v>
      </c>
      <c r="W147" s="66">
        <f t="shared" si="113"/>
        <v>1.3918574698531276E-3</v>
      </c>
      <c r="X147" s="66">
        <f t="shared" si="113"/>
        <v>9.8501672973924301E-4</v>
      </c>
      <c r="Y147" s="66">
        <f t="shared" si="113"/>
        <v>6.8595615708101458E-4</v>
      </c>
      <c r="Z147" s="66">
        <f t="shared" si="113"/>
        <v>4.7213217403930738E-4</v>
      </c>
      <c r="AA147" s="66">
        <f t="shared" si="113"/>
        <v>3.2227313937815624E-4</v>
      </c>
      <c r="AB147" s="66">
        <f t="shared" si="113"/>
        <v>2.1871133537117345E-4</v>
      </c>
      <c r="AC147" s="66">
        <f t="shared" si="113"/>
        <v>1.4783883220655276E-4</v>
      </c>
    </row>
    <row r="148" spans="1:29" x14ac:dyDescent="0.25">
      <c r="A148" s="30" t="str">
        <f>A128</f>
        <v>Lifetime vehicle</v>
      </c>
      <c r="B148" s="62">
        <f>$B128+($C128-$B128)*(1-Q128)</f>
        <v>8</v>
      </c>
      <c r="C148" s="62">
        <f t="shared" ref="C148:L150" si="114">$B128+($C128-$B128)*(1-R128)</f>
        <v>8</v>
      </c>
      <c r="D148" s="62">
        <f t="shared" si="114"/>
        <v>8</v>
      </c>
      <c r="E148" s="62">
        <f t="shared" si="114"/>
        <v>8</v>
      </c>
      <c r="F148" s="62">
        <f t="shared" si="114"/>
        <v>8</v>
      </c>
      <c r="G148" s="62">
        <f t="shared" si="114"/>
        <v>8</v>
      </c>
      <c r="H148" s="62">
        <f t="shared" si="114"/>
        <v>8</v>
      </c>
      <c r="I148" s="62">
        <f t="shared" si="114"/>
        <v>8</v>
      </c>
      <c r="J148" s="62">
        <f t="shared" si="114"/>
        <v>8</v>
      </c>
      <c r="K148" s="62">
        <f t="shared" si="114"/>
        <v>8</v>
      </c>
      <c r="L148" s="62">
        <f t="shared" si="114"/>
        <v>8</v>
      </c>
      <c r="M148" s="62">
        <f t="shared" ref="M148:V150" si="115">$B128+($C128-$B128)*(1-AB128)</f>
        <v>8</v>
      </c>
      <c r="N148" s="62">
        <f t="shared" si="115"/>
        <v>8</v>
      </c>
      <c r="O148" s="62">
        <f t="shared" si="115"/>
        <v>8</v>
      </c>
      <c r="P148" s="62">
        <f t="shared" si="115"/>
        <v>8</v>
      </c>
      <c r="Q148" s="62">
        <f t="shared" si="115"/>
        <v>8</v>
      </c>
      <c r="R148" s="62">
        <f t="shared" si="115"/>
        <v>8</v>
      </c>
      <c r="S148" s="62">
        <f t="shared" si="115"/>
        <v>8</v>
      </c>
      <c r="T148" s="62">
        <f t="shared" si="115"/>
        <v>8</v>
      </c>
      <c r="U148" s="62">
        <f t="shared" si="115"/>
        <v>8</v>
      </c>
      <c r="V148" s="62">
        <f t="shared" si="115"/>
        <v>8</v>
      </c>
      <c r="W148" s="62">
        <f t="shared" ref="W148:AC150" si="116">$B128+($C128-$B128)*(1-AL128)</f>
        <v>8</v>
      </c>
      <c r="X148" s="62">
        <f t="shared" si="116"/>
        <v>8</v>
      </c>
      <c r="Y148" s="62">
        <f t="shared" si="116"/>
        <v>8</v>
      </c>
      <c r="Z148" s="62">
        <f t="shared" si="116"/>
        <v>8</v>
      </c>
      <c r="AA148" s="62">
        <f t="shared" si="116"/>
        <v>8</v>
      </c>
      <c r="AB148" s="62">
        <f t="shared" si="116"/>
        <v>8</v>
      </c>
      <c r="AC148" s="62">
        <f t="shared" si="116"/>
        <v>8</v>
      </c>
    </row>
    <row r="149" spans="1:29" x14ac:dyDescent="0.25">
      <c r="A149" s="30" t="str">
        <f>A129</f>
        <v>Lifetime costumization</v>
      </c>
      <c r="B149" s="62">
        <f>$B129+($C129-$B129)*(1-Q129)</f>
        <v>10</v>
      </c>
      <c r="C149" s="62">
        <f t="shared" si="114"/>
        <v>10</v>
      </c>
      <c r="D149" s="62">
        <f t="shared" si="114"/>
        <v>10</v>
      </c>
      <c r="E149" s="62">
        <f t="shared" si="114"/>
        <v>10</v>
      </c>
      <c r="F149" s="62">
        <f t="shared" si="114"/>
        <v>10</v>
      </c>
      <c r="G149" s="62">
        <f t="shared" si="114"/>
        <v>10</v>
      </c>
      <c r="H149" s="62">
        <f t="shared" si="114"/>
        <v>10</v>
      </c>
      <c r="I149" s="62">
        <f t="shared" si="114"/>
        <v>10</v>
      </c>
      <c r="J149" s="62">
        <f t="shared" si="114"/>
        <v>10</v>
      </c>
      <c r="K149" s="62">
        <f t="shared" si="114"/>
        <v>10</v>
      </c>
      <c r="L149" s="62">
        <f t="shared" si="114"/>
        <v>10</v>
      </c>
      <c r="M149" s="62">
        <f t="shared" si="115"/>
        <v>10</v>
      </c>
      <c r="N149" s="62">
        <f t="shared" si="115"/>
        <v>10</v>
      </c>
      <c r="O149" s="62">
        <f t="shared" si="115"/>
        <v>10</v>
      </c>
      <c r="P149" s="62">
        <f t="shared" si="115"/>
        <v>10</v>
      </c>
      <c r="Q149" s="62">
        <f t="shared" si="115"/>
        <v>10</v>
      </c>
      <c r="R149" s="62">
        <f t="shared" si="115"/>
        <v>10</v>
      </c>
      <c r="S149" s="62">
        <f t="shared" si="115"/>
        <v>10</v>
      </c>
      <c r="T149" s="62">
        <f t="shared" si="115"/>
        <v>10</v>
      </c>
      <c r="U149" s="62">
        <f t="shared" si="115"/>
        <v>10</v>
      </c>
      <c r="V149" s="62">
        <f t="shared" si="115"/>
        <v>10</v>
      </c>
      <c r="W149" s="62">
        <f t="shared" si="116"/>
        <v>10</v>
      </c>
      <c r="X149" s="62">
        <f t="shared" si="116"/>
        <v>10</v>
      </c>
      <c r="Y149" s="62">
        <f t="shared" si="116"/>
        <v>10</v>
      </c>
      <c r="Z149" s="62">
        <f t="shared" si="116"/>
        <v>10</v>
      </c>
      <c r="AA149" s="62">
        <f t="shared" si="116"/>
        <v>10</v>
      </c>
      <c r="AB149" s="62">
        <f t="shared" si="116"/>
        <v>10</v>
      </c>
      <c r="AC149" s="62">
        <f t="shared" si="116"/>
        <v>10</v>
      </c>
    </row>
    <row r="150" spans="1:29" x14ac:dyDescent="0.25">
      <c r="A150" s="30" t="str">
        <f>A130</f>
        <v>Tonnage .</v>
      </c>
      <c r="B150" s="62">
        <f>$B130+($C130-$B130)*(1-Q130)</f>
        <v>25</v>
      </c>
      <c r="C150" s="62">
        <f t="shared" si="114"/>
        <v>25</v>
      </c>
      <c r="D150" s="62">
        <f t="shared" si="114"/>
        <v>25</v>
      </c>
      <c r="E150" s="62">
        <f t="shared" si="114"/>
        <v>25</v>
      </c>
      <c r="F150" s="62">
        <f t="shared" si="114"/>
        <v>25</v>
      </c>
      <c r="G150" s="62">
        <f t="shared" si="114"/>
        <v>25</v>
      </c>
      <c r="H150" s="62">
        <f t="shared" si="114"/>
        <v>25</v>
      </c>
      <c r="I150" s="62">
        <f t="shared" si="114"/>
        <v>25</v>
      </c>
      <c r="J150" s="62">
        <f t="shared" si="114"/>
        <v>25</v>
      </c>
      <c r="K150" s="62">
        <f t="shared" si="114"/>
        <v>25</v>
      </c>
      <c r="L150" s="62">
        <f t="shared" si="114"/>
        <v>25</v>
      </c>
      <c r="M150" s="62">
        <f t="shared" si="115"/>
        <v>25</v>
      </c>
      <c r="N150" s="62">
        <f t="shared" si="115"/>
        <v>25</v>
      </c>
      <c r="O150" s="62">
        <f t="shared" si="115"/>
        <v>25</v>
      </c>
      <c r="P150" s="62">
        <f t="shared" si="115"/>
        <v>25</v>
      </c>
      <c r="Q150" s="62">
        <f t="shared" si="115"/>
        <v>25</v>
      </c>
      <c r="R150" s="62">
        <f t="shared" si="115"/>
        <v>25</v>
      </c>
      <c r="S150" s="62">
        <f t="shared" si="115"/>
        <v>25</v>
      </c>
      <c r="T150" s="62">
        <f t="shared" si="115"/>
        <v>25</v>
      </c>
      <c r="U150" s="62">
        <f t="shared" si="115"/>
        <v>25</v>
      </c>
      <c r="V150" s="62">
        <f t="shared" si="115"/>
        <v>25</v>
      </c>
      <c r="W150" s="62">
        <f t="shared" si="116"/>
        <v>25</v>
      </c>
      <c r="X150" s="62">
        <f t="shared" si="116"/>
        <v>25</v>
      </c>
      <c r="Y150" s="62">
        <f t="shared" si="116"/>
        <v>25</v>
      </c>
      <c r="Z150" s="62">
        <f t="shared" si="116"/>
        <v>25</v>
      </c>
      <c r="AA150" s="62">
        <f t="shared" si="116"/>
        <v>25</v>
      </c>
      <c r="AB150" s="62">
        <f t="shared" si="116"/>
        <v>25</v>
      </c>
      <c r="AC150" s="62">
        <f t="shared" si="116"/>
        <v>25</v>
      </c>
    </row>
    <row r="151" spans="1:29" x14ac:dyDescent="0.25">
      <c r="A151" s="30" t="str">
        <f>A131</f>
        <v>Market failure (av. utilization)</v>
      </c>
      <c r="B151" s="62">
        <f t="shared" ref="B151:K152" si="117">($B131+($C131-$B131)*(1-Q131))*B$44</f>
        <v>16</v>
      </c>
      <c r="C151" s="62">
        <f t="shared" si="117"/>
        <v>16</v>
      </c>
      <c r="D151" s="62">
        <f t="shared" si="117"/>
        <v>16</v>
      </c>
      <c r="E151" s="62">
        <f t="shared" si="117"/>
        <v>16</v>
      </c>
      <c r="F151" s="62">
        <f t="shared" si="117"/>
        <v>16</v>
      </c>
      <c r="G151" s="62">
        <f t="shared" si="117"/>
        <v>16</v>
      </c>
      <c r="H151" s="62">
        <f t="shared" si="117"/>
        <v>16</v>
      </c>
      <c r="I151" s="62">
        <f t="shared" si="117"/>
        <v>16</v>
      </c>
      <c r="J151" s="62">
        <f t="shared" si="117"/>
        <v>16</v>
      </c>
      <c r="K151" s="62">
        <f t="shared" si="117"/>
        <v>16</v>
      </c>
      <c r="L151" s="62">
        <f t="shared" ref="L151:U152" si="118">($B131+($C131-$B131)*(1-AA131))*L$44</f>
        <v>16</v>
      </c>
      <c r="M151" s="62">
        <f t="shared" si="118"/>
        <v>16</v>
      </c>
      <c r="N151" s="62">
        <f t="shared" si="118"/>
        <v>16</v>
      </c>
      <c r="O151" s="62">
        <f t="shared" si="118"/>
        <v>16</v>
      </c>
      <c r="P151" s="62">
        <f t="shared" si="118"/>
        <v>16</v>
      </c>
      <c r="Q151" s="62">
        <f t="shared" si="118"/>
        <v>16</v>
      </c>
      <c r="R151" s="62">
        <f t="shared" si="118"/>
        <v>16</v>
      </c>
      <c r="S151" s="62">
        <f t="shared" si="118"/>
        <v>16</v>
      </c>
      <c r="T151" s="62">
        <f t="shared" si="118"/>
        <v>16</v>
      </c>
      <c r="U151" s="62">
        <f t="shared" si="118"/>
        <v>16</v>
      </c>
      <c r="V151" s="62">
        <f t="shared" ref="V151:AC152" si="119">($B131+($C131-$B131)*(1-AK131))*V$44</f>
        <v>16</v>
      </c>
      <c r="W151" s="62">
        <f t="shared" si="119"/>
        <v>16</v>
      </c>
      <c r="X151" s="62">
        <f t="shared" si="119"/>
        <v>16</v>
      </c>
      <c r="Y151" s="62">
        <f t="shared" si="119"/>
        <v>16</v>
      </c>
      <c r="Z151" s="62">
        <f t="shared" si="119"/>
        <v>16</v>
      </c>
      <c r="AA151" s="62">
        <f t="shared" si="119"/>
        <v>16</v>
      </c>
      <c r="AB151" s="62">
        <f t="shared" si="119"/>
        <v>16</v>
      </c>
      <c r="AC151" s="62">
        <f t="shared" si="119"/>
        <v>16</v>
      </c>
    </row>
    <row r="152" spans="1:29" x14ac:dyDescent="0.25">
      <c r="A152" s="30" t="s">
        <v>73</v>
      </c>
      <c r="B152" s="62">
        <f t="shared" si="117"/>
        <v>1.240098396181128</v>
      </c>
      <c r="C152" s="62">
        <f t="shared" si="117"/>
        <v>1.2358588232214369</v>
      </c>
      <c r="D152" s="62">
        <f t="shared" si="117"/>
        <v>1.2298392373690403</v>
      </c>
      <c r="E152" s="62">
        <f t="shared" si="117"/>
        <v>1.2213311312119457</v>
      </c>
      <c r="F152" s="62">
        <f t="shared" si="117"/>
        <v>1.2093859036663352</v>
      </c>
      <c r="G152" s="62">
        <f t="shared" si="117"/>
        <v>1.1927777011260612</v>
      </c>
      <c r="H152" s="62">
        <f t="shared" si="117"/>
        <v>1.1700084767574384</v>
      </c>
      <c r="I152" s="62">
        <f t="shared" si="117"/>
        <v>1.1394090790574525</v>
      </c>
      <c r="J152" s="62">
        <f t="shared" si="117"/>
        <v>1.0994097548946793</v>
      </c>
      <c r="K152" s="62">
        <f t="shared" si="117"/>
        <v>1.0490373668749504</v>
      </c>
      <c r="L152" s="62">
        <f t="shared" si="118"/>
        <v>0.98859194719090016</v>
      </c>
      <c r="M152" s="62">
        <f t="shared" si="118"/>
        <v>0.92024185910637191</v>
      </c>
      <c r="N152" s="62">
        <f t="shared" si="118"/>
        <v>0.84808495154888996</v>
      </c>
      <c r="O152" s="62">
        <f t="shared" si="118"/>
        <v>0.77734795696642955</v>
      </c>
      <c r="P152" s="62">
        <f t="shared" si="118"/>
        <v>0.71295461477923405</v>
      </c>
      <c r="Q152" s="62">
        <f t="shared" si="118"/>
        <v>0.65822944370838299</v>
      </c>
      <c r="R152" s="62">
        <f t="shared" si="118"/>
        <v>0.61440438240348649</v>
      </c>
      <c r="S152" s="62">
        <f t="shared" si="118"/>
        <v>0.580963915532825</v>
      </c>
      <c r="T152" s="62">
        <f t="shared" si="118"/>
        <v>0.55638249045356891</v>
      </c>
      <c r="U152" s="62">
        <f t="shared" si="118"/>
        <v>0.53880712713312673</v>
      </c>
      <c r="V152" s="62">
        <f t="shared" si="119"/>
        <v>0.52648939296900943</v>
      </c>
      <c r="W152" s="62">
        <f t="shared" si="119"/>
        <v>0.51797708155449362</v>
      </c>
      <c r="X152" s="62">
        <f t="shared" si="119"/>
        <v>0.5121516826687923</v>
      </c>
      <c r="Y152" s="62">
        <f t="shared" si="119"/>
        <v>0.50819168042308127</v>
      </c>
      <c r="Z152" s="62">
        <f t="shared" si="119"/>
        <v>0.50551199096795685</v>
      </c>
      <c r="AA152" s="62">
        <f t="shared" si="119"/>
        <v>0.50370426966387927</v>
      </c>
      <c r="AB152" s="62">
        <f t="shared" si="119"/>
        <v>0.50248732066197166</v>
      </c>
      <c r="AC152" s="62">
        <f t="shared" si="119"/>
        <v>0.50166922716100104</v>
      </c>
    </row>
    <row r="153" spans="1:29" x14ac:dyDescent="0.25">
      <c r="A153" s="30" t="str">
        <f>A133</f>
        <v>Annual Mileage</v>
      </c>
      <c r="B153" s="62">
        <f t="shared" ref="B153:AC153" si="120">$B133+($C133-$B133)*(1-Q133)</f>
        <v>110000</v>
      </c>
      <c r="C153" s="62">
        <f t="shared" si="120"/>
        <v>110000</v>
      </c>
      <c r="D153" s="62">
        <f t="shared" si="120"/>
        <v>110000</v>
      </c>
      <c r="E153" s="62">
        <f t="shared" si="120"/>
        <v>110000</v>
      </c>
      <c r="F153" s="62">
        <f t="shared" si="120"/>
        <v>110000</v>
      </c>
      <c r="G153" s="62">
        <f t="shared" si="120"/>
        <v>110000</v>
      </c>
      <c r="H153" s="62">
        <f t="shared" si="120"/>
        <v>110000</v>
      </c>
      <c r="I153" s="62">
        <f t="shared" si="120"/>
        <v>110000</v>
      </c>
      <c r="J153" s="62">
        <f t="shared" si="120"/>
        <v>110000</v>
      </c>
      <c r="K153" s="62">
        <f t="shared" si="120"/>
        <v>110000</v>
      </c>
      <c r="L153" s="62">
        <f t="shared" si="120"/>
        <v>110000</v>
      </c>
      <c r="M153" s="62">
        <f t="shared" si="120"/>
        <v>110000</v>
      </c>
      <c r="N153" s="62">
        <f t="shared" si="120"/>
        <v>110000</v>
      </c>
      <c r="O153" s="62">
        <f t="shared" si="120"/>
        <v>110000</v>
      </c>
      <c r="P153" s="62">
        <f t="shared" si="120"/>
        <v>110000</v>
      </c>
      <c r="Q153" s="62">
        <f t="shared" si="120"/>
        <v>110000</v>
      </c>
      <c r="R153" s="62">
        <f t="shared" si="120"/>
        <v>110000</v>
      </c>
      <c r="S153" s="62">
        <f t="shared" si="120"/>
        <v>110000</v>
      </c>
      <c r="T153" s="62">
        <f t="shared" si="120"/>
        <v>110000</v>
      </c>
      <c r="U153" s="62">
        <f t="shared" si="120"/>
        <v>110000</v>
      </c>
      <c r="V153" s="62">
        <f t="shared" si="120"/>
        <v>110000</v>
      </c>
      <c r="W153" s="62">
        <f t="shared" si="120"/>
        <v>110000</v>
      </c>
      <c r="X153" s="62">
        <f t="shared" si="120"/>
        <v>110000</v>
      </c>
      <c r="Y153" s="62">
        <f t="shared" si="120"/>
        <v>110000</v>
      </c>
      <c r="Z153" s="62">
        <f t="shared" si="120"/>
        <v>110000</v>
      </c>
      <c r="AA153" s="62">
        <f t="shared" si="120"/>
        <v>110000</v>
      </c>
      <c r="AB153" s="62">
        <f t="shared" si="120"/>
        <v>110000</v>
      </c>
      <c r="AC153" s="62">
        <f t="shared" si="120"/>
        <v>110000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61357.445895655808</v>
      </c>
      <c r="C156" s="63">
        <f t="shared" ref="C156:AC156" si="121">((1+C141)^C148)*C141/(((1+C141)^C148)-1)*(C137)</f>
        <v>60754.714455896952</v>
      </c>
      <c r="D156" s="63">
        <f t="shared" si="121"/>
        <v>59916.698956344211</v>
      </c>
      <c r="E156" s="63">
        <f t="shared" si="121"/>
        <v>58767.811056679595</v>
      </c>
      <c r="F156" s="63">
        <f t="shared" si="121"/>
        <v>57223.828829380502</v>
      </c>
      <c r="G156" s="63">
        <f t="shared" si="121"/>
        <v>55205.54578287054</v>
      </c>
      <c r="H156" s="63">
        <f t="shared" si="121"/>
        <v>52663.859419902983</v>
      </c>
      <c r="I156" s="63">
        <f t="shared" si="121"/>
        <v>49613.908743460379</v>
      </c>
      <c r="J156" s="63">
        <f t="shared" si="121"/>
        <v>46165.10487249765</v>
      </c>
      <c r="K156" s="63">
        <f t="shared" si="121"/>
        <v>42524.216776008514</v>
      </c>
      <c r="L156" s="63">
        <f t="shared" si="121"/>
        <v>38954.974547168116</v>
      </c>
      <c r="M156" s="63">
        <f t="shared" si="121"/>
        <v>35705.819878562834</v>
      </c>
      <c r="N156" s="63">
        <f t="shared" si="121"/>
        <v>32944.501098770794</v>
      </c>
      <c r="O156" s="63">
        <f t="shared" si="121"/>
        <v>30733.179280332359</v>
      </c>
      <c r="P156" s="63">
        <f t="shared" si="121"/>
        <v>29045.842587397736</v>
      </c>
      <c r="Q156" s="63">
        <f t="shared" si="121"/>
        <v>27805.514793492392</v>
      </c>
      <c r="R156" s="63">
        <f t="shared" si="121"/>
        <v>26918.698364255953</v>
      </c>
      <c r="S156" s="63">
        <f t="shared" si="121"/>
        <v>26297.171012101549</v>
      </c>
      <c r="T156" s="63">
        <f t="shared" si="121"/>
        <v>25867.657409706244</v>
      </c>
      <c r="U156" s="63">
        <f t="shared" si="121"/>
        <v>25573.719848103356</v>
      </c>
      <c r="V156" s="63">
        <f t="shared" si="121"/>
        <v>25373.906337151635</v>
      </c>
      <c r="W156" s="63">
        <f t="shared" si="121"/>
        <v>25238.694757696427</v>
      </c>
      <c r="X156" s="63">
        <f t="shared" si="121"/>
        <v>25147.480885032299</v>
      </c>
      <c r="Y156" s="63">
        <f t="shared" si="121"/>
        <v>25086.076159066874</v>
      </c>
      <c r="Z156" s="63">
        <f t="shared" si="121"/>
        <v>25044.796855527889</v>
      </c>
      <c r="AA156" s="63">
        <f t="shared" si="121"/>
        <v>25017.073074171451</v>
      </c>
      <c r="AB156" s="63">
        <f t="shared" si="121"/>
        <v>24998.465197207195</v>
      </c>
      <c r="AC156" s="63">
        <f t="shared" si="121"/>
        <v>24985.981130564032</v>
      </c>
    </row>
    <row r="157" spans="1:29" x14ac:dyDescent="0.25">
      <c r="A157" s="30" t="str">
        <f>A138</f>
        <v>Residual value (vehicle)</v>
      </c>
      <c r="B157" s="62">
        <f>((1+B141)^B148)*B141/(((1+B141)^B148)-1)*(B138)</f>
        <v>-9299.0290627537943</v>
      </c>
      <c r="C157" s="62">
        <f t="shared" ref="C157:AC157" si="122">((1+C141)^C148)*C141/(((1+C141)^C148)-1)*(C138)</f>
        <v>-9248.373973667678</v>
      </c>
      <c r="D157" s="62">
        <f t="shared" si="122"/>
        <v>-9177.9450114712236</v>
      </c>
      <c r="E157" s="62">
        <f t="shared" si="122"/>
        <v>-9081.3895390526031</v>
      </c>
      <c r="F157" s="62">
        <f t="shared" si="122"/>
        <v>-8951.6293305881045</v>
      </c>
      <c r="G157" s="62">
        <f t="shared" si="122"/>
        <v>-8782.0076702963088</v>
      </c>
      <c r="H157" s="62">
        <f t="shared" si="122"/>
        <v>-8568.3978589405251</v>
      </c>
      <c r="I157" s="62">
        <f t="shared" si="122"/>
        <v>-8312.0722169841792</v>
      </c>
      <c r="J157" s="62">
        <f t="shared" si="122"/>
        <v>-8022.2259342117786</v>
      </c>
      <c r="K157" s="62">
        <f t="shared" si="122"/>
        <v>-7716.2364026983305</v>
      </c>
      <c r="L157" s="62">
        <f t="shared" si="122"/>
        <v>-7416.2681728277021</v>
      </c>
      <c r="M157" s="62">
        <f t="shared" si="122"/>
        <v>-7143.2009187640651</v>
      </c>
      <c r="N157" s="62">
        <f t="shared" si="122"/>
        <v>-6911.1326383347341</v>
      </c>
      <c r="O157" s="62">
        <f t="shared" si="122"/>
        <v>-6725.2875067851219</v>
      </c>
      <c r="P157" s="62">
        <f t="shared" si="122"/>
        <v>-6583.4794230172129</v>
      </c>
      <c r="Q157" s="62">
        <f t="shared" si="122"/>
        <v>-6479.2391084230394</v>
      </c>
      <c r="R157" s="62">
        <f t="shared" si="122"/>
        <v>-6404.7087914978501</v>
      </c>
      <c r="S157" s="62">
        <f t="shared" si="122"/>
        <v>-6352.4740459444474</v>
      </c>
      <c r="T157" s="62">
        <f t="shared" si="122"/>
        <v>-6316.3766261686715</v>
      </c>
      <c r="U157" s="62">
        <f t="shared" si="122"/>
        <v>-6291.6733630126846</v>
      </c>
      <c r="V157" s="62">
        <f t="shared" si="122"/>
        <v>-6274.8805253901455</v>
      </c>
      <c r="W157" s="62">
        <f t="shared" si="122"/>
        <v>-6263.5169990316763</v>
      </c>
      <c r="X157" s="62">
        <f t="shared" si="122"/>
        <v>-6255.8511522865001</v>
      </c>
      <c r="Y157" s="62">
        <f t="shared" si="122"/>
        <v>-6250.6905423383423</v>
      </c>
      <c r="Z157" s="62">
        <f t="shared" si="122"/>
        <v>-6247.2213242749585</v>
      </c>
      <c r="AA157" s="62">
        <f t="shared" si="122"/>
        <v>-6244.8913469056415</v>
      </c>
      <c r="AB157" s="62">
        <f t="shared" si="122"/>
        <v>-6243.3274934160918</v>
      </c>
      <c r="AC157" s="62">
        <f t="shared" si="122"/>
        <v>-6242.278300581188</v>
      </c>
    </row>
    <row r="158" spans="1:29" x14ac:dyDescent="0.25">
      <c r="A158" s="30" t="str">
        <f>A139</f>
        <v>Capex costumization</v>
      </c>
      <c r="B158" s="62">
        <f>((1+B141)^B149)*B141/(((1+B141)^B149)-1)*(B139)</f>
        <v>8152.0774932230233</v>
      </c>
      <c r="C158" s="62">
        <f t="shared" ref="C158:AC158" si="123">((1+C141)^C149)*C141/(((1+C141)^C149)-1)*(C139)</f>
        <v>8152.0774932230233</v>
      </c>
      <c r="D158" s="62">
        <f t="shared" si="123"/>
        <v>8152.0774932230233</v>
      </c>
      <c r="E158" s="62">
        <f t="shared" si="123"/>
        <v>8152.0774932230233</v>
      </c>
      <c r="F158" s="62">
        <f t="shared" si="123"/>
        <v>8152.0774932230233</v>
      </c>
      <c r="G158" s="62">
        <f t="shared" si="123"/>
        <v>8152.0774932230233</v>
      </c>
      <c r="H158" s="62">
        <f t="shared" si="123"/>
        <v>8152.0774932230233</v>
      </c>
      <c r="I158" s="62">
        <f t="shared" si="123"/>
        <v>8152.0774932230233</v>
      </c>
      <c r="J158" s="62">
        <f t="shared" si="123"/>
        <v>8152.0774932230233</v>
      </c>
      <c r="K158" s="62">
        <f t="shared" si="123"/>
        <v>8152.0774932230233</v>
      </c>
      <c r="L158" s="62">
        <f t="shared" si="123"/>
        <v>8152.0774932230233</v>
      </c>
      <c r="M158" s="62">
        <f t="shared" si="123"/>
        <v>8152.0774932230233</v>
      </c>
      <c r="N158" s="62">
        <f t="shared" si="123"/>
        <v>8152.0774932230233</v>
      </c>
      <c r="O158" s="62">
        <f t="shared" si="123"/>
        <v>8152.0774932230233</v>
      </c>
      <c r="P158" s="62">
        <f t="shared" si="123"/>
        <v>8152.0774932230233</v>
      </c>
      <c r="Q158" s="62">
        <f t="shared" si="123"/>
        <v>8152.0774932230233</v>
      </c>
      <c r="R158" s="62">
        <f t="shared" si="123"/>
        <v>8152.0774932230233</v>
      </c>
      <c r="S158" s="62">
        <f t="shared" si="123"/>
        <v>8152.0774932230233</v>
      </c>
      <c r="T158" s="62">
        <f t="shared" si="123"/>
        <v>8152.0774932230233</v>
      </c>
      <c r="U158" s="62">
        <f t="shared" si="123"/>
        <v>8152.0774932230233</v>
      </c>
      <c r="V158" s="62">
        <f t="shared" si="123"/>
        <v>8152.0774932230233</v>
      </c>
      <c r="W158" s="62">
        <f t="shared" si="123"/>
        <v>8152.0774932230233</v>
      </c>
      <c r="X158" s="62">
        <f t="shared" si="123"/>
        <v>8152.0774932230233</v>
      </c>
      <c r="Y158" s="62">
        <f t="shared" si="123"/>
        <v>8152.0774932230233</v>
      </c>
      <c r="Z158" s="62">
        <f t="shared" si="123"/>
        <v>8152.0774932230233</v>
      </c>
      <c r="AA158" s="62">
        <f t="shared" si="123"/>
        <v>8152.0774932230233</v>
      </c>
      <c r="AB158" s="62">
        <f t="shared" si="123"/>
        <v>8152.0774932230233</v>
      </c>
      <c r="AC158" s="62">
        <f t="shared" si="123"/>
        <v>8152.0774932230233</v>
      </c>
    </row>
    <row r="159" spans="1:29" x14ac:dyDescent="0.25">
      <c r="A159" s="30" t="str">
        <f>A140</f>
        <v>Residual value (costumization)</v>
      </c>
      <c r="B159" s="62">
        <f>((1+B141)^B149)*B141/(((1+B141)^B149)-1)*(B140)</f>
        <v>-2038.0193733057558</v>
      </c>
      <c r="C159" s="62">
        <f t="shared" ref="C159:AC159" si="124">((1+C141)^C149)*C141/(((1+C141)^C149)-1)*(C140)</f>
        <v>-2038.0193733057558</v>
      </c>
      <c r="D159" s="62">
        <f t="shared" si="124"/>
        <v>-2038.0193733057558</v>
      </c>
      <c r="E159" s="62">
        <f t="shared" si="124"/>
        <v>-2038.0193733057558</v>
      </c>
      <c r="F159" s="62">
        <f t="shared" si="124"/>
        <v>-2038.0193733057558</v>
      </c>
      <c r="G159" s="62">
        <f t="shared" si="124"/>
        <v>-2038.0193733057558</v>
      </c>
      <c r="H159" s="62">
        <f t="shared" si="124"/>
        <v>-2038.0193733057558</v>
      </c>
      <c r="I159" s="62">
        <f t="shared" si="124"/>
        <v>-2038.0193733057558</v>
      </c>
      <c r="J159" s="62">
        <f t="shared" si="124"/>
        <v>-2038.0193733057558</v>
      </c>
      <c r="K159" s="62">
        <f t="shared" si="124"/>
        <v>-2038.0193733057558</v>
      </c>
      <c r="L159" s="62">
        <f t="shared" si="124"/>
        <v>-2038.0193733057558</v>
      </c>
      <c r="M159" s="62">
        <f t="shared" si="124"/>
        <v>-2038.0193733057558</v>
      </c>
      <c r="N159" s="62">
        <f t="shared" si="124"/>
        <v>-2038.0193733057558</v>
      </c>
      <c r="O159" s="62">
        <f t="shared" si="124"/>
        <v>-2038.0193733057558</v>
      </c>
      <c r="P159" s="62">
        <f t="shared" si="124"/>
        <v>-2038.0193733057558</v>
      </c>
      <c r="Q159" s="62">
        <f t="shared" si="124"/>
        <v>-2038.0193733057558</v>
      </c>
      <c r="R159" s="62">
        <f t="shared" si="124"/>
        <v>-2038.0193733057558</v>
      </c>
      <c r="S159" s="62">
        <f t="shared" si="124"/>
        <v>-2038.0193733057558</v>
      </c>
      <c r="T159" s="62">
        <f t="shared" si="124"/>
        <v>-2038.0193733057558</v>
      </c>
      <c r="U159" s="62">
        <f t="shared" si="124"/>
        <v>-2038.0193733057558</v>
      </c>
      <c r="V159" s="62">
        <f t="shared" si="124"/>
        <v>-2038.0193733057558</v>
      </c>
      <c r="W159" s="62">
        <f t="shared" si="124"/>
        <v>-2038.0193733057558</v>
      </c>
      <c r="X159" s="62">
        <f t="shared" si="124"/>
        <v>-2038.0193733057558</v>
      </c>
      <c r="Y159" s="62">
        <f t="shared" si="124"/>
        <v>-2038.0193733057558</v>
      </c>
      <c r="Z159" s="62">
        <f t="shared" si="124"/>
        <v>-2038.0193733057558</v>
      </c>
      <c r="AA159" s="62">
        <f t="shared" si="124"/>
        <v>-2038.0193733057558</v>
      </c>
      <c r="AB159" s="62">
        <f t="shared" si="124"/>
        <v>-2038.0193733057558</v>
      </c>
      <c r="AC159" s="62">
        <f t="shared" si="124"/>
        <v>-2038.0193733057558</v>
      </c>
    </row>
    <row r="160" spans="1:29" x14ac:dyDescent="0.25">
      <c r="A160" s="30" t="str">
        <f t="shared" ref="A160:AC160" si="125">A142</f>
        <v>Opex fix (admin, crew, insurance)</v>
      </c>
      <c r="B160" s="62">
        <f t="shared" si="125"/>
        <v>70000</v>
      </c>
      <c r="C160" s="62">
        <f t="shared" si="125"/>
        <v>70000</v>
      </c>
      <c r="D160" s="62">
        <f t="shared" si="125"/>
        <v>70000</v>
      </c>
      <c r="E160" s="62">
        <f t="shared" si="125"/>
        <v>70000</v>
      </c>
      <c r="F160" s="62">
        <f t="shared" si="125"/>
        <v>70000</v>
      </c>
      <c r="G160" s="62">
        <f t="shared" si="125"/>
        <v>70000</v>
      </c>
      <c r="H160" s="62">
        <f t="shared" si="125"/>
        <v>70000</v>
      </c>
      <c r="I160" s="62">
        <f t="shared" si="125"/>
        <v>70000</v>
      </c>
      <c r="J160" s="62">
        <f t="shared" si="125"/>
        <v>70000</v>
      </c>
      <c r="K160" s="62">
        <f t="shared" si="125"/>
        <v>70000</v>
      </c>
      <c r="L160" s="62">
        <f t="shared" si="125"/>
        <v>70000</v>
      </c>
      <c r="M160" s="62">
        <f t="shared" si="125"/>
        <v>70000</v>
      </c>
      <c r="N160" s="62">
        <f t="shared" si="125"/>
        <v>70000</v>
      </c>
      <c r="O160" s="62">
        <f t="shared" si="125"/>
        <v>70000</v>
      </c>
      <c r="P160" s="62">
        <f t="shared" si="125"/>
        <v>70000</v>
      </c>
      <c r="Q160" s="62">
        <f t="shared" si="125"/>
        <v>70000</v>
      </c>
      <c r="R160" s="62">
        <f t="shared" si="125"/>
        <v>70000</v>
      </c>
      <c r="S160" s="62">
        <f t="shared" si="125"/>
        <v>70000</v>
      </c>
      <c r="T160" s="62">
        <f t="shared" si="125"/>
        <v>70000</v>
      </c>
      <c r="U160" s="62">
        <f t="shared" si="125"/>
        <v>70000</v>
      </c>
      <c r="V160" s="62">
        <f t="shared" si="125"/>
        <v>70000</v>
      </c>
      <c r="W160" s="62">
        <f t="shared" si="125"/>
        <v>70000</v>
      </c>
      <c r="X160" s="62">
        <f t="shared" si="125"/>
        <v>70000</v>
      </c>
      <c r="Y160" s="62">
        <f t="shared" si="125"/>
        <v>70000</v>
      </c>
      <c r="Z160" s="62">
        <f t="shared" si="125"/>
        <v>70000</v>
      </c>
      <c r="AA160" s="62">
        <f t="shared" si="125"/>
        <v>70000</v>
      </c>
      <c r="AB160" s="62">
        <f t="shared" si="125"/>
        <v>70000</v>
      </c>
      <c r="AC160" s="62">
        <f t="shared" si="125"/>
        <v>70000</v>
      </c>
    </row>
    <row r="161" spans="1:29" x14ac:dyDescent="0.25">
      <c r="A161" s="30" t="str">
        <f t="shared" ref="A161:AC161" si="126">A143</f>
        <v>Opex maintenance &amp; repair</v>
      </c>
      <c r="B161" s="62">
        <f t="shared" si="126"/>
        <v>25694.198732927423</v>
      </c>
      <c r="C161" s="62">
        <f t="shared" si="126"/>
        <v>25566.782972440909</v>
      </c>
      <c r="D161" s="62">
        <f t="shared" si="126"/>
        <v>25389.62881201132</v>
      </c>
      <c r="E161" s="62">
        <f t="shared" si="126"/>
        <v>25146.757085412675</v>
      </c>
      <c r="F161" s="62">
        <f t="shared" si="126"/>
        <v>24820.363509946161</v>
      </c>
      <c r="G161" s="62">
        <f t="shared" si="126"/>
        <v>24393.704052209912</v>
      </c>
      <c r="H161" s="62">
        <f t="shared" si="126"/>
        <v>23856.39857999947</v>
      </c>
      <c r="I161" s="62">
        <f t="shared" si="126"/>
        <v>23211.647436702937</v>
      </c>
      <c r="J161" s="62">
        <f t="shared" si="126"/>
        <v>22482.579830467967</v>
      </c>
      <c r="K161" s="62">
        <f t="shared" si="126"/>
        <v>21712.906149854825</v>
      </c>
      <c r="L161" s="62">
        <f t="shared" si="126"/>
        <v>20958.378207641916</v>
      </c>
      <c r="M161" s="62">
        <f t="shared" si="126"/>
        <v>20271.515890978495</v>
      </c>
      <c r="N161" s="62">
        <f t="shared" si="126"/>
        <v>19687.78073288942</v>
      </c>
      <c r="O161" s="62">
        <f t="shared" si="126"/>
        <v>19220.313412303854</v>
      </c>
      <c r="P161" s="62">
        <f t="shared" si="126"/>
        <v>18863.615099016799</v>
      </c>
      <c r="Q161" s="62">
        <f t="shared" si="126"/>
        <v>18601.413231504735</v>
      </c>
      <c r="R161" s="62">
        <f t="shared" si="126"/>
        <v>18413.942689420019</v>
      </c>
      <c r="S161" s="62">
        <f t="shared" si="126"/>
        <v>18282.553525002768</v>
      </c>
      <c r="T161" s="62">
        <f t="shared" si="126"/>
        <v>18191.755536581266</v>
      </c>
      <c r="U161" s="62">
        <f t="shared" si="126"/>
        <v>18129.617948467116</v>
      </c>
      <c r="V161" s="62">
        <f t="shared" si="126"/>
        <v>18087.377924512868</v>
      </c>
      <c r="W161" s="62">
        <f t="shared" si="126"/>
        <v>18058.794570324873</v>
      </c>
      <c r="X161" s="62">
        <f t="shared" si="126"/>
        <v>18039.512209748045</v>
      </c>
      <c r="Y161" s="62">
        <f t="shared" si="126"/>
        <v>18026.531420394364</v>
      </c>
      <c r="Z161" s="62">
        <f t="shared" si="126"/>
        <v>18017.805089717345</v>
      </c>
      <c r="AA161" s="62">
        <f t="shared" si="126"/>
        <v>18011.94435896385</v>
      </c>
      <c r="AB161" s="62">
        <f t="shared" si="126"/>
        <v>18008.010705203578</v>
      </c>
      <c r="AC161" s="62">
        <f t="shared" si="126"/>
        <v>18005.371608019701</v>
      </c>
    </row>
    <row r="162" spans="1:29" x14ac:dyDescent="0.25">
      <c r="A162" s="30" t="str">
        <f>A144</f>
        <v>Opex var (mode-fees)</v>
      </c>
      <c r="B162" s="62">
        <f>B144*B153</f>
        <v>12100</v>
      </c>
      <c r="C162" s="62">
        <f t="shared" ref="C162:AC162" si="127">C144*C153</f>
        <v>12100</v>
      </c>
      <c r="D162" s="62">
        <f t="shared" si="127"/>
        <v>12100</v>
      </c>
      <c r="E162" s="62">
        <f t="shared" si="127"/>
        <v>12100</v>
      </c>
      <c r="F162" s="62">
        <f t="shared" si="127"/>
        <v>12100</v>
      </c>
      <c r="G162" s="62">
        <f t="shared" si="127"/>
        <v>12100</v>
      </c>
      <c r="H162" s="62">
        <f t="shared" si="127"/>
        <v>12100</v>
      </c>
      <c r="I162" s="62">
        <f t="shared" si="127"/>
        <v>12100</v>
      </c>
      <c r="J162" s="62">
        <f t="shared" si="127"/>
        <v>12100</v>
      </c>
      <c r="K162" s="62">
        <f t="shared" si="127"/>
        <v>12100</v>
      </c>
      <c r="L162" s="62">
        <f t="shared" si="127"/>
        <v>12100</v>
      </c>
      <c r="M162" s="62">
        <f t="shared" si="127"/>
        <v>12100</v>
      </c>
      <c r="N162" s="62">
        <f t="shared" si="127"/>
        <v>12100</v>
      </c>
      <c r="O162" s="62">
        <f t="shared" si="127"/>
        <v>12100</v>
      </c>
      <c r="P162" s="62">
        <f t="shared" si="127"/>
        <v>12100</v>
      </c>
      <c r="Q162" s="62">
        <f t="shared" si="127"/>
        <v>12100</v>
      </c>
      <c r="R162" s="62">
        <f t="shared" si="127"/>
        <v>12100</v>
      </c>
      <c r="S162" s="62">
        <f t="shared" si="127"/>
        <v>12100</v>
      </c>
      <c r="T162" s="62">
        <f t="shared" si="127"/>
        <v>12100</v>
      </c>
      <c r="U162" s="62">
        <f t="shared" si="127"/>
        <v>12100</v>
      </c>
      <c r="V162" s="62">
        <f t="shared" si="127"/>
        <v>12100</v>
      </c>
      <c r="W162" s="62">
        <f t="shared" si="127"/>
        <v>12100</v>
      </c>
      <c r="X162" s="62">
        <f t="shared" si="127"/>
        <v>12100</v>
      </c>
      <c r="Y162" s="62">
        <f t="shared" si="127"/>
        <v>12100</v>
      </c>
      <c r="Z162" s="62">
        <f t="shared" si="127"/>
        <v>12100</v>
      </c>
      <c r="AA162" s="62">
        <f t="shared" si="127"/>
        <v>12100</v>
      </c>
      <c r="AB162" s="62">
        <f t="shared" si="127"/>
        <v>12100</v>
      </c>
      <c r="AC162" s="62">
        <f t="shared" si="127"/>
        <v>12100</v>
      </c>
    </row>
    <row r="163" spans="1:29" x14ac:dyDescent="0.25">
      <c r="A163" s="30" t="str">
        <f>A146</f>
        <v>Fuel Cost</v>
      </c>
      <c r="B163" s="62">
        <f>B145*B146*B153</f>
        <v>69496.723939798379</v>
      </c>
      <c r="C163" s="62">
        <f t="shared" ref="C163:AC163" si="128">C145*C146*C153</f>
        <v>68944.870922224276</v>
      </c>
      <c r="D163" s="62">
        <f t="shared" si="128"/>
        <v>68174.549646909116</v>
      </c>
      <c r="E163" s="62">
        <f t="shared" si="128"/>
        <v>67111.971185398041</v>
      </c>
      <c r="F163" s="62">
        <f t="shared" si="128"/>
        <v>65670.466009483396</v>
      </c>
      <c r="G163" s="62">
        <f t="shared" si="128"/>
        <v>63758.963242820872</v>
      </c>
      <c r="H163" s="62">
        <f t="shared" si="128"/>
        <v>61299.486064964636</v>
      </c>
      <c r="I163" s="62">
        <f t="shared" si="128"/>
        <v>58253.396958521276</v>
      </c>
      <c r="J163" s="62">
        <f t="shared" si="128"/>
        <v>54649.404794052207</v>
      </c>
      <c r="K163" s="62">
        <f t="shared" si="128"/>
        <v>50599.678781210765</v>
      </c>
      <c r="L163" s="62">
        <f t="shared" si="128"/>
        <v>46292.208295833014</v>
      </c>
      <c r="M163" s="62">
        <f t="shared" si="128"/>
        <v>41960.340126816722</v>
      </c>
      <c r="N163" s="62">
        <f t="shared" si="128"/>
        <v>37841.877470694759</v>
      </c>
      <c r="O163" s="62">
        <f t="shared" si="128"/>
        <v>34139.164155342856</v>
      </c>
      <c r="P163" s="62">
        <f t="shared" si="128"/>
        <v>30987.135538136132</v>
      </c>
      <c r="Q163" s="62">
        <f t="shared" si="128"/>
        <v>28437.728786305765</v>
      </c>
      <c r="R163" s="62">
        <f t="shared" si="128"/>
        <v>26466.945283186345</v>
      </c>
      <c r="S163" s="62">
        <f t="shared" si="128"/>
        <v>24999.732986505234</v>
      </c>
      <c r="T163" s="62">
        <f t="shared" si="128"/>
        <v>23939.319994013422</v>
      </c>
      <c r="U163" s="62">
        <f t="shared" si="128"/>
        <v>23189.833743887728</v>
      </c>
      <c r="V163" s="62">
        <f t="shared" si="128"/>
        <v>22668.641660620175</v>
      </c>
      <c r="W163" s="62">
        <f t="shared" si="128"/>
        <v>22310.359538717919</v>
      </c>
      <c r="X163" s="62">
        <f t="shared" si="128"/>
        <v>22066.037907644757</v>
      </c>
      <c r="Y163" s="62">
        <f t="shared" si="128"/>
        <v>21900.34823027458</v>
      </c>
      <c r="Z163" s="62">
        <f t="shared" si="128"/>
        <v>21788.407395541184</v>
      </c>
      <c r="AA163" s="62">
        <f t="shared" si="128"/>
        <v>21712.973168415592</v>
      </c>
      <c r="AB163" s="62">
        <f t="shared" si="128"/>
        <v>21662.227851371936</v>
      </c>
      <c r="AC163" s="62">
        <f t="shared" si="128"/>
        <v>21628.130837137902</v>
      </c>
    </row>
    <row r="164" spans="1:29" ht="15.75" thickBot="1" x14ac:dyDescent="0.3">
      <c r="A164" s="59" t="str">
        <f>A127</f>
        <v>Emission Cost</v>
      </c>
      <c r="B164" s="62">
        <f>B147*B153</f>
        <v>1001.5005265244289</v>
      </c>
      <c r="C164" s="62">
        <f t="shared" ref="C164:AC164" si="129">C147*C153</f>
        <v>1000.5468540058832</v>
      </c>
      <c r="D164" s="62">
        <f t="shared" si="129"/>
        <v>999.18169303692775</v>
      </c>
      <c r="E164" s="62">
        <f t="shared" si="129"/>
        <v>997.22873426842602</v>
      </c>
      <c r="F164" s="62">
        <f t="shared" si="129"/>
        <v>994.43752524648903</v>
      </c>
      <c r="G164" s="62">
        <f t="shared" si="129"/>
        <v>990.45386676690146</v>
      </c>
      <c r="H164" s="62">
        <f t="shared" si="129"/>
        <v>984.78015979356701</v>
      </c>
      <c r="I164" s="62">
        <f t="shared" si="129"/>
        <v>976.7243092274723</v>
      </c>
      <c r="J164" s="62">
        <f t="shared" si="129"/>
        <v>965.33813857011125</v>
      </c>
      <c r="K164" s="62">
        <f t="shared" si="129"/>
        <v>949.35216039071122</v>
      </c>
      <c r="L164" s="62">
        <f t="shared" si="129"/>
        <v>927.12584763156758</v>
      </c>
      <c r="M164" s="62">
        <f t="shared" si="129"/>
        <v>896.65440432679588</v>
      </c>
      <c r="N164" s="62">
        <f t="shared" si="129"/>
        <v>855.70404971304015</v>
      </c>
      <c r="O164" s="62">
        <f t="shared" si="129"/>
        <v>802.17402520615565</v>
      </c>
      <c r="P164" s="62">
        <f t="shared" si="129"/>
        <v>734.76200708821216</v>
      </c>
      <c r="Q164" s="62">
        <f t="shared" si="129"/>
        <v>653.8695204089629</v>
      </c>
      <c r="R164" s="62">
        <f t="shared" si="129"/>
        <v>562.39842766440916</v>
      </c>
      <c r="S164" s="62">
        <f t="shared" si="129"/>
        <v>465.83277035043363</v>
      </c>
      <c r="T164" s="62">
        <f t="shared" si="129"/>
        <v>371.16734455140136</v>
      </c>
      <c r="U164" s="62">
        <f t="shared" si="129"/>
        <v>284.99145889559298</v>
      </c>
      <c r="V164" s="62">
        <f t="shared" si="129"/>
        <v>211.75422777026137</v>
      </c>
      <c r="W164" s="62">
        <f t="shared" si="129"/>
        <v>153.10432168384403</v>
      </c>
      <c r="X164" s="62">
        <f t="shared" si="129"/>
        <v>108.35184027131673</v>
      </c>
      <c r="Y164" s="62">
        <f t="shared" si="129"/>
        <v>75.455177278911606</v>
      </c>
      <c r="Z164" s="62">
        <f t="shared" si="129"/>
        <v>51.934539144323814</v>
      </c>
      <c r="AA164" s="62">
        <f t="shared" si="129"/>
        <v>35.450045331597188</v>
      </c>
      <c r="AB164" s="62">
        <f t="shared" si="129"/>
        <v>24.058246890829079</v>
      </c>
      <c r="AC164" s="62">
        <f t="shared" si="129"/>
        <v>16.262271542720804</v>
      </c>
    </row>
    <row r="165" spans="1:29" ht="15.75" thickBot="1" x14ac:dyDescent="0.3">
      <c r="A165" s="31" t="s">
        <v>209</v>
      </c>
      <c r="B165" s="64">
        <f>B156+B157+B158+B159+B160+B161+B162+B163+B164</f>
        <v>236464.89815206954</v>
      </c>
      <c r="C165" s="64">
        <f t="shared" ref="C165:AC165" si="130">C156+C157+C158+C159+C160+C161+C162+C163+C164</f>
        <v>235232.59935081762</v>
      </c>
      <c r="D165" s="64">
        <f t="shared" si="130"/>
        <v>233516.17221674763</v>
      </c>
      <c r="E165" s="64">
        <f t="shared" si="130"/>
        <v>231156.43664262342</v>
      </c>
      <c r="F165" s="64">
        <f t="shared" si="130"/>
        <v>227971.52466338573</v>
      </c>
      <c r="G165" s="64">
        <f t="shared" si="130"/>
        <v>223780.71739428918</v>
      </c>
      <c r="H165" s="64">
        <f t="shared" si="130"/>
        <v>218450.18448563741</v>
      </c>
      <c r="I165" s="64">
        <f t="shared" si="130"/>
        <v>211957.66335084513</v>
      </c>
      <c r="J165" s="64">
        <f t="shared" si="130"/>
        <v>204454.25982129344</v>
      </c>
      <c r="K165" s="64">
        <f t="shared" si="130"/>
        <v>196283.97558468374</v>
      </c>
      <c r="L165" s="64">
        <f t="shared" si="130"/>
        <v>187930.47684536417</v>
      </c>
      <c r="M165" s="64">
        <f t="shared" si="130"/>
        <v>179905.18750183808</v>
      </c>
      <c r="N165" s="64">
        <f t="shared" si="130"/>
        <v>172632.78883365053</v>
      </c>
      <c r="O165" s="64">
        <f t="shared" si="130"/>
        <v>166383.60148631738</v>
      </c>
      <c r="P165" s="64">
        <f t="shared" si="130"/>
        <v>161261.93392853893</v>
      </c>
      <c r="Q165" s="64">
        <f t="shared" si="130"/>
        <v>157233.34534320608</v>
      </c>
      <c r="R165" s="64">
        <f t="shared" si="130"/>
        <v>154171.33409294614</v>
      </c>
      <c r="S165" s="64">
        <f t="shared" si="130"/>
        <v>151906.87436793282</v>
      </c>
      <c r="T165" s="64">
        <f t="shared" si="130"/>
        <v>150267.5817786009</v>
      </c>
      <c r="U165" s="64">
        <f t="shared" si="130"/>
        <v>149100.54775625837</v>
      </c>
      <c r="V165" s="64">
        <f t="shared" si="130"/>
        <v>148280.85774458206</v>
      </c>
      <c r="W165" s="64">
        <f t="shared" si="130"/>
        <v>147711.49430930865</v>
      </c>
      <c r="X165" s="64">
        <f t="shared" si="130"/>
        <v>147319.58981032719</v>
      </c>
      <c r="Y165" s="64">
        <f t="shared" si="130"/>
        <v>147051.77856459364</v>
      </c>
      <c r="Z165" s="64">
        <f t="shared" si="130"/>
        <v>146869.78067557304</v>
      </c>
      <c r="AA165" s="64">
        <f t="shared" si="130"/>
        <v>146746.60741989411</v>
      </c>
      <c r="AB165" s="64">
        <f t="shared" si="130"/>
        <v>146663.49262717471</v>
      </c>
      <c r="AC165" s="64">
        <f t="shared" si="130"/>
        <v>146607.52566660044</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31">A156</f>
        <v>Capex vehicle</v>
      </c>
      <c r="B168" s="65">
        <f>((1+B141)^B148)*B141/(((1+B141)^B148)-1)*(B137)/B153</f>
        <v>0.55779496268778006</v>
      </c>
      <c r="C168" s="65">
        <f t="shared" ref="C168:AC168" si="132">((1+C141)^C148)*C141/(((1+C141)^C148)-1)*(C137)/C153</f>
        <v>0.55231558596269958</v>
      </c>
      <c r="D168" s="65">
        <f t="shared" si="132"/>
        <v>0.54469726323949286</v>
      </c>
      <c r="E168" s="65">
        <f t="shared" si="132"/>
        <v>0.53425282778799632</v>
      </c>
      <c r="F168" s="65">
        <f t="shared" si="132"/>
        <v>0.52021662572164096</v>
      </c>
      <c r="G168" s="65">
        <f t="shared" si="132"/>
        <v>0.50186859802609585</v>
      </c>
      <c r="H168" s="65">
        <f t="shared" si="132"/>
        <v>0.47876235836275438</v>
      </c>
      <c r="I168" s="65">
        <f t="shared" si="132"/>
        <v>0.45103553403145796</v>
      </c>
      <c r="J168" s="65">
        <f t="shared" si="132"/>
        <v>0.41968277156816047</v>
      </c>
      <c r="K168" s="65">
        <f t="shared" si="132"/>
        <v>0.38658378887280465</v>
      </c>
      <c r="L168" s="65">
        <f t="shared" si="132"/>
        <v>0.35413613224698287</v>
      </c>
      <c r="M168" s="65">
        <f t="shared" si="132"/>
        <v>0.32459836253238938</v>
      </c>
      <c r="N168" s="65">
        <f t="shared" si="132"/>
        <v>0.29949546453427994</v>
      </c>
      <c r="O168" s="65">
        <f t="shared" si="132"/>
        <v>0.27939253891211235</v>
      </c>
      <c r="P168" s="65">
        <f t="shared" si="132"/>
        <v>0.26405311443088852</v>
      </c>
      <c r="Q168" s="65">
        <f t="shared" si="132"/>
        <v>0.25277740721356717</v>
      </c>
      <c r="R168" s="65">
        <f t="shared" si="132"/>
        <v>0.24471543967505413</v>
      </c>
      <c r="S168" s="65">
        <f t="shared" si="132"/>
        <v>0.23906519101910501</v>
      </c>
      <c r="T168" s="65">
        <f t="shared" si="132"/>
        <v>0.23516052190642039</v>
      </c>
      <c r="U168" s="65">
        <f t="shared" si="132"/>
        <v>0.23248836225548505</v>
      </c>
      <c r="V168" s="65">
        <f t="shared" si="132"/>
        <v>0.2306718757922876</v>
      </c>
      <c r="W168" s="65">
        <f t="shared" si="132"/>
        <v>0.22944267961542206</v>
      </c>
      <c r="X168" s="65">
        <f t="shared" si="132"/>
        <v>0.22861346259120272</v>
      </c>
      <c r="Y168" s="65">
        <f t="shared" si="132"/>
        <v>0.22805523780969886</v>
      </c>
      <c r="Z168" s="65">
        <f t="shared" si="132"/>
        <v>0.2276799714138899</v>
      </c>
      <c r="AA168" s="65">
        <f t="shared" si="132"/>
        <v>0.22742793703792227</v>
      </c>
      <c r="AB168" s="65">
        <f t="shared" si="132"/>
        <v>0.2272587745200654</v>
      </c>
      <c r="AC168" s="65">
        <f t="shared" si="132"/>
        <v>0.22714528300512757</v>
      </c>
    </row>
    <row r="169" spans="1:29" x14ac:dyDescent="0.25">
      <c r="A169" s="30" t="str">
        <f t="shared" si="131"/>
        <v>Residual value (vehicle)</v>
      </c>
      <c r="B169" s="66">
        <f>((1+B141)^B148)*B141/(((1+B141)^B148)-1)*(B138)/B153</f>
        <v>-8.4536627843216305E-2</v>
      </c>
      <c r="C169" s="66">
        <f t="shared" ref="C169:AC169" si="133">((1+C141)^C148)*C141/(((1+C141)^C148)-1)*(C138)/C153</f>
        <v>-8.4076127033342524E-2</v>
      </c>
      <c r="D169" s="66">
        <f t="shared" si="133"/>
        <v>-8.3435863740647487E-2</v>
      </c>
      <c r="E169" s="66">
        <f t="shared" si="133"/>
        <v>-8.2558086718660023E-2</v>
      </c>
      <c r="F169" s="66">
        <f t="shared" si="133"/>
        <v>-8.1378448459891853E-2</v>
      </c>
      <c r="G169" s="66">
        <f t="shared" si="133"/>
        <v>-7.9836433366330076E-2</v>
      </c>
      <c r="H169" s="66">
        <f t="shared" si="133"/>
        <v>-7.7894525990368405E-2</v>
      </c>
      <c r="I169" s="66">
        <f t="shared" si="133"/>
        <v>-7.5564292881674364E-2</v>
      </c>
      <c r="J169" s="66">
        <f t="shared" si="133"/>
        <v>-7.2929326674652531E-2</v>
      </c>
      <c r="K169" s="66">
        <f t="shared" si="133"/>
        <v>-7.0147603660893912E-2</v>
      </c>
      <c r="L169" s="66">
        <f t="shared" si="133"/>
        <v>-6.7420619752979111E-2</v>
      </c>
      <c r="M169" s="66">
        <f t="shared" si="133"/>
        <v>-6.4938190170582416E-2</v>
      </c>
      <c r="N169" s="66">
        <f t="shared" si="133"/>
        <v>-6.2828478530315771E-2</v>
      </c>
      <c r="O169" s="66">
        <f t="shared" si="133"/>
        <v>-6.1138977334410198E-2</v>
      </c>
      <c r="P169" s="66">
        <f t="shared" si="133"/>
        <v>-5.9849812936520114E-2</v>
      </c>
      <c r="Q169" s="66">
        <f t="shared" si="133"/>
        <v>-5.8902173712936719E-2</v>
      </c>
      <c r="R169" s="66">
        <f t="shared" si="133"/>
        <v>-5.8224625377253182E-2</v>
      </c>
      <c r="S169" s="66">
        <f t="shared" si="133"/>
        <v>-5.7749764054040434E-2</v>
      </c>
      <c r="T169" s="66">
        <f t="shared" si="133"/>
        <v>-5.7421605692442465E-2</v>
      </c>
      <c r="U169" s="66">
        <f t="shared" si="133"/>
        <v>-5.7197030572842589E-2</v>
      </c>
      <c r="V169" s="66">
        <f t="shared" si="133"/>
        <v>-5.7044368412637686E-2</v>
      </c>
      <c r="W169" s="66">
        <f t="shared" si="133"/>
        <v>-5.6941063627560691E-2</v>
      </c>
      <c r="X169" s="66">
        <f t="shared" si="133"/>
        <v>-5.6871374111695454E-2</v>
      </c>
      <c r="Y169" s="66">
        <f t="shared" si="133"/>
        <v>-5.6824459475803113E-2</v>
      </c>
      <c r="Z169" s="66">
        <f t="shared" si="133"/>
        <v>-5.6792921129772349E-2</v>
      </c>
      <c r="AA169" s="66">
        <f t="shared" si="133"/>
        <v>-5.6771739517324012E-2</v>
      </c>
      <c r="AB169" s="66">
        <f t="shared" si="133"/>
        <v>-5.6757522667419014E-2</v>
      </c>
      <c r="AC169" s="66">
        <f t="shared" si="133"/>
        <v>-5.6747984550738075E-2</v>
      </c>
    </row>
    <row r="170" spans="1:29" x14ac:dyDescent="0.25">
      <c r="A170" s="30" t="str">
        <f t="shared" si="131"/>
        <v>Capex costumization</v>
      </c>
      <c r="B170" s="66">
        <f>((1+B141)^B149)*B141/(((1+B141)^B149)-1)*(B139)/B153</f>
        <v>7.4109795392936578E-2</v>
      </c>
      <c r="C170" s="66">
        <f t="shared" ref="C170:AC170" si="134">((1+C141)^C149)*C141/(((1+C141)^C149)-1)*(C139)/C153</f>
        <v>7.4109795392936578E-2</v>
      </c>
      <c r="D170" s="66">
        <f t="shared" si="134"/>
        <v>7.4109795392936578E-2</v>
      </c>
      <c r="E170" s="66">
        <f t="shared" si="134"/>
        <v>7.4109795392936578E-2</v>
      </c>
      <c r="F170" s="66">
        <f t="shared" si="134"/>
        <v>7.4109795392936578E-2</v>
      </c>
      <c r="G170" s="66">
        <f t="shared" si="134"/>
        <v>7.4109795392936578E-2</v>
      </c>
      <c r="H170" s="66">
        <f t="shared" si="134"/>
        <v>7.4109795392936578E-2</v>
      </c>
      <c r="I170" s="66">
        <f t="shared" si="134"/>
        <v>7.4109795392936578E-2</v>
      </c>
      <c r="J170" s="66">
        <f t="shared" si="134"/>
        <v>7.4109795392936578E-2</v>
      </c>
      <c r="K170" s="66">
        <f t="shared" si="134"/>
        <v>7.4109795392936578E-2</v>
      </c>
      <c r="L170" s="66">
        <f t="shared" si="134"/>
        <v>7.4109795392936578E-2</v>
      </c>
      <c r="M170" s="66">
        <f t="shared" si="134"/>
        <v>7.4109795392936578E-2</v>
      </c>
      <c r="N170" s="66">
        <f t="shared" si="134"/>
        <v>7.4109795392936578E-2</v>
      </c>
      <c r="O170" s="66">
        <f t="shared" si="134"/>
        <v>7.4109795392936578E-2</v>
      </c>
      <c r="P170" s="66">
        <f t="shared" si="134"/>
        <v>7.4109795392936578E-2</v>
      </c>
      <c r="Q170" s="66">
        <f t="shared" si="134"/>
        <v>7.4109795392936578E-2</v>
      </c>
      <c r="R170" s="66">
        <f t="shared" si="134"/>
        <v>7.4109795392936578E-2</v>
      </c>
      <c r="S170" s="66">
        <f t="shared" si="134"/>
        <v>7.4109795392936578E-2</v>
      </c>
      <c r="T170" s="66">
        <f t="shared" si="134"/>
        <v>7.4109795392936578E-2</v>
      </c>
      <c r="U170" s="66">
        <f t="shared" si="134"/>
        <v>7.4109795392936578E-2</v>
      </c>
      <c r="V170" s="66">
        <f t="shared" si="134"/>
        <v>7.4109795392936578E-2</v>
      </c>
      <c r="W170" s="66">
        <f t="shared" si="134"/>
        <v>7.4109795392936578E-2</v>
      </c>
      <c r="X170" s="66">
        <f t="shared" si="134"/>
        <v>7.4109795392936578E-2</v>
      </c>
      <c r="Y170" s="66">
        <f t="shared" si="134"/>
        <v>7.4109795392936578E-2</v>
      </c>
      <c r="Z170" s="66">
        <f t="shared" si="134"/>
        <v>7.4109795392936578E-2</v>
      </c>
      <c r="AA170" s="66">
        <f t="shared" si="134"/>
        <v>7.4109795392936578E-2</v>
      </c>
      <c r="AB170" s="66">
        <f t="shared" si="134"/>
        <v>7.4109795392936578E-2</v>
      </c>
      <c r="AC170" s="66">
        <f t="shared" si="134"/>
        <v>7.4109795392936578E-2</v>
      </c>
    </row>
    <row r="171" spans="1:29" x14ac:dyDescent="0.25">
      <c r="A171" s="30" t="str">
        <f t="shared" si="131"/>
        <v>Residual value (costumization)</v>
      </c>
      <c r="B171" s="66">
        <f>((1+B141)^B149)*B141/(((1+B141)^B149)-1)*(B140)/B153</f>
        <v>-1.8527448848234145E-2</v>
      </c>
      <c r="C171" s="66">
        <f t="shared" ref="C171:AC171" si="135">((1+C141)^C149)*C141/(((1+C141)^C149)-1)*(C140)/C153</f>
        <v>-1.8527448848234145E-2</v>
      </c>
      <c r="D171" s="66">
        <f t="shared" si="135"/>
        <v>-1.8527448848234145E-2</v>
      </c>
      <c r="E171" s="66">
        <f t="shared" si="135"/>
        <v>-1.8527448848234145E-2</v>
      </c>
      <c r="F171" s="66">
        <f t="shared" si="135"/>
        <v>-1.8527448848234145E-2</v>
      </c>
      <c r="G171" s="66">
        <f t="shared" si="135"/>
        <v>-1.8527448848234145E-2</v>
      </c>
      <c r="H171" s="66">
        <f t="shared" si="135"/>
        <v>-1.8527448848234145E-2</v>
      </c>
      <c r="I171" s="66">
        <f t="shared" si="135"/>
        <v>-1.8527448848234145E-2</v>
      </c>
      <c r="J171" s="66">
        <f t="shared" si="135"/>
        <v>-1.8527448848234145E-2</v>
      </c>
      <c r="K171" s="66">
        <f t="shared" si="135"/>
        <v>-1.8527448848234145E-2</v>
      </c>
      <c r="L171" s="66">
        <f t="shared" si="135"/>
        <v>-1.8527448848234145E-2</v>
      </c>
      <c r="M171" s="66">
        <f t="shared" si="135"/>
        <v>-1.8527448848234145E-2</v>
      </c>
      <c r="N171" s="66">
        <f t="shared" si="135"/>
        <v>-1.8527448848234145E-2</v>
      </c>
      <c r="O171" s="66">
        <f t="shared" si="135"/>
        <v>-1.8527448848234145E-2</v>
      </c>
      <c r="P171" s="66">
        <f t="shared" si="135"/>
        <v>-1.8527448848234145E-2</v>
      </c>
      <c r="Q171" s="66">
        <f t="shared" si="135"/>
        <v>-1.8527448848234145E-2</v>
      </c>
      <c r="R171" s="66">
        <f t="shared" si="135"/>
        <v>-1.8527448848234145E-2</v>
      </c>
      <c r="S171" s="66">
        <f t="shared" si="135"/>
        <v>-1.8527448848234145E-2</v>
      </c>
      <c r="T171" s="66">
        <f t="shared" si="135"/>
        <v>-1.8527448848234145E-2</v>
      </c>
      <c r="U171" s="66">
        <f t="shared" si="135"/>
        <v>-1.8527448848234145E-2</v>
      </c>
      <c r="V171" s="66">
        <f t="shared" si="135"/>
        <v>-1.8527448848234145E-2</v>
      </c>
      <c r="W171" s="66">
        <f t="shared" si="135"/>
        <v>-1.8527448848234145E-2</v>
      </c>
      <c r="X171" s="66">
        <f t="shared" si="135"/>
        <v>-1.8527448848234145E-2</v>
      </c>
      <c r="Y171" s="66">
        <f t="shared" si="135"/>
        <v>-1.8527448848234145E-2</v>
      </c>
      <c r="Z171" s="66">
        <f t="shared" si="135"/>
        <v>-1.8527448848234145E-2</v>
      </c>
      <c r="AA171" s="66">
        <f t="shared" si="135"/>
        <v>-1.8527448848234145E-2</v>
      </c>
      <c r="AB171" s="66">
        <f t="shared" si="135"/>
        <v>-1.8527448848234145E-2</v>
      </c>
      <c r="AC171" s="66">
        <f t="shared" si="135"/>
        <v>-1.8527448848234145E-2</v>
      </c>
    </row>
    <row r="172" spans="1:29" x14ac:dyDescent="0.25">
      <c r="A172" s="30" t="str">
        <f t="shared" si="131"/>
        <v>Opex fix (admin, crew, insurance)</v>
      </c>
      <c r="B172" s="66">
        <f>B142/B153</f>
        <v>0.63636363636363635</v>
      </c>
      <c r="C172" s="66">
        <f t="shared" ref="C172:AC172" si="136">C142/C153</f>
        <v>0.63636363636363635</v>
      </c>
      <c r="D172" s="66">
        <f t="shared" si="136"/>
        <v>0.63636363636363635</v>
      </c>
      <c r="E172" s="66">
        <f t="shared" si="136"/>
        <v>0.63636363636363635</v>
      </c>
      <c r="F172" s="66">
        <f t="shared" si="136"/>
        <v>0.63636363636363635</v>
      </c>
      <c r="G172" s="66">
        <f t="shared" si="136"/>
        <v>0.63636363636363635</v>
      </c>
      <c r="H172" s="66">
        <f t="shared" si="136"/>
        <v>0.63636363636363635</v>
      </c>
      <c r="I172" s="66">
        <f t="shared" si="136"/>
        <v>0.63636363636363635</v>
      </c>
      <c r="J172" s="66">
        <f t="shared" si="136"/>
        <v>0.63636363636363635</v>
      </c>
      <c r="K172" s="66">
        <f t="shared" si="136"/>
        <v>0.63636363636363635</v>
      </c>
      <c r="L172" s="66">
        <f t="shared" si="136"/>
        <v>0.63636363636363635</v>
      </c>
      <c r="M172" s="66">
        <f t="shared" si="136"/>
        <v>0.63636363636363635</v>
      </c>
      <c r="N172" s="66">
        <f t="shared" si="136"/>
        <v>0.63636363636363635</v>
      </c>
      <c r="O172" s="66">
        <f t="shared" si="136"/>
        <v>0.63636363636363635</v>
      </c>
      <c r="P172" s="66">
        <f t="shared" si="136"/>
        <v>0.63636363636363635</v>
      </c>
      <c r="Q172" s="66">
        <f t="shared" si="136"/>
        <v>0.63636363636363635</v>
      </c>
      <c r="R172" s="66">
        <f t="shared" si="136"/>
        <v>0.63636363636363635</v>
      </c>
      <c r="S172" s="66">
        <f t="shared" si="136"/>
        <v>0.63636363636363635</v>
      </c>
      <c r="T172" s="66">
        <f t="shared" si="136"/>
        <v>0.63636363636363635</v>
      </c>
      <c r="U172" s="66">
        <f t="shared" si="136"/>
        <v>0.63636363636363635</v>
      </c>
      <c r="V172" s="66">
        <f t="shared" si="136"/>
        <v>0.63636363636363635</v>
      </c>
      <c r="W172" s="66">
        <f t="shared" si="136"/>
        <v>0.63636363636363635</v>
      </c>
      <c r="X172" s="66">
        <f t="shared" si="136"/>
        <v>0.63636363636363635</v>
      </c>
      <c r="Y172" s="66">
        <f t="shared" si="136"/>
        <v>0.63636363636363635</v>
      </c>
      <c r="Z172" s="66">
        <f t="shared" si="136"/>
        <v>0.63636363636363635</v>
      </c>
      <c r="AA172" s="66">
        <f t="shared" si="136"/>
        <v>0.63636363636363635</v>
      </c>
      <c r="AB172" s="66">
        <f t="shared" si="136"/>
        <v>0.63636363636363635</v>
      </c>
      <c r="AC172" s="66">
        <f t="shared" si="136"/>
        <v>0.63636363636363635</v>
      </c>
    </row>
    <row r="173" spans="1:29" x14ac:dyDescent="0.25">
      <c r="A173" s="30" t="str">
        <f t="shared" si="131"/>
        <v>Opex maintenance &amp; repair</v>
      </c>
      <c r="B173" s="66">
        <f>B143/B153</f>
        <v>0.23358362484479475</v>
      </c>
      <c r="C173" s="66">
        <f t="shared" ref="C173:AC173" si="137">C143/C153</f>
        <v>0.2324252997494628</v>
      </c>
      <c r="D173" s="66">
        <f t="shared" si="137"/>
        <v>0.23081480738192109</v>
      </c>
      <c r="E173" s="66">
        <f t="shared" si="137"/>
        <v>0.22860688259466069</v>
      </c>
      <c r="F173" s="66">
        <f t="shared" si="137"/>
        <v>0.22563966827223783</v>
      </c>
      <c r="G173" s="66">
        <f t="shared" si="137"/>
        <v>0.22176094592918102</v>
      </c>
      <c r="H173" s="66">
        <f t="shared" si="137"/>
        <v>0.21687635072726791</v>
      </c>
      <c r="I173" s="66">
        <f t="shared" si="137"/>
        <v>0.21101497669729943</v>
      </c>
      <c r="J173" s="66">
        <f t="shared" si="137"/>
        <v>0.2043870893678906</v>
      </c>
      <c r="K173" s="66">
        <f t="shared" si="137"/>
        <v>0.19739005590777114</v>
      </c>
      <c r="L173" s="66">
        <f t="shared" si="137"/>
        <v>0.19053071097856286</v>
      </c>
      <c r="M173" s="66">
        <f t="shared" si="137"/>
        <v>0.18428650809980451</v>
      </c>
      <c r="N173" s="66">
        <f t="shared" si="137"/>
        <v>0.17897982484444927</v>
      </c>
      <c r="O173" s="66">
        <f t="shared" si="137"/>
        <v>0.17473012193003504</v>
      </c>
      <c r="P173" s="66">
        <f t="shared" si="137"/>
        <v>0.1714874099910618</v>
      </c>
      <c r="Q173" s="66">
        <f t="shared" si="137"/>
        <v>0.16910375665004304</v>
      </c>
      <c r="R173" s="66">
        <f t="shared" si="137"/>
        <v>0.16739947899472743</v>
      </c>
      <c r="S173" s="66">
        <f t="shared" si="137"/>
        <v>0.16620503204547971</v>
      </c>
      <c r="T173" s="66">
        <f t="shared" si="137"/>
        <v>0.16537959578710243</v>
      </c>
      <c r="U173" s="66">
        <f t="shared" si="137"/>
        <v>0.16481470862242834</v>
      </c>
      <c r="V173" s="66">
        <f t="shared" si="137"/>
        <v>0.16443070840466242</v>
      </c>
      <c r="W173" s="66">
        <f t="shared" si="137"/>
        <v>0.16417085973022613</v>
      </c>
      <c r="X173" s="66">
        <f t="shared" si="137"/>
        <v>0.16399556554316405</v>
      </c>
      <c r="Y173" s="66">
        <f t="shared" si="137"/>
        <v>0.16387755836722148</v>
      </c>
      <c r="Z173" s="66">
        <f t="shared" si="137"/>
        <v>0.16379822808833949</v>
      </c>
      <c r="AA173" s="66">
        <f t="shared" si="137"/>
        <v>0.16374494871785319</v>
      </c>
      <c r="AB173" s="66">
        <f t="shared" si="137"/>
        <v>0.16370918822912345</v>
      </c>
      <c r="AC173" s="66">
        <f t="shared" si="137"/>
        <v>0.16368519643654272</v>
      </c>
    </row>
    <row r="174" spans="1:29" x14ac:dyDescent="0.25">
      <c r="A174" s="30" t="str">
        <f t="shared" si="131"/>
        <v>Opex var (mode-fees)</v>
      </c>
      <c r="B174" s="66">
        <f>B144*B153/B153</f>
        <v>0.11</v>
      </c>
      <c r="C174" s="66">
        <f t="shared" ref="C174:AC174" si="138">C144*C153/C153</f>
        <v>0.11</v>
      </c>
      <c r="D174" s="66">
        <f t="shared" si="138"/>
        <v>0.11</v>
      </c>
      <c r="E174" s="66">
        <f t="shared" si="138"/>
        <v>0.11</v>
      </c>
      <c r="F174" s="66">
        <f t="shared" si="138"/>
        <v>0.11</v>
      </c>
      <c r="G174" s="66">
        <f t="shared" si="138"/>
        <v>0.11</v>
      </c>
      <c r="H174" s="66">
        <f t="shared" si="138"/>
        <v>0.11</v>
      </c>
      <c r="I174" s="66">
        <f t="shared" si="138"/>
        <v>0.11</v>
      </c>
      <c r="J174" s="66">
        <f t="shared" si="138"/>
        <v>0.11</v>
      </c>
      <c r="K174" s="66">
        <f t="shared" si="138"/>
        <v>0.11</v>
      </c>
      <c r="L174" s="66">
        <f t="shared" si="138"/>
        <v>0.11</v>
      </c>
      <c r="M174" s="66">
        <f t="shared" si="138"/>
        <v>0.11</v>
      </c>
      <c r="N174" s="66">
        <f t="shared" si="138"/>
        <v>0.11</v>
      </c>
      <c r="O174" s="66">
        <f t="shared" si="138"/>
        <v>0.11</v>
      </c>
      <c r="P174" s="66">
        <f t="shared" si="138"/>
        <v>0.11</v>
      </c>
      <c r="Q174" s="66">
        <f t="shared" si="138"/>
        <v>0.11</v>
      </c>
      <c r="R174" s="66">
        <f t="shared" si="138"/>
        <v>0.11</v>
      </c>
      <c r="S174" s="66">
        <f t="shared" si="138"/>
        <v>0.11</v>
      </c>
      <c r="T174" s="66">
        <f t="shared" si="138"/>
        <v>0.11</v>
      </c>
      <c r="U174" s="66">
        <f t="shared" si="138"/>
        <v>0.11</v>
      </c>
      <c r="V174" s="66">
        <f t="shared" si="138"/>
        <v>0.11</v>
      </c>
      <c r="W174" s="66">
        <f t="shared" si="138"/>
        <v>0.11</v>
      </c>
      <c r="X174" s="66">
        <f t="shared" si="138"/>
        <v>0.11</v>
      </c>
      <c r="Y174" s="66">
        <f t="shared" si="138"/>
        <v>0.11</v>
      </c>
      <c r="Z174" s="66">
        <f t="shared" si="138"/>
        <v>0.11</v>
      </c>
      <c r="AA174" s="66">
        <f t="shared" si="138"/>
        <v>0.11</v>
      </c>
      <c r="AB174" s="66">
        <f t="shared" si="138"/>
        <v>0.11</v>
      </c>
      <c r="AC174" s="66">
        <f t="shared" si="138"/>
        <v>0.11</v>
      </c>
    </row>
    <row r="175" spans="1:29" x14ac:dyDescent="0.25">
      <c r="A175" s="30" t="str">
        <f t="shared" si="131"/>
        <v>Fuel Cost</v>
      </c>
      <c r="B175" s="66">
        <f>B145*B146*B153/B153</f>
        <v>0.63178839945271259</v>
      </c>
      <c r="C175" s="66">
        <f t="shared" ref="C175:AC175" si="139">C145*C146*C153/C153</f>
        <v>0.62677155383840255</v>
      </c>
      <c r="D175" s="66">
        <f t="shared" si="139"/>
        <v>0.61976863315371922</v>
      </c>
      <c r="E175" s="66">
        <f t="shared" si="139"/>
        <v>0.61010882895816398</v>
      </c>
      <c r="F175" s="66">
        <f t="shared" si="139"/>
        <v>0.59700423644984901</v>
      </c>
      <c r="G175" s="66">
        <f t="shared" si="139"/>
        <v>0.57962693857109882</v>
      </c>
      <c r="H175" s="66">
        <f t="shared" si="139"/>
        <v>0.55726805513604216</v>
      </c>
      <c r="I175" s="66">
        <f t="shared" si="139"/>
        <v>0.52957633598655707</v>
      </c>
      <c r="J175" s="66">
        <f t="shared" si="139"/>
        <v>0.49681277085502007</v>
      </c>
      <c r="K175" s="66">
        <f t="shared" si="139"/>
        <v>0.45999707982918875</v>
      </c>
      <c r="L175" s="66">
        <f t="shared" si="139"/>
        <v>0.42083825723484558</v>
      </c>
      <c r="M175" s="66">
        <f t="shared" si="139"/>
        <v>0.38145763751651568</v>
      </c>
      <c r="N175" s="66">
        <f t="shared" si="139"/>
        <v>0.34401706791540687</v>
      </c>
      <c r="O175" s="66">
        <f t="shared" si="139"/>
        <v>0.31035603777584414</v>
      </c>
      <c r="P175" s="66">
        <f t="shared" si="139"/>
        <v>0.28170123216487392</v>
      </c>
      <c r="Q175" s="66">
        <f t="shared" si="139"/>
        <v>0.25852480714823423</v>
      </c>
      <c r="R175" s="66">
        <f t="shared" si="139"/>
        <v>0.24060859348351224</v>
      </c>
      <c r="S175" s="66">
        <f t="shared" si="139"/>
        <v>0.22727029987732031</v>
      </c>
      <c r="T175" s="66">
        <f t="shared" si="139"/>
        <v>0.21763018176375837</v>
      </c>
      <c r="U175" s="66">
        <f t="shared" si="139"/>
        <v>0.21081667039897933</v>
      </c>
      <c r="V175" s="66">
        <f t="shared" si="139"/>
        <v>0.2060785605510925</v>
      </c>
      <c r="W175" s="66">
        <f t="shared" si="139"/>
        <v>0.2028214503519811</v>
      </c>
      <c r="X175" s="66">
        <f t="shared" si="139"/>
        <v>0.20060034461495233</v>
      </c>
      <c r="Y175" s="66">
        <f t="shared" si="139"/>
        <v>0.19909407482067801</v>
      </c>
      <c r="Z175" s="66">
        <f t="shared" si="139"/>
        <v>0.19807643086855622</v>
      </c>
      <c r="AA175" s="66">
        <f t="shared" si="139"/>
        <v>0.19739066516741446</v>
      </c>
      <c r="AB175" s="66">
        <f t="shared" si="139"/>
        <v>0.19692934410338123</v>
      </c>
      <c r="AC175" s="66">
        <f t="shared" si="139"/>
        <v>0.1966193712467082</v>
      </c>
    </row>
    <row r="176" spans="1:29" ht="15.75" thickBot="1" x14ac:dyDescent="0.3">
      <c r="A176" s="59" t="str">
        <f t="shared" ref="A176" si="140">A164</f>
        <v>Emission Cost</v>
      </c>
      <c r="B176" s="66">
        <f>B147</f>
        <v>9.1045502411311718E-3</v>
      </c>
      <c r="C176" s="66">
        <f t="shared" ref="C176:AC176" si="141">C147</f>
        <v>9.095880490962575E-3</v>
      </c>
      <c r="D176" s="66">
        <f t="shared" si="141"/>
        <v>9.0834699366993434E-3</v>
      </c>
      <c r="E176" s="66">
        <f t="shared" si="141"/>
        <v>9.0657157660766E-3</v>
      </c>
      <c r="F176" s="66">
        <f t="shared" si="141"/>
        <v>9.040341138604446E-3</v>
      </c>
      <c r="G176" s="66">
        <f t="shared" si="141"/>
        <v>9.0041260615172855E-3</v>
      </c>
      <c r="H176" s="66">
        <f t="shared" si="141"/>
        <v>8.9525469072142452E-3</v>
      </c>
      <c r="I176" s="66">
        <f t="shared" si="141"/>
        <v>8.8793119020679299E-3</v>
      </c>
      <c r="J176" s="66">
        <f t="shared" si="141"/>
        <v>8.7758012597282838E-3</v>
      </c>
      <c r="K176" s="66">
        <f t="shared" si="141"/>
        <v>8.630474185370102E-3</v>
      </c>
      <c r="L176" s="66">
        <f t="shared" si="141"/>
        <v>8.4284167966506146E-3</v>
      </c>
      <c r="M176" s="66">
        <f t="shared" si="141"/>
        <v>8.1514036756981448E-3</v>
      </c>
      <c r="N176" s="66">
        <f t="shared" si="141"/>
        <v>7.7791277246640009E-3</v>
      </c>
      <c r="O176" s="66">
        <f t="shared" si="141"/>
        <v>7.2924911382377788E-3</v>
      </c>
      <c r="P176" s="66">
        <f t="shared" si="141"/>
        <v>6.6796546098928378E-3</v>
      </c>
      <c r="Q176" s="66">
        <f t="shared" si="141"/>
        <v>5.9442683673542078E-3</v>
      </c>
      <c r="R176" s="66">
        <f t="shared" si="141"/>
        <v>5.1127129787673555E-3</v>
      </c>
      <c r="S176" s="66">
        <f t="shared" si="141"/>
        <v>4.2348433668221242E-3</v>
      </c>
      <c r="T176" s="66">
        <f t="shared" si="141"/>
        <v>3.3742485868309214E-3</v>
      </c>
      <c r="U176" s="66">
        <f t="shared" si="141"/>
        <v>2.5908314445053909E-3</v>
      </c>
      <c r="V176" s="66">
        <f t="shared" si="141"/>
        <v>1.9250384342751033E-3</v>
      </c>
      <c r="W176" s="66">
        <f t="shared" si="141"/>
        <v>1.3918574698531276E-3</v>
      </c>
      <c r="X176" s="66">
        <f t="shared" si="141"/>
        <v>9.8501672973924301E-4</v>
      </c>
      <c r="Y176" s="66">
        <f t="shared" si="141"/>
        <v>6.8595615708101458E-4</v>
      </c>
      <c r="Z176" s="66">
        <f t="shared" si="141"/>
        <v>4.7213217403930738E-4</v>
      </c>
      <c r="AA176" s="66">
        <f t="shared" si="141"/>
        <v>3.2227313937815624E-4</v>
      </c>
      <c r="AB176" s="66">
        <f t="shared" si="141"/>
        <v>2.1871133537117345E-4</v>
      </c>
      <c r="AC176" s="66">
        <f t="shared" si="141"/>
        <v>1.4783883220655276E-4</v>
      </c>
    </row>
    <row r="177" spans="1:29" ht="15.75" thickBot="1" x14ac:dyDescent="0.3">
      <c r="A177" s="31" t="s">
        <v>63</v>
      </c>
      <c r="B177" s="76">
        <f>B168+B169+B170-B171+B172+B173+B174+B175+B176</f>
        <v>2.1867357899880093</v>
      </c>
      <c r="C177" s="76">
        <f t="shared" ref="C177:AC177" si="142">C168+C169+C170-C171+C172+C173+C174+C175+C176</f>
        <v>2.1755330736129923</v>
      </c>
      <c r="D177" s="76">
        <f t="shared" si="142"/>
        <v>2.1599291905759923</v>
      </c>
      <c r="E177" s="76">
        <f t="shared" si="142"/>
        <v>2.1384770489930447</v>
      </c>
      <c r="F177" s="76">
        <f t="shared" si="142"/>
        <v>2.1095233037272481</v>
      </c>
      <c r="G177" s="76">
        <f t="shared" si="142"/>
        <v>2.0714250558263703</v>
      </c>
      <c r="H177" s="76">
        <f t="shared" si="142"/>
        <v>2.0229656657477175</v>
      </c>
      <c r="I177" s="76">
        <f t="shared" si="142"/>
        <v>1.9639427463405155</v>
      </c>
      <c r="J177" s="76">
        <f t="shared" si="142"/>
        <v>1.8957299869809541</v>
      </c>
      <c r="K177" s="76">
        <f t="shared" si="142"/>
        <v>1.8214546757390477</v>
      </c>
      <c r="L177" s="76">
        <f t="shared" si="142"/>
        <v>1.7455137781088699</v>
      </c>
      <c r="M177" s="76">
        <f t="shared" si="142"/>
        <v>1.6725566022586325</v>
      </c>
      <c r="N177" s="76">
        <f t="shared" si="142"/>
        <v>1.6064438870932913</v>
      </c>
      <c r="O177" s="76">
        <f t="shared" si="142"/>
        <v>1.5496330930266262</v>
      </c>
      <c r="P177" s="76">
        <f t="shared" si="142"/>
        <v>1.5030724788650041</v>
      </c>
      <c r="Q177" s="76">
        <f t="shared" si="142"/>
        <v>1.4664489462710693</v>
      </c>
      <c r="R177" s="76">
        <f t="shared" si="142"/>
        <v>1.4386124803596152</v>
      </c>
      <c r="S177" s="76">
        <f t="shared" si="142"/>
        <v>1.4180264828594942</v>
      </c>
      <c r="T177" s="76">
        <f t="shared" si="142"/>
        <v>1.4031238229564769</v>
      </c>
      <c r="U177" s="76">
        <f t="shared" si="142"/>
        <v>1.3925144227533626</v>
      </c>
      <c r="V177" s="76">
        <f t="shared" si="142"/>
        <v>1.3850626953744869</v>
      </c>
      <c r="W177" s="76">
        <f t="shared" si="142"/>
        <v>1.3798866641447289</v>
      </c>
      <c r="X177" s="76">
        <f t="shared" si="142"/>
        <v>1.3763238959721698</v>
      </c>
      <c r="Y177" s="76">
        <f t="shared" si="142"/>
        <v>1.3738892482836835</v>
      </c>
      <c r="Z177" s="76">
        <f t="shared" si="142"/>
        <v>1.3722347220198599</v>
      </c>
      <c r="AA177" s="76">
        <f t="shared" si="142"/>
        <v>1.3711149651500514</v>
      </c>
      <c r="AB177" s="76">
        <f t="shared" si="142"/>
        <v>1.3703593761253294</v>
      </c>
      <c r="AC177" s="76">
        <f t="shared" si="142"/>
        <v>1.3698505855746539</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43">A156</f>
        <v>Capex vehicle</v>
      </c>
      <c r="B180" s="65">
        <f>((1+B141)^B148)*B141/(((1+B141)^B148)-1)*(B137)/B153/(B150)</f>
        <v>2.2311798507511204E-2</v>
      </c>
      <c r="C180" s="65">
        <f t="shared" ref="C180:AC180" si="144">((1+C141)^C148)*C141/(((1+C141)^C148)-1)*(C137)/C153/(C150)</f>
        <v>2.2092623438507982E-2</v>
      </c>
      <c r="D180" s="65">
        <f t="shared" si="144"/>
        <v>2.1787890529579714E-2</v>
      </c>
      <c r="E180" s="65">
        <f t="shared" si="144"/>
        <v>2.1370113111519852E-2</v>
      </c>
      <c r="F180" s="65">
        <f t="shared" si="144"/>
        <v>2.080866502886564E-2</v>
      </c>
      <c r="G180" s="65">
        <f t="shared" si="144"/>
        <v>2.0074743921043834E-2</v>
      </c>
      <c r="H180" s="65">
        <f t="shared" si="144"/>
        <v>1.9150494334510174E-2</v>
      </c>
      <c r="I180" s="65">
        <f t="shared" si="144"/>
        <v>1.8041421361258317E-2</v>
      </c>
      <c r="J180" s="65">
        <f t="shared" si="144"/>
        <v>1.6787310862726418E-2</v>
      </c>
      <c r="K180" s="65">
        <f t="shared" si="144"/>
        <v>1.5463351554912186E-2</v>
      </c>
      <c r="L180" s="65">
        <f t="shared" si="144"/>
        <v>1.4165445289879315E-2</v>
      </c>
      <c r="M180" s="65">
        <f t="shared" si="144"/>
        <v>1.2983934501295575E-2</v>
      </c>
      <c r="N180" s="65">
        <f t="shared" si="144"/>
        <v>1.1979818581371197E-2</v>
      </c>
      <c r="O180" s="65">
        <f t="shared" si="144"/>
        <v>1.1175701556484494E-2</v>
      </c>
      <c r="P180" s="65">
        <f t="shared" si="144"/>
        <v>1.0562124577235541E-2</v>
      </c>
      <c r="Q180" s="65">
        <f t="shared" si="144"/>
        <v>1.0111096288542686E-2</v>
      </c>
      <c r="R180" s="65">
        <f t="shared" si="144"/>
        <v>9.7886175870021651E-3</v>
      </c>
      <c r="S180" s="65">
        <f t="shared" si="144"/>
        <v>9.5626076407641994E-3</v>
      </c>
      <c r="T180" s="65">
        <f t="shared" si="144"/>
        <v>9.4064208762568158E-3</v>
      </c>
      <c r="U180" s="65">
        <f t="shared" si="144"/>
        <v>9.2995344902194015E-3</v>
      </c>
      <c r="V180" s="65">
        <f t="shared" si="144"/>
        <v>9.2268750316915043E-3</v>
      </c>
      <c r="W180" s="65">
        <f t="shared" si="144"/>
        <v>9.1777071846168828E-3</v>
      </c>
      <c r="X180" s="65">
        <f t="shared" si="144"/>
        <v>9.1445385036481083E-3</v>
      </c>
      <c r="Y180" s="65">
        <f t="shared" si="144"/>
        <v>9.1222095123879542E-3</v>
      </c>
      <c r="Z180" s="65">
        <f t="shared" si="144"/>
        <v>9.1071988565555959E-3</v>
      </c>
      <c r="AA180" s="65">
        <f t="shared" si="144"/>
        <v>9.0971174815168906E-3</v>
      </c>
      <c r="AB180" s="65">
        <f t="shared" si="144"/>
        <v>9.0903509808026167E-3</v>
      </c>
      <c r="AC180" s="65">
        <f t="shared" si="144"/>
        <v>9.0858113202051029E-3</v>
      </c>
    </row>
    <row r="181" spans="1:29" x14ac:dyDescent="0.25">
      <c r="A181" s="30" t="str">
        <f t="shared" si="143"/>
        <v>Residual value (vehicle)</v>
      </c>
      <c r="B181" s="68">
        <f>((1+B141)^B148)*B141/(((1+B141)^B148)-1)*(B138)/B153/(B150)</f>
        <v>-3.3814651137286521E-3</v>
      </c>
      <c r="C181" s="68">
        <f t="shared" ref="C181:AC181" si="145">((1+C141)^C148)*C141/(((1+C141)^C148)-1)*(C138)/C153/(C150)</f>
        <v>-3.3630450813337009E-3</v>
      </c>
      <c r="D181" s="68">
        <f t="shared" si="145"/>
        <v>-3.3374345496258993E-3</v>
      </c>
      <c r="E181" s="68">
        <f t="shared" si="145"/>
        <v>-3.3023234687464009E-3</v>
      </c>
      <c r="F181" s="68">
        <f t="shared" si="145"/>
        <v>-3.2551379383956741E-3</v>
      </c>
      <c r="G181" s="68">
        <f t="shared" si="145"/>
        <v>-3.193457334653203E-3</v>
      </c>
      <c r="H181" s="68">
        <f t="shared" si="145"/>
        <v>-3.1157810396147362E-3</v>
      </c>
      <c r="I181" s="68">
        <f t="shared" si="145"/>
        <v>-3.0225717152669745E-3</v>
      </c>
      <c r="J181" s="68">
        <f t="shared" si="145"/>
        <v>-2.917173066986101E-3</v>
      </c>
      <c r="K181" s="68">
        <f t="shared" si="145"/>
        <v>-2.8059041464357564E-3</v>
      </c>
      <c r="L181" s="68">
        <f t="shared" si="145"/>
        <v>-2.6968247901191645E-3</v>
      </c>
      <c r="M181" s="68">
        <f t="shared" si="145"/>
        <v>-2.5975276068232966E-3</v>
      </c>
      <c r="N181" s="68">
        <f t="shared" si="145"/>
        <v>-2.5131391412126307E-3</v>
      </c>
      <c r="O181" s="68">
        <f t="shared" si="145"/>
        <v>-2.4455590933764081E-3</v>
      </c>
      <c r="P181" s="68">
        <f t="shared" si="145"/>
        <v>-2.3939925174608044E-3</v>
      </c>
      <c r="Q181" s="68">
        <f t="shared" si="145"/>
        <v>-2.3560869485174689E-3</v>
      </c>
      <c r="R181" s="68">
        <f t="shared" si="145"/>
        <v>-2.3289850150901275E-3</v>
      </c>
      <c r="S181" s="68">
        <f t="shared" si="145"/>
        <v>-2.3099905621616172E-3</v>
      </c>
      <c r="T181" s="68">
        <f t="shared" si="145"/>
        <v>-2.2968642276976984E-3</v>
      </c>
      <c r="U181" s="68">
        <f t="shared" si="145"/>
        <v>-2.2878812229137034E-3</v>
      </c>
      <c r="V181" s="68">
        <f t="shared" si="145"/>
        <v>-2.2817747365055075E-3</v>
      </c>
      <c r="W181" s="68">
        <f t="shared" si="145"/>
        <v>-2.2776425451024275E-3</v>
      </c>
      <c r="X181" s="68">
        <f t="shared" si="145"/>
        <v>-2.2748549644678183E-3</v>
      </c>
      <c r="Y181" s="68">
        <f t="shared" si="145"/>
        <v>-2.2729783790321244E-3</v>
      </c>
      <c r="Z181" s="68">
        <f t="shared" si="145"/>
        <v>-2.2717168451908938E-3</v>
      </c>
      <c r="AA181" s="68">
        <f t="shared" si="145"/>
        <v>-2.2708695806929603E-3</v>
      </c>
      <c r="AB181" s="68">
        <f t="shared" si="145"/>
        <v>-2.2703009066967605E-3</v>
      </c>
      <c r="AC181" s="68">
        <f t="shared" si="145"/>
        <v>-2.2699193820295231E-3</v>
      </c>
    </row>
    <row r="182" spans="1:29" x14ac:dyDescent="0.25">
      <c r="A182" s="30" t="str">
        <f t="shared" si="143"/>
        <v>Capex costumization</v>
      </c>
      <c r="B182" s="66">
        <f>((1+B141)^B149)*B141/(((1+B141)^B149)-1)*(B139)/B153/(B150)</f>
        <v>2.964391815717463E-3</v>
      </c>
      <c r="C182" s="66">
        <f t="shared" ref="C182:AC182" si="146">((1+C141)^C149)*C141/(((1+C141)^C149)-1)*(C139)/C153/(C150)</f>
        <v>2.964391815717463E-3</v>
      </c>
      <c r="D182" s="66">
        <f t="shared" si="146"/>
        <v>2.964391815717463E-3</v>
      </c>
      <c r="E182" s="66">
        <f t="shared" si="146"/>
        <v>2.964391815717463E-3</v>
      </c>
      <c r="F182" s="66">
        <f t="shared" si="146"/>
        <v>2.964391815717463E-3</v>
      </c>
      <c r="G182" s="66">
        <f t="shared" si="146"/>
        <v>2.964391815717463E-3</v>
      </c>
      <c r="H182" s="66">
        <f t="shared" si="146"/>
        <v>2.964391815717463E-3</v>
      </c>
      <c r="I182" s="66">
        <f t="shared" si="146"/>
        <v>2.964391815717463E-3</v>
      </c>
      <c r="J182" s="66">
        <f t="shared" si="146"/>
        <v>2.964391815717463E-3</v>
      </c>
      <c r="K182" s="66">
        <f t="shared" si="146"/>
        <v>2.964391815717463E-3</v>
      </c>
      <c r="L182" s="66">
        <f t="shared" si="146"/>
        <v>2.964391815717463E-3</v>
      </c>
      <c r="M182" s="66">
        <f t="shared" si="146"/>
        <v>2.964391815717463E-3</v>
      </c>
      <c r="N182" s="66">
        <f t="shared" si="146"/>
        <v>2.964391815717463E-3</v>
      </c>
      <c r="O182" s="66">
        <f t="shared" si="146"/>
        <v>2.964391815717463E-3</v>
      </c>
      <c r="P182" s="66">
        <f t="shared" si="146"/>
        <v>2.964391815717463E-3</v>
      </c>
      <c r="Q182" s="66">
        <f t="shared" si="146"/>
        <v>2.964391815717463E-3</v>
      </c>
      <c r="R182" s="66">
        <f t="shared" si="146"/>
        <v>2.964391815717463E-3</v>
      </c>
      <c r="S182" s="66">
        <f t="shared" si="146"/>
        <v>2.964391815717463E-3</v>
      </c>
      <c r="T182" s="66">
        <f t="shared" si="146"/>
        <v>2.964391815717463E-3</v>
      </c>
      <c r="U182" s="66">
        <f t="shared" si="146"/>
        <v>2.964391815717463E-3</v>
      </c>
      <c r="V182" s="66">
        <f t="shared" si="146"/>
        <v>2.964391815717463E-3</v>
      </c>
      <c r="W182" s="66">
        <f t="shared" si="146"/>
        <v>2.964391815717463E-3</v>
      </c>
      <c r="X182" s="66">
        <f t="shared" si="146"/>
        <v>2.964391815717463E-3</v>
      </c>
      <c r="Y182" s="66">
        <f t="shared" si="146"/>
        <v>2.964391815717463E-3</v>
      </c>
      <c r="Z182" s="66">
        <f t="shared" si="146"/>
        <v>2.964391815717463E-3</v>
      </c>
      <c r="AA182" s="66">
        <f t="shared" si="146"/>
        <v>2.964391815717463E-3</v>
      </c>
      <c r="AB182" s="66">
        <f t="shared" si="146"/>
        <v>2.964391815717463E-3</v>
      </c>
      <c r="AC182" s="66">
        <f t="shared" si="146"/>
        <v>2.964391815717463E-3</v>
      </c>
    </row>
    <row r="183" spans="1:29" x14ac:dyDescent="0.25">
      <c r="A183" s="30" t="str">
        <f t="shared" si="143"/>
        <v>Residual value (costumization)</v>
      </c>
      <c r="B183" s="69">
        <f>((1+B141)^B149)*B141/(((1+B141)^B149)-1)*(B140)/B153/(B150)</f>
        <v>-7.4109795392936575E-4</v>
      </c>
      <c r="C183" s="69">
        <f t="shared" ref="C183:AC183" si="147">((1+C141)^C149)*C141/(((1+C141)^C149)-1)*(C140)/C153/(C150)</f>
        <v>-7.4109795392936575E-4</v>
      </c>
      <c r="D183" s="69">
        <f t="shared" si="147"/>
        <v>-7.4109795392936575E-4</v>
      </c>
      <c r="E183" s="69">
        <f t="shared" si="147"/>
        <v>-7.4109795392936575E-4</v>
      </c>
      <c r="F183" s="69">
        <f t="shared" si="147"/>
        <v>-7.4109795392936575E-4</v>
      </c>
      <c r="G183" s="69">
        <f t="shared" si="147"/>
        <v>-7.4109795392936575E-4</v>
      </c>
      <c r="H183" s="69">
        <f t="shared" si="147"/>
        <v>-7.4109795392936575E-4</v>
      </c>
      <c r="I183" s="69">
        <f t="shared" si="147"/>
        <v>-7.4109795392936575E-4</v>
      </c>
      <c r="J183" s="69">
        <f t="shared" si="147"/>
        <v>-7.4109795392936575E-4</v>
      </c>
      <c r="K183" s="69">
        <f t="shared" si="147"/>
        <v>-7.4109795392936575E-4</v>
      </c>
      <c r="L183" s="69">
        <f t="shared" si="147"/>
        <v>-7.4109795392936575E-4</v>
      </c>
      <c r="M183" s="69">
        <f t="shared" si="147"/>
        <v>-7.4109795392936575E-4</v>
      </c>
      <c r="N183" s="69">
        <f t="shared" si="147"/>
        <v>-7.4109795392936575E-4</v>
      </c>
      <c r="O183" s="69">
        <f t="shared" si="147"/>
        <v>-7.4109795392936575E-4</v>
      </c>
      <c r="P183" s="69">
        <f t="shared" si="147"/>
        <v>-7.4109795392936575E-4</v>
      </c>
      <c r="Q183" s="69">
        <f t="shared" si="147"/>
        <v>-7.4109795392936575E-4</v>
      </c>
      <c r="R183" s="69">
        <f t="shared" si="147"/>
        <v>-7.4109795392936575E-4</v>
      </c>
      <c r="S183" s="69">
        <f t="shared" si="147"/>
        <v>-7.4109795392936575E-4</v>
      </c>
      <c r="T183" s="69">
        <f t="shared" si="147"/>
        <v>-7.4109795392936575E-4</v>
      </c>
      <c r="U183" s="69">
        <f t="shared" si="147"/>
        <v>-7.4109795392936575E-4</v>
      </c>
      <c r="V183" s="69">
        <f t="shared" si="147"/>
        <v>-7.4109795392936575E-4</v>
      </c>
      <c r="W183" s="69">
        <f t="shared" si="147"/>
        <v>-7.4109795392936575E-4</v>
      </c>
      <c r="X183" s="69">
        <f t="shared" si="147"/>
        <v>-7.4109795392936575E-4</v>
      </c>
      <c r="Y183" s="69">
        <f t="shared" si="147"/>
        <v>-7.4109795392936575E-4</v>
      </c>
      <c r="Z183" s="69">
        <f t="shared" si="147"/>
        <v>-7.4109795392936575E-4</v>
      </c>
      <c r="AA183" s="69">
        <f t="shared" si="147"/>
        <v>-7.4109795392936575E-4</v>
      </c>
      <c r="AB183" s="69">
        <f t="shared" si="147"/>
        <v>-7.4109795392936575E-4</v>
      </c>
      <c r="AC183" s="69">
        <f t="shared" si="147"/>
        <v>-7.4109795392936575E-4</v>
      </c>
    </row>
    <row r="184" spans="1:29" x14ac:dyDescent="0.25">
      <c r="A184" s="30" t="str">
        <f t="shared" si="143"/>
        <v>Opex fix (admin, crew, insurance)</v>
      </c>
      <c r="B184" s="66">
        <f>B142/B153/(B150)</f>
        <v>2.5454545454545455E-2</v>
      </c>
      <c r="C184" s="66">
        <f t="shared" ref="C184:AC184" si="148">C142/C153/(C150)</f>
        <v>2.5454545454545455E-2</v>
      </c>
      <c r="D184" s="66">
        <f t="shared" si="148"/>
        <v>2.5454545454545455E-2</v>
      </c>
      <c r="E184" s="66">
        <f t="shared" si="148"/>
        <v>2.5454545454545455E-2</v>
      </c>
      <c r="F184" s="66">
        <f t="shared" si="148"/>
        <v>2.5454545454545455E-2</v>
      </c>
      <c r="G184" s="66">
        <f t="shared" si="148"/>
        <v>2.5454545454545455E-2</v>
      </c>
      <c r="H184" s="66">
        <f t="shared" si="148"/>
        <v>2.5454545454545455E-2</v>
      </c>
      <c r="I184" s="66">
        <f t="shared" si="148"/>
        <v>2.5454545454545455E-2</v>
      </c>
      <c r="J184" s="66">
        <f t="shared" si="148"/>
        <v>2.5454545454545455E-2</v>
      </c>
      <c r="K184" s="66">
        <f t="shared" si="148"/>
        <v>2.5454545454545455E-2</v>
      </c>
      <c r="L184" s="66">
        <f t="shared" si="148"/>
        <v>2.5454545454545455E-2</v>
      </c>
      <c r="M184" s="66">
        <f t="shared" si="148"/>
        <v>2.5454545454545455E-2</v>
      </c>
      <c r="N184" s="66">
        <f t="shared" si="148"/>
        <v>2.5454545454545455E-2</v>
      </c>
      <c r="O184" s="66">
        <f t="shared" si="148"/>
        <v>2.5454545454545455E-2</v>
      </c>
      <c r="P184" s="66">
        <f t="shared" si="148"/>
        <v>2.5454545454545455E-2</v>
      </c>
      <c r="Q184" s="66">
        <f t="shared" si="148"/>
        <v>2.5454545454545455E-2</v>
      </c>
      <c r="R184" s="66">
        <f t="shared" si="148"/>
        <v>2.5454545454545455E-2</v>
      </c>
      <c r="S184" s="66">
        <f t="shared" si="148"/>
        <v>2.5454545454545455E-2</v>
      </c>
      <c r="T184" s="66">
        <f t="shared" si="148"/>
        <v>2.5454545454545455E-2</v>
      </c>
      <c r="U184" s="66">
        <f t="shared" si="148"/>
        <v>2.5454545454545455E-2</v>
      </c>
      <c r="V184" s="66">
        <f t="shared" si="148"/>
        <v>2.5454545454545455E-2</v>
      </c>
      <c r="W184" s="66">
        <f t="shared" si="148"/>
        <v>2.5454545454545455E-2</v>
      </c>
      <c r="X184" s="66">
        <f t="shared" si="148"/>
        <v>2.5454545454545455E-2</v>
      </c>
      <c r="Y184" s="66">
        <f t="shared" si="148"/>
        <v>2.5454545454545455E-2</v>
      </c>
      <c r="Z184" s="66">
        <f t="shared" si="148"/>
        <v>2.5454545454545455E-2</v>
      </c>
      <c r="AA184" s="66">
        <f t="shared" si="148"/>
        <v>2.5454545454545455E-2</v>
      </c>
      <c r="AB184" s="66">
        <f t="shared" si="148"/>
        <v>2.5454545454545455E-2</v>
      </c>
      <c r="AC184" s="66">
        <f t="shared" si="148"/>
        <v>2.5454545454545455E-2</v>
      </c>
    </row>
    <row r="185" spans="1:29" x14ac:dyDescent="0.25">
      <c r="A185" s="30" t="str">
        <f t="shared" si="143"/>
        <v>Opex maintenance &amp; repair</v>
      </c>
      <c r="B185" s="66">
        <f>B143/B153/(B150)</f>
        <v>9.3433449937917901E-3</v>
      </c>
      <c r="C185" s="66">
        <f t="shared" ref="C185:AC185" si="149">C143/C153/(C150)</f>
        <v>9.2970119899785115E-3</v>
      </c>
      <c r="D185" s="66">
        <f t="shared" si="149"/>
        <v>9.2325922952768442E-3</v>
      </c>
      <c r="E185" s="66">
        <f t="shared" si="149"/>
        <v>9.1442753037864269E-3</v>
      </c>
      <c r="F185" s="66">
        <f t="shared" si="149"/>
        <v>9.0255867308895125E-3</v>
      </c>
      <c r="G185" s="66">
        <f t="shared" si="149"/>
        <v>8.8704378371672402E-3</v>
      </c>
      <c r="H185" s="66">
        <f t="shared" si="149"/>
        <v>8.6750540290907157E-3</v>
      </c>
      <c r="I185" s="66">
        <f t="shared" si="149"/>
        <v>8.4405990678919768E-3</v>
      </c>
      <c r="J185" s="66">
        <f t="shared" si="149"/>
        <v>8.1754835747156248E-3</v>
      </c>
      <c r="K185" s="66">
        <f t="shared" si="149"/>
        <v>7.8956022363108457E-3</v>
      </c>
      <c r="L185" s="66">
        <f t="shared" si="149"/>
        <v>7.6212284391425147E-3</v>
      </c>
      <c r="M185" s="66">
        <f t="shared" si="149"/>
        <v>7.3714603239921801E-3</v>
      </c>
      <c r="N185" s="66">
        <f t="shared" si="149"/>
        <v>7.1591929937779705E-3</v>
      </c>
      <c r="O185" s="66">
        <f t="shared" si="149"/>
        <v>6.9892048772014015E-3</v>
      </c>
      <c r="P185" s="66">
        <f t="shared" si="149"/>
        <v>6.8594963996424715E-3</v>
      </c>
      <c r="Q185" s="66">
        <f t="shared" si="149"/>
        <v>6.7641502660017215E-3</v>
      </c>
      <c r="R185" s="66">
        <f t="shared" si="149"/>
        <v>6.6959791597890972E-3</v>
      </c>
      <c r="S185" s="66">
        <f t="shared" si="149"/>
        <v>6.6482012818191881E-3</v>
      </c>
      <c r="T185" s="66">
        <f t="shared" si="149"/>
        <v>6.615183831484097E-3</v>
      </c>
      <c r="U185" s="66">
        <f t="shared" si="149"/>
        <v>6.5925883448971333E-3</v>
      </c>
      <c r="V185" s="66">
        <f t="shared" si="149"/>
        <v>6.5772283361864971E-3</v>
      </c>
      <c r="W185" s="66">
        <f t="shared" si="149"/>
        <v>6.5668343892090449E-3</v>
      </c>
      <c r="X185" s="66">
        <f t="shared" si="149"/>
        <v>6.5598226217265625E-3</v>
      </c>
      <c r="Y185" s="66">
        <f t="shared" si="149"/>
        <v>6.5551023346888592E-3</v>
      </c>
      <c r="Z185" s="66">
        <f t="shared" si="149"/>
        <v>6.5519291235335798E-3</v>
      </c>
      <c r="AA185" s="66">
        <f t="shared" si="149"/>
        <v>6.5497979487141277E-3</v>
      </c>
      <c r="AB185" s="66">
        <f t="shared" si="149"/>
        <v>6.5483675291649378E-3</v>
      </c>
      <c r="AC185" s="66">
        <f t="shared" si="149"/>
        <v>6.5474078574617092E-3</v>
      </c>
    </row>
    <row r="186" spans="1:29" x14ac:dyDescent="0.25">
      <c r="A186" s="30" t="str">
        <f t="shared" si="143"/>
        <v>Opex var (mode-fees)</v>
      </c>
      <c r="B186" s="66">
        <f>B144*B153/B153/(B150)</f>
        <v>4.4000000000000003E-3</v>
      </c>
      <c r="C186" s="66">
        <f t="shared" ref="C186:AC186" si="150">C144*C153/C153/(C150)</f>
        <v>4.4000000000000003E-3</v>
      </c>
      <c r="D186" s="66">
        <f t="shared" si="150"/>
        <v>4.4000000000000003E-3</v>
      </c>
      <c r="E186" s="66">
        <f t="shared" si="150"/>
        <v>4.4000000000000003E-3</v>
      </c>
      <c r="F186" s="66">
        <f t="shared" si="150"/>
        <v>4.4000000000000003E-3</v>
      </c>
      <c r="G186" s="66">
        <f t="shared" si="150"/>
        <v>4.4000000000000003E-3</v>
      </c>
      <c r="H186" s="66">
        <f t="shared" si="150"/>
        <v>4.4000000000000003E-3</v>
      </c>
      <c r="I186" s="66">
        <f t="shared" si="150"/>
        <v>4.4000000000000003E-3</v>
      </c>
      <c r="J186" s="66">
        <f t="shared" si="150"/>
        <v>4.4000000000000003E-3</v>
      </c>
      <c r="K186" s="66">
        <f t="shared" si="150"/>
        <v>4.4000000000000003E-3</v>
      </c>
      <c r="L186" s="66">
        <f t="shared" si="150"/>
        <v>4.4000000000000003E-3</v>
      </c>
      <c r="M186" s="66">
        <f t="shared" si="150"/>
        <v>4.4000000000000003E-3</v>
      </c>
      <c r="N186" s="66">
        <f t="shared" si="150"/>
        <v>4.4000000000000003E-3</v>
      </c>
      <c r="O186" s="66">
        <f t="shared" si="150"/>
        <v>4.4000000000000003E-3</v>
      </c>
      <c r="P186" s="66">
        <f t="shared" si="150"/>
        <v>4.4000000000000003E-3</v>
      </c>
      <c r="Q186" s="66">
        <f t="shared" si="150"/>
        <v>4.4000000000000003E-3</v>
      </c>
      <c r="R186" s="66">
        <f t="shared" si="150"/>
        <v>4.4000000000000003E-3</v>
      </c>
      <c r="S186" s="66">
        <f t="shared" si="150"/>
        <v>4.4000000000000003E-3</v>
      </c>
      <c r="T186" s="66">
        <f t="shared" si="150"/>
        <v>4.4000000000000003E-3</v>
      </c>
      <c r="U186" s="66">
        <f t="shared" si="150"/>
        <v>4.4000000000000003E-3</v>
      </c>
      <c r="V186" s="66">
        <f t="shared" si="150"/>
        <v>4.4000000000000003E-3</v>
      </c>
      <c r="W186" s="66">
        <f t="shared" si="150"/>
        <v>4.4000000000000003E-3</v>
      </c>
      <c r="X186" s="66">
        <f t="shared" si="150"/>
        <v>4.4000000000000003E-3</v>
      </c>
      <c r="Y186" s="66">
        <f t="shared" si="150"/>
        <v>4.4000000000000003E-3</v>
      </c>
      <c r="Z186" s="66">
        <f t="shared" si="150"/>
        <v>4.4000000000000003E-3</v>
      </c>
      <c r="AA186" s="66">
        <f t="shared" si="150"/>
        <v>4.4000000000000003E-3</v>
      </c>
      <c r="AB186" s="66">
        <f t="shared" si="150"/>
        <v>4.4000000000000003E-3</v>
      </c>
      <c r="AC186" s="66">
        <f t="shared" si="150"/>
        <v>4.4000000000000003E-3</v>
      </c>
    </row>
    <row r="187" spans="1:29" x14ac:dyDescent="0.25">
      <c r="A187" s="30" t="str">
        <f t="shared" si="143"/>
        <v>Fuel Cost</v>
      </c>
      <c r="B187" s="66">
        <f>B145*B146*B153/B153/(B150)</f>
        <v>2.5271535978108505E-2</v>
      </c>
      <c r="C187" s="66">
        <f t="shared" ref="C187:AC187" si="151">C145*C146*C153/C153/(C150)</f>
        <v>2.5070862153536103E-2</v>
      </c>
      <c r="D187" s="66">
        <f t="shared" si="151"/>
        <v>2.4790745326148767E-2</v>
      </c>
      <c r="E187" s="66">
        <f t="shared" si="151"/>
        <v>2.440435315832656E-2</v>
      </c>
      <c r="F187" s="66">
        <f t="shared" si="151"/>
        <v>2.3880169457993962E-2</v>
      </c>
      <c r="G187" s="66">
        <f t="shared" si="151"/>
        <v>2.3185077542843952E-2</v>
      </c>
      <c r="H187" s="66">
        <f t="shared" si="151"/>
        <v>2.2290722205441687E-2</v>
      </c>
      <c r="I187" s="66">
        <f t="shared" si="151"/>
        <v>2.1183053439462283E-2</v>
      </c>
      <c r="J187" s="66">
        <f t="shared" si="151"/>
        <v>1.9872510834200802E-2</v>
      </c>
      <c r="K187" s="66">
        <f t="shared" si="151"/>
        <v>1.839988319316755E-2</v>
      </c>
      <c r="L187" s="66">
        <f t="shared" si="151"/>
        <v>1.6833530289393824E-2</v>
      </c>
      <c r="M187" s="66">
        <f t="shared" si="151"/>
        <v>1.5258305500660627E-2</v>
      </c>
      <c r="N187" s="66">
        <f t="shared" si="151"/>
        <v>1.3760682716616275E-2</v>
      </c>
      <c r="O187" s="66">
        <f t="shared" si="151"/>
        <v>1.2414241511033765E-2</v>
      </c>
      <c r="P187" s="66">
        <f t="shared" si="151"/>
        <v>1.1268049286594957E-2</v>
      </c>
      <c r="Q187" s="66">
        <f t="shared" si="151"/>
        <v>1.0340992285929369E-2</v>
      </c>
      <c r="R187" s="66">
        <f t="shared" si="151"/>
        <v>9.6243437393404904E-3</v>
      </c>
      <c r="S187" s="66">
        <f t="shared" si="151"/>
        <v>9.0908119950928127E-3</v>
      </c>
      <c r="T187" s="66">
        <f t="shared" si="151"/>
        <v>8.7052072705503351E-3</v>
      </c>
      <c r="U187" s="66">
        <f t="shared" si="151"/>
        <v>8.4326668159591736E-3</v>
      </c>
      <c r="V187" s="66">
        <f t="shared" si="151"/>
        <v>8.2431424220437005E-3</v>
      </c>
      <c r="W187" s="66">
        <f t="shared" si="151"/>
        <v>8.1128580140792435E-3</v>
      </c>
      <c r="X187" s="66">
        <f t="shared" si="151"/>
        <v>8.0240137845980931E-3</v>
      </c>
      <c r="Y187" s="66">
        <f t="shared" si="151"/>
        <v>7.9637629928271201E-3</v>
      </c>
      <c r="Z187" s="66">
        <f t="shared" si="151"/>
        <v>7.9230572347422489E-3</v>
      </c>
      <c r="AA187" s="66">
        <f t="shared" si="151"/>
        <v>7.8956266066965777E-3</v>
      </c>
      <c r="AB187" s="66">
        <f t="shared" si="151"/>
        <v>7.8771737641352493E-3</v>
      </c>
      <c r="AC187" s="66">
        <f t="shared" si="151"/>
        <v>7.8647748498683282E-3</v>
      </c>
    </row>
    <row r="188" spans="1:29" x14ac:dyDescent="0.25">
      <c r="A188" s="59" t="str">
        <f>A151</f>
        <v>Market failure (av. utilization)</v>
      </c>
      <c r="B188" s="66">
        <f t="shared" ref="B188:AC188" si="152">B177/B151-B177/B150</f>
        <v>4.9201555274730205E-2</v>
      </c>
      <c r="C188" s="66">
        <f t="shared" si="152"/>
        <v>4.8949494156292322E-2</v>
      </c>
      <c r="D188" s="66">
        <f t="shared" si="152"/>
        <v>4.8598406787959833E-2</v>
      </c>
      <c r="E188" s="66">
        <f t="shared" si="152"/>
        <v>4.8115733602343502E-2</v>
      </c>
      <c r="F188" s="66">
        <f t="shared" si="152"/>
        <v>4.7464274333863077E-2</v>
      </c>
      <c r="G188" s="66">
        <f t="shared" si="152"/>
        <v>4.6607063756093331E-2</v>
      </c>
      <c r="H188" s="66">
        <f t="shared" si="152"/>
        <v>4.5516727479323643E-2</v>
      </c>
      <c r="I188" s="66">
        <f t="shared" si="152"/>
        <v>4.4188711792661595E-2</v>
      </c>
      <c r="J188" s="66">
        <f t="shared" si="152"/>
        <v>4.2653924707071467E-2</v>
      </c>
      <c r="K188" s="66">
        <f t="shared" si="152"/>
        <v>4.098273020412857E-2</v>
      </c>
      <c r="L188" s="66">
        <f t="shared" si="152"/>
        <v>3.9274060007449568E-2</v>
      </c>
      <c r="M188" s="66">
        <f t="shared" si="152"/>
        <v>3.7632523550819225E-2</v>
      </c>
      <c r="N188" s="66">
        <f t="shared" si="152"/>
        <v>3.6144987459599057E-2</v>
      </c>
      <c r="O188" s="66">
        <f t="shared" si="152"/>
        <v>3.4866744593099089E-2</v>
      </c>
      <c r="P188" s="66">
        <f t="shared" si="152"/>
        <v>3.3819130774462594E-2</v>
      </c>
      <c r="Q188" s="66">
        <f t="shared" si="152"/>
        <v>3.299510129109906E-2</v>
      </c>
      <c r="R188" s="66">
        <f t="shared" si="152"/>
        <v>3.2368780808091344E-2</v>
      </c>
      <c r="S188" s="66">
        <f t="shared" si="152"/>
        <v>3.1905595864338616E-2</v>
      </c>
      <c r="T188" s="66">
        <f t="shared" si="152"/>
        <v>3.1570286016520732E-2</v>
      </c>
      <c r="U188" s="66">
        <f t="shared" si="152"/>
        <v>3.1331574511950656E-2</v>
      </c>
      <c r="V188" s="66">
        <f t="shared" si="152"/>
        <v>3.1163910645925955E-2</v>
      </c>
      <c r="W188" s="66">
        <f t="shared" si="152"/>
        <v>3.1047449943256401E-2</v>
      </c>
      <c r="X188" s="66">
        <f t="shared" si="152"/>
        <v>3.0967287659373822E-2</v>
      </c>
      <c r="Y188" s="66">
        <f t="shared" si="152"/>
        <v>3.0912508086382878E-2</v>
      </c>
      <c r="Z188" s="66">
        <f t="shared" si="152"/>
        <v>3.0875281245446848E-2</v>
      </c>
      <c r="AA188" s="66">
        <f t="shared" si="152"/>
        <v>3.0850086715876156E-2</v>
      </c>
      <c r="AB188" s="66">
        <f t="shared" si="152"/>
        <v>3.083308596281991E-2</v>
      </c>
      <c r="AC188" s="66">
        <f t="shared" si="152"/>
        <v>3.0821638175429711E-2</v>
      </c>
    </row>
    <row r="189" spans="1:29" x14ac:dyDescent="0.25">
      <c r="A189" s="59" t="str">
        <f>A152</f>
        <v>Payload loss (fuel)</v>
      </c>
      <c r="B189" s="66">
        <f>B177/(B150-B152)-B177/B150</f>
        <v>4.5652841350153489E-3</v>
      </c>
      <c r="C189" s="66">
        <f t="shared" ref="C189:AC189" si="153">C177/(C150-C152)-C177/C150</f>
        <v>4.5255609689138221E-3</v>
      </c>
      <c r="D189" s="66">
        <f t="shared" si="153"/>
        <v>4.4700844811873253E-3</v>
      </c>
      <c r="E189" s="66">
        <f t="shared" si="153"/>
        <v>4.3934984043546704E-3</v>
      </c>
      <c r="F189" s="66">
        <f t="shared" si="153"/>
        <v>4.2894693456047156E-3</v>
      </c>
      <c r="G189" s="66">
        <f t="shared" si="153"/>
        <v>4.1512606302842314E-3</v>
      </c>
      <c r="H189" s="66">
        <f t="shared" si="153"/>
        <v>3.9729547948945676E-3</v>
      </c>
      <c r="I189" s="66">
        <f t="shared" si="153"/>
        <v>3.7513474889933895E-3</v>
      </c>
      <c r="J189" s="66">
        <f t="shared" si="153"/>
        <v>3.4880879826975075E-3</v>
      </c>
      <c r="K189" s="66">
        <f t="shared" si="153"/>
        <v>3.1911435814720723E-3</v>
      </c>
      <c r="L189" s="66">
        <f t="shared" si="153"/>
        <v>2.874635025074776E-3</v>
      </c>
      <c r="M189" s="66">
        <f t="shared" si="153"/>
        <v>2.5567642135229524E-3</v>
      </c>
      <c r="N189" s="66">
        <f t="shared" si="153"/>
        <v>2.2563856877078625E-3</v>
      </c>
      <c r="O189" s="66">
        <f t="shared" si="153"/>
        <v>1.9892192098069778E-3</v>
      </c>
      <c r="P189" s="66">
        <f t="shared" si="153"/>
        <v>1.7649284927948941E-3</v>
      </c>
      <c r="Q189" s="66">
        <f t="shared" si="153"/>
        <v>1.5861785762848052E-3</v>
      </c>
      <c r="R189" s="66">
        <f t="shared" si="153"/>
        <v>1.449855605537044E-3</v>
      </c>
      <c r="S189" s="66">
        <f t="shared" si="153"/>
        <v>1.3494754092039166E-3</v>
      </c>
      <c r="T189" s="66">
        <f t="shared" si="153"/>
        <v>1.2775089885551788E-3</v>
      </c>
      <c r="U189" s="66">
        <f t="shared" si="153"/>
        <v>1.2269175906747115E-3</v>
      </c>
      <c r="V189" s="66">
        <f t="shared" si="153"/>
        <v>1.1918532317177835E-3</v>
      </c>
      <c r="W189" s="66">
        <f t="shared" si="153"/>
        <v>1.1677951116223148E-3</v>
      </c>
      <c r="X189" s="66">
        <f t="shared" si="153"/>
        <v>1.1514063466662935E-3</v>
      </c>
      <c r="Y189" s="66">
        <f t="shared" si="153"/>
        <v>1.140298138365553E-3</v>
      </c>
      <c r="Z189" s="66">
        <f t="shared" si="153"/>
        <v>1.132795437320977E-3</v>
      </c>
      <c r="AA189" s="66">
        <f t="shared" si="153"/>
        <v>1.1277402424413746E-3</v>
      </c>
      <c r="AB189" s="66">
        <f t="shared" si="153"/>
        <v>1.1243397977036274E-3</v>
      </c>
      <c r="AC189" s="66">
        <f t="shared" si="153"/>
        <v>1.1220550346282138E-3</v>
      </c>
    </row>
    <row r="190" spans="1:29" ht="15.75" thickBot="1" x14ac:dyDescent="0.3">
      <c r="A190" s="59" t="str">
        <f>A127</f>
        <v>Emission Cost</v>
      </c>
      <c r="B190" s="68">
        <f>B147*B153/B153/(B150)</f>
        <v>3.6418200964524684E-4</v>
      </c>
      <c r="C190" s="68">
        <f t="shared" ref="C190:AC190" si="154">C147*C153/C153/(C150)</f>
        <v>3.6383521963850298E-4</v>
      </c>
      <c r="D190" s="68">
        <f t="shared" si="154"/>
        <v>3.6333879746797376E-4</v>
      </c>
      <c r="E190" s="68">
        <f t="shared" si="154"/>
        <v>3.6262863064306401E-4</v>
      </c>
      <c r="F190" s="68">
        <f t="shared" si="154"/>
        <v>3.6161364554417784E-4</v>
      </c>
      <c r="G190" s="68">
        <f t="shared" si="154"/>
        <v>3.6016504246069139E-4</v>
      </c>
      <c r="H190" s="68">
        <f t="shared" si="154"/>
        <v>3.581018762885698E-4</v>
      </c>
      <c r="I190" s="68">
        <f t="shared" si="154"/>
        <v>3.551724760827172E-4</v>
      </c>
      <c r="J190" s="68">
        <f t="shared" si="154"/>
        <v>3.5103205038913133E-4</v>
      </c>
      <c r="K190" s="68">
        <f t="shared" si="154"/>
        <v>3.4521896741480408E-4</v>
      </c>
      <c r="L190" s="68">
        <f t="shared" si="154"/>
        <v>3.371366718660246E-4</v>
      </c>
      <c r="M190" s="68">
        <f t="shared" si="154"/>
        <v>3.2605614702792577E-4</v>
      </c>
      <c r="N190" s="68">
        <f t="shared" si="154"/>
        <v>3.1116510898656003E-4</v>
      </c>
      <c r="O190" s="68">
        <f t="shared" si="154"/>
        <v>2.9169964552951117E-4</v>
      </c>
      <c r="P190" s="68">
        <f t="shared" si="154"/>
        <v>2.6718618439571353E-4</v>
      </c>
      <c r="Q190" s="68">
        <f t="shared" si="154"/>
        <v>2.3777073469416832E-4</v>
      </c>
      <c r="R190" s="68">
        <f t="shared" si="154"/>
        <v>2.0450851915069425E-4</v>
      </c>
      <c r="S190" s="68">
        <f t="shared" si="154"/>
        <v>1.6939373467288497E-4</v>
      </c>
      <c r="T190" s="68">
        <f t="shared" si="154"/>
        <v>1.3496994347323685E-4</v>
      </c>
      <c r="U190" s="68">
        <f t="shared" si="154"/>
        <v>1.0363325778021563E-4</v>
      </c>
      <c r="V190" s="68">
        <f t="shared" si="154"/>
        <v>7.700153737100413E-5</v>
      </c>
      <c r="W190" s="68">
        <f t="shared" si="154"/>
        <v>5.5674298794125105E-5</v>
      </c>
      <c r="X190" s="68">
        <f t="shared" si="154"/>
        <v>3.940066918956972E-5</v>
      </c>
      <c r="Y190" s="68">
        <f t="shared" si="154"/>
        <v>2.7438246283240584E-5</v>
      </c>
      <c r="Z190" s="68">
        <f t="shared" si="154"/>
        <v>1.8885286961572295E-5</v>
      </c>
      <c r="AA190" s="68">
        <f t="shared" si="154"/>
        <v>1.2890925575126249E-5</v>
      </c>
      <c r="AB190" s="68">
        <f t="shared" si="154"/>
        <v>8.748453414846938E-6</v>
      </c>
      <c r="AC190" s="68">
        <f t="shared" si="154"/>
        <v>5.9135532882621105E-6</v>
      </c>
    </row>
    <row r="191" spans="1:29" ht="15.75" thickBot="1" x14ac:dyDescent="0.3">
      <c r="A191" s="31" t="s">
        <v>210</v>
      </c>
      <c r="B191" s="67">
        <f>B180+B181+B182+B183+B184+B185+B186+B187+B188+B189+B190</f>
        <v>0.13975407510140722</v>
      </c>
      <c r="C191" s="67">
        <f t="shared" ref="C191:AC191" si="155">C180+C181+C182+C183+C184+C185+C186+C187+C188+C189+C190</f>
        <v>0.13901418216186712</v>
      </c>
      <c r="D191" s="67">
        <f t="shared" si="155"/>
        <v>0.13798346298432809</v>
      </c>
      <c r="E191" s="67">
        <f t="shared" si="155"/>
        <v>0.13656611805856123</v>
      </c>
      <c r="F191" s="67">
        <f t="shared" si="155"/>
        <v>0.13465247992069898</v>
      </c>
      <c r="G191" s="67">
        <f t="shared" si="155"/>
        <v>0.13213313071157362</v>
      </c>
      <c r="H191" s="67">
        <f t="shared" si="155"/>
        <v>0.12892611299626819</v>
      </c>
      <c r="I191" s="67">
        <f t="shared" si="155"/>
        <v>0.12501557322741685</v>
      </c>
      <c r="J191" s="67">
        <f t="shared" si="155"/>
        <v>0.1204890162611484</v>
      </c>
      <c r="K191" s="67">
        <f t="shared" si="155"/>
        <v>0.11554986490730383</v>
      </c>
      <c r="L191" s="67">
        <f t="shared" si="155"/>
        <v>0.1104870502490204</v>
      </c>
      <c r="M191" s="67">
        <f t="shared" si="155"/>
        <v>0.10560935594682873</v>
      </c>
      <c r="N191" s="67">
        <f t="shared" si="155"/>
        <v>0.10117693272317985</v>
      </c>
      <c r="O191" s="67">
        <f t="shared" si="155"/>
        <v>9.7359091616112392E-2</v>
      </c>
      <c r="P191" s="67">
        <f t="shared" si="155"/>
        <v>9.4224762513998903E-2</v>
      </c>
      <c r="Q191" s="67">
        <f t="shared" si="155"/>
        <v>9.1757041810367895E-2</v>
      </c>
      <c r="R191" s="67">
        <f t="shared" si="155"/>
        <v>8.9880939720154276E-2</v>
      </c>
      <c r="S191" s="67">
        <f t="shared" si="155"/>
        <v>8.8493934680063543E-2</v>
      </c>
      <c r="T191" s="67">
        <f t="shared" si="155"/>
        <v>8.7490552015476258E-2</v>
      </c>
      <c r="U191" s="67">
        <f t="shared" si="155"/>
        <v>8.6776873104901148E-2</v>
      </c>
      <c r="V191" s="67">
        <f t="shared" si="155"/>
        <v>8.6276075784764483E-2</v>
      </c>
      <c r="W191" s="67">
        <f t="shared" si="155"/>
        <v>8.5928515712809142E-2</v>
      </c>
      <c r="X191" s="67">
        <f t="shared" si="155"/>
        <v>8.5689453937068186E-2</v>
      </c>
      <c r="Y191" s="67">
        <f t="shared" si="155"/>
        <v>8.5526180248237021E-2</v>
      </c>
      <c r="Z191" s="67">
        <f t="shared" si="155"/>
        <v>8.5415269655703494E-2</v>
      </c>
      <c r="AA191" s="67">
        <f t="shared" si="155"/>
        <v>8.5340229656460848E-2</v>
      </c>
      <c r="AB191" s="67">
        <f t="shared" si="155"/>
        <v>8.5289604897677992E-2</v>
      </c>
      <c r="AC191" s="67">
        <f t="shared" si="155"/>
        <v>8.5255520725185358E-2</v>
      </c>
    </row>
    <row r="193" spans="2:2" x14ac:dyDescent="0.25">
      <c r="B193" s="40"/>
    </row>
    <row r="215" spans="1:44" s="3" customFormat="1" ht="21" x14ac:dyDescent="0.35">
      <c r="A215" s="2" t="str">
        <f>'Parameter Input'!A45</f>
        <v>Road long-haul: Container</v>
      </c>
    </row>
    <row r="216" spans="1:44" s="3" customFormat="1" ht="21" x14ac:dyDescent="0.35">
      <c r="A216" s="2" t="s">
        <v>103</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Input'!$L$45</f>
        <v>390000</v>
      </c>
      <c r="C225" s="42">
        <f>'Parameter Input'!$M$45</f>
        <v>155000</v>
      </c>
      <c r="D225" s="1" t="s">
        <v>15</v>
      </c>
      <c r="L225" s="51">
        <f>'Parameter Input'!$O$45</f>
        <v>9</v>
      </c>
      <c r="M225" s="52">
        <v>0</v>
      </c>
      <c r="N225" s="52">
        <v>1</v>
      </c>
      <c r="O225" s="52">
        <f>'Parameter Input'!$P$45</f>
        <v>0.9</v>
      </c>
      <c r="P225" s="53">
        <f>'Parameter Input'!$Q$45</f>
        <v>0.4</v>
      </c>
      <c r="Q225" s="4">
        <f t="shared" ref="Q225:AR234" si="156">$N225+($M225-$N225)*((1/(1+EXP(-$P225*(Q$9-$L225)))^$O225))</f>
        <v>0.96177484161592774</v>
      </c>
      <c r="R225" s="4">
        <f t="shared" si="156"/>
        <v>0.94584787155511363</v>
      </c>
      <c r="S225" s="4">
        <f t="shared" si="156"/>
        <v>0.92370360150141495</v>
      </c>
      <c r="T225" s="4">
        <f t="shared" si="156"/>
        <v>0.89334463567658451</v>
      </c>
      <c r="U225" s="4">
        <f t="shared" si="156"/>
        <v>0.85254543874327005</v>
      </c>
      <c r="V225" s="4">
        <f t="shared" si="156"/>
        <v>0.79921300652623883</v>
      </c>
      <c r="W225" s="4">
        <f t="shared" si="156"/>
        <v>0.73204982249993378</v>
      </c>
      <c r="X225" s="4">
        <f t="shared" si="156"/>
        <v>0.65145592958786691</v>
      </c>
      <c r="Y225" s="4">
        <f t="shared" si="156"/>
        <v>0.56032247880849573</v>
      </c>
      <c r="Z225" s="4">
        <f t="shared" si="156"/>
        <v>0.46411326873185343</v>
      </c>
      <c r="AA225" s="4">
        <f t="shared" si="156"/>
        <v>0.36979727595523937</v>
      </c>
      <c r="AB225" s="4">
        <f t="shared" si="156"/>
        <v>0.28393948637231203</v>
      </c>
      <c r="AC225" s="4">
        <f t="shared" si="156"/>
        <v>0.21097259161117732</v>
      </c>
      <c r="AD225" s="4">
        <f t="shared" si="156"/>
        <v>0.15253917653798199</v>
      </c>
      <c r="AE225" s="4">
        <f t="shared" si="156"/>
        <v>0.10795188737709993</v>
      </c>
      <c r="AF225" s="4">
        <f t="shared" si="156"/>
        <v>7.5176653938091809E-2</v>
      </c>
      <c r="AG225" s="4">
        <f t="shared" si="156"/>
        <v>5.1742836177502194E-2</v>
      </c>
      <c r="AH225" s="4">
        <f t="shared" si="156"/>
        <v>3.5319190625345942E-2</v>
      </c>
      <c r="AI225" s="4">
        <f t="shared" si="156"/>
        <v>2.3969442072658165E-2</v>
      </c>
      <c r="AJ225" s="4">
        <f t="shared" si="156"/>
        <v>1.6202243558389728E-2</v>
      </c>
      <c r="AK225" s="4">
        <f t="shared" si="156"/>
        <v>1.0922240564108399E-2</v>
      </c>
      <c r="AL225" s="4">
        <f t="shared" si="156"/>
        <v>7.3493212906090566E-3</v>
      </c>
      <c r="AM225" s="4">
        <f t="shared" si="156"/>
        <v>4.9390262185057265E-3</v>
      </c>
      <c r="AN225" s="4">
        <f t="shared" si="156"/>
        <v>3.3164275492956197E-3</v>
      </c>
      <c r="AO225" s="4">
        <f t="shared" si="156"/>
        <v>2.2256362146679809E-3</v>
      </c>
      <c r="AP225" s="4">
        <f t="shared" si="156"/>
        <v>1.4930448704811861E-3</v>
      </c>
      <c r="AQ225" s="4">
        <f t="shared" si="156"/>
        <v>1.0013381504474506E-3</v>
      </c>
      <c r="AR225" s="4">
        <f t="shared" si="156"/>
        <v>6.7145100246257527E-4</v>
      </c>
    </row>
    <row r="226" spans="1:44" x14ac:dyDescent="0.25">
      <c r="A226" s="24" t="s">
        <v>28</v>
      </c>
      <c r="B226" s="60">
        <f>'Parameter Input'!$L$46</f>
        <v>-58500</v>
      </c>
      <c r="C226" s="61">
        <f>'Parameter Input'!$M$46</f>
        <v>-38750</v>
      </c>
      <c r="D226" s="1" t="s">
        <v>15</v>
      </c>
      <c r="L226" s="54">
        <f>'Parameter Input'!$O$46</f>
        <v>9</v>
      </c>
      <c r="M226" s="37">
        <v>0</v>
      </c>
      <c r="N226" s="37">
        <v>1</v>
      </c>
      <c r="O226" s="37">
        <f>'Parameter Input'!$P$46</f>
        <v>0.9</v>
      </c>
      <c r="P226" s="55">
        <f>'Parameter Input'!$Q$46</f>
        <v>0.4</v>
      </c>
      <c r="Q226" s="4">
        <f t="shared" si="156"/>
        <v>0.96177484161592774</v>
      </c>
      <c r="R226" s="4">
        <f t="shared" si="156"/>
        <v>0.94584787155511363</v>
      </c>
      <c r="S226" s="4">
        <f t="shared" si="156"/>
        <v>0.92370360150141495</v>
      </c>
      <c r="T226" s="4">
        <f t="shared" si="156"/>
        <v>0.89334463567658451</v>
      </c>
      <c r="U226" s="4">
        <f t="shared" si="156"/>
        <v>0.85254543874327005</v>
      </c>
      <c r="V226" s="4">
        <f t="shared" si="156"/>
        <v>0.79921300652623883</v>
      </c>
      <c r="W226" s="4">
        <f t="shared" si="156"/>
        <v>0.73204982249993378</v>
      </c>
      <c r="X226" s="4">
        <f t="shared" si="156"/>
        <v>0.65145592958786691</v>
      </c>
      <c r="Y226" s="4">
        <f t="shared" si="156"/>
        <v>0.56032247880849573</v>
      </c>
      <c r="Z226" s="4">
        <f t="shared" si="156"/>
        <v>0.46411326873185343</v>
      </c>
      <c r="AA226" s="4">
        <f t="shared" si="156"/>
        <v>0.36979727595523937</v>
      </c>
      <c r="AB226" s="4">
        <f t="shared" si="156"/>
        <v>0.28393948637231203</v>
      </c>
      <c r="AC226" s="4">
        <f t="shared" si="156"/>
        <v>0.21097259161117732</v>
      </c>
      <c r="AD226" s="4">
        <f t="shared" si="156"/>
        <v>0.15253917653798199</v>
      </c>
      <c r="AE226" s="4">
        <f t="shared" si="156"/>
        <v>0.10795188737709993</v>
      </c>
      <c r="AF226" s="4">
        <f t="shared" si="156"/>
        <v>7.5176653938091809E-2</v>
      </c>
      <c r="AG226" s="4">
        <f t="shared" si="156"/>
        <v>5.1742836177502194E-2</v>
      </c>
      <c r="AH226" s="4">
        <f t="shared" si="156"/>
        <v>3.5319190625345942E-2</v>
      </c>
      <c r="AI226" s="4">
        <f t="shared" si="156"/>
        <v>2.3969442072658165E-2</v>
      </c>
      <c r="AJ226" s="4">
        <f t="shared" si="156"/>
        <v>1.6202243558389728E-2</v>
      </c>
      <c r="AK226" s="4">
        <f t="shared" si="156"/>
        <v>1.0922240564108399E-2</v>
      </c>
      <c r="AL226" s="4">
        <f t="shared" si="156"/>
        <v>7.3493212906090566E-3</v>
      </c>
      <c r="AM226" s="4">
        <f t="shared" si="156"/>
        <v>4.9390262185057265E-3</v>
      </c>
      <c r="AN226" s="4">
        <f t="shared" si="156"/>
        <v>3.3164275492956197E-3</v>
      </c>
      <c r="AO226" s="4">
        <f t="shared" si="156"/>
        <v>2.2256362146679809E-3</v>
      </c>
      <c r="AP226" s="4">
        <f t="shared" si="156"/>
        <v>1.4930448704811861E-3</v>
      </c>
      <c r="AQ226" s="4">
        <f t="shared" si="156"/>
        <v>1.0013381504474506E-3</v>
      </c>
      <c r="AR226" s="4">
        <f t="shared" si="156"/>
        <v>6.7145100246257527E-4</v>
      </c>
    </row>
    <row r="227" spans="1:44" x14ac:dyDescent="0.25">
      <c r="A227" s="24" t="s">
        <v>14</v>
      </c>
      <c r="B227" s="60">
        <f>'Parameter Input'!B46</f>
        <v>30000</v>
      </c>
      <c r="C227" s="61">
        <f>'Parameter Input'!C46</f>
        <v>30000</v>
      </c>
      <c r="D227" s="1" t="s">
        <v>15</v>
      </c>
      <c r="L227" s="54">
        <f>'Parameter Input'!E46</f>
        <v>12</v>
      </c>
      <c r="M227" s="37">
        <v>0</v>
      </c>
      <c r="N227" s="37">
        <v>1</v>
      </c>
      <c r="O227" s="37">
        <f>'Parameter Input'!F46</f>
        <v>0.9</v>
      </c>
      <c r="P227" s="55">
        <f>'Parameter Input'!G46</f>
        <v>0.4</v>
      </c>
      <c r="Q227" s="4">
        <f t="shared" si="156"/>
        <v>0.9867978615748374</v>
      </c>
      <c r="R227" s="4">
        <f t="shared" si="156"/>
        <v>0.98114509762858249</v>
      </c>
      <c r="S227" s="4">
        <f t="shared" si="156"/>
        <v>0.97311898315872036</v>
      </c>
      <c r="T227" s="4">
        <f t="shared" si="156"/>
        <v>0.96177484161592774</v>
      </c>
      <c r="U227" s="4">
        <f t="shared" si="156"/>
        <v>0.94584787155511363</v>
      </c>
      <c r="V227" s="4">
        <f t="shared" si="156"/>
        <v>0.92370360150141495</v>
      </c>
      <c r="W227" s="4">
        <f t="shared" si="156"/>
        <v>0.89334463567658451</v>
      </c>
      <c r="X227" s="4">
        <f t="shared" si="156"/>
        <v>0.85254543874327005</v>
      </c>
      <c r="Y227" s="4">
        <f t="shared" si="156"/>
        <v>0.79921300652623883</v>
      </c>
      <c r="Z227" s="4">
        <f t="shared" si="156"/>
        <v>0.73204982249993378</v>
      </c>
      <c r="AA227" s="4">
        <f t="shared" si="156"/>
        <v>0.65145592958786691</v>
      </c>
      <c r="AB227" s="4">
        <f t="shared" si="156"/>
        <v>0.56032247880849573</v>
      </c>
      <c r="AC227" s="4">
        <f t="shared" si="156"/>
        <v>0.46411326873185343</v>
      </c>
      <c r="AD227" s="4">
        <f t="shared" si="156"/>
        <v>0.36979727595523937</v>
      </c>
      <c r="AE227" s="4">
        <f t="shared" si="156"/>
        <v>0.28393948637231203</v>
      </c>
      <c r="AF227" s="4">
        <f t="shared" si="156"/>
        <v>0.21097259161117732</v>
      </c>
      <c r="AG227" s="4">
        <f t="shared" si="156"/>
        <v>0.15253917653798199</v>
      </c>
      <c r="AH227" s="4">
        <f t="shared" si="156"/>
        <v>0.10795188737709993</v>
      </c>
      <c r="AI227" s="4">
        <f t="shared" si="156"/>
        <v>7.5176653938091809E-2</v>
      </c>
      <c r="AJ227" s="4">
        <f t="shared" si="156"/>
        <v>5.1742836177502194E-2</v>
      </c>
      <c r="AK227" s="4">
        <f t="shared" si="156"/>
        <v>3.5319190625345942E-2</v>
      </c>
      <c r="AL227" s="4">
        <f t="shared" si="156"/>
        <v>2.3969442072658165E-2</v>
      </c>
      <c r="AM227" s="4">
        <f t="shared" si="156"/>
        <v>1.6202243558389728E-2</v>
      </c>
      <c r="AN227" s="4">
        <f t="shared" si="156"/>
        <v>1.0922240564108399E-2</v>
      </c>
      <c r="AO227" s="4">
        <f t="shared" si="156"/>
        <v>7.3493212906090566E-3</v>
      </c>
      <c r="AP227" s="4">
        <f t="shared" si="156"/>
        <v>4.9390262185057265E-3</v>
      </c>
      <c r="AQ227" s="4">
        <f t="shared" si="156"/>
        <v>3.3164275492956197E-3</v>
      </c>
      <c r="AR227" s="4">
        <f t="shared" si="156"/>
        <v>2.2256362146679809E-3</v>
      </c>
    </row>
    <row r="228" spans="1:44" x14ac:dyDescent="0.25">
      <c r="A228" s="24" t="s">
        <v>25</v>
      </c>
      <c r="B228" s="60">
        <f>'Parameter Input'!B47</f>
        <v>-7500</v>
      </c>
      <c r="C228" s="61">
        <f>'Parameter Input'!C47</f>
        <v>-7500</v>
      </c>
      <c r="D228" s="1" t="s">
        <v>15</v>
      </c>
      <c r="L228" s="54">
        <f>'Parameter Input'!E47</f>
        <v>12</v>
      </c>
      <c r="M228" s="37">
        <v>0</v>
      </c>
      <c r="N228" s="37">
        <v>1</v>
      </c>
      <c r="O228" s="37">
        <f>'Parameter Input'!F34</f>
        <v>0.9</v>
      </c>
      <c r="P228" s="55">
        <f>'Parameter Input'!G34</f>
        <v>0.4</v>
      </c>
      <c r="Q228" s="4">
        <f t="shared" si="156"/>
        <v>0.9867978615748374</v>
      </c>
      <c r="R228" s="4">
        <f t="shared" si="156"/>
        <v>0.98114509762858249</v>
      </c>
      <c r="S228" s="4">
        <f t="shared" si="156"/>
        <v>0.97311898315872036</v>
      </c>
      <c r="T228" s="4">
        <f t="shared" si="156"/>
        <v>0.96177484161592774</v>
      </c>
      <c r="U228" s="4">
        <f t="shared" si="156"/>
        <v>0.94584787155511363</v>
      </c>
      <c r="V228" s="4">
        <f t="shared" si="156"/>
        <v>0.92370360150141495</v>
      </c>
      <c r="W228" s="4">
        <f t="shared" si="156"/>
        <v>0.89334463567658451</v>
      </c>
      <c r="X228" s="4">
        <f t="shared" si="156"/>
        <v>0.85254543874327005</v>
      </c>
      <c r="Y228" s="4">
        <f t="shared" si="156"/>
        <v>0.79921300652623883</v>
      </c>
      <c r="Z228" s="4">
        <f t="shared" si="156"/>
        <v>0.73204982249993378</v>
      </c>
      <c r="AA228" s="4">
        <f t="shared" si="156"/>
        <v>0.65145592958786691</v>
      </c>
      <c r="AB228" s="4">
        <f t="shared" si="156"/>
        <v>0.56032247880849573</v>
      </c>
      <c r="AC228" s="4">
        <f t="shared" si="156"/>
        <v>0.46411326873185343</v>
      </c>
      <c r="AD228" s="4">
        <f t="shared" si="156"/>
        <v>0.36979727595523937</v>
      </c>
      <c r="AE228" s="4">
        <f t="shared" si="156"/>
        <v>0.28393948637231203</v>
      </c>
      <c r="AF228" s="4">
        <f t="shared" si="156"/>
        <v>0.21097259161117732</v>
      </c>
      <c r="AG228" s="4">
        <f t="shared" si="156"/>
        <v>0.15253917653798199</v>
      </c>
      <c r="AH228" s="4">
        <f t="shared" si="156"/>
        <v>0.10795188737709993</v>
      </c>
      <c r="AI228" s="4">
        <f t="shared" si="156"/>
        <v>7.5176653938091809E-2</v>
      </c>
      <c r="AJ228" s="4">
        <f t="shared" si="156"/>
        <v>5.1742836177502194E-2</v>
      </c>
      <c r="AK228" s="4">
        <f t="shared" si="156"/>
        <v>3.5319190625345942E-2</v>
      </c>
      <c r="AL228" s="4">
        <f t="shared" si="156"/>
        <v>2.3969442072658165E-2</v>
      </c>
      <c r="AM228" s="4">
        <f t="shared" si="156"/>
        <v>1.6202243558389728E-2</v>
      </c>
      <c r="AN228" s="4">
        <f t="shared" si="156"/>
        <v>1.0922240564108399E-2</v>
      </c>
      <c r="AO228" s="4">
        <f t="shared" si="156"/>
        <v>7.3493212906090566E-3</v>
      </c>
      <c r="AP228" s="4">
        <f t="shared" si="156"/>
        <v>4.9390262185057265E-3</v>
      </c>
      <c r="AQ228" s="4">
        <f t="shared" si="156"/>
        <v>3.3164275492956197E-3</v>
      </c>
      <c r="AR228" s="4">
        <f t="shared" si="156"/>
        <v>2.2256362146679809E-3</v>
      </c>
    </row>
    <row r="229" spans="1:44" x14ac:dyDescent="0.25">
      <c r="A229" s="24" t="s">
        <v>79</v>
      </c>
      <c r="B229" s="45">
        <f>'Parameter Input'!$L$52</f>
        <v>0.06</v>
      </c>
      <c r="C229" s="46">
        <f>'Parameter Input'!$M$52</f>
        <v>0.06</v>
      </c>
      <c r="D229" s="1" t="s">
        <v>57</v>
      </c>
      <c r="L229" s="54">
        <f>'Parameter Input'!$O$52</f>
        <v>12</v>
      </c>
      <c r="M229" s="37">
        <v>0</v>
      </c>
      <c r="N229" s="37">
        <v>1</v>
      </c>
      <c r="O229" s="37">
        <f>'Parameter Input'!$P$52</f>
        <v>0.9</v>
      </c>
      <c r="P229" s="55">
        <f>'Parameter Input'!$Q$52</f>
        <v>0.4</v>
      </c>
      <c r="Q229" s="4">
        <f t="shared" si="156"/>
        <v>0.9867978615748374</v>
      </c>
      <c r="R229" s="4">
        <f t="shared" si="156"/>
        <v>0.98114509762858249</v>
      </c>
      <c r="S229" s="4">
        <f t="shared" si="156"/>
        <v>0.97311898315872036</v>
      </c>
      <c r="T229" s="4">
        <f t="shared" si="156"/>
        <v>0.96177484161592774</v>
      </c>
      <c r="U229" s="4">
        <f t="shared" si="156"/>
        <v>0.94584787155511363</v>
      </c>
      <c r="V229" s="4">
        <f t="shared" si="156"/>
        <v>0.92370360150141495</v>
      </c>
      <c r="W229" s="4">
        <f t="shared" si="156"/>
        <v>0.89334463567658451</v>
      </c>
      <c r="X229" s="4">
        <f t="shared" si="156"/>
        <v>0.85254543874327005</v>
      </c>
      <c r="Y229" s="4">
        <f t="shared" si="156"/>
        <v>0.79921300652623883</v>
      </c>
      <c r="Z229" s="4">
        <f t="shared" si="156"/>
        <v>0.73204982249993378</v>
      </c>
      <c r="AA229" s="4">
        <f t="shared" si="156"/>
        <v>0.65145592958786691</v>
      </c>
      <c r="AB229" s="4">
        <f t="shared" si="156"/>
        <v>0.56032247880849573</v>
      </c>
      <c r="AC229" s="4">
        <f t="shared" si="156"/>
        <v>0.46411326873185343</v>
      </c>
      <c r="AD229" s="4">
        <f t="shared" si="156"/>
        <v>0.36979727595523937</v>
      </c>
      <c r="AE229" s="4">
        <f t="shared" si="156"/>
        <v>0.28393948637231203</v>
      </c>
      <c r="AF229" s="4">
        <f t="shared" si="156"/>
        <v>0.21097259161117732</v>
      </c>
      <c r="AG229" s="4">
        <f t="shared" si="156"/>
        <v>0.15253917653798199</v>
      </c>
      <c r="AH229" s="4">
        <f t="shared" si="156"/>
        <v>0.10795188737709993</v>
      </c>
      <c r="AI229" s="4">
        <f t="shared" si="156"/>
        <v>7.5176653938091809E-2</v>
      </c>
      <c r="AJ229" s="4">
        <f t="shared" si="156"/>
        <v>5.1742836177502194E-2</v>
      </c>
      <c r="AK229" s="4">
        <f t="shared" si="156"/>
        <v>3.5319190625345942E-2</v>
      </c>
      <c r="AL229" s="4">
        <f t="shared" si="156"/>
        <v>2.3969442072658165E-2</v>
      </c>
      <c r="AM229" s="4">
        <f t="shared" si="156"/>
        <v>1.6202243558389728E-2</v>
      </c>
      <c r="AN229" s="4">
        <f t="shared" si="156"/>
        <v>1.0922240564108399E-2</v>
      </c>
      <c r="AO229" s="4">
        <f t="shared" si="156"/>
        <v>7.3493212906090566E-3</v>
      </c>
      <c r="AP229" s="4">
        <f t="shared" si="156"/>
        <v>4.9390262185057265E-3</v>
      </c>
      <c r="AQ229" s="4">
        <f t="shared" si="156"/>
        <v>3.3164275492956197E-3</v>
      </c>
      <c r="AR229" s="4">
        <f t="shared" si="156"/>
        <v>2.2256362146679809E-3</v>
      </c>
    </row>
    <row r="230" spans="1:44" x14ac:dyDescent="0.25">
      <c r="A230" s="24" t="s">
        <v>37</v>
      </c>
      <c r="B230" s="60">
        <f>'Parameter Input'!B48</f>
        <v>70000</v>
      </c>
      <c r="C230" s="61">
        <f>'Parameter Input'!C48</f>
        <v>70000</v>
      </c>
      <c r="D230" s="1" t="s">
        <v>38</v>
      </c>
      <c r="L230" s="54">
        <f>'Parameter Input'!E48</f>
        <v>12</v>
      </c>
      <c r="M230" s="37">
        <v>0</v>
      </c>
      <c r="N230" s="37">
        <v>1</v>
      </c>
      <c r="O230" s="37">
        <f>'Parameter Input'!F48</f>
        <v>0.9</v>
      </c>
      <c r="P230" s="55">
        <f>'Parameter Input'!G48</f>
        <v>0.4</v>
      </c>
      <c r="Q230" s="4">
        <f t="shared" si="156"/>
        <v>0.9867978615748374</v>
      </c>
      <c r="R230" s="4">
        <f t="shared" si="156"/>
        <v>0.98114509762858249</v>
      </c>
      <c r="S230" s="4">
        <f t="shared" si="156"/>
        <v>0.97311898315872036</v>
      </c>
      <c r="T230" s="4">
        <f t="shared" si="156"/>
        <v>0.96177484161592774</v>
      </c>
      <c r="U230" s="4">
        <f t="shared" si="156"/>
        <v>0.94584787155511363</v>
      </c>
      <c r="V230" s="4">
        <f t="shared" si="156"/>
        <v>0.92370360150141495</v>
      </c>
      <c r="W230" s="4">
        <f t="shared" si="156"/>
        <v>0.89334463567658451</v>
      </c>
      <c r="X230" s="4">
        <f t="shared" si="156"/>
        <v>0.85254543874327005</v>
      </c>
      <c r="Y230" s="4">
        <f t="shared" si="156"/>
        <v>0.79921300652623883</v>
      </c>
      <c r="Z230" s="4">
        <f t="shared" si="156"/>
        <v>0.73204982249993378</v>
      </c>
      <c r="AA230" s="4">
        <f t="shared" si="156"/>
        <v>0.65145592958786691</v>
      </c>
      <c r="AB230" s="4">
        <f t="shared" si="156"/>
        <v>0.56032247880849573</v>
      </c>
      <c r="AC230" s="4">
        <f t="shared" si="156"/>
        <v>0.46411326873185343</v>
      </c>
      <c r="AD230" s="4">
        <f t="shared" si="156"/>
        <v>0.36979727595523937</v>
      </c>
      <c r="AE230" s="4">
        <f t="shared" si="156"/>
        <v>0.28393948637231203</v>
      </c>
      <c r="AF230" s="4">
        <f t="shared" si="156"/>
        <v>0.21097259161117732</v>
      </c>
      <c r="AG230" s="4">
        <f t="shared" si="156"/>
        <v>0.15253917653798199</v>
      </c>
      <c r="AH230" s="4">
        <f t="shared" si="156"/>
        <v>0.10795188737709993</v>
      </c>
      <c r="AI230" s="4">
        <f t="shared" si="156"/>
        <v>7.5176653938091809E-2</v>
      </c>
      <c r="AJ230" s="4">
        <f t="shared" si="156"/>
        <v>5.1742836177502194E-2</v>
      </c>
      <c r="AK230" s="4">
        <f t="shared" si="156"/>
        <v>3.5319190625345942E-2</v>
      </c>
      <c r="AL230" s="4">
        <f t="shared" si="156"/>
        <v>2.3969442072658165E-2</v>
      </c>
      <c r="AM230" s="4">
        <f t="shared" si="156"/>
        <v>1.6202243558389728E-2</v>
      </c>
      <c r="AN230" s="4">
        <f t="shared" si="156"/>
        <v>1.0922240564108399E-2</v>
      </c>
      <c r="AO230" s="4">
        <f t="shared" si="156"/>
        <v>7.3493212906090566E-3</v>
      </c>
      <c r="AP230" s="4">
        <f t="shared" si="156"/>
        <v>4.9390262185057265E-3</v>
      </c>
      <c r="AQ230" s="4">
        <f t="shared" si="156"/>
        <v>3.3164275492956197E-3</v>
      </c>
      <c r="AR230" s="4">
        <f t="shared" si="156"/>
        <v>2.2256362146679809E-3</v>
      </c>
    </row>
    <row r="231" spans="1:44" x14ac:dyDescent="0.25">
      <c r="A231" s="24" t="s">
        <v>52</v>
      </c>
      <c r="B231" s="43">
        <f>'Parameter Input'!$L$48</f>
        <v>26000</v>
      </c>
      <c r="C231" s="44">
        <f>'Parameter Input'!$M$48</f>
        <v>18000</v>
      </c>
      <c r="D231" s="1" t="s">
        <v>38</v>
      </c>
      <c r="L231" s="54">
        <f>'Parameter Input'!$O$48</f>
        <v>9</v>
      </c>
      <c r="M231" s="37">
        <v>0</v>
      </c>
      <c r="N231" s="37">
        <v>1</v>
      </c>
      <c r="O231" s="37">
        <f>'Parameter Input'!$P$48</f>
        <v>0.9</v>
      </c>
      <c r="P231" s="55">
        <f>'Parameter Input'!$Q$48</f>
        <v>0.4</v>
      </c>
      <c r="Q231" s="4">
        <f t="shared" si="156"/>
        <v>0.96177484161592774</v>
      </c>
      <c r="R231" s="4">
        <f t="shared" si="156"/>
        <v>0.94584787155511363</v>
      </c>
      <c r="S231" s="4">
        <f t="shared" si="156"/>
        <v>0.92370360150141495</v>
      </c>
      <c r="T231" s="4">
        <f t="shared" si="156"/>
        <v>0.89334463567658451</v>
      </c>
      <c r="U231" s="4">
        <f t="shared" si="156"/>
        <v>0.85254543874327005</v>
      </c>
      <c r="V231" s="4">
        <f t="shared" si="156"/>
        <v>0.79921300652623883</v>
      </c>
      <c r="W231" s="4">
        <f t="shared" si="156"/>
        <v>0.73204982249993378</v>
      </c>
      <c r="X231" s="4">
        <f t="shared" si="156"/>
        <v>0.65145592958786691</v>
      </c>
      <c r="Y231" s="4">
        <f t="shared" si="156"/>
        <v>0.56032247880849573</v>
      </c>
      <c r="Z231" s="4">
        <f t="shared" si="156"/>
        <v>0.46411326873185343</v>
      </c>
      <c r="AA231" s="4">
        <f t="shared" si="156"/>
        <v>0.36979727595523937</v>
      </c>
      <c r="AB231" s="4">
        <f t="shared" si="156"/>
        <v>0.28393948637231203</v>
      </c>
      <c r="AC231" s="4">
        <f t="shared" si="156"/>
        <v>0.21097259161117732</v>
      </c>
      <c r="AD231" s="4">
        <f t="shared" si="156"/>
        <v>0.15253917653798199</v>
      </c>
      <c r="AE231" s="4">
        <f t="shared" si="156"/>
        <v>0.10795188737709993</v>
      </c>
      <c r="AF231" s="4">
        <f t="shared" si="156"/>
        <v>7.5176653938091809E-2</v>
      </c>
      <c r="AG231" s="4">
        <f t="shared" si="156"/>
        <v>5.1742836177502194E-2</v>
      </c>
      <c r="AH231" s="4">
        <f t="shared" si="156"/>
        <v>3.5319190625345942E-2</v>
      </c>
      <c r="AI231" s="4">
        <f t="shared" si="156"/>
        <v>2.3969442072658165E-2</v>
      </c>
      <c r="AJ231" s="4">
        <f t="shared" si="156"/>
        <v>1.6202243558389728E-2</v>
      </c>
      <c r="AK231" s="4">
        <f t="shared" si="156"/>
        <v>1.0922240564108399E-2</v>
      </c>
      <c r="AL231" s="4">
        <f t="shared" si="156"/>
        <v>7.3493212906090566E-3</v>
      </c>
      <c r="AM231" s="4">
        <f t="shared" si="156"/>
        <v>4.9390262185057265E-3</v>
      </c>
      <c r="AN231" s="4">
        <f t="shared" si="156"/>
        <v>3.3164275492956197E-3</v>
      </c>
      <c r="AO231" s="4">
        <f t="shared" si="156"/>
        <v>2.2256362146679809E-3</v>
      </c>
      <c r="AP231" s="4">
        <f t="shared" si="156"/>
        <v>1.4930448704811861E-3</v>
      </c>
      <c r="AQ231" s="4">
        <f t="shared" si="156"/>
        <v>1.0013381504474506E-3</v>
      </c>
      <c r="AR231" s="4">
        <f t="shared" si="156"/>
        <v>6.7145100246257527E-4</v>
      </c>
    </row>
    <row r="232" spans="1:44" x14ac:dyDescent="0.25">
      <c r="A232" s="24" t="s">
        <v>272</v>
      </c>
      <c r="B232" s="60">
        <f>'Parameter Input'!B53</f>
        <v>0.11</v>
      </c>
      <c r="C232" s="61">
        <f>'Parameter Input'!C53</f>
        <v>0.11</v>
      </c>
      <c r="D232" s="1" t="s">
        <v>76</v>
      </c>
      <c r="L232" s="54">
        <f>'Parameter Input'!E53</f>
        <v>12</v>
      </c>
      <c r="M232" s="37">
        <v>0</v>
      </c>
      <c r="N232" s="37">
        <v>1</v>
      </c>
      <c r="O232" s="37">
        <f>'Parameter Input'!F53</f>
        <v>0.9</v>
      </c>
      <c r="P232" s="55">
        <f>'Parameter Input'!G53</f>
        <v>0.4</v>
      </c>
      <c r="Q232" s="4">
        <f t="shared" si="156"/>
        <v>0.9867978615748374</v>
      </c>
      <c r="R232" s="4">
        <f t="shared" si="156"/>
        <v>0.98114509762858249</v>
      </c>
      <c r="S232" s="4">
        <f t="shared" si="156"/>
        <v>0.97311898315872036</v>
      </c>
      <c r="T232" s="4">
        <f t="shared" si="156"/>
        <v>0.96177484161592774</v>
      </c>
      <c r="U232" s="4">
        <f t="shared" si="156"/>
        <v>0.94584787155511363</v>
      </c>
      <c r="V232" s="4">
        <f t="shared" si="156"/>
        <v>0.92370360150141495</v>
      </c>
      <c r="W232" s="4">
        <f t="shared" si="156"/>
        <v>0.89334463567658451</v>
      </c>
      <c r="X232" s="4">
        <f t="shared" si="156"/>
        <v>0.85254543874327005</v>
      </c>
      <c r="Y232" s="4">
        <f t="shared" si="156"/>
        <v>0.79921300652623883</v>
      </c>
      <c r="Z232" s="4">
        <f t="shared" si="156"/>
        <v>0.73204982249993378</v>
      </c>
      <c r="AA232" s="4">
        <f t="shared" si="156"/>
        <v>0.65145592958786691</v>
      </c>
      <c r="AB232" s="4">
        <f t="shared" si="156"/>
        <v>0.56032247880849573</v>
      </c>
      <c r="AC232" s="4">
        <f t="shared" si="156"/>
        <v>0.46411326873185343</v>
      </c>
      <c r="AD232" s="4">
        <f t="shared" si="156"/>
        <v>0.36979727595523937</v>
      </c>
      <c r="AE232" s="4">
        <f t="shared" si="156"/>
        <v>0.28393948637231203</v>
      </c>
      <c r="AF232" s="4">
        <f t="shared" si="156"/>
        <v>0.21097259161117732</v>
      </c>
      <c r="AG232" s="4">
        <f t="shared" si="156"/>
        <v>0.15253917653798199</v>
      </c>
      <c r="AH232" s="4">
        <f t="shared" si="156"/>
        <v>0.10795188737709993</v>
      </c>
      <c r="AI232" s="4">
        <f t="shared" si="156"/>
        <v>7.5176653938091809E-2</v>
      </c>
      <c r="AJ232" s="4">
        <f t="shared" si="156"/>
        <v>5.1742836177502194E-2</v>
      </c>
      <c r="AK232" s="4">
        <f t="shared" si="156"/>
        <v>3.5319190625345942E-2</v>
      </c>
      <c r="AL232" s="4">
        <f t="shared" si="156"/>
        <v>2.3969442072658165E-2</v>
      </c>
      <c r="AM232" s="4">
        <f t="shared" si="156"/>
        <v>1.6202243558389728E-2</v>
      </c>
      <c r="AN232" s="4">
        <f t="shared" si="156"/>
        <v>1.0922240564108399E-2</v>
      </c>
      <c r="AO232" s="4">
        <f t="shared" si="156"/>
        <v>7.3493212906090566E-3</v>
      </c>
      <c r="AP232" s="4">
        <f t="shared" si="156"/>
        <v>4.9390262185057265E-3</v>
      </c>
      <c r="AQ232" s="4">
        <f t="shared" si="156"/>
        <v>3.3164275492956197E-3</v>
      </c>
      <c r="AR232" s="4">
        <f t="shared" si="156"/>
        <v>2.2256362146679809E-3</v>
      </c>
    </row>
    <row r="233" spans="1:44" x14ac:dyDescent="0.25">
      <c r="A233" s="24" t="s">
        <v>59</v>
      </c>
      <c r="B233" s="47">
        <f>'Parameter Input'!$L$49</f>
        <v>2.5299999999999998</v>
      </c>
      <c r="C233" s="48">
        <f>'Parameter Input'!$M$49</f>
        <v>1.79</v>
      </c>
      <c r="D233" s="1" t="s">
        <v>60</v>
      </c>
      <c r="L233" s="54">
        <f>'Parameter Input'!$O$49</f>
        <v>9</v>
      </c>
      <c r="M233" s="37">
        <v>0</v>
      </c>
      <c r="N233" s="37">
        <v>1</v>
      </c>
      <c r="O233" s="37">
        <f>'Parameter Input'!$P$49</f>
        <v>0.9</v>
      </c>
      <c r="P233" s="55">
        <f>'Parameter Input'!$Q$49</f>
        <v>0.4</v>
      </c>
      <c r="Q233" s="4">
        <f t="shared" si="156"/>
        <v>0.96177484161592774</v>
      </c>
      <c r="R233" s="4">
        <f t="shared" si="156"/>
        <v>0.94584787155511363</v>
      </c>
      <c r="S233" s="4">
        <f t="shared" si="156"/>
        <v>0.92370360150141495</v>
      </c>
      <c r="T233" s="4">
        <f t="shared" si="156"/>
        <v>0.89334463567658451</v>
      </c>
      <c r="U233" s="4">
        <f t="shared" si="156"/>
        <v>0.85254543874327005</v>
      </c>
      <c r="V233" s="4">
        <f t="shared" si="156"/>
        <v>0.79921300652623883</v>
      </c>
      <c r="W233" s="4">
        <f t="shared" si="156"/>
        <v>0.73204982249993378</v>
      </c>
      <c r="X233" s="4">
        <f t="shared" si="156"/>
        <v>0.65145592958786691</v>
      </c>
      <c r="Y233" s="4">
        <f t="shared" si="156"/>
        <v>0.56032247880849573</v>
      </c>
      <c r="Z233" s="4">
        <f t="shared" si="156"/>
        <v>0.46411326873185343</v>
      </c>
      <c r="AA233" s="4">
        <f t="shared" si="156"/>
        <v>0.36979727595523937</v>
      </c>
      <c r="AB233" s="4">
        <f t="shared" si="156"/>
        <v>0.28393948637231203</v>
      </c>
      <c r="AC233" s="4">
        <f t="shared" si="156"/>
        <v>0.21097259161117732</v>
      </c>
      <c r="AD233" s="4">
        <f t="shared" si="156"/>
        <v>0.15253917653798199</v>
      </c>
      <c r="AE233" s="4">
        <f t="shared" si="156"/>
        <v>0.10795188737709993</v>
      </c>
      <c r="AF233" s="4">
        <f t="shared" si="156"/>
        <v>7.5176653938091809E-2</v>
      </c>
      <c r="AG233" s="4">
        <f t="shared" si="156"/>
        <v>5.1742836177502194E-2</v>
      </c>
      <c r="AH233" s="4">
        <f t="shared" si="156"/>
        <v>3.5319190625345942E-2</v>
      </c>
      <c r="AI233" s="4">
        <f t="shared" si="156"/>
        <v>2.3969442072658165E-2</v>
      </c>
      <c r="AJ233" s="4">
        <f t="shared" si="156"/>
        <v>1.6202243558389728E-2</v>
      </c>
      <c r="AK233" s="4">
        <f t="shared" si="156"/>
        <v>1.0922240564108399E-2</v>
      </c>
      <c r="AL233" s="4">
        <f t="shared" si="156"/>
        <v>7.3493212906090566E-3</v>
      </c>
      <c r="AM233" s="4">
        <f t="shared" si="156"/>
        <v>4.9390262185057265E-3</v>
      </c>
      <c r="AN233" s="4">
        <f t="shared" si="156"/>
        <v>3.3164275492956197E-3</v>
      </c>
      <c r="AO233" s="4">
        <f t="shared" si="156"/>
        <v>2.2256362146679809E-3</v>
      </c>
      <c r="AP233" s="4">
        <f t="shared" si="156"/>
        <v>1.4930448704811861E-3</v>
      </c>
      <c r="AQ233" s="4">
        <f t="shared" si="156"/>
        <v>1.0013381504474506E-3</v>
      </c>
      <c r="AR233" s="4">
        <f t="shared" si="156"/>
        <v>6.7145100246257527E-4</v>
      </c>
    </row>
    <row r="234" spans="1:44" x14ac:dyDescent="0.25">
      <c r="A234" s="24" t="s">
        <v>67</v>
      </c>
      <c r="B234" s="45">
        <f>'Parameter Input'!$L$50</f>
        <v>0.2544561408768215</v>
      </c>
      <c r="C234" s="46">
        <f>'Parameter Input'!$M$50</f>
        <v>0.10949010032952979</v>
      </c>
      <c r="D234" s="1" t="s">
        <v>68</v>
      </c>
      <c r="L234" s="54">
        <f>'Parameter Input'!$O$50</f>
        <v>12</v>
      </c>
      <c r="M234" s="37">
        <v>0</v>
      </c>
      <c r="N234" s="37">
        <v>1</v>
      </c>
      <c r="O234" s="37">
        <f>'Parameter Input'!$P$50</f>
        <v>0.9</v>
      </c>
      <c r="P234" s="55">
        <f>'Parameter Input'!$Q$50</f>
        <v>0.4</v>
      </c>
      <c r="Q234" s="4">
        <f t="shared" si="156"/>
        <v>0.9867978615748374</v>
      </c>
      <c r="R234" s="4">
        <f t="shared" si="156"/>
        <v>0.98114509762858249</v>
      </c>
      <c r="S234" s="4">
        <f t="shared" si="156"/>
        <v>0.97311898315872036</v>
      </c>
      <c r="T234" s="4">
        <f t="shared" ref="T234:AI241" si="157">$N234+($M234-$N234)*((1/(1+EXP(-$P234*(T$9-$L234)))^$O234))</f>
        <v>0.96177484161592774</v>
      </c>
      <c r="U234" s="4">
        <f t="shared" si="157"/>
        <v>0.94584787155511363</v>
      </c>
      <c r="V234" s="4">
        <f t="shared" si="157"/>
        <v>0.92370360150141495</v>
      </c>
      <c r="W234" s="4">
        <f t="shared" si="157"/>
        <v>0.89334463567658451</v>
      </c>
      <c r="X234" s="4">
        <f t="shared" si="157"/>
        <v>0.85254543874327005</v>
      </c>
      <c r="Y234" s="4">
        <f t="shared" si="157"/>
        <v>0.79921300652623883</v>
      </c>
      <c r="Z234" s="4">
        <f t="shared" si="157"/>
        <v>0.73204982249993378</v>
      </c>
      <c r="AA234" s="4">
        <f t="shared" si="157"/>
        <v>0.65145592958786691</v>
      </c>
      <c r="AB234" s="4">
        <f t="shared" si="157"/>
        <v>0.56032247880849573</v>
      </c>
      <c r="AC234" s="4">
        <f t="shared" si="157"/>
        <v>0.46411326873185343</v>
      </c>
      <c r="AD234" s="4">
        <f t="shared" si="157"/>
        <v>0.36979727595523937</v>
      </c>
      <c r="AE234" s="4">
        <f t="shared" si="157"/>
        <v>0.28393948637231203</v>
      </c>
      <c r="AF234" s="4">
        <f t="shared" si="157"/>
        <v>0.21097259161117732</v>
      </c>
      <c r="AG234" s="4">
        <f t="shared" si="157"/>
        <v>0.15253917653798199</v>
      </c>
      <c r="AH234" s="4">
        <f t="shared" si="157"/>
        <v>0.10795188737709993</v>
      </c>
      <c r="AI234" s="4">
        <f t="shared" si="157"/>
        <v>7.5176653938091809E-2</v>
      </c>
      <c r="AJ234" s="4">
        <f t="shared" ref="AJ234:AR241" si="158">$N234+($M234-$N234)*((1/(1+EXP(-$P234*(AJ$9-$L234)))^$O234))</f>
        <v>5.1742836177502194E-2</v>
      </c>
      <c r="AK234" s="4">
        <f t="shared" si="158"/>
        <v>3.5319190625345942E-2</v>
      </c>
      <c r="AL234" s="4">
        <f t="shared" si="158"/>
        <v>2.3969442072658165E-2</v>
      </c>
      <c r="AM234" s="4">
        <f t="shared" si="158"/>
        <v>1.6202243558389728E-2</v>
      </c>
      <c r="AN234" s="4">
        <f t="shared" si="158"/>
        <v>1.0922240564108399E-2</v>
      </c>
      <c r="AO234" s="4">
        <f t="shared" si="158"/>
        <v>7.3493212906090566E-3</v>
      </c>
      <c r="AP234" s="4">
        <f t="shared" si="158"/>
        <v>4.9390262185057265E-3</v>
      </c>
      <c r="AQ234" s="4">
        <f t="shared" si="158"/>
        <v>3.3164275492956197E-3</v>
      </c>
      <c r="AR234" s="4">
        <f t="shared" si="158"/>
        <v>2.2256362146679809E-3</v>
      </c>
    </row>
    <row r="235" spans="1:44" x14ac:dyDescent="0.25">
      <c r="A235" s="24" t="s">
        <v>206</v>
      </c>
      <c r="B235" s="115">
        <f>'Parameter Input'!$L$53</f>
        <v>9.1245901639344252E-3</v>
      </c>
      <c r="C235" s="116">
        <f>'Parameter Input'!$M$53</f>
        <v>0</v>
      </c>
      <c r="D235" s="1" t="s">
        <v>76</v>
      </c>
      <c r="L235" s="54">
        <f>'Parameter Input'!$O$53</f>
        <v>17</v>
      </c>
      <c r="M235" s="37">
        <v>0</v>
      </c>
      <c r="N235" s="37">
        <v>1</v>
      </c>
      <c r="O235" s="37">
        <f>'Parameter Input'!$P$53</f>
        <v>0.9</v>
      </c>
      <c r="P235" s="55">
        <f>'Parameter Input'!$Q$53</f>
        <v>0.4</v>
      </c>
      <c r="Q235" s="4">
        <f t="shared" ref="Q235:AR235" si="159">$N235+($M235-$N235)*((1/(1+EXP(-$P235*(Q$9-$L235)))^$O235))</f>
        <v>0.99780374543478534</v>
      </c>
      <c r="R235" s="4">
        <f t="shared" si="159"/>
        <v>0.99685359315256394</v>
      </c>
      <c r="S235" s="4">
        <f t="shared" si="159"/>
        <v>0.99549347132349975</v>
      </c>
      <c r="T235" s="4">
        <f t="shared" si="159"/>
        <v>0.99354772139898062</v>
      </c>
      <c r="U235" s="4">
        <f t="shared" si="159"/>
        <v>0.99076681540580536</v>
      </c>
      <c r="V235" s="4">
        <f t="shared" si="159"/>
        <v>0.9867978615748374</v>
      </c>
      <c r="W235" s="4">
        <f t="shared" si="159"/>
        <v>0.98114509762858249</v>
      </c>
      <c r="X235" s="4">
        <f t="shared" si="159"/>
        <v>0.97311898315872036</v>
      </c>
      <c r="Y235" s="4">
        <f t="shared" si="159"/>
        <v>0.96177484161592774</v>
      </c>
      <c r="Z235" s="4">
        <f t="shared" si="159"/>
        <v>0.94584787155511363</v>
      </c>
      <c r="AA235" s="4">
        <f t="shared" si="159"/>
        <v>0.92370360150141495</v>
      </c>
      <c r="AB235" s="4">
        <f t="shared" si="159"/>
        <v>0.89334463567658451</v>
      </c>
      <c r="AC235" s="4">
        <f t="shared" si="159"/>
        <v>0.85254543874327005</v>
      </c>
      <c r="AD235" s="4">
        <f t="shared" si="159"/>
        <v>0.79921300652623883</v>
      </c>
      <c r="AE235" s="4">
        <f t="shared" si="159"/>
        <v>0.73204982249993378</v>
      </c>
      <c r="AF235" s="4">
        <f t="shared" si="159"/>
        <v>0.65145592958786691</v>
      </c>
      <c r="AG235" s="4">
        <f t="shared" si="159"/>
        <v>0.56032247880849573</v>
      </c>
      <c r="AH235" s="4">
        <f t="shared" si="159"/>
        <v>0.46411326873185343</v>
      </c>
      <c r="AI235" s="4">
        <f t="shared" si="159"/>
        <v>0.36979727595523937</v>
      </c>
      <c r="AJ235" s="4">
        <f t="shared" si="159"/>
        <v>0.28393948637231203</v>
      </c>
      <c r="AK235" s="4">
        <f t="shared" si="159"/>
        <v>0.21097259161117732</v>
      </c>
      <c r="AL235" s="4">
        <f t="shared" si="159"/>
        <v>0.15253917653798199</v>
      </c>
      <c r="AM235" s="4">
        <f t="shared" si="159"/>
        <v>0.10795188737709993</v>
      </c>
      <c r="AN235" s="4">
        <f t="shared" si="159"/>
        <v>7.5176653938091809E-2</v>
      </c>
      <c r="AO235" s="4">
        <f t="shared" si="159"/>
        <v>5.1742836177502194E-2</v>
      </c>
      <c r="AP235" s="4">
        <f t="shared" si="159"/>
        <v>3.5319190625345942E-2</v>
      </c>
      <c r="AQ235" s="4">
        <f t="shared" si="159"/>
        <v>2.3969442072658165E-2</v>
      </c>
      <c r="AR235" s="4">
        <f t="shared" si="159"/>
        <v>1.6202243558389728E-2</v>
      </c>
    </row>
    <row r="236" spans="1:44" x14ac:dyDescent="0.25">
      <c r="A236" s="24" t="s">
        <v>41</v>
      </c>
      <c r="B236" s="43">
        <f>'Parameter Input'!$L$47</f>
        <v>8</v>
      </c>
      <c r="C236" s="44">
        <f>'Parameter Input'!$M$47</f>
        <v>8</v>
      </c>
      <c r="D236" s="1" t="s">
        <v>42</v>
      </c>
      <c r="L236" s="54">
        <f>'Parameter Input'!$O$47</f>
        <v>9</v>
      </c>
      <c r="M236" s="37">
        <v>0</v>
      </c>
      <c r="N236" s="37">
        <v>1</v>
      </c>
      <c r="O236" s="37">
        <f>'Parameter Input'!$P$47</f>
        <v>0.9</v>
      </c>
      <c r="P236" s="55">
        <f>'Parameter Input'!$Q$47</f>
        <v>0.4</v>
      </c>
      <c r="Q236" s="4">
        <f t="shared" ref="Q236:AF241" si="160">$N236+($M236-$N236)*((1/(1+EXP(-$P236*(Q$9-$L236)))^$O236))</f>
        <v>0.96177484161592774</v>
      </c>
      <c r="R236" s="4">
        <f t="shared" si="160"/>
        <v>0.94584787155511363</v>
      </c>
      <c r="S236" s="4">
        <f t="shared" si="160"/>
        <v>0.92370360150141495</v>
      </c>
      <c r="T236" s="4">
        <f t="shared" si="160"/>
        <v>0.89334463567658451</v>
      </c>
      <c r="U236" s="4">
        <f t="shared" si="160"/>
        <v>0.85254543874327005</v>
      </c>
      <c r="V236" s="4">
        <f t="shared" si="160"/>
        <v>0.79921300652623883</v>
      </c>
      <c r="W236" s="4">
        <f t="shared" si="160"/>
        <v>0.73204982249993378</v>
      </c>
      <c r="X236" s="4">
        <f t="shared" si="160"/>
        <v>0.65145592958786691</v>
      </c>
      <c r="Y236" s="4">
        <f t="shared" si="160"/>
        <v>0.56032247880849573</v>
      </c>
      <c r="Z236" s="4">
        <f t="shared" si="160"/>
        <v>0.46411326873185343</v>
      </c>
      <c r="AA236" s="4">
        <f t="shared" si="160"/>
        <v>0.36979727595523937</v>
      </c>
      <c r="AB236" s="4">
        <f t="shared" si="160"/>
        <v>0.28393948637231203</v>
      </c>
      <c r="AC236" s="4">
        <f t="shared" si="160"/>
        <v>0.21097259161117732</v>
      </c>
      <c r="AD236" s="4">
        <f t="shared" si="160"/>
        <v>0.15253917653798199</v>
      </c>
      <c r="AE236" s="4">
        <f t="shared" si="160"/>
        <v>0.10795188737709993</v>
      </c>
      <c r="AF236" s="4">
        <f t="shared" si="160"/>
        <v>7.5176653938091809E-2</v>
      </c>
      <c r="AG236" s="4">
        <f t="shared" si="157"/>
        <v>5.1742836177502194E-2</v>
      </c>
      <c r="AH236" s="4">
        <f t="shared" si="157"/>
        <v>3.5319190625345942E-2</v>
      </c>
      <c r="AI236" s="4">
        <f t="shared" si="157"/>
        <v>2.3969442072658165E-2</v>
      </c>
      <c r="AJ236" s="4">
        <f t="shared" si="158"/>
        <v>1.6202243558389728E-2</v>
      </c>
      <c r="AK236" s="4">
        <f t="shared" si="158"/>
        <v>1.0922240564108399E-2</v>
      </c>
      <c r="AL236" s="4">
        <f t="shared" si="158"/>
        <v>7.3493212906090566E-3</v>
      </c>
      <c r="AM236" s="4">
        <f t="shared" si="158"/>
        <v>4.9390262185057265E-3</v>
      </c>
      <c r="AN236" s="4">
        <f t="shared" si="158"/>
        <v>3.3164275492956197E-3</v>
      </c>
      <c r="AO236" s="4">
        <f t="shared" si="158"/>
        <v>2.2256362146679809E-3</v>
      </c>
      <c r="AP236" s="4">
        <f t="shared" si="158"/>
        <v>1.4930448704811861E-3</v>
      </c>
      <c r="AQ236" s="4">
        <f t="shared" si="158"/>
        <v>1.0013381504474506E-3</v>
      </c>
      <c r="AR236" s="4">
        <f t="shared" si="158"/>
        <v>6.7145100246257527E-4</v>
      </c>
    </row>
    <row r="237" spans="1:44" x14ac:dyDescent="0.25">
      <c r="A237" s="24" t="s">
        <v>70</v>
      </c>
      <c r="B237" s="60">
        <f>'Parameter Input'!B52</f>
        <v>10</v>
      </c>
      <c r="C237" s="61">
        <f>'Parameter Input'!C52</f>
        <v>10</v>
      </c>
      <c r="D237" s="1" t="s">
        <v>42</v>
      </c>
      <c r="L237" s="54">
        <f>'Parameter Input'!E52</f>
        <v>12</v>
      </c>
      <c r="M237" s="37">
        <v>0</v>
      </c>
      <c r="N237" s="37">
        <v>1</v>
      </c>
      <c r="O237" s="37">
        <f>'Parameter Input'!F52</f>
        <v>0.9</v>
      </c>
      <c r="P237" s="55">
        <f>'Parameter Input'!G52</f>
        <v>0.4</v>
      </c>
      <c r="Q237" s="4">
        <f t="shared" si="160"/>
        <v>0.9867978615748374</v>
      </c>
      <c r="R237" s="4">
        <f t="shared" si="160"/>
        <v>0.98114509762858249</v>
      </c>
      <c r="S237" s="4">
        <f t="shared" si="160"/>
        <v>0.97311898315872036</v>
      </c>
      <c r="T237" s="4">
        <f t="shared" si="160"/>
        <v>0.96177484161592774</v>
      </c>
      <c r="U237" s="4">
        <f t="shared" si="160"/>
        <v>0.94584787155511363</v>
      </c>
      <c r="V237" s="4">
        <f t="shared" si="160"/>
        <v>0.92370360150141495</v>
      </c>
      <c r="W237" s="4">
        <f t="shared" si="160"/>
        <v>0.89334463567658451</v>
      </c>
      <c r="X237" s="4">
        <f t="shared" si="160"/>
        <v>0.85254543874327005</v>
      </c>
      <c r="Y237" s="4">
        <f t="shared" si="160"/>
        <v>0.79921300652623883</v>
      </c>
      <c r="Z237" s="4">
        <f t="shared" si="160"/>
        <v>0.73204982249993378</v>
      </c>
      <c r="AA237" s="4">
        <f t="shared" si="160"/>
        <v>0.65145592958786691</v>
      </c>
      <c r="AB237" s="4">
        <f t="shared" si="160"/>
        <v>0.56032247880849573</v>
      </c>
      <c r="AC237" s="4">
        <f t="shared" si="160"/>
        <v>0.46411326873185343</v>
      </c>
      <c r="AD237" s="4">
        <f t="shared" si="160"/>
        <v>0.36979727595523937</v>
      </c>
      <c r="AE237" s="4">
        <f t="shared" si="160"/>
        <v>0.28393948637231203</v>
      </c>
      <c r="AF237" s="4">
        <f t="shared" si="160"/>
        <v>0.21097259161117732</v>
      </c>
      <c r="AG237" s="4">
        <f t="shared" si="157"/>
        <v>0.15253917653798199</v>
      </c>
      <c r="AH237" s="4">
        <f t="shared" si="157"/>
        <v>0.10795188737709993</v>
      </c>
      <c r="AI237" s="4">
        <f t="shared" si="157"/>
        <v>7.5176653938091809E-2</v>
      </c>
      <c r="AJ237" s="4">
        <f t="shared" si="158"/>
        <v>5.1742836177502194E-2</v>
      </c>
      <c r="AK237" s="4">
        <f t="shared" si="158"/>
        <v>3.5319190625345942E-2</v>
      </c>
      <c r="AL237" s="4">
        <f t="shared" si="158"/>
        <v>2.3969442072658165E-2</v>
      </c>
      <c r="AM237" s="4">
        <f t="shared" si="158"/>
        <v>1.6202243558389728E-2</v>
      </c>
      <c r="AN237" s="4">
        <f t="shared" si="158"/>
        <v>1.0922240564108399E-2</v>
      </c>
      <c r="AO237" s="4">
        <f t="shared" si="158"/>
        <v>7.3493212906090566E-3</v>
      </c>
      <c r="AP237" s="4">
        <f t="shared" si="158"/>
        <v>4.9390262185057265E-3</v>
      </c>
      <c r="AQ237" s="4">
        <f t="shared" si="158"/>
        <v>3.3164275492956197E-3</v>
      </c>
      <c r="AR237" s="4">
        <f t="shared" si="158"/>
        <v>2.2256362146679809E-3</v>
      </c>
    </row>
    <row r="238" spans="1:44" x14ac:dyDescent="0.25">
      <c r="A238" s="24" t="s">
        <v>207</v>
      </c>
      <c r="B238" s="43">
        <f>'Parameter Input'!B49</f>
        <v>25</v>
      </c>
      <c r="C238" s="44">
        <f>'Parameter Input'!C49</f>
        <v>25</v>
      </c>
      <c r="D238" s="1" t="s">
        <v>49</v>
      </c>
      <c r="L238" s="54">
        <f>'Parameter Input'!E49</f>
        <v>12</v>
      </c>
      <c r="M238" s="37">
        <v>0</v>
      </c>
      <c r="N238" s="37">
        <v>1</v>
      </c>
      <c r="O238" s="37">
        <f>'Parameter Input'!F49</f>
        <v>0.9</v>
      </c>
      <c r="P238" s="55">
        <f>'Parameter Input'!G49</f>
        <v>0.4</v>
      </c>
      <c r="Q238" s="4">
        <f t="shared" si="160"/>
        <v>0.9867978615748374</v>
      </c>
      <c r="R238" s="4">
        <f t="shared" si="160"/>
        <v>0.98114509762858249</v>
      </c>
      <c r="S238" s="4">
        <f t="shared" si="160"/>
        <v>0.97311898315872036</v>
      </c>
      <c r="T238" s="4">
        <f t="shared" si="160"/>
        <v>0.96177484161592774</v>
      </c>
      <c r="U238" s="4">
        <f t="shared" si="160"/>
        <v>0.94584787155511363</v>
      </c>
      <c r="V238" s="4">
        <f t="shared" si="160"/>
        <v>0.92370360150141495</v>
      </c>
      <c r="W238" s="4">
        <f t="shared" si="160"/>
        <v>0.89334463567658451</v>
      </c>
      <c r="X238" s="4">
        <f t="shared" si="160"/>
        <v>0.85254543874327005</v>
      </c>
      <c r="Y238" s="4">
        <f t="shared" si="160"/>
        <v>0.79921300652623883</v>
      </c>
      <c r="Z238" s="4">
        <f t="shared" si="160"/>
        <v>0.73204982249993378</v>
      </c>
      <c r="AA238" s="4">
        <f t="shared" si="160"/>
        <v>0.65145592958786691</v>
      </c>
      <c r="AB238" s="4">
        <f t="shared" si="160"/>
        <v>0.56032247880849573</v>
      </c>
      <c r="AC238" s="4">
        <f t="shared" si="160"/>
        <v>0.46411326873185343</v>
      </c>
      <c r="AD238" s="4">
        <f t="shared" si="160"/>
        <v>0.36979727595523937</v>
      </c>
      <c r="AE238" s="4">
        <f t="shared" si="160"/>
        <v>0.28393948637231203</v>
      </c>
      <c r="AF238" s="4">
        <f t="shared" si="160"/>
        <v>0.21097259161117732</v>
      </c>
      <c r="AG238" s="4">
        <f t="shared" si="157"/>
        <v>0.15253917653798199</v>
      </c>
      <c r="AH238" s="4">
        <f t="shared" si="157"/>
        <v>0.10795188737709993</v>
      </c>
      <c r="AI238" s="4">
        <f t="shared" si="157"/>
        <v>7.5176653938091809E-2</v>
      </c>
      <c r="AJ238" s="4">
        <f t="shared" si="158"/>
        <v>5.1742836177502194E-2</v>
      </c>
      <c r="AK238" s="4">
        <f t="shared" si="158"/>
        <v>3.5319190625345942E-2</v>
      </c>
      <c r="AL238" s="4">
        <f t="shared" si="158"/>
        <v>2.3969442072658165E-2</v>
      </c>
      <c r="AM238" s="4">
        <f t="shared" si="158"/>
        <v>1.6202243558389728E-2</v>
      </c>
      <c r="AN238" s="4">
        <f t="shared" si="158"/>
        <v>1.0922240564108399E-2</v>
      </c>
      <c r="AO238" s="4">
        <f t="shared" si="158"/>
        <v>7.3493212906090566E-3</v>
      </c>
      <c r="AP238" s="4">
        <f t="shared" si="158"/>
        <v>4.9390262185057265E-3</v>
      </c>
      <c r="AQ238" s="4">
        <f t="shared" si="158"/>
        <v>3.3164275492956197E-3</v>
      </c>
      <c r="AR238" s="4">
        <f t="shared" si="158"/>
        <v>2.2256362146679809E-3</v>
      </c>
    </row>
    <row r="239" spans="1:44" x14ac:dyDescent="0.25">
      <c r="A239" s="24" t="s">
        <v>56</v>
      </c>
      <c r="B239" s="45">
        <f>'Parameter Input'!B50</f>
        <v>0.6133333333333334</v>
      </c>
      <c r="C239" s="46">
        <f>'Parameter Input'!C50</f>
        <v>0.6133333333333334</v>
      </c>
      <c r="D239" s="1" t="s">
        <v>57</v>
      </c>
      <c r="L239" s="54">
        <f>'Parameter Input'!E50</f>
        <v>12</v>
      </c>
      <c r="M239" s="37">
        <v>0</v>
      </c>
      <c r="N239" s="37">
        <v>1</v>
      </c>
      <c r="O239" s="37">
        <f>'Parameter Input'!F50</f>
        <v>0.9</v>
      </c>
      <c r="P239" s="55">
        <f>'Parameter Input'!G50</f>
        <v>0.4</v>
      </c>
      <c r="Q239" s="4">
        <f t="shared" si="160"/>
        <v>0.9867978615748374</v>
      </c>
      <c r="R239" s="4">
        <f t="shared" si="160"/>
        <v>0.98114509762858249</v>
      </c>
      <c r="S239" s="4">
        <f t="shared" si="160"/>
        <v>0.97311898315872036</v>
      </c>
      <c r="T239" s="4">
        <f t="shared" si="160"/>
        <v>0.96177484161592774</v>
      </c>
      <c r="U239" s="4">
        <f t="shared" si="160"/>
        <v>0.94584787155511363</v>
      </c>
      <c r="V239" s="4">
        <f t="shared" si="160"/>
        <v>0.92370360150141495</v>
      </c>
      <c r="W239" s="4">
        <f t="shared" si="160"/>
        <v>0.89334463567658451</v>
      </c>
      <c r="X239" s="4">
        <f t="shared" si="160"/>
        <v>0.85254543874327005</v>
      </c>
      <c r="Y239" s="4">
        <f t="shared" si="160"/>
        <v>0.79921300652623883</v>
      </c>
      <c r="Z239" s="4">
        <f t="shared" si="160"/>
        <v>0.73204982249993378</v>
      </c>
      <c r="AA239" s="4">
        <f t="shared" si="160"/>
        <v>0.65145592958786691</v>
      </c>
      <c r="AB239" s="4">
        <f t="shared" si="160"/>
        <v>0.56032247880849573</v>
      </c>
      <c r="AC239" s="4">
        <f t="shared" si="160"/>
        <v>0.46411326873185343</v>
      </c>
      <c r="AD239" s="4">
        <f t="shared" si="160"/>
        <v>0.36979727595523937</v>
      </c>
      <c r="AE239" s="4">
        <f t="shared" si="160"/>
        <v>0.28393948637231203</v>
      </c>
      <c r="AF239" s="4">
        <f t="shared" si="160"/>
        <v>0.21097259161117732</v>
      </c>
      <c r="AG239" s="4">
        <f t="shared" si="157"/>
        <v>0.15253917653798199</v>
      </c>
      <c r="AH239" s="4">
        <f t="shared" si="157"/>
        <v>0.10795188737709993</v>
      </c>
      <c r="AI239" s="4">
        <f t="shared" si="157"/>
        <v>7.5176653938091809E-2</v>
      </c>
      <c r="AJ239" s="4">
        <f t="shared" si="158"/>
        <v>5.1742836177502194E-2</v>
      </c>
      <c r="AK239" s="4">
        <f t="shared" si="158"/>
        <v>3.5319190625345942E-2</v>
      </c>
      <c r="AL239" s="4">
        <f t="shared" si="158"/>
        <v>2.3969442072658165E-2</v>
      </c>
      <c r="AM239" s="4">
        <f t="shared" si="158"/>
        <v>1.6202243558389728E-2</v>
      </c>
      <c r="AN239" s="4">
        <f t="shared" si="158"/>
        <v>1.0922240564108399E-2</v>
      </c>
      <c r="AO239" s="4">
        <f t="shared" si="158"/>
        <v>7.3493212906090566E-3</v>
      </c>
      <c r="AP239" s="4">
        <f t="shared" si="158"/>
        <v>4.9390262185057265E-3</v>
      </c>
      <c r="AQ239" s="4">
        <f t="shared" si="158"/>
        <v>3.3164275492956197E-3</v>
      </c>
      <c r="AR239" s="4">
        <f t="shared" si="158"/>
        <v>2.2256362146679809E-3</v>
      </c>
    </row>
    <row r="240" spans="1:44" x14ac:dyDescent="0.25">
      <c r="A240" s="24" t="s">
        <v>73</v>
      </c>
      <c r="B240" s="72">
        <f>'Parameter Input'!$L$51</f>
        <v>0.05</v>
      </c>
      <c r="C240" s="73">
        <f>'Parameter Input'!$M$51</f>
        <v>0.02</v>
      </c>
      <c r="D240" s="1" t="s">
        <v>57</v>
      </c>
      <c r="L240" s="54">
        <f>'Parameter Input'!$O$51</f>
        <v>12</v>
      </c>
      <c r="M240" s="37">
        <v>0</v>
      </c>
      <c r="N240" s="37">
        <v>1</v>
      </c>
      <c r="O240" s="37">
        <f>'Parameter Input'!$P$51</f>
        <v>0.9</v>
      </c>
      <c r="P240" s="55">
        <f>'Parameter Input'!$Q$51</f>
        <v>0.4</v>
      </c>
      <c r="Q240" s="4">
        <f t="shared" si="160"/>
        <v>0.9867978615748374</v>
      </c>
      <c r="R240" s="4">
        <f t="shared" si="160"/>
        <v>0.98114509762858249</v>
      </c>
      <c r="S240" s="4">
        <f t="shared" si="160"/>
        <v>0.97311898315872036</v>
      </c>
      <c r="T240" s="4">
        <f t="shared" si="160"/>
        <v>0.96177484161592774</v>
      </c>
      <c r="U240" s="4">
        <f t="shared" si="160"/>
        <v>0.94584787155511363</v>
      </c>
      <c r="V240" s="4">
        <f t="shared" si="160"/>
        <v>0.92370360150141495</v>
      </c>
      <c r="W240" s="4">
        <f t="shared" si="160"/>
        <v>0.89334463567658451</v>
      </c>
      <c r="X240" s="4">
        <f t="shared" si="160"/>
        <v>0.85254543874327005</v>
      </c>
      <c r="Y240" s="4">
        <f t="shared" si="160"/>
        <v>0.79921300652623883</v>
      </c>
      <c r="Z240" s="4">
        <f t="shared" si="160"/>
        <v>0.73204982249993378</v>
      </c>
      <c r="AA240" s="4">
        <f t="shared" si="160"/>
        <v>0.65145592958786691</v>
      </c>
      <c r="AB240" s="4">
        <f t="shared" si="160"/>
        <v>0.56032247880849573</v>
      </c>
      <c r="AC240" s="4">
        <f t="shared" si="160"/>
        <v>0.46411326873185343</v>
      </c>
      <c r="AD240" s="4">
        <f t="shared" si="160"/>
        <v>0.36979727595523937</v>
      </c>
      <c r="AE240" s="4">
        <f t="shared" si="160"/>
        <v>0.28393948637231203</v>
      </c>
      <c r="AF240" s="4">
        <f t="shared" si="160"/>
        <v>0.21097259161117732</v>
      </c>
      <c r="AG240" s="4">
        <f t="shared" si="157"/>
        <v>0.15253917653798199</v>
      </c>
      <c r="AH240" s="4">
        <f t="shared" si="157"/>
        <v>0.10795188737709993</v>
      </c>
      <c r="AI240" s="4">
        <f t="shared" si="157"/>
        <v>7.5176653938091809E-2</v>
      </c>
      <c r="AJ240" s="4">
        <f t="shared" si="158"/>
        <v>5.1742836177502194E-2</v>
      </c>
      <c r="AK240" s="4">
        <f t="shared" si="158"/>
        <v>3.5319190625345942E-2</v>
      </c>
      <c r="AL240" s="4">
        <f t="shared" si="158"/>
        <v>2.3969442072658165E-2</v>
      </c>
      <c r="AM240" s="4">
        <f t="shared" si="158"/>
        <v>1.6202243558389728E-2</v>
      </c>
      <c r="AN240" s="4">
        <f t="shared" si="158"/>
        <v>1.0922240564108399E-2</v>
      </c>
      <c r="AO240" s="4">
        <f t="shared" si="158"/>
        <v>7.3493212906090566E-3</v>
      </c>
      <c r="AP240" s="4">
        <f t="shared" si="158"/>
        <v>4.9390262185057265E-3</v>
      </c>
      <c r="AQ240" s="4">
        <f t="shared" si="158"/>
        <v>3.3164275492956197E-3</v>
      </c>
      <c r="AR240" s="4">
        <f t="shared" si="158"/>
        <v>2.2256362146679809E-3</v>
      </c>
    </row>
    <row r="241" spans="1:44" ht="15.75" thickBot="1" x14ac:dyDescent="0.3">
      <c r="A241" s="24" t="s">
        <v>64</v>
      </c>
      <c r="B241" s="49">
        <f>'Parameter Input'!B51</f>
        <v>105000</v>
      </c>
      <c r="C241" s="50">
        <f>'Parameter Input'!C51</f>
        <v>105000</v>
      </c>
      <c r="D241" s="1" t="s">
        <v>65</v>
      </c>
      <c r="L241" s="56">
        <f>'Parameter Input'!E51</f>
        <v>12</v>
      </c>
      <c r="M241" s="57">
        <v>0</v>
      </c>
      <c r="N241" s="57">
        <v>1</v>
      </c>
      <c r="O241" s="57">
        <f>'Parameter Input'!F51</f>
        <v>0.9</v>
      </c>
      <c r="P241" s="58">
        <f>'Parameter Input'!G51</f>
        <v>0.4</v>
      </c>
      <c r="Q241" s="4">
        <f t="shared" si="160"/>
        <v>0.9867978615748374</v>
      </c>
      <c r="R241" s="4">
        <f t="shared" si="160"/>
        <v>0.98114509762858249</v>
      </c>
      <c r="S241" s="4">
        <f t="shared" si="160"/>
        <v>0.97311898315872036</v>
      </c>
      <c r="T241" s="4">
        <f t="shared" si="160"/>
        <v>0.96177484161592774</v>
      </c>
      <c r="U241" s="4">
        <f t="shared" si="160"/>
        <v>0.94584787155511363</v>
      </c>
      <c r="V241" s="4">
        <f t="shared" si="160"/>
        <v>0.92370360150141495</v>
      </c>
      <c r="W241" s="4">
        <f t="shared" si="160"/>
        <v>0.89334463567658451</v>
      </c>
      <c r="X241" s="4">
        <f t="shared" si="160"/>
        <v>0.85254543874327005</v>
      </c>
      <c r="Y241" s="4">
        <f t="shared" si="160"/>
        <v>0.79921300652623883</v>
      </c>
      <c r="Z241" s="4">
        <f t="shared" si="160"/>
        <v>0.73204982249993378</v>
      </c>
      <c r="AA241" s="4">
        <f t="shared" si="160"/>
        <v>0.65145592958786691</v>
      </c>
      <c r="AB241" s="4">
        <f t="shared" si="160"/>
        <v>0.56032247880849573</v>
      </c>
      <c r="AC241" s="4">
        <f t="shared" si="160"/>
        <v>0.46411326873185343</v>
      </c>
      <c r="AD241" s="4">
        <f t="shared" si="160"/>
        <v>0.36979727595523937</v>
      </c>
      <c r="AE241" s="4">
        <f t="shared" si="160"/>
        <v>0.28393948637231203</v>
      </c>
      <c r="AF241" s="4">
        <f t="shared" si="160"/>
        <v>0.21097259161117732</v>
      </c>
      <c r="AG241" s="4">
        <f t="shared" si="157"/>
        <v>0.15253917653798199</v>
      </c>
      <c r="AH241" s="4">
        <f t="shared" si="157"/>
        <v>0.10795188737709993</v>
      </c>
      <c r="AI241" s="4">
        <f t="shared" si="157"/>
        <v>7.5176653938091809E-2</v>
      </c>
      <c r="AJ241" s="4">
        <f t="shared" si="158"/>
        <v>5.1742836177502194E-2</v>
      </c>
      <c r="AK241" s="4">
        <f t="shared" si="158"/>
        <v>3.5319190625345942E-2</v>
      </c>
      <c r="AL241" s="4">
        <f t="shared" si="158"/>
        <v>2.3969442072658165E-2</v>
      </c>
      <c r="AM241" s="4">
        <f t="shared" si="158"/>
        <v>1.6202243558389728E-2</v>
      </c>
      <c r="AN241" s="4">
        <f t="shared" si="158"/>
        <v>1.0922240564108399E-2</v>
      </c>
      <c r="AO241" s="4">
        <f t="shared" si="158"/>
        <v>7.3493212906090566E-3</v>
      </c>
      <c r="AP241" s="4">
        <f t="shared" si="158"/>
        <v>4.9390262185057265E-3</v>
      </c>
      <c r="AQ241" s="4">
        <f t="shared" si="158"/>
        <v>3.3164275492956197E-3</v>
      </c>
      <c r="AR241" s="4">
        <f t="shared" si="158"/>
        <v>2.2256362146679809E-3</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61">A225</f>
        <v>Capex vehicle</v>
      </c>
      <c r="B245" s="62">
        <f t="shared" ref="B245:B254" si="162">$B225+($C225-$B225)*(1-Q225)</f>
        <v>381017.08777974301</v>
      </c>
      <c r="C245" s="62">
        <f t="shared" ref="C245:C254" si="163">$B225+($C225-$B225)*(1-R225)</f>
        <v>377274.24981545168</v>
      </c>
      <c r="D245" s="62">
        <f t="shared" ref="D245:D254" si="164">$B225+($C225-$B225)*(1-S225)</f>
        <v>372070.34635283251</v>
      </c>
      <c r="E245" s="62">
        <f t="shared" ref="E245:E254" si="165">$B225+($C225-$B225)*(1-T225)</f>
        <v>364935.98938399734</v>
      </c>
      <c r="F245" s="62">
        <f t="shared" ref="F245:F254" si="166">$B225+($C225-$B225)*(1-U225)</f>
        <v>355348.17810466845</v>
      </c>
      <c r="G245" s="62">
        <f t="shared" ref="G245:G254" si="167">$B225+($C225-$B225)*(1-V225)</f>
        <v>342815.05653366609</v>
      </c>
      <c r="H245" s="62">
        <f t="shared" ref="H245:H254" si="168">$B225+($C225-$B225)*(1-W225)</f>
        <v>327031.70828748442</v>
      </c>
      <c r="I245" s="62">
        <f t="shared" ref="I245:I254" si="169">$B225+($C225-$B225)*(1-X225)</f>
        <v>308092.14345314872</v>
      </c>
      <c r="J245" s="62">
        <f t="shared" ref="J245:J254" si="170">$B225+($C225-$B225)*(1-Y225)</f>
        <v>286675.78251999652</v>
      </c>
      <c r="K245" s="62">
        <f t="shared" ref="K245:K254" si="171">$B225+($C225-$B225)*(1-Z225)</f>
        <v>264066.61815198557</v>
      </c>
      <c r="L245" s="62">
        <f t="shared" ref="L245:L254" si="172">$B225+($C225-$B225)*(1-AA225)</f>
        <v>241902.35984948126</v>
      </c>
      <c r="M245" s="62">
        <f t="shared" ref="M245:M254" si="173">$B225+($C225-$B225)*(1-AB225)</f>
        <v>221725.77929749334</v>
      </c>
      <c r="N245" s="62">
        <f t="shared" ref="N245:N254" si="174">$B225+($C225-$B225)*(1-AC225)</f>
        <v>204578.55902862668</v>
      </c>
      <c r="O245" s="62">
        <f t="shared" ref="O245:O254" si="175">$B225+($C225-$B225)*(1-AD225)</f>
        <v>190846.70648642577</v>
      </c>
      <c r="P245" s="62">
        <f t="shared" ref="P245:P254" si="176">$B225+($C225-$B225)*(1-AE225)</f>
        <v>180368.6935336185</v>
      </c>
      <c r="Q245" s="62">
        <f t="shared" ref="Q245:Q254" si="177">$B225+($C225-$B225)*(1-AF225)</f>
        <v>172666.51367545157</v>
      </c>
      <c r="R245" s="62">
        <f t="shared" ref="R245:R254" si="178">$B225+($C225-$B225)*(1-AG225)</f>
        <v>167159.56650171301</v>
      </c>
      <c r="S245" s="62">
        <f t="shared" ref="S245:S254" si="179">$B225+($C225-$B225)*(1-AH225)</f>
        <v>163300.00979695629</v>
      </c>
      <c r="T245" s="62">
        <f t="shared" ref="T245:T254" si="180">$B225+($C225-$B225)*(1-AI225)</f>
        <v>160632.81888707468</v>
      </c>
      <c r="U245" s="62">
        <f t="shared" ref="U245:U254" si="181">$B225+($C225-$B225)*(1-AJ225)</f>
        <v>158807.52723622159</v>
      </c>
      <c r="V245" s="62">
        <f t="shared" ref="V245:V254" si="182">$B225+($C225-$B225)*(1-AK225)</f>
        <v>157566.72653256549</v>
      </c>
      <c r="W245" s="62">
        <f t="shared" ref="W245:W254" si="183">$B225+($C225-$B225)*(1-AL225)</f>
        <v>156727.09050329312</v>
      </c>
      <c r="X245" s="62">
        <f t="shared" ref="X245:X254" si="184">$B225+($C225-$B225)*(1-AM225)</f>
        <v>156160.67116134884</v>
      </c>
      <c r="Y245" s="62">
        <f t="shared" ref="Y245:Y254" si="185">$B225+($C225-$B225)*(1-AN225)</f>
        <v>155779.36047408447</v>
      </c>
      <c r="Z245" s="62">
        <f t="shared" ref="Z245:Z254" si="186">$B225+($C225-$B225)*(1-AO225)</f>
        <v>155523.02451044696</v>
      </c>
      <c r="AA245" s="62">
        <f t="shared" ref="AA245:AA254" si="187">$B225+($C225-$B225)*(1-AP225)</f>
        <v>155350.86554456307</v>
      </c>
      <c r="AB245" s="62">
        <f t="shared" ref="AB245:AB254" si="188">$B225+($C225-$B225)*(1-AQ225)</f>
        <v>155235.31446535516</v>
      </c>
      <c r="AC245" s="62">
        <f t="shared" ref="AC245:AC254" si="189">$B225+($C225-$B225)*(1-AR225)</f>
        <v>155157.7909855787</v>
      </c>
    </row>
    <row r="246" spans="1:44" x14ac:dyDescent="0.25">
      <c r="A246" s="30" t="str">
        <f t="shared" si="161"/>
        <v>Residual value (vehicle)</v>
      </c>
      <c r="B246" s="62">
        <f t="shared" si="162"/>
        <v>-57745.053121914571</v>
      </c>
      <c r="C246" s="62">
        <f t="shared" si="163"/>
        <v>-57430.49546321349</v>
      </c>
      <c r="D246" s="62">
        <f t="shared" si="164"/>
        <v>-56993.146129652945</v>
      </c>
      <c r="E246" s="62">
        <f t="shared" si="165"/>
        <v>-56393.556554612544</v>
      </c>
      <c r="F246" s="62">
        <f t="shared" si="166"/>
        <v>-55587.772415179585</v>
      </c>
      <c r="G246" s="62">
        <f t="shared" si="167"/>
        <v>-54534.456878893216</v>
      </c>
      <c r="H246" s="62">
        <f t="shared" si="168"/>
        <v>-53207.983994373695</v>
      </c>
      <c r="I246" s="62">
        <f t="shared" si="169"/>
        <v>-51616.254609360374</v>
      </c>
      <c r="J246" s="62">
        <f t="shared" si="170"/>
        <v>-49816.368956467792</v>
      </c>
      <c r="K246" s="62">
        <f t="shared" si="171"/>
        <v>-47916.237057454106</v>
      </c>
      <c r="L246" s="62">
        <f t="shared" si="172"/>
        <v>-46053.49620011598</v>
      </c>
      <c r="M246" s="62">
        <f t="shared" si="173"/>
        <v>-44357.804855853159</v>
      </c>
      <c r="N246" s="62">
        <f t="shared" si="174"/>
        <v>-42916.708684320751</v>
      </c>
      <c r="O246" s="62">
        <f t="shared" si="175"/>
        <v>-41762.648736625146</v>
      </c>
      <c r="P246" s="62">
        <f t="shared" si="176"/>
        <v>-40882.049775697727</v>
      </c>
      <c r="Q246" s="62">
        <f t="shared" si="177"/>
        <v>-40234.73891527731</v>
      </c>
      <c r="R246" s="62">
        <f t="shared" si="178"/>
        <v>-39771.921014505671</v>
      </c>
      <c r="S246" s="62">
        <f t="shared" si="179"/>
        <v>-39447.554014850582</v>
      </c>
      <c r="T246" s="62">
        <f t="shared" si="180"/>
        <v>-39223.396480935</v>
      </c>
      <c r="U246" s="62">
        <f t="shared" si="181"/>
        <v>-39069.994310278198</v>
      </c>
      <c r="V246" s="62">
        <f t="shared" si="182"/>
        <v>-38965.714251141137</v>
      </c>
      <c r="W246" s="62">
        <f t="shared" si="183"/>
        <v>-38895.149095489527</v>
      </c>
      <c r="X246" s="62">
        <f t="shared" si="184"/>
        <v>-38847.545767815493</v>
      </c>
      <c r="Y246" s="62">
        <f t="shared" si="185"/>
        <v>-38815.49944409859</v>
      </c>
      <c r="Z246" s="62">
        <f t="shared" si="186"/>
        <v>-38793.956315239688</v>
      </c>
      <c r="AA246" s="62">
        <f t="shared" si="187"/>
        <v>-38779.487636192003</v>
      </c>
      <c r="AB246" s="62">
        <f t="shared" si="188"/>
        <v>-38769.776428471334</v>
      </c>
      <c r="AC246" s="62">
        <f t="shared" si="189"/>
        <v>-38763.261157298635</v>
      </c>
    </row>
    <row r="247" spans="1:44" x14ac:dyDescent="0.25">
      <c r="A247" s="30" t="str">
        <f t="shared" si="161"/>
        <v>Capex costumization</v>
      </c>
      <c r="B247" s="62">
        <f t="shared" si="162"/>
        <v>30000</v>
      </c>
      <c r="C247" s="62">
        <f t="shared" si="163"/>
        <v>30000</v>
      </c>
      <c r="D247" s="62">
        <f t="shared" si="164"/>
        <v>30000</v>
      </c>
      <c r="E247" s="62">
        <f t="shared" si="165"/>
        <v>30000</v>
      </c>
      <c r="F247" s="62">
        <f t="shared" si="166"/>
        <v>30000</v>
      </c>
      <c r="G247" s="62">
        <f t="shared" si="167"/>
        <v>30000</v>
      </c>
      <c r="H247" s="62">
        <f t="shared" si="168"/>
        <v>30000</v>
      </c>
      <c r="I247" s="62">
        <f t="shared" si="169"/>
        <v>30000</v>
      </c>
      <c r="J247" s="62">
        <f t="shared" si="170"/>
        <v>30000</v>
      </c>
      <c r="K247" s="62">
        <f t="shared" si="171"/>
        <v>30000</v>
      </c>
      <c r="L247" s="62">
        <f t="shared" si="172"/>
        <v>30000</v>
      </c>
      <c r="M247" s="62">
        <f t="shared" si="173"/>
        <v>30000</v>
      </c>
      <c r="N247" s="62">
        <f t="shared" si="174"/>
        <v>30000</v>
      </c>
      <c r="O247" s="62">
        <f t="shared" si="175"/>
        <v>30000</v>
      </c>
      <c r="P247" s="62">
        <f t="shared" si="176"/>
        <v>30000</v>
      </c>
      <c r="Q247" s="62">
        <f t="shared" si="177"/>
        <v>30000</v>
      </c>
      <c r="R247" s="62">
        <f t="shared" si="178"/>
        <v>30000</v>
      </c>
      <c r="S247" s="62">
        <f t="shared" si="179"/>
        <v>30000</v>
      </c>
      <c r="T247" s="62">
        <f t="shared" si="180"/>
        <v>30000</v>
      </c>
      <c r="U247" s="62">
        <f t="shared" si="181"/>
        <v>30000</v>
      </c>
      <c r="V247" s="62">
        <f t="shared" si="182"/>
        <v>30000</v>
      </c>
      <c r="W247" s="62">
        <f t="shared" si="183"/>
        <v>30000</v>
      </c>
      <c r="X247" s="62">
        <f t="shared" si="184"/>
        <v>30000</v>
      </c>
      <c r="Y247" s="62">
        <f t="shared" si="185"/>
        <v>30000</v>
      </c>
      <c r="Z247" s="62">
        <f t="shared" si="186"/>
        <v>30000</v>
      </c>
      <c r="AA247" s="62">
        <f t="shared" si="187"/>
        <v>30000</v>
      </c>
      <c r="AB247" s="62">
        <f t="shared" si="188"/>
        <v>30000</v>
      </c>
      <c r="AC247" s="62">
        <f t="shared" si="189"/>
        <v>30000</v>
      </c>
    </row>
    <row r="248" spans="1:44" x14ac:dyDescent="0.25">
      <c r="A248" s="30" t="str">
        <f t="shared" si="161"/>
        <v>Residual value (costumization)</v>
      </c>
      <c r="B248" s="62">
        <f t="shared" si="162"/>
        <v>-7500</v>
      </c>
      <c r="C248" s="62">
        <f t="shared" si="163"/>
        <v>-7500</v>
      </c>
      <c r="D248" s="62">
        <f t="shared" si="164"/>
        <v>-7500</v>
      </c>
      <c r="E248" s="62">
        <f t="shared" si="165"/>
        <v>-7500</v>
      </c>
      <c r="F248" s="62">
        <f t="shared" si="166"/>
        <v>-7500</v>
      </c>
      <c r="G248" s="62">
        <f t="shared" si="167"/>
        <v>-7500</v>
      </c>
      <c r="H248" s="62">
        <f t="shared" si="168"/>
        <v>-7500</v>
      </c>
      <c r="I248" s="62">
        <f t="shared" si="169"/>
        <v>-7500</v>
      </c>
      <c r="J248" s="62">
        <f t="shared" si="170"/>
        <v>-7500</v>
      </c>
      <c r="K248" s="62">
        <f t="shared" si="171"/>
        <v>-7500</v>
      </c>
      <c r="L248" s="62">
        <f t="shared" si="172"/>
        <v>-7500</v>
      </c>
      <c r="M248" s="62">
        <f t="shared" si="173"/>
        <v>-7500</v>
      </c>
      <c r="N248" s="62">
        <f t="shared" si="174"/>
        <v>-7500</v>
      </c>
      <c r="O248" s="62">
        <f t="shared" si="175"/>
        <v>-7500</v>
      </c>
      <c r="P248" s="62">
        <f t="shared" si="176"/>
        <v>-7500</v>
      </c>
      <c r="Q248" s="62">
        <f t="shared" si="177"/>
        <v>-7500</v>
      </c>
      <c r="R248" s="62">
        <f t="shared" si="178"/>
        <v>-7500</v>
      </c>
      <c r="S248" s="62">
        <f t="shared" si="179"/>
        <v>-7500</v>
      </c>
      <c r="T248" s="62">
        <f t="shared" si="180"/>
        <v>-7500</v>
      </c>
      <c r="U248" s="62">
        <f t="shared" si="181"/>
        <v>-7500</v>
      </c>
      <c r="V248" s="62">
        <f t="shared" si="182"/>
        <v>-7500</v>
      </c>
      <c r="W248" s="62">
        <f t="shared" si="183"/>
        <v>-7500</v>
      </c>
      <c r="X248" s="62">
        <f t="shared" si="184"/>
        <v>-7500</v>
      </c>
      <c r="Y248" s="62">
        <f t="shared" si="185"/>
        <v>-7500</v>
      </c>
      <c r="Z248" s="62">
        <f t="shared" si="186"/>
        <v>-7500</v>
      </c>
      <c r="AA248" s="62">
        <f t="shared" si="187"/>
        <v>-7500</v>
      </c>
      <c r="AB248" s="62">
        <f t="shared" si="188"/>
        <v>-7500</v>
      </c>
      <c r="AC248" s="62">
        <f t="shared" si="189"/>
        <v>-7500</v>
      </c>
    </row>
    <row r="249" spans="1:44" x14ac:dyDescent="0.25">
      <c r="A249" s="30" t="str">
        <f t="shared" si="161"/>
        <v>WACC</v>
      </c>
      <c r="B249" s="62">
        <f t="shared" si="162"/>
        <v>0.06</v>
      </c>
      <c r="C249" s="62">
        <f t="shared" si="163"/>
        <v>0.06</v>
      </c>
      <c r="D249" s="62">
        <f t="shared" si="164"/>
        <v>0.06</v>
      </c>
      <c r="E249" s="62">
        <f t="shared" si="165"/>
        <v>0.06</v>
      </c>
      <c r="F249" s="62">
        <f t="shared" si="166"/>
        <v>0.06</v>
      </c>
      <c r="G249" s="62">
        <f t="shared" si="167"/>
        <v>0.06</v>
      </c>
      <c r="H249" s="62">
        <f t="shared" si="168"/>
        <v>0.06</v>
      </c>
      <c r="I249" s="62">
        <f t="shared" si="169"/>
        <v>0.06</v>
      </c>
      <c r="J249" s="62">
        <f t="shared" si="170"/>
        <v>0.06</v>
      </c>
      <c r="K249" s="62">
        <f t="shared" si="171"/>
        <v>0.06</v>
      </c>
      <c r="L249" s="62">
        <f t="shared" si="172"/>
        <v>0.06</v>
      </c>
      <c r="M249" s="62">
        <f t="shared" si="173"/>
        <v>0.06</v>
      </c>
      <c r="N249" s="62">
        <f t="shared" si="174"/>
        <v>0.06</v>
      </c>
      <c r="O249" s="62">
        <f t="shared" si="175"/>
        <v>0.06</v>
      </c>
      <c r="P249" s="62">
        <f t="shared" si="176"/>
        <v>0.06</v>
      </c>
      <c r="Q249" s="62">
        <f t="shared" si="177"/>
        <v>0.06</v>
      </c>
      <c r="R249" s="62">
        <f t="shared" si="178"/>
        <v>0.06</v>
      </c>
      <c r="S249" s="62">
        <f t="shared" si="179"/>
        <v>0.06</v>
      </c>
      <c r="T249" s="62">
        <f t="shared" si="180"/>
        <v>0.06</v>
      </c>
      <c r="U249" s="62">
        <f t="shared" si="181"/>
        <v>0.06</v>
      </c>
      <c r="V249" s="62">
        <f t="shared" si="182"/>
        <v>0.06</v>
      </c>
      <c r="W249" s="62">
        <f t="shared" si="183"/>
        <v>0.06</v>
      </c>
      <c r="X249" s="62">
        <f t="shared" si="184"/>
        <v>0.06</v>
      </c>
      <c r="Y249" s="62">
        <f t="shared" si="185"/>
        <v>0.06</v>
      </c>
      <c r="Z249" s="62">
        <f t="shared" si="186"/>
        <v>0.06</v>
      </c>
      <c r="AA249" s="62">
        <f t="shared" si="187"/>
        <v>0.06</v>
      </c>
      <c r="AB249" s="62">
        <f t="shared" si="188"/>
        <v>0.06</v>
      </c>
      <c r="AC249" s="62">
        <f t="shared" si="189"/>
        <v>0.06</v>
      </c>
    </row>
    <row r="250" spans="1:44" x14ac:dyDescent="0.25">
      <c r="A250" s="30" t="str">
        <f t="shared" si="161"/>
        <v>Opex fix (admin, crew, insurance)</v>
      </c>
      <c r="B250" s="62">
        <f t="shared" si="162"/>
        <v>70000</v>
      </c>
      <c r="C250" s="62">
        <f t="shared" si="163"/>
        <v>70000</v>
      </c>
      <c r="D250" s="62">
        <f t="shared" si="164"/>
        <v>70000</v>
      </c>
      <c r="E250" s="62">
        <f t="shared" si="165"/>
        <v>70000</v>
      </c>
      <c r="F250" s="62">
        <f t="shared" si="166"/>
        <v>70000</v>
      </c>
      <c r="G250" s="62">
        <f t="shared" si="167"/>
        <v>70000</v>
      </c>
      <c r="H250" s="62">
        <f t="shared" si="168"/>
        <v>70000</v>
      </c>
      <c r="I250" s="62">
        <f t="shared" si="169"/>
        <v>70000</v>
      </c>
      <c r="J250" s="62">
        <f t="shared" si="170"/>
        <v>70000</v>
      </c>
      <c r="K250" s="62">
        <f t="shared" si="171"/>
        <v>70000</v>
      </c>
      <c r="L250" s="62">
        <f t="shared" si="172"/>
        <v>70000</v>
      </c>
      <c r="M250" s="62">
        <f t="shared" si="173"/>
        <v>70000</v>
      </c>
      <c r="N250" s="62">
        <f t="shared" si="174"/>
        <v>70000</v>
      </c>
      <c r="O250" s="62">
        <f t="shared" si="175"/>
        <v>70000</v>
      </c>
      <c r="P250" s="62">
        <f t="shared" si="176"/>
        <v>70000</v>
      </c>
      <c r="Q250" s="62">
        <f t="shared" si="177"/>
        <v>70000</v>
      </c>
      <c r="R250" s="62">
        <f t="shared" si="178"/>
        <v>70000</v>
      </c>
      <c r="S250" s="62">
        <f t="shared" si="179"/>
        <v>70000</v>
      </c>
      <c r="T250" s="62">
        <f t="shared" si="180"/>
        <v>70000</v>
      </c>
      <c r="U250" s="62">
        <f t="shared" si="181"/>
        <v>70000</v>
      </c>
      <c r="V250" s="62">
        <f t="shared" si="182"/>
        <v>70000</v>
      </c>
      <c r="W250" s="62">
        <f t="shared" si="183"/>
        <v>70000</v>
      </c>
      <c r="X250" s="62">
        <f t="shared" si="184"/>
        <v>70000</v>
      </c>
      <c r="Y250" s="62">
        <f t="shared" si="185"/>
        <v>70000</v>
      </c>
      <c r="Z250" s="62">
        <f t="shared" si="186"/>
        <v>70000</v>
      </c>
      <c r="AA250" s="62">
        <f t="shared" si="187"/>
        <v>70000</v>
      </c>
      <c r="AB250" s="62">
        <f t="shared" si="188"/>
        <v>70000</v>
      </c>
      <c r="AC250" s="62">
        <f t="shared" si="189"/>
        <v>70000</v>
      </c>
    </row>
    <row r="251" spans="1:44" x14ac:dyDescent="0.25">
      <c r="A251" s="30" t="str">
        <f t="shared" si="161"/>
        <v>Opex maintenance &amp; repair</v>
      </c>
      <c r="B251" s="62">
        <f t="shared" si="162"/>
        <v>25694.198732927423</v>
      </c>
      <c r="C251" s="62">
        <f t="shared" si="163"/>
        <v>25566.782972440909</v>
      </c>
      <c r="D251" s="62">
        <f t="shared" si="164"/>
        <v>25389.62881201132</v>
      </c>
      <c r="E251" s="62">
        <f t="shared" si="165"/>
        <v>25146.757085412675</v>
      </c>
      <c r="F251" s="62">
        <f t="shared" si="166"/>
        <v>24820.363509946161</v>
      </c>
      <c r="G251" s="62">
        <f t="shared" si="167"/>
        <v>24393.704052209912</v>
      </c>
      <c r="H251" s="62">
        <f t="shared" si="168"/>
        <v>23856.39857999947</v>
      </c>
      <c r="I251" s="62">
        <f t="shared" si="169"/>
        <v>23211.647436702937</v>
      </c>
      <c r="J251" s="62">
        <f t="shared" si="170"/>
        <v>22482.579830467967</v>
      </c>
      <c r="K251" s="62">
        <f t="shared" si="171"/>
        <v>21712.906149854825</v>
      </c>
      <c r="L251" s="62">
        <f t="shared" si="172"/>
        <v>20958.378207641916</v>
      </c>
      <c r="M251" s="62">
        <f t="shared" si="173"/>
        <v>20271.515890978495</v>
      </c>
      <c r="N251" s="62">
        <f t="shared" si="174"/>
        <v>19687.78073288942</v>
      </c>
      <c r="O251" s="62">
        <f t="shared" si="175"/>
        <v>19220.313412303854</v>
      </c>
      <c r="P251" s="62">
        <f t="shared" si="176"/>
        <v>18863.615099016799</v>
      </c>
      <c r="Q251" s="62">
        <f t="shared" si="177"/>
        <v>18601.413231504735</v>
      </c>
      <c r="R251" s="62">
        <f t="shared" si="178"/>
        <v>18413.942689420019</v>
      </c>
      <c r="S251" s="62">
        <f t="shared" si="179"/>
        <v>18282.553525002768</v>
      </c>
      <c r="T251" s="62">
        <f t="shared" si="180"/>
        <v>18191.755536581266</v>
      </c>
      <c r="U251" s="62">
        <f t="shared" si="181"/>
        <v>18129.617948467116</v>
      </c>
      <c r="V251" s="62">
        <f t="shared" si="182"/>
        <v>18087.377924512868</v>
      </c>
      <c r="W251" s="62">
        <f t="shared" si="183"/>
        <v>18058.794570324873</v>
      </c>
      <c r="X251" s="62">
        <f t="shared" si="184"/>
        <v>18039.512209748045</v>
      </c>
      <c r="Y251" s="62">
        <f t="shared" si="185"/>
        <v>18026.531420394364</v>
      </c>
      <c r="Z251" s="62">
        <f t="shared" si="186"/>
        <v>18017.805089717345</v>
      </c>
      <c r="AA251" s="62">
        <f t="shared" si="187"/>
        <v>18011.94435896385</v>
      </c>
      <c r="AB251" s="62">
        <f t="shared" si="188"/>
        <v>18008.010705203578</v>
      </c>
      <c r="AC251" s="62">
        <f t="shared" si="189"/>
        <v>18005.371608019701</v>
      </c>
    </row>
    <row r="252" spans="1:44" x14ac:dyDescent="0.25">
      <c r="A252" s="30" t="str">
        <f t="shared" si="161"/>
        <v>Opex var (mode-fees)</v>
      </c>
      <c r="B252" s="62">
        <f t="shared" si="162"/>
        <v>0.11</v>
      </c>
      <c r="C252" s="62">
        <f t="shared" si="163"/>
        <v>0.11</v>
      </c>
      <c r="D252" s="62">
        <f t="shared" si="164"/>
        <v>0.11</v>
      </c>
      <c r="E252" s="62">
        <f t="shared" si="165"/>
        <v>0.11</v>
      </c>
      <c r="F252" s="62">
        <f t="shared" si="166"/>
        <v>0.11</v>
      </c>
      <c r="G252" s="62">
        <f t="shared" si="167"/>
        <v>0.11</v>
      </c>
      <c r="H252" s="62">
        <f t="shared" si="168"/>
        <v>0.11</v>
      </c>
      <c r="I252" s="62">
        <f t="shared" si="169"/>
        <v>0.11</v>
      </c>
      <c r="J252" s="62">
        <f t="shared" si="170"/>
        <v>0.11</v>
      </c>
      <c r="K252" s="62">
        <f t="shared" si="171"/>
        <v>0.11</v>
      </c>
      <c r="L252" s="62">
        <f t="shared" si="172"/>
        <v>0.11</v>
      </c>
      <c r="M252" s="62">
        <f t="shared" si="173"/>
        <v>0.11</v>
      </c>
      <c r="N252" s="62">
        <f t="shared" si="174"/>
        <v>0.11</v>
      </c>
      <c r="O252" s="62">
        <f t="shared" si="175"/>
        <v>0.11</v>
      </c>
      <c r="P252" s="62">
        <f t="shared" si="176"/>
        <v>0.11</v>
      </c>
      <c r="Q252" s="62">
        <f t="shared" si="177"/>
        <v>0.11</v>
      </c>
      <c r="R252" s="62">
        <f t="shared" si="178"/>
        <v>0.11</v>
      </c>
      <c r="S252" s="62">
        <f t="shared" si="179"/>
        <v>0.11</v>
      </c>
      <c r="T252" s="62">
        <f t="shared" si="180"/>
        <v>0.11</v>
      </c>
      <c r="U252" s="62">
        <f t="shared" si="181"/>
        <v>0.11</v>
      </c>
      <c r="V252" s="62">
        <f t="shared" si="182"/>
        <v>0.11</v>
      </c>
      <c r="W252" s="62">
        <f t="shared" si="183"/>
        <v>0.11</v>
      </c>
      <c r="X252" s="62">
        <f t="shared" si="184"/>
        <v>0.11</v>
      </c>
      <c r="Y252" s="62">
        <f t="shared" si="185"/>
        <v>0.11</v>
      </c>
      <c r="Z252" s="62">
        <f t="shared" si="186"/>
        <v>0.11</v>
      </c>
      <c r="AA252" s="62">
        <f t="shared" si="187"/>
        <v>0.11</v>
      </c>
      <c r="AB252" s="62">
        <f t="shared" si="188"/>
        <v>0.11</v>
      </c>
      <c r="AC252" s="62">
        <f t="shared" si="189"/>
        <v>0.11</v>
      </c>
    </row>
    <row r="253" spans="1:44" x14ac:dyDescent="0.25">
      <c r="A253" s="30" t="str">
        <f t="shared" si="161"/>
        <v>Fuel Economy</v>
      </c>
      <c r="B253" s="62">
        <f t="shared" si="162"/>
        <v>2.5017133827957863</v>
      </c>
      <c r="C253" s="62">
        <f t="shared" si="163"/>
        <v>2.4899274249507841</v>
      </c>
      <c r="D253" s="62">
        <f t="shared" si="164"/>
        <v>2.473540665111047</v>
      </c>
      <c r="E253" s="62">
        <f t="shared" si="165"/>
        <v>2.4510750304006725</v>
      </c>
      <c r="F253" s="62">
        <f t="shared" si="166"/>
        <v>2.4208836246700196</v>
      </c>
      <c r="G253" s="62">
        <f t="shared" si="167"/>
        <v>2.3814176248294165</v>
      </c>
      <c r="H253" s="62">
        <f t="shared" si="168"/>
        <v>2.3317168686499508</v>
      </c>
      <c r="I253" s="62">
        <f t="shared" si="169"/>
        <v>2.2720773878950213</v>
      </c>
      <c r="J253" s="62">
        <f t="shared" si="170"/>
        <v>2.2046386343182869</v>
      </c>
      <c r="K253" s="62">
        <f t="shared" si="171"/>
        <v>2.1334438188615716</v>
      </c>
      <c r="L253" s="62">
        <f t="shared" si="172"/>
        <v>2.0636499842068772</v>
      </c>
      <c r="M253" s="62">
        <f t="shared" si="173"/>
        <v>2.0001152199155108</v>
      </c>
      <c r="N253" s="62">
        <f t="shared" si="174"/>
        <v>1.9461197177922713</v>
      </c>
      <c r="O253" s="62">
        <f t="shared" si="175"/>
        <v>1.9028789906381067</v>
      </c>
      <c r="P253" s="62">
        <f t="shared" si="176"/>
        <v>1.8698843966590539</v>
      </c>
      <c r="Q253" s="62">
        <f t="shared" si="177"/>
        <v>1.845630723914188</v>
      </c>
      <c r="R253" s="62">
        <f t="shared" si="178"/>
        <v>1.8282896987713517</v>
      </c>
      <c r="S253" s="62">
        <f t="shared" si="179"/>
        <v>1.816136201062756</v>
      </c>
      <c r="T253" s="62">
        <f t="shared" si="180"/>
        <v>1.8077373871337672</v>
      </c>
      <c r="U253" s="62">
        <f t="shared" si="181"/>
        <v>1.8019896602332084</v>
      </c>
      <c r="V253" s="62">
        <f t="shared" si="182"/>
        <v>1.7980824580174404</v>
      </c>
      <c r="W253" s="62">
        <f t="shared" si="183"/>
        <v>1.7954384977550508</v>
      </c>
      <c r="X253" s="62">
        <f t="shared" si="184"/>
        <v>1.7936548794016942</v>
      </c>
      <c r="Y253" s="62">
        <f t="shared" si="185"/>
        <v>1.7924541563864786</v>
      </c>
      <c r="Z253" s="62">
        <f t="shared" si="186"/>
        <v>1.7916469707988543</v>
      </c>
      <c r="AA253" s="62">
        <f t="shared" si="187"/>
        <v>1.791104853204156</v>
      </c>
      <c r="AB253" s="62">
        <f t="shared" si="188"/>
        <v>1.7907409902313312</v>
      </c>
      <c r="AC253" s="62">
        <f t="shared" si="189"/>
        <v>1.7904968737418223</v>
      </c>
    </row>
    <row r="254" spans="1:44" x14ac:dyDescent="0.25">
      <c r="A254" s="30" t="str">
        <f t="shared" si="161"/>
        <v>Fuel Cost</v>
      </c>
      <c r="B254" s="62">
        <f t="shared" si="162"/>
        <v>0.25254227914256844</v>
      </c>
      <c r="C254" s="62">
        <f t="shared" si="163"/>
        <v>0.25172282033513138</v>
      </c>
      <c r="D254" s="62">
        <f t="shared" si="164"/>
        <v>0.25055930629945611</v>
      </c>
      <c r="E254" s="62">
        <f t="shared" si="165"/>
        <v>0.24891479101658942</v>
      </c>
      <c r="F254" s="62">
        <f t="shared" si="166"/>
        <v>0.24660592122895794</v>
      </c>
      <c r="G254" s="62">
        <f t="shared" si="167"/>
        <v>0.24339575407846328</v>
      </c>
      <c r="H254" s="62">
        <f t="shared" si="168"/>
        <v>0.23899473500772708</v>
      </c>
      <c r="I254" s="62">
        <f t="shared" si="169"/>
        <v>0.23308023697079527</v>
      </c>
      <c r="J254" s="62">
        <f t="shared" si="170"/>
        <v>0.22534884543953543</v>
      </c>
      <c r="K254" s="62">
        <f t="shared" si="171"/>
        <v>0.21561246458069289</v>
      </c>
      <c r="L254" s="62">
        <f t="shared" si="172"/>
        <v>0.20392908703293811</v>
      </c>
      <c r="M254" s="62">
        <f t="shared" si="173"/>
        <v>0.19071783151204119</v>
      </c>
      <c r="N254" s="62">
        <f t="shared" si="174"/>
        <v>0.17677076326304775</v>
      </c>
      <c r="O254" s="62">
        <f t="shared" si="175"/>
        <v>0.16309814722993504</v>
      </c>
      <c r="P254" s="62">
        <f t="shared" si="176"/>
        <v>0.15065168342395555</v>
      </c>
      <c r="Q254" s="62">
        <f t="shared" si="177"/>
        <v>0.14007396159940294</v>
      </c>
      <c r="R254" s="62">
        <f t="shared" si="178"/>
        <v>0.13160310078058535</v>
      </c>
      <c r="S254" s="62">
        <f t="shared" si="179"/>
        <v>0.12513945801219511</v>
      </c>
      <c r="T254" s="62">
        <f t="shared" si="180"/>
        <v>0.1203881621925289</v>
      </c>
      <c r="U254" s="62">
        <f t="shared" si="181"/>
        <v>0.11699105441686944</v>
      </c>
      <c r="V254" s="62">
        <f t="shared" si="182"/>
        <v>0.11461018354982119</v>
      </c>
      <c r="W254" s="62">
        <f t="shared" si="183"/>
        <v>0.11296485544093068</v>
      </c>
      <c r="X254" s="62">
        <f t="shared" si="184"/>
        <v>0.11183887542617238</v>
      </c>
      <c r="Y254" s="62">
        <f t="shared" si="185"/>
        <v>0.11107345429801357</v>
      </c>
      <c r="Z254" s="62">
        <f t="shared" si="186"/>
        <v>0.11055550233773928</v>
      </c>
      <c r="AA254" s="62">
        <f t="shared" si="187"/>
        <v>0.11020609140458582</v>
      </c>
      <c r="AB254" s="62">
        <f t="shared" si="188"/>
        <v>0.10997086970011311</v>
      </c>
      <c r="AC254" s="62">
        <f t="shared" si="189"/>
        <v>0.10981274199926885</v>
      </c>
    </row>
    <row r="255" spans="1:44" x14ac:dyDescent="0.25">
      <c r="A255" s="30" t="str">
        <f t="shared" ref="A255" si="190">A235</f>
        <v>Emission Cost</v>
      </c>
      <c r="B255" s="66">
        <f>$B235+($C235-$B235)*(1-Q235)</f>
        <v>9.1045502411311718E-3</v>
      </c>
      <c r="C255" s="66">
        <f t="shared" ref="C255:AC255" si="191">$B235+($C235-$B235)*(1-R235)</f>
        <v>9.095880490962575E-3</v>
      </c>
      <c r="D255" s="66">
        <f t="shared" si="191"/>
        <v>9.0834699366993434E-3</v>
      </c>
      <c r="E255" s="66">
        <f t="shared" si="191"/>
        <v>9.0657157660766E-3</v>
      </c>
      <c r="F255" s="66">
        <f t="shared" si="191"/>
        <v>9.040341138604446E-3</v>
      </c>
      <c r="G255" s="66">
        <f t="shared" si="191"/>
        <v>9.0041260615172855E-3</v>
      </c>
      <c r="H255" s="66">
        <f t="shared" si="191"/>
        <v>8.9525469072142452E-3</v>
      </c>
      <c r="I255" s="66">
        <f t="shared" si="191"/>
        <v>8.8793119020679299E-3</v>
      </c>
      <c r="J255" s="66">
        <f t="shared" si="191"/>
        <v>8.7758012597282838E-3</v>
      </c>
      <c r="K255" s="66">
        <f t="shared" si="191"/>
        <v>8.630474185370102E-3</v>
      </c>
      <c r="L255" s="66">
        <f t="shared" si="191"/>
        <v>8.4284167966506146E-3</v>
      </c>
      <c r="M255" s="66">
        <f t="shared" si="191"/>
        <v>8.1514036756981448E-3</v>
      </c>
      <c r="N255" s="66">
        <f t="shared" si="191"/>
        <v>7.7791277246640009E-3</v>
      </c>
      <c r="O255" s="66">
        <f t="shared" si="191"/>
        <v>7.2924911382377788E-3</v>
      </c>
      <c r="P255" s="66">
        <f t="shared" si="191"/>
        <v>6.6796546098928378E-3</v>
      </c>
      <c r="Q255" s="66">
        <f t="shared" si="191"/>
        <v>5.9442683673542078E-3</v>
      </c>
      <c r="R255" s="66">
        <f t="shared" si="191"/>
        <v>5.1127129787673555E-3</v>
      </c>
      <c r="S255" s="66">
        <f t="shared" si="191"/>
        <v>4.2348433668221242E-3</v>
      </c>
      <c r="T255" s="66">
        <f t="shared" si="191"/>
        <v>3.3742485868309214E-3</v>
      </c>
      <c r="U255" s="66">
        <f t="shared" si="191"/>
        <v>2.5908314445053909E-3</v>
      </c>
      <c r="V255" s="66">
        <f t="shared" si="191"/>
        <v>1.9250384342751033E-3</v>
      </c>
      <c r="W255" s="66">
        <f t="shared" si="191"/>
        <v>1.3918574698531276E-3</v>
      </c>
      <c r="X255" s="66">
        <f t="shared" si="191"/>
        <v>9.8501672973924301E-4</v>
      </c>
      <c r="Y255" s="66">
        <f t="shared" si="191"/>
        <v>6.8595615708101458E-4</v>
      </c>
      <c r="Z255" s="66">
        <f t="shared" si="191"/>
        <v>4.7213217403930738E-4</v>
      </c>
      <c r="AA255" s="66">
        <f t="shared" si="191"/>
        <v>3.2227313937815624E-4</v>
      </c>
      <c r="AB255" s="66">
        <f t="shared" si="191"/>
        <v>2.1871133537117345E-4</v>
      </c>
      <c r="AC255" s="66">
        <f t="shared" si="191"/>
        <v>1.4783883220655276E-4</v>
      </c>
    </row>
    <row r="256" spans="1:44" x14ac:dyDescent="0.25">
      <c r="A256" s="30" t="str">
        <f>A236</f>
        <v>Lifetime vehicle</v>
      </c>
      <c r="B256" s="62">
        <f>$B236+($C236-$B236)*(1-Q236)</f>
        <v>8</v>
      </c>
      <c r="C256" s="62">
        <f t="shared" ref="C256:L258" si="192">$B236+($C236-$B236)*(1-R236)</f>
        <v>8</v>
      </c>
      <c r="D256" s="62">
        <f t="shared" si="192"/>
        <v>8</v>
      </c>
      <c r="E256" s="62">
        <f t="shared" si="192"/>
        <v>8</v>
      </c>
      <c r="F256" s="62">
        <f t="shared" si="192"/>
        <v>8</v>
      </c>
      <c r="G256" s="62">
        <f t="shared" si="192"/>
        <v>8</v>
      </c>
      <c r="H256" s="62">
        <f t="shared" si="192"/>
        <v>8</v>
      </c>
      <c r="I256" s="62">
        <f t="shared" si="192"/>
        <v>8</v>
      </c>
      <c r="J256" s="62">
        <f t="shared" si="192"/>
        <v>8</v>
      </c>
      <c r="K256" s="62">
        <f t="shared" si="192"/>
        <v>8</v>
      </c>
      <c r="L256" s="62">
        <f t="shared" si="192"/>
        <v>8</v>
      </c>
      <c r="M256" s="62">
        <f t="shared" ref="M256:V258" si="193">$B236+($C236-$B236)*(1-AB236)</f>
        <v>8</v>
      </c>
      <c r="N256" s="62">
        <f t="shared" si="193"/>
        <v>8</v>
      </c>
      <c r="O256" s="62">
        <f t="shared" si="193"/>
        <v>8</v>
      </c>
      <c r="P256" s="62">
        <f t="shared" si="193"/>
        <v>8</v>
      </c>
      <c r="Q256" s="62">
        <f t="shared" si="193"/>
        <v>8</v>
      </c>
      <c r="R256" s="62">
        <f t="shared" si="193"/>
        <v>8</v>
      </c>
      <c r="S256" s="62">
        <f t="shared" si="193"/>
        <v>8</v>
      </c>
      <c r="T256" s="62">
        <f t="shared" si="193"/>
        <v>8</v>
      </c>
      <c r="U256" s="62">
        <f t="shared" si="193"/>
        <v>8</v>
      </c>
      <c r="V256" s="62">
        <f t="shared" si="193"/>
        <v>8</v>
      </c>
      <c r="W256" s="62">
        <f t="shared" ref="W256:AC258" si="194">$B236+($C236-$B236)*(1-AL236)</f>
        <v>8</v>
      </c>
      <c r="X256" s="62">
        <f t="shared" si="194"/>
        <v>8</v>
      </c>
      <c r="Y256" s="62">
        <f t="shared" si="194"/>
        <v>8</v>
      </c>
      <c r="Z256" s="62">
        <f t="shared" si="194"/>
        <v>8</v>
      </c>
      <c r="AA256" s="62">
        <f t="shared" si="194"/>
        <v>8</v>
      </c>
      <c r="AB256" s="62">
        <f t="shared" si="194"/>
        <v>8</v>
      </c>
      <c r="AC256" s="62">
        <f t="shared" si="194"/>
        <v>8</v>
      </c>
    </row>
    <row r="257" spans="1:29" x14ac:dyDescent="0.25">
      <c r="A257" s="30" t="str">
        <f>A237</f>
        <v>Lifetime costumization</v>
      </c>
      <c r="B257" s="62">
        <f>$B237+($C237-$B237)*(1-Q237)</f>
        <v>10</v>
      </c>
      <c r="C257" s="62">
        <f t="shared" si="192"/>
        <v>10</v>
      </c>
      <c r="D257" s="62">
        <f t="shared" si="192"/>
        <v>10</v>
      </c>
      <c r="E257" s="62">
        <f t="shared" si="192"/>
        <v>10</v>
      </c>
      <c r="F257" s="62">
        <f t="shared" si="192"/>
        <v>10</v>
      </c>
      <c r="G257" s="62">
        <f t="shared" si="192"/>
        <v>10</v>
      </c>
      <c r="H257" s="62">
        <f t="shared" si="192"/>
        <v>10</v>
      </c>
      <c r="I257" s="62">
        <f t="shared" si="192"/>
        <v>10</v>
      </c>
      <c r="J257" s="62">
        <f t="shared" si="192"/>
        <v>10</v>
      </c>
      <c r="K257" s="62">
        <f t="shared" si="192"/>
        <v>10</v>
      </c>
      <c r="L257" s="62">
        <f t="shared" si="192"/>
        <v>10</v>
      </c>
      <c r="M257" s="62">
        <f t="shared" si="193"/>
        <v>10</v>
      </c>
      <c r="N257" s="62">
        <f t="shared" si="193"/>
        <v>10</v>
      </c>
      <c r="O257" s="62">
        <f t="shared" si="193"/>
        <v>10</v>
      </c>
      <c r="P257" s="62">
        <f t="shared" si="193"/>
        <v>10</v>
      </c>
      <c r="Q257" s="62">
        <f t="shared" si="193"/>
        <v>10</v>
      </c>
      <c r="R257" s="62">
        <f t="shared" si="193"/>
        <v>10</v>
      </c>
      <c r="S257" s="62">
        <f t="shared" si="193"/>
        <v>10</v>
      </c>
      <c r="T257" s="62">
        <f t="shared" si="193"/>
        <v>10</v>
      </c>
      <c r="U257" s="62">
        <f t="shared" si="193"/>
        <v>10</v>
      </c>
      <c r="V257" s="62">
        <f t="shared" si="193"/>
        <v>10</v>
      </c>
      <c r="W257" s="62">
        <f t="shared" si="194"/>
        <v>10</v>
      </c>
      <c r="X257" s="62">
        <f t="shared" si="194"/>
        <v>10</v>
      </c>
      <c r="Y257" s="62">
        <f t="shared" si="194"/>
        <v>10</v>
      </c>
      <c r="Z257" s="62">
        <f t="shared" si="194"/>
        <v>10</v>
      </c>
      <c r="AA257" s="62">
        <f t="shared" si="194"/>
        <v>10</v>
      </c>
      <c r="AB257" s="62">
        <f t="shared" si="194"/>
        <v>10</v>
      </c>
      <c r="AC257" s="62">
        <f t="shared" si="194"/>
        <v>10</v>
      </c>
    </row>
    <row r="258" spans="1:29" x14ac:dyDescent="0.25">
      <c r="A258" s="30" t="str">
        <f>A238</f>
        <v>Tonnage .</v>
      </c>
      <c r="B258" s="62">
        <f>$B238+($C238-$B238)*(1-Q238)</f>
        <v>25</v>
      </c>
      <c r="C258" s="62">
        <f t="shared" si="192"/>
        <v>25</v>
      </c>
      <c r="D258" s="62">
        <f t="shared" si="192"/>
        <v>25</v>
      </c>
      <c r="E258" s="62">
        <f t="shared" si="192"/>
        <v>25</v>
      </c>
      <c r="F258" s="62">
        <f t="shared" si="192"/>
        <v>25</v>
      </c>
      <c r="G258" s="62">
        <f t="shared" si="192"/>
        <v>25</v>
      </c>
      <c r="H258" s="62">
        <f t="shared" si="192"/>
        <v>25</v>
      </c>
      <c r="I258" s="62">
        <f t="shared" si="192"/>
        <v>25</v>
      </c>
      <c r="J258" s="62">
        <f t="shared" si="192"/>
        <v>25</v>
      </c>
      <c r="K258" s="62">
        <f t="shared" si="192"/>
        <v>25</v>
      </c>
      <c r="L258" s="62">
        <f t="shared" si="192"/>
        <v>25</v>
      </c>
      <c r="M258" s="62">
        <f t="shared" si="193"/>
        <v>25</v>
      </c>
      <c r="N258" s="62">
        <f t="shared" si="193"/>
        <v>25</v>
      </c>
      <c r="O258" s="62">
        <f t="shared" si="193"/>
        <v>25</v>
      </c>
      <c r="P258" s="62">
        <f t="shared" si="193"/>
        <v>25</v>
      </c>
      <c r="Q258" s="62">
        <f t="shared" si="193"/>
        <v>25</v>
      </c>
      <c r="R258" s="62">
        <f t="shared" si="193"/>
        <v>25</v>
      </c>
      <c r="S258" s="62">
        <f t="shared" si="193"/>
        <v>25</v>
      </c>
      <c r="T258" s="62">
        <f t="shared" si="193"/>
        <v>25</v>
      </c>
      <c r="U258" s="62">
        <f t="shared" si="193"/>
        <v>25</v>
      </c>
      <c r="V258" s="62">
        <f t="shared" si="193"/>
        <v>25</v>
      </c>
      <c r="W258" s="62">
        <f t="shared" si="194"/>
        <v>25</v>
      </c>
      <c r="X258" s="62">
        <f t="shared" si="194"/>
        <v>25</v>
      </c>
      <c r="Y258" s="62">
        <f t="shared" si="194"/>
        <v>25</v>
      </c>
      <c r="Z258" s="62">
        <f t="shared" si="194"/>
        <v>25</v>
      </c>
      <c r="AA258" s="62">
        <f t="shared" si="194"/>
        <v>25</v>
      </c>
      <c r="AB258" s="62">
        <f t="shared" si="194"/>
        <v>25</v>
      </c>
      <c r="AC258" s="62">
        <f t="shared" si="194"/>
        <v>25</v>
      </c>
    </row>
    <row r="259" spans="1:29" x14ac:dyDescent="0.25">
      <c r="A259" s="30" t="str">
        <f>A239</f>
        <v>Market failure (av. utilization)</v>
      </c>
      <c r="B259" s="62">
        <f t="shared" ref="B259:K260" si="195">($B239+($C239-$B239)*(1-Q239))*B$44</f>
        <v>15.333333333333336</v>
      </c>
      <c r="C259" s="62">
        <f t="shared" si="195"/>
        <v>15.333333333333336</v>
      </c>
      <c r="D259" s="62">
        <f t="shared" si="195"/>
        <v>15.333333333333336</v>
      </c>
      <c r="E259" s="62">
        <f t="shared" si="195"/>
        <v>15.333333333333336</v>
      </c>
      <c r="F259" s="62">
        <f t="shared" si="195"/>
        <v>15.333333333333336</v>
      </c>
      <c r="G259" s="62">
        <f t="shared" si="195"/>
        <v>15.333333333333336</v>
      </c>
      <c r="H259" s="62">
        <f t="shared" si="195"/>
        <v>15.333333333333336</v>
      </c>
      <c r="I259" s="62">
        <f t="shared" si="195"/>
        <v>15.333333333333336</v>
      </c>
      <c r="J259" s="62">
        <f t="shared" si="195"/>
        <v>15.333333333333336</v>
      </c>
      <c r="K259" s="62">
        <f t="shared" si="195"/>
        <v>15.333333333333336</v>
      </c>
      <c r="L259" s="62">
        <f t="shared" ref="L259:U260" si="196">($B239+($C239-$B239)*(1-AA239))*L$44</f>
        <v>15.333333333333336</v>
      </c>
      <c r="M259" s="62">
        <f t="shared" si="196"/>
        <v>15.333333333333336</v>
      </c>
      <c r="N259" s="62">
        <f t="shared" si="196"/>
        <v>15.333333333333336</v>
      </c>
      <c r="O259" s="62">
        <f t="shared" si="196"/>
        <v>15.333333333333336</v>
      </c>
      <c r="P259" s="62">
        <f t="shared" si="196"/>
        <v>15.333333333333336</v>
      </c>
      <c r="Q259" s="62">
        <f t="shared" si="196"/>
        <v>15.333333333333336</v>
      </c>
      <c r="R259" s="62">
        <f t="shared" si="196"/>
        <v>15.333333333333336</v>
      </c>
      <c r="S259" s="62">
        <f t="shared" si="196"/>
        <v>15.333333333333336</v>
      </c>
      <c r="T259" s="62">
        <f t="shared" si="196"/>
        <v>15.333333333333336</v>
      </c>
      <c r="U259" s="62">
        <f t="shared" si="196"/>
        <v>15.333333333333336</v>
      </c>
      <c r="V259" s="62">
        <f t="shared" ref="V259:AC260" si="197">($B239+($C239-$B239)*(1-AK239))*V$44</f>
        <v>15.333333333333336</v>
      </c>
      <c r="W259" s="62">
        <f t="shared" si="197"/>
        <v>15.333333333333336</v>
      </c>
      <c r="X259" s="62">
        <f t="shared" si="197"/>
        <v>15.333333333333336</v>
      </c>
      <c r="Y259" s="62">
        <f t="shared" si="197"/>
        <v>15.333333333333336</v>
      </c>
      <c r="Z259" s="62">
        <f t="shared" si="197"/>
        <v>15.333333333333336</v>
      </c>
      <c r="AA259" s="62">
        <f t="shared" si="197"/>
        <v>15.333333333333336</v>
      </c>
      <c r="AB259" s="62">
        <f t="shared" si="197"/>
        <v>15.333333333333336</v>
      </c>
      <c r="AC259" s="62">
        <f t="shared" si="197"/>
        <v>15.333333333333336</v>
      </c>
    </row>
    <row r="260" spans="1:29" x14ac:dyDescent="0.25">
      <c r="A260" s="30" t="s">
        <v>73</v>
      </c>
      <c r="B260" s="62">
        <f t="shared" si="195"/>
        <v>1.240098396181128</v>
      </c>
      <c r="C260" s="62">
        <f t="shared" si="195"/>
        <v>1.2358588232214369</v>
      </c>
      <c r="D260" s="62">
        <f t="shared" si="195"/>
        <v>1.2298392373690403</v>
      </c>
      <c r="E260" s="62">
        <f t="shared" si="195"/>
        <v>1.2213311312119457</v>
      </c>
      <c r="F260" s="62">
        <f t="shared" si="195"/>
        <v>1.2093859036663352</v>
      </c>
      <c r="G260" s="62">
        <f t="shared" si="195"/>
        <v>1.1927777011260612</v>
      </c>
      <c r="H260" s="62">
        <f t="shared" si="195"/>
        <v>1.1700084767574384</v>
      </c>
      <c r="I260" s="62">
        <f t="shared" si="195"/>
        <v>1.1394090790574525</v>
      </c>
      <c r="J260" s="62">
        <f t="shared" si="195"/>
        <v>1.0994097548946793</v>
      </c>
      <c r="K260" s="62">
        <f t="shared" si="195"/>
        <v>1.0490373668749504</v>
      </c>
      <c r="L260" s="62">
        <f t="shared" si="196"/>
        <v>0.98859194719090016</v>
      </c>
      <c r="M260" s="62">
        <f t="shared" si="196"/>
        <v>0.92024185910637191</v>
      </c>
      <c r="N260" s="62">
        <f t="shared" si="196"/>
        <v>0.84808495154888996</v>
      </c>
      <c r="O260" s="62">
        <f t="shared" si="196"/>
        <v>0.77734795696642955</v>
      </c>
      <c r="P260" s="62">
        <f t="shared" si="196"/>
        <v>0.71295461477923405</v>
      </c>
      <c r="Q260" s="62">
        <f t="shared" si="196"/>
        <v>0.65822944370838299</v>
      </c>
      <c r="R260" s="62">
        <f t="shared" si="196"/>
        <v>0.61440438240348649</v>
      </c>
      <c r="S260" s="62">
        <f t="shared" si="196"/>
        <v>0.580963915532825</v>
      </c>
      <c r="T260" s="62">
        <f t="shared" si="196"/>
        <v>0.55638249045356891</v>
      </c>
      <c r="U260" s="62">
        <f t="shared" si="196"/>
        <v>0.53880712713312673</v>
      </c>
      <c r="V260" s="62">
        <f t="shared" si="197"/>
        <v>0.52648939296900943</v>
      </c>
      <c r="W260" s="62">
        <f t="shared" si="197"/>
        <v>0.51797708155449362</v>
      </c>
      <c r="X260" s="62">
        <f t="shared" si="197"/>
        <v>0.5121516826687923</v>
      </c>
      <c r="Y260" s="62">
        <f t="shared" si="197"/>
        <v>0.50819168042308127</v>
      </c>
      <c r="Z260" s="62">
        <f t="shared" si="197"/>
        <v>0.50551199096795685</v>
      </c>
      <c r="AA260" s="62">
        <f t="shared" si="197"/>
        <v>0.50370426966387927</v>
      </c>
      <c r="AB260" s="62">
        <f t="shared" si="197"/>
        <v>0.50248732066197166</v>
      </c>
      <c r="AC260" s="62">
        <f t="shared" si="197"/>
        <v>0.50166922716100104</v>
      </c>
    </row>
    <row r="261" spans="1:29" x14ac:dyDescent="0.25">
      <c r="A261" s="30" t="str">
        <f>A241</f>
        <v>Annual Mileage</v>
      </c>
      <c r="B261" s="62">
        <f t="shared" ref="B261:AC261" si="198">$B241+($C241-$B241)*(1-Q241)</f>
        <v>105000</v>
      </c>
      <c r="C261" s="62">
        <f t="shared" si="198"/>
        <v>105000</v>
      </c>
      <c r="D261" s="62">
        <f t="shared" si="198"/>
        <v>105000</v>
      </c>
      <c r="E261" s="62">
        <f t="shared" si="198"/>
        <v>105000</v>
      </c>
      <c r="F261" s="62">
        <f t="shared" si="198"/>
        <v>105000</v>
      </c>
      <c r="G261" s="62">
        <f t="shared" si="198"/>
        <v>105000</v>
      </c>
      <c r="H261" s="62">
        <f t="shared" si="198"/>
        <v>105000</v>
      </c>
      <c r="I261" s="62">
        <f t="shared" si="198"/>
        <v>105000</v>
      </c>
      <c r="J261" s="62">
        <f t="shared" si="198"/>
        <v>105000</v>
      </c>
      <c r="K261" s="62">
        <f t="shared" si="198"/>
        <v>105000</v>
      </c>
      <c r="L261" s="62">
        <f t="shared" si="198"/>
        <v>105000</v>
      </c>
      <c r="M261" s="62">
        <f t="shared" si="198"/>
        <v>105000</v>
      </c>
      <c r="N261" s="62">
        <f t="shared" si="198"/>
        <v>105000</v>
      </c>
      <c r="O261" s="62">
        <f t="shared" si="198"/>
        <v>105000</v>
      </c>
      <c r="P261" s="62">
        <f t="shared" si="198"/>
        <v>105000</v>
      </c>
      <c r="Q261" s="62">
        <f t="shared" si="198"/>
        <v>105000</v>
      </c>
      <c r="R261" s="62">
        <f t="shared" si="198"/>
        <v>105000</v>
      </c>
      <c r="S261" s="62">
        <f t="shared" si="198"/>
        <v>105000</v>
      </c>
      <c r="T261" s="62">
        <f t="shared" si="198"/>
        <v>105000</v>
      </c>
      <c r="U261" s="62">
        <f t="shared" si="198"/>
        <v>105000</v>
      </c>
      <c r="V261" s="62">
        <f t="shared" si="198"/>
        <v>105000</v>
      </c>
      <c r="W261" s="62">
        <f t="shared" si="198"/>
        <v>105000</v>
      </c>
      <c r="X261" s="62">
        <f t="shared" si="198"/>
        <v>105000</v>
      </c>
      <c r="Y261" s="62">
        <f t="shared" si="198"/>
        <v>105000</v>
      </c>
      <c r="Z261" s="62">
        <f t="shared" si="198"/>
        <v>105000</v>
      </c>
      <c r="AA261" s="62">
        <f t="shared" si="198"/>
        <v>105000</v>
      </c>
      <c r="AB261" s="62">
        <f t="shared" si="198"/>
        <v>105000</v>
      </c>
      <c r="AC261" s="62">
        <f t="shared" si="198"/>
        <v>105000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61357.445895655808</v>
      </c>
      <c r="C264" s="63">
        <f t="shared" ref="C264:AC264" si="199">((1+C249)^C256)*C249/(((1+C249)^C256)-1)*(C245)</f>
        <v>60754.714455896952</v>
      </c>
      <c r="D264" s="63">
        <f t="shared" si="199"/>
        <v>59916.698956344211</v>
      </c>
      <c r="E264" s="63">
        <f t="shared" si="199"/>
        <v>58767.811056679595</v>
      </c>
      <c r="F264" s="63">
        <f t="shared" si="199"/>
        <v>57223.828829380502</v>
      </c>
      <c r="G264" s="63">
        <f t="shared" si="199"/>
        <v>55205.54578287054</v>
      </c>
      <c r="H264" s="63">
        <f t="shared" si="199"/>
        <v>52663.859419902983</v>
      </c>
      <c r="I264" s="63">
        <f t="shared" si="199"/>
        <v>49613.908743460379</v>
      </c>
      <c r="J264" s="63">
        <f t="shared" si="199"/>
        <v>46165.10487249765</v>
      </c>
      <c r="K264" s="63">
        <f t="shared" si="199"/>
        <v>42524.216776008514</v>
      </c>
      <c r="L264" s="63">
        <f t="shared" si="199"/>
        <v>38954.974547168116</v>
      </c>
      <c r="M264" s="63">
        <f t="shared" si="199"/>
        <v>35705.819878562834</v>
      </c>
      <c r="N264" s="63">
        <f t="shared" si="199"/>
        <v>32944.501098770794</v>
      </c>
      <c r="O264" s="63">
        <f t="shared" si="199"/>
        <v>30733.179280332359</v>
      </c>
      <c r="P264" s="63">
        <f t="shared" si="199"/>
        <v>29045.842587397736</v>
      </c>
      <c r="Q264" s="63">
        <f t="shared" si="199"/>
        <v>27805.514793492392</v>
      </c>
      <c r="R264" s="63">
        <f t="shared" si="199"/>
        <v>26918.698364255953</v>
      </c>
      <c r="S264" s="63">
        <f t="shared" si="199"/>
        <v>26297.171012101549</v>
      </c>
      <c r="T264" s="63">
        <f t="shared" si="199"/>
        <v>25867.657409706244</v>
      </c>
      <c r="U264" s="63">
        <f t="shared" si="199"/>
        <v>25573.719848103356</v>
      </c>
      <c r="V264" s="63">
        <f t="shared" si="199"/>
        <v>25373.906337151635</v>
      </c>
      <c r="W264" s="63">
        <f t="shared" si="199"/>
        <v>25238.694757696427</v>
      </c>
      <c r="X264" s="63">
        <f t="shared" si="199"/>
        <v>25147.480885032299</v>
      </c>
      <c r="Y264" s="63">
        <f t="shared" si="199"/>
        <v>25086.076159066874</v>
      </c>
      <c r="Z264" s="63">
        <f t="shared" si="199"/>
        <v>25044.796855527889</v>
      </c>
      <c r="AA264" s="63">
        <f t="shared" si="199"/>
        <v>25017.073074171451</v>
      </c>
      <c r="AB264" s="63">
        <f t="shared" si="199"/>
        <v>24998.465197207195</v>
      </c>
      <c r="AC264" s="63">
        <f t="shared" si="199"/>
        <v>24985.981130564032</v>
      </c>
    </row>
    <row r="265" spans="1:29" x14ac:dyDescent="0.25">
      <c r="A265" s="30" t="str">
        <f>A246</f>
        <v>Residual value (vehicle)</v>
      </c>
      <c r="B265" s="62">
        <f>((1+B249)^B256)*B249/(((1+B249)^B256)-1)*(B246)</f>
        <v>-9299.0290627537943</v>
      </c>
      <c r="C265" s="62">
        <f t="shared" ref="C265:AC265" si="200">((1+C249)^C256)*C249/(((1+C249)^C256)-1)*(C246)</f>
        <v>-9248.373973667678</v>
      </c>
      <c r="D265" s="62">
        <f t="shared" si="200"/>
        <v>-9177.9450114712236</v>
      </c>
      <c r="E265" s="62">
        <f t="shared" si="200"/>
        <v>-9081.3895390526031</v>
      </c>
      <c r="F265" s="62">
        <f t="shared" si="200"/>
        <v>-8951.6293305881045</v>
      </c>
      <c r="G265" s="62">
        <f t="shared" si="200"/>
        <v>-8782.0076702963088</v>
      </c>
      <c r="H265" s="62">
        <f t="shared" si="200"/>
        <v>-8568.3978589405251</v>
      </c>
      <c r="I265" s="62">
        <f t="shared" si="200"/>
        <v>-8312.0722169841792</v>
      </c>
      <c r="J265" s="62">
        <f t="shared" si="200"/>
        <v>-8022.2259342117786</v>
      </c>
      <c r="K265" s="62">
        <f t="shared" si="200"/>
        <v>-7716.2364026983305</v>
      </c>
      <c r="L265" s="62">
        <f t="shared" si="200"/>
        <v>-7416.2681728277021</v>
      </c>
      <c r="M265" s="62">
        <f t="shared" si="200"/>
        <v>-7143.2009187640651</v>
      </c>
      <c r="N265" s="62">
        <f t="shared" si="200"/>
        <v>-6911.1326383347341</v>
      </c>
      <c r="O265" s="62">
        <f t="shared" si="200"/>
        <v>-6725.2875067851219</v>
      </c>
      <c r="P265" s="62">
        <f t="shared" si="200"/>
        <v>-6583.4794230172129</v>
      </c>
      <c r="Q265" s="62">
        <f t="shared" si="200"/>
        <v>-6479.2391084230394</v>
      </c>
      <c r="R265" s="62">
        <f t="shared" si="200"/>
        <v>-6404.7087914978501</v>
      </c>
      <c r="S265" s="62">
        <f t="shared" si="200"/>
        <v>-6352.4740459444474</v>
      </c>
      <c r="T265" s="62">
        <f t="shared" si="200"/>
        <v>-6316.3766261686715</v>
      </c>
      <c r="U265" s="62">
        <f t="shared" si="200"/>
        <v>-6291.6733630126846</v>
      </c>
      <c r="V265" s="62">
        <f t="shared" si="200"/>
        <v>-6274.8805253901455</v>
      </c>
      <c r="W265" s="62">
        <f t="shared" si="200"/>
        <v>-6263.5169990316763</v>
      </c>
      <c r="X265" s="62">
        <f t="shared" si="200"/>
        <v>-6255.8511522865001</v>
      </c>
      <c r="Y265" s="62">
        <f t="shared" si="200"/>
        <v>-6250.6905423383423</v>
      </c>
      <c r="Z265" s="62">
        <f t="shared" si="200"/>
        <v>-6247.2213242749585</v>
      </c>
      <c r="AA265" s="62">
        <f t="shared" si="200"/>
        <v>-6244.8913469056415</v>
      </c>
      <c r="AB265" s="62">
        <f t="shared" si="200"/>
        <v>-6243.3274934160918</v>
      </c>
      <c r="AC265" s="62">
        <f t="shared" si="200"/>
        <v>-6242.278300581188</v>
      </c>
    </row>
    <row r="266" spans="1:29" x14ac:dyDescent="0.25">
      <c r="A266" s="30" t="str">
        <f>A247</f>
        <v>Capex costumization</v>
      </c>
      <c r="B266" s="62">
        <f>((1+B249)^B257)*B249/(((1+B249)^B257)-1)*(B247)</f>
        <v>4076.0387466115117</v>
      </c>
      <c r="C266" s="62">
        <f t="shared" ref="C266:AC266" si="201">((1+C249)^C257)*C249/(((1+C249)^C257)-1)*(C247)</f>
        <v>4076.0387466115117</v>
      </c>
      <c r="D266" s="62">
        <f t="shared" si="201"/>
        <v>4076.0387466115117</v>
      </c>
      <c r="E266" s="62">
        <f t="shared" si="201"/>
        <v>4076.0387466115117</v>
      </c>
      <c r="F266" s="62">
        <f t="shared" si="201"/>
        <v>4076.0387466115117</v>
      </c>
      <c r="G266" s="62">
        <f t="shared" si="201"/>
        <v>4076.0387466115117</v>
      </c>
      <c r="H266" s="62">
        <f t="shared" si="201"/>
        <v>4076.0387466115117</v>
      </c>
      <c r="I266" s="62">
        <f t="shared" si="201"/>
        <v>4076.0387466115117</v>
      </c>
      <c r="J266" s="62">
        <f t="shared" si="201"/>
        <v>4076.0387466115117</v>
      </c>
      <c r="K266" s="62">
        <f t="shared" si="201"/>
        <v>4076.0387466115117</v>
      </c>
      <c r="L266" s="62">
        <f t="shared" si="201"/>
        <v>4076.0387466115117</v>
      </c>
      <c r="M266" s="62">
        <f t="shared" si="201"/>
        <v>4076.0387466115117</v>
      </c>
      <c r="N266" s="62">
        <f t="shared" si="201"/>
        <v>4076.0387466115117</v>
      </c>
      <c r="O266" s="62">
        <f t="shared" si="201"/>
        <v>4076.0387466115117</v>
      </c>
      <c r="P266" s="62">
        <f t="shared" si="201"/>
        <v>4076.0387466115117</v>
      </c>
      <c r="Q266" s="62">
        <f t="shared" si="201"/>
        <v>4076.0387466115117</v>
      </c>
      <c r="R266" s="62">
        <f t="shared" si="201"/>
        <v>4076.0387466115117</v>
      </c>
      <c r="S266" s="62">
        <f t="shared" si="201"/>
        <v>4076.0387466115117</v>
      </c>
      <c r="T266" s="62">
        <f t="shared" si="201"/>
        <v>4076.0387466115117</v>
      </c>
      <c r="U266" s="62">
        <f t="shared" si="201"/>
        <v>4076.0387466115117</v>
      </c>
      <c r="V266" s="62">
        <f t="shared" si="201"/>
        <v>4076.0387466115117</v>
      </c>
      <c r="W266" s="62">
        <f t="shared" si="201"/>
        <v>4076.0387466115117</v>
      </c>
      <c r="X266" s="62">
        <f t="shared" si="201"/>
        <v>4076.0387466115117</v>
      </c>
      <c r="Y266" s="62">
        <f t="shared" si="201"/>
        <v>4076.0387466115117</v>
      </c>
      <c r="Z266" s="62">
        <f t="shared" si="201"/>
        <v>4076.0387466115117</v>
      </c>
      <c r="AA266" s="62">
        <f t="shared" si="201"/>
        <v>4076.0387466115117</v>
      </c>
      <c r="AB266" s="62">
        <f t="shared" si="201"/>
        <v>4076.0387466115117</v>
      </c>
      <c r="AC266" s="62">
        <f t="shared" si="201"/>
        <v>4076.0387466115117</v>
      </c>
    </row>
    <row r="267" spans="1:29" x14ac:dyDescent="0.25">
      <c r="A267" s="30" t="str">
        <f>A248</f>
        <v>Residual value (costumization)</v>
      </c>
      <c r="B267" s="62">
        <f>((1+B249)^B257)*B249/(((1+B249)^B257)-1)*(B248)</f>
        <v>-1019.0096866528779</v>
      </c>
      <c r="C267" s="62">
        <f t="shared" ref="C267:AC267" si="202">((1+C249)^C257)*C249/(((1+C249)^C257)-1)*(C248)</f>
        <v>-1019.0096866528779</v>
      </c>
      <c r="D267" s="62">
        <f t="shared" si="202"/>
        <v>-1019.0096866528779</v>
      </c>
      <c r="E267" s="62">
        <f t="shared" si="202"/>
        <v>-1019.0096866528779</v>
      </c>
      <c r="F267" s="62">
        <f t="shared" si="202"/>
        <v>-1019.0096866528779</v>
      </c>
      <c r="G267" s="62">
        <f t="shared" si="202"/>
        <v>-1019.0096866528779</v>
      </c>
      <c r="H267" s="62">
        <f t="shared" si="202"/>
        <v>-1019.0096866528779</v>
      </c>
      <c r="I267" s="62">
        <f t="shared" si="202"/>
        <v>-1019.0096866528779</v>
      </c>
      <c r="J267" s="62">
        <f t="shared" si="202"/>
        <v>-1019.0096866528779</v>
      </c>
      <c r="K267" s="62">
        <f t="shared" si="202"/>
        <v>-1019.0096866528779</v>
      </c>
      <c r="L267" s="62">
        <f t="shared" si="202"/>
        <v>-1019.0096866528779</v>
      </c>
      <c r="M267" s="62">
        <f t="shared" si="202"/>
        <v>-1019.0096866528779</v>
      </c>
      <c r="N267" s="62">
        <f t="shared" si="202"/>
        <v>-1019.0096866528779</v>
      </c>
      <c r="O267" s="62">
        <f t="shared" si="202"/>
        <v>-1019.0096866528779</v>
      </c>
      <c r="P267" s="62">
        <f t="shared" si="202"/>
        <v>-1019.0096866528779</v>
      </c>
      <c r="Q267" s="62">
        <f t="shared" si="202"/>
        <v>-1019.0096866528779</v>
      </c>
      <c r="R267" s="62">
        <f t="shared" si="202"/>
        <v>-1019.0096866528779</v>
      </c>
      <c r="S267" s="62">
        <f t="shared" si="202"/>
        <v>-1019.0096866528779</v>
      </c>
      <c r="T267" s="62">
        <f t="shared" si="202"/>
        <v>-1019.0096866528779</v>
      </c>
      <c r="U267" s="62">
        <f t="shared" si="202"/>
        <v>-1019.0096866528779</v>
      </c>
      <c r="V267" s="62">
        <f t="shared" si="202"/>
        <v>-1019.0096866528779</v>
      </c>
      <c r="W267" s="62">
        <f t="shared" si="202"/>
        <v>-1019.0096866528779</v>
      </c>
      <c r="X267" s="62">
        <f t="shared" si="202"/>
        <v>-1019.0096866528779</v>
      </c>
      <c r="Y267" s="62">
        <f t="shared" si="202"/>
        <v>-1019.0096866528779</v>
      </c>
      <c r="Z267" s="62">
        <f t="shared" si="202"/>
        <v>-1019.0096866528779</v>
      </c>
      <c r="AA267" s="62">
        <f t="shared" si="202"/>
        <v>-1019.0096866528779</v>
      </c>
      <c r="AB267" s="62">
        <f t="shared" si="202"/>
        <v>-1019.0096866528779</v>
      </c>
      <c r="AC267" s="62">
        <f t="shared" si="202"/>
        <v>-1019.0096866528779</v>
      </c>
    </row>
    <row r="268" spans="1:29" x14ac:dyDescent="0.25">
      <c r="A268" s="30" t="str">
        <f t="shared" ref="A268:AC268" si="203">A250</f>
        <v>Opex fix (admin, crew, insurance)</v>
      </c>
      <c r="B268" s="62">
        <f t="shared" si="203"/>
        <v>70000</v>
      </c>
      <c r="C268" s="62">
        <f t="shared" si="203"/>
        <v>70000</v>
      </c>
      <c r="D268" s="62">
        <f t="shared" si="203"/>
        <v>70000</v>
      </c>
      <c r="E268" s="62">
        <f t="shared" si="203"/>
        <v>70000</v>
      </c>
      <c r="F268" s="62">
        <f t="shared" si="203"/>
        <v>70000</v>
      </c>
      <c r="G268" s="62">
        <f t="shared" si="203"/>
        <v>70000</v>
      </c>
      <c r="H268" s="62">
        <f t="shared" si="203"/>
        <v>70000</v>
      </c>
      <c r="I268" s="62">
        <f t="shared" si="203"/>
        <v>70000</v>
      </c>
      <c r="J268" s="62">
        <f t="shared" si="203"/>
        <v>70000</v>
      </c>
      <c r="K268" s="62">
        <f t="shared" si="203"/>
        <v>70000</v>
      </c>
      <c r="L268" s="62">
        <f t="shared" si="203"/>
        <v>70000</v>
      </c>
      <c r="M268" s="62">
        <f t="shared" si="203"/>
        <v>70000</v>
      </c>
      <c r="N268" s="62">
        <f t="shared" si="203"/>
        <v>70000</v>
      </c>
      <c r="O268" s="62">
        <f t="shared" si="203"/>
        <v>70000</v>
      </c>
      <c r="P268" s="62">
        <f t="shared" si="203"/>
        <v>70000</v>
      </c>
      <c r="Q268" s="62">
        <f t="shared" si="203"/>
        <v>70000</v>
      </c>
      <c r="R268" s="62">
        <f t="shared" si="203"/>
        <v>70000</v>
      </c>
      <c r="S268" s="62">
        <f t="shared" si="203"/>
        <v>70000</v>
      </c>
      <c r="T268" s="62">
        <f t="shared" si="203"/>
        <v>70000</v>
      </c>
      <c r="U268" s="62">
        <f t="shared" si="203"/>
        <v>70000</v>
      </c>
      <c r="V268" s="62">
        <f t="shared" si="203"/>
        <v>70000</v>
      </c>
      <c r="W268" s="62">
        <f t="shared" si="203"/>
        <v>70000</v>
      </c>
      <c r="X268" s="62">
        <f t="shared" si="203"/>
        <v>70000</v>
      </c>
      <c r="Y268" s="62">
        <f t="shared" si="203"/>
        <v>70000</v>
      </c>
      <c r="Z268" s="62">
        <f t="shared" si="203"/>
        <v>70000</v>
      </c>
      <c r="AA268" s="62">
        <f t="shared" si="203"/>
        <v>70000</v>
      </c>
      <c r="AB268" s="62">
        <f t="shared" si="203"/>
        <v>70000</v>
      </c>
      <c r="AC268" s="62">
        <f t="shared" si="203"/>
        <v>70000</v>
      </c>
    </row>
    <row r="269" spans="1:29" x14ac:dyDescent="0.25">
      <c r="A269" s="30" t="str">
        <f t="shared" ref="A269:AC269" si="204">A251</f>
        <v>Opex maintenance &amp; repair</v>
      </c>
      <c r="B269" s="62">
        <f t="shared" si="204"/>
        <v>25694.198732927423</v>
      </c>
      <c r="C269" s="62">
        <f t="shared" si="204"/>
        <v>25566.782972440909</v>
      </c>
      <c r="D269" s="62">
        <f t="shared" si="204"/>
        <v>25389.62881201132</v>
      </c>
      <c r="E269" s="62">
        <f t="shared" si="204"/>
        <v>25146.757085412675</v>
      </c>
      <c r="F269" s="62">
        <f t="shared" si="204"/>
        <v>24820.363509946161</v>
      </c>
      <c r="G269" s="62">
        <f t="shared" si="204"/>
        <v>24393.704052209912</v>
      </c>
      <c r="H269" s="62">
        <f t="shared" si="204"/>
        <v>23856.39857999947</v>
      </c>
      <c r="I269" s="62">
        <f t="shared" si="204"/>
        <v>23211.647436702937</v>
      </c>
      <c r="J269" s="62">
        <f t="shared" si="204"/>
        <v>22482.579830467967</v>
      </c>
      <c r="K269" s="62">
        <f t="shared" si="204"/>
        <v>21712.906149854825</v>
      </c>
      <c r="L269" s="62">
        <f t="shared" si="204"/>
        <v>20958.378207641916</v>
      </c>
      <c r="M269" s="62">
        <f t="shared" si="204"/>
        <v>20271.515890978495</v>
      </c>
      <c r="N269" s="62">
        <f t="shared" si="204"/>
        <v>19687.78073288942</v>
      </c>
      <c r="O269" s="62">
        <f t="shared" si="204"/>
        <v>19220.313412303854</v>
      </c>
      <c r="P269" s="62">
        <f t="shared" si="204"/>
        <v>18863.615099016799</v>
      </c>
      <c r="Q269" s="62">
        <f t="shared" si="204"/>
        <v>18601.413231504735</v>
      </c>
      <c r="R269" s="62">
        <f t="shared" si="204"/>
        <v>18413.942689420019</v>
      </c>
      <c r="S269" s="62">
        <f t="shared" si="204"/>
        <v>18282.553525002768</v>
      </c>
      <c r="T269" s="62">
        <f t="shared" si="204"/>
        <v>18191.755536581266</v>
      </c>
      <c r="U269" s="62">
        <f t="shared" si="204"/>
        <v>18129.617948467116</v>
      </c>
      <c r="V269" s="62">
        <f t="shared" si="204"/>
        <v>18087.377924512868</v>
      </c>
      <c r="W269" s="62">
        <f t="shared" si="204"/>
        <v>18058.794570324873</v>
      </c>
      <c r="X269" s="62">
        <f t="shared" si="204"/>
        <v>18039.512209748045</v>
      </c>
      <c r="Y269" s="62">
        <f t="shared" si="204"/>
        <v>18026.531420394364</v>
      </c>
      <c r="Z269" s="62">
        <f t="shared" si="204"/>
        <v>18017.805089717345</v>
      </c>
      <c r="AA269" s="62">
        <f t="shared" si="204"/>
        <v>18011.94435896385</v>
      </c>
      <c r="AB269" s="62">
        <f t="shared" si="204"/>
        <v>18008.010705203578</v>
      </c>
      <c r="AC269" s="62">
        <f t="shared" si="204"/>
        <v>18005.371608019701</v>
      </c>
    </row>
    <row r="270" spans="1:29" x14ac:dyDescent="0.25">
      <c r="A270" s="30" t="str">
        <f>A252</f>
        <v>Opex var (mode-fees)</v>
      </c>
      <c r="B270" s="62">
        <f>B252*B261</f>
        <v>11550</v>
      </c>
      <c r="C270" s="62">
        <f t="shared" ref="C270:AC270" si="205">C252*C261</f>
        <v>11550</v>
      </c>
      <c r="D270" s="62">
        <f t="shared" si="205"/>
        <v>11550</v>
      </c>
      <c r="E270" s="62">
        <f t="shared" si="205"/>
        <v>11550</v>
      </c>
      <c r="F270" s="62">
        <f t="shared" si="205"/>
        <v>11550</v>
      </c>
      <c r="G270" s="62">
        <f t="shared" si="205"/>
        <v>11550</v>
      </c>
      <c r="H270" s="62">
        <f t="shared" si="205"/>
        <v>11550</v>
      </c>
      <c r="I270" s="62">
        <f t="shared" si="205"/>
        <v>11550</v>
      </c>
      <c r="J270" s="62">
        <f t="shared" si="205"/>
        <v>11550</v>
      </c>
      <c r="K270" s="62">
        <f t="shared" si="205"/>
        <v>11550</v>
      </c>
      <c r="L270" s="62">
        <f t="shared" si="205"/>
        <v>11550</v>
      </c>
      <c r="M270" s="62">
        <f t="shared" si="205"/>
        <v>11550</v>
      </c>
      <c r="N270" s="62">
        <f t="shared" si="205"/>
        <v>11550</v>
      </c>
      <c r="O270" s="62">
        <f t="shared" si="205"/>
        <v>11550</v>
      </c>
      <c r="P270" s="62">
        <f t="shared" si="205"/>
        <v>11550</v>
      </c>
      <c r="Q270" s="62">
        <f t="shared" si="205"/>
        <v>11550</v>
      </c>
      <c r="R270" s="62">
        <f t="shared" si="205"/>
        <v>11550</v>
      </c>
      <c r="S270" s="62">
        <f t="shared" si="205"/>
        <v>11550</v>
      </c>
      <c r="T270" s="62">
        <f t="shared" si="205"/>
        <v>11550</v>
      </c>
      <c r="U270" s="62">
        <f t="shared" si="205"/>
        <v>11550</v>
      </c>
      <c r="V270" s="62">
        <f t="shared" si="205"/>
        <v>11550</v>
      </c>
      <c r="W270" s="62">
        <f t="shared" si="205"/>
        <v>11550</v>
      </c>
      <c r="X270" s="62">
        <f t="shared" si="205"/>
        <v>11550</v>
      </c>
      <c r="Y270" s="62">
        <f t="shared" si="205"/>
        <v>11550</v>
      </c>
      <c r="Z270" s="62">
        <f t="shared" si="205"/>
        <v>11550</v>
      </c>
      <c r="AA270" s="62">
        <f t="shared" si="205"/>
        <v>11550</v>
      </c>
      <c r="AB270" s="62">
        <f t="shared" si="205"/>
        <v>11550</v>
      </c>
      <c r="AC270" s="62">
        <f t="shared" si="205"/>
        <v>11550</v>
      </c>
    </row>
    <row r="271" spans="1:29" x14ac:dyDescent="0.25">
      <c r="A271" s="30" t="str">
        <f>A254</f>
        <v>Fuel Cost</v>
      </c>
      <c r="B271" s="62">
        <f>B253*B254*B261</f>
        <v>66337.781942534828</v>
      </c>
      <c r="C271" s="62">
        <f t="shared" ref="C271:AC271" si="206">C253*C254*C261</f>
        <v>65811.013153032269</v>
      </c>
      <c r="D271" s="62">
        <f t="shared" si="206"/>
        <v>65075.706481140514</v>
      </c>
      <c r="E271" s="62">
        <f t="shared" si="206"/>
        <v>64061.427040607217</v>
      </c>
      <c r="F271" s="62">
        <f t="shared" si="206"/>
        <v>62685.444827234147</v>
      </c>
      <c r="G271" s="62">
        <f t="shared" si="206"/>
        <v>60860.828549965372</v>
      </c>
      <c r="H271" s="62">
        <f t="shared" si="206"/>
        <v>58513.145789284426</v>
      </c>
      <c r="I271" s="62">
        <f t="shared" si="206"/>
        <v>55605.515278588493</v>
      </c>
      <c r="J271" s="62">
        <f t="shared" si="206"/>
        <v>52165.34093977711</v>
      </c>
      <c r="K271" s="62">
        <f t="shared" si="206"/>
        <v>48299.693382064826</v>
      </c>
      <c r="L271" s="62">
        <f t="shared" si="206"/>
        <v>44188.017009658783</v>
      </c>
      <c r="M271" s="62">
        <f t="shared" si="206"/>
        <v>40053.051939234138</v>
      </c>
      <c r="N271" s="62">
        <f t="shared" si="206"/>
        <v>36121.79213111772</v>
      </c>
      <c r="O271" s="62">
        <f t="shared" si="206"/>
        <v>32587.383966463636</v>
      </c>
      <c r="P271" s="62">
        <f t="shared" si="206"/>
        <v>29578.629377311761</v>
      </c>
      <c r="Q271" s="62">
        <f t="shared" si="206"/>
        <v>27145.104750564595</v>
      </c>
      <c r="R271" s="62">
        <f t="shared" si="206"/>
        <v>25263.902315768784</v>
      </c>
      <c r="S271" s="62">
        <f t="shared" si="206"/>
        <v>23863.381487118633</v>
      </c>
      <c r="T271" s="62">
        <f t="shared" si="206"/>
        <v>22851.16908519463</v>
      </c>
      <c r="U271" s="62">
        <f t="shared" si="206"/>
        <v>22135.750391892834</v>
      </c>
      <c r="V271" s="62">
        <f t="shared" si="206"/>
        <v>21638.248857864714</v>
      </c>
      <c r="W271" s="62">
        <f t="shared" si="206"/>
        <v>21296.252286958013</v>
      </c>
      <c r="X271" s="62">
        <f t="shared" si="206"/>
        <v>21063.036184569995</v>
      </c>
      <c r="Y271" s="62">
        <f t="shared" si="206"/>
        <v>20904.877856171192</v>
      </c>
      <c r="Z271" s="62">
        <f t="shared" si="206"/>
        <v>20798.025241198404</v>
      </c>
      <c r="AA271" s="62">
        <f t="shared" si="206"/>
        <v>20726.01984257852</v>
      </c>
      <c r="AB271" s="62">
        <f t="shared" si="206"/>
        <v>20677.581130855029</v>
      </c>
      <c r="AC271" s="62">
        <f t="shared" si="206"/>
        <v>20645.033980904362</v>
      </c>
    </row>
    <row r="272" spans="1:29" ht="15.75" thickBot="1" x14ac:dyDescent="0.3">
      <c r="A272" s="59" t="str">
        <f>A235</f>
        <v>Emission Cost</v>
      </c>
      <c r="B272" s="62">
        <f>B255*B261</f>
        <v>955.97777531877307</v>
      </c>
      <c r="C272" s="62">
        <f t="shared" ref="C272:AC272" si="207">C255*C261</f>
        <v>955.06745155107035</v>
      </c>
      <c r="D272" s="62">
        <f t="shared" si="207"/>
        <v>953.76434335343106</v>
      </c>
      <c r="E272" s="62">
        <f t="shared" si="207"/>
        <v>951.90015543804304</v>
      </c>
      <c r="F272" s="62">
        <f t="shared" si="207"/>
        <v>949.23581955346685</v>
      </c>
      <c r="G272" s="62">
        <f t="shared" si="207"/>
        <v>945.43323645931503</v>
      </c>
      <c r="H272" s="62">
        <f t="shared" si="207"/>
        <v>940.01742525749569</v>
      </c>
      <c r="I272" s="62">
        <f t="shared" si="207"/>
        <v>932.32774971713263</v>
      </c>
      <c r="J272" s="62">
        <f t="shared" si="207"/>
        <v>921.4591322714698</v>
      </c>
      <c r="K272" s="62">
        <f t="shared" si="207"/>
        <v>906.19978946386072</v>
      </c>
      <c r="L272" s="62">
        <f t="shared" si="207"/>
        <v>884.98376364831449</v>
      </c>
      <c r="M272" s="62">
        <f t="shared" si="207"/>
        <v>855.89738594830521</v>
      </c>
      <c r="N272" s="62">
        <f t="shared" si="207"/>
        <v>816.80841108972015</v>
      </c>
      <c r="O272" s="62">
        <f t="shared" si="207"/>
        <v>765.71156951496675</v>
      </c>
      <c r="P272" s="62">
        <f t="shared" si="207"/>
        <v>701.36373403874802</v>
      </c>
      <c r="Q272" s="62">
        <f t="shared" si="207"/>
        <v>624.1481785721918</v>
      </c>
      <c r="R272" s="62">
        <f t="shared" si="207"/>
        <v>536.83486277057239</v>
      </c>
      <c r="S272" s="62">
        <f t="shared" si="207"/>
        <v>444.65855351632302</v>
      </c>
      <c r="T272" s="62">
        <f t="shared" si="207"/>
        <v>354.29610161724673</v>
      </c>
      <c r="U272" s="62">
        <f t="shared" si="207"/>
        <v>272.03730167306605</v>
      </c>
      <c r="V272" s="62">
        <f t="shared" si="207"/>
        <v>202.12903559888585</v>
      </c>
      <c r="W272" s="62">
        <f t="shared" si="207"/>
        <v>146.14503433457838</v>
      </c>
      <c r="X272" s="62">
        <f t="shared" si="207"/>
        <v>103.42675662262052</v>
      </c>
      <c r="Y272" s="62">
        <f t="shared" si="207"/>
        <v>72.025396493506534</v>
      </c>
      <c r="Z272" s="62">
        <f t="shared" si="207"/>
        <v>49.573878274127274</v>
      </c>
      <c r="AA272" s="62">
        <f t="shared" si="207"/>
        <v>33.838679634706402</v>
      </c>
      <c r="AB272" s="62">
        <f t="shared" si="207"/>
        <v>22.964690213973213</v>
      </c>
      <c r="AC272" s="62">
        <f t="shared" si="207"/>
        <v>15.52307738168804</v>
      </c>
    </row>
    <row r="273" spans="1:29" ht="15.75" thickBot="1" x14ac:dyDescent="0.3">
      <c r="A273" s="31" t="s">
        <v>209</v>
      </c>
      <c r="B273" s="64">
        <f>B264+B265+B266+B267+B268+B269+B270+B271+B272</f>
        <v>229653.40434364165</v>
      </c>
      <c r="C273" s="64">
        <f t="shared" ref="C273:AC273" si="208">C264+C265+C266+C267+C268+C269+C270+C271+C272</f>
        <v>228446.23311921218</v>
      </c>
      <c r="D273" s="64">
        <f t="shared" si="208"/>
        <v>226764.88264133688</v>
      </c>
      <c r="E273" s="64">
        <f t="shared" si="208"/>
        <v>224453.5348590436</v>
      </c>
      <c r="F273" s="64">
        <f t="shared" si="208"/>
        <v>221334.27271548478</v>
      </c>
      <c r="G273" s="64">
        <f t="shared" si="208"/>
        <v>217230.53301116748</v>
      </c>
      <c r="H273" s="64">
        <f t="shared" si="208"/>
        <v>212012.05241546253</v>
      </c>
      <c r="I273" s="64">
        <f t="shared" si="208"/>
        <v>205658.35605144341</v>
      </c>
      <c r="J273" s="64">
        <f t="shared" si="208"/>
        <v>198319.28790076106</v>
      </c>
      <c r="K273" s="64">
        <f t="shared" si="208"/>
        <v>190333.80875465236</v>
      </c>
      <c r="L273" s="64">
        <f t="shared" si="208"/>
        <v>182177.11441524804</v>
      </c>
      <c r="M273" s="64">
        <f t="shared" si="208"/>
        <v>174350.11323591837</v>
      </c>
      <c r="N273" s="64">
        <f t="shared" si="208"/>
        <v>167266.77879549158</v>
      </c>
      <c r="O273" s="64">
        <f t="shared" si="208"/>
        <v>161188.32978178834</v>
      </c>
      <c r="P273" s="64">
        <f t="shared" si="208"/>
        <v>156213.00043470645</v>
      </c>
      <c r="Q273" s="64">
        <f t="shared" si="208"/>
        <v>152303.9709056695</v>
      </c>
      <c r="R273" s="64">
        <f t="shared" si="208"/>
        <v>149335.69850067611</v>
      </c>
      <c r="S273" s="64">
        <f t="shared" si="208"/>
        <v>147142.31959175345</v>
      </c>
      <c r="T273" s="64">
        <f t="shared" si="208"/>
        <v>145555.53056688936</v>
      </c>
      <c r="U273" s="64">
        <f t="shared" si="208"/>
        <v>144426.4811870823</v>
      </c>
      <c r="V273" s="64">
        <f t="shared" si="208"/>
        <v>143633.81068969658</v>
      </c>
      <c r="W273" s="64">
        <f t="shared" si="208"/>
        <v>143083.39871024084</v>
      </c>
      <c r="X273" s="64">
        <f t="shared" si="208"/>
        <v>142704.63394364511</v>
      </c>
      <c r="Y273" s="64">
        <f t="shared" si="208"/>
        <v>142445.84934974622</v>
      </c>
      <c r="Z273" s="64">
        <f t="shared" si="208"/>
        <v>142270.00880040144</v>
      </c>
      <c r="AA273" s="64">
        <f t="shared" si="208"/>
        <v>142151.01366840152</v>
      </c>
      <c r="AB273" s="64">
        <f t="shared" si="208"/>
        <v>142070.72329002229</v>
      </c>
      <c r="AC273" s="64">
        <f t="shared" si="208"/>
        <v>142016.66055624723</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09">A264</f>
        <v>Capex vehicle</v>
      </c>
      <c r="B276" s="65">
        <f>((1+B249)^B256)*B249/(((1+B249)^B256)-1)*(B245)/B261</f>
        <v>0.58435662757767437</v>
      </c>
      <c r="C276" s="65">
        <f t="shared" ref="C276:AC276" si="210">((1+C249)^C256)*C249/(((1+C249)^C256)-1)*(C245)/C261</f>
        <v>0.57861632815139952</v>
      </c>
      <c r="D276" s="65">
        <f t="shared" si="210"/>
        <v>0.57063522815565915</v>
      </c>
      <c r="E276" s="65">
        <f t="shared" si="210"/>
        <v>0.55969343863504373</v>
      </c>
      <c r="F276" s="65">
        <f t="shared" si="210"/>
        <v>0.54498884599410002</v>
      </c>
      <c r="G276" s="65">
        <f t="shared" si="210"/>
        <v>0.52576710269400517</v>
      </c>
      <c r="H276" s="65">
        <f t="shared" si="210"/>
        <v>0.50156056590383791</v>
      </c>
      <c r="I276" s="65">
        <f t="shared" si="210"/>
        <v>0.47251341660438456</v>
      </c>
      <c r="J276" s="65">
        <f t="shared" si="210"/>
        <v>0.43966766545235858</v>
      </c>
      <c r="K276" s="65">
        <f t="shared" si="210"/>
        <v>0.40499254072389063</v>
      </c>
      <c r="L276" s="65">
        <f t="shared" si="210"/>
        <v>0.37099975759207732</v>
      </c>
      <c r="M276" s="65">
        <f t="shared" si="210"/>
        <v>0.34005542741488415</v>
      </c>
      <c r="N276" s="65">
        <f t="shared" si="210"/>
        <v>0.31375715332162663</v>
      </c>
      <c r="O276" s="65">
        <f t="shared" si="210"/>
        <v>0.29269694552697484</v>
      </c>
      <c r="P276" s="65">
        <f t="shared" si="210"/>
        <v>0.27662707226093081</v>
      </c>
      <c r="Q276" s="65">
        <f t="shared" si="210"/>
        <v>0.26481442660468946</v>
      </c>
      <c r="R276" s="65">
        <f t="shared" si="210"/>
        <v>0.25636855585005669</v>
      </c>
      <c r="S276" s="65">
        <f t="shared" si="210"/>
        <v>0.2504492477343005</v>
      </c>
      <c r="T276" s="65">
        <f t="shared" si="210"/>
        <v>0.24635864199720231</v>
      </c>
      <c r="U276" s="65">
        <f t="shared" si="210"/>
        <v>0.24355923664860338</v>
      </c>
      <c r="V276" s="65">
        <f t="shared" si="210"/>
        <v>0.24165625083001557</v>
      </c>
      <c r="W276" s="65">
        <f t="shared" si="210"/>
        <v>0.24036852150187074</v>
      </c>
      <c r="X276" s="65">
        <f t="shared" si="210"/>
        <v>0.23949981795268857</v>
      </c>
      <c r="Y276" s="65">
        <f t="shared" si="210"/>
        <v>0.23891501103873214</v>
      </c>
      <c r="Z276" s="65">
        <f t="shared" si="210"/>
        <v>0.23852187481455134</v>
      </c>
      <c r="AA276" s="65">
        <f t="shared" si="210"/>
        <v>0.23825783880163287</v>
      </c>
      <c r="AB276" s="65">
        <f t="shared" si="210"/>
        <v>0.2380806209257828</v>
      </c>
      <c r="AC276" s="65">
        <f t="shared" si="210"/>
        <v>0.23796172505299079</v>
      </c>
    </row>
    <row r="277" spans="1:29" x14ac:dyDescent="0.25">
      <c r="A277" s="30" t="str">
        <f t="shared" si="209"/>
        <v>Residual value (vehicle)</v>
      </c>
      <c r="B277" s="66">
        <f>((1+B249)^B256)*B249/(((1+B249)^B256)-1)*(B246)/B261</f>
        <v>-8.8562181550036131E-2</v>
      </c>
      <c r="C277" s="66">
        <f t="shared" ref="C277:AC277" si="211">((1+C249)^C256)*C249/(((1+C249)^C256)-1)*(C246)/C261</f>
        <v>-8.8079752130168359E-2</v>
      </c>
      <c r="D277" s="66">
        <f t="shared" si="211"/>
        <v>-8.7409000109249749E-2</v>
      </c>
      <c r="E277" s="66">
        <f t="shared" si="211"/>
        <v>-8.6489424181453362E-2</v>
      </c>
      <c r="F277" s="66">
        <f t="shared" si="211"/>
        <v>-8.5253612672267665E-2</v>
      </c>
      <c r="G277" s="66">
        <f t="shared" si="211"/>
        <v>-8.3638168288536277E-2</v>
      </c>
      <c r="H277" s="66">
        <f t="shared" si="211"/>
        <v>-8.1603789132766905E-2</v>
      </c>
      <c r="I277" s="66">
        <f t="shared" si="211"/>
        <v>-7.9162592542706467E-2</v>
      </c>
      <c r="J277" s="66">
        <f t="shared" si="211"/>
        <v>-7.6402151754397893E-2</v>
      </c>
      <c r="K277" s="66">
        <f t="shared" si="211"/>
        <v>-7.3487965739984104E-2</v>
      </c>
      <c r="L277" s="66">
        <f t="shared" si="211"/>
        <v>-7.0631125455501931E-2</v>
      </c>
      <c r="M277" s="66">
        <f t="shared" si="211"/>
        <v>-6.8030484940610148E-2</v>
      </c>
      <c r="N277" s="66">
        <f t="shared" si="211"/>
        <v>-6.5820310841283189E-2</v>
      </c>
      <c r="O277" s="66">
        <f t="shared" si="211"/>
        <v>-6.4050357207477357E-2</v>
      </c>
      <c r="P277" s="66">
        <f t="shared" si="211"/>
        <v>-6.2699804028735359E-2</v>
      </c>
      <c r="Q277" s="66">
        <f t="shared" si="211"/>
        <v>-6.1707039127838467E-2</v>
      </c>
      <c r="R277" s="66">
        <f t="shared" si="211"/>
        <v>-6.0997226585693808E-2</v>
      </c>
      <c r="S277" s="66">
        <f t="shared" si="211"/>
        <v>-6.0499752818518548E-2</v>
      </c>
      <c r="T277" s="66">
        <f t="shared" si="211"/>
        <v>-6.0155967868273062E-2</v>
      </c>
      <c r="U277" s="66">
        <f t="shared" si="211"/>
        <v>-5.9920698695358904E-2</v>
      </c>
      <c r="V277" s="66">
        <f t="shared" si="211"/>
        <v>-5.9760766908477578E-2</v>
      </c>
      <c r="W277" s="66">
        <f t="shared" si="211"/>
        <v>-5.965254284792073E-2</v>
      </c>
      <c r="X277" s="66">
        <f t="shared" si="211"/>
        <v>-5.957953478368095E-2</v>
      </c>
      <c r="Y277" s="66">
        <f t="shared" si="211"/>
        <v>-5.9530386117508022E-2</v>
      </c>
      <c r="Z277" s="66">
        <f t="shared" si="211"/>
        <v>-5.9497345945475795E-2</v>
      </c>
      <c r="AA277" s="66">
        <f t="shared" si="211"/>
        <v>-5.9475155684815637E-2</v>
      </c>
      <c r="AB277" s="66">
        <f t="shared" si="211"/>
        <v>-5.9460261842058014E-2</v>
      </c>
      <c r="AC277" s="66">
        <f t="shared" si="211"/>
        <v>-5.9450269529344645E-2</v>
      </c>
    </row>
    <row r="278" spans="1:29" x14ac:dyDescent="0.25">
      <c r="A278" s="30" t="str">
        <f t="shared" si="209"/>
        <v>Capex costumization</v>
      </c>
      <c r="B278" s="66">
        <f>((1+B249)^B257)*B249/(((1+B249)^B257)-1)*(B247)/B261</f>
        <v>3.8819416634395351E-2</v>
      </c>
      <c r="C278" s="66">
        <f t="shared" ref="C278:AC278" si="212">((1+C249)^C257)*C249/(((1+C249)^C257)-1)*(C247)/C261</f>
        <v>3.8819416634395351E-2</v>
      </c>
      <c r="D278" s="66">
        <f t="shared" si="212"/>
        <v>3.8819416634395351E-2</v>
      </c>
      <c r="E278" s="66">
        <f t="shared" si="212"/>
        <v>3.8819416634395351E-2</v>
      </c>
      <c r="F278" s="66">
        <f t="shared" si="212"/>
        <v>3.8819416634395351E-2</v>
      </c>
      <c r="G278" s="66">
        <f t="shared" si="212"/>
        <v>3.8819416634395351E-2</v>
      </c>
      <c r="H278" s="66">
        <f t="shared" si="212"/>
        <v>3.8819416634395351E-2</v>
      </c>
      <c r="I278" s="66">
        <f t="shared" si="212"/>
        <v>3.8819416634395351E-2</v>
      </c>
      <c r="J278" s="66">
        <f t="shared" si="212"/>
        <v>3.8819416634395351E-2</v>
      </c>
      <c r="K278" s="66">
        <f t="shared" si="212"/>
        <v>3.8819416634395351E-2</v>
      </c>
      <c r="L278" s="66">
        <f t="shared" si="212"/>
        <v>3.8819416634395351E-2</v>
      </c>
      <c r="M278" s="66">
        <f t="shared" si="212"/>
        <v>3.8819416634395351E-2</v>
      </c>
      <c r="N278" s="66">
        <f t="shared" si="212"/>
        <v>3.8819416634395351E-2</v>
      </c>
      <c r="O278" s="66">
        <f t="shared" si="212"/>
        <v>3.8819416634395351E-2</v>
      </c>
      <c r="P278" s="66">
        <f t="shared" si="212"/>
        <v>3.8819416634395351E-2</v>
      </c>
      <c r="Q278" s="66">
        <f t="shared" si="212"/>
        <v>3.8819416634395351E-2</v>
      </c>
      <c r="R278" s="66">
        <f t="shared" si="212"/>
        <v>3.8819416634395351E-2</v>
      </c>
      <c r="S278" s="66">
        <f t="shared" si="212"/>
        <v>3.8819416634395351E-2</v>
      </c>
      <c r="T278" s="66">
        <f t="shared" si="212"/>
        <v>3.8819416634395351E-2</v>
      </c>
      <c r="U278" s="66">
        <f t="shared" si="212"/>
        <v>3.8819416634395351E-2</v>
      </c>
      <c r="V278" s="66">
        <f t="shared" si="212"/>
        <v>3.8819416634395351E-2</v>
      </c>
      <c r="W278" s="66">
        <f t="shared" si="212"/>
        <v>3.8819416634395351E-2</v>
      </c>
      <c r="X278" s="66">
        <f t="shared" si="212"/>
        <v>3.8819416634395351E-2</v>
      </c>
      <c r="Y278" s="66">
        <f t="shared" si="212"/>
        <v>3.8819416634395351E-2</v>
      </c>
      <c r="Z278" s="66">
        <f t="shared" si="212"/>
        <v>3.8819416634395351E-2</v>
      </c>
      <c r="AA278" s="66">
        <f t="shared" si="212"/>
        <v>3.8819416634395351E-2</v>
      </c>
      <c r="AB278" s="66">
        <f t="shared" si="212"/>
        <v>3.8819416634395351E-2</v>
      </c>
      <c r="AC278" s="66">
        <f t="shared" si="212"/>
        <v>3.8819416634395351E-2</v>
      </c>
    </row>
    <row r="279" spans="1:29" x14ac:dyDescent="0.25">
      <c r="A279" s="30" t="str">
        <f t="shared" si="209"/>
        <v>Residual value (costumization)</v>
      </c>
      <c r="B279" s="66">
        <f>((1+B249)^B257)*B249/(((1+B249)^B257)-1)*(B248)/B261</f>
        <v>-9.7048541585988378E-3</v>
      </c>
      <c r="C279" s="66">
        <f t="shared" ref="C279:AC279" si="213">((1+C249)^C257)*C249/(((1+C249)^C257)-1)*(C248)/C261</f>
        <v>-9.7048541585988378E-3</v>
      </c>
      <c r="D279" s="66">
        <f t="shared" si="213"/>
        <v>-9.7048541585988378E-3</v>
      </c>
      <c r="E279" s="66">
        <f t="shared" si="213"/>
        <v>-9.7048541585988378E-3</v>
      </c>
      <c r="F279" s="66">
        <f t="shared" si="213"/>
        <v>-9.7048541585988378E-3</v>
      </c>
      <c r="G279" s="66">
        <f t="shared" si="213"/>
        <v>-9.7048541585988378E-3</v>
      </c>
      <c r="H279" s="66">
        <f t="shared" si="213"/>
        <v>-9.7048541585988378E-3</v>
      </c>
      <c r="I279" s="66">
        <f t="shared" si="213"/>
        <v>-9.7048541585988378E-3</v>
      </c>
      <c r="J279" s="66">
        <f t="shared" si="213"/>
        <v>-9.7048541585988378E-3</v>
      </c>
      <c r="K279" s="66">
        <f t="shared" si="213"/>
        <v>-9.7048541585988378E-3</v>
      </c>
      <c r="L279" s="66">
        <f t="shared" si="213"/>
        <v>-9.7048541585988378E-3</v>
      </c>
      <c r="M279" s="66">
        <f t="shared" si="213"/>
        <v>-9.7048541585988378E-3</v>
      </c>
      <c r="N279" s="66">
        <f t="shared" si="213"/>
        <v>-9.7048541585988378E-3</v>
      </c>
      <c r="O279" s="66">
        <f t="shared" si="213"/>
        <v>-9.7048541585988378E-3</v>
      </c>
      <c r="P279" s="66">
        <f t="shared" si="213"/>
        <v>-9.7048541585988378E-3</v>
      </c>
      <c r="Q279" s="66">
        <f t="shared" si="213"/>
        <v>-9.7048541585988378E-3</v>
      </c>
      <c r="R279" s="66">
        <f t="shared" si="213"/>
        <v>-9.7048541585988378E-3</v>
      </c>
      <c r="S279" s="66">
        <f t="shared" si="213"/>
        <v>-9.7048541585988378E-3</v>
      </c>
      <c r="T279" s="66">
        <f t="shared" si="213"/>
        <v>-9.7048541585988378E-3</v>
      </c>
      <c r="U279" s="66">
        <f t="shared" si="213"/>
        <v>-9.7048541585988378E-3</v>
      </c>
      <c r="V279" s="66">
        <f t="shared" si="213"/>
        <v>-9.7048541585988378E-3</v>
      </c>
      <c r="W279" s="66">
        <f t="shared" si="213"/>
        <v>-9.7048541585988378E-3</v>
      </c>
      <c r="X279" s="66">
        <f t="shared" si="213"/>
        <v>-9.7048541585988378E-3</v>
      </c>
      <c r="Y279" s="66">
        <f t="shared" si="213"/>
        <v>-9.7048541585988378E-3</v>
      </c>
      <c r="Z279" s="66">
        <f t="shared" si="213"/>
        <v>-9.7048541585988378E-3</v>
      </c>
      <c r="AA279" s="66">
        <f t="shared" si="213"/>
        <v>-9.7048541585988378E-3</v>
      </c>
      <c r="AB279" s="66">
        <f t="shared" si="213"/>
        <v>-9.7048541585988378E-3</v>
      </c>
      <c r="AC279" s="66">
        <f t="shared" si="213"/>
        <v>-9.7048541585988378E-3</v>
      </c>
    </row>
    <row r="280" spans="1:29" x14ac:dyDescent="0.25">
      <c r="A280" s="30" t="str">
        <f t="shared" si="209"/>
        <v>Opex fix (admin, crew, insurance)</v>
      </c>
      <c r="B280" s="66">
        <f>B250/B261</f>
        <v>0.66666666666666663</v>
      </c>
      <c r="C280" s="66">
        <f t="shared" ref="C280:AC280" si="214">C250/C261</f>
        <v>0.66666666666666663</v>
      </c>
      <c r="D280" s="66">
        <f t="shared" si="214"/>
        <v>0.66666666666666663</v>
      </c>
      <c r="E280" s="66">
        <f t="shared" si="214"/>
        <v>0.66666666666666663</v>
      </c>
      <c r="F280" s="66">
        <f t="shared" si="214"/>
        <v>0.66666666666666663</v>
      </c>
      <c r="G280" s="66">
        <f t="shared" si="214"/>
        <v>0.66666666666666663</v>
      </c>
      <c r="H280" s="66">
        <f t="shared" si="214"/>
        <v>0.66666666666666663</v>
      </c>
      <c r="I280" s="66">
        <f t="shared" si="214"/>
        <v>0.66666666666666663</v>
      </c>
      <c r="J280" s="66">
        <f t="shared" si="214"/>
        <v>0.66666666666666663</v>
      </c>
      <c r="K280" s="66">
        <f t="shared" si="214"/>
        <v>0.66666666666666663</v>
      </c>
      <c r="L280" s="66">
        <f t="shared" si="214"/>
        <v>0.66666666666666663</v>
      </c>
      <c r="M280" s="66">
        <f t="shared" si="214"/>
        <v>0.66666666666666663</v>
      </c>
      <c r="N280" s="66">
        <f t="shared" si="214"/>
        <v>0.66666666666666663</v>
      </c>
      <c r="O280" s="66">
        <f t="shared" si="214"/>
        <v>0.66666666666666663</v>
      </c>
      <c r="P280" s="66">
        <f t="shared" si="214"/>
        <v>0.66666666666666663</v>
      </c>
      <c r="Q280" s="66">
        <f t="shared" si="214"/>
        <v>0.66666666666666663</v>
      </c>
      <c r="R280" s="66">
        <f t="shared" si="214"/>
        <v>0.66666666666666663</v>
      </c>
      <c r="S280" s="66">
        <f t="shared" si="214"/>
        <v>0.66666666666666663</v>
      </c>
      <c r="T280" s="66">
        <f t="shared" si="214"/>
        <v>0.66666666666666663</v>
      </c>
      <c r="U280" s="66">
        <f t="shared" si="214"/>
        <v>0.66666666666666663</v>
      </c>
      <c r="V280" s="66">
        <f t="shared" si="214"/>
        <v>0.66666666666666663</v>
      </c>
      <c r="W280" s="66">
        <f t="shared" si="214"/>
        <v>0.66666666666666663</v>
      </c>
      <c r="X280" s="66">
        <f t="shared" si="214"/>
        <v>0.66666666666666663</v>
      </c>
      <c r="Y280" s="66">
        <f t="shared" si="214"/>
        <v>0.66666666666666663</v>
      </c>
      <c r="Z280" s="66">
        <f t="shared" si="214"/>
        <v>0.66666666666666663</v>
      </c>
      <c r="AA280" s="66">
        <f t="shared" si="214"/>
        <v>0.66666666666666663</v>
      </c>
      <c r="AB280" s="66">
        <f t="shared" si="214"/>
        <v>0.66666666666666663</v>
      </c>
      <c r="AC280" s="66">
        <f t="shared" si="214"/>
        <v>0.66666666666666663</v>
      </c>
    </row>
    <row r="281" spans="1:29" x14ac:dyDescent="0.25">
      <c r="A281" s="30" t="str">
        <f t="shared" si="209"/>
        <v>Opex maintenance &amp; repair</v>
      </c>
      <c r="B281" s="66">
        <f>B251/B261</f>
        <v>0.24470665459930879</v>
      </c>
      <c r="C281" s="66">
        <f t="shared" ref="C281:AC281" si="215">C251/C261</f>
        <v>0.24349317116610389</v>
      </c>
      <c r="D281" s="66">
        <f t="shared" si="215"/>
        <v>0.24180598868582209</v>
      </c>
      <c r="E281" s="66">
        <f t="shared" si="215"/>
        <v>0.23949292462297786</v>
      </c>
      <c r="F281" s="66">
        <f t="shared" si="215"/>
        <v>0.23638441438043964</v>
      </c>
      <c r="G281" s="66">
        <f t="shared" si="215"/>
        <v>0.23232099097342773</v>
      </c>
      <c r="H281" s="66">
        <f t="shared" si="215"/>
        <v>0.22720379599999496</v>
      </c>
      <c r="I281" s="66">
        <f t="shared" si="215"/>
        <v>0.22106330892098036</v>
      </c>
      <c r="J281" s="66">
        <f t="shared" si="215"/>
        <v>0.21411980790921872</v>
      </c>
      <c r="K281" s="66">
        <f t="shared" si="215"/>
        <v>0.20678958237956976</v>
      </c>
      <c r="L281" s="66">
        <f t="shared" si="215"/>
        <v>0.19960360197754207</v>
      </c>
      <c r="M281" s="66">
        <f t="shared" si="215"/>
        <v>0.19306205610455709</v>
      </c>
      <c r="N281" s="66">
        <f t="shared" si="215"/>
        <v>0.18750267364656589</v>
      </c>
      <c r="O281" s="66">
        <f t="shared" si="215"/>
        <v>0.18305060392670339</v>
      </c>
      <c r="P281" s="66">
        <f t="shared" si="215"/>
        <v>0.17965347713349333</v>
      </c>
      <c r="Q281" s="66">
        <f t="shared" si="215"/>
        <v>0.1771563164905213</v>
      </c>
      <c r="R281" s="66">
        <f t="shared" si="215"/>
        <v>0.17537088275638113</v>
      </c>
      <c r="S281" s="66">
        <f t="shared" si="215"/>
        <v>0.17411955738097873</v>
      </c>
      <c r="T281" s="66">
        <f t="shared" si="215"/>
        <v>0.1732548146341073</v>
      </c>
      <c r="U281" s="66">
        <f t="shared" si="215"/>
        <v>0.17266302808063919</v>
      </c>
      <c r="V281" s="66">
        <f t="shared" si="215"/>
        <v>0.17226074213821779</v>
      </c>
      <c r="W281" s="66">
        <f t="shared" si="215"/>
        <v>0.17198851971737975</v>
      </c>
      <c r="X281" s="66">
        <f t="shared" si="215"/>
        <v>0.17180487818807663</v>
      </c>
      <c r="Y281" s="66">
        <f t="shared" si="215"/>
        <v>0.17168125162280345</v>
      </c>
      <c r="Z281" s="66">
        <f t="shared" si="215"/>
        <v>0.17159814371159376</v>
      </c>
      <c r="AA281" s="66">
        <f t="shared" si="215"/>
        <v>0.17154232722822715</v>
      </c>
      <c r="AB281" s="66">
        <f t="shared" si="215"/>
        <v>0.1715048638590817</v>
      </c>
      <c r="AC281" s="66">
        <f t="shared" si="215"/>
        <v>0.17147972960018762</v>
      </c>
    </row>
    <row r="282" spans="1:29" x14ac:dyDescent="0.25">
      <c r="A282" s="30" t="str">
        <f t="shared" si="209"/>
        <v>Opex var (mode-fees)</v>
      </c>
      <c r="B282" s="66">
        <f>B252*B261/B261</f>
        <v>0.11</v>
      </c>
      <c r="C282" s="66">
        <f t="shared" ref="C282:AC282" si="216">C252*C261/C261</f>
        <v>0.11</v>
      </c>
      <c r="D282" s="66">
        <f t="shared" si="216"/>
        <v>0.11</v>
      </c>
      <c r="E282" s="66">
        <f t="shared" si="216"/>
        <v>0.11</v>
      </c>
      <c r="F282" s="66">
        <f t="shared" si="216"/>
        <v>0.11</v>
      </c>
      <c r="G282" s="66">
        <f t="shared" si="216"/>
        <v>0.11</v>
      </c>
      <c r="H282" s="66">
        <f t="shared" si="216"/>
        <v>0.11</v>
      </c>
      <c r="I282" s="66">
        <f t="shared" si="216"/>
        <v>0.11</v>
      </c>
      <c r="J282" s="66">
        <f t="shared" si="216"/>
        <v>0.11</v>
      </c>
      <c r="K282" s="66">
        <f t="shared" si="216"/>
        <v>0.11</v>
      </c>
      <c r="L282" s="66">
        <f t="shared" si="216"/>
        <v>0.11</v>
      </c>
      <c r="M282" s="66">
        <f t="shared" si="216"/>
        <v>0.11</v>
      </c>
      <c r="N282" s="66">
        <f t="shared" si="216"/>
        <v>0.11</v>
      </c>
      <c r="O282" s="66">
        <f t="shared" si="216"/>
        <v>0.11</v>
      </c>
      <c r="P282" s="66">
        <f t="shared" si="216"/>
        <v>0.11</v>
      </c>
      <c r="Q282" s="66">
        <f t="shared" si="216"/>
        <v>0.11</v>
      </c>
      <c r="R282" s="66">
        <f t="shared" si="216"/>
        <v>0.11</v>
      </c>
      <c r="S282" s="66">
        <f t="shared" si="216"/>
        <v>0.11</v>
      </c>
      <c r="T282" s="66">
        <f t="shared" si="216"/>
        <v>0.11</v>
      </c>
      <c r="U282" s="66">
        <f t="shared" si="216"/>
        <v>0.11</v>
      </c>
      <c r="V282" s="66">
        <f t="shared" si="216"/>
        <v>0.11</v>
      </c>
      <c r="W282" s="66">
        <f t="shared" si="216"/>
        <v>0.11</v>
      </c>
      <c r="X282" s="66">
        <f t="shared" si="216"/>
        <v>0.11</v>
      </c>
      <c r="Y282" s="66">
        <f t="shared" si="216"/>
        <v>0.11</v>
      </c>
      <c r="Z282" s="66">
        <f t="shared" si="216"/>
        <v>0.11</v>
      </c>
      <c r="AA282" s="66">
        <f t="shared" si="216"/>
        <v>0.11</v>
      </c>
      <c r="AB282" s="66">
        <f t="shared" si="216"/>
        <v>0.11</v>
      </c>
      <c r="AC282" s="66">
        <f t="shared" si="216"/>
        <v>0.11</v>
      </c>
    </row>
    <row r="283" spans="1:29" x14ac:dyDescent="0.25">
      <c r="A283" s="30" t="str">
        <f t="shared" si="209"/>
        <v>Fuel Cost</v>
      </c>
      <c r="B283" s="66">
        <f>B253*B254*B261/B261</f>
        <v>0.6317883994527127</v>
      </c>
      <c r="C283" s="66">
        <f t="shared" ref="C283:AC283" si="217">C253*C254*C261/C261</f>
        <v>0.62677155383840255</v>
      </c>
      <c r="D283" s="66">
        <f t="shared" si="217"/>
        <v>0.61976863315371922</v>
      </c>
      <c r="E283" s="66">
        <f t="shared" si="217"/>
        <v>0.61010882895816398</v>
      </c>
      <c r="F283" s="66">
        <f t="shared" si="217"/>
        <v>0.59700423644984901</v>
      </c>
      <c r="G283" s="66">
        <f t="shared" si="217"/>
        <v>0.57962693857109882</v>
      </c>
      <c r="H283" s="66">
        <f t="shared" si="217"/>
        <v>0.55726805513604216</v>
      </c>
      <c r="I283" s="66">
        <f t="shared" si="217"/>
        <v>0.52957633598655707</v>
      </c>
      <c r="J283" s="66">
        <f t="shared" si="217"/>
        <v>0.49681277085502007</v>
      </c>
      <c r="K283" s="66">
        <f t="shared" si="217"/>
        <v>0.4599970798291888</v>
      </c>
      <c r="L283" s="66">
        <f t="shared" si="217"/>
        <v>0.42083825723484553</v>
      </c>
      <c r="M283" s="66">
        <f t="shared" si="217"/>
        <v>0.38145763751651557</v>
      </c>
      <c r="N283" s="66">
        <f t="shared" si="217"/>
        <v>0.34401706791540687</v>
      </c>
      <c r="O283" s="66">
        <f t="shared" si="217"/>
        <v>0.31035603777584414</v>
      </c>
      <c r="P283" s="66">
        <f t="shared" si="217"/>
        <v>0.28170123216487392</v>
      </c>
      <c r="Q283" s="66">
        <f t="shared" si="217"/>
        <v>0.25852480714823423</v>
      </c>
      <c r="R283" s="66">
        <f t="shared" si="217"/>
        <v>0.24060859348351224</v>
      </c>
      <c r="S283" s="66">
        <f t="shared" si="217"/>
        <v>0.22727029987732031</v>
      </c>
      <c r="T283" s="66">
        <f t="shared" si="217"/>
        <v>0.21763018176375837</v>
      </c>
      <c r="U283" s="66">
        <f t="shared" si="217"/>
        <v>0.21081667039897936</v>
      </c>
      <c r="V283" s="66">
        <f t="shared" si="217"/>
        <v>0.2060785605510925</v>
      </c>
      <c r="W283" s="66">
        <f t="shared" si="217"/>
        <v>0.20282145035198107</v>
      </c>
      <c r="X283" s="66">
        <f t="shared" si="217"/>
        <v>0.20060034461495233</v>
      </c>
      <c r="Y283" s="66">
        <f t="shared" si="217"/>
        <v>0.19909407482067801</v>
      </c>
      <c r="Z283" s="66">
        <f t="shared" si="217"/>
        <v>0.19807643086855622</v>
      </c>
      <c r="AA283" s="66">
        <f t="shared" si="217"/>
        <v>0.19739066516741446</v>
      </c>
      <c r="AB283" s="66">
        <f t="shared" si="217"/>
        <v>0.19692934410338123</v>
      </c>
      <c r="AC283" s="66">
        <f t="shared" si="217"/>
        <v>0.1966193712467082</v>
      </c>
    </row>
    <row r="284" spans="1:29" ht="15.75" thickBot="1" x14ac:dyDescent="0.3">
      <c r="A284" s="59" t="str">
        <f t="shared" ref="A284" si="218">A272</f>
        <v>Emission Cost</v>
      </c>
      <c r="B284" s="66">
        <f>B255</f>
        <v>9.1045502411311718E-3</v>
      </c>
      <c r="C284" s="66">
        <f t="shared" ref="C284:AC284" si="219">C255</f>
        <v>9.095880490962575E-3</v>
      </c>
      <c r="D284" s="66">
        <f t="shared" si="219"/>
        <v>9.0834699366993434E-3</v>
      </c>
      <c r="E284" s="66">
        <f t="shared" si="219"/>
        <v>9.0657157660766E-3</v>
      </c>
      <c r="F284" s="66">
        <f t="shared" si="219"/>
        <v>9.040341138604446E-3</v>
      </c>
      <c r="G284" s="66">
        <f t="shared" si="219"/>
        <v>9.0041260615172855E-3</v>
      </c>
      <c r="H284" s="66">
        <f t="shared" si="219"/>
        <v>8.9525469072142452E-3</v>
      </c>
      <c r="I284" s="66">
        <f t="shared" si="219"/>
        <v>8.8793119020679299E-3</v>
      </c>
      <c r="J284" s="66">
        <f t="shared" si="219"/>
        <v>8.7758012597282838E-3</v>
      </c>
      <c r="K284" s="66">
        <f t="shared" si="219"/>
        <v>8.630474185370102E-3</v>
      </c>
      <c r="L284" s="66">
        <f t="shared" si="219"/>
        <v>8.4284167966506146E-3</v>
      </c>
      <c r="M284" s="66">
        <f t="shared" si="219"/>
        <v>8.1514036756981448E-3</v>
      </c>
      <c r="N284" s="66">
        <f t="shared" si="219"/>
        <v>7.7791277246640009E-3</v>
      </c>
      <c r="O284" s="66">
        <f t="shared" si="219"/>
        <v>7.2924911382377788E-3</v>
      </c>
      <c r="P284" s="66">
        <f t="shared" si="219"/>
        <v>6.6796546098928378E-3</v>
      </c>
      <c r="Q284" s="66">
        <f t="shared" si="219"/>
        <v>5.9442683673542078E-3</v>
      </c>
      <c r="R284" s="66">
        <f t="shared" si="219"/>
        <v>5.1127129787673555E-3</v>
      </c>
      <c r="S284" s="66">
        <f t="shared" si="219"/>
        <v>4.2348433668221242E-3</v>
      </c>
      <c r="T284" s="66">
        <f t="shared" si="219"/>
        <v>3.3742485868309214E-3</v>
      </c>
      <c r="U284" s="66">
        <f t="shared" si="219"/>
        <v>2.5908314445053909E-3</v>
      </c>
      <c r="V284" s="66">
        <f t="shared" si="219"/>
        <v>1.9250384342751033E-3</v>
      </c>
      <c r="W284" s="66">
        <f t="shared" si="219"/>
        <v>1.3918574698531276E-3</v>
      </c>
      <c r="X284" s="66">
        <f t="shared" si="219"/>
        <v>9.8501672973924301E-4</v>
      </c>
      <c r="Y284" s="66">
        <f t="shared" si="219"/>
        <v>6.8595615708101458E-4</v>
      </c>
      <c r="Z284" s="66">
        <f t="shared" si="219"/>
        <v>4.7213217403930738E-4</v>
      </c>
      <c r="AA284" s="66">
        <f t="shared" si="219"/>
        <v>3.2227313937815624E-4</v>
      </c>
      <c r="AB284" s="66">
        <f t="shared" si="219"/>
        <v>2.1871133537117345E-4</v>
      </c>
      <c r="AC284" s="66">
        <f t="shared" si="219"/>
        <v>1.4783883220655276E-4</v>
      </c>
    </row>
    <row r="285" spans="1:29" ht="15.75" thickBot="1" x14ac:dyDescent="0.3">
      <c r="A285" s="31" t="s">
        <v>63</v>
      </c>
      <c r="B285" s="76">
        <f>B276+B277+B278-B279+B280+B281+B282+B283+B284</f>
        <v>2.206584987780452</v>
      </c>
      <c r="C285" s="76">
        <f t="shared" ref="C285:AC285" si="220">C276+C277+C278-C279+C280+C281+C282+C283+C284</f>
        <v>2.1950881189763614</v>
      </c>
      <c r="D285" s="76">
        <f t="shared" si="220"/>
        <v>2.1790752572823111</v>
      </c>
      <c r="E285" s="76">
        <f t="shared" si="220"/>
        <v>2.1570624212604694</v>
      </c>
      <c r="F285" s="76">
        <f t="shared" si="220"/>
        <v>2.1273551627503866</v>
      </c>
      <c r="G285" s="76">
        <f t="shared" si="220"/>
        <v>2.0882719274711738</v>
      </c>
      <c r="H285" s="76">
        <f t="shared" si="220"/>
        <v>2.0385721122739833</v>
      </c>
      <c r="I285" s="76">
        <f t="shared" si="220"/>
        <v>1.9780607183309444</v>
      </c>
      <c r="J285" s="76">
        <f t="shared" si="220"/>
        <v>1.9081648311815889</v>
      </c>
      <c r="K285" s="76">
        <f t="shared" si="220"/>
        <v>1.832112648837696</v>
      </c>
      <c r="L285" s="76">
        <f t="shared" si="220"/>
        <v>1.7544298456052745</v>
      </c>
      <c r="M285" s="76">
        <f t="shared" si="220"/>
        <v>1.6798869772307057</v>
      </c>
      <c r="N285" s="76">
        <f t="shared" si="220"/>
        <v>1.612426649226641</v>
      </c>
      <c r="O285" s="76">
        <f t="shared" si="220"/>
        <v>1.5545366586199436</v>
      </c>
      <c r="P285" s="76">
        <f t="shared" si="220"/>
        <v>1.5071525696001165</v>
      </c>
      <c r="Q285" s="76">
        <f t="shared" si="220"/>
        <v>1.4699237169426216</v>
      </c>
      <c r="R285" s="76">
        <f t="shared" si="220"/>
        <v>1.4416544559426845</v>
      </c>
      <c r="S285" s="76">
        <f t="shared" si="220"/>
        <v>1.4207651330005644</v>
      </c>
      <c r="T285" s="76">
        <f t="shared" si="220"/>
        <v>1.4056528565732866</v>
      </c>
      <c r="U285" s="76">
        <f t="shared" si="220"/>
        <v>1.3949000053370293</v>
      </c>
      <c r="V285" s="76">
        <f t="shared" si="220"/>
        <v>1.3873507625047843</v>
      </c>
      <c r="W285" s="76">
        <f t="shared" si="220"/>
        <v>1.382108743652825</v>
      </c>
      <c r="X285" s="76">
        <f t="shared" si="220"/>
        <v>1.3785014601614365</v>
      </c>
      <c r="Y285" s="76">
        <f t="shared" si="220"/>
        <v>1.3760368449814475</v>
      </c>
      <c r="Z285" s="76">
        <f t="shared" si="220"/>
        <v>1.3743621730829259</v>
      </c>
      <c r="AA285" s="76">
        <f t="shared" si="220"/>
        <v>1.3732288861114981</v>
      </c>
      <c r="AB285" s="76">
        <f t="shared" si="220"/>
        <v>1.3724642158412197</v>
      </c>
      <c r="AC285" s="76">
        <f t="shared" si="220"/>
        <v>1.3719493326624093</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21">A264</f>
        <v>Capex vehicle</v>
      </c>
      <c r="B288" s="65">
        <f>((1+B249)^B256)*B249/(((1+B249)^B256)-1)*(B245)/B261/(B258)</f>
        <v>2.3374265103106976E-2</v>
      </c>
      <c r="C288" s="65">
        <f t="shared" ref="C288:AC288" si="222">((1+C249)^C256)*C249/(((1+C249)^C256)-1)*(C245)/C261/(C258)</f>
        <v>2.3144653126055979E-2</v>
      </c>
      <c r="D288" s="65">
        <f t="shared" si="222"/>
        <v>2.2825409126226368E-2</v>
      </c>
      <c r="E288" s="65">
        <f t="shared" si="222"/>
        <v>2.2387737545401749E-2</v>
      </c>
      <c r="F288" s="65">
        <f t="shared" si="222"/>
        <v>2.1799553839764001E-2</v>
      </c>
      <c r="G288" s="65">
        <f t="shared" si="222"/>
        <v>2.1030684107760208E-2</v>
      </c>
      <c r="H288" s="65">
        <f t="shared" si="222"/>
        <v>2.0062422636153515E-2</v>
      </c>
      <c r="I288" s="65">
        <f t="shared" si="222"/>
        <v>1.8900536664175384E-2</v>
      </c>
      <c r="J288" s="65">
        <f t="shared" si="222"/>
        <v>1.7586706618094344E-2</v>
      </c>
      <c r="K288" s="65">
        <f t="shared" si="222"/>
        <v>1.6199701628955624E-2</v>
      </c>
      <c r="L288" s="65">
        <f t="shared" si="222"/>
        <v>1.4839990303683093E-2</v>
      </c>
      <c r="M288" s="65">
        <f t="shared" si="222"/>
        <v>1.3602217096595365E-2</v>
      </c>
      <c r="N288" s="65">
        <f t="shared" si="222"/>
        <v>1.2550286132865065E-2</v>
      </c>
      <c r="O288" s="65">
        <f t="shared" si="222"/>
        <v>1.1707877821078993E-2</v>
      </c>
      <c r="P288" s="65">
        <f t="shared" si="222"/>
        <v>1.1065082890437233E-2</v>
      </c>
      <c r="Q288" s="65">
        <f t="shared" si="222"/>
        <v>1.0592577064187578E-2</v>
      </c>
      <c r="R288" s="65">
        <f t="shared" si="222"/>
        <v>1.0254742234002268E-2</v>
      </c>
      <c r="S288" s="65">
        <f t="shared" si="222"/>
        <v>1.001796990937202E-2</v>
      </c>
      <c r="T288" s="65">
        <f t="shared" si="222"/>
        <v>9.8543456798880925E-3</v>
      </c>
      <c r="U288" s="65">
        <f t="shared" si="222"/>
        <v>9.7423694659441347E-3</v>
      </c>
      <c r="V288" s="65">
        <f t="shared" si="222"/>
        <v>9.6662500332006223E-3</v>
      </c>
      <c r="W288" s="65">
        <f t="shared" si="222"/>
        <v>9.6147408600748292E-3</v>
      </c>
      <c r="X288" s="65">
        <f t="shared" si="222"/>
        <v>9.5799927181075429E-3</v>
      </c>
      <c r="Y288" s="65">
        <f t="shared" si="222"/>
        <v>9.5566004415492851E-3</v>
      </c>
      <c r="Z288" s="65">
        <f t="shared" si="222"/>
        <v>9.5408749925820543E-3</v>
      </c>
      <c r="AA288" s="65">
        <f t="shared" si="222"/>
        <v>9.5303135520653157E-3</v>
      </c>
      <c r="AB288" s="65">
        <f t="shared" si="222"/>
        <v>9.5232248370313126E-3</v>
      </c>
      <c r="AC288" s="65">
        <f t="shared" si="222"/>
        <v>9.5184690021196325E-3</v>
      </c>
    </row>
    <row r="289" spans="1:29" x14ac:dyDescent="0.25">
      <c r="A289" s="30" t="str">
        <f t="shared" si="221"/>
        <v>Residual value (vehicle)</v>
      </c>
      <c r="B289" s="68">
        <f>((1+B249)^B256)*B249/(((1+B249)^B256)-1)*(B246)/B261/(B258)</f>
        <v>-3.5424872620014453E-3</v>
      </c>
      <c r="C289" s="68">
        <f t="shared" ref="C289:AC289" si="223">((1+C249)^C256)*C249/(((1+C249)^C256)-1)*(C246)/C261/(C258)</f>
        <v>-3.5231900852067343E-3</v>
      </c>
      <c r="D289" s="68">
        <f t="shared" si="223"/>
        <v>-3.4963600043699901E-3</v>
      </c>
      <c r="E289" s="68">
        <f t="shared" si="223"/>
        <v>-3.4595769672581345E-3</v>
      </c>
      <c r="F289" s="68">
        <f t="shared" si="223"/>
        <v>-3.4101445068907064E-3</v>
      </c>
      <c r="G289" s="68">
        <f t="shared" si="223"/>
        <v>-3.3455267315414513E-3</v>
      </c>
      <c r="H289" s="68">
        <f t="shared" si="223"/>
        <v>-3.2641515653106762E-3</v>
      </c>
      <c r="I289" s="68">
        <f t="shared" si="223"/>
        <v>-3.1665037017082585E-3</v>
      </c>
      <c r="J289" s="68">
        <f t="shared" si="223"/>
        <v>-3.0560860701759158E-3</v>
      </c>
      <c r="K289" s="68">
        <f t="shared" si="223"/>
        <v>-2.9395186295993643E-3</v>
      </c>
      <c r="L289" s="68">
        <f t="shared" si="223"/>
        <v>-2.825245018220077E-3</v>
      </c>
      <c r="M289" s="68">
        <f t="shared" si="223"/>
        <v>-2.721219397624406E-3</v>
      </c>
      <c r="N289" s="68">
        <f t="shared" si="223"/>
        <v>-2.6328124336513275E-3</v>
      </c>
      <c r="O289" s="68">
        <f t="shared" si="223"/>
        <v>-2.5620142882990943E-3</v>
      </c>
      <c r="P289" s="68">
        <f t="shared" si="223"/>
        <v>-2.5079921611494142E-3</v>
      </c>
      <c r="Q289" s="68">
        <f t="shared" si="223"/>
        <v>-2.4682815651135386E-3</v>
      </c>
      <c r="R289" s="68">
        <f t="shared" si="223"/>
        <v>-2.4398890634277524E-3</v>
      </c>
      <c r="S289" s="68">
        <f t="shared" si="223"/>
        <v>-2.419990112740742E-3</v>
      </c>
      <c r="T289" s="68">
        <f t="shared" si="223"/>
        <v>-2.4062387147309227E-3</v>
      </c>
      <c r="U289" s="68">
        <f t="shared" si="223"/>
        <v>-2.3968279478143563E-3</v>
      </c>
      <c r="V289" s="68">
        <f t="shared" si="223"/>
        <v>-2.390430676339103E-3</v>
      </c>
      <c r="W289" s="68">
        <f t="shared" si="223"/>
        <v>-2.3861017139168291E-3</v>
      </c>
      <c r="X289" s="68">
        <f t="shared" si="223"/>
        <v>-2.3831813913472379E-3</v>
      </c>
      <c r="Y289" s="68">
        <f t="shared" si="223"/>
        <v>-2.3812154447003207E-3</v>
      </c>
      <c r="Z289" s="68">
        <f t="shared" si="223"/>
        <v>-2.3798938378190317E-3</v>
      </c>
      <c r="AA289" s="68">
        <f t="shared" si="223"/>
        <v>-2.3790062273926255E-3</v>
      </c>
      <c r="AB289" s="68">
        <f t="shared" si="223"/>
        <v>-2.3784104736823204E-3</v>
      </c>
      <c r="AC289" s="68">
        <f t="shared" si="223"/>
        <v>-2.3780107811737857E-3</v>
      </c>
    </row>
    <row r="290" spans="1:29" x14ac:dyDescent="0.25">
      <c r="A290" s="30" t="str">
        <f t="shared" si="221"/>
        <v>Capex costumization</v>
      </c>
      <c r="B290" s="66">
        <f>((1+B249)^B257)*B249/(((1+B249)^B257)-1)*(B247)/B261/(B258)</f>
        <v>1.552776665375814E-3</v>
      </c>
      <c r="C290" s="66">
        <f t="shared" ref="C290:AC290" si="224">((1+C249)^C257)*C249/(((1+C249)^C257)-1)*(C247)/C261/(C258)</f>
        <v>1.552776665375814E-3</v>
      </c>
      <c r="D290" s="66">
        <f t="shared" si="224"/>
        <v>1.552776665375814E-3</v>
      </c>
      <c r="E290" s="66">
        <f t="shared" si="224"/>
        <v>1.552776665375814E-3</v>
      </c>
      <c r="F290" s="66">
        <f t="shared" si="224"/>
        <v>1.552776665375814E-3</v>
      </c>
      <c r="G290" s="66">
        <f t="shared" si="224"/>
        <v>1.552776665375814E-3</v>
      </c>
      <c r="H290" s="66">
        <f t="shared" si="224"/>
        <v>1.552776665375814E-3</v>
      </c>
      <c r="I290" s="66">
        <f t="shared" si="224"/>
        <v>1.552776665375814E-3</v>
      </c>
      <c r="J290" s="66">
        <f t="shared" si="224"/>
        <v>1.552776665375814E-3</v>
      </c>
      <c r="K290" s="66">
        <f t="shared" si="224"/>
        <v>1.552776665375814E-3</v>
      </c>
      <c r="L290" s="66">
        <f t="shared" si="224"/>
        <v>1.552776665375814E-3</v>
      </c>
      <c r="M290" s="66">
        <f t="shared" si="224"/>
        <v>1.552776665375814E-3</v>
      </c>
      <c r="N290" s="66">
        <f t="shared" si="224"/>
        <v>1.552776665375814E-3</v>
      </c>
      <c r="O290" s="66">
        <f t="shared" si="224"/>
        <v>1.552776665375814E-3</v>
      </c>
      <c r="P290" s="66">
        <f t="shared" si="224"/>
        <v>1.552776665375814E-3</v>
      </c>
      <c r="Q290" s="66">
        <f t="shared" si="224"/>
        <v>1.552776665375814E-3</v>
      </c>
      <c r="R290" s="66">
        <f t="shared" si="224"/>
        <v>1.552776665375814E-3</v>
      </c>
      <c r="S290" s="66">
        <f t="shared" si="224"/>
        <v>1.552776665375814E-3</v>
      </c>
      <c r="T290" s="66">
        <f t="shared" si="224"/>
        <v>1.552776665375814E-3</v>
      </c>
      <c r="U290" s="66">
        <f t="shared" si="224"/>
        <v>1.552776665375814E-3</v>
      </c>
      <c r="V290" s="66">
        <f t="shared" si="224"/>
        <v>1.552776665375814E-3</v>
      </c>
      <c r="W290" s="66">
        <f t="shared" si="224"/>
        <v>1.552776665375814E-3</v>
      </c>
      <c r="X290" s="66">
        <f t="shared" si="224"/>
        <v>1.552776665375814E-3</v>
      </c>
      <c r="Y290" s="66">
        <f t="shared" si="224"/>
        <v>1.552776665375814E-3</v>
      </c>
      <c r="Z290" s="66">
        <f t="shared" si="224"/>
        <v>1.552776665375814E-3</v>
      </c>
      <c r="AA290" s="66">
        <f t="shared" si="224"/>
        <v>1.552776665375814E-3</v>
      </c>
      <c r="AB290" s="66">
        <f t="shared" si="224"/>
        <v>1.552776665375814E-3</v>
      </c>
      <c r="AC290" s="66">
        <f t="shared" si="224"/>
        <v>1.552776665375814E-3</v>
      </c>
    </row>
    <row r="291" spans="1:29" x14ac:dyDescent="0.25">
      <c r="A291" s="30" t="str">
        <f t="shared" si="221"/>
        <v>Residual value (costumization)</v>
      </c>
      <c r="B291" s="69">
        <f>((1+B249)^B257)*B249/(((1+B249)^B257)-1)*(B248)/B261/(B258)</f>
        <v>-3.8819416634395349E-4</v>
      </c>
      <c r="C291" s="69">
        <f t="shared" ref="C291:AC291" si="225">((1+C249)^C257)*C249/(((1+C249)^C257)-1)*(C248)/C261/(C258)</f>
        <v>-3.8819416634395349E-4</v>
      </c>
      <c r="D291" s="69">
        <f t="shared" si="225"/>
        <v>-3.8819416634395349E-4</v>
      </c>
      <c r="E291" s="69">
        <f t="shared" si="225"/>
        <v>-3.8819416634395349E-4</v>
      </c>
      <c r="F291" s="69">
        <f t="shared" si="225"/>
        <v>-3.8819416634395349E-4</v>
      </c>
      <c r="G291" s="69">
        <f t="shared" si="225"/>
        <v>-3.8819416634395349E-4</v>
      </c>
      <c r="H291" s="69">
        <f t="shared" si="225"/>
        <v>-3.8819416634395349E-4</v>
      </c>
      <c r="I291" s="69">
        <f t="shared" si="225"/>
        <v>-3.8819416634395349E-4</v>
      </c>
      <c r="J291" s="69">
        <f t="shared" si="225"/>
        <v>-3.8819416634395349E-4</v>
      </c>
      <c r="K291" s="69">
        <f t="shared" si="225"/>
        <v>-3.8819416634395349E-4</v>
      </c>
      <c r="L291" s="69">
        <f t="shared" si="225"/>
        <v>-3.8819416634395349E-4</v>
      </c>
      <c r="M291" s="69">
        <f t="shared" si="225"/>
        <v>-3.8819416634395349E-4</v>
      </c>
      <c r="N291" s="69">
        <f t="shared" si="225"/>
        <v>-3.8819416634395349E-4</v>
      </c>
      <c r="O291" s="69">
        <f t="shared" si="225"/>
        <v>-3.8819416634395349E-4</v>
      </c>
      <c r="P291" s="69">
        <f t="shared" si="225"/>
        <v>-3.8819416634395349E-4</v>
      </c>
      <c r="Q291" s="69">
        <f t="shared" si="225"/>
        <v>-3.8819416634395349E-4</v>
      </c>
      <c r="R291" s="69">
        <f t="shared" si="225"/>
        <v>-3.8819416634395349E-4</v>
      </c>
      <c r="S291" s="69">
        <f t="shared" si="225"/>
        <v>-3.8819416634395349E-4</v>
      </c>
      <c r="T291" s="69">
        <f t="shared" si="225"/>
        <v>-3.8819416634395349E-4</v>
      </c>
      <c r="U291" s="69">
        <f t="shared" si="225"/>
        <v>-3.8819416634395349E-4</v>
      </c>
      <c r="V291" s="69">
        <f t="shared" si="225"/>
        <v>-3.8819416634395349E-4</v>
      </c>
      <c r="W291" s="69">
        <f t="shared" si="225"/>
        <v>-3.8819416634395349E-4</v>
      </c>
      <c r="X291" s="69">
        <f t="shared" si="225"/>
        <v>-3.8819416634395349E-4</v>
      </c>
      <c r="Y291" s="69">
        <f t="shared" si="225"/>
        <v>-3.8819416634395349E-4</v>
      </c>
      <c r="Z291" s="69">
        <f t="shared" si="225"/>
        <v>-3.8819416634395349E-4</v>
      </c>
      <c r="AA291" s="69">
        <f t="shared" si="225"/>
        <v>-3.8819416634395349E-4</v>
      </c>
      <c r="AB291" s="69">
        <f t="shared" si="225"/>
        <v>-3.8819416634395349E-4</v>
      </c>
      <c r="AC291" s="69">
        <f t="shared" si="225"/>
        <v>-3.8819416634395349E-4</v>
      </c>
    </row>
    <row r="292" spans="1:29" x14ac:dyDescent="0.25">
      <c r="A292" s="30" t="str">
        <f t="shared" si="221"/>
        <v>Opex fix (admin, crew, insurance)</v>
      </c>
      <c r="B292" s="66">
        <f>B250/B261/(B258)</f>
        <v>2.6666666666666665E-2</v>
      </c>
      <c r="C292" s="66">
        <f t="shared" ref="C292:AC292" si="226">C250/C261/(C258)</f>
        <v>2.6666666666666665E-2</v>
      </c>
      <c r="D292" s="66">
        <f t="shared" si="226"/>
        <v>2.6666666666666665E-2</v>
      </c>
      <c r="E292" s="66">
        <f t="shared" si="226"/>
        <v>2.6666666666666665E-2</v>
      </c>
      <c r="F292" s="66">
        <f t="shared" si="226"/>
        <v>2.6666666666666665E-2</v>
      </c>
      <c r="G292" s="66">
        <f t="shared" si="226"/>
        <v>2.6666666666666665E-2</v>
      </c>
      <c r="H292" s="66">
        <f t="shared" si="226"/>
        <v>2.6666666666666665E-2</v>
      </c>
      <c r="I292" s="66">
        <f t="shared" si="226"/>
        <v>2.6666666666666665E-2</v>
      </c>
      <c r="J292" s="66">
        <f t="shared" si="226"/>
        <v>2.6666666666666665E-2</v>
      </c>
      <c r="K292" s="66">
        <f t="shared" si="226"/>
        <v>2.6666666666666665E-2</v>
      </c>
      <c r="L292" s="66">
        <f t="shared" si="226"/>
        <v>2.6666666666666665E-2</v>
      </c>
      <c r="M292" s="66">
        <f t="shared" si="226"/>
        <v>2.6666666666666665E-2</v>
      </c>
      <c r="N292" s="66">
        <f t="shared" si="226"/>
        <v>2.6666666666666665E-2</v>
      </c>
      <c r="O292" s="66">
        <f t="shared" si="226"/>
        <v>2.6666666666666665E-2</v>
      </c>
      <c r="P292" s="66">
        <f t="shared" si="226"/>
        <v>2.6666666666666665E-2</v>
      </c>
      <c r="Q292" s="66">
        <f t="shared" si="226"/>
        <v>2.6666666666666665E-2</v>
      </c>
      <c r="R292" s="66">
        <f t="shared" si="226"/>
        <v>2.6666666666666665E-2</v>
      </c>
      <c r="S292" s="66">
        <f t="shared" si="226"/>
        <v>2.6666666666666665E-2</v>
      </c>
      <c r="T292" s="66">
        <f t="shared" si="226"/>
        <v>2.6666666666666665E-2</v>
      </c>
      <c r="U292" s="66">
        <f t="shared" si="226"/>
        <v>2.6666666666666665E-2</v>
      </c>
      <c r="V292" s="66">
        <f t="shared" si="226"/>
        <v>2.6666666666666665E-2</v>
      </c>
      <c r="W292" s="66">
        <f t="shared" si="226"/>
        <v>2.6666666666666665E-2</v>
      </c>
      <c r="X292" s="66">
        <f t="shared" si="226"/>
        <v>2.6666666666666665E-2</v>
      </c>
      <c r="Y292" s="66">
        <f t="shared" si="226"/>
        <v>2.6666666666666665E-2</v>
      </c>
      <c r="Z292" s="66">
        <f t="shared" si="226"/>
        <v>2.6666666666666665E-2</v>
      </c>
      <c r="AA292" s="66">
        <f t="shared" si="226"/>
        <v>2.6666666666666665E-2</v>
      </c>
      <c r="AB292" s="66">
        <f t="shared" si="226"/>
        <v>2.6666666666666665E-2</v>
      </c>
      <c r="AC292" s="66">
        <f t="shared" si="226"/>
        <v>2.6666666666666665E-2</v>
      </c>
    </row>
    <row r="293" spans="1:29" x14ac:dyDescent="0.25">
      <c r="A293" s="30" t="str">
        <f t="shared" si="221"/>
        <v>Opex maintenance &amp; repair</v>
      </c>
      <c r="B293" s="66">
        <f>B251/B261/(B258)</f>
        <v>9.7882661839723516E-3</v>
      </c>
      <c r="C293" s="66">
        <f t="shared" ref="C293:AC293" si="227">C251/C261/(C258)</f>
        <v>9.7397268466441547E-3</v>
      </c>
      <c r="D293" s="66">
        <f t="shared" si="227"/>
        <v>9.6722395474328829E-3</v>
      </c>
      <c r="E293" s="66">
        <f t="shared" si="227"/>
        <v>9.5797169849191136E-3</v>
      </c>
      <c r="F293" s="66">
        <f t="shared" si="227"/>
        <v>9.4553765752175851E-3</v>
      </c>
      <c r="G293" s="66">
        <f t="shared" si="227"/>
        <v>9.2928396389371087E-3</v>
      </c>
      <c r="H293" s="66">
        <f t="shared" si="227"/>
        <v>9.0881518399997981E-3</v>
      </c>
      <c r="I293" s="66">
        <f t="shared" si="227"/>
        <v>8.8425323568392146E-3</v>
      </c>
      <c r="J293" s="66">
        <f t="shared" si="227"/>
        <v>8.5647923163687488E-3</v>
      </c>
      <c r="K293" s="66">
        <f t="shared" si="227"/>
        <v>8.2715832951827904E-3</v>
      </c>
      <c r="L293" s="66">
        <f t="shared" si="227"/>
        <v>7.9841440791016821E-3</v>
      </c>
      <c r="M293" s="66">
        <f t="shared" si="227"/>
        <v>7.7224822441822839E-3</v>
      </c>
      <c r="N293" s="66">
        <f t="shared" si="227"/>
        <v>7.5001069458626359E-3</v>
      </c>
      <c r="O293" s="66">
        <f t="shared" si="227"/>
        <v>7.3220241570681353E-3</v>
      </c>
      <c r="P293" s="66">
        <f t="shared" si="227"/>
        <v>7.1861390853397329E-3</v>
      </c>
      <c r="Q293" s="66">
        <f t="shared" si="227"/>
        <v>7.0862526596208522E-3</v>
      </c>
      <c r="R293" s="66">
        <f t="shared" si="227"/>
        <v>7.0148353102552456E-3</v>
      </c>
      <c r="S293" s="66">
        <f t="shared" si="227"/>
        <v>6.9647822952391492E-3</v>
      </c>
      <c r="T293" s="66">
        <f t="shared" si="227"/>
        <v>6.9301925853642917E-3</v>
      </c>
      <c r="U293" s="66">
        <f t="shared" si="227"/>
        <v>6.9065211232255674E-3</v>
      </c>
      <c r="V293" s="66">
        <f t="shared" si="227"/>
        <v>6.8904296855287119E-3</v>
      </c>
      <c r="W293" s="66">
        <f t="shared" si="227"/>
        <v>6.8795407886951898E-3</v>
      </c>
      <c r="X293" s="66">
        <f t="shared" si="227"/>
        <v>6.8721951275230652E-3</v>
      </c>
      <c r="Y293" s="66">
        <f t="shared" si="227"/>
        <v>6.8672500649121383E-3</v>
      </c>
      <c r="Z293" s="66">
        <f t="shared" si="227"/>
        <v>6.8639257484637509E-3</v>
      </c>
      <c r="AA293" s="66">
        <f t="shared" si="227"/>
        <v>6.8616930891290864E-3</v>
      </c>
      <c r="AB293" s="66">
        <f t="shared" si="227"/>
        <v>6.860194554363268E-3</v>
      </c>
      <c r="AC293" s="66">
        <f t="shared" si="227"/>
        <v>6.8591891840075045E-3</v>
      </c>
    </row>
    <row r="294" spans="1:29" x14ac:dyDescent="0.25">
      <c r="A294" s="30" t="str">
        <f t="shared" si="221"/>
        <v>Opex var (mode-fees)</v>
      </c>
      <c r="B294" s="66">
        <f>B252*B261/B261/(B258)</f>
        <v>4.4000000000000003E-3</v>
      </c>
      <c r="C294" s="66">
        <f t="shared" ref="C294:AC294" si="228">C252*C261/C261/(C258)</f>
        <v>4.4000000000000003E-3</v>
      </c>
      <c r="D294" s="66">
        <f t="shared" si="228"/>
        <v>4.4000000000000003E-3</v>
      </c>
      <c r="E294" s="66">
        <f t="shared" si="228"/>
        <v>4.4000000000000003E-3</v>
      </c>
      <c r="F294" s="66">
        <f t="shared" si="228"/>
        <v>4.4000000000000003E-3</v>
      </c>
      <c r="G294" s="66">
        <f t="shared" si="228"/>
        <v>4.4000000000000003E-3</v>
      </c>
      <c r="H294" s="66">
        <f t="shared" si="228"/>
        <v>4.4000000000000003E-3</v>
      </c>
      <c r="I294" s="66">
        <f t="shared" si="228"/>
        <v>4.4000000000000003E-3</v>
      </c>
      <c r="J294" s="66">
        <f t="shared" si="228"/>
        <v>4.4000000000000003E-3</v>
      </c>
      <c r="K294" s="66">
        <f t="shared" si="228"/>
        <v>4.4000000000000003E-3</v>
      </c>
      <c r="L294" s="66">
        <f t="shared" si="228"/>
        <v>4.4000000000000003E-3</v>
      </c>
      <c r="M294" s="66">
        <f t="shared" si="228"/>
        <v>4.4000000000000003E-3</v>
      </c>
      <c r="N294" s="66">
        <f t="shared" si="228"/>
        <v>4.4000000000000003E-3</v>
      </c>
      <c r="O294" s="66">
        <f t="shared" si="228"/>
        <v>4.4000000000000003E-3</v>
      </c>
      <c r="P294" s="66">
        <f t="shared" si="228"/>
        <v>4.4000000000000003E-3</v>
      </c>
      <c r="Q294" s="66">
        <f t="shared" si="228"/>
        <v>4.4000000000000003E-3</v>
      </c>
      <c r="R294" s="66">
        <f t="shared" si="228"/>
        <v>4.4000000000000003E-3</v>
      </c>
      <c r="S294" s="66">
        <f t="shared" si="228"/>
        <v>4.4000000000000003E-3</v>
      </c>
      <c r="T294" s="66">
        <f t="shared" si="228"/>
        <v>4.4000000000000003E-3</v>
      </c>
      <c r="U294" s="66">
        <f t="shared" si="228"/>
        <v>4.4000000000000003E-3</v>
      </c>
      <c r="V294" s="66">
        <f t="shared" si="228"/>
        <v>4.4000000000000003E-3</v>
      </c>
      <c r="W294" s="66">
        <f t="shared" si="228"/>
        <v>4.4000000000000003E-3</v>
      </c>
      <c r="X294" s="66">
        <f t="shared" si="228"/>
        <v>4.4000000000000003E-3</v>
      </c>
      <c r="Y294" s="66">
        <f t="shared" si="228"/>
        <v>4.4000000000000003E-3</v>
      </c>
      <c r="Z294" s="66">
        <f t="shared" si="228"/>
        <v>4.4000000000000003E-3</v>
      </c>
      <c r="AA294" s="66">
        <f t="shared" si="228"/>
        <v>4.4000000000000003E-3</v>
      </c>
      <c r="AB294" s="66">
        <f t="shared" si="228"/>
        <v>4.4000000000000003E-3</v>
      </c>
      <c r="AC294" s="66">
        <f t="shared" si="228"/>
        <v>4.4000000000000003E-3</v>
      </c>
    </row>
    <row r="295" spans="1:29" x14ac:dyDescent="0.25">
      <c r="A295" s="30" t="str">
        <f t="shared" si="221"/>
        <v>Fuel Cost</v>
      </c>
      <c r="B295" s="66">
        <f>B253*B254*B261/B261/(B258)</f>
        <v>2.5271535978108509E-2</v>
      </c>
      <c r="C295" s="66">
        <f t="shared" ref="C295:AC295" si="229">C253*C254*C261/C261/(C258)</f>
        <v>2.5070862153536103E-2</v>
      </c>
      <c r="D295" s="66">
        <f t="shared" si="229"/>
        <v>2.4790745326148767E-2</v>
      </c>
      <c r="E295" s="66">
        <f t="shared" si="229"/>
        <v>2.440435315832656E-2</v>
      </c>
      <c r="F295" s="66">
        <f t="shared" si="229"/>
        <v>2.3880169457993962E-2</v>
      </c>
      <c r="G295" s="66">
        <f t="shared" si="229"/>
        <v>2.3185077542843952E-2</v>
      </c>
      <c r="H295" s="66">
        <f t="shared" si="229"/>
        <v>2.2290722205441687E-2</v>
      </c>
      <c r="I295" s="66">
        <f t="shared" si="229"/>
        <v>2.1183053439462283E-2</v>
      </c>
      <c r="J295" s="66">
        <f t="shared" si="229"/>
        <v>1.9872510834200802E-2</v>
      </c>
      <c r="K295" s="66">
        <f t="shared" si="229"/>
        <v>1.8399883193167554E-2</v>
      </c>
      <c r="L295" s="66">
        <f t="shared" si="229"/>
        <v>1.6833530289393821E-2</v>
      </c>
      <c r="M295" s="66">
        <f t="shared" si="229"/>
        <v>1.5258305500660622E-2</v>
      </c>
      <c r="N295" s="66">
        <f t="shared" si="229"/>
        <v>1.3760682716616275E-2</v>
      </c>
      <c r="O295" s="66">
        <f t="shared" si="229"/>
        <v>1.2414241511033765E-2</v>
      </c>
      <c r="P295" s="66">
        <f t="shared" si="229"/>
        <v>1.1268049286594957E-2</v>
      </c>
      <c r="Q295" s="66">
        <f t="shared" si="229"/>
        <v>1.0340992285929369E-2</v>
      </c>
      <c r="R295" s="66">
        <f t="shared" si="229"/>
        <v>9.6243437393404904E-3</v>
      </c>
      <c r="S295" s="66">
        <f t="shared" si="229"/>
        <v>9.0908119950928127E-3</v>
      </c>
      <c r="T295" s="66">
        <f t="shared" si="229"/>
        <v>8.7052072705503351E-3</v>
      </c>
      <c r="U295" s="66">
        <f t="shared" si="229"/>
        <v>8.4326668159591736E-3</v>
      </c>
      <c r="V295" s="66">
        <f t="shared" si="229"/>
        <v>8.2431424220437005E-3</v>
      </c>
      <c r="W295" s="66">
        <f t="shared" si="229"/>
        <v>8.1128580140792435E-3</v>
      </c>
      <c r="X295" s="66">
        <f t="shared" si="229"/>
        <v>8.0240137845980931E-3</v>
      </c>
      <c r="Y295" s="66">
        <f t="shared" si="229"/>
        <v>7.9637629928271201E-3</v>
      </c>
      <c r="Z295" s="66">
        <f t="shared" si="229"/>
        <v>7.9230572347422489E-3</v>
      </c>
      <c r="AA295" s="66">
        <f t="shared" si="229"/>
        <v>7.8956266066965777E-3</v>
      </c>
      <c r="AB295" s="66">
        <f t="shared" si="229"/>
        <v>7.8771737641352493E-3</v>
      </c>
      <c r="AC295" s="66">
        <f t="shared" si="229"/>
        <v>7.8647748498683282E-3</v>
      </c>
    </row>
    <row r="296" spans="1:29" x14ac:dyDescent="0.25">
      <c r="A296" s="59" t="str">
        <f>A259</f>
        <v>Market failure (av. utilization)</v>
      </c>
      <c r="B296" s="66">
        <f t="shared" ref="B296:AC296" si="230">B285/B259-B285/B258</f>
        <v>5.5644317083159214E-2</v>
      </c>
      <c r="C296" s="66">
        <f t="shared" si="230"/>
        <v>5.5354396043751697E-2</v>
      </c>
      <c r="D296" s="66">
        <f t="shared" si="230"/>
        <v>5.495059344451042E-2</v>
      </c>
      <c r="E296" s="66">
        <f t="shared" si="230"/>
        <v>5.4395487144829197E-2</v>
      </c>
      <c r="F296" s="66">
        <f t="shared" si="230"/>
        <v>5.3646347582401041E-2</v>
      </c>
      <c r="G296" s="66">
        <f t="shared" si="230"/>
        <v>5.2660770344925237E-2</v>
      </c>
      <c r="H296" s="66">
        <f t="shared" si="230"/>
        <v>5.1407470657343898E-2</v>
      </c>
      <c r="I296" s="66">
        <f t="shared" si="230"/>
        <v>4.9881531157910747E-2</v>
      </c>
      <c r="J296" s="66">
        <f t="shared" si="230"/>
        <v>4.8118939221100915E-2</v>
      </c>
      <c r="K296" s="66">
        <f t="shared" si="230"/>
        <v>4.6201101579385354E-2</v>
      </c>
      <c r="L296" s="66">
        <f t="shared" si="230"/>
        <v>4.4242143932654729E-2</v>
      </c>
      <c r="M296" s="66">
        <f t="shared" si="230"/>
        <v>4.2362367251904731E-2</v>
      </c>
      <c r="N296" s="66">
        <f t="shared" si="230"/>
        <v>4.066119376310659E-2</v>
      </c>
      <c r="O296" s="66">
        <f t="shared" si="230"/>
        <v>3.9201359217372479E-2</v>
      </c>
      <c r="P296" s="66">
        <f t="shared" si="230"/>
        <v>3.8006456102959441E-2</v>
      </c>
      <c r="Q296" s="66">
        <f t="shared" si="230"/>
        <v>3.7067641557683481E-2</v>
      </c>
      <c r="R296" s="66">
        <f t="shared" si="230"/>
        <v>3.6354764541163334E-2</v>
      </c>
      <c r="S296" s="66">
        <f t="shared" si="230"/>
        <v>3.5827990310448997E-2</v>
      </c>
      <c r="T296" s="66">
        <f t="shared" si="230"/>
        <v>3.5446898122282862E-2</v>
      </c>
      <c r="U296" s="66">
        <f t="shared" si="230"/>
        <v>3.5175739265020732E-2</v>
      </c>
      <c r="V296" s="66">
        <f t="shared" si="230"/>
        <v>3.4985367054468461E-2</v>
      </c>
      <c r="W296" s="66">
        <f t="shared" si="230"/>
        <v>3.4853177013853834E-2</v>
      </c>
      <c r="X296" s="66">
        <f t="shared" si="230"/>
        <v>3.4762210734505777E-2</v>
      </c>
      <c r="Y296" s="66">
        <f t="shared" si="230"/>
        <v>3.4700059569097358E-2</v>
      </c>
      <c r="Z296" s="66">
        <f t="shared" si="230"/>
        <v>3.4657828712525943E-2</v>
      </c>
      <c r="AA296" s="66">
        <f t="shared" si="230"/>
        <v>3.4629250171507336E-2</v>
      </c>
      <c r="AB296" s="66">
        <f t="shared" si="230"/>
        <v>3.4609967182082917E-2</v>
      </c>
      <c r="AC296" s="66">
        <f t="shared" si="230"/>
        <v>3.459698317148683E-2</v>
      </c>
    </row>
    <row r="297" spans="1:29" x14ac:dyDescent="0.25">
      <c r="A297" s="59" t="str">
        <f>A260</f>
        <v>Payload loss (fuel)</v>
      </c>
      <c r="B297" s="66">
        <f>B285/(B258-B260)-B285/B258</f>
        <v>4.6067236304448006E-3</v>
      </c>
      <c r="C297" s="66">
        <f t="shared" ref="C297:AC297" si="231">C285/(C258-C260)-C285/C258</f>
        <v>4.5662395277071555E-3</v>
      </c>
      <c r="D297" s="66">
        <f t="shared" si="231"/>
        <v>4.5097082503521152E-3</v>
      </c>
      <c r="E297" s="66">
        <f t="shared" si="231"/>
        <v>4.4316820282751246E-3</v>
      </c>
      <c r="F297" s="66">
        <f t="shared" si="231"/>
        <v>4.325728349010724E-3</v>
      </c>
      <c r="G297" s="66">
        <f t="shared" si="231"/>
        <v>4.1850227762068176E-3</v>
      </c>
      <c r="H297" s="66">
        <f t="shared" si="231"/>
        <v>4.0036047004305964E-3</v>
      </c>
      <c r="I297" s="66">
        <f t="shared" si="231"/>
        <v>3.7783143742932124E-3</v>
      </c>
      <c r="J297" s="66">
        <f t="shared" si="231"/>
        <v>3.5109677339916351E-3</v>
      </c>
      <c r="K297" s="66">
        <f t="shared" si="231"/>
        <v>3.2098160869690612E-3</v>
      </c>
      <c r="L297" s="66">
        <f t="shared" si="231"/>
        <v>2.8893186329801146E-3</v>
      </c>
      <c r="M297" s="66">
        <f t="shared" si="231"/>
        <v>2.5679698375209725E-3</v>
      </c>
      <c r="N297" s="66">
        <f t="shared" si="231"/>
        <v>2.2647889808194988E-3</v>
      </c>
      <c r="O297" s="66">
        <f t="shared" si="231"/>
        <v>1.9955137752229388E-3</v>
      </c>
      <c r="P297" s="66">
        <f t="shared" si="231"/>
        <v>1.7697193917653939E-3</v>
      </c>
      <c r="Q297" s="66">
        <f t="shared" si="231"/>
        <v>1.5899370479388816E-3</v>
      </c>
      <c r="R297" s="66">
        <f t="shared" si="231"/>
        <v>1.4529213549387965E-3</v>
      </c>
      <c r="S297" s="66">
        <f t="shared" si="231"/>
        <v>1.3520816659025464E-3</v>
      </c>
      <c r="T297" s="66">
        <f t="shared" si="231"/>
        <v>1.2798116101235407E-3</v>
      </c>
      <c r="U297" s="66">
        <f t="shared" si="231"/>
        <v>1.2290194814616878E-3</v>
      </c>
      <c r="V297" s="66">
        <f t="shared" si="231"/>
        <v>1.193822124687563E-3</v>
      </c>
      <c r="W297" s="66">
        <f t="shared" si="231"/>
        <v>1.1696756527237104E-3</v>
      </c>
      <c r="X297" s="66">
        <f t="shared" si="231"/>
        <v>1.1532280553753702E-3</v>
      </c>
      <c r="Y297" s="66">
        <f t="shared" si="231"/>
        <v>1.1420805968275285E-3</v>
      </c>
      <c r="Z297" s="66">
        <f t="shared" si="231"/>
        <v>1.1345516724742544E-3</v>
      </c>
      <c r="AA297" s="66">
        <f t="shared" si="231"/>
        <v>1.1294789396317298E-3</v>
      </c>
      <c r="AB297" s="66">
        <f t="shared" si="231"/>
        <v>1.1260667571433153E-3</v>
      </c>
      <c r="AC297" s="66">
        <f t="shared" si="231"/>
        <v>1.1237741343322408E-3</v>
      </c>
    </row>
    <row r="298" spans="1:29" ht="15.75" thickBot="1" x14ac:dyDescent="0.3">
      <c r="A298" s="59" t="str">
        <f>A235</f>
        <v>Emission Cost</v>
      </c>
      <c r="B298" s="68">
        <f>B255*B261/B261/(B258)</f>
        <v>3.6418200964524684E-4</v>
      </c>
      <c r="C298" s="68">
        <f t="shared" ref="C298:AC298" si="232">C255*C261/C261/(C258)</f>
        <v>3.6383521963850298E-4</v>
      </c>
      <c r="D298" s="68">
        <f t="shared" si="232"/>
        <v>3.6333879746797376E-4</v>
      </c>
      <c r="E298" s="68">
        <f t="shared" si="232"/>
        <v>3.6262863064306401E-4</v>
      </c>
      <c r="F298" s="68">
        <f t="shared" si="232"/>
        <v>3.6161364554417784E-4</v>
      </c>
      <c r="G298" s="68">
        <f t="shared" si="232"/>
        <v>3.6016504246069139E-4</v>
      </c>
      <c r="H298" s="68">
        <f t="shared" si="232"/>
        <v>3.581018762885698E-4</v>
      </c>
      <c r="I298" s="68">
        <f t="shared" si="232"/>
        <v>3.551724760827172E-4</v>
      </c>
      <c r="J298" s="68">
        <f t="shared" si="232"/>
        <v>3.5103205038913133E-4</v>
      </c>
      <c r="K298" s="68">
        <f t="shared" si="232"/>
        <v>3.4521896741480408E-4</v>
      </c>
      <c r="L298" s="68">
        <f t="shared" si="232"/>
        <v>3.371366718660246E-4</v>
      </c>
      <c r="M298" s="68">
        <f t="shared" si="232"/>
        <v>3.2605614702792577E-4</v>
      </c>
      <c r="N298" s="68">
        <f t="shared" si="232"/>
        <v>3.1116510898656009E-4</v>
      </c>
      <c r="O298" s="68">
        <f t="shared" si="232"/>
        <v>2.9169964552951117E-4</v>
      </c>
      <c r="P298" s="68">
        <f t="shared" si="232"/>
        <v>2.6718618439571353E-4</v>
      </c>
      <c r="Q298" s="68">
        <f t="shared" si="232"/>
        <v>2.3777073469416832E-4</v>
      </c>
      <c r="R298" s="68">
        <f t="shared" si="232"/>
        <v>2.0450851915069425E-4</v>
      </c>
      <c r="S298" s="68">
        <f t="shared" si="232"/>
        <v>1.6939373467288497E-4</v>
      </c>
      <c r="T298" s="68">
        <f t="shared" si="232"/>
        <v>1.3496994347323685E-4</v>
      </c>
      <c r="U298" s="68">
        <f t="shared" si="232"/>
        <v>1.0363325778021563E-4</v>
      </c>
      <c r="V298" s="68">
        <f t="shared" si="232"/>
        <v>7.700153737100413E-5</v>
      </c>
      <c r="W298" s="68">
        <f t="shared" si="232"/>
        <v>5.5674298794125092E-5</v>
      </c>
      <c r="X298" s="68">
        <f t="shared" si="232"/>
        <v>3.940066918956972E-5</v>
      </c>
      <c r="Y298" s="68">
        <f t="shared" si="232"/>
        <v>2.7438246283240584E-5</v>
      </c>
      <c r="Z298" s="68">
        <f t="shared" si="232"/>
        <v>1.8885286961572295E-5</v>
      </c>
      <c r="AA298" s="68">
        <f t="shared" si="232"/>
        <v>1.2890925575126248E-5</v>
      </c>
      <c r="AB298" s="68">
        <f t="shared" si="232"/>
        <v>8.7484534148469397E-6</v>
      </c>
      <c r="AC298" s="68">
        <f t="shared" si="232"/>
        <v>5.9135532882621105E-6</v>
      </c>
    </row>
    <row r="299" spans="1:29" ht="15.75" thickBot="1" x14ac:dyDescent="0.3">
      <c r="A299" s="31" t="s">
        <v>210</v>
      </c>
      <c r="B299" s="67">
        <f>B288+B289+B290+B291+B292+B293+B294+B295+B296+B297+B298</f>
        <v>0.14773805189213415</v>
      </c>
      <c r="C299" s="67">
        <f t="shared" ref="C299:AC299" si="233">C288+C289+C290+C291+C292+C293+C294+C295+C296+C297+C298</f>
        <v>0.14694777199782541</v>
      </c>
      <c r="D299" s="67">
        <f t="shared" si="233"/>
        <v>0.14584692365346708</v>
      </c>
      <c r="E299" s="67">
        <f t="shared" si="233"/>
        <v>0.1443332776908352</v>
      </c>
      <c r="F299" s="67">
        <f t="shared" si="233"/>
        <v>0.14228989410873935</v>
      </c>
      <c r="G299" s="67">
        <f t="shared" si="233"/>
        <v>0.13960028188729109</v>
      </c>
      <c r="H299" s="67">
        <f t="shared" si="233"/>
        <v>0.1361775715160459</v>
      </c>
      <c r="I299" s="67">
        <f t="shared" si="233"/>
        <v>0.13200588593275384</v>
      </c>
      <c r="J299" s="67">
        <f t="shared" si="233"/>
        <v>0.12718011186966818</v>
      </c>
      <c r="K299" s="67">
        <f t="shared" si="233"/>
        <v>0.12191903528717436</v>
      </c>
      <c r="L299" s="67">
        <f t="shared" si="233"/>
        <v>0.11653226805715791</v>
      </c>
      <c r="M299" s="67">
        <f t="shared" si="233"/>
        <v>0.11134942784596601</v>
      </c>
      <c r="N299" s="67">
        <f t="shared" si="233"/>
        <v>0.10664666038030382</v>
      </c>
      <c r="O299" s="67">
        <f t="shared" si="233"/>
        <v>0.10260195100470525</v>
      </c>
      <c r="P299" s="67">
        <f t="shared" si="233"/>
        <v>9.9285889946041581E-2</v>
      </c>
      <c r="Q299" s="67">
        <f t="shared" si="233"/>
        <v>9.6678138950639314E-2</v>
      </c>
      <c r="R299" s="67">
        <f t="shared" si="233"/>
        <v>9.4697475801121603E-2</v>
      </c>
      <c r="S299" s="67">
        <f t="shared" si="233"/>
        <v>9.3234288963686185E-2</v>
      </c>
      <c r="T299" s="67">
        <f t="shared" si="233"/>
        <v>9.2176435662649964E-2</v>
      </c>
      <c r="U299" s="67">
        <f t="shared" si="233"/>
        <v>9.1424370627275681E-2</v>
      </c>
      <c r="V299" s="67">
        <f t="shared" si="233"/>
        <v>9.0896831346659476E-2</v>
      </c>
      <c r="W299" s="67">
        <f t="shared" si="233"/>
        <v>9.0530814080002617E-2</v>
      </c>
      <c r="X299" s="67">
        <f t="shared" si="233"/>
        <v>9.0279108863650717E-2</v>
      </c>
      <c r="Y299" s="67">
        <f t="shared" si="233"/>
        <v>9.0107225632494875E-2</v>
      </c>
      <c r="Z299" s="67">
        <f t="shared" si="233"/>
        <v>8.9990478975629326E-2</v>
      </c>
      <c r="AA299" s="67">
        <f t="shared" si="233"/>
        <v>8.9911496222911086E-2</v>
      </c>
      <c r="AB299" s="67">
        <f t="shared" si="233"/>
        <v>8.9858214240187112E-2</v>
      </c>
      <c r="AC299" s="67">
        <f t="shared" si="233"/>
        <v>8.9822342279627529E-2</v>
      </c>
    </row>
    <row r="301" spans="1:29" x14ac:dyDescent="0.25">
      <c r="B301" s="40"/>
    </row>
    <row r="324" spans="1:44" s="3" customFormat="1" ht="21" x14ac:dyDescent="0.35">
      <c r="A324" s="2" t="str">
        <f>'Parameter Input'!A58</f>
        <v>Road long-haul: Break bulk</v>
      </c>
    </row>
    <row r="325" spans="1:44" s="3" customFormat="1" ht="21" x14ac:dyDescent="0.35">
      <c r="A325" s="2" t="s">
        <v>103</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Input'!$L$45</f>
        <v>390000</v>
      </c>
      <c r="C334" s="42">
        <f>'Parameter Input'!$M$45</f>
        <v>155000</v>
      </c>
      <c r="D334" s="1" t="s">
        <v>15</v>
      </c>
      <c r="L334" s="51">
        <f>'Parameter Input'!$O$45</f>
        <v>9</v>
      </c>
      <c r="M334" s="52">
        <v>0</v>
      </c>
      <c r="N334" s="52">
        <v>1</v>
      </c>
      <c r="O334" s="52">
        <f>'Parameter Input'!$P$45</f>
        <v>0.9</v>
      </c>
      <c r="P334" s="53">
        <f>'Parameter Input'!$Q$45</f>
        <v>0.4</v>
      </c>
      <c r="Q334" s="4">
        <f t="shared" ref="Q334:AR343" si="234">$N334+($M334-$N334)*((1/(1+EXP(-$P334*(Q$9-$L334)))^$O334))</f>
        <v>0.96177484161592774</v>
      </c>
      <c r="R334" s="4">
        <f t="shared" si="234"/>
        <v>0.94584787155511363</v>
      </c>
      <c r="S334" s="4">
        <f t="shared" si="234"/>
        <v>0.92370360150141495</v>
      </c>
      <c r="T334" s="4">
        <f t="shared" si="234"/>
        <v>0.89334463567658451</v>
      </c>
      <c r="U334" s="4">
        <f t="shared" si="234"/>
        <v>0.85254543874327005</v>
      </c>
      <c r="V334" s="4">
        <f t="shared" si="234"/>
        <v>0.79921300652623883</v>
      </c>
      <c r="W334" s="4">
        <f t="shared" si="234"/>
        <v>0.73204982249993378</v>
      </c>
      <c r="X334" s="4">
        <f t="shared" si="234"/>
        <v>0.65145592958786691</v>
      </c>
      <c r="Y334" s="4">
        <f t="shared" si="234"/>
        <v>0.56032247880849573</v>
      </c>
      <c r="Z334" s="4">
        <f t="shared" si="234"/>
        <v>0.46411326873185343</v>
      </c>
      <c r="AA334" s="4">
        <f t="shared" si="234"/>
        <v>0.36979727595523937</v>
      </c>
      <c r="AB334" s="4">
        <f t="shared" si="234"/>
        <v>0.28393948637231203</v>
      </c>
      <c r="AC334" s="4">
        <f t="shared" si="234"/>
        <v>0.21097259161117732</v>
      </c>
      <c r="AD334" s="4">
        <f t="shared" si="234"/>
        <v>0.15253917653798199</v>
      </c>
      <c r="AE334" s="4">
        <f t="shared" si="234"/>
        <v>0.10795188737709993</v>
      </c>
      <c r="AF334" s="4">
        <f t="shared" si="234"/>
        <v>7.5176653938091809E-2</v>
      </c>
      <c r="AG334" s="4">
        <f t="shared" si="234"/>
        <v>5.1742836177502194E-2</v>
      </c>
      <c r="AH334" s="4">
        <f t="shared" si="234"/>
        <v>3.5319190625345942E-2</v>
      </c>
      <c r="AI334" s="4">
        <f t="shared" si="234"/>
        <v>2.3969442072658165E-2</v>
      </c>
      <c r="AJ334" s="4">
        <f t="shared" si="234"/>
        <v>1.6202243558389728E-2</v>
      </c>
      <c r="AK334" s="4">
        <f t="shared" si="234"/>
        <v>1.0922240564108399E-2</v>
      </c>
      <c r="AL334" s="4">
        <f t="shared" si="234"/>
        <v>7.3493212906090566E-3</v>
      </c>
      <c r="AM334" s="4">
        <f t="shared" si="234"/>
        <v>4.9390262185057265E-3</v>
      </c>
      <c r="AN334" s="4">
        <f t="shared" si="234"/>
        <v>3.3164275492956197E-3</v>
      </c>
      <c r="AO334" s="4">
        <f t="shared" si="234"/>
        <v>2.2256362146679809E-3</v>
      </c>
      <c r="AP334" s="4">
        <f t="shared" si="234"/>
        <v>1.4930448704811861E-3</v>
      </c>
      <c r="AQ334" s="4">
        <f t="shared" si="234"/>
        <v>1.0013381504474506E-3</v>
      </c>
      <c r="AR334" s="4">
        <f t="shared" si="234"/>
        <v>6.7145100246257527E-4</v>
      </c>
    </row>
    <row r="335" spans="1:44" x14ac:dyDescent="0.25">
      <c r="A335" s="24" t="s">
        <v>28</v>
      </c>
      <c r="B335" s="60">
        <f>'Parameter Input'!$L$46</f>
        <v>-58500</v>
      </c>
      <c r="C335" s="61">
        <f>'Parameter Input'!$M$46</f>
        <v>-38750</v>
      </c>
      <c r="D335" s="1" t="s">
        <v>15</v>
      </c>
      <c r="L335" s="54">
        <f>'Parameter Input'!$O$46</f>
        <v>9</v>
      </c>
      <c r="M335" s="37">
        <v>0</v>
      </c>
      <c r="N335" s="37">
        <v>1</v>
      </c>
      <c r="O335" s="37">
        <f>'Parameter Input'!$P$46</f>
        <v>0.9</v>
      </c>
      <c r="P335" s="55">
        <f>'Parameter Input'!$Q$46</f>
        <v>0.4</v>
      </c>
      <c r="Q335" s="4">
        <f t="shared" si="234"/>
        <v>0.96177484161592774</v>
      </c>
      <c r="R335" s="4">
        <f t="shared" si="234"/>
        <v>0.94584787155511363</v>
      </c>
      <c r="S335" s="4">
        <f t="shared" si="234"/>
        <v>0.92370360150141495</v>
      </c>
      <c r="T335" s="4">
        <f t="shared" si="234"/>
        <v>0.89334463567658451</v>
      </c>
      <c r="U335" s="4">
        <f t="shared" si="234"/>
        <v>0.85254543874327005</v>
      </c>
      <c r="V335" s="4">
        <f t="shared" si="234"/>
        <v>0.79921300652623883</v>
      </c>
      <c r="W335" s="4">
        <f t="shared" si="234"/>
        <v>0.73204982249993378</v>
      </c>
      <c r="X335" s="4">
        <f t="shared" si="234"/>
        <v>0.65145592958786691</v>
      </c>
      <c r="Y335" s="4">
        <f t="shared" si="234"/>
        <v>0.56032247880849573</v>
      </c>
      <c r="Z335" s="4">
        <f t="shared" si="234"/>
        <v>0.46411326873185343</v>
      </c>
      <c r="AA335" s="4">
        <f t="shared" si="234"/>
        <v>0.36979727595523937</v>
      </c>
      <c r="AB335" s="4">
        <f t="shared" si="234"/>
        <v>0.28393948637231203</v>
      </c>
      <c r="AC335" s="4">
        <f t="shared" si="234"/>
        <v>0.21097259161117732</v>
      </c>
      <c r="AD335" s="4">
        <f t="shared" si="234"/>
        <v>0.15253917653798199</v>
      </c>
      <c r="AE335" s="4">
        <f t="shared" si="234"/>
        <v>0.10795188737709993</v>
      </c>
      <c r="AF335" s="4">
        <f t="shared" si="234"/>
        <v>7.5176653938091809E-2</v>
      </c>
      <c r="AG335" s="4">
        <f t="shared" si="234"/>
        <v>5.1742836177502194E-2</v>
      </c>
      <c r="AH335" s="4">
        <f t="shared" si="234"/>
        <v>3.5319190625345942E-2</v>
      </c>
      <c r="AI335" s="4">
        <f t="shared" si="234"/>
        <v>2.3969442072658165E-2</v>
      </c>
      <c r="AJ335" s="4">
        <f t="shared" si="234"/>
        <v>1.6202243558389728E-2</v>
      </c>
      <c r="AK335" s="4">
        <f t="shared" si="234"/>
        <v>1.0922240564108399E-2</v>
      </c>
      <c r="AL335" s="4">
        <f t="shared" si="234"/>
        <v>7.3493212906090566E-3</v>
      </c>
      <c r="AM335" s="4">
        <f t="shared" si="234"/>
        <v>4.9390262185057265E-3</v>
      </c>
      <c r="AN335" s="4">
        <f t="shared" si="234"/>
        <v>3.3164275492956197E-3</v>
      </c>
      <c r="AO335" s="4">
        <f t="shared" si="234"/>
        <v>2.2256362146679809E-3</v>
      </c>
      <c r="AP335" s="4">
        <f t="shared" si="234"/>
        <v>1.4930448704811861E-3</v>
      </c>
      <c r="AQ335" s="4">
        <f t="shared" si="234"/>
        <v>1.0013381504474506E-3</v>
      </c>
      <c r="AR335" s="4">
        <f t="shared" si="234"/>
        <v>6.7145100246257527E-4</v>
      </c>
    </row>
    <row r="336" spans="1:44" x14ac:dyDescent="0.25">
      <c r="A336" s="24" t="s">
        <v>14</v>
      </c>
      <c r="B336" s="60">
        <f>'Parameter Input'!B59</f>
        <v>40000</v>
      </c>
      <c r="C336" s="61">
        <f>'Parameter Input'!C59</f>
        <v>40000</v>
      </c>
      <c r="D336" s="1" t="s">
        <v>15</v>
      </c>
      <c r="L336" s="54">
        <f>'Parameter Input'!E59</f>
        <v>12</v>
      </c>
      <c r="M336" s="37">
        <v>0</v>
      </c>
      <c r="N336" s="37">
        <v>1</v>
      </c>
      <c r="O336" s="37">
        <f>'Parameter Input'!F59</f>
        <v>0.9</v>
      </c>
      <c r="P336" s="55">
        <f>'Parameter Input'!G59</f>
        <v>0.4</v>
      </c>
      <c r="Q336" s="4">
        <f t="shared" si="234"/>
        <v>0.9867978615748374</v>
      </c>
      <c r="R336" s="4">
        <f t="shared" si="234"/>
        <v>0.98114509762858249</v>
      </c>
      <c r="S336" s="4">
        <f t="shared" si="234"/>
        <v>0.97311898315872036</v>
      </c>
      <c r="T336" s="4">
        <f t="shared" si="234"/>
        <v>0.96177484161592774</v>
      </c>
      <c r="U336" s="4">
        <f t="shared" si="234"/>
        <v>0.94584787155511363</v>
      </c>
      <c r="V336" s="4">
        <f t="shared" si="234"/>
        <v>0.92370360150141495</v>
      </c>
      <c r="W336" s="4">
        <f t="shared" si="234"/>
        <v>0.89334463567658451</v>
      </c>
      <c r="X336" s="4">
        <f t="shared" si="234"/>
        <v>0.85254543874327005</v>
      </c>
      <c r="Y336" s="4">
        <f t="shared" si="234"/>
        <v>0.79921300652623883</v>
      </c>
      <c r="Z336" s="4">
        <f t="shared" si="234"/>
        <v>0.73204982249993378</v>
      </c>
      <c r="AA336" s="4">
        <f t="shared" si="234"/>
        <v>0.65145592958786691</v>
      </c>
      <c r="AB336" s="4">
        <f t="shared" si="234"/>
        <v>0.56032247880849573</v>
      </c>
      <c r="AC336" s="4">
        <f t="shared" si="234"/>
        <v>0.46411326873185343</v>
      </c>
      <c r="AD336" s="4">
        <f t="shared" si="234"/>
        <v>0.36979727595523937</v>
      </c>
      <c r="AE336" s="4">
        <f t="shared" si="234"/>
        <v>0.28393948637231203</v>
      </c>
      <c r="AF336" s="4">
        <f t="shared" si="234"/>
        <v>0.21097259161117732</v>
      </c>
      <c r="AG336" s="4">
        <f t="shared" si="234"/>
        <v>0.15253917653798199</v>
      </c>
      <c r="AH336" s="4">
        <f t="shared" si="234"/>
        <v>0.10795188737709993</v>
      </c>
      <c r="AI336" s="4">
        <f t="shared" si="234"/>
        <v>7.5176653938091809E-2</v>
      </c>
      <c r="AJ336" s="4">
        <f t="shared" si="234"/>
        <v>5.1742836177502194E-2</v>
      </c>
      <c r="AK336" s="4">
        <f t="shared" si="234"/>
        <v>3.5319190625345942E-2</v>
      </c>
      <c r="AL336" s="4">
        <f t="shared" si="234"/>
        <v>2.3969442072658165E-2</v>
      </c>
      <c r="AM336" s="4">
        <f t="shared" si="234"/>
        <v>1.6202243558389728E-2</v>
      </c>
      <c r="AN336" s="4">
        <f t="shared" si="234"/>
        <v>1.0922240564108399E-2</v>
      </c>
      <c r="AO336" s="4">
        <f t="shared" si="234"/>
        <v>7.3493212906090566E-3</v>
      </c>
      <c r="AP336" s="4">
        <f t="shared" si="234"/>
        <v>4.9390262185057265E-3</v>
      </c>
      <c r="AQ336" s="4">
        <f t="shared" si="234"/>
        <v>3.3164275492956197E-3</v>
      </c>
      <c r="AR336" s="4">
        <f t="shared" si="234"/>
        <v>2.2256362146679809E-3</v>
      </c>
    </row>
    <row r="337" spans="1:44" x14ac:dyDescent="0.25">
      <c r="A337" s="24" t="s">
        <v>25</v>
      </c>
      <c r="B337" s="60">
        <f>'Parameter Input'!B60</f>
        <v>-10000</v>
      </c>
      <c r="C337" s="61">
        <f>'Parameter Input'!C60</f>
        <v>-10000</v>
      </c>
      <c r="D337" s="1" t="s">
        <v>15</v>
      </c>
      <c r="L337" s="54">
        <f>'Parameter Input'!E60</f>
        <v>12</v>
      </c>
      <c r="M337" s="37">
        <v>0</v>
      </c>
      <c r="N337" s="37">
        <v>1</v>
      </c>
      <c r="O337" s="37">
        <f>'Parameter Input'!F60</f>
        <v>0.9</v>
      </c>
      <c r="P337" s="55">
        <f>'Parameter Input'!G60</f>
        <v>0.4</v>
      </c>
      <c r="Q337" s="4">
        <f t="shared" si="234"/>
        <v>0.9867978615748374</v>
      </c>
      <c r="R337" s="4">
        <f t="shared" si="234"/>
        <v>0.98114509762858249</v>
      </c>
      <c r="S337" s="4">
        <f t="shared" si="234"/>
        <v>0.97311898315872036</v>
      </c>
      <c r="T337" s="4">
        <f t="shared" si="234"/>
        <v>0.96177484161592774</v>
      </c>
      <c r="U337" s="4">
        <f t="shared" si="234"/>
        <v>0.94584787155511363</v>
      </c>
      <c r="V337" s="4">
        <f t="shared" si="234"/>
        <v>0.92370360150141495</v>
      </c>
      <c r="W337" s="4">
        <f t="shared" si="234"/>
        <v>0.89334463567658451</v>
      </c>
      <c r="X337" s="4">
        <f t="shared" si="234"/>
        <v>0.85254543874327005</v>
      </c>
      <c r="Y337" s="4">
        <f t="shared" si="234"/>
        <v>0.79921300652623883</v>
      </c>
      <c r="Z337" s="4">
        <f t="shared" si="234"/>
        <v>0.73204982249993378</v>
      </c>
      <c r="AA337" s="4">
        <f t="shared" si="234"/>
        <v>0.65145592958786691</v>
      </c>
      <c r="AB337" s="4">
        <f t="shared" si="234"/>
        <v>0.56032247880849573</v>
      </c>
      <c r="AC337" s="4">
        <f t="shared" si="234"/>
        <v>0.46411326873185343</v>
      </c>
      <c r="AD337" s="4">
        <f t="shared" si="234"/>
        <v>0.36979727595523937</v>
      </c>
      <c r="AE337" s="4">
        <f t="shared" si="234"/>
        <v>0.28393948637231203</v>
      </c>
      <c r="AF337" s="4">
        <f t="shared" si="234"/>
        <v>0.21097259161117732</v>
      </c>
      <c r="AG337" s="4">
        <f t="shared" si="234"/>
        <v>0.15253917653798199</v>
      </c>
      <c r="AH337" s="4">
        <f t="shared" si="234"/>
        <v>0.10795188737709993</v>
      </c>
      <c r="AI337" s="4">
        <f t="shared" si="234"/>
        <v>7.5176653938091809E-2</v>
      </c>
      <c r="AJ337" s="4">
        <f t="shared" si="234"/>
        <v>5.1742836177502194E-2</v>
      </c>
      <c r="AK337" s="4">
        <f t="shared" si="234"/>
        <v>3.5319190625345942E-2</v>
      </c>
      <c r="AL337" s="4">
        <f t="shared" si="234"/>
        <v>2.3969442072658165E-2</v>
      </c>
      <c r="AM337" s="4">
        <f t="shared" si="234"/>
        <v>1.6202243558389728E-2</v>
      </c>
      <c r="AN337" s="4">
        <f t="shared" si="234"/>
        <v>1.0922240564108399E-2</v>
      </c>
      <c r="AO337" s="4">
        <f t="shared" si="234"/>
        <v>7.3493212906090566E-3</v>
      </c>
      <c r="AP337" s="4">
        <f t="shared" si="234"/>
        <v>4.9390262185057265E-3</v>
      </c>
      <c r="AQ337" s="4">
        <f t="shared" si="234"/>
        <v>3.3164275492956197E-3</v>
      </c>
      <c r="AR337" s="4">
        <f t="shared" si="234"/>
        <v>2.2256362146679809E-3</v>
      </c>
    </row>
    <row r="338" spans="1:44" x14ac:dyDescent="0.25">
      <c r="A338" s="24" t="s">
        <v>79</v>
      </c>
      <c r="B338" s="45">
        <f>'Parameter Input'!$L$52</f>
        <v>0.06</v>
      </c>
      <c r="C338" s="46">
        <f>'Parameter Input'!$M$52</f>
        <v>0.06</v>
      </c>
      <c r="D338" s="1" t="s">
        <v>57</v>
      </c>
      <c r="L338" s="54">
        <f>'Parameter Input'!$O$52</f>
        <v>12</v>
      </c>
      <c r="M338" s="37">
        <v>0</v>
      </c>
      <c r="N338" s="37">
        <v>1</v>
      </c>
      <c r="O338" s="37">
        <f>'Parameter Input'!$P$52</f>
        <v>0.9</v>
      </c>
      <c r="P338" s="55">
        <f>'Parameter Input'!$Q$52</f>
        <v>0.4</v>
      </c>
      <c r="Q338" s="4">
        <f t="shared" si="234"/>
        <v>0.9867978615748374</v>
      </c>
      <c r="R338" s="4">
        <f t="shared" si="234"/>
        <v>0.98114509762858249</v>
      </c>
      <c r="S338" s="4">
        <f t="shared" si="234"/>
        <v>0.97311898315872036</v>
      </c>
      <c r="T338" s="4">
        <f t="shared" si="234"/>
        <v>0.96177484161592774</v>
      </c>
      <c r="U338" s="4">
        <f t="shared" si="234"/>
        <v>0.94584787155511363</v>
      </c>
      <c r="V338" s="4">
        <f t="shared" si="234"/>
        <v>0.92370360150141495</v>
      </c>
      <c r="W338" s="4">
        <f t="shared" si="234"/>
        <v>0.89334463567658451</v>
      </c>
      <c r="X338" s="4">
        <f t="shared" si="234"/>
        <v>0.85254543874327005</v>
      </c>
      <c r="Y338" s="4">
        <f t="shared" si="234"/>
        <v>0.79921300652623883</v>
      </c>
      <c r="Z338" s="4">
        <f t="shared" si="234"/>
        <v>0.73204982249993378</v>
      </c>
      <c r="AA338" s="4">
        <f t="shared" si="234"/>
        <v>0.65145592958786691</v>
      </c>
      <c r="AB338" s="4">
        <f t="shared" si="234"/>
        <v>0.56032247880849573</v>
      </c>
      <c r="AC338" s="4">
        <f t="shared" si="234"/>
        <v>0.46411326873185343</v>
      </c>
      <c r="AD338" s="4">
        <f t="shared" si="234"/>
        <v>0.36979727595523937</v>
      </c>
      <c r="AE338" s="4">
        <f t="shared" si="234"/>
        <v>0.28393948637231203</v>
      </c>
      <c r="AF338" s="4">
        <f t="shared" si="234"/>
        <v>0.21097259161117732</v>
      </c>
      <c r="AG338" s="4">
        <f t="shared" si="234"/>
        <v>0.15253917653798199</v>
      </c>
      <c r="AH338" s="4">
        <f t="shared" si="234"/>
        <v>0.10795188737709993</v>
      </c>
      <c r="AI338" s="4">
        <f t="shared" si="234"/>
        <v>7.5176653938091809E-2</v>
      </c>
      <c r="AJ338" s="4">
        <f t="shared" si="234"/>
        <v>5.1742836177502194E-2</v>
      </c>
      <c r="AK338" s="4">
        <f t="shared" si="234"/>
        <v>3.5319190625345942E-2</v>
      </c>
      <c r="AL338" s="4">
        <f t="shared" si="234"/>
        <v>2.3969442072658165E-2</v>
      </c>
      <c r="AM338" s="4">
        <f t="shared" si="234"/>
        <v>1.6202243558389728E-2</v>
      </c>
      <c r="AN338" s="4">
        <f t="shared" si="234"/>
        <v>1.0922240564108399E-2</v>
      </c>
      <c r="AO338" s="4">
        <f t="shared" si="234"/>
        <v>7.3493212906090566E-3</v>
      </c>
      <c r="AP338" s="4">
        <f t="shared" si="234"/>
        <v>4.9390262185057265E-3</v>
      </c>
      <c r="AQ338" s="4">
        <f t="shared" si="234"/>
        <v>3.3164275492956197E-3</v>
      </c>
      <c r="AR338" s="4">
        <f t="shared" si="234"/>
        <v>2.2256362146679809E-3</v>
      </c>
    </row>
    <row r="339" spans="1:44" x14ac:dyDescent="0.25">
      <c r="A339" s="24" t="s">
        <v>37</v>
      </c>
      <c r="B339" s="60">
        <f>'Parameter Input'!B61</f>
        <v>70000</v>
      </c>
      <c r="C339" s="61">
        <f>'Parameter Input'!C61</f>
        <v>70000</v>
      </c>
      <c r="D339" s="1" t="s">
        <v>38</v>
      </c>
      <c r="L339" s="54">
        <f>'Parameter Input'!E61</f>
        <v>12</v>
      </c>
      <c r="M339" s="37">
        <v>0</v>
      </c>
      <c r="N339" s="37">
        <v>1</v>
      </c>
      <c r="O339" s="37">
        <f>'Parameter Input'!F61</f>
        <v>0.9</v>
      </c>
      <c r="P339" s="55">
        <f>'Parameter Input'!G61</f>
        <v>0.4</v>
      </c>
      <c r="Q339" s="4">
        <f t="shared" si="234"/>
        <v>0.9867978615748374</v>
      </c>
      <c r="R339" s="4">
        <f t="shared" si="234"/>
        <v>0.98114509762858249</v>
      </c>
      <c r="S339" s="4">
        <f t="shared" si="234"/>
        <v>0.97311898315872036</v>
      </c>
      <c r="T339" s="4">
        <f t="shared" si="234"/>
        <v>0.96177484161592774</v>
      </c>
      <c r="U339" s="4">
        <f t="shared" si="234"/>
        <v>0.94584787155511363</v>
      </c>
      <c r="V339" s="4">
        <f t="shared" si="234"/>
        <v>0.92370360150141495</v>
      </c>
      <c r="W339" s="4">
        <f t="shared" si="234"/>
        <v>0.89334463567658451</v>
      </c>
      <c r="X339" s="4">
        <f t="shared" si="234"/>
        <v>0.85254543874327005</v>
      </c>
      <c r="Y339" s="4">
        <f t="shared" si="234"/>
        <v>0.79921300652623883</v>
      </c>
      <c r="Z339" s="4">
        <f t="shared" si="234"/>
        <v>0.73204982249993378</v>
      </c>
      <c r="AA339" s="4">
        <f t="shared" si="234"/>
        <v>0.65145592958786691</v>
      </c>
      <c r="AB339" s="4">
        <f t="shared" si="234"/>
        <v>0.56032247880849573</v>
      </c>
      <c r="AC339" s="4">
        <f t="shared" si="234"/>
        <v>0.46411326873185343</v>
      </c>
      <c r="AD339" s="4">
        <f t="shared" si="234"/>
        <v>0.36979727595523937</v>
      </c>
      <c r="AE339" s="4">
        <f t="shared" si="234"/>
        <v>0.28393948637231203</v>
      </c>
      <c r="AF339" s="4">
        <f t="shared" si="234"/>
        <v>0.21097259161117732</v>
      </c>
      <c r="AG339" s="4">
        <f t="shared" si="234"/>
        <v>0.15253917653798199</v>
      </c>
      <c r="AH339" s="4">
        <f t="shared" si="234"/>
        <v>0.10795188737709993</v>
      </c>
      <c r="AI339" s="4">
        <f t="shared" si="234"/>
        <v>7.5176653938091809E-2</v>
      </c>
      <c r="AJ339" s="4">
        <f t="shared" si="234"/>
        <v>5.1742836177502194E-2</v>
      </c>
      <c r="AK339" s="4">
        <f t="shared" si="234"/>
        <v>3.5319190625345942E-2</v>
      </c>
      <c r="AL339" s="4">
        <f t="shared" si="234"/>
        <v>2.3969442072658165E-2</v>
      </c>
      <c r="AM339" s="4">
        <f t="shared" si="234"/>
        <v>1.6202243558389728E-2</v>
      </c>
      <c r="AN339" s="4">
        <f t="shared" si="234"/>
        <v>1.0922240564108399E-2</v>
      </c>
      <c r="AO339" s="4">
        <f t="shared" si="234"/>
        <v>7.3493212906090566E-3</v>
      </c>
      <c r="AP339" s="4">
        <f t="shared" si="234"/>
        <v>4.9390262185057265E-3</v>
      </c>
      <c r="AQ339" s="4">
        <f t="shared" si="234"/>
        <v>3.3164275492956197E-3</v>
      </c>
      <c r="AR339" s="4">
        <f t="shared" si="234"/>
        <v>2.2256362146679809E-3</v>
      </c>
    </row>
    <row r="340" spans="1:44" x14ac:dyDescent="0.25">
      <c r="A340" s="24" t="s">
        <v>52</v>
      </c>
      <c r="B340" s="43">
        <f>'Parameter Input'!$L$48</f>
        <v>26000</v>
      </c>
      <c r="C340" s="44">
        <f>'Parameter Input'!$M$48</f>
        <v>18000</v>
      </c>
      <c r="D340" s="1" t="s">
        <v>38</v>
      </c>
      <c r="L340" s="54">
        <f>'Parameter Input'!$O$48</f>
        <v>9</v>
      </c>
      <c r="M340" s="37">
        <v>0</v>
      </c>
      <c r="N340" s="37">
        <v>1</v>
      </c>
      <c r="O340" s="37">
        <f>'Parameter Input'!$P$48</f>
        <v>0.9</v>
      </c>
      <c r="P340" s="55">
        <f>'Parameter Input'!$Q$48</f>
        <v>0.4</v>
      </c>
      <c r="Q340" s="4">
        <f t="shared" si="234"/>
        <v>0.96177484161592774</v>
      </c>
      <c r="R340" s="4">
        <f t="shared" si="234"/>
        <v>0.94584787155511363</v>
      </c>
      <c r="S340" s="4">
        <f t="shared" si="234"/>
        <v>0.92370360150141495</v>
      </c>
      <c r="T340" s="4">
        <f t="shared" si="234"/>
        <v>0.89334463567658451</v>
      </c>
      <c r="U340" s="4">
        <f t="shared" si="234"/>
        <v>0.85254543874327005</v>
      </c>
      <c r="V340" s="4">
        <f t="shared" si="234"/>
        <v>0.79921300652623883</v>
      </c>
      <c r="W340" s="4">
        <f t="shared" si="234"/>
        <v>0.73204982249993378</v>
      </c>
      <c r="X340" s="4">
        <f t="shared" si="234"/>
        <v>0.65145592958786691</v>
      </c>
      <c r="Y340" s="4">
        <f t="shared" si="234"/>
        <v>0.56032247880849573</v>
      </c>
      <c r="Z340" s="4">
        <f t="shared" si="234"/>
        <v>0.46411326873185343</v>
      </c>
      <c r="AA340" s="4">
        <f t="shared" si="234"/>
        <v>0.36979727595523937</v>
      </c>
      <c r="AB340" s="4">
        <f t="shared" si="234"/>
        <v>0.28393948637231203</v>
      </c>
      <c r="AC340" s="4">
        <f t="shared" si="234"/>
        <v>0.21097259161117732</v>
      </c>
      <c r="AD340" s="4">
        <f t="shared" si="234"/>
        <v>0.15253917653798199</v>
      </c>
      <c r="AE340" s="4">
        <f t="shared" si="234"/>
        <v>0.10795188737709993</v>
      </c>
      <c r="AF340" s="4">
        <f t="shared" si="234"/>
        <v>7.5176653938091809E-2</v>
      </c>
      <c r="AG340" s="4">
        <f t="shared" si="234"/>
        <v>5.1742836177502194E-2</v>
      </c>
      <c r="AH340" s="4">
        <f t="shared" si="234"/>
        <v>3.5319190625345942E-2</v>
      </c>
      <c r="AI340" s="4">
        <f t="shared" si="234"/>
        <v>2.3969442072658165E-2</v>
      </c>
      <c r="AJ340" s="4">
        <f t="shared" si="234"/>
        <v>1.6202243558389728E-2</v>
      </c>
      <c r="AK340" s="4">
        <f t="shared" si="234"/>
        <v>1.0922240564108399E-2</v>
      </c>
      <c r="AL340" s="4">
        <f t="shared" si="234"/>
        <v>7.3493212906090566E-3</v>
      </c>
      <c r="AM340" s="4">
        <f t="shared" si="234"/>
        <v>4.9390262185057265E-3</v>
      </c>
      <c r="AN340" s="4">
        <f t="shared" si="234"/>
        <v>3.3164275492956197E-3</v>
      </c>
      <c r="AO340" s="4">
        <f t="shared" si="234"/>
        <v>2.2256362146679809E-3</v>
      </c>
      <c r="AP340" s="4">
        <f t="shared" si="234"/>
        <v>1.4930448704811861E-3</v>
      </c>
      <c r="AQ340" s="4">
        <f t="shared" si="234"/>
        <v>1.0013381504474506E-3</v>
      </c>
      <c r="AR340" s="4">
        <f t="shared" si="234"/>
        <v>6.7145100246257527E-4</v>
      </c>
    </row>
    <row r="341" spans="1:44" x14ac:dyDescent="0.25">
      <c r="A341" s="24" t="s">
        <v>272</v>
      </c>
      <c r="B341" s="60">
        <f>'Parameter Input'!B66</f>
        <v>0.11</v>
      </c>
      <c r="C341" s="61">
        <f>'Parameter Input'!C66</f>
        <v>0.11</v>
      </c>
      <c r="D341" s="1" t="s">
        <v>76</v>
      </c>
      <c r="L341" s="54">
        <f>'Parameter Input'!E66</f>
        <v>12</v>
      </c>
      <c r="M341" s="37">
        <v>0</v>
      </c>
      <c r="N341" s="37">
        <v>1</v>
      </c>
      <c r="O341" s="37">
        <f>'Parameter Input'!F66</f>
        <v>0.9</v>
      </c>
      <c r="P341" s="55">
        <f>'Parameter Input'!G66</f>
        <v>0.4</v>
      </c>
      <c r="Q341" s="4">
        <f t="shared" si="234"/>
        <v>0.9867978615748374</v>
      </c>
      <c r="R341" s="4">
        <f t="shared" si="234"/>
        <v>0.98114509762858249</v>
      </c>
      <c r="S341" s="4">
        <f t="shared" si="234"/>
        <v>0.97311898315872036</v>
      </c>
      <c r="T341" s="4">
        <f t="shared" si="234"/>
        <v>0.96177484161592774</v>
      </c>
      <c r="U341" s="4">
        <f t="shared" si="234"/>
        <v>0.94584787155511363</v>
      </c>
      <c r="V341" s="4">
        <f t="shared" si="234"/>
        <v>0.92370360150141495</v>
      </c>
      <c r="W341" s="4">
        <f t="shared" si="234"/>
        <v>0.89334463567658451</v>
      </c>
      <c r="X341" s="4">
        <f t="shared" si="234"/>
        <v>0.85254543874327005</v>
      </c>
      <c r="Y341" s="4">
        <f t="shared" si="234"/>
        <v>0.79921300652623883</v>
      </c>
      <c r="Z341" s="4">
        <f t="shared" si="234"/>
        <v>0.73204982249993378</v>
      </c>
      <c r="AA341" s="4">
        <f t="shared" si="234"/>
        <v>0.65145592958786691</v>
      </c>
      <c r="AB341" s="4">
        <f t="shared" si="234"/>
        <v>0.56032247880849573</v>
      </c>
      <c r="AC341" s="4">
        <f t="shared" si="234"/>
        <v>0.46411326873185343</v>
      </c>
      <c r="AD341" s="4">
        <f t="shared" si="234"/>
        <v>0.36979727595523937</v>
      </c>
      <c r="AE341" s="4">
        <f t="shared" si="234"/>
        <v>0.28393948637231203</v>
      </c>
      <c r="AF341" s="4">
        <f t="shared" si="234"/>
        <v>0.21097259161117732</v>
      </c>
      <c r="AG341" s="4">
        <f t="shared" si="234"/>
        <v>0.15253917653798199</v>
      </c>
      <c r="AH341" s="4">
        <f t="shared" si="234"/>
        <v>0.10795188737709993</v>
      </c>
      <c r="AI341" s="4">
        <f t="shared" si="234"/>
        <v>7.5176653938091809E-2</v>
      </c>
      <c r="AJ341" s="4">
        <f t="shared" si="234"/>
        <v>5.1742836177502194E-2</v>
      </c>
      <c r="AK341" s="4">
        <f t="shared" si="234"/>
        <v>3.5319190625345942E-2</v>
      </c>
      <c r="AL341" s="4">
        <f t="shared" si="234"/>
        <v>2.3969442072658165E-2</v>
      </c>
      <c r="AM341" s="4">
        <f t="shared" si="234"/>
        <v>1.6202243558389728E-2</v>
      </c>
      <c r="AN341" s="4">
        <f t="shared" si="234"/>
        <v>1.0922240564108399E-2</v>
      </c>
      <c r="AO341" s="4">
        <f t="shared" si="234"/>
        <v>7.3493212906090566E-3</v>
      </c>
      <c r="AP341" s="4">
        <f t="shared" si="234"/>
        <v>4.9390262185057265E-3</v>
      </c>
      <c r="AQ341" s="4">
        <f t="shared" si="234"/>
        <v>3.3164275492956197E-3</v>
      </c>
      <c r="AR341" s="4">
        <f t="shared" si="234"/>
        <v>2.2256362146679809E-3</v>
      </c>
    </row>
    <row r="342" spans="1:44" x14ac:dyDescent="0.25">
      <c r="A342" s="24" t="s">
        <v>59</v>
      </c>
      <c r="B342" s="47">
        <f>'Parameter Input'!$L$49</f>
        <v>2.5299999999999998</v>
      </c>
      <c r="C342" s="48">
        <f>'Parameter Input'!$M$49</f>
        <v>1.79</v>
      </c>
      <c r="D342" s="1" t="s">
        <v>60</v>
      </c>
      <c r="L342" s="54">
        <f>'Parameter Input'!$O$49</f>
        <v>9</v>
      </c>
      <c r="M342" s="37">
        <v>0</v>
      </c>
      <c r="N342" s="37">
        <v>1</v>
      </c>
      <c r="O342" s="37">
        <f>'Parameter Input'!$P$49</f>
        <v>0.9</v>
      </c>
      <c r="P342" s="55">
        <f>'Parameter Input'!$Q$49</f>
        <v>0.4</v>
      </c>
      <c r="Q342" s="4">
        <f t="shared" si="234"/>
        <v>0.96177484161592774</v>
      </c>
      <c r="R342" s="4">
        <f t="shared" si="234"/>
        <v>0.94584787155511363</v>
      </c>
      <c r="S342" s="4">
        <f t="shared" si="234"/>
        <v>0.92370360150141495</v>
      </c>
      <c r="T342" s="4">
        <f t="shared" si="234"/>
        <v>0.89334463567658451</v>
      </c>
      <c r="U342" s="4">
        <f t="shared" si="234"/>
        <v>0.85254543874327005</v>
      </c>
      <c r="V342" s="4">
        <f t="shared" si="234"/>
        <v>0.79921300652623883</v>
      </c>
      <c r="W342" s="4">
        <f t="shared" si="234"/>
        <v>0.73204982249993378</v>
      </c>
      <c r="X342" s="4">
        <f t="shared" si="234"/>
        <v>0.65145592958786691</v>
      </c>
      <c r="Y342" s="4">
        <f t="shared" si="234"/>
        <v>0.56032247880849573</v>
      </c>
      <c r="Z342" s="4">
        <f t="shared" si="234"/>
        <v>0.46411326873185343</v>
      </c>
      <c r="AA342" s="4">
        <f t="shared" si="234"/>
        <v>0.36979727595523937</v>
      </c>
      <c r="AB342" s="4">
        <f t="shared" si="234"/>
        <v>0.28393948637231203</v>
      </c>
      <c r="AC342" s="4">
        <f t="shared" si="234"/>
        <v>0.21097259161117732</v>
      </c>
      <c r="AD342" s="4">
        <f t="shared" si="234"/>
        <v>0.15253917653798199</v>
      </c>
      <c r="AE342" s="4">
        <f t="shared" si="234"/>
        <v>0.10795188737709993</v>
      </c>
      <c r="AF342" s="4">
        <f t="shared" si="234"/>
        <v>7.5176653938091809E-2</v>
      </c>
      <c r="AG342" s="4">
        <f t="shared" si="234"/>
        <v>5.1742836177502194E-2</v>
      </c>
      <c r="AH342" s="4">
        <f t="shared" si="234"/>
        <v>3.5319190625345942E-2</v>
      </c>
      <c r="AI342" s="4">
        <f t="shared" si="234"/>
        <v>2.3969442072658165E-2</v>
      </c>
      <c r="AJ342" s="4">
        <f t="shared" si="234"/>
        <v>1.6202243558389728E-2</v>
      </c>
      <c r="AK342" s="4">
        <f t="shared" si="234"/>
        <v>1.0922240564108399E-2</v>
      </c>
      <c r="AL342" s="4">
        <f t="shared" si="234"/>
        <v>7.3493212906090566E-3</v>
      </c>
      <c r="AM342" s="4">
        <f t="shared" si="234"/>
        <v>4.9390262185057265E-3</v>
      </c>
      <c r="AN342" s="4">
        <f t="shared" si="234"/>
        <v>3.3164275492956197E-3</v>
      </c>
      <c r="AO342" s="4">
        <f t="shared" si="234"/>
        <v>2.2256362146679809E-3</v>
      </c>
      <c r="AP342" s="4">
        <f t="shared" si="234"/>
        <v>1.4930448704811861E-3</v>
      </c>
      <c r="AQ342" s="4">
        <f t="shared" si="234"/>
        <v>1.0013381504474506E-3</v>
      </c>
      <c r="AR342" s="4">
        <f t="shared" si="234"/>
        <v>6.7145100246257527E-4</v>
      </c>
    </row>
    <row r="343" spans="1:44" x14ac:dyDescent="0.25">
      <c r="A343" s="24" t="s">
        <v>67</v>
      </c>
      <c r="B343" s="45">
        <f>'Parameter Input'!$L$50</f>
        <v>0.2544561408768215</v>
      </c>
      <c r="C343" s="46">
        <f>'Parameter Input'!$M$50</f>
        <v>0.10949010032952979</v>
      </c>
      <c r="D343" s="1" t="s">
        <v>68</v>
      </c>
      <c r="L343" s="54">
        <f>'Parameter Input'!$O$50</f>
        <v>12</v>
      </c>
      <c r="M343" s="37">
        <v>0</v>
      </c>
      <c r="N343" s="37">
        <v>1</v>
      </c>
      <c r="O343" s="37">
        <f>'Parameter Input'!$P$50</f>
        <v>0.9</v>
      </c>
      <c r="P343" s="55">
        <f>'Parameter Input'!$Q$50</f>
        <v>0.4</v>
      </c>
      <c r="Q343" s="4">
        <f t="shared" si="234"/>
        <v>0.9867978615748374</v>
      </c>
      <c r="R343" s="4">
        <f t="shared" si="234"/>
        <v>0.98114509762858249</v>
      </c>
      <c r="S343" s="4">
        <f t="shared" si="234"/>
        <v>0.97311898315872036</v>
      </c>
      <c r="T343" s="4">
        <f t="shared" ref="T343:AI350" si="235">$N343+($M343-$N343)*((1/(1+EXP(-$P343*(T$9-$L343)))^$O343))</f>
        <v>0.96177484161592774</v>
      </c>
      <c r="U343" s="4">
        <f t="shared" si="235"/>
        <v>0.94584787155511363</v>
      </c>
      <c r="V343" s="4">
        <f t="shared" si="235"/>
        <v>0.92370360150141495</v>
      </c>
      <c r="W343" s="4">
        <f t="shared" si="235"/>
        <v>0.89334463567658451</v>
      </c>
      <c r="X343" s="4">
        <f t="shared" si="235"/>
        <v>0.85254543874327005</v>
      </c>
      <c r="Y343" s="4">
        <f t="shared" si="235"/>
        <v>0.79921300652623883</v>
      </c>
      <c r="Z343" s="4">
        <f t="shared" si="235"/>
        <v>0.73204982249993378</v>
      </c>
      <c r="AA343" s="4">
        <f t="shared" si="235"/>
        <v>0.65145592958786691</v>
      </c>
      <c r="AB343" s="4">
        <f t="shared" si="235"/>
        <v>0.56032247880849573</v>
      </c>
      <c r="AC343" s="4">
        <f t="shared" si="235"/>
        <v>0.46411326873185343</v>
      </c>
      <c r="AD343" s="4">
        <f t="shared" si="235"/>
        <v>0.36979727595523937</v>
      </c>
      <c r="AE343" s="4">
        <f t="shared" si="235"/>
        <v>0.28393948637231203</v>
      </c>
      <c r="AF343" s="4">
        <f t="shared" si="235"/>
        <v>0.21097259161117732</v>
      </c>
      <c r="AG343" s="4">
        <f t="shared" si="235"/>
        <v>0.15253917653798199</v>
      </c>
      <c r="AH343" s="4">
        <f t="shared" si="235"/>
        <v>0.10795188737709993</v>
      </c>
      <c r="AI343" s="4">
        <f t="shared" si="235"/>
        <v>7.5176653938091809E-2</v>
      </c>
      <c r="AJ343" s="4">
        <f t="shared" ref="AJ343:AR350" si="236">$N343+($M343-$N343)*((1/(1+EXP(-$P343*(AJ$9-$L343)))^$O343))</f>
        <v>5.1742836177502194E-2</v>
      </c>
      <c r="AK343" s="4">
        <f t="shared" si="236"/>
        <v>3.5319190625345942E-2</v>
      </c>
      <c r="AL343" s="4">
        <f t="shared" si="236"/>
        <v>2.3969442072658165E-2</v>
      </c>
      <c r="AM343" s="4">
        <f t="shared" si="236"/>
        <v>1.6202243558389728E-2</v>
      </c>
      <c r="AN343" s="4">
        <f t="shared" si="236"/>
        <v>1.0922240564108399E-2</v>
      </c>
      <c r="AO343" s="4">
        <f t="shared" si="236"/>
        <v>7.3493212906090566E-3</v>
      </c>
      <c r="AP343" s="4">
        <f t="shared" si="236"/>
        <v>4.9390262185057265E-3</v>
      </c>
      <c r="AQ343" s="4">
        <f t="shared" si="236"/>
        <v>3.3164275492956197E-3</v>
      </c>
      <c r="AR343" s="4">
        <f t="shared" si="236"/>
        <v>2.2256362146679809E-3</v>
      </c>
    </row>
    <row r="344" spans="1:44" x14ac:dyDescent="0.25">
      <c r="A344" s="24" t="s">
        <v>206</v>
      </c>
      <c r="B344" s="115">
        <f>'Parameter Input'!$L$53</f>
        <v>9.1245901639344252E-3</v>
      </c>
      <c r="C344" s="116">
        <f>'Parameter Input'!$M$53</f>
        <v>0</v>
      </c>
      <c r="D344" s="1" t="s">
        <v>76</v>
      </c>
      <c r="L344" s="54">
        <f>'Parameter Input'!$O$53</f>
        <v>17</v>
      </c>
      <c r="M344" s="37">
        <v>0</v>
      </c>
      <c r="N344" s="37">
        <v>1</v>
      </c>
      <c r="O344" s="37">
        <f>'Parameter Input'!$P$53</f>
        <v>0.9</v>
      </c>
      <c r="P344" s="55">
        <f>'Parameter Input'!$Q$53</f>
        <v>0.4</v>
      </c>
      <c r="Q344" s="4">
        <f t="shared" ref="Q344:AR344" si="237">$N344+($M344-$N344)*((1/(1+EXP(-$P344*(Q$9-$L344)))^$O344))</f>
        <v>0.99780374543478534</v>
      </c>
      <c r="R344" s="4">
        <f t="shared" si="237"/>
        <v>0.99685359315256394</v>
      </c>
      <c r="S344" s="4">
        <f t="shared" si="237"/>
        <v>0.99549347132349975</v>
      </c>
      <c r="T344" s="4">
        <f t="shared" si="237"/>
        <v>0.99354772139898062</v>
      </c>
      <c r="U344" s="4">
        <f t="shared" si="237"/>
        <v>0.99076681540580536</v>
      </c>
      <c r="V344" s="4">
        <f t="shared" si="237"/>
        <v>0.9867978615748374</v>
      </c>
      <c r="W344" s="4">
        <f t="shared" si="237"/>
        <v>0.98114509762858249</v>
      </c>
      <c r="X344" s="4">
        <f t="shared" si="237"/>
        <v>0.97311898315872036</v>
      </c>
      <c r="Y344" s="4">
        <f t="shared" si="237"/>
        <v>0.96177484161592774</v>
      </c>
      <c r="Z344" s="4">
        <f t="shared" si="237"/>
        <v>0.94584787155511363</v>
      </c>
      <c r="AA344" s="4">
        <f t="shared" si="237"/>
        <v>0.92370360150141495</v>
      </c>
      <c r="AB344" s="4">
        <f t="shared" si="237"/>
        <v>0.89334463567658451</v>
      </c>
      <c r="AC344" s="4">
        <f t="shared" si="237"/>
        <v>0.85254543874327005</v>
      </c>
      <c r="AD344" s="4">
        <f t="shared" si="237"/>
        <v>0.79921300652623883</v>
      </c>
      <c r="AE344" s="4">
        <f t="shared" si="237"/>
        <v>0.73204982249993378</v>
      </c>
      <c r="AF344" s="4">
        <f t="shared" si="237"/>
        <v>0.65145592958786691</v>
      </c>
      <c r="AG344" s="4">
        <f t="shared" si="237"/>
        <v>0.56032247880849573</v>
      </c>
      <c r="AH344" s="4">
        <f t="shared" si="237"/>
        <v>0.46411326873185343</v>
      </c>
      <c r="AI344" s="4">
        <f t="shared" si="237"/>
        <v>0.36979727595523937</v>
      </c>
      <c r="AJ344" s="4">
        <f t="shared" si="237"/>
        <v>0.28393948637231203</v>
      </c>
      <c r="AK344" s="4">
        <f t="shared" si="237"/>
        <v>0.21097259161117732</v>
      </c>
      <c r="AL344" s="4">
        <f t="shared" si="237"/>
        <v>0.15253917653798199</v>
      </c>
      <c r="AM344" s="4">
        <f t="shared" si="237"/>
        <v>0.10795188737709993</v>
      </c>
      <c r="AN344" s="4">
        <f t="shared" si="237"/>
        <v>7.5176653938091809E-2</v>
      </c>
      <c r="AO344" s="4">
        <f t="shared" si="237"/>
        <v>5.1742836177502194E-2</v>
      </c>
      <c r="AP344" s="4">
        <f t="shared" si="237"/>
        <v>3.5319190625345942E-2</v>
      </c>
      <c r="AQ344" s="4">
        <f t="shared" si="237"/>
        <v>2.3969442072658165E-2</v>
      </c>
      <c r="AR344" s="4">
        <f t="shared" si="237"/>
        <v>1.6202243558389728E-2</v>
      </c>
    </row>
    <row r="345" spans="1:44" x14ac:dyDescent="0.25">
      <c r="A345" s="24" t="s">
        <v>41</v>
      </c>
      <c r="B345" s="43">
        <f>'Parameter Input'!$L$47</f>
        <v>8</v>
      </c>
      <c r="C345" s="44">
        <f>'Parameter Input'!$M$47</f>
        <v>8</v>
      </c>
      <c r="D345" s="1" t="s">
        <v>42</v>
      </c>
      <c r="L345" s="54">
        <f>'Parameter Input'!$O$47</f>
        <v>9</v>
      </c>
      <c r="M345" s="37">
        <v>0</v>
      </c>
      <c r="N345" s="37">
        <v>1</v>
      </c>
      <c r="O345" s="37">
        <f>'Parameter Input'!$P$47</f>
        <v>0.9</v>
      </c>
      <c r="P345" s="55">
        <f>'Parameter Input'!$Q$47</f>
        <v>0.4</v>
      </c>
      <c r="Q345" s="4">
        <f t="shared" ref="Q345:AF350" si="238">$N345+($M345-$N345)*((1/(1+EXP(-$P345*(Q$9-$L345)))^$O345))</f>
        <v>0.96177484161592774</v>
      </c>
      <c r="R345" s="4">
        <f t="shared" si="238"/>
        <v>0.94584787155511363</v>
      </c>
      <c r="S345" s="4">
        <f t="shared" si="238"/>
        <v>0.92370360150141495</v>
      </c>
      <c r="T345" s="4">
        <f t="shared" si="238"/>
        <v>0.89334463567658451</v>
      </c>
      <c r="U345" s="4">
        <f t="shared" si="238"/>
        <v>0.85254543874327005</v>
      </c>
      <c r="V345" s="4">
        <f t="shared" si="238"/>
        <v>0.79921300652623883</v>
      </c>
      <c r="W345" s="4">
        <f t="shared" si="238"/>
        <v>0.73204982249993378</v>
      </c>
      <c r="X345" s="4">
        <f t="shared" si="238"/>
        <v>0.65145592958786691</v>
      </c>
      <c r="Y345" s="4">
        <f t="shared" si="238"/>
        <v>0.56032247880849573</v>
      </c>
      <c r="Z345" s="4">
        <f t="shared" si="238"/>
        <v>0.46411326873185343</v>
      </c>
      <c r="AA345" s="4">
        <f t="shared" si="238"/>
        <v>0.36979727595523937</v>
      </c>
      <c r="AB345" s="4">
        <f t="shared" si="238"/>
        <v>0.28393948637231203</v>
      </c>
      <c r="AC345" s="4">
        <f t="shared" si="238"/>
        <v>0.21097259161117732</v>
      </c>
      <c r="AD345" s="4">
        <f t="shared" si="238"/>
        <v>0.15253917653798199</v>
      </c>
      <c r="AE345" s="4">
        <f t="shared" si="238"/>
        <v>0.10795188737709993</v>
      </c>
      <c r="AF345" s="4">
        <f t="shared" si="238"/>
        <v>7.5176653938091809E-2</v>
      </c>
      <c r="AG345" s="4">
        <f t="shared" si="235"/>
        <v>5.1742836177502194E-2</v>
      </c>
      <c r="AH345" s="4">
        <f t="shared" si="235"/>
        <v>3.5319190625345942E-2</v>
      </c>
      <c r="AI345" s="4">
        <f t="shared" si="235"/>
        <v>2.3969442072658165E-2</v>
      </c>
      <c r="AJ345" s="4">
        <f t="shared" si="236"/>
        <v>1.6202243558389728E-2</v>
      </c>
      <c r="AK345" s="4">
        <f t="shared" si="236"/>
        <v>1.0922240564108399E-2</v>
      </c>
      <c r="AL345" s="4">
        <f t="shared" si="236"/>
        <v>7.3493212906090566E-3</v>
      </c>
      <c r="AM345" s="4">
        <f t="shared" si="236"/>
        <v>4.9390262185057265E-3</v>
      </c>
      <c r="AN345" s="4">
        <f t="shared" si="236"/>
        <v>3.3164275492956197E-3</v>
      </c>
      <c r="AO345" s="4">
        <f t="shared" si="236"/>
        <v>2.2256362146679809E-3</v>
      </c>
      <c r="AP345" s="4">
        <f t="shared" si="236"/>
        <v>1.4930448704811861E-3</v>
      </c>
      <c r="AQ345" s="4">
        <f t="shared" si="236"/>
        <v>1.0013381504474506E-3</v>
      </c>
      <c r="AR345" s="4">
        <f t="shared" si="236"/>
        <v>6.7145100246257527E-4</v>
      </c>
    </row>
    <row r="346" spans="1:44" x14ac:dyDescent="0.25">
      <c r="A346" s="24" t="s">
        <v>70</v>
      </c>
      <c r="B346" s="60">
        <f>'Parameter Input'!B65</f>
        <v>10</v>
      </c>
      <c r="C346" s="61">
        <f>'Parameter Input'!C65</f>
        <v>10</v>
      </c>
      <c r="D346" s="1" t="s">
        <v>42</v>
      </c>
      <c r="L346" s="54">
        <f>'Parameter Input'!E65</f>
        <v>12</v>
      </c>
      <c r="M346" s="37">
        <v>0</v>
      </c>
      <c r="N346" s="37">
        <v>1</v>
      </c>
      <c r="O346" s="37">
        <f>'Parameter Input'!F65</f>
        <v>0.9</v>
      </c>
      <c r="P346" s="55">
        <f>'Parameter Input'!G65</f>
        <v>0.4</v>
      </c>
      <c r="Q346" s="4">
        <f t="shared" si="238"/>
        <v>0.9867978615748374</v>
      </c>
      <c r="R346" s="4">
        <f t="shared" si="238"/>
        <v>0.98114509762858249</v>
      </c>
      <c r="S346" s="4">
        <f t="shared" si="238"/>
        <v>0.97311898315872036</v>
      </c>
      <c r="T346" s="4">
        <f t="shared" si="238"/>
        <v>0.96177484161592774</v>
      </c>
      <c r="U346" s="4">
        <f t="shared" si="238"/>
        <v>0.94584787155511363</v>
      </c>
      <c r="V346" s="4">
        <f t="shared" si="238"/>
        <v>0.92370360150141495</v>
      </c>
      <c r="W346" s="4">
        <f t="shared" si="238"/>
        <v>0.89334463567658451</v>
      </c>
      <c r="X346" s="4">
        <f t="shared" si="238"/>
        <v>0.85254543874327005</v>
      </c>
      <c r="Y346" s="4">
        <f t="shared" si="238"/>
        <v>0.79921300652623883</v>
      </c>
      <c r="Z346" s="4">
        <f t="shared" si="238"/>
        <v>0.73204982249993378</v>
      </c>
      <c r="AA346" s="4">
        <f t="shared" si="238"/>
        <v>0.65145592958786691</v>
      </c>
      <c r="AB346" s="4">
        <f t="shared" si="238"/>
        <v>0.56032247880849573</v>
      </c>
      <c r="AC346" s="4">
        <f t="shared" si="238"/>
        <v>0.46411326873185343</v>
      </c>
      <c r="AD346" s="4">
        <f t="shared" si="238"/>
        <v>0.36979727595523937</v>
      </c>
      <c r="AE346" s="4">
        <f t="shared" si="238"/>
        <v>0.28393948637231203</v>
      </c>
      <c r="AF346" s="4">
        <f t="shared" si="238"/>
        <v>0.21097259161117732</v>
      </c>
      <c r="AG346" s="4">
        <f t="shared" si="235"/>
        <v>0.15253917653798199</v>
      </c>
      <c r="AH346" s="4">
        <f t="shared" si="235"/>
        <v>0.10795188737709993</v>
      </c>
      <c r="AI346" s="4">
        <f t="shared" si="235"/>
        <v>7.5176653938091809E-2</v>
      </c>
      <c r="AJ346" s="4">
        <f t="shared" si="236"/>
        <v>5.1742836177502194E-2</v>
      </c>
      <c r="AK346" s="4">
        <f t="shared" si="236"/>
        <v>3.5319190625345942E-2</v>
      </c>
      <c r="AL346" s="4">
        <f t="shared" si="236"/>
        <v>2.3969442072658165E-2</v>
      </c>
      <c r="AM346" s="4">
        <f t="shared" si="236"/>
        <v>1.6202243558389728E-2</v>
      </c>
      <c r="AN346" s="4">
        <f t="shared" si="236"/>
        <v>1.0922240564108399E-2</v>
      </c>
      <c r="AO346" s="4">
        <f t="shared" si="236"/>
        <v>7.3493212906090566E-3</v>
      </c>
      <c r="AP346" s="4">
        <f t="shared" si="236"/>
        <v>4.9390262185057265E-3</v>
      </c>
      <c r="AQ346" s="4">
        <f t="shared" si="236"/>
        <v>3.3164275492956197E-3</v>
      </c>
      <c r="AR346" s="4">
        <f t="shared" si="236"/>
        <v>2.2256362146679809E-3</v>
      </c>
    </row>
    <row r="347" spans="1:44" x14ac:dyDescent="0.25">
      <c r="A347" s="24" t="s">
        <v>207</v>
      </c>
      <c r="B347" s="43">
        <f>'Parameter Input'!B62</f>
        <v>25</v>
      </c>
      <c r="C347" s="44">
        <f>'Parameter Input'!C62</f>
        <v>25</v>
      </c>
      <c r="D347" s="1" t="s">
        <v>49</v>
      </c>
      <c r="L347" s="54">
        <f>'Parameter Input'!E62</f>
        <v>12</v>
      </c>
      <c r="M347" s="37">
        <v>0</v>
      </c>
      <c r="N347" s="37">
        <v>1</v>
      </c>
      <c r="O347" s="37">
        <f>'Parameter Input'!F62</f>
        <v>0.9</v>
      </c>
      <c r="P347" s="55">
        <f>'Parameter Input'!G62</f>
        <v>0.4</v>
      </c>
      <c r="Q347" s="4">
        <f t="shared" si="238"/>
        <v>0.9867978615748374</v>
      </c>
      <c r="R347" s="4">
        <f t="shared" si="238"/>
        <v>0.98114509762858249</v>
      </c>
      <c r="S347" s="4">
        <f t="shared" si="238"/>
        <v>0.97311898315872036</v>
      </c>
      <c r="T347" s="4">
        <f t="shared" si="238"/>
        <v>0.96177484161592774</v>
      </c>
      <c r="U347" s="4">
        <f t="shared" si="238"/>
        <v>0.94584787155511363</v>
      </c>
      <c r="V347" s="4">
        <f t="shared" si="238"/>
        <v>0.92370360150141495</v>
      </c>
      <c r="W347" s="4">
        <f t="shared" si="238"/>
        <v>0.89334463567658451</v>
      </c>
      <c r="X347" s="4">
        <f t="shared" si="238"/>
        <v>0.85254543874327005</v>
      </c>
      <c r="Y347" s="4">
        <f t="shared" si="238"/>
        <v>0.79921300652623883</v>
      </c>
      <c r="Z347" s="4">
        <f t="shared" si="238"/>
        <v>0.73204982249993378</v>
      </c>
      <c r="AA347" s="4">
        <f t="shared" si="238"/>
        <v>0.65145592958786691</v>
      </c>
      <c r="AB347" s="4">
        <f t="shared" si="238"/>
        <v>0.56032247880849573</v>
      </c>
      <c r="AC347" s="4">
        <f t="shared" si="238"/>
        <v>0.46411326873185343</v>
      </c>
      <c r="AD347" s="4">
        <f t="shared" si="238"/>
        <v>0.36979727595523937</v>
      </c>
      <c r="AE347" s="4">
        <f t="shared" si="238"/>
        <v>0.28393948637231203</v>
      </c>
      <c r="AF347" s="4">
        <f t="shared" si="238"/>
        <v>0.21097259161117732</v>
      </c>
      <c r="AG347" s="4">
        <f t="shared" si="235"/>
        <v>0.15253917653798199</v>
      </c>
      <c r="AH347" s="4">
        <f t="shared" si="235"/>
        <v>0.10795188737709993</v>
      </c>
      <c r="AI347" s="4">
        <f t="shared" si="235"/>
        <v>7.5176653938091809E-2</v>
      </c>
      <c r="AJ347" s="4">
        <f t="shared" si="236"/>
        <v>5.1742836177502194E-2</v>
      </c>
      <c r="AK347" s="4">
        <f t="shared" si="236"/>
        <v>3.5319190625345942E-2</v>
      </c>
      <c r="AL347" s="4">
        <f t="shared" si="236"/>
        <v>2.3969442072658165E-2</v>
      </c>
      <c r="AM347" s="4">
        <f t="shared" si="236"/>
        <v>1.6202243558389728E-2</v>
      </c>
      <c r="AN347" s="4">
        <f t="shared" si="236"/>
        <v>1.0922240564108399E-2</v>
      </c>
      <c r="AO347" s="4">
        <f t="shared" si="236"/>
        <v>7.3493212906090566E-3</v>
      </c>
      <c r="AP347" s="4">
        <f t="shared" si="236"/>
        <v>4.9390262185057265E-3</v>
      </c>
      <c r="AQ347" s="4">
        <f t="shared" si="236"/>
        <v>3.3164275492956197E-3</v>
      </c>
      <c r="AR347" s="4">
        <f t="shared" si="236"/>
        <v>2.2256362146679809E-3</v>
      </c>
    </row>
    <row r="348" spans="1:44" x14ac:dyDescent="0.25">
      <c r="A348" s="24" t="s">
        <v>56</v>
      </c>
      <c r="B348" s="45">
        <f>'Parameter Input'!B63</f>
        <v>0.6133333333333334</v>
      </c>
      <c r="C348" s="46">
        <f>'Parameter Input'!C63</f>
        <v>0.6133333333333334</v>
      </c>
      <c r="D348" s="1" t="s">
        <v>57</v>
      </c>
      <c r="L348" s="54">
        <f>'Parameter Input'!E63</f>
        <v>12</v>
      </c>
      <c r="M348" s="37">
        <v>0</v>
      </c>
      <c r="N348" s="37">
        <v>1</v>
      </c>
      <c r="O348" s="37">
        <f>'Parameter Input'!F63</f>
        <v>0.9</v>
      </c>
      <c r="P348" s="55">
        <f>'Parameter Input'!G63</f>
        <v>0.4</v>
      </c>
      <c r="Q348" s="4">
        <f t="shared" si="238"/>
        <v>0.9867978615748374</v>
      </c>
      <c r="R348" s="4">
        <f t="shared" si="238"/>
        <v>0.98114509762858249</v>
      </c>
      <c r="S348" s="4">
        <f t="shared" si="238"/>
        <v>0.97311898315872036</v>
      </c>
      <c r="T348" s="4">
        <f t="shared" si="238"/>
        <v>0.96177484161592774</v>
      </c>
      <c r="U348" s="4">
        <f t="shared" si="238"/>
        <v>0.94584787155511363</v>
      </c>
      <c r="V348" s="4">
        <f t="shared" si="238"/>
        <v>0.92370360150141495</v>
      </c>
      <c r="W348" s="4">
        <f t="shared" si="238"/>
        <v>0.89334463567658451</v>
      </c>
      <c r="X348" s="4">
        <f t="shared" si="238"/>
        <v>0.85254543874327005</v>
      </c>
      <c r="Y348" s="4">
        <f t="shared" si="238"/>
        <v>0.79921300652623883</v>
      </c>
      <c r="Z348" s="4">
        <f t="shared" si="238"/>
        <v>0.73204982249993378</v>
      </c>
      <c r="AA348" s="4">
        <f t="shared" si="238"/>
        <v>0.65145592958786691</v>
      </c>
      <c r="AB348" s="4">
        <f t="shared" si="238"/>
        <v>0.56032247880849573</v>
      </c>
      <c r="AC348" s="4">
        <f t="shared" si="238"/>
        <v>0.46411326873185343</v>
      </c>
      <c r="AD348" s="4">
        <f t="shared" si="238"/>
        <v>0.36979727595523937</v>
      </c>
      <c r="AE348" s="4">
        <f t="shared" si="238"/>
        <v>0.28393948637231203</v>
      </c>
      <c r="AF348" s="4">
        <f t="shared" si="238"/>
        <v>0.21097259161117732</v>
      </c>
      <c r="AG348" s="4">
        <f t="shared" si="235"/>
        <v>0.15253917653798199</v>
      </c>
      <c r="AH348" s="4">
        <f t="shared" si="235"/>
        <v>0.10795188737709993</v>
      </c>
      <c r="AI348" s="4">
        <f t="shared" si="235"/>
        <v>7.5176653938091809E-2</v>
      </c>
      <c r="AJ348" s="4">
        <f t="shared" si="236"/>
        <v>5.1742836177502194E-2</v>
      </c>
      <c r="AK348" s="4">
        <f t="shared" si="236"/>
        <v>3.5319190625345942E-2</v>
      </c>
      <c r="AL348" s="4">
        <f t="shared" si="236"/>
        <v>2.3969442072658165E-2</v>
      </c>
      <c r="AM348" s="4">
        <f t="shared" si="236"/>
        <v>1.6202243558389728E-2</v>
      </c>
      <c r="AN348" s="4">
        <f t="shared" si="236"/>
        <v>1.0922240564108399E-2</v>
      </c>
      <c r="AO348" s="4">
        <f t="shared" si="236"/>
        <v>7.3493212906090566E-3</v>
      </c>
      <c r="AP348" s="4">
        <f t="shared" si="236"/>
        <v>4.9390262185057265E-3</v>
      </c>
      <c r="AQ348" s="4">
        <f t="shared" si="236"/>
        <v>3.3164275492956197E-3</v>
      </c>
      <c r="AR348" s="4">
        <f t="shared" si="236"/>
        <v>2.2256362146679809E-3</v>
      </c>
    </row>
    <row r="349" spans="1:44" x14ac:dyDescent="0.25">
      <c r="A349" s="24" t="s">
        <v>73</v>
      </c>
      <c r="B349" s="72">
        <f>'Parameter Input'!$L$51</f>
        <v>0.05</v>
      </c>
      <c r="C349" s="73">
        <f>'Parameter Input'!$M$51</f>
        <v>0.02</v>
      </c>
      <c r="D349" s="1" t="s">
        <v>57</v>
      </c>
      <c r="L349" s="54">
        <f>'Parameter Input'!$O$51</f>
        <v>12</v>
      </c>
      <c r="M349" s="37">
        <v>0</v>
      </c>
      <c r="N349" s="37">
        <v>1</v>
      </c>
      <c r="O349" s="37">
        <f>'Parameter Input'!$P$51</f>
        <v>0.9</v>
      </c>
      <c r="P349" s="55">
        <f>'Parameter Input'!$Q$51</f>
        <v>0.4</v>
      </c>
      <c r="Q349" s="4">
        <f t="shared" si="238"/>
        <v>0.9867978615748374</v>
      </c>
      <c r="R349" s="4">
        <f t="shared" si="238"/>
        <v>0.98114509762858249</v>
      </c>
      <c r="S349" s="4">
        <f t="shared" si="238"/>
        <v>0.97311898315872036</v>
      </c>
      <c r="T349" s="4">
        <f t="shared" si="238"/>
        <v>0.96177484161592774</v>
      </c>
      <c r="U349" s="4">
        <f t="shared" si="238"/>
        <v>0.94584787155511363</v>
      </c>
      <c r="V349" s="4">
        <f t="shared" si="238"/>
        <v>0.92370360150141495</v>
      </c>
      <c r="W349" s="4">
        <f t="shared" si="238"/>
        <v>0.89334463567658451</v>
      </c>
      <c r="X349" s="4">
        <f t="shared" si="238"/>
        <v>0.85254543874327005</v>
      </c>
      <c r="Y349" s="4">
        <f t="shared" si="238"/>
        <v>0.79921300652623883</v>
      </c>
      <c r="Z349" s="4">
        <f t="shared" si="238"/>
        <v>0.73204982249993378</v>
      </c>
      <c r="AA349" s="4">
        <f t="shared" si="238"/>
        <v>0.65145592958786691</v>
      </c>
      <c r="AB349" s="4">
        <f t="shared" si="238"/>
        <v>0.56032247880849573</v>
      </c>
      <c r="AC349" s="4">
        <f t="shared" si="238"/>
        <v>0.46411326873185343</v>
      </c>
      <c r="AD349" s="4">
        <f t="shared" si="238"/>
        <v>0.36979727595523937</v>
      </c>
      <c r="AE349" s="4">
        <f t="shared" si="238"/>
        <v>0.28393948637231203</v>
      </c>
      <c r="AF349" s="4">
        <f t="shared" si="238"/>
        <v>0.21097259161117732</v>
      </c>
      <c r="AG349" s="4">
        <f t="shared" si="235"/>
        <v>0.15253917653798199</v>
      </c>
      <c r="AH349" s="4">
        <f t="shared" si="235"/>
        <v>0.10795188737709993</v>
      </c>
      <c r="AI349" s="4">
        <f t="shared" si="235"/>
        <v>7.5176653938091809E-2</v>
      </c>
      <c r="AJ349" s="4">
        <f t="shared" si="236"/>
        <v>5.1742836177502194E-2</v>
      </c>
      <c r="AK349" s="4">
        <f t="shared" si="236"/>
        <v>3.5319190625345942E-2</v>
      </c>
      <c r="AL349" s="4">
        <f t="shared" si="236"/>
        <v>2.3969442072658165E-2</v>
      </c>
      <c r="AM349" s="4">
        <f t="shared" si="236"/>
        <v>1.6202243558389728E-2</v>
      </c>
      <c r="AN349" s="4">
        <f t="shared" si="236"/>
        <v>1.0922240564108399E-2</v>
      </c>
      <c r="AO349" s="4">
        <f t="shared" si="236"/>
        <v>7.3493212906090566E-3</v>
      </c>
      <c r="AP349" s="4">
        <f t="shared" si="236"/>
        <v>4.9390262185057265E-3</v>
      </c>
      <c r="AQ349" s="4">
        <f t="shared" si="236"/>
        <v>3.3164275492956197E-3</v>
      </c>
      <c r="AR349" s="4">
        <f t="shared" si="236"/>
        <v>2.2256362146679809E-3</v>
      </c>
    </row>
    <row r="350" spans="1:44" ht="15.75" thickBot="1" x14ac:dyDescent="0.3">
      <c r="A350" s="24" t="s">
        <v>64</v>
      </c>
      <c r="B350" s="49">
        <f>'Parameter Input'!B64</f>
        <v>78000</v>
      </c>
      <c r="C350" s="50">
        <f>'Parameter Input'!C64</f>
        <v>78000</v>
      </c>
      <c r="D350" s="1" t="s">
        <v>65</v>
      </c>
      <c r="L350" s="56">
        <f>'Parameter Input'!E64</f>
        <v>12</v>
      </c>
      <c r="M350" s="57">
        <v>0</v>
      </c>
      <c r="N350" s="57">
        <v>1</v>
      </c>
      <c r="O350" s="57">
        <f>'Parameter Input'!F64</f>
        <v>0.9</v>
      </c>
      <c r="P350" s="58">
        <f>'Parameter Input'!G64</f>
        <v>0.4</v>
      </c>
      <c r="Q350" s="4">
        <f t="shared" si="238"/>
        <v>0.9867978615748374</v>
      </c>
      <c r="R350" s="4">
        <f t="shared" si="238"/>
        <v>0.98114509762858249</v>
      </c>
      <c r="S350" s="4">
        <f t="shared" si="238"/>
        <v>0.97311898315872036</v>
      </c>
      <c r="T350" s="4">
        <f t="shared" si="238"/>
        <v>0.96177484161592774</v>
      </c>
      <c r="U350" s="4">
        <f t="shared" si="238"/>
        <v>0.94584787155511363</v>
      </c>
      <c r="V350" s="4">
        <f t="shared" si="238"/>
        <v>0.92370360150141495</v>
      </c>
      <c r="W350" s="4">
        <f t="shared" si="238"/>
        <v>0.89334463567658451</v>
      </c>
      <c r="X350" s="4">
        <f t="shared" si="238"/>
        <v>0.85254543874327005</v>
      </c>
      <c r="Y350" s="4">
        <f t="shared" si="238"/>
        <v>0.79921300652623883</v>
      </c>
      <c r="Z350" s="4">
        <f t="shared" si="238"/>
        <v>0.73204982249993378</v>
      </c>
      <c r="AA350" s="4">
        <f t="shared" si="238"/>
        <v>0.65145592958786691</v>
      </c>
      <c r="AB350" s="4">
        <f t="shared" si="238"/>
        <v>0.56032247880849573</v>
      </c>
      <c r="AC350" s="4">
        <f t="shared" si="238"/>
        <v>0.46411326873185343</v>
      </c>
      <c r="AD350" s="4">
        <f t="shared" si="238"/>
        <v>0.36979727595523937</v>
      </c>
      <c r="AE350" s="4">
        <f t="shared" si="238"/>
        <v>0.28393948637231203</v>
      </c>
      <c r="AF350" s="4">
        <f t="shared" si="238"/>
        <v>0.21097259161117732</v>
      </c>
      <c r="AG350" s="4">
        <f t="shared" si="235"/>
        <v>0.15253917653798199</v>
      </c>
      <c r="AH350" s="4">
        <f t="shared" si="235"/>
        <v>0.10795188737709993</v>
      </c>
      <c r="AI350" s="4">
        <f t="shared" si="235"/>
        <v>7.5176653938091809E-2</v>
      </c>
      <c r="AJ350" s="4">
        <f t="shared" si="236"/>
        <v>5.1742836177502194E-2</v>
      </c>
      <c r="AK350" s="4">
        <f t="shared" si="236"/>
        <v>3.5319190625345942E-2</v>
      </c>
      <c r="AL350" s="4">
        <f t="shared" si="236"/>
        <v>2.3969442072658165E-2</v>
      </c>
      <c r="AM350" s="4">
        <f t="shared" si="236"/>
        <v>1.6202243558389728E-2</v>
      </c>
      <c r="AN350" s="4">
        <f t="shared" si="236"/>
        <v>1.0922240564108399E-2</v>
      </c>
      <c r="AO350" s="4">
        <f t="shared" si="236"/>
        <v>7.3493212906090566E-3</v>
      </c>
      <c r="AP350" s="4">
        <f t="shared" si="236"/>
        <v>4.9390262185057265E-3</v>
      </c>
      <c r="AQ350" s="4">
        <f t="shared" si="236"/>
        <v>3.3164275492956197E-3</v>
      </c>
      <c r="AR350" s="4">
        <f t="shared" si="236"/>
        <v>2.2256362146679809E-3</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39">A334</f>
        <v>Capex vehicle</v>
      </c>
      <c r="B354" s="62">
        <f t="shared" ref="B354:B363" si="240">$B334+($C334-$B334)*(1-Q334)</f>
        <v>381017.08777974301</v>
      </c>
      <c r="C354" s="62">
        <f t="shared" ref="C354:C363" si="241">$B334+($C334-$B334)*(1-R334)</f>
        <v>377274.24981545168</v>
      </c>
      <c r="D354" s="62">
        <f t="shared" ref="D354:D363" si="242">$B334+($C334-$B334)*(1-S334)</f>
        <v>372070.34635283251</v>
      </c>
      <c r="E354" s="62">
        <f t="shared" ref="E354:E363" si="243">$B334+($C334-$B334)*(1-T334)</f>
        <v>364935.98938399734</v>
      </c>
      <c r="F354" s="62">
        <f t="shared" ref="F354:F363" si="244">$B334+($C334-$B334)*(1-U334)</f>
        <v>355348.17810466845</v>
      </c>
      <c r="G354" s="62">
        <f t="shared" ref="G354:G363" si="245">$B334+($C334-$B334)*(1-V334)</f>
        <v>342815.05653366609</v>
      </c>
      <c r="H354" s="62">
        <f t="shared" ref="H354:H363" si="246">$B334+($C334-$B334)*(1-W334)</f>
        <v>327031.70828748442</v>
      </c>
      <c r="I354" s="62">
        <f t="shared" ref="I354:I363" si="247">$B334+($C334-$B334)*(1-X334)</f>
        <v>308092.14345314872</v>
      </c>
      <c r="J354" s="62">
        <f t="shared" ref="J354:J363" si="248">$B334+($C334-$B334)*(1-Y334)</f>
        <v>286675.78251999652</v>
      </c>
      <c r="K354" s="62">
        <f t="shared" ref="K354:K363" si="249">$B334+($C334-$B334)*(1-Z334)</f>
        <v>264066.61815198557</v>
      </c>
      <c r="L354" s="62">
        <f t="shared" ref="L354:L363" si="250">$B334+($C334-$B334)*(1-AA334)</f>
        <v>241902.35984948126</v>
      </c>
      <c r="M354" s="62">
        <f t="shared" ref="M354:M363" si="251">$B334+($C334-$B334)*(1-AB334)</f>
        <v>221725.77929749334</v>
      </c>
      <c r="N354" s="62">
        <f t="shared" ref="N354:N363" si="252">$B334+($C334-$B334)*(1-AC334)</f>
        <v>204578.55902862668</v>
      </c>
      <c r="O354" s="62">
        <f t="shared" ref="O354:O363" si="253">$B334+($C334-$B334)*(1-AD334)</f>
        <v>190846.70648642577</v>
      </c>
      <c r="P354" s="62">
        <f t="shared" ref="P354:P363" si="254">$B334+($C334-$B334)*(1-AE334)</f>
        <v>180368.6935336185</v>
      </c>
      <c r="Q354" s="62">
        <f t="shared" ref="Q354:Q363" si="255">$B334+($C334-$B334)*(1-AF334)</f>
        <v>172666.51367545157</v>
      </c>
      <c r="R354" s="62">
        <f t="shared" ref="R354:R363" si="256">$B334+($C334-$B334)*(1-AG334)</f>
        <v>167159.56650171301</v>
      </c>
      <c r="S354" s="62">
        <f t="shared" ref="S354:S363" si="257">$B334+($C334-$B334)*(1-AH334)</f>
        <v>163300.00979695629</v>
      </c>
      <c r="T354" s="62">
        <f t="shared" ref="T354:T363" si="258">$B334+($C334-$B334)*(1-AI334)</f>
        <v>160632.81888707468</v>
      </c>
      <c r="U354" s="62">
        <f t="shared" ref="U354:U363" si="259">$B334+($C334-$B334)*(1-AJ334)</f>
        <v>158807.52723622159</v>
      </c>
      <c r="V354" s="62">
        <f t="shared" ref="V354:V363" si="260">$B334+($C334-$B334)*(1-AK334)</f>
        <v>157566.72653256549</v>
      </c>
      <c r="W354" s="62">
        <f t="shared" ref="W354:W363" si="261">$B334+($C334-$B334)*(1-AL334)</f>
        <v>156727.09050329312</v>
      </c>
      <c r="X354" s="62">
        <f t="shared" ref="X354:X363" si="262">$B334+($C334-$B334)*(1-AM334)</f>
        <v>156160.67116134884</v>
      </c>
      <c r="Y354" s="62">
        <f t="shared" ref="Y354:Y363" si="263">$B334+($C334-$B334)*(1-AN334)</f>
        <v>155779.36047408447</v>
      </c>
      <c r="Z354" s="62">
        <f t="shared" ref="Z354:Z363" si="264">$B334+($C334-$B334)*(1-AO334)</f>
        <v>155523.02451044696</v>
      </c>
      <c r="AA354" s="62">
        <f t="shared" ref="AA354:AA363" si="265">$B334+($C334-$B334)*(1-AP334)</f>
        <v>155350.86554456307</v>
      </c>
      <c r="AB354" s="62">
        <f t="shared" ref="AB354:AB363" si="266">$B334+($C334-$B334)*(1-AQ334)</f>
        <v>155235.31446535516</v>
      </c>
      <c r="AC354" s="62">
        <f t="shared" ref="AC354:AC363" si="267">$B334+($C334-$B334)*(1-AR334)</f>
        <v>155157.7909855787</v>
      </c>
    </row>
    <row r="355" spans="1:29" x14ac:dyDescent="0.25">
      <c r="A355" s="30" t="str">
        <f t="shared" si="239"/>
        <v>Residual value (vehicle)</v>
      </c>
      <c r="B355" s="62">
        <f t="shared" si="240"/>
        <v>-57745.053121914571</v>
      </c>
      <c r="C355" s="62">
        <f t="shared" si="241"/>
        <v>-57430.49546321349</v>
      </c>
      <c r="D355" s="62">
        <f t="shared" si="242"/>
        <v>-56993.146129652945</v>
      </c>
      <c r="E355" s="62">
        <f t="shared" si="243"/>
        <v>-56393.556554612544</v>
      </c>
      <c r="F355" s="62">
        <f t="shared" si="244"/>
        <v>-55587.772415179585</v>
      </c>
      <c r="G355" s="62">
        <f t="shared" si="245"/>
        <v>-54534.456878893216</v>
      </c>
      <c r="H355" s="62">
        <f t="shared" si="246"/>
        <v>-53207.983994373695</v>
      </c>
      <c r="I355" s="62">
        <f t="shared" si="247"/>
        <v>-51616.254609360374</v>
      </c>
      <c r="J355" s="62">
        <f t="shared" si="248"/>
        <v>-49816.368956467792</v>
      </c>
      <c r="K355" s="62">
        <f t="shared" si="249"/>
        <v>-47916.237057454106</v>
      </c>
      <c r="L355" s="62">
        <f t="shared" si="250"/>
        <v>-46053.49620011598</v>
      </c>
      <c r="M355" s="62">
        <f t="shared" si="251"/>
        <v>-44357.804855853159</v>
      </c>
      <c r="N355" s="62">
        <f t="shared" si="252"/>
        <v>-42916.708684320751</v>
      </c>
      <c r="O355" s="62">
        <f t="shared" si="253"/>
        <v>-41762.648736625146</v>
      </c>
      <c r="P355" s="62">
        <f t="shared" si="254"/>
        <v>-40882.049775697727</v>
      </c>
      <c r="Q355" s="62">
        <f t="shared" si="255"/>
        <v>-40234.73891527731</v>
      </c>
      <c r="R355" s="62">
        <f t="shared" si="256"/>
        <v>-39771.921014505671</v>
      </c>
      <c r="S355" s="62">
        <f t="shared" si="257"/>
        <v>-39447.554014850582</v>
      </c>
      <c r="T355" s="62">
        <f t="shared" si="258"/>
        <v>-39223.396480935</v>
      </c>
      <c r="U355" s="62">
        <f t="shared" si="259"/>
        <v>-39069.994310278198</v>
      </c>
      <c r="V355" s="62">
        <f t="shared" si="260"/>
        <v>-38965.714251141137</v>
      </c>
      <c r="W355" s="62">
        <f t="shared" si="261"/>
        <v>-38895.149095489527</v>
      </c>
      <c r="X355" s="62">
        <f t="shared" si="262"/>
        <v>-38847.545767815493</v>
      </c>
      <c r="Y355" s="62">
        <f t="shared" si="263"/>
        <v>-38815.49944409859</v>
      </c>
      <c r="Z355" s="62">
        <f t="shared" si="264"/>
        <v>-38793.956315239688</v>
      </c>
      <c r="AA355" s="62">
        <f t="shared" si="265"/>
        <v>-38779.487636192003</v>
      </c>
      <c r="AB355" s="62">
        <f t="shared" si="266"/>
        <v>-38769.776428471334</v>
      </c>
      <c r="AC355" s="62">
        <f t="shared" si="267"/>
        <v>-38763.261157298635</v>
      </c>
    </row>
    <row r="356" spans="1:29" x14ac:dyDescent="0.25">
      <c r="A356" s="30" t="str">
        <f t="shared" si="239"/>
        <v>Capex costumization</v>
      </c>
      <c r="B356" s="62">
        <f t="shared" si="240"/>
        <v>40000</v>
      </c>
      <c r="C356" s="62">
        <f t="shared" si="241"/>
        <v>40000</v>
      </c>
      <c r="D356" s="62">
        <f t="shared" si="242"/>
        <v>40000</v>
      </c>
      <c r="E356" s="62">
        <f t="shared" si="243"/>
        <v>40000</v>
      </c>
      <c r="F356" s="62">
        <f t="shared" si="244"/>
        <v>40000</v>
      </c>
      <c r="G356" s="62">
        <f t="shared" si="245"/>
        <v>40000</v>
      </c>
      <c r="H356" s="62">
        <f t="shared" si="246"/>
        <v>40000</v>
      </c>
      <c r="I356" s="62">
        <f t="shared" si="247"/>
        <v>40000</v>
      </c>
      <c r="J356" s="62">
        <f t="shared" si="248"/>
        <v>40000</v>
      </c>
      <c r="K356" s="62">
        <f t="shared" si="249"/>
        <v>40000</v>
      </c>
      <c r="L356" s="62">
        <f t="shared" si="250"/>
        <v>40000</v>
      </c>
      <c r="M356" s="62">
        <f t="shared" si="251"/>
        <v>40000</v>
      </c>
      <c r="N356" s="62">
        <f t="shared" si="252"/>
        <v>40000</v>
      </c>
      <c r="O356" s="62">
        <f t="shared" si="253"/>
        <v>40000</v>
      </c>
      <c r="P356" s="62">
        <f t="shared" si="254"/>
        <v>40000</v>
      </c>
      <c r="Q356" s="62">
        <f t="shared" si="255"/>
        <v>40000</v>
      </c>
      <c r="R356" s="62">
        <f t="shared" si="256"/>
        <v>40000</v>
      </c>
      <c r="S356" s="62">
        <f t="shared" si="257"/>
        <v>40000</v>
      </c>
      <c r="T356" s="62">
        <f t="shared" si="258"/>
        <v>40000</v>
      </c>
      <c r="U356" s="62">
        <f t="shared" si="259"/>
        <v>40000</v>
      </c>
      <c r="V356" s="62">
        <f t="shared" si="260"/>
        <v>40000</v>
      </c>
      <c r="W356" s="62">
        <f t="shared" si="261"/>
        <v>40000</v>
      </c>
      <c r="X356" s="62">
        <f t="shared" si="262"/>
        <v>40000</v>
      </c>
      <c r="Y356" s="62">
        <f t="shared" si="263"/>
        <v>40000</v>
      </c>
      <c r="Z356" s="62">
        <f t="shared" si="264"/>
        <v>40000</v>
      </c>
      <c r="AA356" s="62">
        <f t="shared" si="265"/>
        <v>40000</v>
      </c>
      <c r="AB356" s="62">
        <f t="shared" si="266"/>
        <v>40000</v>
      </c>
      <c r="AC356" s="62">
        <f t="shared" si="267"/>
        <v>40000</v>
      </c>
    </row>
    <row r="357" spans="1:29" x14ac:dyDescent="0.25">
      <c r="A357" s="30" t="str">
        <f t="shared" si="239"/>
        <v>Residual value (costumization)</v>
      </c>
      <c r="B357" s="62">
        <f t="shared" si="240"/>
        <v>-10000</v>
      </c>
      <c r="C357" s="62">
        <f t="shared" si="241"/>
        <v>-10000</v>
      </c>
      <c r="D357" s="62">
        <f t="shared" si="242"/>
        <v>-10000</v>
      </c>
      <c r="E357" s="62">
        <f t="shared" si="243"/>
        <v>-10000</v>
      </c>
      <c r="F357" s="62">
        <f t="shared" si="244"/>
        <v>-10000</v>
      </c>
      <c r="G357" s="62">
        <f t="shared" si="245"/>
        <v>-10000</v>
      </c>
      <c r="H357" s="62">
        <f t="shared" si="246"/>
        <v>-10000</v>
      </c>
      <c r="I357" s="62">
        <f t="shared" si="247"/>
        <v>-10000</v>
      </c>
      <c r="J357" s="62">
        <f t="shared" si="248"/>
        <v>-10000</v>
      </c>
      <c r="K357" s="62">
        <f t="shared" si="249"/>
        <v>-10000</v>
      </c>
      <c r="L357" s="62">
        <f t="shared" si="250"/>
        <v>-10000</v>
      </c>
      <c r="M357" s="62">
        <f t="shared" si="251"/>
        <v>-10000</v>
      </c>
      <c r="N357" s="62">
        <f t="shared" si="252"/>
        <v>-10000</v>
      </c>
      <c r="O357" s="62">
        <f t="shared" si="253"/>
        <v>-10000</v>
      </c>
      <c r="P357" s="62">
        <f t="shared" si="254"/>
        <v>-10000</v>
      </c>
      <c r="Q357" s="62">
        <f t="shared" si="255"/>
        <v>-10000</v>
      </c>
      <c r="R357" s="62">
        <f t="shared" si="256"/>
        <v>-10000</v>
      </c>
      <c r="S357" s="62">
        <f t="shared" si="257"/>
        <v>-10000</v>
      </c>
      <c r="T357" s="62">
        <f t="shared" si="258"/>
        <v>-10000</v>
      </c>
      <c r="U357" s="62">
        <f t="shared" si="259"/>
        <v>-10000</v>
      </c>
      <c r="V357" s="62">
        <f t="shared" si="260"/>
        <v>-10000</v>
      </c>
      <c r="W357" s="62">
        <f t="shared" si="261"/>
        <v>-10000</v>
      </c>
      <c r="X357" s="62">
        <f t="shared" si="262"/>
        <v>-10000</v>
      </c>
      <c r="Y357" s="62">
        <f t="shared" si="263"/>
        <v>-10000</v>
      </c>
      <c r="Z357" s="62">
        <f t="shared" si="264"/>
        <v>-10000</v>
      </c>
      <c r="AA357" s="62">
        <f t="shared" si="265"/>
        <v>-10000</v>
      </c>
      <c r="AB357" s="62">
        <f t="shared" si="266"/>
        <v>-10000</v>
      </c>
      <c r="AC357" s="62">
        <f t="shared" si="267"/>
        <v>-10000</v>
      </c>
    </row>
    <row r="358" spans="1:29" x14ac:dyDescent="0.25">
      <c r="A358" s="30" t="str">
        <f t="shared" si="239"/>
        <v>WACC</v>
      </c>
      <c r="B358" s="62">
        <f t="shared" si="240"/>
        <v>0.06</v>
      </c>
      <c r="C358" s="62">
        <f t="shared" si="241"/>
        <v>0.06</v>
      </c>
      <c r="D358" s="62">
        <f t="shared" si="242"/>
        <v>0.06</v>
      </c>
      <c r="E358" s="62">
        <f t="shared" si="243"/>
        <v>0.06</v>
      </c>
      <c r="F358" s="62">
        <f t="shared" si="244"/>
        <v>0.06</v>
      </c>
      <c r="G358" s="62">
        <f t="shared" si="245"/>
        <v>0.06</v>
      </c>
      <c r="H358" s="62">
        <f t="shared" si="246"/>
        <v>0.06</v>
      </c>
      <c r="I358" s="62">
        <f t="shared" si="247"/>
        <v>0.06</v>
      </c>
      <c r="J358" s="62">
        <f t="shared" si="248"/>
        <v>0.06</v>
      </c>
      <c r="K358" s="62">
        <f t="shared" si="249"/>
        <v>0.06</v>
      </c>
      <c r="L358" s="62">
        <f t="shared" si="250"/>
        <v>0.06</v>
      </c>
      <c r="M358" s="62">
        <f t="shared" si="251"/>
        <v>0.06</v>
      </c>
      <c r="N358" s="62">
        <f t="shared" si="252"/>
        <v>0.06</v>
      </c>
      <c r="O358" s="62">
        <f t="shared" si="253"/>
        <v>0.06</v>
      </c>
      <c r="P358" s="62">
        <f t="shared" si="254"/>
        <v>0.06</v>
      </c>
      <c r="Q358" s="62">
        <f t="shared" si="255"/>
        <v>0.06</v>
      </c>
      <c r="R358" s="62">
        <f t="shared" si="256"/>
        <v>0.06</v>
      </c>
      <c r="S358" s="62">
        <f t="shared" si="257"/>
        <v>0.06</v>
      </c>
      <c r="T358" s="62">
        <f t="shared" si="258"/>
        <v>0.06</v>
      </c>
      <c r="U358" s="62">
        <f t="shared" si="259"/>
        <v>0.06</v>
      </c>
      <c r="V358" s="62">
        <f t="shared" si="260"/>
        <v>0.06</v>
      </c>
      <c r="W358" s="62">
        <f t="shared" si="261"/>
        <v>0.06</v>
      </c>
      <c r="X358" s="62">
        <f t="shared" si="262"/>
        <v>0.06</v>
      </c>
      <c r="Y358" s="62">
        <f t="shared" si="263"/>
        <v>0.06</v>
      </c>
      <c r="Z358" s="62">
        <f t="shared" si="264"/>
        <v>0.06</v>
      </c>
      <c r="AA358" s="62">
        <f t="shared" si="265"/>
        <v>0.06</v>
      </c>
      <c r="AB358" s="62">
        <f t="shared" si="266"/>
        <v>0.06</v>
      </c>
      <c r="AC358" s="62">
        <f t="shared" si="267"/>
        <v>0.06</v>
      </c>
    </row>
    <row r="359" spans="1:29" x14ac:dyDescent="0.25">
      <c r="A359" s="30" t="str">
        <f t="shared" si="239"/>
        <v>Opex fix (admin, crew, insurance)</v>
      </c>
      <c r="B359" s="62">
        <f t="shared" si="240"/>
        <v>70000</v>
      </c>
      <c r="C359" s="62">
        <f t="shared" si="241"/>
        <v>70000</v>
      </c>
      <c r="D359" s="62">
        <f t="shared" si="242"/>
        <v>70000</v>
      </c>
      <c r="E359" s="62">
        <f t="shared" si="243"/>
        <v>70000</v>
      </c>
      <c r="F359" s="62">
        <f t="shared" si="244"/>
        <v>70000</v>
      </c>
      <c r="G359" s="62">
        <f t="shared" si="245"/>
        <v>70000</v>
      </c>
      <c r="H359" s="62">
        <f t="shared" si="246"/>
        <v>70000</v>
      </c>
      <c r="I359" s="62">
        <f t="shared" si="247"/>
        <v>70000</v>
      </c>
      <c r="J359" s="62">
        <f t="shared" si="248"/>
        <v>70000</v>
      </c>
      <c r="K359" s="62">
        <f t="shared" si="249"/>
        <v>70000</v>
      </c>
      <c r="L359" s="62">
        <f t="shared" si="250"/>
        <v>70000</v>
      </c>
      <c r="M359" s="62">
        <f t="shared" si="251"/>
        <v>70000</v>
      </c>
      <c r="N359" s="62">
        <f t="shared" si="252"/>
        <v>70000</v>
      </c>
      <c r="O359" s="62">
        <f t="shared" si="253"/>
        <v>70000</v>
      </c>
      <c r="P359" s="62">
        <f t="shared" si="254"/>
        <v>70000</v>
      </c>
      <c r="Q359" s="62">
        <f t="shared" si="255"/>
        <v>70000</v>
      </c>
      <c r="R359" s="62">
        <f t="shared" si="256"/>
        <v>70000</v>
      </c>
      <c r="S359" s="62">
        <f t="shared" si="257"/>
        <v>70000</v>
      </c>
      <c r="T359" s="62">
        <f t="shared" si="258"/>
        <v>70000</v>
      </c>
      <c r="U359" s="62">
        <f t="shared" si="259"/>
        <v>70000</v>
      </c>
      <c r="V359" s="62">
        <f t="shared" si="260"/>
        <v>70000</v>
      </c>
      <c r="W359" s="62">
        <f t="shared" si="261"/>
        <v>70000</v>
      </c>
      <c r="X359" s="62">
        <f t="shared" si="262"/>
        <v>70000</v>
      </c>
      <c r="Y359" s="62">
        <f t="shared" si="263"/>
        <v>70000</v>
      </c>
      <c r="Z359" s="62">
        <f t="shared" si="264"/>
        <v>70000</v>
      </c>
      <c r="AA359" s="62">
        <f t="shared" si="265"/>
        <v>70000</v>
      </c>
      <c r="AB359" s="62">
        <f t="shared" si="266"/>
        <v>70000</v>
      </c>
      <c r="AC359" s="62">
        <f t="shared" si="267"/>
        <v>70000</v>
      </c>
    </row>
    <row r="360" spans="1:29" x14ac:dyDescent="0.25">
      <c r="A360" s="30" t="str">
        <f t="shared" si="239"/>
        <v>Opex maintenance &amp; repair</v>
      </c>
      <c r="B360" s="62">
        <f t="shared" si="240"/>
        <v>25694.198732927423</v>
      </c>
      <c r="C360" s="62">
        <f t="shared" si="241"/>
        <v>25566.782972440909</v>
      </c>
      <c r="D360" s="62">
        <f t="shared" si="242"/>
        <v>25389.62881201132</v>
      </c>
      <c r="E360" s="62">
        <f t="shared" si="243"/>
        <v>25146.757085412675</v>
      </c>
      <c r="F360" s="62">
        <f t="shared" si="244"/>
        <v>24820.363509946161</v>
      </c>
      <c r="G360" s="62">
        <f t="shared" si="245"/>
        <v>24393.704052209912</v>
      </c>
      <c r="H360" s="62">
        <f t="shared" si="246"/>
        <v>23856.39857999947</v>
      </c>
      <c r="I360" s="62">
        <f t="shared" si="247"/>
        <v>23211.647436702937</v>
      </c>
      <c r="J360" s="62">
        <f t="shared" si="248"/>
        <v>22482.579830467967</v>
      </c>
      <c r="K360" s="62">
        <f t="shared" si="249"/>
        <v>21712.906149854825</v>
      </c>
      <c r="L360" s="62">
        <f t="shared" si="250"/>
        <v>20958.378207641916</v>
      </c>
      <c r="M360" s="62">
        <f t="shared" si="251"/>
        <v>20271.515890978495</v>
      </c>
      <c r="N360" s="62">
        <f t="shared" si="252"/>
        <v>19687.78073288942</v>
      </c>
      <c r="O360" s="62">
        <f t="shared" si="253"/>
        <v>19220.313412303854</v>
      </c>
      <c r="P360" s="62">
        <f t="shared" si="254"/>
        <v>18863.615099016799</v>
      </c>
      <c r="Q360" s="62">
        <f t="shared" si="255"/>
        <v>18601.413231504735</v>
      </c>
      <c r="R360" s="62">
        <f t="shared" si="256"/>
        <v>18413.942689420019</v>
      </c>
      <c r="S360" s="62">
        <f t="shared" si="257"/>
        <v>18282.553525002768</v>
      </c>
      <c r="T360" s="62">
        <f t="shared" si="258"/>
        <v>18191.755536581266</v>
      </c>
      <c r="U360" s="62">
        <f t="shared" si="259"/>
        <v>18129.617948467116</v>
      </c>
      <c r="V360" s="62">
        <f t="shared" si="260"/>
        <v>18087.377924512868</v>
      </c>
      <c r="W360" s="62">
        <f t="shared" si="261"/>
        <v>18058.794570324873</v>
      </c>
      <c r="X360" s="62">
        <f t="shared" si="262"/>
        <v>18039.512209748045</v>
      </c>
      <c r="Y360" s="62">
        <f t="shared" si="263"/>
        <v>18026.531420394364</v>
      </c>
      <c r="Z360" s="62">
        <f t="shared" si="264"/>
        <v>18017.805089717345</v>
      </c>
      <c r="AA360" s="62">
        <f t="shared" si="265"/>
        <v>18011.94435896385</v>
      </c>
      <c r="AB360" s="62">
        <f t="shared" si="266"/>
        <v>18008.010705203578</v>
      </c>
      <c r="AC360" s="62">
        <f t="shared" si="267"/>
        <v>18005.371608019701</v>
      </c>
    </row>
    <row r="361" spans="1:29" x14ac:dyDescent="0.25">
      <c r="A361" s="30" t="str">
        <f t="shared" si="239"/>
        <v>Opex var (mode-fees)</v>
      </c>
      <c r="B361" s="62">
        <f t="shared" si="240"/>
        <v>0.11</v>
      </c>
      <c r="C361" s="62">
        <f t="shared" si="241"/>
        <v>0.11</v>
      </c>
      <c r="D361" s="62">
        <f t="shared" si="242"/>
        <v>0.11</v>
      </c>
      <c r="E361" s="62">
        <f t="shared" si="243"/>
        <v>0.11</v>
      </c>
      <c r="F361" s="62">
        <f t="shared" si="244"/>
        <v>0.11</v>
      </c>
      <c r="G361" s="62">
        <f t="shared" si="245"/>
        <v>0.11</v>
      </c>
      <c r="H361" s="62">
        <f t="shared" si="246"/>
        <v>0.11</v>
      </c>
      <c r="I361" s="62">
        <f t="shared" si="247"/>
        <v>0.11</v>
      </c>
      <c r="J361" s="62">
        <f t="shared" si="248"/>
        <v>0.11</v>
      </c>
      <c r="K361" s="62">
        <f t="shared" si="249"/>
        <v>0.11</v>
      </c>
      <c r="L361" s="62">
        <f t="shared" si="250"/>
        <v>0.11</v>
      </c>
      <c r="M361" s="62">
        <f t="shared" si="251"/>
        <v>0.11</v>
      </c>
      <c r="N361" s="62">
        <f t="shared" si="252"/>
        <v>0.11</v>
      </c>
      <c r="O361" s="62">
        <f t="shared" si="253"/>
        <v>0.11</v>
      </c>
      <c r="P361" s="62">
        <f t="shared" si="254"/>
        <v>0.11</v>
      </c>
      <c r="Q361" s="62">
        <f t="shared" si="255"/>
        <v>0.11</v>
      </c>
      <c r="R361" s="62">
        <f t="shared" si="256"/>
        <v>0.11</v>
      </c>
      <c r="S361" s="62">
        <f t="shared" si="257"/>
        <v>0.11</v>
      </c>
      <c r="T361" s="62">
        <f t="shared" si="258"/>
        <v>0.11</v>
      </c>
      <c r="U361" s="62">
        <f t="shared" si="259"/>
        <v>0.11</v>
      </c>
      <c r="V361" s="62">
        <f t="shared" si="260"/>
        <v>0.11</v>
      </c>
      <c r="W361" s="62">
        <f t="shared" si="261"/>
        <v>0.11</v>
      </c>
      <c r="X361" s="62">
        <f t="shared" si="262"/>
        <v>0.11</v>
      </c>
      <c r="Y361" s="62">
        <f t="shared" si="263"/>
        <v>0.11</v>
      </c>
      <c r="Z361" s="62">
        <f t="shared" si="264"/>
        <v>0.11</v>
      </c>
      <c r="AA361" s="62">
        <f t="shared" si="265"/>
        <v>0.11</v>
      </c>
      <c r="AB361" s="62">
        <f t="shared" si="266"/>
        <v>0.11</v>
      </c>
      <c r="AC361" s="62">
        <f t="shared" si="267"/>
        <v>0.11</v>
      </c>
    </row>
    <row r="362" spans="1:29" x14ac:dyDescent="0.25">
      <c r="A362" s="30" t="str">
        <f t="shared" si="239"/>
        <v>Fuel Economy</v>
      </c>
      <c r="B362" s="62">
        <f t="shared" si="240"/>
        <v>2.5017133827957863</v>
      </c>
      <c r="C362" s="62">
        <f t="shared" si="241"/>
        <v>2.4899274249507841</v>
      </c>
      <c r="D362" s="62">
        <f t="shared" si="242"/>
        <v>2.473540665111047</v>
      </c>
      <c r="E362" s="62">
        <f t="shared" si="243"/>
        <v>2.4510750304006725</v>
      </c>
      <c r="F362" s="62">
        <f t="shared" si="244"/>
        <v>2.4208836246700196</v>
      </c>
      <c r="G362" s="62">
        <f t="shared" si="245"/>
        <v>2.3814176248294165</v>
      </c>
      <c r="H362" s="62">
        <f t="shared" si="246"/>
        <v>2.3317168686499508</v>
      </c>
      <c r="I362" s="62">
        <f t="shared" si="247"/>
        <v>2.2720773878950213</v>
      </c>
      <c r="J362" s="62">
        <f t="shared" si="248"/>
        <v>2.2046386343182869</v>
      </c>
      <c r="K362" s="62">
        <f t="shared" si="249"/>
        <v>2.1334438188615716</v>
      </c>
      <c r="L362" s="62">
        <f t="shared" si="250"/>
        <v>2.0636499842068772</v>
      </c>
      <c r="M362" s="62">
        <f t="shared" si="251"/>
        <v>2.0001152199155108</v>
      </c>
      <c r="N362" s="62">
        <f t="shared" si="252"/>
        <v>1.9461197177922713</v>
      </c>
      <c r="O362" s="62">
        <f t="shared" si="253"/>
        <v>1.9028789906381067</v>
      </c>
      <c r="P362" s="62">
        <f t="shared" si="254"/>
        <v>1.8698843966590539</v>
      </c>
      <c r="Q362" s="62">
        <f t="shared" si="255"/>
        <v>1.845630723914188</v>
      </c>
      <c r="R362" s="62">
        <f t="shared" si="256"/>
        <v>1.8282896987713517</v>
      </c>
      <c r="S362" s="62">
        <f t="shared" si="257"/>
        <v>1.816136201062756</v>
      </c>
      <c r="T362" s="62">
        <f t="shared" si="258"/>
        <v>1.8077373871337672</v>
      </c>
      <c r="U362" s="62">
        <f t="shared" si="259"/>
        <v>1.8019896602332084</v>
      </c>
      <c r="V362" s="62">
        <f t="shared" si="260"/>
        <v>1.7980824580174404</v>
      </c>
      <c r="W362" s="62">
        <f t="shared" si="261"/>
        <v>1.7954384977550508</v>
      </c>
      <c r="X362" s="62">
        <f t="shared" si="262"/>
        <v>1.7936548794016942</v>
      </c>
      <c r="Y362" s="62">
        <f t="shared" si="263"/>
        <v>1.7924541563864786</v>
      </c>
      <c r="Z362" s="62">
        <f t="shared" si="264"/>
        <v>1.7916469707988543</v>
      </c>
      <c r="AA362" s="62">
        <f t="shared" si="265"/>
        <v>1.791104853204156</v>
      </c>
      <c r="AB362" s="62">
        <f t="shared" si="266"/>
        <v>1.7907409902313312</v>
      </c>
      <c r="AC362" s="62">
        <f t="shared" si="267"/>
        <v>1.7904968737418223</v>
      </c>
    </row>
    <row r="363" spans="1:29" x14ac:dyDescent="0.25">
      <c r="A363" s="30" t="str">
        <f t="shared" si="239"/>
        <v>Fuel Cost</v>
      </c>
      <c r="B363" s="62">
        <f t="shared" si="240"/>
        <v>0.25254227914256844</v>
      </c>
      <c r="C363" s="62">
        <f t="shared" si="241"/>
        <v>0.25172282033513138</v>
      </c>
      <c r="D363" s="62">
        <f t="shared" si="242"/>
        <v>0.25055930629945611</v>
      </c>
      <c r="E363" s="62">
        <f t="shared" si="243"/>
        <v>0.24891479101658942</v>
      </c>
      <c r="F363" s="62">
        <f t="shared" si="244"/>
        <v>0.24660592122895794</v>
      </c>
      <c r="G363" s="62">
        <f t="shared" si="245"/>
        <v>0.24339575407846328</v>
      </c>
      <c r="H363" s="62">
        <f t="shared" si="246"/>
        <v>0.23899473500772708</v>
      </c>
      <c r="I363" s="62">
        <f t="shared" si="247"/>
        <v>0.23308023697079527</v>
      </c>
      <c r="J363" s="62">
        <f t="shared" si="248"/>
        <v>0.22534884543953543</v>
      </c>
      <c r="K363" s="62">
        <f t="shared" si="249"/>
        <v>0.21561246458069289</v>
      </c>
      <c r="L363" s="62">
        <f t="shared" si="250"/>
        <v>0.20392908703293811</v>
      </c>
      <c r="M363" s="62">
        <f t="shared" si="251"/>
        <v>0.19071783151204119</v>
      </c>
      <c r="N363" s="62">
        <f t="shared" si="252"/>
        <v>0.17677076326304775</v>
      </c>
      <c r="O363" s="62">
        <f t="shared" si="253"/>
        <v>0.16309814722993504</v>
      </c>
      <c r="P363" s="62">
        <f t="shared" si="254"/>
        <v>0.15065168342395555</v>
      </c>
      <c r="Q363" s="62">
        <f t="shared" si="255"/>
        <v>0.14007396159940294</v>
      </c>
      <c r="R363" s="62">
        <f t="shared" si="256"/>
        <v>0.13160310078058535</v>
      </c>
      <c r="S363" s="62">
        <f t="shared" si="257"/>
        <v>0.12513945801219511</v>
      </c>
      <c r="T363" s="62">
        <f t="shared" si="258"/>
        <v>0.1203881621925289</v>
      </c>
      <c r="U363" s="62">
        <f t="shared" si="259"/>
        <v>0.11699105441686944</v>
      </c>
      <c r="V363" s="62">
        <f t="shared" si="260"/>
        <v>0.11461018354982119</v>
      </c>
      <c r="W363" s="62">
        <f t="shared" si="261"/>
        <v>0.11296485544093068</v>
      </c>
      <c r="X363" s="62">
        <f t="shared" si="262"/>
        <v>0.11183887542617238</v>
      </c>
      <c r="Y363" s="62">
        <f t="shared" si="263"/>
        <v>0.11107345429801357</v>
      </c>
      <c r="Z363" s="62">
        <f t="shared" si="264"/>
        <v>0.11055550233773928</v>
      </c>
      <c r="AA363" s="62">
        <f t="shared" si="265"/>
        <v>0.11020609140458582</v>
      </c>
      <c r="AB363" s="62">
        <f t="shared" si="266"/>
        <v>0.10997086970011311</v>
      </c>
      <c r="AC363" s="62">
        <f t="shared" si="267"/>
        <v>0.10981274199926885</v>
      </c>
    </row>
    <row r="364" spans="1:29" x14ac:dyDescent="0.25">
      <c r="A364" s="30" t="str">
        <f t="shared" ref="A364" si="268">A344</f>
        <v>Emission Cost</v>
      </c>
      <c r="B364" s="66">
        <f>$B344+($C344-$B344)*(1-Q344)</f>
        <v>9.1045502411311718E-3</v>
      </c>
      <c r="C364" s="66">
        <f t="shared" ref="C364:AC364" si="269">$B344+($C344-$B344)*(1-R344)</f>
        <v>9.095880490962575E-3</v>
      </c>
      <c r="D364" s="66">
        <f t="shared" si="269"/>
        <v>9.0834699366993434E-3</v>
      </c>
      <c r="E364" s="66">
        <f t="shared" si="269"/>
        <v>9.0657157660766E-3</v>
      </c>
      <c r="F364" s="66">
        <f t="shared" si="269"/>
        <v>9.040341138604446E-3</v>
      </c>
      <c r="G364" s="66">
        <f t="shared" si="269"/>
        <v>9.0041260615172855E-3</v>
      </c>
      <c r="H364" s="66">
        <f t="shared" si="269"/>
        <v>8.9525469072142452E-3</v>
      </c>
      <c r="I364" s="66">
        <f t="shared" si="269"/>
        <v>8.8793119020679299E-3</v>
      </c>
      <c r="J364" s="66">
        <f t="shared" si="269"/>
        <v>8.7758012597282838E-3</v>
      </c>
      <c r="K364" s="66">
        <f t="shared" si="269"/>
        <v>8.630474185370102E-3</v>
      </c>
      <c r="L364" s="66">
        <f t="shared" si="269"/>
        <v>8.4284167966506146E-3</v>
      </c>
      <c r="M364" s="66">
        <f t="shared" si="269"/>
        <v>8.1514036756981448E-3</v>
      </c>
      <c r="N364" s="66">
        <f t="shared" si="269"/>
        <v>7.7791277246640009E-3</v>
      </c>
      <c r="O364" s="66">
        <f t="shared" si="269"/>
        <v>7.2924911382377788E-3</v>
      </c>
      <c r="P364" s="66">
        <f t="shared" si="269"/>
        <v>6.6796546098928378E-3</v>
      </c>
      <c r="Q364" s="66">
        <f t="shared" si="269"/>
        <v>5.9442683673542078E-3</v>
      </c>
      <c r="R364" s="66">
        <f t="shared" si="269"/>
        <v>5.1127129787673555E-3</v>
      </c>
      <c r="S364" s="66">
        <f t="shared" si="269"/>
        <v>4.2348433668221242E-3</v>
      </c>
      <c r="T364" s="66">
        <f t="shared" si="269"/>
        <v>3.3742485868309214E-3</v>
      </c>
      <c r="U364" s="66">
        <f t="shared" si="269"/>
        <v>2.5908314445053909E-3</v>
      </c>
      <c r="V364" s="66">
        <f t="shared" si="269"/>
        <v>1.9250384342751033E-3</v>
      </c>
      <c r="W364" s="66">
        <f t="shared" si="269"/>
        <v>1.3918574698531276E-3</v>
      </c>
      <c r="X364" s="66">
        <f t="shared" si="269"/>
        <v>9.8501672973924301E-4</v>
      </c>
      <c r="Y364" s="66">
        <f t="shared" si="269"/>
        <v>6.8595615708101458E-4</v>
      </c>
      <c r="Z364" s="66">
        <f t="shared" si="269"/>
        <v>4.7213217403930738E-4</v>
      </c>
      <c r="AA364" s="66">
        <f t="shared" si="269"/>
        <v>3.2227313937815624E-4</v>
      </c>
      <c r="AB364" s="66">
        <f t="shared" si="269"/>
        <v>2.1871133537117345E-4</v>
      </c>
      <c r="AC364" s="66">
        <f t="shared" si="269"/>
        <v>1.4783883220655276E-4</v>
      </c>
    </row>
    <row r="365" spans="1:29" x14ac:dyDescent="0.25">
      <c r="A365" s="30" t="str">
        <f>A345</f>
        <v>Lifetime vehicle</v>
      </c>
      <c r="B365" s="62">
        <f>$B345+($C345-$B345)*(1-Q345)</f>
        <v>8</v>
      </c>
      <c r="C365" s="62">
        <f t="shared" ref="C365:L367" si="270">$B345+($C345-$B345)*(1-R345)</f>
        <v>8</v>
      </c>
      <c r="D365" s="62">
        <f t="shared" si="270"/>
        <v>8</v>
      </c>
      <c r="E365" s="62">
        <f t="shared" si="270"/>
        <v>8</v>
      </c>
      <c r="F365" s="62">
        <f t="shared" si="270"/>
        <v>8</v>
      </c>
      <c r="G365" s="62">
        <f t="shared" si="270"/>
        <v>8</v>
      </c>
      <c r="H365" s="62">
        <f t="shared" si="270"/>
        <v>8</v>
      </c>
      <c r="I365" s="62">
        <f t="shared" si="270"/>
        <v>8</v>
      </c>
      <c r="J365" s="62">
        <f t="shared" si="270"/>
        <v>8</v>
      </c>
      <c r="K365" s="62">
        <f t="shared" si="270"/>
        <v>8</v>
      </c>
      <c r="L365" s="62">
        <f t="shared" si="270"/>
        <v>8</v>
      </c>
      <c r="M365" s="62">
        <f t="shared" ref="M365:V367" si="271">$B345+($C345-$B345)*(1-AB345)</f>
        <v>8</v>
      </c>
      <c r="N365" s="62">
        <f t="shared" si="271"/>
        <v>8</v>
      </c>
      <c r="O365" s="62">
        <f t="shared" si="271"/>
        <v>8</v>
      </c>
      <c r="P365" s="62">
        <f t="shared" si="271"/>
        <v>8</v>
      </c>
      <c r="Q365" s="62">
        <f t="shared" si="271"/>
        <v>8</v>
      </c>
      <c r="R365" s="62">
        <f t="shared" si="271"/>
        <v>8</v>
      </c>
      <c r="S365" s="62">
        <f t="shared" si="271"/>
        <v>8</v>
      </c>
      <c r="T365" s="62">
        <f t="shared" si="271"/>
        <v>8</v>
      </c>
      <c r="U365" s="62">
        <f t="shared" si="271"/>
        <v>8</v>
      </c>
      <c r="V365" s="62">
        <f t="shared" si="271"/>
        <v>8</v>
      </c>
      <c r="W365" s="62">
        <f t="shared" ref="W365:AC367" si="272">$B345+($C345-$B345)*(1-AL345)</f>
        <v>8</v>
      </c>
      <c r="X365" s="62">
        <f t="shared" si="272"/>
        <v>8</v>
      </c>
      <c r="Y365" s="62">
        <f t="shared" si="272"/>
        <v>8</v>
      </c>
      <c r="Z365" s="62">
        <f t="shared" si="272"/>
        <v>8</v>
      </c>
      <c r="AA365" s="62">
        <f t="shared" si="272"/>
        <v>8</v>
      </c>
      <c r="AB365" s="62">
        <f t="shared" si="272"/>
        <v>8</v>
      </c>
      <c r="AC365" s="62">
        <f t="shared" si="272"/>
        <v>8</v>
      </c>
    </row>
    <row r="366" spans="1:29" x14ac:dyDescent="0.25">
      <c r="A366" s="30" t="str">
        <f>A346</f>
        <v>Lifetime costumization</v>
      </c>
      <c r="B366" s="62">
        <f>$B346+($C346-$B346)*(1-Q346)</f>
        <v>10</v>
      </c>
      <c r="C366" s="62">
        <f t="shared" si="270"/>
        <v>10</v>
      </c>
      <c r="D366" s="62">
        <f t="shared" si="270"/>
        <v>10</v>
      </c>
      <c r="E366" s="62">
        <f t="shared" si="270"/>
        <v>10</v>
      </c>
      <c r="F366" s="62">
        <f t="shared" si="270"/>
        <v>10</v>
      </c>
      <c r="G366" s="62">
        <f t="shared" si="270"/>
        <v>10</v>
      </c>
      <c r="H366" s="62">
        <f t="shared" si="270"/>
        <v>10</v>
      </c>
      <c r="I366" s="62">
        <f t="shared" si="270"/>
        <v>10</v>
      </c>
      <c r="J366" s="62">
        <f t="shared" si="270"/>
        <v>10</v>
      </c>
      <c r="K366" s="62">
        <f t="shared" si="270"/>
        <v>10</v>
      </c>
      <c r="L366" s="62">
        <f t="shared" si="270"/>
        <v>10</v>
      </c>
      <c r="M366" s="62">
        <f t="shared" si="271"/>
        <v>10</v>
      </c>
      <c r="N366" s="62">
        <f t="shared" si="271"/>
        <v>10</v>
      </c>
      <c r="O366" s="62">
        <f t="shared" si="271"/>
        <v>10</v>
      </c>
      <c r="P366" s="62">
        <f t="shared" si="271"/>
        <v>10</v>
      </c>
      <c r="Q366" s="62">
        <f t="shared" si="271"/>
        <v>10</v>
      </c>
      <c r="R366" s="62">
        <f t="shared" si="271"/>
        <v>10</v>
      </c>
      <c r="S366" s="62">
        <f t="shared" si="271"/>
        <v>10</v>
      </c>
      <c r="T366" s="62">
        <f t="shared" si="271"/>
        <v>10</v>
      </c>
      <c r="U366" s="62">
        <f t="shared" si="271"/>
        <v>10</v>
      </c>
      <c r="V366" s="62">
        <f t="shared" si="271"/>
        <v>10</v>
      </c>
      <c r="W366" s="62">
        <f t="shared" si="272"/>
        <v>10</v>
      </c>
      <c r="X366" s="62">
        <f t="shared" si="272"/>
        <v>10</v>
      </c>
      <c r="Y366" s="62">
        <f t="shared" si="272"/>
        <v>10</v>
      </c>
      <c r="Z366" s="62">
        <f t="shared" si="272"/>
        <v>10</v>
      </c>
      <c r="AA366" s="62">
        <f t="shared" si="272"/>
        <v>10</v>
      </c>
      <c r="AB366" s="62">
        <f t="shared" si="272"/>
        <v>10</v>
      </c>
      <c r="AC366" s="62">
        <f t="shared" si="272"/>
        <v>10</v>
      </c>
    </row>
    <row r="367" spans="1:29" x14ac:dyDescent="0.25">
      <c r="A367" s="30" t="str">
        <f>A347</f>
        <v>Tonnage .</v>
      </c>
      <c r="B367" s="62">
        <f>$B347+($C347-$B347)*(1-Q347)</f>
        <v>25</v>
      </c>
      <c r="C367" s="62">
        <f t="shared" si="270"/>
        <v>25</v>
      </c>
      <c r="D367" s="62">
        <f t="shared" si="270"/>
        <v>25</v>
      </c>
      <c r="E367" s="62">
        <f t="shared" si="270"/>
        <v>25</v>
      </c>
      <c r="F367" s="62">
        <f t="shared" si="270"/>
        <v>25</v>
      </c>
      <c r="G367" s="62">
        <f t="shared" si="270"/>
        <v>25</v>
      </c>
      <c r="H367" s="62">
        <f t="shared" si="270"/>
        <v>25</v>
      </c>
      <c r="I367" s="62">
        <f t="shared" si="270"/>
        <v>25</v>
      </c>
      <c r="J367" s="62">
        <f t="shared" si="270"/>
        <v>25</v>
      </c>
      <c r="K367" s="62">
        <f t="shared" si="270"/>
        <v>25</v>
      </c>
      <c r="L367" s="62">
        <f t="shared" si="270"/>
        <v>25</v>
      </c>
      <c r="M367" s="62">
        <f t="shared" si="271"/>
        <v>25</v>
      </c>
      <c r="N367" s="62">
        <f t="shared" si="271"/>
        <v>25</v>
      </c>
      <c r="O367" s="62">
        <f t="shared" si="271"/>
        <v>25</v>
      </c>
      <c r="P367" s="62">
        <f t="shared" si="271"/>
        <v>25</v>
      </c>
      <c r="Q367" s="62">
        <f t="shared" si="271"/>
        <v>25</v>
      </c>
      <c r="R367" s="62">
        <f t="shared" si="271"/>
        <v>25</v>
      </c>
      <c r="S367" s="62">
        <f t="shared" si="271"/>
        <v>25</v>
      </c>
      <c r="T367" s="62">
        <f t="shared" si="271"/>
        <v>25</v>
      </c>
      <c r="U367" s="62">
        <f t="shared" si="271"/>
        <v>25</v>
      </c>
      <c r="V367" s="62">
        <f t="shared" si="271"/>
        <v>25</v>
      </c>
      <c r="W367" s="62">
        <f t="shared" si="272"/>
        <v>25</v>
      </c>
      <c r="X367" s="62">
        <f t="shared" si="272"/>
        <v>25</v>
      </c>
      <c r="Y367" s="62">
        <f t="shared" si="272"/>
        <v>25</v>
      </c>
      <c r="Z367" s="62">
        <f t="shared" si="272"/>
        <v>25</v>
      </c>
      <c r="AA367" s="62">
        <f t="shared" si="272"/>
        <v>25</v>
      </c>
      <c r="AB367" s="62">
        <f t="shared" si="272"/>
        <v>25</v>
      </c>
      <c r="AC367" s="62">
        <f t="shared" si="272"/>
        <v>25</v>
      </c>
    </row>
    <row r="368" spans="1:29" x14ac:dyDescent="0.25">
      <c r="A368" s="30" t="str">
        <f>A348</f>
        <v>Market failure (av. utilization)</v>
      </c>
      <c r="B368" s="62">
        <f t="shared" ref="B368:K369" si="273">($B348+($C348-$B348)*(1-Q348))*B$44</f>
        <v>15.333333333333336</v>
      </c>
      <c r="C368" s="62">
        <f t="shared" si="273"/>
        <v>15.333333333333336</v>
      </c>
      <c r="D368" s="62">
        <f t="shared" si="273"/>
        <v>15.333333333333336</v>
      </c>
      <c r="E368" s="62">
        <f t="shared" si="273"/>
        <v>15.333333333333336</v>
      </c>
      <c r="F368" s="62">
        <f t="shared" si="273"/>
        <v>15.333333333333336</v>
      </c>
      <c r="G368" s="62">
        <f t="shared" si="273"/>
        <v>15.333333333333336</v>
      </c>
      <c r="H368" s="62">
        <f t="shared" si="273"/>
        <v>15.333333333333336</v>
      </c>
      <c r="I368" s="62">
        <f t="shared" si="273"/>
        <v>15.333333333333336</v>
      </c>
      <c r="J368" s="62">
        <f t="shared" si="273"/>
        <v>15.333333333333336</v>
      </c>
      <c r="K368" s="62">
        <f t="shared" si="273"/>
        <v>15.333333333333336</v>
      </c>
      <c r="L368" s="62">
        <f t="shared" ref="L368:U369" si="274">($B348+($C348-$B348)*(1-AA348))*L$44</f>
        <v>15.333333333333336</v>
      </c>
      <c r="M368" s="62">
        <f t="shared" si="274"/>
        <v>15.333333333333336</v>
      </c>
      <c r="N368" s="62">
        <f t="shared" si="274"/>
        <v>15.333333333333336</v>
      </c>
      <c r="O368" s="62">
        <f t="shared" si="274"/>
        <v>15.333333333333336</v>
      </c>
      <c r="P368" s="62">
        <f t="shared" si="274"/>
        <v>15.333333333333336</v>
      </c>
      <c r="Q368" s="62">
        <f t="shared" si="274"/>
        <v>15.333333333333336</v>
      </c>
      <c r="R368" s="62">
        <f t="shared" si="274"/>
        <v>15.333333333333336</v>
      </c>
      <c r="S368" s="62">
        <f t="shared" si="274"/>
        <v>15.333333333333336</v>
      </c>
      <c r="T368" s="62">
        <f t="shared" si="274"/>
        <v>15.333333333333336</v>
      </c>
      <c r="U368" s="62">
        <f t="shared" si="274"/>
        <v>15.333333333333336</v>
      </c>
      <c r="V368" s="62">
        <f t="shared" ref="V368:AC369" si="275">($B348+($C348-$B348)*(1-AK348))*V$44</f>
        <v>15.333333333333336</v>
      </c>
      <c r="W368" s="62">
        <f t="shared" si="275"/>
        <v>15.333333333333336</v>
      </c>
      <c r="X368" s="62">
        <f t="shared" si="275"/>
        <v>15.333333333333336</v>
      </c>
      <c r="Y368" s="62">
        <f t="shared" si="275"/>
        <v>15.333333333333336</v>
      </c>
      <c r="Z368" s="62">
        <f t="shared" si="275"/>
        <v>15.333333333333336</v>
      </c>
      <c r="AA368" s="62">
        <f t="shared" si="275"/>
        <v>15.333333333333336</v>
      </c>
      <c r="AB368" s="62">
        <f t="shared" si="275"/>
        <v>15.333333333333336</v>
      </c>
      <c r="AC368" s="62">
        <f t="shared" si="275"/>
        <v>15.333333333333336</v>
      </c>
    </row>
    <row r="369" spans="1:29" x14ac:dyDescent="0.25">
      <c r="A369" s="30" t="s">
        <v>73</v>
      </c>
      <c r="B369" s="62">
        <f t="shared" si="273"/>
        <v>1.240098396181128</v>
      </c>
      <c r="C369" s="62">
        <f t="shared" si="273"/>
        <v>1.2358588232214369</v>
      </c>
      <c r="D369" s="62">
        <f t="shared" si="273"/>
        <v>1.2298392373690403</v>
      </c>
      <c r="E369" s="62">
        <f t="shared" si="273"/>
        <v>1.2213311312119457</v>
      </c>
      <c r="F369" s="62">
        <f t="shared" si="273"/>
        <v>1.2093859036663352</v>
      </c>
      <c r="G369" s="62">
        <f t="shared" si="273"/>
        <v>1.1927777011260612</v>
      </c>
      <c r="H369" s="62">
        <f t="shared" si="273"/>
        <v>1.1700084767574384</v>
      </c>
      <c r="I369" s="62">
        <f t="shared" si="273"/>
        <v>1.1394090790574525</v>
      </c>
      <c r="J369" s="62">
        <f t="shared" si="273"/>
        <v>1.0994097548946793</v>
      </c>
      <c r="K369" s="62">
        <f t="shared" si="273"/>
        <v>1.0490373668749504</v>
      </c>
      <c r="L369" s="62">
        <f t="shared" si="274"/>
        <v>0.98859194719090016</v>
      </c>
      <c r="M369" s="62">
        <f t="shared" si="274"/>
        <v>0.92024185910637191</v>
      </c>
      <c r="N369" s="62">
        <f t="shared" si="274"/>
        <v>0.84808495154888996</v>
      </c>
      <c r="O369" s="62">
        <f t="shared" si="274"/>
        <v>0.77734795696642955</v>
      </c>
      <c r="P369" s="62">
        <f t="shared" si="274"/>
        <v>0.71295461477923405</v>
      </c>
      <c r="Q369" s="62">
        <f t="shared" si="274"/>
        <v>0.65822944370838299</v>
      </c>
      <c r="R369" s="62">
        <f t="shared" si="274"/>
        <v>0.61440438240348649</v>
      </c>
      <c r="S369" s="62">
        <f t="shared" si="274"/>
        <v>0.580963915532825</v>
      </c>
      <c r="T369" s="62">
        <f t="shared" si="274"/>
        <v>0.55638249045356891</v>
      </c>
      <c r="U369" s="62">
        <f t="shared" si="274"/>
        <v>0.53880712713312673</v>
      </c>
      <c r="V369" s="62">
        <f t="shared" si="275"/>
        <v>0.52648939296900943</v>
      </c>
      <c r="W369" s="62">
        <f t="shared" si="275"/>
        <v>0.51797708155449362</v>
      </c>
      <c r="X369" s="62">
        <f t="shared" si="275"/>
        <v>0.5121516826687923</v>
      </c>
      <c r="Y369" s="62">
        <f t="shared" si="275"/>
        <v>0.50819168042308127</v>
      </c>
      <c r="Z369" s="62">
        <f t="shared" si="275"/>
        <v>0.50551199096795685</v>
      </c>
      <c r="AA369" s="62">
        <f t="shared" si="275"/>
        <v>0.50370426966387927</v>
      </c>
      <c r="AB369" s="62">
        <f t="shared" si="275"/>
        <v>0.50248732066197166</v>
      </c>
      <c r="AC369" s="62">
        <f t="shared" si="275"/>
        <v>0.50166922716100104</v>
      </c>
    </row>
    <row r="370" spans="1:29" x14ac:dyDescent="0.25">
      <c r="A370" s="30" t="str">
        <f>A350</f>
        <v>Annual Mileage</v>
      </c>
      <c r="B370" s="62">
        <f t="shared" ref="B370:AC370" si="276">$B350+($C350-$B350)*(1-Q350)</f>
        <v>78000</v>
      </c>
      <c r="C370" s="62">
        <f t="shared" si="276"/>
        <v>78000</v>
      </c>
      <c r="D370" s="62">
        <f t="shared" si="276"/>
        <v>78000</v>
      </c>
      <c r="E370" s="62">
        <f t="shared" si="276"/>
        <v>78000</v>
      </c>
      <c r="F370" s="62">
        <f t="shared" si="276"/>
        <v>78000</v>
      </c>
      <c r="G370" s="62">
        <f t="shared" si="276"/>
        <v>78000</v>
      </c>
      <c r="H370" s="62">
        <f t="shared" si="276"/>
        <v>78000</v>
      </c>
      <c r="I370" s="62">
        <f t="shared" si="276"/>
        <v>78000</v>
      </c>
      <c r="J370" s="62">
        <f t="shared" si="276"/>
        <v>78000</v>
      </c>
      <c r="K370" s="62">
        <f t="shared" si="276"/>
        <v>78000</v>
      </c>
      <c r="L370" s="62">
        <f t="shared" si="276"/>
        <v>78000</v>
      </c>
      <c r="M370" s="62">
        <f t="shared" si="276"/>
        <v>78000</v>
      </c>
      <c r="N370" s="62">
        <f t="shared" si="276"/>
        <v>78000</v>
      </c>
      <c r="O370" s="62">
        <f t="shared" si="276"/>
        <v>78000</v>
      </c>
      <c r="P370" s="62">
        <f t="shared" si="276"/>
        <v>78000</v>
      </c>
      <c r="Q370" s="62">
        <f t="shared" si="276"/>
        <v>78000</v>
      </c>
      <c r="R370" s="62">
        <f t="shared" si="276"/>
        <v>78000</v>
      </c>
      <c r="S370" s="62">
        <f t="shared" si="276"/>
        <v>78000</v>
      </c>
      <c r="T370" s="62">
        <f t="shared" si="276"/>
        <v>78000</v>
      </c>
      <c r="U370" s="62">
        <f t="shared" si="276"/>
        <v>78000</v>
      </c>
      <c r="V370" s="62">
        <f t="shared" si="276"/>
        <v>78000</v>
      </c>
      <c r="W370" s="62">
        <f t="shared" si="276"/>
        <v>78000</v>
      </c>
      <c r="X370" s="62">
        <f t="shared" si="276"/>
        <v>78000</v>
      </c>
      <c r="Y370" s="62">
        <f t="shared" si="276"/>
        <v>78000</v>
      </c>
      <c r="Z370" s="62">
        <f t="shared" si="276"/>
        <v>78000</v>
      </c>
      <c r="AA370" s="62">
        <f t="shared" si="276"/>
        <v>78000</v>
      </c>
      <c r="AB370" s="62">
        <f t="shared" si="276"/>
        <v>78000</v>
      </c>
      <c r="AC370" s="62">
        <f t="shared" si="276"/>
        <v>78000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61357.445895655808</v>
      </c>
      <c r="C373" s="63">
        <f t="shared" ref="C373:AC373" si="277">((1+C358)^C365)*C358/(((1+C358)^C365)-1)*(C354)</f>
        <v>60754.714455896952</v>
      </c>
      <c r="D373" s="63">
        <f t="shared" si="277"/>
        <v>59916.698956344211</v>
      </c>
      <c r="E373" s="63">
        <f t="shared" si="277"/>
        <v>58767.811056679595</v>
      </c>
      <c r="F373" s="63">
        <f t="shared" si="277"/>
        <v>57223.828829380502</v>
      </c>
      <c r="G373" s="63">
        <f t="shared" si="277"/>
        <v>55205.54578287054</v>
      </c>
      <c r="H373" s="63">
        <f t="shared" si="277"/>
        <v>52663.859419902983</v>
      </c>
      <c r="I373" s="63">
        <f t="shared" si="277"/>
        <v>49613.908743460379</v>
      </c>
      <c r="J373" s="63">
        <f t="shared" si="277"/>
        <v>46165.10487249765</v>
      </c>
      <c r="K373" s="63">
        <f t="shared" si="277"/>
        <v>42524.216776008514</v>
      </c>
      <c r="L373" s="63">
        <f t="shared" si="277"/>
        <v>38954.974547168116</v>
      </c>
      <c r="M373" s="63">
        <f t="shared" si="277"/>
        <v>35705.819878562834</v>
      </c>
      <c r="N373" s="63">
        <f t="shared" si="277"/>
        <v>32944.501098770794</v>
      </c>
      <c r="O373" s="63">
        <f t="shared" si="277"/>
        <v>30733.179280332359</v>
      </c>
      <c r="P373" s="63">
        <f t="shared" si="277"/>
        <v>29045.842587397736</v>
      </c>
      <c r="Q373" s="63">
        <f t="shared" si="277"/>
        <v>27805.514793492392</v>
      </c>
      <c r="R373" s="63">
        <f t="shared" si="277"/>
        <v>26918.698364255953</v>
      </c>
      <c r="S373" s="63">
        <f t="shared" si="277"/>
        <v>26297.171012101549</v>
      </c>
      <c r="T373" s="63">
        <f t="shared" si="277"/>
        <v>25867.657409706244</v>
      </c>
      <c r="U373" s="63">
        <f t="shared" si="277"/>
        <v>25573.719848103356</v>
      </c>
      <c r="V373" s="63">
        <f t="shared" si="277"/>
        <v>25373.906337151635</v>
      </c>
      <c r="W373" s="63">
        <f t="shared" si="277"/>
        <v>25238.694757696427</v>
      </c>
      <c r="X373" s="63">
        <f t="shared" si="277"/>
        <v>25147.480885032299</v>
      </c>
      <c r="Y373" s="63">
        <f t="shared" si="277"/>
        <v>25086.076159066874</v>
      </c>
      <c r="Z373" s="63">
        <f t="shared" si="277"/>
        <v>25044.796855527889</v>
      </c>
      <c r="AA373" s="63">
        <f t="shared" si="277"/>
        <v>25017.073074171451</v>
      </c>
      <c r="AB373" s="63">
        <f t="shared" si="277"/>
        <v>24998.465197207195</v>
      </c>
      <c r="AC373" s="63">
        <f t="shared" si="277"/>
        <v>24985.981130564032</v>
      </c>
    </row>
    <row r="374" spans="1:29" x14ac:dyDescent="0.25">
      <c r="A374" s="30" t="str">
        <f>A355</f>
        <v>Residual value (vehicle)</v>
      </c>
      <c r="B374" s="62">
        <f>((1+B358)^B365)*B358/(((1+B358)^B365)-1)*(B355)</f>
        <v>-9299.0290627537943</v>
      </c>
      <c r="C374" s="62">
        <f t="shared" ref="C374:AC374" si="278">((1+C358)^C365)*C358/(((1+C358)^C365)-1)*(C355)</f>
        <v>-9248.373973667678</v>
      </c>
      <c r="D374" s="62">
        <f t="shared" si="278"/>
        <v>-9177.9450114712236</v>
      </c>
      <c r="E374" s="62">
        <f t="shared" si="278"/>
        <v>-9081.3895390526031</v>
      </c>
      <c r="F374" s="62">
        <f t="shared" si="278"/>
        <v>-8951.6293305881045</v>
      </c>
      <c r="G374" s="62">
        <f t="shared" si="278"/>
        <v>-8782.0076702963088</v>
      </c>
      <c r="H374" s="62">
        <f t="shared" si="278"/>
        <v>-8568.3978589405251</v>
      </c>
      <c r="I374" s="62">
        <f t="shared" si="278"/>
        <v>-8312.0722169841792</v>
      </c>
      <c r="J374" s="62">
        <f t="shared" si="278"/>
        <v>-8022.2259342117786</v>
      </c>
      <c r="K374" s="62">
        <f t="shared" si="278"/>
        <v>-7716.2364026983305</v>
      </c>
      <c r="L374" s="62">
        <f t="shared" si="278"/>
        <v>-7416.2681728277021</v>
      </c>
      <c r="M374" s="62">
        <f t="shared" si="278"/>
        <v>-7143.2009187640651</v>
      </c>
      <c r="N374" s="62">
        <f t="shared" si="278"/>
        <v>-6911.1326383347341</v>
      </c>
      <c r="O374" s="62">
        <f t="shared" si="278"/>
        <v>-6725.2875067851219</v>
      </c>
      <c r="P374" s="62">
        <f t="shared" si="278"/>
        <v>-6583.4794230172129</v>
      </c>
      <c r="Q374" s="62">
        <f t="shared" si="278"/>
        <v>-6479.2391084230394</v>
      </c>
      <c r="R374" s="62">
        <f t="shared" si="278"/>
        <v>-6404.7087914978501</v>
      </c>
      <c r="S374" s="62">
        <f t="shared" si="278"/>
        <v>-6352.4740459444474</v>
      </c>
      <c r="T374" s="62">
        <f t="shared" si="278"/>
        <v>-6316.3766261686715</v>
      </c>
      <c r="U374" s="62">
        <f t="shared" si="278"/>
        <v>-6291.6733630126846</v>
      </c>
      <c r="V374" s="62">
        <f t="shared" si="278"/>
        <v>-6274.8805253901455</v>
      </c>
      <c r="W374" s="62">
        <f t="shared" si="278"/>
        <v>-6263.5169990316763</v>
      </c>
      <c r="X374" s="62">
        <f t="shared" si="278"/>
        <v>-6255.8511522865001</v>
      </c>
      <c r="Y374" s="62">
        <f t="shared" si="278"/>
        <v>-6250.6905423383423</v>
      </c>
      <c r="Z374" s="62">
        <f t="shared" si="278"/>
        <v>-6247.2213242749585</v>
      </c>
      <c r="AA374" s="62">
        <f t="shared" si="278"/>
        <v>-6244.8913469056415</v>
      </c>
      <c r="AB374" s="62">
        <f t="shared" si="278"/>
        <v>-6243.3274934160918</v>
      </c>
      <c r="AC374" s="62">
        <f t="shared" si="278"/>
        <v>-6242.278300581188</v>
      </c>
    </row>
    <row r="375" spans="1:29" x14ac:dyDescent="0.25">
      <c r="A375" s="30" t="str">
        <f>A356</f>
        <v>Capex costumization</v>
      </c>
      <c r="B375" s="62">
        <f>((1+B358)^B366)*B358/(((1+B358)^B366)-1)*(B356)</f>
        <v>5434.7183288153492</v>
      </c>
      <c r="C375" s="62">
        <f t="shared" ref="C375:AC375" si="279">((1+C358)^C366)*C358/(((1+C358)^C366)-1)*(C356)</f>
        <v>5434.7183288153492</v>
      </c>
      <c r="D375" s="62">
        <f t="shared" si="279"/>
        <v>5434.7183288153492</v>
      </c>
      <c r="E375" s="62">
        <f t="shared" si="279"/>
        <v>5434.7183288153492</v>
      </c>
      <c r="F375" s="62">
        <f t="shared" si="279"/>
        <v>5434.7183288153492</v>
      </c>
      <c r="G375" s="62">
        <f t="shared" si="279"/>
        <v>5434.7183288153492</v>
      </c>
      <c r="H375" s="62">
        <f t="shared" si="279"/>
        <v>5434.7183288153492</v>
      </c>
      <c r="I375" s="62">
        <f t="shared" si="279"/>
        <v>5434.7183288153492</v>
      </c>
      <c r="J375" s="62">
        <f t="shared" si="279"/>
        <v>5434.7183288153492</v>
      </c>
      <c r="K375" s="62">
        <f t="shared" si="279"/>
        <v>5434.7183288153492</v>
      </c>
      <c r="L375" s="62">
        <f t="shared" si="279"/>
        <v>5434.7183288153492</v>
      </c>
      <c r="M375" s="62">
        <f t="shared" si="279"/>
        <v>5434.7183288153492</v>
      </c>
      <c r="N375" s="62">
        <f t="shared" si="279"/>
        <v>5434.7183288153492</v>
      </c>
      <c r="O375" s="62">
        <f t="shared" si="279"/>
        <v>5434.7183288153492</v>
      </c>
      <c r="P375" s="62">
        <f t="shared" si="279"/>
        <v>5434.7183288153492</v>
      </c>
      <c r="Q375" s="62">
        <f t="shared" si="279"/>
        <v>5434.7183288153492</v>
      </c>
      <c r="R375" s="62">
        <f t="shared" si="279"/>
        <v>5434.7183288153492</v>
      </c>
      <c r="S375" s="62">
        <f t="shared" si="279"/>
        <v>5434.7183288153492</v>
      </c>
      <c r="T375" s="62">
        <f t="shared" si="279"/>
        <v>5434.7183288153492</v>
      </c>
      <c r="U375" s="62">
        <f t="shared" si="279"/>
        <v>5434.7183288153492</v>
      </c>
      <c r="V375" s="62">
        <f t="shared" si="279"/>
        <v>5434.7183288153492</v>
      </c>
      <c r="W375" s="62">
        <f t="shared" si="279"/>
        <v>5434.7183288153492</v>
      </c>
      <c r="X375" s="62">
        <f t="shared" si="279"/>
        <v>5434.7183288153492</v>
      </c>
      <c r="Y375" s="62">
        <f t="shared" si="279"/>
        <v>5434.7183288153492</v>
      </c>
      <c r="Z375" s="62">
        <f t="shared" si="279"/>
        <v>5434.7183288153492</v>
      </c>
      <c r="AA375" s="62">
        <f t="shared" si="279"/>
        <v>5434.7183288153492</v>
      </c>
      <c r="AB375" s="62">
        <f t="shared" si="279"/>
        <v>5434.7183288153492</v>
      </c>
      <c r="AC375" s="62">
        <f t="shared" si="279"/>
        <v>5434.7183288153492</v>
      </c>
    </row>
    <row r="376" spans="1:29" x14ac:dyDescent="0.25">
      <c r="A376" s="30" t="str">
        <f>A357</f>
        <v>Residual value (costumization)</v>
      </c>
      <c r="B376" s="62">
        <f>((1+B358)^B366)*B358/(((1+B358)^B366)-1)*(B357)</f>
        <v>-1358.6795822038373</v>
      </c>
      <c r="C376" s="62">
        <f t="shared" ref="C376:AC376" si="280">((1+C358)^C366)*C358/(((1+C358)^C366)-1)*(C357)</f>
        <v>-1358.6795822038373</v>
      </c>
      <c r="D376" s="62">
        <f t="shared" si="280"/>
        <v>-1358.6795822038373</v>
      </c>
      <c r="E376" s="62">
        <f t="shared" si="280"/>
        <v>-1358.6795822038373</v>
      </c>
      <c r="F376" s="62">
        <f t="shared" si="280"/>
        <v>-1358.6795822038373</v>
      </c>
      <c r="G376" s="62">
        <f t="shared" si="280"/>
        <v>-1358.6795822038373</v>
      </c>
      <c r="H376" s="62">
        <f t="shared" si="280"/>
        <v>-1358.6795822038373</v>
      </c>
      <c r="I376" s="62">
        <f t="shared" si="280"/>
        <v>-1358.6795822038373</v>
      </c>
      <c r="J376" s="62">
        <f t="shared" si="280"/>
        <v>-1358.6795822038373</v>
      </c>
      <c r="K376" s="62">
        <f t="shared" si="280"/>
        <v>-1358.6795822038373</v>
      </c>
      <c r="L376" s="62">
        <f t="shared" si="280"/>
        <v>-1358.6795822038373</v>
      </c>
      <c r="M376" s="62">
        <f t="shared" si="280"/>
        <v>-1358.6795822038373</v>
      </c>
      <c r="N376" s="62">
        <f t="shared" si="280"/>
        <v>-1358.6795822038373</v>
      </c>
      <c r="O376" s="62">
        <f t="shared" si="280"/>
        <v>-1358.6795822038373</v>
      </c>
      <c r="P376" s="62">
        <f t="shared" si="280"/>
        <v>-1358.6795822038373</v>
      </c>
      <c r="Q376" s="62">
        <f t="shared" si="280"/>
        <v>-1358.6795822038373</v>
      </c>
      <c r="R376" s="62">
        <f t="shared" si="280"/>
        <v>-1358.6795822038373</v>
      </c>
      <c r="S376" s="62">
        <f t="shared" si="280"/>
        <v>-1358.6795822038373</v>
      </c>
      <c r="T376" s="62">
        <f t="shared" si="280"/>
        <v>-1358.6795822038373</v>
      </c>
      <c r="U376" s="62">
        <f t="shared" si="280"/>
        <v>-1358.6795822038373</v>
      </c>
      <c r="V376" s="62">
        <f t="shared" si="280"/>
        <v>-1358.6795822038373</v>
      </c>
      <c r="W376" s="62">
        <f t="shared" si="280"/>
        <v>-1358.6795822038373</v>
      </c>
      <c r="X376" s="62">
        <f t="shared" si="280"/>
        <v>-1358.6795822038373</v>
      </c>
      <c r="Y376" s="62">
        <f t="shared" si="280"/>
        <v>-1358.6795822038373</v>
      </c>
      <c r="Z376" s="62">
        <f t="shared" si="280"/>
        <v>-1358.6795822038373</v>
      </c>
      <c r="AA376" s="62">
        <f t="shared" si="280"/>
        <v>-1358.6795822038373</v>
      </c>
      <c r="AB376" s="62">
        <f t="shared" si="280"/>
        <v>-1358.6795822038373</v>
      </c>
      <c r="AC376" s="62">
        <f t="shared" si="280"/>
        <v>-1358.6795822038373</v>
      </c>
    </row>
    <row r="377" spans="1:29" x14ac:dyDescent="0.25">
      <c r="A377" s="30" t="str">
        <f t="shared" ref="A377:AC377" si="281">A359</f>
        <v>Opex fix (admin, crew, insurance)</v>
      </c>
      <c r="B377" s="62">
        <f t="shared" si="281"/>
        <v>70000</v>
      </c>
      <c r="C377" s="62">
        <f t="shared" si="281"/>
        <v>70000</v>
      </c>
      <c r="D377" s="62">
        <f t="shared" si="281"/>
        <v>70000</v>
      </c>
      <c r="E377" s="62">
        <f t="shared" si="281"/>
        <v>70000</v>
      </c>
      <c r="F377" s="62">
        <f t="shared" si="281"/>
        <v>70000</v>
      </c>
      <c r="G377" s="62">
        <f t="shared" si="281"/>
        <v>70000</v>
      </c>
      <c r="H377" s="62">
        <f t="shared" si="281"/>
        <v>70000</v>
      </c>
      <c r="I377" s="62">
        <f t="shared" si="281"/>
        <v>70000</v>
      </c>
      <c r="J377" s="62">
        <f t="shared" si="281"/>
        <v>70000</v>
      </c>
      <c r="K377" s="62">
        <f t="shared" si="281"/>
        <v>70000</v>
      </c>
      <c r="L377" s="62">
        <f t="shared" si="281"/>
        <v>70000</v>
      </c>
      <c r="M377" s="62">
        <f t="shared" si="281"/>
        <v>70000</v>
      </c>
      <c r="N377" s="62">
        <f t="shared" si="281"/>
        <v>70000</v>
      </c>
      <c r="O377" s="62">
        <f t="shared" si="281"/>
        <v>70000</v>
      </c>
      <c r="P377" s="62">
        <f t="shared" si="281"/>
        <v>70000</v>
      </c>
      <c r="Q377" s="62">
        <f t="shared" si="281"/>
        <v>70000</v>
      </c>
      <c r="R377" s="62">
        <f t="shared" si="281"/>
        <v>70000</v>
      </c>
      <c r="S377" s="62">
        <f t="shared" si="281"/>
        <v>70000</v>
      </c>
      <c r="T377" s="62">
        <f t="shared" si="281"/>
        <v>70000</v>
      </c>
      <c r="U377" s="62">
        <f t="shared" si="281"/>
        <v>70000</v>
      </c>
      <c r="V377" s="62">
        <f t="shared" si="281"/>
        <v>70000</v>
      </c>
      <c r="W377" s="62">
        <f t="shared" si="281"/>
        <v>70000</v>
      </c>
      <c r="X377" s="62">
        <f t="shared" si="281"/>
        <v>70000</v>
      </c>
      <c r="Y377" s="62">
        <f t="shared" si="281"/>
        <v>70000</v>
      </c>
      <c r="Z377" s="62">
        <f t="shared" si="281"/>
        <v>70000</v>
      </c>
      <c r="AA377" s="62">
        <f t="shared" si="281"/>
        <v>70000</v>
      </c>
      <c r="AB377" s="62">
        <f t="shared" si="281"/>
        <v>70000</v>
      </c>
      <c r="AC377" s="62">
        <f t="shared" si="281"/>
        <v>70000</v>
      </c>
    </row>
    <row r="378" spans="1:29" x14ac:dyDescent="0.25">
      <c r="A378" s="30" t="str">
        <f t="shared" ref="A378:AC378" si="282">A360</f>
        <v>Opex maintenance &amp; repair</v>
      </c>
      <c r="B378" s="62">
        <f t="shared" si="282"/>
        <v>25694.198732927423</v>
      </c>
      <c r="C378" s="62">
        <f t="shared" si="282"/>
        <v>25566.782972440909</v>
      </c>
      <c r="D378" s="62">
        <f t="shared" si="282"/>
        <v>25389.62881201132</v>
      </c>
      <c r="E378" s="62">
        <f t="shared" si="282"/>
        <v>25146.757085412675</v>
      </c>
      <c r="F378" s="62">
        <f t="shared" si="282"/>
        <v>24820.363509946161</v>
      </c>
      <c r="G378" s="62">
        <f t="shared" si="282"/>
        <v>24393.704052209912</v>
      </c>
      <c r="H378" s="62">
        <f t="shared" si="282"/>
        <v>23856.39857999947</v>
      </c>
      <c r="I378" s="62">
        <f t="shared" si="282"/>
        <v>23211.647436702937</v>
      </c>
      <c r="J378" s="62">
        <f t="shared" si="282"/>
        <v>22482.579830467967</v>
      </c>
      <c r="K378" s="62">
        <f t="shared" si="282"/>
        <v>21712.906149854825</v>
      </c>
      <c r="L378" s="62">
        <f t="shared" si="282"/>
        <v>20958.378207641916</v>
      </c>
      <c r="M378" s="62">
        <f t="shared" si="282"/>
        <v>20271.515890978495</v>
      </c>
      <c r="N378" s="62">
        <f t="shared" si="282"/>
        <v>19687.78073288942</v>
      </c>
      <c r="O378" s="62">
        <f t="shared" si="282"/>
        <v>19220.313412303854</v>
      </c>
      <c r="P378" s="62">
        <f t="shared" si="282"/>
        <v>18863.615099016799</v>
      </c>
      <c r="Q378" s="62">
        <f t="shared" si="282"/>
        <v>18601.413231504735</v>
      </c>
      <c r="R378" s="62">
        <f t="shared" si="282"/>
        <v>18413.942689420019</v>
      </c>
      <c r="S378" s="62">
        <f t="shared" si="282"/>
        <v>18282.553525002768</v>
      </c>
      <c r="T378" s="62">
        <f t="shared" si="282"/>
        <v>18191.755536581266</v>
      </c>
      <c r="U378" s="62">
        <f t="shared" si="282"/>
        <v>18129.617948467116</v>
      </c>
      <c r="V378" s="62">
        <f t="shared" si="282"/>
        <v>18087.377924512868</v>
      </c>
      <c r="W378" s="62">
        <f t="shared" si="282"/>
        <v>18058.794570324873</v>
      </c>
      <c r="X378" s="62">
        <f t="shared" si="282"/>
        <v>18039.512209748045</v>
      </c>
      <c r="Y378" s="62">
        <f t="shared" si="282"/>
        <v>18026.531420394364</v>
      </c>
      <c r="Z378" s="62">
        <f t="shared" si="282"/>
        <v>18017.805089717345</v>
      </c>
      <c r="AA378" s="62">
        <f t="shared" si="282"/>
        <v>18011.94435896385</v>
      </c>
      <c r="AB378" s="62">
        <f t="shared" si="282"/>
        <v>18008.010705203578</v>
      </c>
      <c r="AC378" s="62">
        <f t="shared" si="282"/>
        <v>18005.371608019701</v>
      </c>
    </row>
    <row r="379" spans="1:29" x14ac:dyDescent="0.25">
      <c r="A379" s="30" t="str">
        <f>A361</f>
        <v>Opex var (mode-fees)</v>
      </c>
      <c r="B379" s="62">
        <f>B361*B370</f>
        <v>8580</v>
      </c>
      <c r="C379" s="62">
        <f t="shared" ref="C379:AC379" si="283">C361*C370</f>
        <v>8580</v>
      </c>
      <c r="D379" s="62">
        <f t="shared" si="283"/>
        <v>8580</v>
      </c>
      <c r="E379" s="62">
        <f t="shared" si="283"/>
        <v>8580</v>
      </c>
      <c r="F379" s="62">
        <f t="shared" si="283"/>
        <v>8580</v>
      </c>
      <c r="G379" s="62">
        <f t="shared" si="283"/>
        <v>8580</v>
      </c>
      <c r="H379" s="62">
        <f t="shared" si="283"/>
        <v>8580</v>
      </c>
      <c r="I379" s="62">
        <f t="shared" si="283"/>
        <v>8580</v>
      </c>
      <c r="J379" s="62">
        <f t="shared" si="283"/>
        <v>8580</v>
      </c>
      <c r="K379" s="62">
        <f t="shared" si="283"/>
        <v>8580</v>
      </c>
      <c r="L379" s="62">
        <f t="shared" si="283"/>
        <v>8580</v>
      </c>
      <c r="M379" s="62">
        <f t="shared" si="283"/>
        <v>8580</v>
      </c>
      <c r="N379" s="62">
        <f t="shared" si="283"/>
        <v>8580</v>
      </c>
      <c r="O379" s="62">
        <f t="shared" si="283"/>
        <v>8580</v>
      </c>
      <c r="P379" s="62">
        <f t="shared" si="283"/>
        <v>8580</v>
      </c>
      <c r="Q379" s="62">
        <f t="shared" si="283"/>
        <v>8580</v>
      </c>
      <c r="R379" s="62">
        <f t="shared" si="283"/>
        <v>8580</v>
      </c>
      <c r="S379" s="62">
        <f t="shared" si="283"/>
        <v>8580</v>
      </c>
      <c r="T379" s="62">
        <f t="shared" si="283"/>
        <v>8580</v>
      </c>
      <c r="U379" s="62">
        <f t="shared" si="283"/>
        <v>8580</v>
      </c>
      <c r="V379" s="62">
        <f t="shared" si="283"/>
        <v>8580</v>
      </c>
      <c r="W379" s="62">
        <f t="shared" si="283"/>
        <v>8580</v>
      </c>
      <c r="X379" s="62">
        <f t="shared" si="283"/>
        <v>8580</v>
      </c>
      <c r="Y379" s="62">
        <f t="shared" si="283"/>
        <v>8580</v>
      </c>
      <c r="Z379" s="62">
        <f t="shared" si="283"/>
        <v>8580</v>
      </c>
      <c r="AA379" s="62">
        <f t="shared" si="283"/>
        <v>8580</v>
      </c>
      <c r="AB379" s="62">
        <f t="shared" si="283"/>
        <v>8580</v>
      </c>
      <c r="AC379" s="62">
        <f t="shared" si="283"/>
        <v>8580</v>
      </c>
    </row>
    <row r="380" spans="1:29" x14ac:dyDescent="0.25">
      <c r="A380" s="30" t="str">
        <f>A363</f>
        <v>Fuel Cost</v>
      </c>
      <c r="B380" s="62">
        <f>B362*B363*B370</f>
        <v>49279.495157311583</v>
      </c>
      <c r="C380" s="62">
        <f t="shared" ref="C380:AC380" si="284">C362*C363*C370</f>
        <v>48888.181199395396</v>
      </c>
      <c r="D380" s="62">
        <f t="shared" si="284"/>
        <v>48341.953385990098</v>
      </c>
      <c r="E380" s="62">
        <f t="shared" si="284"/>
        <v>47588.488658736787</v>
      </c>
      <c r="F380" s="62">
        <f t="shared" si="284"/>
        <v>46566.33044308822</v>
      </c>
      <c r="G380" s="62">
        <f t="shared" si="284"/>
        <v>45210.901208545707</v>
      </c>
      <c r="H380" s="62">
        <f t="shared" si="284"/>
        <v>43466.908300611285</v>
      </c>
      <c r="I380" s="62">
        <f t="shared" si="284"/>
        <v>41306.95420695145</v>
      </c>
      <c r="J380" s="62">
        <f t="shared" si="284"/>
        <v>38751.396126691565</v>
      </c>
      <c r="K380" s="62">
        <f t="shared" si="284"/>
        <v>35879.772226676723</v>
      </c>
      <c r="L380" s="62">
        <f t="shared" si="284"/>
        <v>32825.384064317957</v>
      </c>
      <c r="M380" s="62">
        <f t="shared" si="284"/>
        <v>29753.695726288217</v>
      </c>
      <c r="N380" s="62">
        <f t="shared" si="284"/>
        <v>26833.331297401735</v>
      </c>
      <c r="O380" s="62">
        <f t="shared" si="284"/>
        <v>24207.770946515844</v>
      </c>
      <c r="P380" s="62">
        <f t="shared" si="284"/>
        <v>21972.696108860164</v>
      </c>
      <c r="Q380" s="62">
        <f t="shared" si="284"/>
        <v>20164.934957562269</v>
      </c>
      <c r="R380" s="62">
        <f t="shared" si="284"/>
        <v>18767.470291713955</v>
      </c>
      <c r="S380" s="62">
        <f t="shared" si="284"/>
        <v>17727.083390430984</v>
      </c>
      <c r="T380" s="62">
        <f t="shared" si="284"/>
        <v>16975.154177573153</v>
      </c>
      <c r="U380" s="62">
        <f t="shared" si="284"/>
        <v>16443.700291120389</v>
      </c>
      <c r="V380" s="62">
        <f t="shared" si="284"/>
        <v>16074.127722985215</v>
      </c>
      <c r="W380" s="62">
        <f t="shared" si="284"/>
        <v>15820.073127454523</v>
      </c>
      <c r="X380" s="62">
        <f t="shared" si="284"/>
        <v>15646.826879966282</v>
      </c>
      <c r="Y380" s="62">
        <f t="shared" si="284"/>
        <v>15529.337836012885</v>
      </c>
      <c r="Z380" s="62">
        <f t="shared" si="284"/>
        <v>15449.961607747386</v>
      </c>
      <c r="AA380" s="62">
        <f t="shared" si="284"/>
        <v>15396.471883058328</v>
      </c>
      <c r="AB380" s="62">
        <f t="shared" si="284"/>
        <v>15360.488840063736</v>
      </c>
      <c r="AC380" s="62">
        <f t="shared" si="284"/>
        <v>15336.310957243239</v>
      </c>
    </row>
    <row r="381" spans="1:29" ht="15.75" thickBot="1" x14ac:dyDescent="0.3">
      <c r="A381" s="59" t="str">
        <f>A344</f>
        <v>Emission Cost</v>
      </c>
      <c r="B381" s="62">
        <f>B364*B370</f>
        <v>710.1549188082314</v>
      </c>
      <c r="C381" s="62">
        <f t="shared" ref="C381:AC381" si="285">C364*C370</f>
        <v>709.47867829508084</v>
      </c>
      <c r="D381" s="62">
        <f t="shared" si="285"/>
        <v>708.51065506254884</v>
      </c>
      <c r="E381" s="62">
        <f t="shared" si="285"/>
        <v>707.12582975397481</v>
      </c>
      <c r="F381" s="62">
        <f t="shared" si="285"/>
        <v>705.14660881114673</v>
      </c>
      <c r="G381" s="62">
        <f t="shared" si="285"/>
        <v>702.32183279834828</v>
      </c>
      <c r="H381" s="62">
        <f t="shared" si="285"/>
        <v>698.29865876271117</v>
      </c>
      <c r="I381" s="62">
        <f t="shared" si="285"/>
        <v>692.58632836129857</v>
      </c>
      <c r="J381" s="62">
        <f t="shared" si="285"/>
        <v>684.51249825880609</v>
      </c>
      <c r="K381" s="62">
        <f t="shared" si="285"/>
        <v>673.17698645886799</v>
      </c>
      <c r="L381" s="62">
        <f t="shared" si="285"/>
        <v>657.41651013874798</v>
      </c>
      <c r="M381" s="62">
        <f t="shared" si="285"/>
        <v>635.80948670445525</v>
      </c>
      <c r="N381" s="62">
        <f t="shared" si="285"/>
        <v>606.77196252379213</v>
      </c>
      <c r="O381" s="62">
        <f t="shared" si="285"/>
        <v>568.81430878254673</v>
      </c>
      <c r="P381" s="62">
        <f t="shared" si="285"/>
        <v>521.01305957164129</v>
      </c>
      <c r="Q381" s="62">
        <f t="shared" si="285"/>
        <v>463.65293265362823</v>
      </c>
      <c r="R381" s="62">
        <f t="shared" si="285"/>
        <v>398.79161234385373</v>
      </c>
      <c r="S381" s="62">
        <f t="shared" si="285"/>
        <v>330.31778261212571</v>
      </c>
      <c r="T381" s="62">
        <f t="shared" si="285"/>
        <v>263.19138977281187</v>
      </c>
      <c r="U381" s="62">
        <f t="shared" si="285"/>
        <v>202.08485267142049</v>
      </c>
      <c r="V381" s="62">
        <f t="shared" si="285"/>
        <v>150.15299787345805</v>
      </c>
      <c r="W381" s="62">
        <f t="shared" si="285"/>
        <v>108.56488264854396</v>
      </c>
      <c r="X381" s="62">
        <f t="shared" si="285"/>
        <v>76.831304919660951</v>
      </c>
      <c r="Y381" s="62">
        <f t="shared" si="285"/>
        <v>53.504580252319137</v>
      </c>
      <c r="Z381" s="62">
        <f t="shared" si="285"/>
        <v>36.826309575065977</v>
      </c>
      <c r="AA381" s="62">
        <f t="shared" si="285"/>
        <v>25.137304871496188</v>
      </c>
      <c r="AB381" s="62">
        <f t="shared" si="285"/>
        <v>17.05948415895153</v>
      </c>
      <c r="AC381" s="62">
        <f t="shared" si="285"/>
        <v>11.531428912111116</v>
      </c>
    </row>
    <row r="382" spans="1:29" ht="15.75" thickBot="1" x14ac:dyDescent="0.3">
      <c r="A382" s="31" t="s">
        <v>209</v>
      </c>
      <c r="B382" s="64">
        <f>B373+B374+B375+B376+B377+B378+B379+B380+B381</f>
        <v>210398.30438856076</v>
      </c>
      <c r="C382" s="64">
        <f t="shared" ref="C382:AC382" si="286">C373+C374+C375+C376+C377+C378+C379+C380+C381</f>
        <v>209326.82207897215</v>
      </c>
      <c r="D382" s="64">
        <f t="shared" si="286"/>
        <v>207834.88554454848</v>
      </c>
      <c r="E382" s="64">
        <f t="shared" si="286"/>
        <v>205784.83183814192</v>
      </c>
      <c r="F382" s="64">
        <f t="shared" si="286"/>
        <v>203020.07880724943</v>
      </c>
      <c r="G382" s="64">
        <f t="shared" si="286"/>
        <v>199386.50395273967</v>
      </c>
      <c r="H382" s="64">
        <f t="shared" si="286"/>
        <v>194773.10584694744</v>
      </c>
      <c r="I382" s="64">
        <f t="shared" si="286"/>
        <v>189169.0632451034</v>
      </c>
      <c r="J382" s="64">
        <f t="shared" si="286"/>
        <v>182717.40614031572</v>
      </c>
      <c r="K382" s="64">
        <f t="shared" si="286"/>
        <v>175729.8744829121</v>
      </c>
      <c r="L382" s="64">
        <f t="shared" si="286"/>
        <v>168635.92390305057</v>
      </c>
      <c r="M382" s="64">
        <f t="shared" si="286"/>
        <v>161879.67881038145</v>
      </c>
      <c r="N382" s="64">
        <f t="shared" si="286"/>
        <v>155817.29119986252</v>
      </c>
      <c r="O382" s="64">
        <f t="shared" si="286"/>
        <v>150660.829187761</v>
      </c>
      <c r="P382" s="64">
        <f t="shared" si="286"/>
        <v>146475.72617844064</v>
      </c>
      <c r="Q382" s="64">
        <f t="shared" si="286"/>
        <v>143212.31555340151</v>
      </c>
      <c r="R382" s="64">
        <f t="shared" si="286"/>
        <v>140750.23291284745</v>
      </c>
      <c r="S382" s="64">
        <f t="shared" si="286"/>
        <v>138940.69041081451</v>
      </c>
      <c r="T382" s="64">
        <f t="shared" si="286"/>
        <v>137637.42063407632</v>
      </c>
      <c r="U382" s="64">
        <f t="shared" si="286"/>
        <v>136713.48832396112</v>
      </c>
      <c r="V382" s="64">
        <f t="shared" si="286"/>
        <v>136066.72320374456</v>
      </c>
      <c r="W382" s="64">
        <f t="shared" si="286"/>
        <v>135618.64908570421</v>
      </c>
      <c r="X382" s="64">
        <f t="shared" si="286"/>
        <v>135310.83887399131</v>
      </c>
      <c r="Y382" s="64">
        <f t="shared" si="286"/>
        <v>135100.79819999961</v>
      </c>
      <c r="Z382" s="64">
        <f t="shared" si="286"/>
        <v>134958.20728490423</v>
      </c>
      <c r="AA382" s="64">
        <f t="shared" si="286"/>
        <v>134861.774020771</v>
      </c>
      <c r="AB382" s="64">
        <f t="shared" si="286"/>
        <v>134796.7354798289</v>
      </c>
      <c r="AC382" s="64">
        <f t="shared" si="286"/>
        <v>134752.95557076941</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287">A373</f>
        <v>Capex vehicle</v>
      </c>
      <c r="B385" s="65">
        <f>((1+B358)^B365)*B358/(((1+B358)^B365)-1)*(B354)/B370</f>
        <v>0.78663392173917701</v>
      </c>
      <c r="C385" s="65">
        <f t="shared" ref="C385:AC385" si="288">((1+C358)^C365)*C358/(((1+C358)^C365)-1)*(C354)/C370</f>
        <v>0.77890659558842246</v>
      </c>
      <c r="D385" s="65">
        <f t="shared" si="288"/>
        <v>0.76816280713261809</v>
      </c>
      <c r="E385" s="65">
        <f t="shared" si="288"/>
        <v>0.75343347508563585</v>
      </c>
      <c r="F385" s="65">
        <f t="shared" si="288"/>
        <v>0.73363883114590389</v>
      </c>
      <c r="G385" s="65">
        <f t="shared" si="288"/>
        <v>0.70776340747269928</v>
      </c>
      <c r="H385" s="65">
        <f t="shared" si="288"/>
        <v>0.67517768487055108</v>
      </c>
      <c r="I385" s="65">
        <f t="shared" si="288"/>
        <v>0.63607575312128695</v>
      </c>
      <c r="J385" s="65">
        <f t="shared" si="288"/>
        <v>0.59186031887817503</v>
      </c>
      <c r="K385" s="65">
        <f t="shared" si="288"/>
        <v>0.54518226635908351</v>
      </c>
      <c r="L385" s="65">
        <f t="shared" si="288"/>
        <v>0.49942275060471941</v>
      </c>
      <c r="M385" s="65">
        <f t="shared" si="288"/>
        <v>0.45776692152003634</v>
      </c>
      <c r="N385" s="65">
        <f t="shared" si="288"/>
        <v>0.42236539870218964</v>
      </c>
      <c r="O385" s="65">
        <f t="shared" si="288"/>
        <v>0.39401511897861996</v>
      </c>
      <c r="P385" s="65">
        <f t="shared" si="288"/>
        <v>0.37238259727432993</v>
      </c>
      <c r="Q385" s="65">
        <f t="shared" si="288"/>
        <v>0.35648095889092812</v>
      </c>
      <c r="R385" s="65">
        <f t="shared" si="288"/>
        <v>0.34511151749046093</v>
      </c>
      <c r="S385" s="65">
        <f t="shared" si="288"/>
        <v>0.33714321810386599</v>
      </c>
      <c r="T385" s="65">
        <f t="shared" si="288"/>
        <v>0.33163663345777233</v>
      </c>
      <c r="U385" s="65">
        <f t="shared" si="288"/>
        <v>0.32786820318081228</v>
      </c>
      <c r="V385" s="65">
        <f t="shared" si="288"/>
        <v>0.32530649150194402</v>
      </c>
      <c r="W385" s="65">
        <f t="shared" si="288"/>
        <v>0.32357300971405673</v>
      </c>
      <c r="X385" s="65">
        <f t="shared" si="288"/>
        <v>0.3224036010901577</v>
      </c>
      <c r="Y385" s="65">
        <f t="shared" si="288"/>
        <v>0.32161636101367785</v>
      </c>
      <c r="Z385" s="65">
        <f t="shared" si="288"/>
        <v>0.32108713917343445</v>
      </c>
      <c r="AA385" s="65">
        <f t="shared" si="288"/>
        <v>0.32073170607912116</v>
      </c>
      <c r="AB385" s="65">
        <f t="shared" si="288"/>
        <v>0.32049314355393838</v>
      </c>
      <c r="AC385" s="65">
        <f t="shared" si="288"/>
        <v>0.32033309141748761</v>
      </c>
    </row>
    <row r="386" spans="1:29" x14ac:dyDescent="0.25">
      <c r="A386" s="30" t="str">
        <f t="shared" si="287"/>
        <v>Residual value (vehicle)</v>
      </c>
      <c r="B386" s="66">
        <f>((1+B358)^B365)*B358/(((1+B358)^B365)-1)*(B355)/B370</f>
        <v>-0.11921832131735634</v>
      </c>
      <c r="C386" s="66">
        <f t="shared" ref="C386:AC386" si="289">((1+C358)^C365)*C358/(((1+C358)^C365)-1)*(C355)/C370</f>
        <v>-0.11856889709830357</v>
      </c>
      <c r="D386" s="66">
        <f t="shared" si="289"/>
        <v>-0.11766596168552851</v>
      </c>
      <c r="E386" s="66">
        <f t="shared" si="289"/>
        <v>-0.11642807101349491</v>
      </c>
      <c r="F386" s="66">
        <f t="shared" si="289"/>
        <v>-0.11476447859728339</v>
      </c>
      <c r="G386" s="66">
        <f t="shared" si="289"/>
        <v>-0.11258984192687575</v>
      </c>
      <c r="H386" s="66">
        <f t="shared" si="289"/>
        <v>-0.1098512546018016</v>
      </c>
      <c r="I386" s="66">
        <f t="shared" si="289"/>
        <v>-0.10656502842287409</v>
      </c>
      <c r="J386" s="66">
        <f t="shared" si="289"/>
        <v>-0.10284905043861255</v>
      </c>
      <c r="K386" s="66">
        <f t="shared" si="289"/>
        <v>-9.8926107726901677E-2</v>
      </c>
      <c r="L386" s="66">
        <f t="shared" si="289"/>
        <v>-9.5080361190098744E-2</v>
      </c>
      <c r="M386" s="66">
        <f t="shared" si="289"/>
        <v>-9.1579498958513653E-2</v>
      </c>
      <c r="N386" s="66">
        <f t="shared" si="289"/>
        <v>-8.8604264594035059E-2</v>
      </c>
      <c r="O386" s="66">
        <f t="shared" si="289"/>
        <v>-8.6221634702373359E-2</v>
      </c>
      <c r="P386" s="66">
        <f t="shared" si="289"/>
        <v>-8.4403582346374517E-2</v>
      </c>
      <c r="Q386" s="66">
        <f t="shared" si="289"/>
        <v>-8.3067168056705637E-2</v>
      </c>
      <c r="R386" s="66">
        <f t="shared" si="289"/>
        <v>-8.211165117304936E-2</v>
      </c>
      <c r="S386" s="66">
        <f t="shared" si="289"/>
        <v>-8.144197494800573E-2</v>
      </c>
      <c r="T386" s="66">
        <f t="shared" si="289"/>
        <v>-8.0979187514982967E-2</v>
      </c>
      <c r="U386" s="66">
        <f t="shared" si="289"/>
        <v>-8.0662479012983138E-2</v>
      </c>
      <c r="V386" s="66">
        <f t="shared" si="289"/>
        <v>-8.0447186222950579E-2</v>
      </c>
      <c r="W386" s="66">
        <f t="shared" si="289"/>
        <v>-8.0301499987585595E-2</v>
      </c>
      <c r="X386" s="66">
        <f t="shared" si="289"/>
        <v>-8.0203219901108971E-2</v>
      </c>
      <c r="Y386" s="66">
        <f t="shared" si="289"/>
        <v>-8.0137058235106959E-2</v>
      </c>
      <c r="Z386" s="66">
        <f t="shared" si="289"/>
        <v>-8.0092581080448186E-2</v>
      </c>
      <c r="AA386" s="66">
        <f t="shared" si="289"/>
        <v>-8.0062709575713348E-2</v>
      </c>
      <c r="AB386" s="66">
        <f t="shared" si="289"/>
        <v>-8.0042660172001179E-2</v>
      </c>
      <c r="AC386" s="66">
        <f t="shared" si="289"/>
        <v>-8.0029208981810096E-2</v>
      </c>
    </row>
    <row r="387" spans="1:29" x14ac:dyDescent="0.25">
      <c r="A387" s="30" t="str">
        <f t="shared" si="287"/>
        <v>Capex costumization</v>
      </c>
      <c r="B387" s="66">
        <f>((1+B358)^B366)*B358/(((1+B358)^B366)-1)*(B356)/B370</f>
        <v>6.9675876010453192E-2</v>
      </c>
      <c r="C387" s="66">
        <f t="shared" ref="C387:AC387" si="290">((1+C358)^C366)*C358/(((1+C358)^C366)-1)*(C356)/C370</f>
        <v>6.9675876010453192E-2</v>
      </c>
      <c r="D387" s="66">
        <f t="shared" si="290"/>
        <v>6.9675876010453192E-2</v>
      </c>
      <c r="E387" s="66">
        <f t="shared" si="290"/>
        <v>6.9675876010453192E-2</v>
      </c>
      <c r="F387" s="66">
        <f t="shared" si="290"/>
        <v>6.9675876010453192E-2</v>
      </c>
      <c r="G387" s="66">
        <f t="shared" si="290"/>
        <v>6.9675876010453192E-2</v>
      </c>
      <c r="H387" s="66">
        <f t="shared" si="290"/>
        <v>6.9675876010453192E-2</v>
      </c>
      <c r="I387" s="66">
        <f t="shared" si="290"/>
        <v>6.9675876010453192E-2</v>
      </c>
      <c r="J387" s="66">
        <f t="shared" si="290"/>
        <v>6.9675876010453192E-2</v>
      </c>
      <c r="K387" s="66">
        <f t="shared" si="290"/>
        <v>6.9675876010453192E-2</v>
      </c>
      <c r="L387" s="66">
        <f t="shared" si="290"/>
        <v>6.9675876010453192E-2</v>
      </c>
      <c r="M387" s="66">
        <f t="shared" si="290"/>
        <v>6.9675876010453192E-2</v>
      </c>
      <c r="N387" s="66">
        <f t="shared" si="290"/>
        <v>6.9675876010453192E-2</v>
      </c>
      <c r="O387" s="66">
        <f t="shared" si="290"/>
        <v>6.9675876010453192E-2</v>
      </c>
      <c r="P387" s="66">
        <f t="shared" si="290"/>
        <v>6.9675876010453192E-2</v>
      </c>
      <c r="Q387" s="66">
        <f t="shared" si="290"/>
        <v>6.9675876010453192E-2</v>
      </c>
      <c r="R387" s="66">
        <f t="shared" si="290"/>
        <v>6.9675876010453192E-2</v>
      </c>
      <c r="S387" s="66">
        <f t="shared" si="290"/>
        <v>6.9675876010453192E-2</v>
      </c>
      <c r="T387" s="66">
        <f t="shared" si="290"/>
        <v>6.9675876010453192E-2</v>
      </c>
      <c r="U387" s="66">
        <f t="shared" si="290"/>
        <v>6.9675876010453192E-2</v>
      </c>
      <c r="V387" s="66">
        <f t="shared" si="290"/>
        <v>6.9675876010453192E-2</v>
      </c>
      <c r="W387" s="66">
        <f t="shared" si="290"/>
        <v>6.9675876010453192E-2</v>
      </c>
      <c r="X387" s="66">
        <f t="shared" si="290"/>
        <v>6.9675876010453192E-2</v>
      </c>
      <c r="Y387" s="66">
        <f t="shared" si="290"/>
        <v>6.9675876010453192E-2</v>
      </c>
      <c r="Z387" s="66">
        <f t="shared" si="290"/>
        <v>6.9675876010453192E-2</v>
      </c>
      <c r="AA387" s="66">
        <f t="shared" si="290"/>
        <v>6.9675876010453192E-2</v>
      </c>
      <c r="AB387" s="66">
        <f t="shared" si="290"/>
        <v>6.9675876010453192E-2</v>
      </c>
      <c r="AC387" s="66">
        <f t="shared" si="290"/>
        <v>6.9675876010453192E-2</v>
      </c>
    </row>
    <row r="388" spans="1:29" x14ac:dyDescent="0.25">
      <c r="A388" s="30" t="str">
        <f t="shared" si="287"/>
        <v>Residual value (costumization)</v>
      </c>
      <c r="B388" s="66">
        <f>((1+B358)^B366)*B358/(((1+B358)^B366)-1)*(B357)/B370</f>
        <v>-1.7418969002613298E-2</v>
      </c>
      <c r="C388" s="66">
        <f t="shared" ref="C388:AC388" si="291">((1+C358)^C366)*C358/(((1+C358)^C366)-1)*(C357)/C370</f>
        <v>-1.7418969002613298E-2</v>
      </c>
      <c r="D388" s="66">
        <f t="shared" si="291"/>
        <v>-1.7418969002613298E-2</v>
      </c>
      <c r="E388" s="66">
        <f t="shared" si="291"/>
        <v>-1.7418969002613298E-2</v>
      </c>
      <c r="F388" s="66">
        <f t="shared" si="291"/>
        <v>-1.7418969002613298E-2</v>
      </c>
      <c r="G388" s="66">
        <f t="shared" si="291"/>
        <v>-1.7418969002613298E-2</v>
      </c>
      <c r="H388" s="66">
        <f t="shared" si="291"/>
        <v>-1.7418969002613298E-2</v>
      </c>
      <c r="I388" s="66">
        <f t="shared" si="291"/>
        <v>-1.7418969002613298E-2</v>
      </c>
      <c r="J388" s="66">
        <f t="shared" si="291"/>
        <v>-1.7418969002613298E-2</v>
      </c>
      <c r="K388" s="66">
        <f t="shared" si="291"/>
        <v>-1.7418969002613298E-2</v>
      </c>
      <c r="L388" s="66">
        <f t="shared" si="291"/>
        <v>-1.7418969002613298E-2</v>
      </c>
      <c r="M388" s="66">
        <f t="shared" si="291"/>
        <v>-1.7418969002613298E-2</v>
      </c>
      <c r="N388" s="66">
        <f t="shared" si="291"/>
        <v>-1.7418969002613298E-2</v>
      </c>
      <c r="O388" s="66">
        <f t="shared" si="291"/>
        <v>-1.7418969002613298E-2</v>
      </c>
      <c r="P388" s="66">
        <f t="shared" si="291"/>
        <v>-1.7418969002613298E-2</v>
      </c>
      <c r="Q388" s="66">
        <f t="shared" si="291"/>
        <v>-1.7418969002613298E-2</v>
      </c>
      <c r="R388" s="66">
        <f t="shared" si="291"/>
        <v>-1.7418969002613298E-2</v>
      </c>
      <c r="S388" s="66">
        <f t="shared" si="291"/>
        <v>-1.7418969002613298E-2</v>
      </c>
      <c r="T388" s="66">
        <f t="shared" si="291"/>
        <v>-1.7418969002613298E-2</v>
      </c>
      <c r="U388" s="66">
        <f t="shared" si="291"/>
        <v>-1.7418969002613298E-2</v>
      </c>
      <c r="V388" s="66">
        <f t="shared" si="291"/>
        <v>-1.7418969002613298E-2</v>
      </c>
      <c r="W388" s="66">
        <f t="shared" si="291"/>
        <v>-1.7418969002613298E-2</v>
      </c>
      <c r="X388" s="66">
        <f t="shared" si="291"/>
        <v>-1.7418969002613298E-2</v>
      </c>
      <c r="Y388" s="66">
        <f t="shared" si="291"/>
        <v>-1.7418969002613298E-2</v>
      </c>
      <c r="Z388" s="66">
        <f t="shared" si="291"/>
        <v>-1.7418969002613298E-2</v>
      </c>
      <c r="AA388" s="66">
        <f t="shared" si="291"/>
        <v>-1.7418969002613298E-2</v>
      </c>
      <c r="AB388" s="66">
        <f t="shared" si="291"/>
        <v>-1.7418969002613298E-2</v>
      </c>
      <c r="AC388" s="66">
        <f t="shared" si="291"/>
        <v>-1.7418969002613298E-2</v>
      </c>
    </row>
    <row r="389" spans="1:29" x14ac:dyDescent="0.25">
      <c r="A389" s="30" t="str">
        <f t="shared" si="287"/>
        <v>Opex fix (admin, crew, insurance)</v>
      </c>
      <c r="B389" s="66">
        <f>B359/B370</f>
        <v>0.89743589743589747</v>
      </c>
      <c r="C389" s="66">
        <f t="shared" ref="C389:AC389" si="292">C359/C370</f>
        <v>0.89743589743589747</v>
      </c>
      <c r="D389" s="66">
        <f t="shared" si="292"/>
        <v>0.89743589743589747</v>
      </c>
      <c r="E389" s="66">
        <f t="shared" si="292"/>
        <v>0.89743589743589747</v>
      </c>
      <c r="F389" s="66">
        <f t="shared" si="292"/>
        <v>0.89743589743589747</v>
      </c>
      <c r="G389" s="66">
        <f t="shared" si="292"/>
        <v>0.89743589743589747</v>
      </c>
      <c r="H389" s="66">
        <f t="shared" si="292"/>
        <v>0.89743589743589747</v>
      </c>
      <c r="I389" s="66">
        <f t="shared" si="292"/>
        <v>0.89743589743589747</v>
      </c>
      <c r="J389" s="66">
        <f t="shared" si="292"/>
        <v>0.89743589743589747</v>
      </c>
      <c r="K389" s="66">
        <f t="shared" si="292"/>
        <v>0.89743589743589747</v>
      </c>
      <c r="L389" s="66">
        <f t="shared" si="292"/>
        <v>0.89743589743589747</v>
      </c>
      <c r="M389" s="66">
        <f t="shared" si="292"/>
        <v>0.89743589743589747</v>
      </c>
      <c r="N389" s="66">
        <f t="shared" si="292"/>
        <v>0.89743589743589747</v>
      </c>
      <c r="O389" s="66">
        <f t="shared" si="292"/>
        <v>0.89743589743589747</v>
      </c>
      <c r="P389" s="66">
        <f t="shared" si="292"/>
        <v>0.89743589743589747</v>
      </c>
      <c r="Q389" s="66">
        <f t="shared" si="292"/>
        <v>0.89743589743589747</v>
      </c>
      <c r="R389" s="66">
        <f t="shared" si="292"/>
        <v>0.89743589743589747</v>
      </c>
      <c r="S389" s="66">
        <f t="shared" si="292"/>
        <v>0.89743589743589747</v>
      </c>
      <c r="T389" s="66">
        <f t="shared" si="292"/>
        <v>0.89743589743589747</v>
      </c>
      <c r="U389" s="66">
        <f t="shared" si="292"/>
        <v>0.89743589743589747</v>
      </c>
      <c r="V389" s="66">
        <f t="shared" si="292"/>
        <v>0.89743589743589747</v>
      </c>
      <c r="W389" s="66">
        <f t="shared" si="292"/>
        <v>0.89743589743589747</v>
      </c>
      <c r="X389" s="66">
        <f t="shared" si="292"/>
        <v>0.89743589743589747</v>
      </c>
      <c r="Y389" s="66">
        <f t="shared" si="292"/>
        <v>0.89743589743589747</v>
      </c>
      <c r="Z389" s="66">
        <f t="shared" si="292"/>
        <v>0.89743589743589747</v>
      </c>
      <c r="AA389" s="66">
        <f t="shared" si="292"/>
        <v>0.89743589743589747</v>
      </c>
      <c r="AB389" s="66">
        <f t="shared" si="292"/>
        <v>0.89743589743589747</v>
      </c>
      <c r="AC389" s="66">
        <f t="shared" si="292"/>
        <v>0.89743589743589747</v>
      </c>
    </row>
    <row r="390" spans="1:29" x14ac:dyDescent="0.25">
      <c r="A390" s="30" t="str">
        <f t="shared" si="287"/>
        <v>Opex maintenance &amp; repair</v>
      </c>
      <c r="B390" s="66">
        <f>B360/B370</f>
        <v>0.32941280426830027</v>
      </c>
      <c r="C390" s="66">
        <f t="shared" ref="C390:AC390" si="293">C360/C370</f>
        <v>0.32777926887744757</v>
      </c>
      <c r="D390" s="66">
        <f t="shared" si="293"/>
        <v>0.32550806169245283</v>
      </c>
      <c r="E390" s="66">
        <f t="shared" si="293"/>
        <v>0.32239432160785481</v>
      </c>
      <c r="F390" s="66">
        <f t="shared" si="293"/>
        <v>0.31820978858905336</v>
      </c>
      <c r="G390" s="66">
        <f t="shared" si="293"/>
        <v>0.31273979554115272</v>
      </c>
      <c r="H390" s="66">
        <f t="shared" si="293"/>
        <v>0.30585126384614703</v>
      </c>
      <c r="I390" s="66">
        <f t="shared" si="293"/>
        <v>0.29758522354747358</v>
      </c>
      <c r="J390" s="66">
        <f t="shared" si="293"/>
        <v>0.28823820295471753</v>
      </c>
      <c r="K390" s="66">
        <f t="shared" si="293"/>
        <v>0.27837059166480543</v>
      </c>
      <c r="L390" s="66">
        <f t="shared" si="293"/>
        <v>0.26869715650822967</v>
      </c>
      <c r="M390" s="66">
        <f t="shared" si="293"/>
        <v>0.25989122937151915</v>
      </c>
      <c r="N390" s="66">
        <f t="shared" si="293"/>
        <v>0.2524074452934541</v>
      </c>
      <c r="O390" s="66">
        <f t="shared" si="293"/>
        <v>0.24641427451671608</v>
      </c>
      <c r="P390" s="66">
        <f t="shared" si="293"/>
        <v>0.24184121921816409</v>
      </c>
      <c r="Q390" s="66">
        <f t="shared" si="293"/>
        <v>0.23847965681416328</v>
      </c>
      <c r="R390" s="66">
        <f t="shared" si="293"/>
        <v>0.23607618832589766</v>
      </c>
      <c r="S390" s="66">
        <f t="shared" si="293"/>
        <v>0.23439171185900984</v>
      </c>
      <c r="T390" s="66">
        <f t="shared" si="293"/>
        <v>0.23322763508437522</v>
      </c>
      <c r="U390" s="66">
        <f t="shared" si="293"/>
        <v>0.23243099933932199</v>
      </c>
      <c r="V390" s="66">
        <f t="shared" si="293"/>
        <v>0.2318894605706778</v>
      </c>
      <c r="W390" s="66">
        <f t="shared" si="293"/>
        <v>0.23152300731185735</v>
      </c>
      <c r="X390" s="66">
        <f t="shared" si="293"/>
        <v>0.23127579756087238</v>
      </c>
      <c r="Y390" s="66">
        <f t="shared" si="293"/>
        <v>0.23110937718454314</v>
      </c>
      <c r="Z390" s="66">
        <f t="shared" si="293"/>
        <v>0.23099750115022238</v>
      </c>
      <c r="AA390" s="66">
        <f t="shared" si="293"/>
        <v>0.23092236357645962</v>
      </c>
      <c r="AB390" s="66">
        <f t="shared" si="293"/>
        <v>0.23087193211799459</v>
      </c>
      <c r="AC390" s="66">
        <f t="shared" si="293"/>
        <v>0.23083809753871412</v>
      </c>
    </row>
    <row r="391" spans="1:29" x14ac:dyDescent="0.25">
      <c r="A391" s="30" t="str">
        <f t="shared" si="287"/>
        <v>Opex var (mode-fees)</v>
      </c>
      <c r="B391" s="66">
        <f>B361*B370/B370</f>
        <v>0.11</v>
      </c>
      <c r="C391" s="66">
        <f t="shared" ref="C391:AC391" si="294">C361*C370/C370</f>
        <v>0.11</v>
      </c>
      <c r="D391" s="66">
        <f t="shared" si="294"/>
        <v>0.11</v>
      </c>
      <c r="E391" s="66">
        <f t="shared" si="294"/>
        <v>0.11</v>
      </c>
      <c r="F391" s="66">
        <f t="shared" si="294"/>
        <v>0.11</v>
      </c>
      <c r="G391" s="66">
        <f t="shared" si="294"/>
        <v>0.11</v>
      </c>
      <c r="H391" s="66">
        <f t="shared" si="294"/>
        <v>0.11</v>
      </c>
      <c r="I391" s="66">
        <f t="shared" si="294"/>
        <v>0.11</v>
      </c>
      <c r="J391" s="66">
        <f t="shared" si="294"/>
        <v>0.11</v>
      </c>
      <c r="K391" s="66">
        <f t="shared" si="294"/>
        <v>0.11</v>
      </c>
      <c r="L391" s="66">
        <f t="shared" si="294"/>
        <v>0.11</v>
      </c>
      <c r="M391" s="66">
        <f t="shared" si="294"/>
        <v>0.11</v>
      </c>
      <c r="N391" s="66">
        <f t="shared" si="294"/>
        <v>0.11</v>
      </c>
      <c r="O391" s="66">
        <f t="shared" si="294"/>
        <v>0.11</v>
      </c>
      <c r="P391" s="66">
        <f t="shared" si="294"/>
        <v>0.11</v>
      </c>
      <c r="Q391" s="66">
        <f t="shared" si="294"/>
        <v>0.11</v>
      </c>
      <c r="R391" s="66">
        <f t="shared" si="294"/>
        <v>0.11</v>
      </c>
      <c r="S391" s="66">
        <f t="shared" si="294"/>
        <v>0.11</v>
      </c>
      <c r="T391" s="66">
        <f t="shared" si="294"/>
        <v>0.11</v>
      </c>
      <c r="U391" s="66">
        <f t="shared" si="294"/>
        <v>0.11</v>
      </c>
      <c r="V391" s="66">
        <f t="shared" si="294"/>
        <v>0.11</v>
      </c>
      <c r="W391" s="66">
        <f t="shared" si="294"/>
        <v>0.11</v>
      </c>
      <c r="X391" s="66">
        <f t="shared" si="294"/>
        <v>0.11</v>
      </c>
      <c r="Y391" s="66">
        <f t="shared" si="294"/>
        <v>0.11</v>
      </c>
      <c r="Z391" s="66">
        <f t="shared" si="294"/>
        <v>0.11</v>
      </c>
      <c r="AA391" s="66">
        <f t="shared" si="294"/>
        <v>0.11</v>
      </c>
      <c r="AB391" s="66">
        <f t="shared" si="294"/>
        <v>0.11</v>
      </c>
      <c r="AC391" s="66">
        <f t="shared" si="294"/>
        <v>0.11</v>
      </c>
    </row>
    <row r="392" spans="1:29" x14ac:dyDescent="0.25">
      <c r="A392" s="30" t="str">
        <f t="shared" si="287"/>
        <v>Fuel Cost</v>
      </c>
      <c r="B392" s="66">
        <f>B362*B363*B370/B370</f>
        <v>0.63178839945271259</v>
      </c>
      <c r="C392" s="66">
        <f t="shared" ref="C392:AC392" si="295">C362*C363*C370/C370</f>
        <v>0.62677155383840255</v>
      </c>
      <c r="D392" s="66">
        <f t="shared" si="295"/>
        <v>0.61976863315371922</v>
      </c>
      <c r="E392" s="66">
        <f t="shared" si="295"/>
        <v>0.61010882895816398</v>
      </c>
      <c r="F392" s="66">
        <f t="shared" si="295"/>
        <v>0.59700423644984901</v>
      </c>
      <c r="G392" s="66">
        <f t="shared" si="295"/>
        <v>0.57962693857109882</v>
      </c>
      <c r="H392" s="66">
        <f t="shared" si="295"/>
        <v>0.55726805513604216</v>
      </c>
      <c r="I392" s="66">
        <f t="shared" si="295"/>
        <v>0.52957633598655707</v>
      </c>
      <c r="J392" s="66">
        <f t="shared" si="295"/>
        <v>0.49681277085502007</v>
      </c>
      <c r="K392" s="66">
        <f t="shared" si="295"/>
        <v>0.45999707982918875</v>
      </c>
      <c r="L392" s="66">
        <f t="shared" si="295"/>
        <v>0.42083825723484558</v>
      </c>
      <c r="M392" s="66">
        <f t="shared" si="295"/>
        <v>0.38145763751651562</v>
      </c>
      <c r="N392" s="66">
        <f t="shared" si="295"/>
        <v>0.34401706791540687</v>
      </c>
      <c r="O392" s="66">
        <f t="shared" si="295"/>
        <v>0.31035603777584414</v>
      </c>
      <c r="P392" s="66">
        <f t="shared" si="295"/>
        <v>0.28170123216487392</v>
      </c>
      <c r="Q392" s="66">
        <f t="shared" si="295"/>
        <v>0.25852480714823423</v>
      </c>
      <c r="R392" s="66">
        <f t="shared" si="295"/>
        <v>0.24060859348351224</v>
      </c>
      <c r="S392" s="66">
        <f t="shared" si="295"/>
        <v>0.22727029987732031</v>
      </c>
      <c r="T392" s="66">
        <f t="shared" si="295"/>
        <v>0.21763018176375837</v>
      </c>
      <c r="U392" s="66">
        <f t="shared" si="295"/>
        <v>0.21081667039897933</v>
      </c>
      <c r="V392" s="66">
        <f t="shared" si="295"/>
        <v>0.2060785605510925</v>
      </c>
      <c r="W392" s="66">
        <f t="shared" si="295"/>
        <v>0.20282145035198107</v>
      </c>
      <c r="X392" s="66">
        <f t="shared" si="295"/>
        <v>0.20060034461495233</v>
      </c>
      <c r="Y392" s="66">
        <f t="shared" si="295"/>
        <v>0.19909407482067801</v>
      </c>
      <c r="Z392" s="66">
        <f t="shared" si="295"/>
        <v>0.19807643086855622</v>
      </c>
      <c r="AA392" s="66">
        <f t="shared" si="295"/>
        <v>0.19739066516741446</v>
      </c>
      <c r="AB392" s="66">
        <f t="shared" si="295"/>
        <v>0.19692934410338123</v>
      </c>
      <c r="AC392" s="66">
        <f t="shared" si="295"/>
        <v>0.1966193712467082</v>
      </c>
    </row>
    <row r="393" spans="1:29" ht="15.75" thickBot="1" x14ac:dyDescent="0.3">
      <c r="A393" s="59" t="str">
        <f t="shared" ref="A393" si="296">A381</f>
        <v>Emission Cost</v>
      </c>
      <c r="B393" s="66">
        <f>B364</f>
        <v>9.1045502411311718E-3</v>
      </c>
      <c r="C393" s="66">
        <f t="shared" ref="C393:AC393" si="297">C364</f>
        <v>9.095880490962575E-3</v>
      </c>
      <c r="D393" s="66">
        <f t="shared" si="297"/>
        <v>9.0834699366993434E-3</v>
      </c>
      <c r="E393" s="66">
        <f t="shared" si="297"/>
        <v>9.0657157660766E-3</v>
      </c>
      <c r="F393" s="66">
        <f t="shared" si="297"/>
        <v>9.040341138604446E-3</v>
      </c>
      <c r="G393" s="66">
        <f t="shared" si="297"/>
        <v>9.0041260615172855E-3</v>
      </c>
      <c r="H393" s="66">
        <f t="shared" si="297"/>
        <v>8.9525469072142452E-3</v>
      </c>
      <c r="I393" s="66">
        <f t="shared" si="297"/>
        <v>8.8793119020679299E-3</v>
      </c>
      <c r="J393" s="66">
        <f t="shared" si="297"/>
        <v>8.7758012597282838E-3</v>
      </c>
      <c r="K393" s="66">
        <f t="shared" si="297"/>
        <v>8.630474185370102E-3</v>
      </c>
      <c r="L393" s="66">
        <f t="shared" si="297"/>
        <v>8.4284167966506146E-3</v>
      </c>
      <c r="M393" s="66">
        <f t="shared" si="297"/>
        <v>8.1514036756981448E-3</v>
      </c>
      <c r="N393" s="66">
        <f t="shared" si="297"/>
        <v>7.7791277246640009E-3</v>
      </c>
      <c r="O393" s="66">
        <f t="shared" si="297"/>
        <v>7.2924911382377788E-3</v>
      </c>
      <c r="P393" s="66">
        <f t="shared" si="297"/>
        <v>6.6796546098928378E-3</v>
      </c>
      <c r="Q393" s="66">
        <f t="shared" si="297"/>
        <v>5.9442683673542078E-3</v>
      </c>
      <c r="R393" s="66">
        <f t="shared" si="297"/>
        <v>5.1127129787673555E-3</v>
      </c>
      <c r="S393" s="66">
        <f t="shared" si="297"/>
        <v>4.2348433668221242E-3</v>
      </c>
      <c r="T393" s="66">
        <f t="shared" si="297"/>
        <v>3.3742485868309214E-3</v>
      </c>
      <c r="U393" s="66">
        <f t="shared" si="297"/>
        <v>2.5908314445053909E-3</v>
      </c>
      <c r="V393" s="66">
        <f t="shared" si="297"/>
        <v>1.9250384342751033E-3</v>
      </c>
      <c r="W393" s="66">
        <f t="shared" si="297"/>
        <v>1.3918574698531276E-3</v>
      </c>
      <c r="X393" s="66">
        <f t="shared" si="297"/>
        <v>9.8501672973924301E-4</v>
      </c>
      <c r="Y393" s="66">
        <f t="shared" si="297"/>
        <v>6.8595615708101458E-4</v>
      </c>
      <c r="Z393" s="66">
        <f t="shared" si="297"/>
        <v>4.7213217403930738E-4</v>
      </c>
      <c r="AA393" s="66">
        <f t="shared" si="297"/>
        <v>3.2227313937815624E-4</v>
      </c>
      <c r="AB393" s="66">
        <f t="shared" si="297"/>
        <v>2.1871133537117345E-4</v>
      </c>
      <c r="AC393" s="66">
        <f t="shared" si="297"/>
        <v>1.4783883220655276E-4</v>
      </c>
    </row>
    <row r="394" spans="1:29" ht="15.75" thickBot="1" x14ac:dyDescent="0.3">
      <c r="A394" s="31" t="s">
        <v>63</v>
      </c>
      <c r="B394" s="76">
        <f>B385+B386+B387-B388+B389+B390+B391+B392+B393</f>
        <v>2.7322520968329287</v>
      </c>
      <c r="C394" s="76">
        <f t="shared" ref="C394:AC394" si="298">C385+C386+C387-C388+C389+C390+C391+C392+C393</f>
        <v>2.7185151441458952</v>
      </c>
      <c r="D394" s="76">
        <f t="shared" si="298"/>
        <v>2.6993877526789252</v>
      </c>
      <c r="E394" s="76">
        <f t="shared" si="298"/>
        <v>2.6731050128532003</v>
      </c>
      <c r="F394" s="76">
        <f t="shared" si="298"/>
        <v>2.6376594611750916</v>
      </c>
      <c r="G394" s="76">
        <f t="shared" si="298"/>
        <v>2.591075168168556</v>
      </c>
      <c r="H394" s="76">
        <f t="shared" si="298"/>
        <v>2.5319290386071169</v>
      </c>
      <c r="I394" s="76">
        <f t="shared" si="298"/>
        <v>2.4600823385834758</v>
      </c>
      <c r="J394" s="76">
        <f t="shared" si="298"/>
        <v>2.3773687859579922</v>
      </c>
      <c r="K394" s="76">
        <f t="shared" si="298"/>
        <v>2.2877850467605101</v>
      </c>
      <c r="L394" s="76">
        <f t="shared" si="298"/>
        <v>2.1968369624033106</v>
      </c>
      <c r="M394" s="76">
        <f t="shared" si="298"/>
        <v>2.1102184355742195</v>
      </c>
      <c r="N394" s="76">
        <f t="shared" si="298"/>
        <v>2.0324955174906436</v>
      </c>
      <c r="O394" s="76">
        <f t="shared" si="298"/>
        <v>1.9663870301560085</v>
      </c>
      <c r="P394" s="76">
        <f t="shared" si="298"/>
        <v>1.9127318633698502</v>
      </c>
      <c r="Q394" s="76">
        <f t="shared" si="298"/>
        <v>1.8708932656129382</v>
      </c>
      <c r="R394" s="76">
        <f t="shared" si="298"/>
        <v>1.839328103554553</v>
      </c>
      <c r="S394" s="76">
        <f t="shared" si="298"/>
        <v>1.8161288407079768</v>
      </c>
      <c r="T394" s="76">
        <f t="shared" si="298"/>
        <v>1.7994202538267177</v>
      </c>
      <c r="U394" s="76">
        <f t="shared" si="298"/>
        <v>1.7875749677996</v>
      </c>
      <c r="V394" s="76">
        <f t="shared" si="298"/>
        <v>1.7792831072840027</v>
      </c>
      <c r="W394" s="76">
        <f t="shared" si="298"/>
        <v>1.7735385673091264</v>
      </c>
      <c r="X394" s="76">
        <f t="shared" si="298"/>
        <v>1.7695922825435766</v>
      </c>
      <c r="Y394" s="76">
        <f t="shared" si="298"/>
        <v>1.7668994533898372</v>
      </c>
      <c r="Z394" s="76">
        <f t="shared" si="298"/>
        <v>1.7650713647347682</v>
      </c>
      <c r="AA394" s="76">
        <f t="shared" si="298"/>
        <v>1.763835040835624</v>
      </c>
      <c r="AB394" s="76">
        <f t="shared" si="298"/>
        <v>1.7630012133876483</v>
      </c>
      <c r="AC394" s="76">
        <f t="shared" si="298"/>
        <v>1.7624399325022702</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299">A373</f>
        <v>Capex vehicle</v>
      </c>
      <c r="B397" s="65">
        <f>((1+B358)^B365)*B358/(((1+B358)^B365)-1)*(B354)/B370/(B367)</f>
        <v>3.1465356869567078E-2</v>
      </c>
      <c r="C397" s="65">
        <f t="shared" ref="C397:AC397" si="300">((1+C358)^C365)*C358/(((1+C358)^C365)-1)*(C354)/C370/(C367)</f>
        <v>3.1156263823536898E-2</v>
      </c>
      <c r="D397" s="65">
        <f t="shared" si="300"/>
        <v>3.0726512285304722E-2</v>
      </c>
      <c r="E397" s="65">
        <f t="shared" si="300"/>
        <v>3.0137339003425433E-2</v>
      </c>
      <c r="F397" s="65">
        <f t="shared" si="300"/>
        <v>2.9345553245836157E-2</v>
      </c>
      <c r="G397" s="65">
        <f t="shared" si="300"/>
        <v>2.8310536298907972E-2</v>
      </c>
      <c r="H397" s="65">
        <f t="shared" si="300"/>
        <v>2.7007107394822042E-2</v>
      </c>
      <c r="I397" s="65">
        <f t="shared" si="300"/>
        <v>2.5443030124851478E-2</v>
      </c>
      <c r="J397" s="65">
        <f t="shared" si="300"/>
        <v>2.3674412755127001E-2</v>
      </c>
      <c r="K397" s="65">
        <f t="shared" si="300"/>
        <v>2.1807290654363341E-2</v>
      </c>
      <c r="L397" s="65">
        <f t="shared" si="300"/>
        <v>1.9976910024188776E-2</v>
      </c>
      <c r="M397" s="65">
        <f t="shared" si="300"/>
        <v>1.8310676860801452E-2</v>
      </c>
      <c r="N397" s="65">
        <f t="shared" si="300"/>
        <v>1.6894615948087586E-2</v>
      </c>
      <c r="O397" s="65">
        <f t="shared" si="300"/>
        <v>1.57606047591448E-2</v>
      </c>
      <c r="P397" s="65">
        <f t="shared" si="300"/>
        <v>1.4895303890973197E-2</v>
      </c>
      <c r="Q397" s="65">
        <f t="shared" si="300"/>
        <v>1.4259238355637124E-2</v>
      </c>
      <c r="R397" s="65">
        <f t="shared" si="300"/>
        <v>1.3804460699618437E-2</v>
      </c>
      <c r="S397" s="65">
        <f t="shared" si="300"/>
        <v>1.348572872415464E-2</v>
      </c>
      <c r="T397" s="65">
        <f t="shared" si="300"/>
        <v>1.3265465338310894E-2</v>
      </c>
      <c r="U397" s="65">
        <f t="shared" si="300"/>
        <v>1.3114728127232491E-2</v>
      </c>
      <c r="V397" s="65">
        <f t="shared" si="300"/>
        <v>1.3012259660077762E-2</v>
      </c>
      <c r="W397" s="65">
        <f t="shared" si="300"/>
        <v>1.2942920388562269E-2</v>
      </c>
      <c r="X397" s="65">
        <f t="shared" si="300"/>
        <v>1.2896144043606308E-2</v>
      </c>
      <c r="Y397" s="65">
        <f t="shared" si="300"/>
        <v>1.2864654440547114E-2</v>
      </c>
      <c r="Z397" s="65">
        <f t="shared" si="300"/>
        <v>1.2843485566937379E-2</v>
      </c>
      <c r="AA397" s="65">
        <f t="shared" si="300"/>
        <v>1.2829268243164847E-2</v>
      </c>
      <c r="AB397" s="65">
        <f t="shared" si="300"/>
        <v>1.2819725742157536E-2</v>
      </c>
      <c r="AC397" s="65">
        <f t="shared" si="300"/>
        <v>1.2813323656699505E-2</v>
      </c>
    </row>
    <row r="398" spans="1:29" x14ac:dyDescent="0.25">
      <c r="A398" s="30" t="str">
        <f t="shared" si="299"/>
        <v>Residual value (vehicle)</v>
      </c>
      <c r="B398" s="68">
        <f>((1+B358)^B365)*B358/(((1+B358)^B365)-1)*(B355)/B370/(B367)</f>
        <v>-4.7687328526942532E-3</v>
      </c>
      <c r="C398" s="68">
        <f t="shared" ref="C398:AC398" si="301">((1+C358)^C365)*C358/(((1+C358)^C365)-1)*(C355)/C370/(C367)</f>
        <v>-4.7427558839321423E-3</v>
      </c>
      <c r="D398" s="68">
        <f t="shared" si="301"/>
        <v>-4.70663846742114E-3</v>
      </c>
      <c r="E398" s="68">
        <f t="shared" si="301"/>
        <v>-4.6571228405397963E-3</v>
      </c>
      <c r="F398" s="68">
        <f t="shared" si="301"/>
        <v>-4.5905791438913355E-3</v>
      </c>
      <c r="G398" s="68">
        <f t="shared" si="301"/>
        <v>-4.5035936770750299E-3</v>
      </c>
      <c r="H398" s="68">
        <f t="shared" si="301"/>
        <v>-4.3940501840720641E-3</v>
      </c>
      <c r="I398" s="68">
        <f t="shared" si="301"/>
        <v>-4.2626011369149633E-3</v>
      </c>
      <c r="J398" s="68">
        <f t="shared" si="301"/>
        <v>-4.113962017544502E-3</v>
      </c>
      <c r="K398" s="68">
        <f t="shared" si="301"/>
        <v>-3.9570443090760667E-3</v>
      </c>
      <c r="L398" s="68">
        <f t="shared" si="301"/>
        <v>-3.8032144476039496E-3</v>
      </c>
      <c r="M398" s="68">
        <f t="shared" si="301"/>
        <v>-3.6631799583405462E-3</v>
      </c>
      <c r="N398" s="68">
        <f t="shared" si="301"/>
        <v>-3.5441705837614022E-3</v>
      </c>
      <c r="O398" s="68">
        <f t="shared" si="301"/>
        <v>-3.4488653880949344E-3</v>
      </c>
      <c r="P398" s="68">
        <f t="shared" si="301"/>
        <v>-3.3761432938549806E-3</v>
      </c>
      <c r="Q398" s="68">
        <f t="shared" si="301"/>
        <v>-3.3226867222682253E-3</v>
      </c>
      <c r="R398" s="68">
        <f t="shared" si="301"/>
        <v>-3.2844660469219743E-3</v>
      </c>
      <c r="S398" s="68">
        <f t="shared" si="301"/>
        <v>-3.2576789979202291E-3</v>
      </c>
      <c r="T398" s="68">
        <f t="shared" si="301"/>
        <v>-3.2391675005993188E-3</v>
      </c>
      <c r="U398" s="68">
        <f t="shared" si="301"/>
        <v>-3.2264991605193256E-3</v>
      </c>
      <c r="V398" s="68">
        <f t="shared" si="301"/>
        <v>-3.217887448918023E-3</v>
      </c>
      <c r="W398" s="68">
        <f t="shared" si="301"/>
        <v>-3.2120599995034238E-3</v>
      </c>
      <c r="X398" s="68">
        <f t="shared" si="301"/>
        <v>-3.2081287960443587E-3</v>
      </c>
      <c r="Y398" s="68">
        <f t="shared" si="301"/>
        <v>-3.2054823294042785E-3</v>
      </c>
      <c r="Z398" s="68">
        <f t="shared" si="301"/>
        <v>-3.2037032432179276E-3</v>
      </c>
      <c r="AA398" s="68">
        <f t="shared" si="301"/>
        <v>-3.202508383028534E-3</v>
      </c>
      <c r="AB398" s="68">
        <f t="shared" si="301"/>
        <v>-3.2017064068800474E-3</v>
      </c>
      <c r="AC398" s="68">
        <f t="shared" si="301"/>
        <v>-3.2011683592724038E-3</v>
      </c>
    </row>
    <row r="399" spans="1:29" x14ac:dyDescent="0.25">
      <c r="A399" s="30" t="str">
        <f t="shared" si="299"/>
        <v>Capex costumization</v>
      </c>
      <c r="B399" s="66">
        <f>((1+B358)^B366)*B358/(((1+B358)^B366)-1)*(B356)/B370/(B367)</f>
        <v>2.7870350404181278E-3</v>
      </c>
      <c r="C399" s="66">
        <f t="shared" ref="C399:AC399" si="302">((1+C358)^C366)*C358/(((1+C358)^C366)-1)*(C356)/C370/(C367)</f>
        <v>2.7870350404181278E-3</v>
      </c>
      <c r="D399" s="66">
        <f t="shared" si="302"/>
        <v>2.7870350404181278E-3</v>
      </c>
      <c r="E399" s="66">
        <f t="shared" si="302"/>
        <v>2.7870350404181278E-3</v>
      </c>
      <c r="F399" s="66">
        <f t="shared" si="302"/>
        <v>2.7870350404181278E-3</v>
      </c>
      <c r="G399" s="66">
        <f t="shared" si="302"/>
        <v>2.7870350404181278E-3</v>
      </c>
      <c r="H399" s="66">
        <f t="shared" si="302"/>
        <v>2.7870350404181278E-3</v>
      </c>
      <c r="I399" s="66">
        <f t="shared" si="302"/>
        <v>2.7870350404181278E-3</v>
      </c>
      <c r="J399" s="66">
        <f t="shared" si="302"/>
        <v>2.7870350404181278E-3</v>
      </c>
      <c r="K399" s="66">
        <f t="shared" si="302"/>
        <v>2.7870350404181278E-3</v>
      </c>
      <c r="L399" s="66">
        <f t="shared" si="302"/>
        <v>2.7870350404181278E-3</v>
      </c>
      <c r="M399" s="66">
        <f t="shared" si="302"/>
        <v>2.7870350404181278E-3</v>
      </c>
      <c r="N399" s="66">
        <f t="shared" si="302"/>
        <v>2.7870350404181278E-3</v>
      </c>
      <c r="O399" s="66">
        <f t="shared" si="302"/>
        <v>2.7870350404181278E-3</v>
      </c>
      <c r="P399" s="66">
        <f t="shared" si="302"/>
        <v>2.7870350404181278E-3</v>
      </c>
      <c r="Q399" s="66">
        <f t="shared" si="302"/>
        <v>2.7870350404181278E-3</v>
      </c>
      <c r="R399" s="66">
        <f t="shared" si="302"/>
        <v>2.7870350404181278E-3</v>
      </c>
      <c r="S399" s="66">
        <f t="shared" si="302"/>
        <v>2.7870350404181278E-3</v>
      </c>
      <c r="T399" s="66">
        <f t="shared" si="302"/>
        <v>2.7870350404181278E-3</v>
      </c>
      <c r="U399" s="66">
        <f t="shared" si="302"/>
        <v>2.7870350404181278E-3</v>
      </c>
      <c r="V399" s="66">
        <f t="shared" si="302"/>
        <v>2.7870350404181278E-3</v>
      </c>
      <c r="W399" s="66">
        <f t="shared" si="302"/>
        <v>2.7870350404181278E-3</v>
      </c>
      <c r="X399" s="66">
        <f t="shared" si="302"/>
        <v>2.7870350404181278E-3</v>
      </c>
      <c r="Y399" s="66">
        <f t="shared" si="302"/>
        <v>2.7870350404181278E-3</v>
      </c>
      <c r="Z399" s="66">
        <f t="shared" si="302"/>
        <v>2.7870350404181278E-3</v>
      </c>
      <c r="AA399" s="66">
        <f t="shared" si="302"/>
        <v>2.7870350404181278E-3</v>
      </c>
      <c r="AB399" s="66">
        <f t="shared" si="302"/>
        <v>2.7870350404181278E-3</v>
      </c>
      <c r="AC399" s="66">
        <f t="shared" si="302"/>
        <v>2.7870350404181278E-3</v>
      </c>
    </row>
    <row r="400" spans="1:29" x14ac:dyDescent="0.25">
      <c r="A400" s="30" t="str">
        <f t="shared" si="299"/>
        <v>Residual value (costumization)</v>
      </c>
      <c r="B400" s="69">
        <f>((1+B358)^B366)*B358/(((1+B358)^B366)-1)*(B357)/B370/(B367)</f>
        <v>-6.9675876010453195E-4</v>
      </c>
      <c r="C400" s="69">
        <f t="shared" ref="C400:AC400" si="303">((1+C358)^C366)*C358/(((1+C358)^C366)-1)*(C357)/C370/(C367)</f>
        <v>-6.9675876010453195E-4</v>
      </c>
      <c r="D400" s="69">
        <f t="shared" si="303"/>
        <v>-6.9675876010453195E-4</v>
      </c>
      <c r="E400" s="69">
        <f t="shared" si="303"/>
        <v>-6.9675876010453195E-4</v>
      </c>
      <c r="F400" s="69">
        <f t="shared" si="303"/>
        <v>-6.9675876010453195E-4</v>
      </c>
      <c r="G400" s="69">
        <f t="shared" si="303"/>
        <v>-6.9675876010453195E-4</v>
      </c>
      <c r="H400" s="69">
        <f t="shared" si="303"/>
        <v>-6.9675876010453195E-4</v>
      </c>
      <c r="I400" s="69">
        <f t="shared" si="303"/>
        <v>-6.9675876010453195E-4</v>
      </c>
      <c r="J400" s="69">
        <f t="shared" si="303"/>
        <v>-6.9675876010453195E-4</v>
      </c>
      <c r="K400" s="69">
        <f t="shared" si="303"/>
        <v>-6.9675876010453195E-4</v>
      </c>
      <c r="L400" s="69">
        <f t="shared" si="303"/>
        <v>-6.9675876010453195E-4</v>
      </c>
      <c r="M400" s="69">
        <f t="shared" si="303"/>
        <v>-6.9675876010453195E-4</v>
      </c>
      <c r="N400" s="69">
        <f t="shared" si="303"/>
        <v>-6.9675876010453195E-4</v>
      </c>
      <c r="O400" s="69">
        <f t="shared" si="303"/>
        <v>-6.9675876010453195E-4</v>
      </c>
      <c r="P400" s="69">
        <f t="shared" si="303"/>
        <v>-6.9675876010453195E-4</v>
      </c>
      <c r="Q400" s="69">
        <f t="shared" si="303"/>
        <v>-6.9675876010453195E-4</v>
      </c>
      <c r="R400" s="69">
        <f t="shared" si="303"/>
        <v>-6.9675876010453195E-4</v>
      </c>
      <c r="S400" s="69">
        <f t="shared" si="303"/>
        <v>-6.9675876010453195E-4</v>
      </c>
      <c r="T400" s="69">
        <f t="shared" si="303"/>
        <v>-6.9675876010453195E-4</v>
      </c>
      <c r="U400" s="69">
        <f t="shared" si="303"/>
        <v>-6.9675876010453195E-4</v>
      </c>
      <c r="V400" s="69">
        <f t="shared" si="303"/>
        <v>-6.9675876010453195E-4</v>
      </c>
      <c r="W400" s="69">
        <f t="shared" si="303"/>
        <v>-6.9675876010453195E-4</v>
      </c>
      <c r="X400" s="69">
        <f t="shared" si="303"/>
        <v>-6.9675876010453195E-4</v>
      </c>
      <c r="Y400" s="69">
        <f t="shared" si="303"/>
        <v>-6.9675876010453195E-4</v>
      </c>
      <c r="Z400" s="69">
        <f t="shared" si="303"/>
        <v>-6.9675876010453195E-4</v>
      </c>
      <c r="AA400" s="69">
        <f t="shared" si="303"/>
        <v>-6.9675876010453195E-4</v>
      </c>
      <c r="AB400" s="69">
        <f t="shared" si="303"/>
        <v>-6.9675876010453195E-4</v>
      </c>
      <c r="AC400" s="69">
        <f t="shared" si="303"/>
        <v>-6.9675876010453195E-4</v>
      </c>
    </row>
    <row r="401" spans="1:29" x14ac:dyDescent="0.25">
      <c r="A401" s="30" t="str">
        <f t="shared" si="299"/>
        <v>Opex fix (admin, crew, insurance)</v>
      </c>
      <c r="B401" s="66">
        <f>B359/B370/(B367)</f>
        <v>3.5897435897435902E-2</v>
      </c>
      <c r="C401" s="66">
        <f t="shared" ref="C401:AC401" si="304">C359/C370/(C367)</f>
        <v>3.5897435897435902E-2</v>
      </c>
      <c r="D401" s="66">
        <f t="shared" si="304"/>
        <v>3.5897435897435902E-2</v>
      </c>
      <c r="E401" s="66">
        <f t="shared" si="304"/>
        <v>3.5897435897435902E-2</v>
      </c>
      <c r="F401" s="66">
        <f t="shared" si="304"/>
        <v>3.5897435897435902E-2</v>
      </c>
      <c r="G401" s="66">
        <f t="shared" si="304"/>
        <v>3.5897435897435902E-2</v>
      </c>
      <c r="H401" s="66">
        <f t="shared" si="304"/>
        <v>3.5897435897435902E-2</v>
      </c>
      <c r="I401" s="66">
        <f t="shared" si="304"/>
        <v>3.5897435897435902E-2</v>
      </c>
      <c r="J401" s="66">
        <f t="shared" si="304"/>
        <v>3.5897435897435902E-2</v>
      </c>
      <c r="K401" s="66">
        <f t="shared" si="304"/>
        <v>3.5897435897435902E-2</v>
      </c>
      <c r="L401" s="66">
        <f t="shared" si="304"/>
        <v>3.5897435897435902E-2</v>
      </c>
      <c r="M401" s="66">
        <f t="shared" si="304"/>
        <v>3.5897435897435902E-2</v>
      </c>
      <c r="N401" s="66">
        <f t="shared" si="304"/>
        <v>3.5897435897435902E-2</v>
      </c>
      <c r="O401" s="66">
        <f t="shared" si="304"/>
        <v>3.5897435897435902E-2</v>
      </c>
      <c r="P401" s="66">
        <f t="shared" si="304"/>
        <v>3.5897435897435902E-2</v>
      </c>
      <c r="Q401" s="66">
        <f t="shared" si="304"/>
        <v>3.5897435897435902E-2</v>
      </c>
      <c r="R401" s="66">
        <f t="shared" si="304"/>
        <v>3.5897435897435902E-2</v>
      </c>
      <c r="S401" s="66">
        <f t="shared" si="304"/>
        <v>3.5897435897435902E-2</v>
      </c>
      <c r="T401" s="66">
        <f t="shared" si="304"/>
        <v>3.5897435897435902E-2</v>
      </c>
      <c r="U401" s="66">
        <f t="shared" si="304"/>
        <v>3.5897435897435902E-2</v>
      </c>
      <c r="V401" s="66">
        <f t="shared" si="304"/>
        <v>3.5897435897435902E-2</v>
      </c>
      <c r="W401" s="66">
        <f t="shared" si="304"/>
        <v>3.5897435897435902E-2</v>
      </c>
      <c r="X401" s="66">
        <f t="shared" si="304"/>
        <v>3.5897435897435902E-2</v>
      </c>
      <c r="Y401" s="66">
        <f t="shared" si="304"/>
        <v>3.5897435897435902E-2</v>
      </c>
      <c r="Z401" s="66">
        <f t="shared" si="304"/>
        <v>3.5897435897435902E-2</v>
      </c>
      <c r="AA401" s="66">
        <f t="shared" si="304"/>
        <v>3.5897435897435902E-2</v>
      </c>
      <c r="AB401" s="66">
        <f t="shared" si="304"/>
        <v>3.5897435897435902E-2</v>
      </c>
      <c r="AC401" s="66">
        <f t="shared" si="304"/>
        <v>3.5897435897435902E-2</v>
      </c>
    </row>
    <row r="402" spans="1:29" x14ac:dyDescent="0.25">
      <c r="A402" s="30" t="str">
        <f t="shared" si="299"/>
        <v>Opex maintenance &amp; repair</v>
      </c>
      <c r="B402" s="66">
        <f>B360/B370/(B367)</f>
        <v>1.3176512170732011E-2</v>
      </c>
      <c r="C402" s="66">
        <f t="shared" ref="C402:AC402" si="305">C360/C370/(C367)</f>
        <v>1.3111170755097903E-2</v>
      </c>
      <c r="D402" s="66">
        <f t="shared" si="305"/>
        <v>1.3020322467698114E-2</v>
      </c>
      <c r="E402" s="66">
        <f t="shared" si="305"/>
        <v>1.2895772864314193E-2</v>
      </c>
      <c r="F402" s="66">
        <f t="shared" si="305"/>
        <v>1.2728391543562135E-2</v>
      </c>
      <c r="G402" s="66">
        <f t="shared" si="305"/>
        <v>1.2509591821646109E-2</v>
      </c>
      <c r="H402" s="66">
        <f t="shared" si="305"/>
        <v>1.223405055384588E-2</v>
      </c>
      <c r="I402" s="66">
        <f t="shared" si="305"/>
        <v>1.1903408941898943E-2</v>
      </c>
      <c r="J402" s="66">
        <f t="shared" si="305"/>
        <v>1.1529528118188701E-2</v>
      </c>
      <c r="K402" s="66">
        <f t="shared" si="305"/>
        <v>1.1134823666592217E-2</v>
      </c>
      <c r="L402" s="66">
        <f t="shared" si="305"/>
        <v>1.0747886260329187E-2</v>
      </c>
      <c r="M402" s="66">
        <f t="shared" si="305"/>
        <v>1.0395649174860766E-2</v>
      </c>
      <c r="N402" s="66">
        <f t="shared" si="305"/>
        <v>1.0096297811738163E-2</v>
      </c>
      <c r="O402" s="66">
        <f t="shared" si="305"/>
        <v>9.8565709806686438E-3</v>
      </c>
      <c r="P402" s="66">
        <f t="shared" si="305"/>
        <v>9.6736487687265633E-3</v>
      </c>
      <c r="Q402" s="66">
        <f t="shared" si="305"/>
        <v>9.5391862725665317E-3</v>
      </c>
      <c r="R402" s="66">
        <f t="shared" si="305"/>
        <v>9.4430475330359066E-3</v>
      </c>
      <c r="S402" s="66">
        <f t="shared" si="305"/>
        <v>9.3756684743603932E-3</v>
      </c>
      <c r="T402" s="66">
        <f t="shared" si="305"/>
        <v>9.3291054033750095E-3</v>
      </c>
      <c r="U402" s="66">
        <f t="shared" si="305"/>
        <v>9.2972399735728791E-3</v>
      </c>
      <c r="V402" s="66">
        <f t="shared" si="305"/>
        <v>9.2755784228271115E-3</v>
      </c>
      <c r="W402" s="66">
        <f t="shared" si="305"/>
        <v>9.2609202924742937E-3</v>
      </c>
      <c r="X402" s="66">
        <f t="shared" si="305"/>
        <v>9.2510319024348957E-3</v>
      </c>
      <c r="Y402" s="66">
        <f t="shared" si="305"/>
        <v>9.244375087381726E-3</v>
      </c>
      <c r="Z402" s="66">
        <f t="shared" si="305"/>
        <v>9.2399000460088952E-3</v>
      </c>
      <c r="AA402" s="66">
        <f t="shared" si="305"/>
        <v>9.2368945430583854E-3</v>
      </c>
      <c r="AB402" s="66">
        <f t="shared" si="305"/>
        <v>9.2348772847197832E-3</v>
      </c>
      <c r="AC402" s="66">
        <f t="shared" si="305"/>
        <v>9.2335239015485654E-3</v>
      </c>
    </row>
    <row r="403" spans="1:29" x14ac:dyDescent="0.25">
      <c r="A403" s="30" t="str">
        <f t="shared" si="299"/>
        <v>Opex var (mode-fees)</v>
      </c>
      <c r="B403" s="66">
        <f>B361*B370/B370/(B367)</f>
        <v>4.4000000000000003E-3</v>
      </c>
      <c r="C403" s="66">
        <f t="shared" ref="C403:AC403" si="306">C361*C370/C370/(C367)</f>
        <v>4.4000000000000003E-3</v>
      </c>
      <c r="D403" s="66">
        <f t="shared" si="306"/>
        <v>4.4000000000000003E-3</v>
      </c>
      <c r="E403" s="66">
        <f t="shared" si="306"/>
        <v>4.4000000000000003E-3</v>
      </c>
      <c r="F403" s="66">
        <f t="shared" si="306"/>
        <v>4.4000000000000003E-3</v>
      </c>
      <c r="G403" s="66">
        <f t="shared" si="306"/>
        <v>4.4000000000000003E-3</v>
      </c>
      <c r="H403" s="66">
        <f t="shared" si="306"/>
        <v>4.4000000000000003E-3</v>
      </c>
      <c r="I403" s="66">
        <f t="shared" si="306"/>
        <v>4.4000000000000003E-3</v>
      </c>
      <c r="J403" s="66">
        <f t="shared" si="306"/>
        <v>4.4000000000000003E-3</v>
      </c>
      <c r="K403" s="66">
        <f t="shared" si="306"/>
        <v>4.4000000000000003E-3</v>
      </c>
      <c r="L403" s="66">
        <f t="shared" si="306"/>
        <v>4.4000000000000003E-3</v>
      </c>
      <c r="M403" s="66">
        <f t="shared" si="306"/>
        <v>4.4000000000000003E-3</v>
      </c>
      <c r="N403" s="66">
        <f t="shared" si="306"/>
        <v>4.4000000000000003E-3</v>
      </c>
      <c r="O403" s="66">
        <f t="shared" si="306"/>
        <v>4.4000000000000003E-3</v>
      </c>
      <c r="P403" s="66">
        <f t="shared" si="306"/>
        <v>4.4000000000000003E-3</v>
      </c>
      <c r="Q403" s="66">
        <f t="shared" si="306"/>
        <v>4.4000000000000003E-3</v>
      </c>
      <c r="R403" s="66">
        <f t="shared" si="306"/>
        <v>4.4000000000000003E-3</v>
      </c>
      <c r="S403" s="66">
        <f t="shared" si="306"/>
        <v>4.4000000000000003E-3</v>
      </c>
      <c r="T403" s="66">
        <f t="shared" si="306"/>
        <v>4.4000000000000003E-3</v>
      </c>
      <c r="U403" s="66">
        <f t="shared" si="306"/>
        <v>4.4000000000000003E-3</v>
      </c>
      <c r="V403" s="66">
        <f t="shared" si="306"/>
        <v>4.4000000000000003E-3</v>
      </c>
      <c r="W403" s="66">
        <f t="shared" si="306"/>
        <v>4.4000000000000003E-3</v>
      </c>
      <c r="X403" s="66">
        <f t="shared" si="306"/>
        <v>4.4000000000000003E-3</v>
      </c>
      <c r="Y403" s="66">
        <f t="shared" si="306"/>
        <v>4.4000000000000003E-3</v>
      </c>
      <c r="Z403" s="66">
        <f t="shared" si="306"/>
        <v>4.4000000000000003E-3</v>
      </c>
      <c r="AA403" s="66">
        <f t="shared" si="306"/>
        <v>4.4000000000000003E-3</v>
      </c>
      <c r="AB403" s="66">
        <f t="shared" si="306"/>
        <v>4.4000000000000003E-3</v>
      </c>
      <c r="AC403" s="66">
        <f t="shared" si="306"/>
        <v>4.4000000000000003E-3</v>
      </c>
    </row>
    <row r="404" spans="1:29" x14ac:dyDescent="0.25">
      <c r="A404" s="30" t="str">
        <f t="shared" si="299"/>
        <v>Fuel Cost</v>
      </c>
      <c r="B404" s="66">
        <f>B362*B363*B370/B370/(B367)</f>
        <v>2.5271535978108505E-2</v>
      </c>
      <c r="C404" s="66">
        <f t="shared" ref="C404:AC404" si="307">C362*C363*C370/C370/(C367)</f>
        <v>2.5070862153536103E-2</v>
      </c>
      <c r="D404" s="66">
        <f t="shared" si="307"/>
        <v>2.4790745326148767E-2</v>
      </c>
      <c r="E404" s="66">
        <f t="shared" si="307"/>
        <v>2.440435315832656E-2</v>
      </c>
      <c r="F404" s="66">
        <f t="shared" si="307"/>
        <v>2.3880169457993962E-2</v>
      </c>
      <c r="G404" s="66">
        <f t="shared" si="307"/>
        <v>2.3185077542843952E-2</v>
      </c>
      <c r="H404" s="66">
        <f t="shared" si="307"/>
        <v>2.2290722205441687E-2</v>
      </c>
      <c r="I404" s="66">
        <f t="shared" si="307"/>
        <v>2.1183053439462283E-2</v>
      </c>
      <c r="J404" s="66">
        <f t="shared" si="307"/>
        <v>1.9872510834200802E-2</v>
      </c>
      <c r="K404" s="66">
        <f t="shared" si="307"/>
        <v>1.839988319316755E-2</v>
      </c>
      <c r="L404" s="66">
        <f t="shared" si="307"/>
        <v>1.6833530289393824E-2</v>
      </c>
      <c r="M404" s="66">
        <f t="shared" si="307"/>
        <v>1.5258305500660626E-2</v>
      </c>
      <c r="N404" s="66">
        <f t="shared" si="307"/>
        <v>1.3760682716616275E-2</v>
      </c>
      <c r="O404" s="66">
        <f t="shared" si="307"/>
        <v>1.2414241511033765E-2</v>
      </c>
      <c r="P404" s="66">
        <f t="shared" si="307"/>
        <v>1.1268049286594957E-2</v>
      </c>
      <c r="Q404" s="66">
        <f t="shared" si="307"/>
        <v>1.0340992285929369E-2</v>
      </c>
      <c r="R404" s="66">
        <f t="shared" si="307"/>
        <v>9.6243437393404904E-3</v>
      </c>
      <c r="S404" s="66">
        <f t="shared" si="307"/>
        <v>9.0908119950928127E-3</v>
      </c>
      <c r="T404" s="66">
        <f t="shared" si="307"/>
        <v>8.7052072705503351E-3</v>
      </c>
      <c r="U404" s="66">
        <f t="shared" si="307"/>
        <v>8.4326668159591736E-3</v>
      </c>
      <c r="V404" s="66">
        <f t="shared" si="307"/>
        <v>8.2431424220437005E-3</v>
      </c>
      <c r="W404" s="66">
        <f t="shared" si="307"/>
        <v>8.1128580140792435E-3</v>
      </c>
      <c r="X404" s="66">
        <f t="shared" si="307"/>
        <v>8.0240137845980931E-3</v>
      </c>
      <c r="Y404" s="66">
        <f t="shared" si="307"/>
        <v>7.9637629928271201E-3</v>
      </c>
      <c r="Z404" s="66">
        <f t="shared" si="307"/>
        <v>7.9230572347422489E-3</v>
      </c>
      <c r="AA404" s="66">
        <f t="shared" si="307"/>
        <v>7.8956266066965777E-3</v>
      </c>
      <c r="AB404" s="66">
        <f t="shared" si="307"/>
        <v>7.8771737641352493E-3</v>
      </c>
      <c r="AC404" s="66">
        <f t="shared" si="307"/>
        <v>7.8647748498683282E-3</v>
      </c>
    </row>
    <row r="405" spans="1:29" x14ac:dyDescent="0.25">
      <c r="A405" s="59" t="str">
        <f>A368</f>
        <v>Market failure (av. utilization)</v>
      </c>
      <c r="B405" s="66">
        <f t="shared" ref="B405:AC405" si="308">B394/B368-B394/B367</f>
        <v>6.8900270267960778E-2</v>
      </c>
      <c r="C405" s="66">
        <f t="shared" si="308"/>
        <v>6.8553860156722532E-2</v>
      </c>
      <c r="D405" s="66">
        <f t="shared" si="308"/>
        <v>6.8071517241468538E-2</v>
      </c>
      <c r="E405" s="66">
        <f t="shared" si="308"/>
        <v>6.7408735106732842E-2</v>
      </c>
      <c r="F405" s="66">
        <f t="shared" si="308"/>
        <v>6.6514890760067502E-2</v>
      </c>
      <c r="G405" s="66">
        <f t="shared" si="308"/>
        <v>6.5340156414685283E-2</v>
      </c>
      <c r="H405" s="66">
        <f t="shared" si="308"/>
        <v>6.3848645321396835E-2</v>
      </c>
      <c r="I405" s="66">
        <f t="shared" si="308"/>
        <v>6.2036858972974576E-2</v>
      </c>
      <c r="J405" s="66">
        <f t="shared" si="308"/>
        <v>5.9951038950244978E-2</v>
      </c>
      <c r="K405" s="66">
        <f t="shared" si="308"/>
        <v>5.7691970744395457E-2</v>
      </c>
      <c r="L405" s="66">
        <f t="shared" si="308"/>
        <v>5.5398497312779127E-2</v>
      </c>
      <c r="M405" s="66">
        <f t="shared" si="308"/>
        <v>5.3214204027523776E-2</v>
      </c>
      <c r="N405" s="66">
        <f t="shared" si="308"/>
        <v>5.1254234788894487E-2</v>
      </c>
      <c r="O405" s="66">
        <f t="shared" si="308"/>
        <v>4.9587151195238446E-2</v>
      </c>
      <c r="P405" s="66">
        <f t="shared" si="308"/>
        <v>4.8234107858891859E-2</v>
      </c>
      <c r="Q405" s="66">
        <f t="shared" si="308"/>
        <v>4.7179047567630597E-2</v>
      </c>
      <c r="R405" s="66">
        <f t="shared" si="308"/>
        <v>4.6383056524419153E-2</v>
      </c>
      <c r="S405" s="66">
        <f t="shared" si="308"/>
        <v>4.579803163524461E-2</v>
      </c>
      <c r="T405" s="66">
        <f t="shared" si="308"/>
        <v>4.5376684661717209E-2</v>
      </c>
      <c r="U405" s="66">
        <f t="shared" si="308"/>
        <v>4.5077977448859469E-2</v>
      </c>
      <c r="V405" s="66">
        <f t="shared" si="308"/>
        <v>4.4868878357596578E-2</v>
      </c>
      <c r="W405" s="66">
        <f t="shared" si="308"/>
        <v>4.4724016045186651E-2</v>
      </c>
      <c r="X405" s="66">
        <f t="shared" si="308"/>
        <v>4.4624501038055403E-2</v>
      </c>
      <c r="Y405" s="66">
        <f t="shared" si="308"/>
        <v>4.4556594911569783E-2</v>
      </c>
      <c r="Z405" s="66">
        <f t="shared" si="308"/>
        <v>4.4510495284615884E-2</v>
      </c>
      <c r="AA405" s="66">
        <f t="shared" si="308"/>
        <v>4.4479318421072236E-2</v>
      </c>
      <c r="AB405" s="66">
        <f t="shared" si="308"/>
        <v>4.4458291468036329E-2</v>
      </c>
      <c r="AC405" s="66">
        <f t="shared" si="308"/>
        <v>4.4444137428318098E-2</v>
      </c>
    </row>
    <row r="406" spans="1:29" x14ac:dyDescent="0.25">
      <c r="A406" s="59" t="str">
        <f>A369</f>
        <v>Payload loss (fuel)</v>
      </c>
      <c r="B406" s="66">
        <f>B394/(B367-B369)-B394/B367</f>
        <v>5.7041674662498681E-3</v>
      </c>
      <c r="C406" s="66">
        <f t="shared" ref="C406:AC406" si="309">C394/(C367-C369)-C394/C367</f>
        <v>5.6550765322616048E-3</v>
      </c>
      <c r="D406" s="66">
        <f t="shared" si="309"/>
        <v>5.5865217038616882E-3</v>
      </c>
      <c r="E406" s="66">
        <f t="shared" si="309"/>
        <v>5.4918908828940211E-3</v>
      </c>
      <c r="F406" s="66">
        <f t="shared" si="309"/>
        <v>5.3633725604567556E-3</v>
      </c>
      <c r="G406" s="66">
        <f t="shared" si="309"/>
        <v>5.1926707681124035E-3</v>
      </c>
      <c r="H406" s="66">
        <f t="shared" si="309"/>
        <v>4.9725211774906131E-3</v>
      </c>
      <c r="I406" s="66">
        <f t="shared" si="309"/>
        <v>4.699028890102902E-3</v>
      </c>
      <c r="J406" s="66">
        <f t="shared" si="309"/>
        <v>4.3742893501127755E-3</v>
      </c>
      <c r="K406" s="66">
        <f t="shared" si="309"/>
        <v>4.0081428678950537E-3</v>
      </c>
      <c r="L406" s="66">
        <f t="shared" si="309"/>
        <v>3.6179058313394741E-3</v>
      </c>
      <c r="M406" s="66">
        <f t="shared" si="309"/>
        <v>3.2257987391916404E-3</v>
      </c>
      <c r="N406" s="66">
        <f t="shared" si="309"/>
        <v>2.8548110723583126E-3</v>
      </c>
      <c r="O406" s="66">
        <f t="shared" si="309"/>
        <v>2.5241941927439254E-3</v>
      </c>
      <c r="P406" s="66">
        <f t="shared" si="309"/>
        <v>2.2459562078385453E-3</v>
      </c>
      <c r="Q406" s="66">
        <f t="shared" si="309"/>
        <v>2.0236441397955135E-3</v>
      </c>
      <c r="R406" s="66">
        <f t="shared" si="309"/>
        <v>1.8537029240103392E-3</v>
      </c>
      <c r="S406" s="66">
        <f t="shared" si="309"/>
        <v>1.7283324677683648E-3</v>
      </c>
      <c r="T406" s="66">
        <f t="shared" si="309"/>
        <v>1.638326932264747E-3</v>
      </c>
      <c r="U406" s="66">
        <f t="shared" si="309"/>
        <v>1.5749978146054472E-3</v>
      </c>
      <c r="V406" s="66">
        <f t="shared" si="309"/>
        <v>1.5310818265767551E-3</v>
      </c>
      <c r="W406" s="66">
        <f t="shared" si="309"/>
        <v>1.5009418693534282E-3</v>
      </c>
      <c r="X406" s="66">
        <f t="shared" si="309"/>
        <v>1.4804071854708084E-3</v>
      </c>
      <c r="Y406" s="66">
        <f t="shared" si="309"/>
        <v>1.4664880447215756E-3</v>
      </c>
      <c r="Z406" s="66">
        <f t="shared" si="309"/>
        <v>1.4570865730422211E-3</v>
      </c>
      <c r="AA406" s="66">
        <f t="shared" si="309"/>
        <v>1.450751984433965E-3</v>
      </c>
      <c r="AB406" s="66">
        <f t="shared" si="309"/>
        <v>1.4464909440151386E-3</v>
      </c>
      <c r="AC406" s="66">
        <f t="shared" si="309"/>
        <v>1.4436279549892572E-3</v>
      </c>
    </row>
    <row r="407" spans="1:29" ht="15.75" thickBot="1" x14ac:dyDescent="0.3">
      <c r="A407" s="59" t="str">
        <f>A344</f>
        <v>Emission Cost</v>
      </c>
      <c r="B407" s="68">
        <f>B364*B370/B370/(B367)</f>
        <v>3.6418200964524684E-4</v>
      </c>
      <c r="C407" s="68">
        <f t="shared" ref="C407:AC407" si="310">C364*C370/C370/(C367)</f>
        <v>3.6383521963850298E-4</v>
      </c>
      <c r="D407" s="68">
        <f t="shared" si="310"/>
        <v>3.6333879746797376E-4</v>
      </c>
      <c r="E407" s="68">
        <f t="shared" si="310"/>
        <v>3.6262863064306401E-4</v>
      </c>
      <c r="F407" s="68">
        <f t="shared" si="310"/>
        <v>3.6161364554417784E-4</v>
      </c>
      <c r="G407" s="68">
        <f t="shared" si="310"/>
        <v>3.6016504246069139E-4</v>
      </c>
      <c r="H407" s="68">
        <f t="shared" si="310"/>
        <v>3.581018762885698E-4</v>
      </c>
      <c r="I407" s="68">
        <f t="shared" si="310"/>
        <v>3.551724760827172E-4</v>
      </c>
      <c r="J407" s="68">
        <f t="shared" si="310"/>
        <v>3.5103205038913133E-4</v>
      </c>
      <c r="K407" s="68">
        <f t="shared" si="310"/>
        <v>3.4521896741480408E-4</v>
      </c>
      <c r="L407" s="68">
        <f t="shared" si="310"/>
        <v>3.371366718660246E-4</v>
      </c>
      <c r="M407" s="68">
        <f t="shared" si="310"/>
        <v>3.2605614702792577E-4</v>
      </c>
      <c r="N407" s="68">
        <f t="shared" si="310"/>
        <v>3.1116510898656009E-4</v>
      </c>
      <c r="O407" s="68">
        <f t="shared" si="310"/>
        <v>2.9169964552951117E-4</v>
      </c>
      <c r="P407" s="68">
        <f t="shared" si="310"/>
        <v>2.6718618439571347E-4</v>
      </c>
      <c r="Q407" s="68">
        <f t="shared" si="310"/>
        <v>2.3777073469416832E-4</v>
      </c>
      <c r="R407" s="68">
        <f t="shared" si="310"/>
        <v>2.0450851915069422E-4</v>
      </c>
      <c r="S407" s="68">
        <f t="shared" si="310"/>
        <v>1.6939373467288497E-4</v>
      </c>
      <c r="T407" s="68">
        <f t="shared" si="310"/>
        <v>1.3496994347323685E-4</v>
      </c>
      <c r="U407" s="68">
        <f t="shared" si="310"/>
        <v>1.0363325778021563E-4</v>
      </c>
      <c r="V407" s="68">
        <f t="shared" si="310"/>
        <v>7.700153737100413E-5</v>
      </c>
      <c r="W407" s="68">
        <f t="shared" si="310"/>
        <v>5.5674298794125105E-5</v>
      </c>
      <c r="X407" s="68">
        <f t="shared" si="310"/>
        <v>3.940066918956972E-5</v>
      </c>
      <c r="Y407" s="68">
        <f t="shared" si="310"/>
        <v>2.7438246283240584E-5</v>
      </c>
      <c r="Z407" s="68">
        <f t="shared" si="310"/>
        <v>1.8885286961572295E-5</v>
      </c>
      <c r="AA407" s="68">
        <f t="shared" si="310"/>
        <v>1.2890925575126249E-5</v>
      </c>
      <c r="AB407" s="68">
        <f t="shared" si="310"/>
        <v>8.7484534148469397E-6</v>
      </c>
      <c r="AC407" s="68">
        <f t="shared" si="310"/>
        <v>5.9135532882621105E-6</v>
      </c>
    </row>
    <row r="408" spans="1:29" ht="15.75" thickBot="1" x14ac:dyDescent="0.3">
      <c r="A408" s="31" t="s">
        <v>210</v>
      </c>
      <c r="B408" s="67">
        <f>B397+B398+B399+B400+B401+B402+B403+B404+B405+B406+B407</f>
        <v>0.18250100408731876</v>
      </c>
      <c r="C408" s="67">
        <f t="shared" ref="C408:AC408" si="311">C397+C398+C399+C400+C401+C402+C403+C404+C405+C406+C407</f>
        <v>0.1815560249346109</v>
      </c>
      <c r="D408" s="67">
        <f t="shared" si="311"/>
        <v>0.18024003153227819</v>
      </c>
      <c r="E408" s="67">
        <f t="shared" si="311"/>
        <v>0.17843130898354581</v>
      </c>
      <c r="F408" s="67">
        <f t="shared" si="311"/>
        <v>0.17599112424731886</v>
      </c>
      <c r="G408" s="67">
        <f t="shared" si="311"/>
        <v>0.17278231638933086</v>
      </c>
      <c r="H408" s="67">
        <f t="shared" si="311"/>
        <v>0.16870481052296304</v>
      </c>
      <c r="I408" s="67">
        <f t="shared" si="311"/>
        <v>0.16374566388620743</v>
      </c>
      <c r="J408" s="67">
        <f t="shared" si="311"/>
        <v>0.15802656221846839</v>
      </c>
      <c r="K408" s="67">
        <f t="shared" si="311"/>
        <v>0.15181799796250187</v>
      </c>
      <c r="L408" s="67">
        <f t="shared" si="311"/>
        <v>0.14549636412004197</v>
      </c>
      <c r="M408" s="67">
        <f t="shared" si="311"/>
        <v>0.13945522266947516</v>
      </c>
      <c r="N408" s="67">
        <f t="shared" si="311"/>
        <v>0.1340153490406695</v>
      </c>
      <c r="O408" s="67">
        <f t="shared" si="311"/>
        <v>0.12937330907401362</v>
      </c>
      <c r="P408" s="67">
        <f t="shared" si="311"/>
        <v>0.12559582108131537</v>
      </c>
      <c r="Q408" s="67">
        <f t="shared" si="311"/>
        <v>0.12264490481173457</v>
      </c>
      <c r="R408" s="67">
        <f t="shared" si="311"/>
        <v>0.12041636607040254</v>
      </c>
      <c r="S408" s="67">
        <f t="shared" si="311"/>
        <v>0.11877800021112297</v>
      </c>
      <c r="T408" s="67">
        <f t="shared" si="311"/>
        <v>0.11759830422684162</v>
      </c>
      <c r="U408" s="67">
        <f t="shared" si="311"/>
        <v>0.11676245645523986</v>
      </c>
      <c r="V408" s="67">
        <f t="shared" si="311"/>
        <v>0.11617776695532439</v>
      </c>
      <c r="W408" s="67">
        <f t="shared" si="311"/>
        <v>0.11577298308669608</v>
      </c>
      <c r="X408" s="67">
        <f t="shared" si="311"/>
        <v>0.11549508200506023</v>
      </c>
      <c r="Y408" s="67">
        <f t="shared" si="311"/>
        <v>0.11530554357167577</v>
      </c>
      <c r="Z408" s="67">
        <f t="shared" si="311"/>
        <v>0.11517691892683977</v>
      </c>
      <c r="AA408" s="67">
        <f t="shared" si="311"/>
        <v>0.11508995451872212</v>
      </c>
      <c r="AB408" s="67">
        <f t="shared" si="311"/>
        <v>0.11503131342734835</v>
      </c>
      <c r="AC408" s="67">
        <f t="shared" si="311"/>
        <v>0.11499184516318911</v>
      </c>
    </row>
    <row r="410" spans="1:29" x14ac:dyDescent="0.25">
      <c r="B410" s="40"/>
    </row>
    <row r="429" spans="1:1" s="3" customFormat="1" ht="21" x14ac:dyDescent="0.35">
      <c r="A429" s="2" t="str">
        <f>'Parameter Input'!A72</f>
        <v>Road long-haul:  Neo bulk</v>
      </c>
    </row>
    <row r="430" spans="1:1" s="3" customFormat="1" ht="21" x14ac:dyDescent="0.35">
      <c r="A430" s="2" t="s">
        <v>103</v>
      </c>
    </row>
    <row r="431" spans="1:1" x14ac:dyDescent="0.25">
      <c r="A431" s="33" t="s">
        <v>195</v>
      </c>
    </row>
    <row r="432" spans="1:1" x14ac:dyDescent="0.25">
      <c r="A432" s="33" t="s">
        <v>196</v>
      </c>
    </row>
    <row r="433" spans="1:44" ht="15.75" thickBot="1" x14ac:dyDescent="0.3">
      <c r="A433" s="34" t="s">
        <v>197</v>
      </c>
      <c r="B433" s="34"/>
    </row>
    <row r="434" spans="1:44" ht="15.75" thickBot="1" x14ac:dyDescent="0.3">
      <c r="A434" s="39" t="s">
        <v>198</v>
      </c>
      <c r="B434" s="35"/>
    </row>
    <row r="435" spans="1:44" ht="15.75" thickBot="1" x14ac:dyDescent="0.3">
      <c r="A435" s="38" t="s">
        <v>199</v>
      </c>
      <c r="B435" s="36"/>
    </row>
    <row r="436" spans="1:44" ht="15.75" thickBot="1" x14ac:dyDescent="0.3"/>
    <row r="437" spans="1:44" x14ac:dyDescent="0.25">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18</v>
      </c>
      <c r="B439" s="41">
        <f>'Parameter Input'!$L$45</f>
        <v>390000</v>
      </c>
      <c r="C439" s="42">
        <f>'Parameter Input'!$M$45</f>
        <v>155000</v>
      </c>
      <c r="D439" s="1" t="s">
        <v>15</v>
      </c>
      <c r="L439" s="51">
        <f>'Parameter Input'!$O$45</f>
        <v>9</v>
      </c>
      <c r="M439" s="52">
        <v>0</v>
      </c>
      <c r="N439" s="52">
        <v>1</v>
      </c>
      <c r="O439" s="52">
        <f>'Parameter Input'!$P$45</f>
        <v>0.9</v>
      </c>
      <c r="P439" s="53">
        <f>'Parameter Input'!$Q$45</f>
        <v>0.4</v>
      </c>
      <c r="Q439" s="4">
        <f t="shared" ref="Q439:AR448" si="312">$N439+($M439-$N439)*((1/(1+EXP(-$P439*(Q$9-$L439)))^$O439))</f>
        <v>0.96177484161592774</v>
      </c>
      <c r="R439" s="4">
        <f t="shared" si="312"/>
        <v>0.94584787155511363</v>
      </c>
      <c r="S439" s="4">
        <f t="shared" si="312"/>
        <v>0.92370360150141495</v>
      </c>
      <c r="T439" s="4">
        <f t="shared" si="312"/>
        <v>0.89334463567658451</v>
      </c>
      <c r="U439" s="4">
        <f t="shared" si="312"/>
        <v>0.85254543874327005</v>
      </c>
      <c r="V439" s="4">
        <f t="shared" si="312"/>
        <v>0.79921300652623883</v>
      </c>
      <c r="W439" s="4">
        <f t="shared" si="312"/>
        <v>0.73204982249993378</v>
      </c>
      <c r="X439" s="4">
        <f t="shared" si="312"/>
        <v>0.65145592958786691</v>
      </c>
      <c r="Y439" s="4">
        <f t="shared" si="312"/>
        <v>0.56032247880849573</v>
      </c>
      <c r="Z439" s="4">
        <f t="shared" si="312"/>
        <v>0.46411326873185343</v>
      </c>
      <c r="AA439" s="4">
        <f t="shared" si="312"/>
        <v>0.36979727595523937</v>
      </c>
      <c r="AB439" s="4">
        <f t="shared" si="312"/>
        <v>0.28393948637231203</v>
      </c>
      <c r="AC439" s="4">
        <f t="shared" si="312"/>
        <v>0.21097259161117732</v>
      </c>
      <c r="AD439" s="4">
        <f t="shared" si="312"/>
        <v>0.15253917653798199</v>
      </c>
      <c r="AE439" s="4">
        <f t="shared" si="312"/>
        <v>0.10795188737709993</v>
      </c>
      <c r="AF439" s="4">
        <f t="shared" si="312"/>
        <v>7.5176653938091809E-2</v>
      </c>
      <c r="AG439" s="4">
        <f t="shared" si="312"/>
        <v>5.1742836177502194E-2</v>
      </c>
      <c r="AH439" s="4">
        <f t="shared" si="312"/>
        <v>3.5319190625345942E-2</v>
      </c>
      <c r="AI439" s="4">
        <f t="shared" si="312"/>
        <v>2.3969442072658165E-2</v>
      </c>
      <c r="AJ439" s="4">
        <f t="shared" si="312"/>
        <v>1.6202243558389728E-2</v>
      </c>
      <c r="AK439" s="4">
        <f t="shared" si="312"/>
        <v>1.0922240564108399E-2</v>
      </c>
      <c r="AL439" s="4">
        <f t="shared" si="312"/>
        <v>7.3493212906090566E-3</v>
      </c>
      <c r="AM439" s="4">
        <f t="shared" si="312"/>
        <v>4.9390262185057265E-3</v>
      </c>
      <c r="AN439" s="4">
        <f t="shared" si="312"/>
        <v>3.3164275492956197E-3</v>
      </c>
      <c r="AO439" s="4">
        <f t="shared" si="312"/>
        <v>2.2256362146679809E-3</v>
      </c>
      <c r="AP439" s="4">
        <f t="shared" si="312"/>
        <v>1.4930448704811861E-3</v>
      </c>
      <c r="AQ439" s="4">
        <f t="shared" si="312"/>
        <v>1.0013381504474506E-3</v>
      </c>
      <c r="AR439" s="4">
        <f t="shared" si="312"/>
        <v>6.7145100246257527E-4</v>
      </c>
    </row>
    <row r="440" spans="1:44" x14ac:dyDescent="0.25">
      <c r="A440" s="24" t="s">
        <v>28</v>
      </c>
      <c r="B440" s="60">
        <f>'Parameter Input'!$L$46</f>
        <v>-58500</v>
      </c>
      <c r="C440" s="61">
        <f>'Parameter Input'!$M$46</f>
        <v>-38750</v>
      </c>
      <c r="D440" s="1" t="s">
        <v>15</v>
      </c>
      <c r="L440" s="54">
        <f>'Parameter Input'!$O$46</f>
        <v>9</v>
      </c>
      <c r="M440" s="37">
        <v>0</v>
      </c>
      <c r="N440" s="37">
        <v>1</v>
      </c>
      <c r="O440" s="37">
        <f>'Parameter Input'!$P$46</f>
        <v>0.9</v>
      </c>
      <c r="P440" s="55">
        <f>'Parameter Input'!$Q$46</f>
        <v>0.4</v>
      </c>
      <c r="Q440" s="4">
        <f t="shared" si="312"/>
        <v>0.96177484161592774</v>
      </c>
      <c r="R440" s="4">
        <f t="shared" si="312"/>
        <v>0.94584787155511363</v>
      </c>
      <c r="S440" s="4">
        <f t="shared" si="312"/>
        <v>0.92370360150141495</v>
      </c>
      <c r="T440" s="4">
        <f t="shared" si="312"/>
        <v>0.89334463567658451</v>
      </c>
      <c r="U440" s="4">
        <f t="shared" si="312"/>
        <v>0.85254543874327005</v>
      </c>
      <c r="V440" s="4">
        <f t="shared" si="312"/>
        <v>0.79921300652623883</v>
      </c>
      <c r="W440" s="4">
        <f t="shared" si="312"/>
        <v>0.73204982249993378</v>
      </c>
      <c r="X440" s="4">
        <f t="shared" si="312"/>
        <v>0.65145592958786691</v>
      </c>
      <c r="Y440" s="4">
        <f t="shared" si="312"/>
        <v>0.56032247880849573</v>
      </c>
      <c r="Z440" s="4">
        <f t="shared" si="312"/>
        <v>0.46411326873185343</v>
      </c>
      <c r="AA440" s="4">
        <f t="shared" si="312"/>
        <v>0.36979727595523937</v>
      </c>
      <c r="AB440" s="4">
        <f t="shared" si="312"/>
        <v>0.28393948637231203</v>
      </c>
      <c r="AC440" s="4">
        <f t="shared" si="312"/>
        <v>0.21097259161117732</v>
      </c>
      <c r="AD440" s="4">
        <f t="shared" si="312"/>
        <v>0.15253917653798199</v>
      </c>
      <c r="AE440" s="4">
        <f t="shared" si="312"/>
        <v>0.10795188737709993</v>
      </c>
      <c r="AF440" s="4">
        <f t="shared" si="312"/>
        <v>7.5176653938091809E-2</v>
      </c>
      <c r="AG440" s="4">
        <f t="shared" si="312"/>
        <v>5.1742836177502194E-2</v>
      </c>
      <c r="AH440" s="4">
        <f t="shared" si="312"/>
        <v>3.5319190625345942E-2</v>
      </c>
      <c r="AI440" s="4">
        <f t="shared" si="312"/>
        <v>2.3969442072658165E-2</v>
      </c>
      <c r="AJ440" s="4">
        <f t="shared" si="312"/>
        <v>1.6202243558389728E-2</v>
      </c>
      <c r="AK440" s="4">
        <f t="shared" si="312"/>
        <v>1.0922240564108399E-2</v>
      </c>
      <c r="AL440" s="4">
        <f t="shared" si="312"/>
        <v>7.3493212906090566E-3</v>
      </c>
      <c r="AM440" s="4">
        <f t="shared" si="312"/>
        <v>4.9390262185057265E-3</v>
      </c>
      <c r="AN440" s="4">
        <f t="shared" si="312"/>
        <v>3.3164275492956197E-3</v>
      </c>
      <c r="AO440" s="4">
        <f t="shared" si="312"/>
        <v>2.2256362146679809E-3</v>
      </c>
      <c r="AP440" s="4">
        <f t="shared" si="312"/>
        <v>1.4930448704811861E-3</v>
      </c>
      <c r="AQ440" s="4">
        <f t="shared" si="312"/>
        <v>1.0013381504474506E-3</v>
      </c>
      <c r="AR440" s="4">
        <f t="shared" si="312"/>
        <v>6.7145100246257527E-4</v>
      </c>
    </row>
    <row r="441" spans="1:44" x14ac:dyDescent="0.25">
      <c r="A441" s="24" t="s">
        <v>14</v>
      </c>
      <c r="B441" s="60">
        <f>'Parameter Input'!B73</f>
        <v>35000</v>
      </c>
      <c r="C441" s="61">
        <f>'Parameter Input'!C73</f>
        <v>35000</v>
      </c>
      <c r="D441" s="1" t="s">
        <v>15</v>
      </c>
      <c r="L441" s="54">
        <f>'Parameter Input'!E73</f>
        <v>12</v>
      </c>
      <c r="M441" s="37">
        <v>0</v>
      </c>
      <c r="N441" s="37">
        <v>1</v>
      </c>
      <c r="O441" s="37">
        <f>'Parameter Input'!F59</f>
        <v>0.9</v>
      </c>
      <c r="P441" s="55">
        <f>'Parameter Input'!G73</f>
        <v>0.4</v>
      </c>
      <c r="Q441" s="4">
        <f t="shared" si="312"/>
        <v>0.9867978615748374</v>
      </c>
      <c r="R441" s="4">
        <f t="shared" si="312"/>
        <v>0.98114509762858249</v>
      </c>
      <c r="S441" s="4">
        <f t="shared" si="312"/>
        <v>0.97311898315872036</v>
      </c>
      <c r="T441" s="4">
        <f t="shared" si="312"/>
        <v>0.96177484161592774</v>
      </c>
      <c r="U441" s="4">
        <f t="shared" si="312"/>
        <v>0.94584787155511363</v>
      </c>
      <c r="V441" s="4">
        <f t="shared" si="312"/>
        <v>0.92370360150141495</v>
      </c>
      <c r="W441" s="4">
        <f t="shared" si="312"/>
        <v>0.89334463567658451</v>
      </c>
      <c r="X441" s="4">
        <f t="shared" si="312"/>
        <v>0.85254543874327005</v>
      </c>
      <c r="Y441" s="4">
        <f t="shared" si="312"/>
        <v>0.79921300652623883</v>
      </c>
      <c r="Z441" s="4">
        <f t="shared" si="312"/>
        <v>0.73204982249993378</v>
      </c>
      <c r="AA441" s="4">
        <f t="shared" si="312"/>
        <v>0.65145592958786691</v>
      </c>
      <c r="AB441" s="4">
        <f t="shared" si="312"/>
        <v>0.56032247880849573</v>
      </c>
      <c r="AC441" s="4">
        <f t="shared" si="312"/>
        <v>0.46411326873185343</v>
      </c>
      <c r="AD441" s="4">
        <f t="shared" si="312"/>
        <v>0.36979727595523937</v>
      </c>
      <c r="AE441" s="4">
        <f t="shared" si="312"/>
        <v>0.28393948637231203</v>
      </c>
      <c r="AF441" s="4">
        <f t="shared" si="312"/>
        <v>0.21097259161117732</v>
      </c>
      <c r="AG441" s="4">
        <f t="shared" si="312"/>
        <v>0.15253917653798199</v>
      </c>
      <c r="AH441" s="4">
        <f t="shared" si="312"/>
        <v>0.10795188737709993</v>
      </c>
      <c r="AI441" s="4">
        <f t="shared" si="312"/>
        <v>7.5176653938091809E-2</v>
      </c>
      <c r="AJ441" s="4">
        <f t="shared" si="312"/>
        <v>5.1742836177502194E-2</v>
      </c>
      <c r="AK441" s="4">
        <f t="shared" si="312"/>
        <v>3.5319190625345942E-2</v>
      </c>
      <c r="AL441" s="4">
        <f t="shared" si="312"/>
        <v>2.3969442072658165E-2</v>
      </c>
      <c r="AM441" s="4">
        <f t="shared" si="312"/>
        <v>1.6202243558389728E-2</v>
      </c>
      <c r="AN441" s="4">
        <f t="shared" si="312"/>
        <v>1.0922240564108399E-2</v>
      </c>
      <c r="AO441" s="4">
        <f t="shared" si="312"/>
        <v>7.3493212906090566E-3</v>
      </c>
      <c r="AP441" s="4">
        <f t="shared" si="312"/>
        <v>4.9390262185057265E-3</v>
      </c>
      <c r="AQ441" s="4">
        <f t="shared" si="312"/>
        <v>3.3164275492956197E-3</v>
      </c>
      <c r="AR441" s="4">
        <f t="shared" si="312"/>
        <v>2.2256362146679809E-3</v>
      </c>
    </row>
    <row r="442" spans="1:44" x14ac:dyDescent="0.25">
      <c r="A442" s="24" t="s">
        <v>25</v>
      </c>
      <c r="B442" s="60">
        <f>'Parameter Input'!B74</f>
        <v>-8750</v>
      </c>
      <c r="C442" s="61">
        <f>'Parameter Input'!C74</f>
        <v>-8750</v>
      </c>
      <c r="D442" s="1" t="s">
        <v>15</v>
      </c>
      <c r="L442" s="54">
        <f>'Parameter Input'!E74</f>
        <v>12</v>
      </c>
      <c r="M442" s="37">
        <v>0</v>
      </c>
      <c r="N442" s="37">
        <v>1</v>
      </c>
      <c r="O442" s="37">
        <f>'Parameter Input'!F74</f>
        <v>0.9</v>
      </c>
      <c r="P442" s="55">
        <f>'Parameter Input'!G74</f>
        <v>0.4</v>
      </c>
      <c r="Q442" s="4">
        <f t="shared" si="312"/>
        <v>0.9867978615748374</v>
      </c>
      <c r="R442" s="4">
        <f t="shared" si="312"/>
        <v>0.98114509762858249</v>
      </c>
      <c r="S442" s="4">
        <f t="shared" si="312"/>
        <v>0.97311898315872036</v>
      </c>
      <c r="T442" s="4">
        <f t="shared" si="312"/>
        <v>0.96177484161592774</v>
      </c>
      <c r="U442" s="4">
        <f t="shared" si="312"/>
        <v>0.94584787155511363</v>
      </c>
      <c r="V442" s="4">
        <f t="shared" si="312"/>
        <v>0.92370360150141495</v>
      </c>
      <c r="W442" s="4">
        <f t="shared" si="312"/>
        <v>0.89334463567658451</v>
      </c>
      <c r="X442" s="4">
        <f t="shared" si="312"/>
        <v>0.85254543874327005</v>
      </c>
      <c r="Y442" s="4">
        <f t="shared" si="312"/>
        <v>0.79921300652623883</v>
      </c>
      <c r="Z442" s="4">
        <f t="shared" si="312"/>
        <v>0.73204982249993378</v>
      </c>
      <c r="AA442" s="4">
        <f t="shared" si="312"/>
        <v>0.65145592958786691</v>
      </c>
      <c r="AB442" s="4">
        <f t="shared" si="312"/>
        <v>0.56032247880849573</v>
      </c>
      <c r="AC442" s="4">
        <f t="shared" si="312"/>
        <v>0.46411326873185343</v>
      </c>
      <c r="AD442" s="4">
        <f t="shared" si="312"/>
        <v>0.36979727595523937</v>
      </c>
      <c r="AE442" s="4">
        <f t="shared" si="312"/>
        <v>0.28393948637231203</v>
      </c>
      <c r="AF442" s="4">
        <f t="shared" si="312"/>
        <v>0.21097259161117732</v>
      </c>
      <c r="AG442" s="4">
        <f t="shared" si="312"/>
        <v>0.15253917653798199</v>
      </c>
      <c r="AH442" s="4">
        <f t="shared" si="312"/>
        <v>0.10795188737709993</v>
      </c>
      <c r="AI442" s="4">
        <f t="shared" si="312"/>
        <v>7.5176653938091809E-2</v>
      </c>
      <c r="AJ442" s="4">
        <f t="shared" si="312"/>
        <v>5.1742836177502194E-2</v>
      </c>
      <c r="AK442" s="4">
        <f t="shared" si="312"/>
        <v>3.5319190625345942E-2</v>
      </c>
      <c r="AL442" s="4">
        <f t="shared" si="312"/>
        <v>2.3969442072658165E-2</v>
      </c>
      <c r="AM442" s="4">
        <f t="shared" si="312"/>
        <v>1.6202243558389728E-2</v>
      </c>
      <c r="AN442" s="4">
        <f t="shared" si="312"/>
        <v>1.0922240564108399E-2</v>
      </c>
      <c r="AO442" s="4">
        <f t="shared" si="312"/>
        <v>7.3493212906090566E-3</v>
      </c>
      <c r="AP442" s="4">
        <f t="shared" si="312"/>
        <v>4.9390262185057265E-3</v>
      </c>
      <c r="AQ442" s="4">
        <f t="shared" si="312"/>
        <v>3.3164275492956197E-3</v>
      </c>
      <c r="AR442" s="4">
        <f t="shared" si="312"/>
        <v>2.2256362146679809E-3</v>
      </c>
    </row>
    <row r="443" spans="1:44" x14ac:dyDescent="0.25">
      <c r="A443" s="24" t="s">
        <v>79</v>
      </c>
      <c r="B443" s="45">
        <f>'Parameter Input'!$L$52</f>
        <v>0.06</v>
      </c>
      <c r="C443" s="46">
        <f>'Parameter Input'!$M$52</f>
        <v>0.06</v>
      </c>
      <c r="D443" s="1" t="s">
        <v>57</v>
      </c>
      <c r="L443" s="54">
        <f>'Parameter Input'!$O$52</f>
        <v>12</v>
      </c>
      <c r="M443" s="37">
        <v>0</v>
      </c>
      <c r="N443" s="37">
        <v>1</v>
      </c>
      <c r="O443" s="37">
        <f>'Parameter Input'!$P$52</f>
        <v>0.9</v>
      </c>
      <c r="P443" s="55">
        <f>'Parameter Input'!$Q$52</f>
        <v>0.4</v>
      </c>
      <c r="Q443" s="4">
        <f t="shared" si="312"/>
        <v>0.9867978615748374</v>
      </c>
      <c r="R443" s="4">
        <f t="shared" si="312"/>
        <v>0.98114509762858249</v>
      </c>
      <c r="S443" s="4">
        <f t="shared" si="312"/>
        <v>0.97311898315872036</v>
      </c>
      <c r="T443" s="4">
        <f t="shared" si="312"/>
        <v>0.96177484161592774</v>
      </c>
      <c r="U443" s="4">
        <f t="shared" si="312"/>
        <v>0.94584787155511363</v>
      </c>
      <c r="V443" s="4">
        <f t="shared" si="312"/>
        <v>0.92370360150141495</v>
      </c>
      <c r="W443" s="4">
        <f t="shared" si="312"/>
        <v>0.89334463567658451</v>
      </c>
      <c r="X443" s="4">
        <f t="shared" si="312"/>
        <v>0.85254543874327005</v>
      </c>
      <c r="Y443" s="4">
        <f t="shared" si="312"/>
        <v>0.79921300652623883</v>
      </c>
      <c r="Z443" s="4">
        <f t="shared" si="312"/>
        <v>0.73204982249993378</v>
      </c>
      <c r="AA443" s="4">
        <f t="shared" si="312"/>
        <v>0.65145592958786691</v>
      </c>
      <c r="AB443" s="4">
        <f t="shared" si="312"/>
        <v>0.56032247880849573</v>
      </c>
      <c r="AC443" s="4">
        <f t="shared" si="312"/>
        <v>0.46411326873185343</v>
      </c>
      <c r="AD443" s="4">
        <f t="shared" si="312"/>
        <v>0.36979727595523937</v>
      </c>
      <c r="AE443" s="4">
        <f t="shared" si="312"/>
        <v>0.28393948637231203</v>
      </c>
      <c r="AF443" s="4">
        <f t="shared" si="312"/>
        <v>0.21097259161117732</v>
      </c>
      <c r="AG443" s="4">
        <f t="shared" si="312"/>
        <v>0.15253917653798199</v>
      </c>
      <c r="AH443" s="4">
        <f t="shared" si="312"/>
        <v>0.10795188737709993</v>
      </c>
      <c r="AI443" s="4">
        <f t="shared" si="312"/>
        <v>7.5176653938091809E-2</v>
      </c>
      <c r="AJ443" s="4">
        <f t="shared" si="312"/>
        <v>5.1742836177502194E-2</v>
      </c>
      <c r="AK443" s="4">
        <f t="shared" si="312"/>
        <v>3.5319190625345942E-2</v>
      </c>
      <c r="AL443" s="4">
        <f t="shared" si="312"/>
        <v>2.3969442072658165E-2</v>
      </c>
      <c r="AM443" s="4">
        <f t="shared" si="312"/>
        <v>1.6202243558389728E-2</v>
      </c>
      <c r="AN443" s="4">
        <f t="shared" si="312"/>
        <v>1.0922240564108399E-2</v>
      </c>
      <c r="AO443" s="4">
        <f t="shared" si="312"/>
        <v>7.3493212906090566E-3</v>
      </c>
      <c r="AP443" s="4">
        <f t="shared" si="312"/>
        <v>4.9390262185057265E-3</v>
      </c>
      <c r="AQ443" s="4">
        <f t="shared" si="312"/>
        <v>3.3164275492956197E-3</v>
      </c>
      <c r="AR443" s="4">
        <f t="shared" si="312"/>
        <v>2.2256362146679809E-3</v>
      </c>
    </row>
    <row r="444" spans="1:44" x14ac:dyDescent="0.25">
      <c r="A444" s="24" t="s">
        <v>37</v>
      </c>
      <c r="B444" s="60">
        <f>'Parameter Input'!B75</f>
        <v>70000</v>
      </c>
      <c r="C444" s="61">
        <f>'Parameter Input'!C75</f>
        <v>70000</v>
      </c>
      <c r="D444" s="1" t="s">
        <v>38</v>
      </c>
      <c r="L444" s="54">
        <f>'Parameter Input'!E75</f>
        <v>12</v>
      </c>
      <c r="M444" s="37">
        <v>0</v>
      </c>
      <c r="N444" s="37">
        <v>1</v>
      </c>
      <c r="O444" s="37">
        <f>'Parameter Input'!F75</f>
        <v>0.9</v>
      </c>
      <c r="P444" s="55">
        <f>'Parameter Input'!G75</f>
        <v>0.4</v>
      </c>
      <c r="Q444" s="4">
        <f t="shared" si="312"/>
        <v>0.9867978615748374</v>
      </c>
      <c r="R444" s="4">
        <f t="shared" si="312"/>
        <v>0.98114509762858249</v>
      </c>
      <c r="S444" s="4">
        <f t="shared" si="312"/>
        <v>0.97311898315872036</v>
      </c>
      <c r="T444" s="4">
        <f t="shared" si="312"/>
        <v>0.96177484161592774</v>
      </c>
      <c r="U444" s="4">
        <f t="shared" si="312"/>
        <v>0.94584787155511363</v>
      </c>
      <c r="V444" s="4">
        <f t="shared" si="312"/>
        <v>0.92370360150141495</v>
      </c>
      <c r="W444" s="4">
        <f t="shared" si="312"/>
        <v>0.89334463567658451</v>
      </c>
      <c r="X444" s="4">
        <f t="shared" si="312"/>
        <v>0.85254543874327005</v>
      </c>
      <c r="Y444" s="4">
        <f t="shared" si="312"/>
        <v>0.79921300652623883</v>
      </c>
      <c r="Z444" s="4">
        <f t="shared" si="312"/>
        <v>0.73204982249993378</v>
      </c>
      <c r="AA444" s="4">
        <f t="shared" si="312"/>
        <v>0.65145592958786691</v>
      </c>
      <c r="AB444" s="4">
        <f t="shared" si="312"/>
        <v>0.56032247880849573</v>
      </c>
      <c r="AC444" s="4">
        <f t="shared" si="312"/>
        <v>0.46411326873185343</v>
      </c>
      <c r="AD444" s="4">
        <f t="shared" si="312"/>
        <v>0.36979727595523937</v>
      </c>
      <c r="AE444" s="4">
        <f t="shared" si="312"/>
        <v>0.28393948637231203</v>
      </c>
      <c r="AF444" s="4">
        <f t="shared" si="312"/>
        <v>0.21097259161117732</v>
      </c>
      <c r="AG444" s="4">
        <f t="shared" si="312"/>
        <v>0.15253917653798199</v>
      </c>
      <c r="AH444" s="4">
        <f t="shared" si="312"/>
        <v>0.10795188737709993</v>
      </c>
      <c r="AI444" s="4">
        <f t="shared" si="312"/>
        <v>7.5176653938091809E-2</v>
      </c>
      <c r="AJ444" s="4">
        <f t="shared" si="312"/>
        <v>5.1742836177502194E-2</v>
      </c>
      <c r="AK444" s="4">
        <f t="shared" si="312"/>
        <v>3.5319190625345942E-2</v>
      </c>
      <c r="AL444" s="4">
        <f t="shared" si="312"/>
        <v>2.3969442072658165E-2</v>
      </c>
      <c r="AM444" s="4">
        <f t="shared" si="312"/>
        <v>1.6202243558389728E-2</v>
      </c>
      <c r="AN444" s="4">
        <f t="shared" si="312"/>
        <v>1.0922240564108399E-2</v>
      </c>
      <c r="AO444" s="4">
        <f t="shared" si="312"/>
        <v>7.3493212906090566E-3</v>
      </c>
      <c r="AP444" s="4">
        <f t="shared" si="312"/>
        <v>4.9390262185057265E-3</v>
      </c>
      <c r="AQ444" s="4">
        <f t="shared" si="312"/>
        <v>3.3164275492956197E-3</v>
      </c>
      <c r="AR444" s="4">
        <f t="shared" si="312"/>
        <v>2.2256362146679809E-3</v>
      </c>
    </row>
    <row r="445" spans="1:44" x14ac:dyDescent="0.25">
      <c r="A445" s="24" t="s">
        <v>52</v>
      </c>
      <c r="B445" s="43">
        <f>'Parameter Input'!$L$48</f>
        <v>26000</v>
      </c>
      <c r="C445" s="44">
        <f>'Parameter Input'!$M$48</f>
        <v>18000</v>
      </c>
      <c r="D445" s="1" t="s">
        <v>38</v>
      </c>
      <c r="L445" s="54">
        <f>'Parameter Input'!$O$48</f>
        <v>9</v>
      </c>
      <c r="M445" s="37">
        <v>0</v>
      </c>
      <c r="N445" s="37">
        <v>1</v>
      </c>
      <c r="O445" s="37">
        <f>'Parameter Input'!$P$48</f>
        <v>0.9</v>
      </c>
      <c r="P445" s="55">
        <f>'Parameter Input'!$Q$48</f>
        <v>0.4</v>
      </c>
      <c r="Q445" s="4">
        <f t="shared" si="312"/>
        <v>0.96177484161592774</v>
      </c>
      <c r="R445" s="4">
        <f t="shared" si="312"/>
        <v>0.94584787155511363</v>
      </c>
      <c r="S445" s="4">
        <f t="shared" si="312"/>
        <v>0.92370360150141495</v>
      </c>
      <c r="T445" s="4">
        <f t="shared" si="312"/>
        <v>0.89334463567658451</v>
      </c>
      <c r="U445" s="4">
        <f t="shared" si="312"/>
        <v>0.85254543874327005</v>
      </c>
      <c r="V445" s="4">
        <f t="shared" si="312"/>
        <v>0.79921300652623883</v>
      </c>
      <c r="W445" s="4">
        <f t="shared" si="312"/>
        <v>0.73204982249993378</v>
      </c>
      <c r="X445" s="4">
        <f t="shared" si="312"/>
        <v>0.65145592958786691</v>
      </c>
      <c r="Y445" s="4">
        <f t="shared" si="312"/>
        <v>0.56032247880849573</v>
      </c>
      <c r="Z445" s="4">
        <f t="shared" si="312"/>
        <v>0.46411326873185343</v>
      </c>
      <c r="AA445" s="4">
        <f t="shared" si="312"/>
        <v>0.36979727595523937</v>
      </c>
      <c r="AB445" s="4">
        <f t="shared" si="312"/>
        <v>0.28393948637231203</v>
      </c>
      <c r="AC445" s="4">
        <f t="shared" si="312"/>
        <v>0.21097259161117732</v>
      </c>
      <c r="AD445" s="4">
        <f t="shared" si="312"/>
        <v>0.15253917653798199</v>
      </c>
      <c r="AE445" s="4">
        <f t="shared" si="312"/>
        <v>0.10795188737709993</v>
      </c>
      <c r="AF445" s="4">
        <f t="shared" si="312"/>
        <v>7.5176653938091809E-2</v>
      </c>
      <c r="AG445" s="4">
        <f t="shared" si="312"/>
        <v>5.1742836177502194E-2</v>
      </c>
      <c r="AH445" s="4">
        <f t="shared" si="312"/>
        <v>3.5319190625345942E-2</v>
      </c>
      <c r="AI445" s="4">
        <f t="shared" si="312"/>
        <v>2.3969442072658165E-2</v>
      </c>
      <c r="AJ445" s="4">
        <f t="shared" si="312"/>
        <v>1.6202243558389728E-2</v>
      </c>
      <c r="AK445" s="4">
        <f t="shared" si="312"/>
        <v>1.0922240564108399E-2</v>
      </c>
      <c r="AL445" s="4">
        <f t="shared" si="312"/>
        <v>7.3493212906090566E-3</v>
      </c>
      <c r="AM445" s="4">
        <f t="shared" si="312"/>
        <v>4.9390262185057265E-3</v>
      </c>
      <c r="AN445" s="4">
        <f t="shared" si="312"/>
        <v>3.3164275492956197E-3</v>
      </c>
      <c r="AO445" s="4">
        <f t="shared" si="312"/>
        <v>2.2256362146679809E-3</v>
      </c>
      <c r="AP445" s="4">
        <f t="shared" si="312"/>
        <v>1.4930448704811861E-3</v>
      </c>
      <c r="AQ445" s="4">
        <f t="shared" si="312"/>
        <v>1.0013381504474506E-3</v>
      </c>
      <c r="AR445" s="4">
        <f t="shared" si="312"/>
        <v>6.7145100246257527E-4</v>
      </c>
    </row>
    <row r="446" spans="1:44" x14ac:dyDescent="0.25">
      <c r="A446" s="24" t="s">
        <v>272</v>
      </c>
      <c r="B446" s="60">
        <f>'Parameter Input'!B80</f>
        <v>0.11</v>
      </c>
      <c r="C446" s="61">
        <f>'Parameter Input'!C80</f>
        <v>0.11</v>
      </c>
      <c r="D446" s="1" t="s">
        <v>76</v>
      </c>
      <c r="L446" s="54">
        <f>'Parameter Input'!E80</f>
        <v>12</v>
      </c>
      <c r="M446" s="37">
        <v>0</v>
      </c>
      <c r="N446" s="37">
        <v>1</v>
      </c>
      <c r="O446" s="37">
        <f>'Parameter Input'!F80</f>
        <v>0.9</v>
      </c>
      <c r="P446" s="55">
        <f>'Parameter Input'!G80</f>
        <v>0.4</v>
      </c>
      <c r="Q446" s="4">
        <f t="shared" si="312"/>
        <v>0.9867978615748374</v>
      </c>
      <c r="R446" s="4">
        <f t="shared" si="312"/>
        <v>0.98114509762858249</v>
      </c>
      <c r="S446" s="4">
        <f t="shared" si="312"/>
        <v>0.97311898315872036</v>
      </c>
      <c r="T446" s="4">
        <f t="shared" si="312"/>
        <v>0.96177484161592774</v>
      </c>
      <c r="U446" s="4">
        <f t="shared" si="312"/>
        <v>0.94584787155511363</v>
      </c>
      <c r="V446" s="4">
        <f t="shared" si="312"/>
        <v>0.92370360150141495</v>
      </c>
      <c r="W446" s="4">
        <f t="shared" si="312"/>
        <v>0.89334463567658451</v>
      </c>
      <c r="X446" s="4">
        <f t="shared" si="312"/>
        <v>0.85254543874327005</v>
      </c>
      <c r="Y446" s="4">
        <f t="shared" si="312"/>
        <v>0.79921300652623883</v>
      </c>
      <c r="Z446" s="4">
        <f t="shared" si="312"/>
        <v>0.73204982249993378</v>
      </c>
      <c r="AA446" s="4">
        <f t="shared" si="312"/>
        <v>0.65145592958786691</v>
      </c>
      <c r="AB446" s="4">
        <f t="shared" si="312"/>
        <v>0.56032247880849573</v>
      </c>
      <c r="AC446" s="4">
        <f t="shared" si="312"/>
        <v>0.46411326873185343</v>
      </c>
      <c r="AD446" s="4">
        <f t="shared" si="312"/>
        <v>0.36979727595523937</v>
      </c>
      <c r="AE446" s="4">
        <f t="shared" si="312"/>
        <v>0.28393948637231203</v>
      </c>
      <c r="AF446" s="4">
        <f t="shared" si="312"/>
        <v>0.21097259161117732</v>
      </c>
      <c r="AG446" s="4">
        <f t="shared" si="312"/>
        <v>0.15253917653798199</v>
      </c>
      <c r="AH446" s="4">
        <f t="shared" si="312"/>
        <v>0.10795188737709993</v>
      </c>
      <c r="AI446" s="4">
        <f t="shared" si="312"/>
        <v>7.5176653938091809E-2</v>
      </c>
      <c r="AJ446" s="4">
        <f t="shared" si="312"/>
        <v>5.1742836177502194E-2</v>
      </c>
      <c r="AK446" s="4">
        <f t="shared" si="312"/>
        <v>3.5319190625345942E-2</v>
      </c>
      <c r="AL446" s="4">
        <f t="shared" si="312"/>
        <v>2.3969442072658165E-2</v>
      </c>
      <c r="AM446" s="4">
        <f t="shared" si="312"/>
        <v>1.6202243558389728E-2</v>
      </c>
      <c r="AN446" s="4">
        <f t="shared" si="312"/>
        <v>1.0922240564108399E-2</v>
      </c>
      <c r="AO446" s="4">
        <f t="shared" si="312"/>
        <v>7.3493212906090566E-3</v>
      </c>
      <c r="AP446" s="4">
        <f t="shared" si="312"/>
        <v>4.9390262185057265E-3</v>
      </c>
      <c r="AQ446" s="4">
        <f t="shared" si="312"/>
        <v>3.3164275492956197E-3</v>
      </c>
      <c r="AR446" s="4">
        <f t="shared" si="312"/>
        <v>2.2256362146679809E-3</v>
      </c>
    </row>
    <row r="447" spans="1:44" x14ac:dyDescent="0.25">
      <c r="A447" s="24" t="s">
        <v>59</v>
      </c>
      <c r="B447" s="47">
        <f>'Parameter Input'!$L$49</f>
        <v>2.5299999999999998</v>
      </c>
      <c r="C447" s="48">
        <f>'Parameter Input'!$M$49</f>
        <v>1.79</v>
      </c>
      <c r="D447" s="1" t="s">
        <v>60</v>
      </c>
      <c r="L447" s="54">
        <f>'Parameter Input'!$O$49</f>
        <v>9</v>
      </c>
      <c r="M447" s="37">
        <v>0</v>
      </c>
      <c r="N447" s="37">
        <v>1</v>
      </c>
      <c r="O447" s="37">
        <f>'Parameter Input'!$P$49</f>
        <v>0.9</v>
      </c>
      <c r="P447" s="55">
        <f>'Parameter Input'!$Q$49</f>
        <v>0.4</v>
      </c>
      <c r="Q447" s="4">
        <f t="shared" si="312"/>
        <v>0.96177484161592774</v>
      </c>
      <c r="R447" s="4">
        <f t="shared" si="312"/>
        <v>0.94584787155511363</v>
      </c>
      <c r="S447" s="4">
        <f t="shared" si="312"/>
        <v>0.92370360150141495</v>
      </c>
      <c r="T447" s="4">
        <f t="shared" si="312"/>
        <v>0.89334463567658451</v>
      </c>
      <c r="U447" s="4">
        <f t="shared" si="312"/>
        <v>0.85254543874327005</v>
      </c>
      <c r="V447" s="4">
        <f t="shared" si="312"/>
        <v>0.79921300652623883</v>
      </c>
      <c r="W447" s="4">
        <f t="shared" si="312"/>
        <v>0.73204982249993378</v>
      </c>
      <c r="X447" s="4">
        <f t="shared" si="312"/>
        <v>0.65145592958786691</v>
      </c>
      <c r="Y447" s="4">
        <f t="shared" si="312"/>
        <v>0.56032247880849573</v>
      </c>
      <c r="Z447" s="4">
        <f t="shared" si="312"/>
        <v>0.46411326873185343</v>
      </c>
      <c r="AA447" s="4">
        <f t="shared" si="312"/>
        <v>0.36979727595523937</v>
      </c>
      <c r="AB447" s="4">
        <f t="shared" si="312"/>
        <v>0.28393948637231203</v>
      </c>
      <c r="AC447" s="4">
        <f t="shared" si="312"/>
        <v>0.21097259161117732</v>
      </c>
      <c r="AD447" s="4">
        <f t="shared" si="312"/>
        <v>0.15253917653798199</v>
      </c>
      <c r="AE447" s="4">
        <f t="shared" si="312"/>
        <v>0.10795188737709993</v>
      </c>
      <c r="AF447" s="4">
        <f t="shared" si="312"/>
        <v>7.5176653938091809E-2</v>
      </c>
      <c r="AG447" s="4">
        <f t="shared" si="312"/>
        <v>5.1742836177502194E-2</v>
      </c>
      <c r="AH447" s="4">
        <f t="shared" si="312"/>
        <v>3.5319190625345942E-2</v>
      </c>
      <c r="AI447" s="4">
        <f t="shared" si="312"/>
        <v>2.3969442072658165E-2</v>
      </c>
      <c r="AJ447" s="4">
        <f t="shared" si="312"/>
        <v>1.6202243558389728E-2</v>
      </c>
      <c r="AK447" s="4">
        <f t="shared" si="312"/>
        <v>1.0922240564108399E-2</v>
      </c>
      <c r="AL447" s="4">
        <f t="shared" si="312"/>
        <v>7.3493212906090566E-3</v>
      </c>
      <c r="AM447" s="4">
        <f t="shared" si="312"/>
        <v>4.9390262185057265E-3</v>
      </c>
      <c r="AN447" s="4">
        <f t="shared" si="312"/>
        <v>3.3164275492956197E-3</v>
      </c>
      <c r="AO447" s="4">
        <f t="shared" si="312"/>
        <v>2.2256362146679809E-3</v>
      </c>
      <c r="AP447" s="4">
        <f t="shared" si="312"/>
        <v>1.4930448704811861E-3</v>
      </c>
      <c r="AQ447" s="4">
        <f t="shared" si="312"/>
        <v>1.0013381504474506E-3</v>
      </c>
      <c r="AR447" s="4">
        <f t="shared" si="312"/>
        <v>6.7145100246257527E-4</v>
      </c>
    </row>
    <row r="448" spans="1:44" x14ac:dyDescent="0.25">
      <c r="A448" s="24" t="s">
        <v>67</v>
      </c>
      <c r="B448" s="45">
        <f>'Parameter Input'!$L$50</f>
        <v>0.2544561408768215</v>
      </c>
      <c r="C448" s="46">
        <f>'Parameter Input'!$M$50</f>
        <v>0.10949010032952979</v>
      </c>
      <c r="D448" s="1" t="s">
        <v>68</v>
      </c>
      <c r="L448" s="54">
        <f>'Parameter Input'!$O$50</f>
        <v>12</v>
      </c>
      <c r="M448" s="37">
        <v>0</v>
      </c>
      <c r="N448" s="37">
        <v>1</v>
      </c>
      <c r="O448" s="37">
        <f>'Parameter Input'!$P$50</f>
        <v>0.9</v>
      </c>
      <c r="P448" s="55">
        <f>'Parameter Input'!$Q$50</f>
        <v>0.4</v>
      </c>
      <c r="Q448" s="4">
        <f t="shared" si="312"/>
        <v>0.9867978615748374</v>
      </c>
      <c r="R448" s="4">
        <f t="shared" si="312"/>
        <v>0.98114509762858249</v>
      </c>
      <c r="S448" s="4">
        <f t="shared" si="312"/>
        <v>0.97311898315872036</v>
      </c>
      <c r="T448" s="4">
        <f t="shared" ref="T448:AI455" si="313">$N448+($M448-$N448)*((1/(1+EXP(-$P448*(T$9-$L448)))^$O448))</f>
        <v>0.96177484161592774</v>
      </c>
      <c r="U448" s="4">
        <f t="shared" si="313"/>
        <v>0.94584787155511363</v>
      </c>
      <c r="V448" s="4">
        <f t="shared" si="313"/>
        <v>0.92370360150141495</v>
      </c>
      <c r="W448" s="4">
        <f t="shared" si="313"/>
        <v>0.89334463567658451</v>
      </c>
      <c r="X448" s="4">
        <f t="shared" si="313"/>
        <v>0.85254543874327005</v>
      </c>
      <c r="Y448" s="4">
        <f t="shared" si="313"/>
        <v>0.79921300652623883</v>
      </c>
      <c r="Z448" s="4">
        <f t="shared" si="313"/>
        <v>0.73204982249993378</v>
      </c>
      <c r="AA448" s="4">
        <f t="shared" si="313"/>
        <v>0.65145592958786691</v>
      </c>
      <c r="AB448" s="4">
        <f t="shared" si="313"/>
        <v>0.56032247880849573</v>
      </c>
      <c r="AC448" s="4">
        <f t="shared" si="313"/>
        <v>0.46411326873185343</v>
      </c>
      <c r="AD448" s="4">
        <f t="shared" si="313"/>
        <v>0.36979727595523937</v>
      </c>
      <c r="AE448" s="4">
        <f t="shared" si="313"/>
        <v>0.28393948637231203</v>
      </c>
      <c r="AF448" s="4">
        <f t="shared" si="313"/>
        <v>0.21097259161117732</v>
      </c>
      <c r="AG448" s="4">
        <f t="shared" si="313"/>
        <v>0.15253917653798199</v>
      </c>
      <c r="AH448" s="4">
        <f t="shared" si="313"/>
        <v>0.10795188737709993</v>
      </c>
      <c r="AI448" s="4">
        <f t="shared" si="313"/>
        <v>7.5176653938091809E-2</v>
      </c>
      <c r="AJ448" s="4">
        <f t="shared" ref="AJ448:AR455" si="314">$N448+($M448-$N448)*((1/(1+EXP(-$P448*(AJ$9-$L448)))^$O448))</f>
        <v>5.1742836177502194E-2</v>
      </c>
      <c r="AK448" s="4">
        <f t="shared" si="314"/>
        <v>3.5319190625345942E-2</v>
      </c>
      <c r="AL448" s="4">
        <f t="shared" si="314"/>
        <v>2.3969442072658165E-2</v>
      </c>
      <c r="AM448" s="4">
        <f t="shared" si="314"/>
        <v>1.6202243558389728E-2</v>
      </c>
      <c r="AN448" s="4">
        <f t="shared" si="314"/>
        <v>1.0922240564108399E-2</v>
      </c>
      <c r="AO448" s="4">
        <f t="shared" si="314"/>
        <v>7.3493212906090566E-3</v>
      </c>
      <c r="AP448" s="4">
        <f t="shared" si="314"/>
        <v>4.9390262185057265E-3</v>
      </c>
      <c r="AQ448" s="4">
        <f t="shared" si="314"/>
        <v>3.3164275492956197E-3</v>
      </c>
      <c r="AR448" s="4">
        <f t="shared" si="314"/>
        <v>2.2256362146679809E-3</v>
      </c>
    </row>
    <row r="449" spans="1:44" x14ac:dyDescent="0.25">
      <c r="A449" s="24" t="s">
        <v>206</v>
      </c>
      <c r="B449" s="115">
        <f>'Parameter Input'!$L$53</f>
        <v>9.1245901639344252E-3</v>
      </c>
      <c r="C449" s="116">
        <f>'Parameter Input'!$M$53</f>
        <v>0</v>
      </c>
      <c r="D449" s="1" t="s">
        <v>76</v>
      </c>
      <c r="L449" s="54">
        <f>'Parameter Input'!$O$53</f>
        <v>17</v>
      </c>
      <c r="M449" s="37">
        <v>0</v>
      </c>
      <c r="N449" s="37">
        <v>1</v>
      </c>
      <c r="O449" s="37">
        <f>'Parameter Input'!$P$53</f>
        <v>0.9</v>
      </c>
      <c r="P449" s="55">
        <f>'Parameter Input'!$Q$53</f>
        <v>0.4</v>
      </c>
      <c r="Q449" s="4">
        <f t="shared" ref="Q449:AR449" si="315">$N449+($M449-$N449)*((1/(1+EXP(-$P449*(Q$9-$L449)))^$O449))</f>
        <v>0.99780374543478534</v>
      </c>
      <c r="R449" s="4">
        <f t="shared" si="315"/>
        <v>0.99685359315256394</v>
      </c>
      <c r="S449" s="4">
        <f t="shared" si="315"/>
        <v>0.99549347132349975</v>
      </c>
      <c r="T449" s="4">
        <f t="shared" si="315"/>
        <v>0.99354772139898062</v>
      </c>
      <c r="U449" s="4">
        <f t="shared" si="315"/>
        <v>0.99076681540580536</v>
      </c>
      <c r="V449" s="4">
        <f t="shared" si="315"/>
        <v>0.9867978615748374</v>
      </c>
      <c r="W449" s="4">
        <f t="shared" si="315"/>
        <v>0.98114509762858249</v>
      </c>
      <c r="X449" s="4">
        <f t="shared" si="315"/>
        <v>0.97311898315872036</v>
      </c>
      <c r="Y449" s="4">
        <f t="shared" si="315"/>
        <v>0.96177484161592774</v>
      </c>
      <c r="Z449" s="4">
        <f t="shared" si="315"/>
        <v>0.94584787155511363</v>
      </c>
      <c r="AA449" s="4">
        <f t="shared" si="315"/>
        <v>0.92370360150141495</v>
      </c>
      <c r="AB449" s="4">
        <f t="shared" si="315"/>
        <v>0.89334463567658451</v>
      </c>
      <c r="AC449" s="4">
        <f t="shared" si="315"/>
        <v>0.85254543874327005</v>
      </c>
      <c r="AD449" s="4">
        <f t="shared" si="315"/>
        <v>0.79921300652623883</v>
      </c>
      <c r="AE449" s="4">
        <f t="shared" si="315"/>
        <v>0.73204982249993378</v>
      </c>
      <c r="AF449" s="4">
        <f t="shared" si="315"/>
        <v>0.65145592958786691</v>
      </c>
      <c r="AG449" s="4">
        <f t="shared" si="315"/>
        <v>0.56032247880849573</v>
      </c>
      <c r="AH449" s="4">
        <f t="shared" si="315"/>
        <v>0.46411326873185343</v>
      </c>
      <c r="AI449" s="4">
        <f t="shared" si="315"/>
        <v>0.36979727595523937</v>
      </c>
      <c r="AJ449" s="4">
        <f t="shared" si="315"/>
        <v>0.28393948637231203</v>
      </c>
      <c r="AK449" s="4">
        <f t="shared" si="315"/>
        <v>0.21097259161117732</v>
      </c>
      <c r="AL449" s="4">
        <f t="shared" si="315"/>
        <v>0.15253917653798199</v>
      </c>
      <c r="AM449" s="4">
        <f t="shared" si="315"/>
        <v>0.10795188737709993</v>
      </c>
      <c r="AN449" s="4">
        <f t="shared" si="315"/>
        <v>7.5176653938091809E-2</v>
      </c>
      <c r="AO449" s="4">
        <f t="shared" si="315"/>
        <v>5.1742836177502194E-2</v>
      </c>
      <c r="AP449" s="4">
        <f t="shared" si="315"/>
        <v>3.5319190625345942E-2</v>
      </c>
      <c r="AQ449" s="4">
        <f t="shared" si="315"/>
        <v>2.3969442072658165E-2</v>
      </c>
      <c r="AR449" s="4">
        <f t="shared" si="315"/>
        <v>1.6202243558389728E-2</v>
      </c>
    </row>
    <row r="450" spans="1:44" x14ac:dyDescent="0.25">
      <c r="A450" s="24" t="s">
        <v>41</v>
      </c>
      <c r="B450" s="43">
        <f>'Parameter Input'!$L$47</f>
        <v>8</v>
      </c>
      <c r="C450" s="44">
        <f>'Parameter Input'!$M$47</f>
        <v>8</v>
      </c>
      <c r="D450" s="1" t="s">
        <v>42</v>
      </c>
      <c r="L450" s="54">
        <f>'Parameter Input'!$O$47</f>
        <v>9</v>
      </c>
      <c r="M450" s="37">
        <v>0</v>
      </c>
      <c r="N450" s="37">
        <v>1</v>
      </c>
      <c r="O450" s="37">
        <f>'Parameter Input'!$P$47</f>
        <v>0.9</v>
      </c>
      <c r="P450" s="55">
        <f>'Parameter Input'!$Q$47</f>
        <v>0.4</v>
      </c>
      <c r="Q450" s="4">
        <f t="shared" ref="Q450:AF455" si="316">$N450+($M450-$N450)*((1/(1+EXP(-$P450*(Q$9-$L450)))^$O450))</f>
        <v>0.96177484161592774</v>
      </c>
      <c r="R450" s="4">
        <f t="shared" si="316"/>
        <v>0.94584787155511363</v>
      </c>
      <c r="S450" s="4">
        <f t="shared" si="316"/>
        <v>0.92370360150141495</v>
      </c>
      <c r="T450" s="4">
        <f t="shared" si="316"/>
        <v>0.89334463567658451</v>
      </c>
      <c r="U450" s="4">
        <f t="shared" si="316"/>
        <v>0.85254543874327005</v>
      </c>
      <c r="V450" s="4">
        <f t="shared" si="316"/>
        <v>0.79921300652623883</v>
      </c>
      <c r="W450" s="4">
        <f t="shared" si="316"/>
        <v>0.73204982249993378</v>
      </c>
      <c r="X450" s="4">
        <f t="shared" si="316"/>
        <v>0.65145592958786691</v>
      </c>
      <c r="Y450" s="4">
        <f t="shared" si="316"/>
        <v>0.56032247880849573</v>
      </c>
      <c r="Z450" s="4">
        <f t="shared" si="316"/>
        <v>0.46411326873185343</v>
      </c>
      <c r="AA450" s="4">
        <f t="shared" si="316"/>
        <v>0.36979727595523937</v>
      </c>
      <c r="AB450" s="4">
        <f t="shared" si="316"/>
        <v>0.28393948637231203</v>
      </c>
      <c r="AC450" s="4">
        <f t="shared" si="316"/>
        <v>0.21097259161117732</v>
      </c>
      <c r="AD450" s="4">
        <f t="shared" si="316"/>
        <v>0.15253917653798199</v>
      </c>
      <c r="AE450" s="4">
        <f t="shared" si="316"/>
        <v>0.10795188737709993</v>
      </c>
      <c r="AF450" s="4">
        <f t="shared" si="316"/>
        <v>7.5176653938091809E-2</v>
      </c>
      <c r="AG450" s="4">
        <f t="shared" si="313"/>
        <v>5.1742836177502194E-2</v>
      </c>
      <c r="AH450" s="4">
        <f t="shared" si="313"/>
        <v>3.5319190625345942E-2</v>
      </c>
      <c r="AI450" s="4">
        <f t="shared" si="313"/>
        <v>2.3969442072658165E-2</v>
      </c>
      <c r="AJ450" s="4">
        <f t="shared" si="314"/>
        <v>1.6202243558389728E-2</v>
      </c>
      <c r="AK450" s="4">
        <f t="shared" si="314"/>
        <v>1.0922240564108399E-2</v>
      </c>
      <c r="AL450" s="4">
        <f t="shared" si="314"/>
        <v>7.3493212906090566E-3</v>
      </c>
      <c r="AM450" s="4">
        <f t="shared" si="314"/>
        <v>4.9390262185057265E-3</v>
      </c>
      <c r="AN450" s="4">
        <f t="shared" si="314"/>
        <v>3.3164275492956197E-3</v>
      </c>
      <c r="AO450" s="4">
        <f t="shared" si="314"/>
        <v>2.2256362146679809E-3</v>
      </c>
      <c r="AP450" s="4">
        <f t="shared" si="314"/>
        <v>1.4930448704811861E-3</v>
      </c>
      <c r="AQ450" s="4">
        <f t="shared" si="314"/>
        <v>1.0013381504474506E-3</v>
      </c>
      <c r="AR450" s="4">
        <f t="shared" si="314"/>
        <v>6.7145100246257527E-4</v>
      </c>
    </row>
    <row r="451" spans="1:44" x14ac:dyDescent="0.25">
      <c r="A451" s="24" t="s">
        <v>70</v>
      </c>
      <c r="B451" s="60">
        <f>'Parameter Input'!B79</f>
        <v>10</v>
      </c>
      <c r="C451" s="61">
        <f>'Parameter Input'!C79</f>
        <v>10</v>
      </c>
      <c r="D451" s="1" t="s">
        <v>42</v>
      </c>
      <c r="L451" s="54">
        <f>'Parameter Input'!E79</f>
        <v>12</v>
      </c>
      <c r="M451" s="37">
        <v>0</v>
      </c>
      <c r="N451" s="37">
        <v>1</v>
      </c>
      <c r="O451" s="37">
        <f>'Parameter Input'!F79</f>
        <v>0.9</v>
      </c>
      <c r="P451" s="55">
        <f>'Parameter Input'!G79</f>
        <v>0.4</v>
      </c>
      <c r="Q451" s="4">
        <f t="shared" si="316"/>
        <v>0.9867978615748374</v>
      </c>
      <c r="R451" s="4">
        <f t="shared" si="316"/>
        <v>0.98114509762858249</v>
      </c>
      <c r="S451" s="4">
        <f t="shared" si="316"/>
        <v>0.97311898315872036</v>
      </c>
      <c r="T451" s="4">
        <f t="shared" si="316"/>
        <v>0.96177484161592774</v>
      </c>
      <c r="U451" s="4">
        <f t="shared" si="316"/>
        <v>0.94584787155511363</v>
      </c>
      <c r="V451" s="4">
        <f t="shared" si="316"/>
        <v>0.92370360150141495</v>
      </c>
      <c r="W451" s="4">
        <f t="shared" si="316"/>
        <v>0.89334463567658451</v>
      </c>
      <c r="X451" s="4">
        <f t="shared" si="316"/>
        <v>0.85254543874327005</v>
      </c>
      <c r="Y451" s="4">
        <f t="shared" si="316"/>
        <v>0.79921300652623883</v>
      </c>
      <c r="Z451" s="4">
        <f t="shared" si="316"/>
        <v>0.73204982249993378</v>
      </c>
      <c r="AA451" s="4">
        <f t="shared" si="316"/>
        <v>0.65145592958786691</v>
      </c>
      <c r="AB451" s="4">
        <f t="shared" si="316"/>
        <v>0.56032247880849573</v>
      </c>
      <c r="AC451" s="4">
        <f t="shared" si="316"/>
        <v>0.46411326873185343</v>
      </c>
      <c r="AD451" s="4">
        <f t="shared" si="316"/>
        <v>0.36979727595523937</v>
      </c>
      <c r="AE451" s="4">
        <f t="shared" si="316"/>
        <v>0.28393948637231203</v>
      </c>
      <c r="AF451" s="4">
        <f t="shared" si="316"/>
        <v>0.21097259161117732</v>
      </c>
      <c r="AG451" s="4">
        <f t="shared" si="313"/>
        <v>0.15253917653798199</v>
      </c>
      <c r="AH451" s="4">
        <f t="shared" si="313"/>
        <v>0.10795188737709993</v>
      </c>
      <c r="AI451" s="4">
        <f t="shared" si="313"/>
        <v>7.5176653938091809E-2</v>
      </c>
      <c r="AJ451" s="4">
        <f t="shared" si="314"/>
        <v>5.1742836177502194E-2</v>
      </c>
      <c r="AK451" s="4">
        <f t="shared" si="314"/>
        <v>3.5319190625345942E-2</v>
      </c>
      <c r="AL451" s="4">
        <f t="shared" si="314"/>
        <v>2.3969442072658165E-2</v>
      </c>
      <c r="AM451" s="4">
        <f t="shared" si="314"/>
        <v>1.6202243558389728E-2</v>
      </c>
      <c r="AN451" s="4">
        <f t="shared" si="314"/>
        <v>1.0922240564108399E-2</v>
      </c>
      <c r="AO451" s="4">
        <f t="shared" si="314"/>
        <v>7.3493212906090566E-3</v>
      </c>
      <c r="AP451" s="4">
        <f t="shared" si="314"/>
        <v>4.9390262185057265E-3</v>
      </c>
      <c r="AQ451" s="4">
        <f t="shared" si="314"/>
        <v>3.3164275492956197E-3</v>
      </c>
      <c r="AR451" s="4">
        <f t="shared" si="314"/>
        <v>2.2256362146679809E-3</v>
      </c>
    </row>
    <row r="452" spans="1:44" x14ac:dyDescent="0.25">
      <c r="A452" s="24" t="s">
        <v>207</v>
      </c>
      <c r="B452" s="43">
        <f>'Parameter Input'!B76</f>
        <v>25</v>
      </c>
      <c r="C452" s="44">
        <f>'Parameter Input'!C76</f>
        <v>25</v>
      </c>
      <c r="D452" s="1" t="s">
        <v>49</v>
      </c>
      <c r="L452" s="54">
        <f>'Parameter Input'!E76</f>
        <v>12</v>
      </c>
      <c r="M452" s="37">
        <v>0</v>
      </c>
      <c r="N452" s="37">
        <v>1</v>
      </c>
      <c r="O452" s="37">
        <f>'Parameter Input'!F76</f>
        <v>0.9</v>
      </c>
      <c r="P452" s="55">
        <f>'Parameter Input'!G76</f>
        <v>0.4</v>
      </c>
      <c r="Q452" s="4">
        <f t="shared" si="316"/>
        <v>0.9867978615748374</v>
      </c>
      <c r="R452" s="4">
        <f t="shared" si="316"/>
        <v>0.98114509762858249</v>
      </c>
      <c r="S452" s="4">
        <f t="shared" si="316"/>
        <v>0.97311898315872036</v>
      </c>
      <c r="T452" s="4">
        <f t="shared" si="316"/>
        <v>0.96177484161592774</v>
      </c>
      <c r="U452" s="4">
        <f t="shared" si="316"/>
        <v>0.94584787155511363</v>
      </c>
      <c r="V452" s="4">
        <f t="shared" si="316"/>
        <v>0.92370360150141495</v>
      </c>
      <c r="W452" s="4">
        <f t="shared" si="316"/>
        <v>0.89334463567658451</v>
      </c>
      <c r="X452" s="4">
        <f t="shared" si="316"/>
        <v>0.85254543874327005</v>
      </c>
      <c r="Y452" s="4">
        <f t="shared" si="316"/>
        <v>0.79921300652623883</v>
      </c>
      <c r="Z452" s="4">
        <f t="shared" si="316"/>
        <v>0.73204982249993378</v>
      </c>
      <c r="AA452" s="4">
        <f t="shared" si="316"/>
        <v>0.65145592958786691</v>
      </c>
      <c r="AB452" s="4">
        <f t="shared" si="316"/>
        <v>0.56032247880849573</v>
      </c>
      <c r="AC452" s="4">
        <f t="shared" si="316"/>
        <v>0.46411326873185343</v>
      </c>
      <c r="AD452" s="4">
        <f t="shared" si="316"/>
        <v>0.36979727595523937</v>
      </c>
      <c r="AE452" s="4">
        <f t="shared" si="316"/>
        <v>0.28393948637231203</v>
      </c>
      <c r="AF452" s="4">
        <f t="shared" si="316"/>
        <v>0.21097259161117732</v>
      </c>
      <c r="AG452" s="4">
        <f t="shared" si="313"/>
        <v>0.15253917653798199</v>
      </c>
      <c r="AH452" s="4">
        <f t="shared" si="313"/>
        <v>0.10795188737709993</v>
      </c>
      <c r="AI452" s="4">
        <f t="shared" si="313"/>
        <v>7.5176653938091809E-2</v>
      </c>
      <c r="AJ452" s="4">
        <f t="shared" si="314"/>
        <v>5.1742836177502194E-2</v>
      </c>
      <c r="AK452" s="4">
        <f t="shared" si="314"/>
        <v>3.5319190625345942E-2</v>
      </c>
      <c r="AL452" s="4">
        <f t="shared" si="314"/>
        <v>2.3969442072658165E-2</v>
      </c>
      <c r="AM452" s="4">
        <f t="shared" si="314"/>
        <v>1.6202243558389728E-2</v>
      </c>
      <c r="AN452" s="4">
        <f t="shared" si="314"/>
        <v>1.0922240564108399E-2</v>
      </c>
      <c r="AO452" s="4">
        <f t="shared" si="314"/>
        <v>7.3493212906090566E-3</v>
      </c>
      <c r="AP452" s="4">
        <f t="shared" si="314"/>
        <v>4.9390262185057265E-3</v>
      </c>
      <c r="AQ452" s="4">
        <f t="shared" si="314"/>
        <v>3.3164275492956197E-3</v>
      </c>
      <c r="AR452" s="4">
        <f t="shared" si="314"/>
        <v>2.2256362146679809E-3</v>
      </c>
    </row>
    <row r="453" spans="1:44" x14ac:dyDescent="0.25">
      <c r="A453" s="24" t="s">
        <v>56</v>
      </c>
      <c r="B453" s="45">
        <f>'Parameter Input'!B77</f>
        <v>0.64</v>
      </c>
      <c r="C453" s="46">
        <f>'Parameter Input'!C77</f>
        <v>0.64</v>
      </c>
      <c r="D453" s="1" t="s">
        <v>57</v>
      </c>
      <c r="L453" s="54">
        <f>'Parameter Input'!E77</f>
        <v>12</v>
      </c>
      <c r="M453" s="37">
        <v>0</v>
      </c>
      <c r="N453" s="37">
        <v>1</v>
      </c>
      <c r="O453" s="37">
        <f>'Parameter Input'!F77</f>
        <v>0.9</v>
      </c>
      <c r="P453" s="55">
        <f>'Parameter Input'!G77</f>
        <v>0.4</v>
      </c>
      <c r="Q453" s="4">
        <f t="shared" si="316"/>
        <v>0.9867978615748374</v>
      </c>
      <c r="R453" s="4">
        <f t="shared" si="316"/>
        <v>0.98114509762858249</v>
      </c>
      <c r="S453" s="4">
        <f t="shared" si="316"/>
        <v>0.97311898315872036</v>
      </c>
      <c r="T453" s="4">
        <f t="shared" si="316"/>
        <v>0.96177484161592774</v>
      </c>
      <c r="U453" s="4">
        <f t="shared" si="316"/>
        <v>0.94584787155511363</v>
      </c>
      <c r="V453" s="4">
        <f t="shared" si="316"/>
        <v>0.92370360150141495</v>
      </c>
      <c r="W453" s="4">
        <f t="shared" si="316"/>
        <v>0.89334463567658451</v>
      </c>
      <c r="X453" s="4">
        <f t="shared" si="316"/>
        <v>0.85254543874327005</v>
      </c>
      <c r="Y453" s="4">
        <f t="shared" si="316"/>
        <v>0.79921300652623883</v>
      </c>
      <c r="Z453" s="4">
        <f t="shared" si="316"/>
        <v>0.73204982249993378</v>
      </c>
      <c r="AA453" s="4">
        <f t="shared" si="316"/>
        <v>0.65145592958786691</v>
      </c>
      <c r="AB453" s="4">
        <f t="shared" si="316"/>
        <v>0.56032247880849573</v>
      </c>
      <c r="AC453" s="4">
        <f t="shared" si="316"/>
        <v>0.46411326873185343</v>
      </c>
      <c r="AD453" s="4">
        <f t="shared" si="316"/>
        <v>0.36979727595523937</v>
      </c>
      <c r="AE453" s="4">
        <f t="shared" si="316"/>
        <v>0.28393948637231203</v>
      </c>
      <c r="AF453" s="4">
        <f t="shared" si="316"/>
        <v>0.21097259161117732</v>
      </c>
      <c r="AG453" s="4">
        <f t="shared" si="313"/>
        <v>0.15253917653798199</v>
      </c>
      <c r="AH453" s="4">
        <f t="shared" si="313"/>
        <v>0.10795188737709993</v>
      </c>
      <c r="AI453" s="4">
        <f t="shared" si="313"/>
        <v>7.5176653938091809E-2</v>
      </c>
      <c r="AJ453" s="4">
        <f t="shared" si="314"/>
        <v>5.1742836177502194E-2</v>
      </c>
      <c r="AK453" s="4">
        <f t="shared" si="314"/>
        <v>3.5319190625345942E-2</v>
      </c>
      <c r="AL453" s="4">
        <f t="shared" si="314"/>
        <v>2.3969442072658165E-2</v>
      </c>
      <c r="AM453" s="4">
        <f t="shared" si="314"/>
        <v>1.6202243558389728E-2</v>
      </c>
      <c r="AN453" s="4">
        <f t="shared" si="314"/>
        <v>1.0922240564108399E-2</v>
      </c>
      <c r="AO453" s="4">
        <f t="shared" si="314"/>
        <v>7.3493212906090566E-3</v>
      </c>
      <c r="AP453" s="4">
        <f t="shared" si="314"/>
        <v>4.9390262185057265E-3</v>
      </c>
      <c r="AQ453" s="4">
        <f t="shared" si="314"/>
        <v>3.3164275492956197E-3</v>
      </c>
      <c r="AR453" s="4">
        <f t="shared" si="314"/>
        <v>2.2256362146679809E-3</v>
      </c>
    </row>
    <row r="454" spans="1:44" x14ac:dyDescent="0.25">
      <c r="A454" s="24" t="s">
        <v>73</v>
      </c>
      <c r="B454" s="72">
        <f>'Parameter Input'!$L$51</f>
        <v>0.05</v>
      </c>
      <c r="C454" s="73">
        <f>'Parameter Input'!$M$51</f>
        <v>0.02</v>
      </c>
      <c r="D454" s="1" t="s">
        <v>57</v>
      </c>
      <c r="L454" s="54">
        <f>'Parameter Input'!$O$51</f>
        <v>12</v>
      </c>
      <c r="M454" s="37">
        <v>0</v>
      </c>
      <c r="N454" s="37">
        <v>1</v>
      </c>
      <c r="O454" s="37">
        <f>'Parameter Input'!$P$51</f>
        <v>0.9</v>
      </c>
      <c r="P454" s="55">
        <f>'Parameter Input'!$Q$51</f>
        <v>0.4</v>
      </c>
      <c r="Q454" s="4">
        <f t="shared" si="316"/>
        <v>0.9867978615748374</v>
      </c>
      <c r="R454" s="4">
        <f t="shared" si="316"/>
        <v>0.98114509762858249</v>
      </c>
      <c r="S454" s="4">
        <f t="shared" si="316"/>
        <v>0.97311898315872036</v>
      </c>
      <c r="T454" s="4">
        <f t="shared" si="316"/>
        <v>0.96177484161592774</v>
      </c>
      <c r="U454" s="4">
        <f t="shared" si="316"/>
        <v>0.94584787155511363</v>
      </c>
      <c r="V454" s="4">
        <f t="shared" si="316"/>
        <v>0.92370360150141495</v>
      </c>
      <c r="W454" s="4">
        <f t="shared" si="316"/>
        <v>0.89334463567658451</v>
      </c>
      <c r="X454" s="4">
        <f t="shared" si="316"/>
        <v>0.85254543874327005</v>
      </c>
      <c r="Y454" s="4">
        <f t="shared" si="316"/>
        <v>0.79921300652623883</v>
      </c>
      <c r="Z454" s="4">
        <f t="shared" si="316"/>
        <v>0.73204982249993378</v>
      </c>
      <c r="AA454" s="4">
        <f t="shared" si="316"/>
        <v>0.65145592958786691</v>
      </c>
      <c r="AB454" s="4">
        <f t="shared" si="316"/>
        <v>0.56032247880849573</v>
      </c>
      <c r="AC454" s="4">
        <f t="shared" si="316"/>
        <v>0.46411326873185343</v>
      </c>
      <c r="AD454" s="4">
        <f t="shared" si="316"/>
        <v>0.36979727595523937</v>
      </c>
      <c r="AE454" s="4">
        <f t="shared" si="316"/>
        <v>0.28393948637231203</v>
      </c>
      <c r="AF454" s="4">
        <f t="shared" si="316"/>
        <v>0.21097259161117732</v>
      </c>
      <c r="AG454" s="4">
        <f t="shared" si="313"/>
        <v>0.15253917653798199</v>
      </c>
      <c r="AH454" s="4">
        <f t="shared" si="313"/>
        <v>0.10795188737709993</v>
      </c>
      <c r="AI454" s="4">
        <f t="shared" si="313"/>
        <v>7.5176653938091809E-2</v>
      </c>
      <c r="AJ454" s="4">
        <f t="shared" si="314"/>
        <v>5.1742836177502194E-2</v>
      </c>
      <c r="AK454" s="4">
        <f t="shared" si="314"/>
        <v>3.5319190625345942E-2</v>
      </c>
      <c r="AL454" s="4">
        <f t="shared" si="314"/>
        <v>2.3969442072658165E-2</v>
      </c>
      <c r="AM454" s="4">
        <f t="shared" si="314"/>
        <v>1.6202243558389728E-2</v>
      </c>
      <c r="AN454" s="4">
        <f t="shared" si="314"/>
        <v>1.0922240564108399E-2</v>
      </c>
      <c r="AO454" s="4">
        <f t="shared" si="314"/>
        <v>7.3493212906090566E-3</v>
      </c>
      <c r="AP454" s="4">
        <f t="shared" si="314"/>
        <v>4.9390262185057265E-3</v>
      </c>
      <c r="AQ454" s="4">
        <f t="shared" si="314"/>
        <v>3.3164275492956197E-3</v>
      </c>
      <c r="AR454" s="4">
        <f t="shared" si="314"/>
        <v>2.2256362146679809E-3</v>
      </c>
    </row>
    <row r="455" spans="1:44" ht="15.75" thickBot="1" x14ac:dyDescent="0.3">
      <c r="A455" s="24" t="s">
        <v>64</v>
      </c>
      <c r="B455" s="49">
        <f>'Parameter Input'!B78</f>
        <v>90000</v>
      </c>
      <c r="C455" s="50">
        <f>'Parameter Input'!C78</f>
        <v>90000</v>
      </c>
      <c r="D455" s="1" t="s">
        <v>65</v>
      </c>
      <c r="L455" s="56">
        <f>'Parameter Input'!E78</f>
        <v>12</v>
      </c>
      <c r="M455" s="57">
        <v>0</v>
      </c>
      <c r="N455" s="57">
        <v>1</v>
      </c>
      <c r="O455" s="57">
        <f>'Parameter Input'!F78</f>
        <v>0.9</v>
      </c>
      <c r="P455" s="58">
        <f>'Parameter Input'!G78</f>
        <v>0.4</v>
      </c>
      <c r="Q455" s="4">
        <f t="shared" si="316"/>
        <v>0.9867978615748374</v>
      </c>
      <c r="R455" s="4">
        <f t="shared" si="316"/>
        <v>0.98114509762858249</v>
      </c>
      <c r="S455" s="4">
        <f t="shared" si="316"/>
        <v>0.97311898315872036</v>
      </c>
      <c r="T455" s="4">
        <f t="shared" si="316"/>
        <v>0.96177484161592774</v>
      </c>
      <c r="U455" s="4">
        <f t="shared" si="316"/>
        <v>0.94584787155511363</v>
      </c>
      <c r="V455" s="4">
        <f t="shared" si="316"/>
        <v>0.92370360150141495</v>
      </c>
      <c r="W455" s="4">
        <f t="shared" si="316"/>
        <v>0.89334463567658451</v>
      </c>
      <c r="X455" s="4">
        <f t="shared" si="316"/>
        <v>0.85254543874327005</v>
      </c>
      <c r="Y455" s="4">
        <f t="shared" si="316"/>
        <v>0.79921300652623883</v>
      </c>
      <c r="Z455" s="4">
        <f t="shared" si="316"/>
        <v>0.73204982249993378</v>
      </c>
      <c r="AA455" s="4">
        <f t="shared" si="316"/>
        <v>0.65145592958786691</v>
      </c>
      <c r="AB455" s="4">
        <f t="shared" si="316"/>
        <v>0.56032247880849573</v>
      </c>
      <c r="AC455" s="4">
        <f t="shared" si="316"/>
        <v>0.46411326873185343</v>
      </c>
      <c r="AD455" s="4">
        <f t="shared" si="316"/>
        <v>0.36979727595523937</v>
      </c>
      <c r="AE455" s="4">
        <f t="shared" si="316"/>
        <v>0.28393948637231203</v>
      </c>
      <c r="AF455" s="4">
        <f t="shared" si="316"/>
        <v>0.21097259161117732</v>
      </c>
      <c r="AG455" s="4">
        <f t="shared" si="313"/>
        <v>0.15253917653798199</v>
      </c>
      <c r="AH455" s="4">
        <f t="shared" si="313"/>
        <v>0.10795188737709993</v>
      </c>
      <c r="AI455" s="4">
        <f t="shared" si="313"/>
        <v>7.5176653938091809E-2</v>
      </c>
      <c r="AJ455" s="4">
        <f t="shared" si="314"/>
        <v>5.1742836177502194E-2</v>
      </c>
      <c r="AK455" s="4">
        <f t="shared" si="314"/>
        <v>3.5319190625345942E-2</v>
      </c>
      <c r="AL455" s="4">
        <f t="shared" si="314"/>
        <v>2.3969442072658165E-2</v>
      </c>
      <c r="AM455" s="4">
        <f t="shared" si="314"/>
        <v>1.6202243558389728E-2</v>
      </c>
      <c r="AN455" s="4">
        <f t="shared" si="314"/>
        <v>1.0922240564108399E-2</v>
      </c>
      <c r="AO455" s="4">
        <f t="shared" si="314"/>
        <v>7.3493212906090566E-3</v>
      </c>
      <c r="AP455" s="4">
        <f t="shared" si="314"/>
        <v>4.9390262185057265E-3</v>
      </c>
      <c r="AQ455" s="4">
        <f t="shared" si="314"/>
        <v>3.3164275492956197E-3</v>
      </c>
      <c r="AR455" s="4">
        <f t="shared" si="314"/>
        <v>2.2256362146679809E-3</v>
      </c>
    </row>
    <row r="456" spans="1:44" x14ac:dyDescent="0.25">
      <c r="A456" s="25"/>
      <c r="B456" s="40"/>
    </row>
    <row r="457" spans="1:44" ht="15.75" thickBot="1" x14ac:dyDescent="0.3"/>
    <row r="458" spans="1:44" ht="15.75" thickBot="1" x14ac:dyDescent="0.3">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68" si="317">A439</f>
        <v>Capex vehicle</v>
      </c>
      <c r="B459" s="62">
        <f t="shared" ref="B459:B468" si="318">$B439+($C439-$B439)*(1-Q439)</f>
        <v>381017.08777974301</v>
      </c>
      <c r="C459" s="62">
        <f t="shared" ref="C459:C468" si="319">$B439+($C439-$B439)*(1-R439)</f>
        <v>377274.24981545168</v>
      </c>
      <c r="D459" s="62">
        <f t="shared" ref="D459:D468" si="320">$B439+($C439-$B439)*(1-S439)</f>
        <v>372070.34635283251</v>
      </c>
      <c r="E459" s="62">
        <f t="shared" ref="E459:E468" si="321">$B439+($C439-$B439)*(1-T439)</f>
        <v>364935.98938399734</v>
      </c>
      <c r="F459" s="62">
        <f t="shared" ref="F459:F468" si="322">$B439+($C439-$B439)*(1-U439)</f>
        <v>355348.17810466845</v>
      </c>
      <c r="G459" s="62">
        <f t="shared" ref="G459:G468" si="323">$B439+($C439-$B439)*(1-V439)</f>
        <v>342815.05653366609</v>
      </c>
      <c r="H459" s="62">
        <f t="shared" ref="H459:H468" si="324">$B439+($C439-$B439)*(1-W439)</f>
        <v>327031.70828748442</v>
      </c>
      <c r="I459" s="62">
        <f t="shared" ref="I459:I468" si="325">$B439+($C439-$B439)*(1-X439)</f>
        <v>308092.14345314872</v>
      </c>
      <c r="J459" s="62">
        <f t="shared" ref="J459:J468" si="326">$B439+($C439-$B439)*(1-Y439)</f>
        <v>286675.78251999652</v>
      </c>
      <c r="K459" s="62">
        <f t="shared" ref="K459:K468" si="327">$B439+($C439-$B439)*(1-Z439)</f>
        <v>264066.61815198557</v>
      </c>
      <c r="L459" s="62">
        <f t="shared" ref="L459:L468" si="328">$B439+($C439-$B439)*(1-AA439)</f>
        <v>241902.35984948126</v>
      </c>
      <c r="M459" s="62">
        <f t="shared" ref="M459:M468" si="329">$B439+($C439-$B439)*(1-AB439)</f>
        <v>221725.77929749334</v>
      </c>
      <c r="N459" s="62">
        <f t="shared" ref="N459:N468" si="330">$B439+($C439-$B439)*(1-AC439)</f>
        <v>204578.55902862668</v>
      </c>
      <c r="O459" s="62">
        <f t="shared" ref="O459:O468" si="331">$B439+($C439-$B439)*(1-AD439)</f>
        <v>190846.70648642577</v>
      </c>
      <c r="P459" s="62">
        <f t="shared" ref="P459:P468" si="332">$B439+($C439-$B439)*(1-AE439)</f>
        <v>180368.6935336185</v>
      </c>
      <c r="Q459" s="62">
        <f t="shared" ref="Q459:Q468" si="333">$B439+($C439-$B439)*(1-AF439)</f>
        <v>172666.51367545157</v>
      </c>
      <c r="R459" s="62">
        <f t="shared" ref="R459:R468" si="334">$B439+($C439-$B439)*(1-AG439)</f>
        <v>167159.56650171301</v>
      </c>
      <c r="S459" s="62">
        <f t="shared" ref="S459:S468" si="335">$B439+($C439-$B439)*(1-AH439)</f>
        <v>163300.00979695629</v>
      </c>
      <c r="T459" s="62">
        <f t="shared" ref="T459:T468" si="336">$B439+($C439-$B439)*(1-AI439)</f>
        <v>160632.81888707468</v>
      </c>
      <c r="U459" s="62">
        <f t="shared" ref="U459:U468" si="337">$B439+($C439-$B439)*(1-AJ439)</f>
        <v>158807.52723622159</v>
      </c>
      <c r="V459" s="62">
        <f t="shared" ref="V459:V468" si="338">$B439+($C439-$B439)*(1-AK439)</f>
        <v>157566.72653256549</v>
      </c>
      <c r="W459" s="62">
        <f t="shared" ref="W459:W468" si="339">$B439+($C439-$B439)*(1-AL439)</f>
        <v>156727.09050329312</v>
      </c>
      <c r="X459" s="62">
        <f t="shared" ref="X459:X468" si="340">$B439+($C439-$B439)*(1-AM439)</f>
        <v>156160.67116134884</v>
      </c>
      <c r="Y459" s="62">
        <f t="shared" ref="Y459:Y468" si="341">$B439+($C439-$B439)*(1-AN439)</f>
        <v>155779.36047408447</v>
      </c>
      <c r="Z459" s="62">
        <f t="shared" ref="Z459:Z468" si="342">$B439+($C439-$B439)*(1-AO439)</f>
        <v>155523.02451044696</v>
      </c>
      <c r="AA459" s="62">
        <f t="shared" ref="AA459:AA468" si="343">$B439+($C439-$B439)*(1-AP439)</f>
        <v>155350.86554456307</v>
      </c>
      <c r="AB459" s="62">
        <f t="shared" ref="AB459:AB468" si="344">$B439+($C439-$B439)*(1-AQ439)</f>
        <v>155235.31446535516</v>
      </c>
      <c r="AC459" s="62">
        <f t="shared" ref="AC459:AC468" si="345">$B439+($C439-$B439)*(1-AR439)</f>
        <v>155157.7909855787</v>
      </c>
    </row>
    <row r="460" spans="1:44" x14ac:dyDescent="0.25">
      <c r="A460" s="30" t="str">
        <f t="shared" si="317"/>
        <v>Residual value (vehicle)</v>
      </c>
      <c r="B460" s="62">
        <f t="shared" si="318"/>
        <v>-57745.053121914571</v>
      </c>
      <c r="C460" s="62">
        <f t="shared" si="319"/>
        <v>-57430.49546321349</v>
      </c>
      <c r="D460" s="62">
        <f t="shared" si="320"/>
        <v>-56993.146129652945</v>
      </c>
      <c r="E460" s="62">
        <f t="shared" si="321"/>
        <v>-56393.556554612544</v>
      </c>
      <c r="F460" s="62">
        <f t="shared" si="322"/>
        <v>-55587.772415179585</v>
      </c>
      <c r="G460" s="62">
        <f t="shared" si="323"/>
        <v>-54534.456878893216</v>
      </c>
      <c r="H460" s="62">
        <f t="shared" si="324"/>
        <v>-53207.983994373695</v>
      </c>
      <c r="I460" s="62">
        <f t="shared" si="325"/>
        <v>-51616.254609360374</v>
      </c>
      <c r="J460" s="62">
        <f t="shared" si="326"/>
        <v>-49816.368956467792</v>
      </c>
      <c r="K460" s="62">
        <f t="shared" si="327"/>
        <v>-47916.237057454106</v>
      </c>
      <c r="L460" s="62">
        <f t="shared" si="328"/>
        <v>-46053.49620011598</v>
      </c>
      <c r="M460" s="62">
        <f t="shared" si="329"/>
        <v>-44357.804855853159</v>
      </c>
      <c r="N460" s="62">
        <f t="shared" si="330"/>
        <v>-42916.708684320751</v>
      </c>
      <c r="O460" s="62">
        <f t="shared" si="331"/>
        <v>-41762.648736625146</v>
      </c>
      <c r="P460" s="62">
        <f t="shared" si="332"/>
        <v>-40882.049775697727</v>
      </c>
      <c r="Q460" s="62">
        <f t="shared" si="333"/>
        <v>-40234.73891527731</v>
      </c>
      <c r="R460" s="62">
        <f t="shared" si="334"/>
        <v>-39771.921014505671</v>
      </c>
      <c r="S460" s="62">
        <f t="shared" si="335"/>
        <v>-39447.554014850582</v>
      </c>
      <c r="T460" s="62">
        <f t="shared" si="336"/>
        <v>-39223.396480935</v>
      </c>
      <c r="U460" s="62">
        <f t="shared" si="337"/>
        <v>-39069.994310278198</v>
      </c>
      <c r="V460" s="62">
        <f t="shared" si="338"/>
        <v>-38965.714251141137</v>
      </c>
      <c r="W460" s="62">
        <f t="shared" si="339"/>
        <v>-38895.149095489527</v>
      </c>
      <c r="X460" s="62">
        <f t="shared" si="340"/>
        <v>-38847.545767815493</v>
      </c>
      <c r="Y460" s="62">
        <f t="shared" si="341"/>
        <v>-38815.49944409859</v>
      </c>
      <c r="Z460" s="62">
        <f t="shared" si="342"/>
        <v>-38793.956315239688</v>
      </c>
      <c r="AA460" s="62">
        <f t="shared" si="343"/>
        <v>-38779.487636192003</v>
      </c>
      <c r="AB460" s="62">
        <f t="shared" si="344"/>
        <v>-38769.776428471334</v>
      </c>
      <c r="AC460" s="62">
        <f t="shared" si="345"/>
        <v>-38763.261157298635</v>
      </c>
    </row>
    <row r="461" spans="1:44" x14ac:dyDescent="0.25">
      <c r="A461" s="30" t="str">
        <f t="shared" si="317"/>
        <v>Capex costumization</v>
      </c>
      <c r="B461" s="62">
        <f t="shared" si="318"/>
        <v>35000</v>
      </c>
      <c r="C461" s="62">
        <f t="shared" si="319"/>
        <v>35000</v>
      </c>
      <c r="D461" s="62">
        <f t="shared" si="320"/>
        <v>35000</v>
      </c>
      <c r="E461" s="62">
        <f t="shared" si="321"/>
        <v>35000</v>
      </c>
      <c r="F461" s="62">
        <f t="shared" si="322"/>
        <v>35000</v>
      </c>
      <c r="G461" s="62">
        <f t="shared" si="323"/>
        <v>35000</v>
      </c>
      <c r="H461" s="62">
        <f t="shared" si="324"/>
        <v>35000</v>
      </c>
      <c r="I461" s="62">
        <f t="shared" si="325"/>
        <v>35000</v>
      </c>
      <c r="J461" s="62">
        <f t="shared" si="326"/>
        <v>35000</v>
      </c>
      <c r="K461" s="62">
        <f t="shared" si="327"/>
        <v>35000</v>
      </c>
      <c r="L461" s="62">
        <f t="shared" si="328"/>
        <v>35000</v>
      </c>
      <c r="M461" s="62">
        <f t="shared" si="329"/>
        <v>35000</v>
      </c>
      <c r="N461" s="62">
        <f t="shared" si="330"/>
        <v>35000</v>
      </c>
      <c r="O461" s="62">
        <f t="shared" si="331"/>
        <v>35000</v>
      </c>
      <c r="P461" s="62">
        <f t="shared" si="332"/>
        <v>35000</v>
      </c>
      <c r="Q461" s="62">
        <f t="shared" si="333"/>
        <v>35000</v>
      </c>
      <c r="R461" s="62">
        <f t="shared" si="334"/>
        <v>35000</v>
      </c>
      <c r="S461" s="62">
        <f t="shared" si="335"/>
        <v>35000</v>
      </c>
      <c r="T461" s="62">
        <f t="shared" si="336"/>
        <v>35000</v>
      </c>
      <c r="U461" s="62">
        <f t="shared" si="337"/>
        <v>35000</v>
      </c>
      <c r="V461" s="62">
        <f t="shared" si="338"/>
        <v>35000</v>
      </c>
      <c r="W461" s="62">
        <f t="shared" si="339"/>
        <v>35000</v>
      </c>
      <c r="X461" s="62">
        <f t="shared" si="340"/>
        <v>35000</v>
      </c>
      <c r="Y461" s="62">
        <f t="shared" si="341"/>
        <v>35000</v>
      </c>
      <c r="Z461" s="62">
        <f t="shared" si="342"/>
        <v>35000</v>
      </c>
      <c r="AA461" s="62">
        <f t="shared" si="343"/>
        <v>35000</v>
      </c>
      <c r="AB461" s="62">
        <f t="shared" si="344"/>
        <v>35000</v>
      </c>
      <c r="AC461" s="62">
        <f t="shared" si="345"/>
        <v>35000</v>
      </c>
    </row>
    <row r="462" spans="1:44" x14ac:dyDescent="0.25">
      <c r="A462" s="30" t="str">
        <f t="shared" si="317"/>
        <v>Residual value (costumization)</v>
      </c>
      <c r="B462" s="62">
        <f t="shared" si="318"/>
        <v>-8750</v>
      </c>
      <c r="C462" s="62">
        <f t="shared" si="319"/>
        <v>-8750</v>
      </c>
      <c r="D462" s="62">
        <f t="shared" si="320"/>
        <v>-8750</v>
      </c>
      <c r="E462" s="62">
        <f t="shared" si="321"/>
        <v>-8750</v>
      </c>
      <c r="F462" s="62">
        <f t="shared" si="322"/>
        <v>-8750</v>
      </c>
      <c r="G462" s="62">
        <f t="shared" si="323"/>
        <v>-8750</v>
      </c>
      <c r="H462" s="62">
        <f t="shared" si="324"/>
        <v>-8750</v>
      </c>
      <c r="I462" s="62">
        <f t="shared" si="325"/>
        <v>-8750</v>
      </c>
      <c r="J462" s="62">
        <f t="shared" si="326"/>
        <v>-8750</v>
      </c>
      <c r="K462" s="62">
        <f t="shared" si="327"/>
        <v>-8750</v>
      </c>
      <c r="L462" s="62">
        <f t="shared" si="328"/>
        <v>-8750</v>
      </c>
      <c r="M462" s="62">
        <f t="shared" si="329"/>
        <v>-8750</v>
      </c>
      <c r="N462" s="62">
        <f t="shared" si="330"/>
        <v>-8750</v>
      </c>
      <c r="O462" s="62">
        <f t="shared" si="331"/>
        <v>-8750</v>
      </c>
      <c r="P462" s="62">
        <f t="shared" si="332"/>
        <v>-8750</v>
      </c>
      <c r="Q462" s="62">
        <f t="shared" si="333"/>
        <v>-8750</v>
      </c>
      <c r="R462" s="62">
        <f t="shared" si="334"/>
        <v>-8750</v>
      </c>
      <c r="S462" s="62">
        <f t="shared" si="335"/>
        <v>-8750</v>
      </c>
      <c r="T462" s="62">
        <f t="shared" si="336"/>
        <v>-8750</v>
      </c>
      <c r="U462" s="62">
        <f t="shared" si="337"/>
        <v>-8750</v>
      </c>
      <c r="V462" s="62">
        <f t="shared" si="338"/>
        <v>-8750</v>
      </c>
      <c r="W462" s="62">
        <f t="shared" si="339"/>
        <v>-8750</v>
      </c>
      <c r="X462" s="62">
        <f t="shared" si="340"/>
        <v>-8750</v>
      </c>
      <c r="Y462" s="62">
        <f t="shared" si="341"/>
        <v>-8750</v>
      </c>
      <c r="Z462" s="62">
        <f t="shared" si="342"/>
        <v>-8750</v>
      </c>
      <c r="AA462" s="62">
        <f t="shared" si="343"/>
        <v>-8750</v>
      </c>
      <c r="AB462" s="62">
        <f t="shared" si="344"/>
        <v>-8750</v>
      </c>
      <c r="AC462" s="62">
        <f t="shared" si="345"/>
        <v>-8750</v>
      </c>
    </row>
    <row r="463" spans="1:44" x14ac:dyDescent="0.25">
      <c r="A463" s="30" t="str">
        <f t="shared" si="317"/>
        <v>WACC</v>
      </c>
      <c r="B463" s="62">
        <f t="shared" si="318"/>
        <v>0.06</v>
      </c>
      <c r="C463" s="62">
        <f t="shared" si="319"/>
        <v>0.06</v>
      </c>
      <c r="D463" s="62">
        <f t="shared" si="320"/>
        <v>0.06</v>
      </c>
      <c r="E463" s="62">
        <f t="shared" si="321"/>
        <v>0.06</v>
      </c>
      <c r="F463" s="62">
        <f t="shared" si="322"/>
        <v>0.06</v>
      </c>
      <c r="G463" s="62">
        <f t="shared" si="323"/>
        <v>0.06</v>
      </c>
      <c r="H463" s="62">
        <f t="shared" si="324"/>
        <v>0.06</v>
      </c>
      <c r="I463" s="62">
        <f t="shared" si="325"/>
        <v>0.06</v>
      </c>
      <c r="J463" s="62">
        <f t="shared" si="326"/>
        <v>0.06</v>
      </c>
      <c r="K463" s="62">
        <f t="shared" si="327"/>
        <v>0.06</v>
      </c>
      <c r="L463" s="62">
        <f t="shared" si="328"/>
        <v>0.06</v>
      </c>
      <c r="M463" s="62">
        <f t="shared" si="329"/>
        <v>0.06</v>
      </c>
      <c r="N463" s="62">
        <f t="shared" si="330"/>
        <v>0.06</v>
      </c>
      <c r="O463" s="62">
        <f t="shared" si="331"/>
        <v>0.06</v>
      </c>
      <c r="P463" s="62">
        <f t="shared" si="332"/>
        <v>0.06</v>
      </c>
      <c r="Q463" s="62">
        <f t="shared" si="333"/>
        <v>0.06</v>
      </c>
      <c r="R463" s="62">
        <f t="shared" si="334"/>
        <v>0.06</v>
      </c>
      <c r="S463" s="62">
        <f t="shared" si="335"/>
        <v>0.06</v>
      </c>
      <c r="T463" s="62">
        <f t="shared" si="336"/>
        <v>0.06</v>
      </c>
      <c r="U463" s="62">
        <f t="shared" si="337"/>
        <v>0.06</v>
      </c>
      <c r="V463" s="62">
        <f t="shared" si="338"/>
        <v>0.06</v>
      </c>
      <c r="W463" s="62">
        <f t="shared" si="339"/>
        <v>0.06</v>
      </c>
      <c r="X463" s="62">
        <f t="shared" si="340"/>
        <v>0.06</v>
      </c>
      <c r="Y463" s="62">
        <f t="shared" si="341"/>
        <v>0.06</v>
      </c>
      <c r="Z463" s="62">
        <f t="shared" si="342"/>
        <v>0.06</v>
      </c>
      <c r="AA463" s="62">
        <f t="shared" si="343"/>
        <v>0.06</v>
      </c>
      <c r="AB463" s="62">
        <f t="shared" si="344"/>
        <v>0.06</v>
      </c>
      <c r="AC463" s="62">
        <f t="shared" si="345"/>
        <v>0.06</v>
      </c>
    </row>
    <row r="464" spans="1:44" x14ac:dyDescent="0.25">
      <c r="A464" s="30" t="str">
        <f t="shared" si="317"/>
        <v>Opex fix (admin, crew, insurance)</v>
      </c>
      <c r="B464" s="62">
        <f t="shared" si="318"/>
        <v>70000</v>
      </c>
      <c r="C464" s="62">
        <f t="shared" si="319"/>
        <v>70000</v>
      </c>
      <c r="D464" s="62">
        <f t="shared" si="320"/>
        <v>70000</v>
      </c>
      <c r="E464" s="62">
        <f t="shared" si="321"/>
        <v>70000</v>
      </c>
      <c r="F464" s="62">
        <f t="shared" si="322"/>
        <v>70000</v>
      </c>
      <c r="G464" s="62">
        <f t="shared" si="323"/>
        <v>70000</v>
      </c>
      <c r="H464" s="62">
        <f t="shared" si="324"/>
        <v>70000</v>
      </c>
      <c r="I464" s="62">
        <f t="shared" si="325"/>
        <v>70000</v>
      </c>
      <c r="J464" s="62">
        <f t="shared" si="326"/>
        <v>70000</v>
      </c>
      <c r="K464" s="62">
        <f t="shared" si="327"/>
        <v>70000</v>
      </c>
      <c r="L464" s="62">
        <f t="shared" si="328"/>
        <v>70000</v>
      </c>
      <c r="M464" s="62">
        <f t="shared" si="329"/>
        <v>70000</v>
      </c>
      <c r="N464" s="62">
        <f t="shared" si="330"/>
        <v>70000</v>
      </c>
      <c r="O464" s="62">
        <f t="shared" si="331"/>
        <v>70000</v>
      </c>
      <c r="P464" s="62">
        <f t="shared" si="332"/>
        <v>70000</v>
      </c>
      <c r="Q464" s="62">
        <f t="shared" si="333"/>
        <v>70000</v>
      </c>
      <c r="R464" s="62">
        <f t="shared" si="334"/>
        <v>70000</v>
      </c>
      <c r="S464" s="62">
        <f t="shared" si="335"/>
        <v>70000</v>
      </c>
      <c r="T464" s="62">
        <f t="shared" si="336"/>
        <v>70000</v>
      </c>
      <c r="U464" s="62">
        <f t="shared" si="337"/>
        <v>70000</v>
      </c>
      <c r="V464" s="62">
        <f t="shared" si="338"/>
        <v>70000</v>
      </c>
      <c r="W464" s="62">
        <f t="shared" si="339"/>
        <v>70000</v>
      </c>
      <c r="X464" s="62">
        <f t="shared" si="340"/>
        <v>70000</v>
      </c>
      <c r="Y464" s="62">
        <f t="shared" si="341"/>
        <v>70000</v>
      </c>
      <c r="Z464" s="62">
        <f t="shared" si="342"/>
        <v>70000</v>
      </c>
      <c r="AA464" s="62">
        <f t="shared" si="343"/>
        <v>70000</v>
      </c>
      <c r="AB464" s="62">
        <f t="shared" si="344"/>
        <v>70000</v>
      </c>
      <c r="AC464" s="62">
        <f t="shared" si="345"/>
        <v>70000</v>
      </c>
    </row>
    <row r="465" spans="1:29" x14ac:dyDescent="0.25">
      <c r="A465" s="30" t="str">
        <f t="shared" si="317"/>
        <v>Opex maintenance &amp; repair</v>
      </c>
      <c r="B465" s="62">
        <f t="shared" si="318"/>
        <v>25694.198732927423</v>
      </c>
      <c r="C465" s="62">
        <f t="shared" si="319"/>
        <v>25566.782972440909</v>
      </c>
      <c r="D465" s="62">
        <f t="shared" si="320"/>
        <v>25389.62881201132</v>
      </c>
      <c r="E465" s="62">
        <f t="shared" si="321"/>
        <v>25146.757085412675</v>
      </c>
      <c r="F465" s="62">
        <f t="shared" si="322"/>
        <v>24820.363509946161</v>
      </c>
      <c r="G465" s="62">
        <f t="shared" si="323"/>
        <v>24393.704052209912</v>
      </c>
      <c r="H465" s="62">
        <f t="shared" si="324"/>
        <v>23856.39857999947</v>
      </c>
      <c r="I465" s="62">
        <f t="shared" si="325"/>
        <v>23211.647436702937</v>
      </c>
      <c r="J465" s="62">
        <f t="shared" si="326"/>
        <v>22482.579830467967</v>
      </c>
      <c r="K465" s="62">
        <f t="shared" si="327"/>
        <v>21712.906149854825</v>
      </c>
      <c r="L465" s="62">
        <f t="shared" si="328"/>
        <v>20958.378207641916</v>
      </c>
      <c r="M465" s="62">
        <f t="shared" si="329"/>
        <v>20271.515890978495</v>
      </c>
      <c r="N465" s="62">
        <f t="shared" si="330"/>
        <v>19687.78073288942</v>
      </c>
      <c r="O465" s="62">
        <f t="shared" si="331"/>
        <v>19220.313412303854</v>
      </c>
      <c r="P465" s="62">
        <f t="shared" si="332"/>
        <v>18863.615099016799</v>
      </c>
      <c r="Q465" s="62">
        <f t="shared" si="333"/>
        <v>18601.413231504735</v>
      </c>
      <c r="R465" s="62">
        <f t="shared" si="334"/>
        <v>18413.942689420019</v>
      </c>
      <c r="S465" s="62">
        <f t="shared" si="335"/>
        <v>18282.553525002768</v>
      </c>
      <c r="T465" s="62">
        <f t="shared" si="336"/>
        <v>18191.755536581266</v>
      </c>
      <c r="U465" s="62">
        <f t="shared" si="337"/>
        <v>18129.617948467116</v>
      </c>
      <c r="V465" s="62">
        <f t="shared" si="338"/>
        <v>18087.377924512868</v>
      </c>
      <c r="W465" s="62">
        <f t="shared" si="339"/>
        <v>18058.794570324873</v>
      </c>
      <c r="X465" s="62">
        <f t="shared" si="340"/>
        <v>18039.512209748045</v>
      </c>
      <c r="Y465" s="62">
        <f t="shared" si="341"/>
        <v>18026.531420394364</v>
      </c>
      <c r="Z465" s="62">
        <f t="shared" si="342"/>
        <v>18017.805089717345</v>
      </c>
      <c r="AA465" s="62">
        <f t="shared" si="343"/>
        <v>18011.94435896385</v>
      </c>
      <c r="AB465" s="62">
        <f t="shared" si="344"/>
        <v>18008.010705203578</v>
      </c>
      <c r="AC465" s="62">
        <f t="shared" si="345"/>
        <v>18005.371608019701</v>
      </c>
    </row>
    <row r="466" spans="1:29" x14ac:dyDescent="0.25">
      <c r="A466" s="30" t="str">
        <f t="shared" si="317"/>
        <v>Opex var (mode-fees)</v>
      </c>
      <c r="B466" s="62">
        <f t="shared" si="318"/>
        <v>0.11</v>
      </c>
      <c r="C466" s="62">
        <f t="shared" si="319"/>
        <v>0.11</v>
      </c>
      <c r="D466" s="62">
        <f t="shared" si="320"/>
        <v>0.11</v>
      </c>
      <c r="E466" s="62">
        <f t="shared" si="321"/>
        <v>0.11</v>
      </c>
      <c r="F466" s="62">
        <f t="shared" si="322"/>
        <v>0.11</v>
      </c>
      <c r="G466" s="62">
        <f t="shared" si="323"/>
        <v>0.11</v>
      </c>
      <c r="H466" s="62">
        <f t="shared" si="324"/>
        <v>0.11</v>
      </c>
      <c r="I466" s="62">
        <f t="shared" si="325"/>
        <v>0.11</v>
      </c>
      <c r="J466" s="62">
        <f t="shared" si="326"/>
        <v>0.11</v>
      </c>
      <c r="K466" s="62">
        <f t="shared" si="327"/>
        <v>0.11</v>
      </c>
      <c r="L466" s="62">
        <f t="shared" si="328"/>
        <v>0.11</v>
      </c>
      <c r="M466" s="62">
        <f t="shared" si="329"/>
        <v>0.11</v>
      </c>
      <c r="N466" s="62">
        <f t="shared" si="330"/>
        <v>0.11</v>
      </c>
      <c r="O466" s="62">
        <f t="shared" si="331"/>
        <v>0.11</v>
      </c>
      <c r="P466" s="62">
        <f t="shared" si="332"/>
        <v>0.11</v>
      </c>
      <c r="Q466" s="62">
        <f t="shared" si="333"/>
        <v>0.11</v>
      </c>
      <c r="R466" s="62">
        <f t="shared" si="334"/>
        <v>0.11</v>
      </c>
      <c r="S466" s="62">
        <f t="shared" si="335"/>
        <v>0.11</v>
      </c>
      <c r="T466" s="62">
        <f t="shared" si="336"/>
        <v>0.11</v>
      </c>
      <c r="U466" s="62">
        <f t="shared" si="337"/>
        <v>0.11</v>
      </c>
      <c r="V466" s="62">
        <f t="shared" si="338"/>
        <v>0.11</v>
      </c>
      <c r="W466" s="62">
        <f t="shared" si="339"/>
        <v>0.11</v>
      </c>
      <c r="X466" s="62">
        <f t="shared" si="340"/>
        <v>0.11</v>
      </c>
      <c r="Y466" s="62">
        <f t="shared" si="341"/>
        <v>0.11</v>
      </c>
      <c r="Z466" s="62">
        <f t="shared" si="342"/>
        <v>0.11</v>
      </c>
      <c r="AA466" s="62">
        <f t="shared" si="343"/>
        <v>0.11</v>
      </c>
      <c r="AB466" s="62">
        <f t="shared" si="344"/>
        <v>0.11</v>
      </c>
      <c r="AC466" s="62">
        <f t="shared" si="345"/>
        <v>0.11</v>
      </c>
    </row>
    <row r="467" spans="1:29" x14ac:dyDescent="0.25">
      <c r="A467" s="30" t="str">
        <f t="shared" si="317"/>
        <v>Fuel Economy</v>
      </c>
      <c r="B467" s="62">
        <f t="shared" si="318"/>
        <v>2.5017133827957863</v>
      </c>
      <c r="C467" s="62">
        <f t="shared" si="319"/>
        <v>2.4899274249507841</v>
      </c>
      <c r="D467" s="62">
        <f t="shared" si="320"/>
        <v>2.473540665111047</v>
      </c>
      <c r="E467" s="62">
        <f t="shared" si="321"/>
        <v>2.4510750304006725</v>
      </c>
      <c r="F467" s="62">
        <f t="shared" si="322"/>
        <v>2.4208836246700196</v>
      </c>
      <c r="G467" s="62">
        <f t="shared" si="323"/>
        <v>2.3814176248294165</v>
      </c>
      <c r="H467" s="62">
        <f t="shared" si="324"/>
        <v>2.3317168686499508</v>
      </c>
      <c r="I467" s="62">
        <f t="shared" si="325"/>
        <v>2.2720773878950213</v>
      </c>
      <c r="J467" s="62">
        <f t="shared" si="326"/>
        <v>2.2046386343182869</v>
      </c>
      <c r="K467" s="62">
        <f t="shared" si="327"/>
        <v>2.1334438188615716</v>
      </c>
      <c r="L467" s="62">
        <f t="shared" si="328"/>
        <v>2.0636499842068772</v>
      </c>
      <c r="M467" s="62">
        <f t="shared" si="329"/>
        <v>2.0001152199155108</v>
      </c>
      <c r="N467" s="62">
        <f t="shared" si="330"/>
        <v>1.9461197177922713</v>
      </c>
      <c r="O467" s="62">
        <f t="shared" si="331"/>
        <v>1.9028789906381067</v>
      </c>
      <c r="P467" s="62">
        <f t="shared" si="332"/>
        <v>1.8698843966590539</v>
      </c>
      <c r="Q467" s="62">
        <f t="shared" si="333"/>
        <v>1.845630723914188</v>
      </c>
      <c r="R467" s="62">
        <f t="shared" si="334"/>
        <v>1.8282896987713517</v>
      </c>
      <c r="S467" s="62">
        <f t="shared" si="335"/>
        <v>1.816136201062756</v>
      </c>
      <c r="T467" s="62">
        <f t="shared" si="336"/>
        <v>1.8077373871337672</v>
      </c>
      <c r="U467" s="62">
        <f t="shared" si="337"/>
        <v>1.8019896602332084</v>
      </c>
      <c r="V467" s="62">
        <f t="shared" si="338"/>
        <v>1.7980824580174404</v>
      </c>
      <c r="W467" s="62">
        <f t="shared" si="339"/>
        <v>1.7954384977550508</v>
      </c>
      <c r="X467" s="62">
        <f t="shared" si="340"/>
        <v>1.7936548794016942</v>
      </c>
      <c r="Y467" s="62">
        <f t="shared" si="341"/>
        <v>1.7924541563864786</v>
      </c>
      <c r="Z467" s="62">
        <f t="shared" si="342"/>
        <v>1.7916469707988543</v>
      </c>
      <c r="AA467" s="62">
        <f t="shared" si="343"/>
        <v>1.791104853204156</v>
      </c>
      <c r="AB467" s="62">
        <f t="shared" si="344"/>
        <v>1.7907409902313312</v>
      </c>
      <c r="AC467" s="62">
        <f t="shared" si="345"/>
        <v>1.7904968737418223</v>
      </c>
    </row>
    <row r="468" spans="1:29" x14ac:dyDescent="0.25">
      <c r="A468" s="30" t="str">
        <f t="shared" si="317"/>
        <v>Fuel Cost</v>
      </c>
      <c r="B468" s="62">
        <f t="shared" si="318"/>
        <v>0.25254227914256844</v>
      </c>
      <c r="C468" s="62">
        <f t="shared" si="319"/>
        <v>0.25172282033513138</v>
      </c>
      <c r="D468" s="62">
        <f t="shared" si="320"/>
        <v>0.25055930629945611</v>
      </c>
      <c r="E468" s="62">
        <f t="shared" si="321"/>
        <v>0.24891479101658942</v>
      </c>
      <c r="F468" s="62">
        <f t="shared" si="322"/>
        <v>0.24660592122895794</v>
      </c>
      <c r="G468" s="62">
        <f t="shared" si="323"/>
        <v>0.24339575407846328</v>
      </c>
      <c r="H468" s="62">
        <f t="shared" si="324"/>
        <v>0.23899473500772708</v>
      </c>
      <c r="I468" s="62">
        <f t="shared" si="325"/>
        <v>0.23308023697079527</v>
      </c>
      <c r="J468" s="62">
        <f t="shared" si="326"/>
        <v>0.22534884543953543</v>
      </c>
      <c r="K468" s="62">
        <f t="shared" si="327"/>
        <v>0.21561246458069289</v>
      </c>
      <c r="L468" s="62">
        <f t="shared" si="328"/>
        <v>0.20392908703293811</v>
      </c>
      <c r="M468" s="62">
        <f t="shared" si="329"/>
        <v>0.19071783151204119</v>
      </c>
      <c r="N468" s="62">
        <f t="shared" si="330"/>
        <v>0.17677076326304775</v>
      </c>
      <c r="O468" s="62">
        <f t="shared" si="331"/>
        <v>0.16309814722993504</v>
      </c>
      <c r="P468" s="62">
        <f t="shared" si="332"/>
        <v>0.15065168342395555</v>
      </c>
      <c r="Q468" s="62">
        <f t="shared" si="333"/>
        <v>0.14007396159940294</v>
      </c>
      <c r="R468" s="62">
        <f t="shared" si="334"/>
        <v>0.13160310078058535</v>
      </c>
      <c r="S468" s="62">
        <f t="shared" si="335"/>
        <v>0.12513945801219511</v>
      </c>
      <c r="T468" s="62">
        <f t="shared" si="336"/>
        <v>0.1203881621925289</v>
      </c>
      <c r="U468" s="62">
        <f t="shared" si="337"/>
        <v>0.11699105441686944</v>
      </c>
      <c r="V468" s="62">
        <f t="shared" si="338"/>
        <v>0.11461018354982119</v>
      </c>
      <c r="W468" s="62">
        <f t="shared" si="339"/>
        <v>0.11296485544093068</v>
      </c>
      <c r="X468" s="62">
        <f t="shared" si="340"/>
        <v>0.11183887542617238</v>
      </c>
      <c r="Y468" s="62">
        <f t="shared" si="341"/>
        <v>0.11107345429801357</v>
      </c>
      <c r="Z468" s="62">
        <f t="shared" si="342"/>
        <v>0.11055550233773928</v>
      </c>
      <c r="AA468" s="62">
        <f t="shared" si="343"/>
        <v>0.11020609140458582</v>
      </c>
      <c r="AB468" s="62">
        <f t="shared" si="344"/>
        <v>0.10997086970011311</v>
      </c>
      <c r="AC468" s="62">
        <f t="shared" si="345"/>
        <v>0.10981274199926885</v>
      </c>
    </row>
    <row r="469" spans="1:29" x14ac:dyDescent="0.25">
      <c r="A469" s="30" t="str">
        <f t="shared" ref="A469" si="346">A449</f>
        <v>Emission Cost</v>
      </c>
      <c r="B469" s="66">
        <f>$B449+($C449-$B449)*(1-Q449)</f>
        <v>9.1045502411311718E-3</v>
      </c>
      <c r="C469" s="66">
        <f t="shared" ref="C469:AC469" si="347">$B449+($C449-$B449)*(1-R449)</f>
        <v>9.095880490962575E-3</v>
      </c>
      <c r="D469" s="66">
        <f t="shared" si="347"/>
        <v>9.0834699366993434E-3</v>
      </c>
      <c r="E469" s="66">
        <f t="shared" si="347"/>
        <v>9.0657157660766E-3</v>
      </c>
      <c r="F469" s="66">
        <f t="shared" si="347"/>
        <v>9.040341138604446E-3</v>
      </c>
      <c r="G469" s="66">
        <f t="shared" si="347"/>
        <v>9.0041260615172855E-3</v>
      </c>
      <c r="H469" s="66">
        <f t="shared" si="347"/>
        <v>8.9525469072142452E-3</v>
      </c>
      <c r="I469" s="66">
        <f t="shared" si="347"/>
        <v>8.8793119020679299E-3</v>
      </c>
      <c r="J469" s="66">
        <f t="shared" si="347"/>
        <v>8.7758012597282838E-3</v>
      </c>
      <c r="K469" s="66">
        <f t="shared" si="347"/>
        <v>8.630474185370102E-3</v>
      </c>
      <c r="L469" s="66">
        <f t="shared" si="347"/>
        <v>8.4284167966506146E-3</v>
      </c>
      <c r="M469" s="66">
        <f t="shared" si="347"/>
        <v>8.1514036756981448E-3</v>
      </c>
      <c r="N469" s="66">
        <f t="shared" si="347"/>
        <v>7.7791277246640009E-3</v>
      </c>
      <c r="O469" s="66">
        <f t="shared" si="347"/>
        <v>7.2924911382377788E-3</v>
      </c>
      <c r="P469" s="66">
        <f t="shared" si="347"/>
        <v>6.6796546098928378E-3</v>
      </c>
      <c r="Q469" s="66">
        <f t="shared" si="347"/>
        <v>5.9442683673542078E-3</v>
      </c>
      <c r="R469" s="66">
        <f t="shared" si="347"/>
        <v>5.1127129787673555E-3</v>
      </c>
      <c r="S469" s="66">
        <f t="shared" si="347"/>
        <v>4.2348433668221242E-3</v>
      </c>
      <c r="T469" s="66">
        <f t="shared" si="347"/>
        <v>3.3742485868309214E-3</v>
      </c>
      <c r="U469" s="66">
        <f t="shared" si="347"/>
        <v>2.5908314445053909E-3</v>
      </c>
      <c r="V469" s="66">
        <f t="shared" si="347"/>
        <v>1.9250384342751033E-3</v>
      </c>
      <c r="W469" s="66">
        <f t="shared" si="347"/>
        <v>1.3918574698531276E-3</v>
      </c>
      <c r="X469" s="66">
        <f t="shared" si="347"/>
        <v>9.8501672973924301E-4</v>
      </c>
      <c r="Y469" s="66">
        <f t="shared" si="347"/>
        <v>6.8595615708101458E-4</v>
      </c>
      <c r="Z469" s="66">
        <f t="shared" si="347"/>
        <v>4.7213217403930738E-4</v>
      </c>
      <c r="AA469" s="66">
        <f t="shared" si="347"/>
        <v>3.2227313937815624E-4</v>
      </c>
      <c r="AB469" s="66">
        <f t="shared" si="347"/>
        <v>2.1871133537117345E-4</v>
      </c>
      <c r="AC469" s="66">
        <f t="shared" si="347"/>
        <v>1.4783883220655276E-4</v>
      </c>
    </row>
    <row r="470" spans="1:29" x14ac:dyDescent="0.25">
      <c r="A470" s="30" t="str">
        <f>A450</f>
        <v>Lifetime vehicle</v>
      </c>
      <c r="B470" s="62">
        <f>$B450+($C450-$B450)*(1-Q450)</f>
        <v>8</v>
      </c>
      <c r="C470" s="62">
        <f t="shared" ref="C470:L472" si="348">$B450+($C450-$B450)*(1-R450)</f>
        <v>8</v>
      </c>
      <c r="D470" s="62">
        <f t="shared" si="348"/>
        <v>8</v>
      </c>
      <c r="E470" s="62">
        <f t="shared" si="348"/>
        <v>8</v>
      </c>
      <c r="F470" s="62">
        <f t="shared" si="348"/>
        <v>8</v>
      </c>
      <c r="G470" s="62">
        <f t="shared" si="348"/>
        <v>8</v>
      </c>
      <c r="H470" s="62">
        <f t="shared" si="348"/>
        <v>8</v>
      </c>
      <c r="I470" s="62">
        <f t="shared" si="348"/>
        <v>8</v>
      </c>
      <c r="J470" s="62">
        <f t="shared" si="348"/>
        <v>8</v>
      </c>
      <c r="K470" s="62">
        <f t="shared" si="348"/>
        <v>8</v>
      </c>
      <c r="L470" s="62">
        <f t="shared" si="348"/>
        <v>8</v>
      </c>
      <c r="M470" s="62">
        <f t="shared" ref="M470:V472" si="349">$B450+($C450-$B450)*(1-AB450)</f>
        <v>8</v>
      </c>
      <c r="N470" s="62">
        <f t="shared" si="349"/>
        <v>8</v>
      </c>
      <c r="O470" s="62">
        <f t="shared" si="349"/>
        <v>8</v>
      </c>
      <c r="P470" s="62">
        <f t="shared" si="349"/>
        <v>8</v>
      </c>
      <c r="Q470" s="62">
        <f t="shared" si="349"/>
        <v>8</v>
      </c>
      <c r="R470" s="62">
        <f t="shared" si="349"/>
        <v>8</v>
      </c>
      <c r="S470" s="62">
        <f t="shared" si="349"/>
        <v>8</v>
      </c>
      <c r="T470" s="62">
        <f t="shared" si="349"/>
        <v>8</v>
      </c>
      <c r="U470" s="62">
        <f t="shared" si="349"/>
        <v>8</v>
      </c>
      <c r="V470" s="62">
        <f t="shared" si="349"/>
        <v>8</v>
      </c>
      <c r="W470" s="62">
        <f t="shared" ref="W470:AC472" si="350">$B450+($C450-$B450)*(1-AL450)</f>
        <v>8</v>
      </c>
      <c r="X470" s="62">
        <f t="shared" si="350"/>
        <v>8</v>
      </c>
      <c r="Y470" s="62">
        <f t="shared" si="350"/>
        <v>8</v>
      </c>
      <c r="Z470" s="62">
        <f t="shared" si="350"/>
        <v>8</v>
      </c>
      <c r="AA470" s="62">
        <f t="shared" si="350"/>
        <v>8</v>
      </c>
      <c r="AB470" s="62">
        <f t="shared" si="350"/>
        <v>8</v>
      </c>
      <c r="AC470" s="62">
        <f t="shared" si="350"/>
        <v>8</v>
      </c>
    </row>
    <row r="471" spans="1:29" x14ac:dyDescent="0.25">
      <c r="A471" s="30" t="str">
        <f>A451</f>
        <v>Lifetime costumization</v>
      </c>
      <c r="B471" s="62">
        <f>$B451+($C451-$B451)*(1-Q451)</f>
        <v>10</v>
      </c>
      <c r="C471" s="62">
        <f t="shared" si="348"/>
        <v>10</v>
      </c>
      <c r="D471" s="62">
        <f t="shared" si="348"/>
        <v>10</v>
      </c>
      <c r="E471" s="62">
        <f t="shared" si="348"/>
        <v>10</v>
      </c>
      <c r="F471" s="62">
        <f t="shared" si="348"/>
        <v>10</v>
      </c>
      <c r="G471" s="62">
        <f t="shared" si="348"/>
        <v>10</v>
      </c>
      <c r="H471" s="62">
        <f t="shared" si="348"/>
        <v>10</v>
      </c>
      <c r="I471" s="62">
        <f t="shared" si="348"/>
        <v>10</v>
      </c>
      <c r="J471" s="62">
        <f t="shared" si="348"/>
        <v>10</v>
      </c>
      <c r="K471" s="62">
        <f t="shared" si="348"/>
        <v>10</v>
      </c>
      <c r="L471" s="62">
        <f t="shared" si="348"/>
        <v>10</v>
      </c>
      <c r="M471" s="62">
        <f t="shared" si="349"/>
        <v>10</v>
      </c>
      <c r="N471" s="62">
        <f t="shared" si="349"/>
        <v>10</v>
      </c>
      <c r="O471" s="62">
        <f t="shared" si="349"/>
        <v>10</v>
      </c>
      <c r="P471" s="62">
        <f t="shared" si="349"/>
        <v>10</v>
      </c>
      <c r="Q471" s="62">
        <f t="shared" si="349"/>
        <v>10</v>
      </c>
      <c r="R471" s="62">
        <f t="shared" si="349"/>
        <v>10</v>
      </c>
      <c r="S471" s="62">
        <f t="shared" si="349"/>
        <v>10</v>
      </c>
      <c r="T471" s="62">
        <f t="shared" si="349"/>
        <v>10</v>
      </c>
      <c r="U471" s="62">
        <f t="shared" si="349"/>
        <v>10</v>
      </c>
      <c r="V471" s="62">
        <f t="shared" si="349"/>
        <v>10</v>
      </c>
      <c r="W471" s="62">
        <f t="shared" si="350"/>
        <v>10</v>
      </c>
      <c r="X471" s="62">
        <f t="shared" si="350"/>
        <v>10</v>
      </c>
      <c r="Y471" s="62">
        <f t="shared" si="350"/>
        <v>10</v>
      </c>
      <c r="Z471" s="62">
        <f t="shared" si="350"/>
        <v>10</v>
      </c>
      <c r="AA471" s="62">
        <f t="shared" si="350"/>
        <v>10</v>
      </c>
      <c r="AB471" s="62">
        <f t="shared" si="350"/>
        <v>10</v>
      </c>
      <c r="AC471" s="62">
        <f t="shared" si="350"/>
        <v>10</v>
      </c>
    </row>
    <row r="472" spans="1:29" x14ac:dyDescent="0.25">
      <c r="A472" s="30" t="str">
        <f>A452</f>
        <v>Tonnage .</v>
      </c>
      <c r="B472" s="62">
        <f>$B452+($C452-$B452)*(1-Q452)</f>
        <v>25</v>
      </c>
      <c r="C472" s="62">
        <f t="shared" si="348"/>
        <v>25</v>
      </c>
      <c r="D472" s="62">
        <f t="shared" si="348"/>
        <v>25</v>
      </c>
      <c r="E472" s="62">
        <f t="shared" si="348"/>
        <v>25</v>
      </c>
      <c r="F472" s="62">
        <f t="shared" si="348"/>
        <v>25</v>
      </c>
      <c r="G472" s="62">
        <f t="shared" si="348"/>
        <v>25</v>
      </c>
      <c r="H472" s="62">
        <f t="shared" si="348"/>
        <v>25</v>
      </c>
      <c r="I472" s="62">
        <f t="shared" si="348"/>
        <v>25</v>
      </c>
      <c r="J472" s="62">
        <f t="shared" si="348"/>
        <v>25</v>
      </c>
      <c r="K472" s="62">
        <f t="shared" si="348"/>
        <v>25</v>
      </c>
      <c r="L472" s="62">
        <f t="shared" si="348"/>
        <v>25</v>
      </c>
      <c r="M472" s="62">
        <f t="shared" si="349"/>
        <v>25</v>
      </c>
      <c r="N472" s="62">
        <f t="shared" si="349"/>
        <v>25</v>
      </c>
      <c r="O472" s="62">
        <f t="shared" si="349"/>
        <v>25</v>
      </c>
      <c r="P472" s="62">
        <f t="shared" si="349"/>
        <v>25</v>
      </c>
      <c r="Q472" s="62">
        <f t="shared" si="349"/>
        <v>25</v>
      </c>
      <c r="R472" s="62">
        <f t="shared" si="349"/>
        <v>25</v>
      </c>
      <c r="S472" s="62">
        <f t="shared" si="349"/>
        <v>25</v>
      </c>
      <c r="T472" s="62">
        <f t="shared" si="349"/>
        <v>25</v>
      </c>
      <c r="U472" s="62">
        <f t="shared" si="349"/>
        <v>25</v>
      </c>
      <c r="V472" s="62">
        <f t="shared" si="349"/>
        <v>25</v>
      </c>
      <c r="W472" s="62">
        <f t="shared" si="350"/>
        <v>25</v>
      </c>
      <c r="X472" s="62">
        <f t="shared" si="350"/>
        <v>25</v>
      </c>
      <c r="Y472" s="62">
        <f t="shared" si="350"/>
        <v>25</v>
      </c>
      <c r="Z472" s="62">
        <f t="shared" si="350"/>
        <v>25</v>
      </c>
      <c r="AA472" s="62">
        <f t="shared" si="350"/>
        <v>25</v>
      </c>
      <c r="AB472" s="62">
        <f t="shared" si="350"/>
        <v>25</v>
      </c>
      <c r="AC472" s="62">
        <f t="shared" si="350"/>
        <v>25</v>
      </c>
    </row>
    <row r="473" spans="1:29" x14ac:dyDescent="0.25">
      <c r="A473" s="30" t="str">
        <f>A453</f>
        <v>Market failure (av. utilization)</v>
      </c>
      <c r="B473" s="62">
        <f t="shared" ref="B473:K474" si="351">($B453+($C453-$B453)*(1-Q453))*B$44</f>
        <v>16</v>
      </c>
      <c r="C473" s="62">
        <f t="shared" si="351"/>
        <v>16</v>
      </c>
      <c r="D473" s="62">
        <f t="shared" si="351"/>
        <v>16</v>
      </c>
      <c r="E473" s="62">
        <f t="shared" si="351"/>
        <v>16</v>
      </c>
      <c r="F473" s="62">
        <f t="shared" si="351"/>
        <v>16</v>
      </c>
      <c r="G473" s="62">
        <f t="shared" si="351"/>
        <v>16</v>
      </c>
      <c r="H473" s="62">
        <f t="shared" si="351"/>
        <v>16</v>
      </c>
      <c r="I473" s="62">
        <f t="shared" si="351"/>
        <v>16</v>
      </c>
      <c r="J473" s="62">
        <f t="shared" si="351"/>
        <v>16</v>
      </c>
      <c r="K473" s="62">
        <f t="shared" si="351"/>
        <v>16</v>
      </c>
      <c r="L473" s="62">
        <f t="shared" ref="L473:U474" si="352">($B453+($C453-$B453)*(1-AA453))*L$44</f>
        <v>16</v>
      </c>
      <c r="M473" s="62">
        <f t="shared" si="352"/>
        <v>16</v>
      </c>
      <c r="N473" s="62">
        <f t="shared" si="352"/>
        <v>16</v>
      </c>
      <c r="O473" s="62">
        <f t="shared" si="352"/>
        <v>16</v>
      </c>
      <c r="P473" s="62">
        <f t="shared" si="352"/>
        <v>16</v>
      </c>
      <c r="Q473" s="62">
        <f t="shared" si="352"/>
        <v>16</v>
      </c>
      <c r="R473" s="62">
        <f t="shared" si="352"/>
        <v>16</v>
      </c>
      <c r="S473" s="62">
        <f t="shared" si="352"/>
        <v>16</v>
      </c>
      <c r="T473" s="62">
        <f t="shared" si="352"/>
        <v>16</v>
      </c>
      <c r="U473" s="62">
        <f t="shared" si="352"/>
        <v>16</v>
      </c>
      <c r="V473" s="62">
        <f t="shared" ref="V473:AC474" si="353">($B453+($C453-$B453)*(1-AK453))*V$44</f>
        <v>16</v>
      </c>
      <c r="W473" s="62">
        <f t="shared" si="353"/>
        <v>16</v>
      </c>
      <c r="X473" s="62">
        <f t="shared" si="353"/>
        <v>16</v>
      </c>
      <c r="Y473" s="62">
        <f t="shared" si="353"/>
        <v>16</v>
      </c>
      <c r="Z473" s="62">
        <f t="shared" si="353"/>
        <v>16</v>
      </c>
      <c r="AA473" s="62">
        <f t="shared" si="353"/>
        <v>16</v>
      </c>
      <c r="AB473" s="62">
        <f t="shared" si="353"/>
        <v>16</v>
      </c>
      <c r="AC473" s="62">
        <f t="shared" si="353"/>
        <v>16</v>
      </c>
    </row>
    <row r="474" spans="1:29" x14ac:dyDescent="0.25">
      <c r="A474" s="30" t="s">
        <v>73</v>
      </c>
      <c r="B474" s="62">
        <f t="shared" si="351"/>
        <v>1.240098396181128</v>
      </c>
      <c r="C474" s="62">
        <f t="shared" si="351"/>
        <v>1.2358588232214369</v>
      </c>
      <c r="D474" s="62">
        <f t="shared" si="351"/>
        <v>1.2298392373690403</v>
      </c>
      <c r="E474" s="62">
        <f t="shared" si="351"/>
        <v>1.2213311312119457</v>
      </c>
      <c r="F474" s="62">
        <f t="shared" si="351"/>
        <v>1.2093859036663352</v>
      </c>
      <c r="G474" s="62">
        <f t="shared" si="351"/>
        <v>1.1927777011260612</v>
      </c>
      <c r="H474" s="62">
        <f t="shared" si="351"/>
        <v>1.1700084767574384</v>
      </c>
      <c r="I474" s="62">
        <f t="shared" si="351"/>
        <v>1.1394090790574525</v>
      </c>
      <c r="J474" s="62">
        <f t="shared" si="351"/>
        <v>1.0994097548946793</v>
      </c>
      <c r="K474" s="62">
        <f t="shared" si="351"/>
        <v>1.0490373668749504</v>
      </c>
      <c r="L474" s="62">
        <f t="shared" si="352"/>
        <v>0.98859194719090016</v>
      </c>
      <c r="M474" s="62">
        <f t="shared" si="352"/>
        <v>0.92024185910637191</v>
      </c>
      <c r="N474" s="62">
        <f t="shared" si="352"/>
        <v>0.84808495154888996</v>
      </c>
      <c r="O474" s="62">
        <f t="shared" si="352"/>
        <v>0.77734795696642955</v>
      </c>
      <c r="P474" s="62">
        <f t="shared" si="352"/>
        <v>0.71295461477923405</v>
      </c>
      <c r="Q474" s="62">
        <f t="shared" si="352"/>
        <v>0.65822944370838299</v>
      </c>
      <c r="R474" s="62">
        <f t="shared" si="352"/>
        <v>0.61440438240348649</v>
      </c>
      <c r="S474" s="62">
        <f t="shared" si="352"/>
        <v>0.580963915532825</v>
      </c>
      <c r="T474" s="62">
        <f t="shared" si="352"/>
        <v>0.55638249045356891</v>
      </c>
      <c r="U474" s="62">
        <f t="shared" si="352"/>
        <v>0.53880712713312673</v>
      </c>
      <c r="V474" s="62">
        <f t="shared" si="353"/>
        <v>0.52648939296900943</v>
      </c>
      <c r="W474" s="62">
        <f t="shared" si="353"/>
        <v>0.51797708155449362</v>
      </c>
      <c r="X474" s="62">
        <f t="shared" si="353"/>
        <v>0.5121516826687923</v>
      </c>
      <c r="Y474" s="62">
        <f t="shared" si="353"/>
        <v>0.50819168042308127</v>
      </c>
      <c r="Z474" s="62">
        <f t="shared" si="353"/>
        <v>0.50551199096795685</v>
      </c>
      <c r="AA474" s="62">
        <f t="shared" si="353"/>
        <v>0.50370426966387927</v>
      </c>
      <c r="AB474" s="62">
        <f t="shared" si="353"/>
        <v>0.50248732066197166</v>
      </c>
      <c r="AC474" s="62">
        <f t="shared" si="353"/>
        <v>0.50166922716100104</v>
      </c>
    </row>
    <row r="475" spans="1:29" x14ac:dyDescent="0.25">
      <c r="A475" s="30" t="str">
        <f>A455</f>
        <v>Annual Mileage</v>
      </c>
      <c r="B475" s="62">
        <f t="shared" ref="B475:AC475" si="354">$B455+($C455-$B455)*(1-Q455)</f>
        <v>90000</v>
      </c>
      <c r="C475" s="62">
        <f t="shared" si="354"/>
        <v>90000</v>
      </c>
      <c r="D475" s="62">
        <f t="shared" si="354"/>
        <v>90000</v>
      </c>
      <c r="E475" s="62">
        <f t="shared" si="354"/>
        <v>90000</v>
      </c>
      <c r="F475" s="62">
        <f t="shared" si="354"/>
        <v>90000</v>
      </c>
      <c r="G475" s="62">
        <f t="shared" si="354"/>
        <v>90000</v>
      </c>
      <c r="H475" s="62">
        <f t="shared" si="354"/>
        <v>90000</v>
      </c>
      <c r="I475" s="62">
        <f t="shared" si="354"/>
        <v>90000</v>
      </c>
      <c r="J475" s="62">
        <f t="shared" si="354"/>
        <v>90000</v>
      </c>
      <c r="K475" s="62">
        <f t="shared" si="354"/>
        <v>90000</v>
      </c>
      <c r="L475" s="62">
        <f t="shared" si="354"/>
        <v>90000</v>
      </c>
      <c r="M475" s="62">
        <f t="shared" si="354"/>
        <v>90000</v>
      </c>
      <c r="N475" s="62">
        <f t="shared" si="354"/>
        <v>90000</v>
      </c>
      <c r="O475" s="62">
        <f t="shared" si="354"/>
        <v>90000</v>
      </c>
      <c r="P475" s="62">
        <f t="shared" si="354"/>
        <v>90000</v>
      </c>
      <c r="Q475" s="62">
        <f t="shared" si="354"/>
        <v>90000</v>
      </c>
      <c r="R475" s="62">
        <f t="shared" si="354"/>
        <v>90000</v>
      </c>
      <c r="S475" s="62">
        <f t="shared" si="354"/>
        <v>90000</v>
      </c>
      <c r="T475" s="62">
        <f t="shared" si="354"/>
        <v>90000</v>
      </c>
      <c r="U475" s="62">
        <f t="shared" si="354"/>
        <v>90000</v>
      </c>
      <c r="V475" s="62">
        <f t="shared" si="354"/>
        <v>90000</v>
      </c>
      <c r="W475" s="62">
        <f t="shared" si="354"/>
        <v>90000</v>
      </c>
      <c r="X475" s="62">
        <f t="shared" si="354"/>
        <v>90000</v>
      </c>
      <c r="Y475" s="62">
        <f t="shared" si="354"/>
        <v>90000</v>
      </c>
      <c r="Z475" s="62">
        <f t="shared" si="354"/>
        <v>90000</v>
      </c>
      <c r="AA475" s="62">
        <f t="shared" si="354"/>
        <v>90000</v>
      </c>
      <c r="AB475" s="62">
        <f t="shared" si="354"/>
        <v>90000</v>
      </c>
      <c r="AC475" s="62">
        <f t="shared" si="354"/>
        <v>90000</v>
      </c>
    </row>
    <row r="476" spans="1:29" ht="15.75" thickBot="1" x14ac:dyDescent="0.3">
      <c r="AC476" s="32"/>
    </row>
    <row r="477" spans="1:29" ht="15.75" thickBot="1" x14ac:dyDescent="0.3">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61357.445895655808</v>
      </c>
      <c r="C478" s="63">
        <f t="shared" ref="C478:AC478" si="355">((1+C463)^C470)*C463/(((1+C463)^C470)-1)*(C459)</f>
        <v>60754.714455896952</v>
      </c>
      <c r="D478" s="63">
        <f t="shared" si="355"/>
        <v>59916.698956344211</v>
      </c>
      <c r="E478" s="63">
        <f t="shared" si="355"/>
        <v>58767.811056679595</v>
      </c>
      <c r="F478" s="63">
        <f t="shared" si="355"/>
        <v>57223.828829380502</v>
      </c>
      <c r="G478" s="63">
        <f t="shared" si="355"/>
        <v>55205.54578287054</v>
      </c>
      <c r="H478" s="63">
        <f t="shared" si="355"/>
        <v>52663.859419902983</v>
      </c>
      <c r="I478" s="63">
        <f t="shared" si="355"/>
        <v>49613.908743460379</v>
      </c>
      <c r="J478" s="63">
        <f t="shared" si="355"/>
        <v>46165.10487249765</v>
      </c>
      <c r="K478" s="63">
        <f t="shared" si="355"/>
        <v>42524.216776008514</v>
      </c>
      <c r="L478" s="63">
        <f t="shared" si="355"/>
        <v>38954.974547168116</v>
      </c>
      <c r="M478" s="63">
        <f t="shared" si="355"/>
        <v>35705.819878562834</v>
      </c>
      <c r="N478" s="63">
        <f t="shared" si="355"/>
        <v>32944.501098770794</v>
      </c>
      <c r="O478" s="63">
        <f t="shared" si="355"/>
        <v>30733.179280332359</v>
      </c>
      <c r="P478" s="63">
        <f t="shared" si="355"/>
        <v>29045.842587397736</v>
      </c>
      <c r="Q478" s="63">
        <f t="shared" si="355"/>
        <v>27805.514793492392</v>
      </c>
      <c r="R478" s="63">
        <f t="shared" si="355"/>
        <v>26918.698364255953</v>
      </c>
      <c r="S478" s="63">
        <f t="shared" si="355"/>
        <v>26297.171012101549</v>
      </c>
      <c r="T478" s="63">
        <f t="shared" si="355"/>
        <v>25867.657409706244</v>
      </c>
      <c r="U478" s="63">
        <f t="shared" si="355"/>
        <v>25573.719848103356</v>
      </c>
      <c r="V478" s="63">
        <f t="shared" si="355"/>
        <v>25373.906337151635</v>
      </c>
      <c r="W478" s="63">
        <f t="shared" si="355"/>
        <v>25238.694757696427</v>
      </c>
      <c r="X478" s="63">
        <f t="shared" si="355"/>
        <v>25147.480885032299</v>
      </c>
      <c r="Y478" s="63">
        <f t="shared" si="355"/>
        <v>25086.076159066874</v>
      </c>
      <c r="Z478" s="63">
        <f t="shared" si="355"/>
        <v>25044.796855527889</v>
      </c>
      <c r="AA478" s="63">
        <f t="shared" si="355"/>
        <v>25017.073074171451</v>
      </c>
      <c r="AB478" s="63">
        <f t="shared" si="355"/>
        <v>24998.465197207195</v>
      </c>
      <c r="AC478" s="63">
        <f t="shared" si="355"/>
        <v>24985.981130564032</v>
      </c>
    </row>
    <row r="479" spans="1:29" x14ac:dyDescent="0.25">
      <c r="A479" s="30" t="str">
        <f>A460</f>
        <v>Residual value (vehicle)</v>
      </c>
      <c r="B479" s="62">
        <f>((1+B463)^B470)*B463/(((1+B463)^B470)-1)*(B460)</f>
        <v>-9299.0290627537943</v>
      </c>
      <c r="C479" s="62">
        <f t="shared" ref="C479:AC479" si="356">((1+C463)^C470)*C463/(((1+C463)^C470)-1)*(C460)</f>
        <v>-9248.373973667678</v>
      </c>
      <c r="D479" s="62">
        <f t="shared" si="356"/>
        <v>-9177.9450114712236</v>
      </c>
      <c r="E479" s="62">
        <f t="shared" si="356"/>
        <v>-9081.3895390526031</v>
      </c>
      <c r="F479" s="62">
        <f t="shared" si="356"/>
        <v>-8951.6293305881045</v>
      </c>
      <c r="G479" s="62">
        <f t="shared" si="356"/>
        <v>-8782.0076702963088</v>
      </c>
      <c r="H479" s="62">
        <f t="shared" si="356"/>
        <v>-8568.3978589405251</v>
      </c>
      <c r="I479" s="62">
        <f t="shared" si="356"/>
        <v>-8312.0722169841792</v>
      </c>
      <c r="J479" s="62">
        <f t="shared" si="356"/>
        <v>-8022.2259342117786</v>
      </c>
      <c r="K479" s="62">
        <f t="shared" si="356"/>
        <v>-7716.2364026983305</v>
      </c>
      <c r="L479" s="62">
        <f t="shared" si="356"/>
        <v>-7416.2681728277021</v>
      </c>
      <c r="M479" s="62">
        <f t="shared" si="356"/>
        <v>-7143.2009187640651</v>
      </c>
      <c r="N479" s="62">
        <f t="shared" si="356"/>
        <v>-6911.1326383347341</v>
      </c>
      <c r="O479" s="62">
        <f t="shared" si="356"/>
        <v>-6725.2875067851219</v>
      </c>
      <c r="P479" s="62">
        <f t="shared" si="356"/>
        <v>-6583.4794230172129</v>
      </c>
      <c r="Q479" s="62">
        <f t="shared" si="356"/>
        <v>-6479.2391084230394</v>
      </c>
      <c r="R479" s="62">
        <f t="shared" si="356"/>
        <v>-6404.7087914978501</v>
      </c>
      <c r="S479" s="62">
        <f t="shared" si="356"/>
        <v>-6352.4740459444474</v>
      </c>
      <c r="T479" s="62">
        <f t="shared" si="356"/>
        <v>-6316.3766261686715</v>
      </c>
      <c r="U479" s="62">
        <f t="shared" si="356"/>
        <v>-6291.6733630126846</v>
      </c>
      <c r="V479" s="62">
        <f t="shared" si="356"/>
        <v>-6274.8805253901455</v>
      </c>
      <c r="W479" s="62">
        <f t="shared" si="356"/>
        <v>-6263.5169990316763</v>
      </c>
      <c r="X479" s="62">
        <f t="shared" si="356"/>
        <v>-6255.8511522865001</v>
      </c>
      <c r="Y479" s="62">
        <f t="shared" si="356"/>
        <v>-6250.6905423383423</v>
      </c>
      <c r="Z479" s="62">
        <f t="shared" si="356"/>
        <v>-6247.2213242749585</v>
      </c>
      <c r="AA479" s="62">
        <f t="shared" si="356"/>
        <v>-6244.8913469056415</v>
      </c>
      <c r="AB479" s="62">
        <f t="shared" si="356"/>
        <v>-6243.3274934160918</v>
      </c>
      <c r="AC479" s="62">
        <f t="shared" si="356"/>
        <v>-6242.278300581188</v>
      </c>
    </row>
    <row r="480" spans="1:29" x14ac:dyDescent="0.25">
      <c r="A480" s="30" t="str">
        <f>A461</f>
        <v>Capex costumization</v>
      </c>
      <c r="B480" s="62">
        <f>((1+B463)^B471)*B463/(((1+B463)^B471)-1)*(B461)</f>
        <v>4755.37853771343</v>
      </c>
      <c r="C480" s="62">
        <f t="shared" ref="C480:AC480" si="357">((1+C463)^C471)*C463/(((1+C463)^C471)-1)*(C461)</f>
        <v>4755.37853771343</v>
      </c>
      <c r="D480" s="62">
        <f t="shared" si="357"/>
        <v>4755.37853771343</v>
      </c>
      <c r="E480" s="62">
        <f t="shared" si="357"/>
        <v>4755.37853771343</v>
      </c>
      <c r="F480" s="62">
        <f t="shared" si="357"/>
        <v>4755.37853771343</v>
      </c>
      <c r="G480" s="62">
        <f t="shared" si="357"/>
        <v>4755.37853771343</v>
      </c>
      <c r="H480" s="62">
        <f t="shared" si="357"/>
        <v>4755.37853771343</v>
      </c>
      <c r="I480" s="62">
        <f t="shared" si="357"/>
        <v>4755.37853771343</v>
      </c>
      <c r="J480" s="62">
        <f t="shared" si="357"/>
        <v>4755.37853771343</v>
      </c>
      <c r="K480" s="62">
        <f t="shared" si="357"/>
        <v>4755.37853771343</v>
      </c>
      <c r="L480" s="62">
        <f t="shared" si="357"/>
        <v>4755.37853771343</v>
      </c>
      <c r="M480" s="62">
        <f t="shared" si="357"/>
        <v>4755.37853771343</v>
      </c>
      <c r="N480" s="62">
        <f t="shared" si="357"/>
        <v>4755.37853771343</v>
      </c>
      <c r="O480" s="62">
        <f t="shared" si="357"/>
        <v>4755.37853771343</v>
      </c>
      <c r="P480" s="62">
        <f t="shared" si="357"/>
        <v>4755.37853771343</v>
      </c>
      <c r="Q480" s="62">
        <f t="shared" si="357"/>
        <v>4755.37853771343</v>
      </c>
      <c r="R480" s="62">
        <f t="shared" si="357"/>
        <v>4755.37853771343</v>
      </c>
      <c r="S480" s="62">
        <f t="shared" si="357"/>
        <v>4755.37853771343</v>
      </c>
      <c r="T480" s="62">
        <f t="shared" si="357"/>
        <v>4755.37853771343</v>
      </c>
      <c r="U480" s="62">
        <f t="shared" si="357"/>
        <v>4755.37853771343</v>
      </c>
      <c r="V480" s="62">
        <f t="shared" si="357"/>
        <v>4755.37853771343</v>
      </c>
      <c r="W480" s="62">
        <f t="shared" si="357"/>
        <v>4755.37853771343</v>
      </c>
      <c r="X480" s="62">
        <f t="shared" si="357"/>
        <v>4755.37853771343</v>
      </c>
      <c r="Y480" s="62">
        <f t="shared" si="357"/>
        <v>4755.37853771343</v>
      </c>
      <c r="Z480" s="62">
        <f t="shared" si="357"/>
        <v>4755.37853771343</v>
      </c>
      <c r="AA480" s="62">
        <f t="shared" si="357"/>
        <v>4755.37853771343</v>
      </c>
      <c r="AB480" s="62">
        <f t="shared" si="357"/>
        <v>4755.37853771343</v>
      </c>
      <c r="AC480" s="62">
        <f t="shared" si="357"/>
        <v>4755.37853771343</v>
      </c>
    </row>
    <row r="481" spans="1:29" x14ac:dyDescent="0.25">
      <c r="A481" s="30" t="str">
        <f>A462</f>
        <v>Residual value (costumization)</v>
      </c>
      <c r="B481" s="62">
        <f>((1+B463)^B471)*B463/(((1+B463)^B471)-1)*(B462)</f>
        <v>-1188.8446344283575</v>
      </c>
      <c r="C481" s="62">
        <f t="shared" ref="C481:AC481" si="358">((1+C463)^C471)*C463/(((1+C463)^C471)-1)*(C462)</f>
        <v>-1188.8446344283575</v>
      </c>
      <c r="D481" s="62">
        <f t="shared" si="358"/>
        <v>-1188.8446344283575</v>
      </c>
      <c r="E481" s="62">
        <f t="shared" si="358"/>
        <v>-1188.8446344283575</v>
      </c>
      <c r="F481" s="62">
        <f t="shared" si="358"/>
        <v>-1188.8446344283575</v>
      </c>
      <c r="G481" s="62">
        <f t="shared" si="358"/>
        <v>-1188.8446344283575</v>
      </c>
      <c r="H481" s="62">
        <f t="shared" si="358"/>
        <v>-1188.8446344283575</v>
      </c>
      <c r="I481" s="62">
        <f t="shared" si="358"/>
        <v>-1188.8446344283575</v>
      </c>
      <c r="J481" s="62">
        <f t="shared" si="358"/>
        <v>-1188.8446344283575</v>
      </c>
      <c r="K481" s="62">
        <f t="shared" si="358"/>
        <v>-1188.8446344283575</v>
      </c>
      <c r="L481" s="62">
        <f t="shared" si="358"/>
        <v>-1188.8446344283575</v>
      </c>
      <c r="M481" s="62">
        <f t="shared" si="358"/>
        <v>-1188.8446344283575</v>
      </c>
      <c r="N481" s="62">
        <f t="shared" si="358"/>
        <v>-1188.8446344283575</v>
      </c>
      <c r="O481" s="62">
        <f t="shared" si="358"/>
        <v>-1188.8446344283575</v>
      </c>
      <c r="P481" s="62">
        <f t="shared" si="358"/>
        <v>-1188.8446344283575</v>
      </c>
      <c r="Q481" s="62">
        <f t="shared" si="358"/>
        <v>-1188.8446344283575</v>
      </c>
      <c r="R481" s="62">
        <f t="shared" si="358"/>
        <v>-1188.8446344283575</v>
      </c>
      <c r="S481" s="62">
        <f t="shared" si="358"/>
        <v>-1188.8446344283575</v>
      </c>
      <c r="T481" s="62">
        <f t="shared" si="358"/>
        <v>-1188.8446344283575</v>
      </c>
      <c r="U481" s="62">
        <f t="shared" si="358"/>
        <v>-1188.8446344283575</v>
      </c>
      <c r="V481" s="62">
        <f t="shared" si="358"/>
        <v>-1188.8446344283575</v>
      </c>
      <c r="W481" s="62">
        <f t="shared" si="358"/>
        <v>-1188.8446344283575</v>
      </c>
      <c r="X481" s="62">
        <f t="shared" si="358"/>
        <v>-1188.8446344283575</v>
      </c>
      <c r="Y481" s="62">
        <f t="shared" si="358"/>
        <v>-1188.8446344283575</v>
      </c>
      <c r="Z481" s="62">
        <f t="shared" si="358"/>
        <v>-1188.8446344283575</v>
      </c>
      <c r="AA481" s="62">
        <f t="shared" si="358"/>
        <v>-1188.8446344283575</v>
      </c>
      <c r="AB481" s="62">
        <f t="shared" si="358"/>
        <v>-1188.8446344283575</v>
      </c>
      <c r="AC481" s="62">
        <f t="shared" si="358"/>
        <v>-1188.8446344283575</v>
      </c>
    </row>
    <row r="482" spans="1:29" x14ac:dyDescent="0.25">
      <c r="A482" s="30" t="str">
        <f t="shared" ref="A482:AC482" si="359">A464</f>
        <v>Opex fix (admin, crew, insurance)</v>
      </c>
      <c r="B482" s="62">
        <f t="shared" si="359"/>
        <v>70000</v>
      </c>
      <c r="C482" s="62">
        <f t="shared" si="359"/>
        <v>70000</v>
      </c>
      <c r="D482" s="62">
        <f t="shared" si="359"/>
        <v>70000</v>
      </c>
      <c r="E482" s="62">
        <f t="shared" si="359"/>
        <v>70000</v>
      </c>
      <c r="F482" s="62">
        <f t="shared" si="359"/>
        <v>70000</v>
      </c>
      <c r="G482" s="62">
        <f t="shared" si="359"/>
        <v>70000</v>
      </c>
      <c r="H482" s="62">
        <f t="shared" si="359"/>
        <v>70000</v>
      </c>
      <c r="I482" s="62">
        <f t="shared" si="359"/>
        <v>70000</v>
      </c>
      <c r="J482" s="62">
        <f t="shared" si="359"/>
        <v>70000</v>
      </c>
      <c r="K482" s="62">
        <f t="shared" si="359"/>
        <v>70000</v>
      </c>
      <c r="L482" s="62">
        <f t="shared" si="359"/>
        <v>70000</v>
      </c>
      <c r="M482" s="62">
        <f t="shared" si="359"/>
        <v>70000</v>
      </c>
      <c r="N482" s="62">
        <f t="shared" si="359"/>
        <v>70000</v>
      </c>
      <c r="O482" s="62">
        <f t="shared" si="359"/>
        <v>70000</v>
      </c>
      <c r="P482" s="62">
        <f t="shared" si="359"/>
        <v>70000</v>
      </c>
      <c r="Q482" s="62">
        <f t="shared" si="359"/>
        <v>70000</v>
      </c>
      <c r="R482" s="62">
        <f t="shared" si="359"/>
        <v>70000</v>
      </c>
      <c r="S482" s="62">
        <f t="shared" si="359"/>
        <v>70000</v>
      </c>
      <c r="T482" s="62">
        <f t="shared" si="359"/>
        <v>70000</v>
      </c>
      <c r="U482" s="62">
        <f t="shared" si="359"/>
        <v>70000</v>
      </c>
      <c r="V482" s="62">
        <f t="shared" si="359"/>
        <v>70000</v>
      </c>
      <c r="W482" s="62">
        <f t="shared" si="359"/>
        <v>70000</v>
      </c>
      <c r="X482" s="62">
        <f t="shared" si="359"/>
        <v>70000</v>
      </c>
      <c r="Y482" s="62">
        <f t="shared" si="359"/>
        <v>70000</v>
      </c>
      <c r="Z482" s="62">
        <f t="shared" si="359"/>
        <v>70000</v>
      </c>
      <c r="AA482" s="62">
        <f t="shared" si="359"/>
        <v>70000</v>
      </c>
      <c r="AB482" s="62">
        <f t="shared" si="359"/>
        <v>70000</v>
      </c>
      <c r="AC482" s="62">
        <f t="shared" si="359"/>
        <v>70000</v>
      </c>
    </row>
    <row r="483" spans="1:29" x14ac:dyDescent="0.25">
      <c r="A483" s="30" t="str">
        <f t="shared" ref="A483:AC483" si="360">A465</f>
        <v>Opex maintenance &amp; repair</v>
      </c>
      <c r="B483" s="62">
        <f t="shared" si="360"/>
        <v>25694.198732927423</v>
      </c>
      <c r="C483" s="62">
        <f t="shared" si="360"/>
        <v>25566.782972440909</v>
      </c>
      <c r="D483" s="62">
        <f t="shared" si="360"/>
        <v>25389.62881201132</v>
      </c>
      <c r="E483" s="62">
        <f t="shared" si="360"/>
        <v>25146.757085412675</v>
      </c>
      <c r="F483" s="62">
        <f t="shared" si="360"/>
        <v>24820.363509946161</v>
      </c>
      <c r="G483" s="62">
        <f t="shared" si="360"/>
        <v>24393.704052209912</v>
      </c>
      <c r="H483" s="62">
        <f t="shared" si="360"/>
        <v>23856.39857999947</v>
      </c>
      <c r="I483" s="62">
        <f t="shared" si="360"/>
        <v>23211.647436702937</v>
      </c>
      <c r="J483" s="62">
        <f t="shared" si="360"/>
        <v>22482.579830467967</v>
      </c>
      <c r="K483" s="62">
        <f t="shared" si="360"/>
        <v>21712.906149854825</v>
      </c>
      <c r="L483" s="62">
        <f t="shared" si="360"/>
        <v>20958.378207641916</v>
      </c>
      <c r="M483" s="62">
        <f t="shared" si="360"/>
        <v>20271.515890978495</v>
      </c>
      <c r="N483" s="62">
        <f t="shared" si="360"/>
        <v>19687.78073288942</v>
      </c>
      <c r="O483" s="62">
        <f t="shared" si="360"/>
        <v>19220.313412303854</v>
      </c>
      <c r="P483" s="62">
        <f t="shared" si="360"/>
        <v>18863.615099016799</v>
      </c>
      <c r="Q483" s="62">
        <f t="shared" si="360"/>
        <v>18601.413231504735</v>
      </c>
      <c r="R483" s="62">
        <f t="shared" si="360"/>
        <v>18413.942689420019</v>
      </c>
      <c r="S483" s="62">
        <f t="shared" si="360"/>
        <v>18282.553525002768</v>
      </c>
      <c r="T483" s="62">
        <f t="shared" si="360"/>
        <v>18191.755536581266</v>
      </c>
      <c r="U483" s="62">
        <f t="shared" si="360"/>
        <v>18129.617948467116</v>
      </c>
      <c r="V483" s="62">
        <f t="shared" si="360"/>
        <v>18087.377924512868</v>
      </c>
      <c r="W483" s="62">
        <f t="shared" si="360"/>
        <v>18058.794570324873</v>
      </c>
      <c r="X483" s="62">
        <f t="shared" si="360"/>
        <v>18039.512209748045</v>
      </c>
      <c r="Y483" s="62">
        <f t="shared" si="360"/>
        <v>18026.531420394364</v>
      </c>
      <c r="Z483" s="62">
        <f t="shared" si="360"/>
        <v>18017.805089717345</v>
      </c>
      <c r="AA483" s="62">
        <f t="shared" si="360"/>
        <v>18011.94435896385</v>
      </c>
      <c r="AB483" s="62">
        <f t="shared" si="360"/>
        <v>18008.010705203578</v>
      </c>
      <c r="AC483" s="62">
        <f t="shared" si="360"/>
        <v>18005.371608019701</v>
      </c>
    </row>
    <row r="484" spans="1:29" x14ac:dyDescent="0.25">
      <c r="A484" s="30" t="str">
        <f>A466</f>
        <v>Opex var (mode-fees)</v>
      </c>
      <c r="B484" s="62">
        <f>B466*B475</f>
        <v>9900</v>
      </c>
      <c r="C484" s="62">
        <f t="shared" ref="C484:AC484" si="361">C466*C475</f>
        <v>9900</v>
      </c>
      <c r="D484" s="62">
        <f t="shared" si="361"/>
        <v>9900</v>
      </c>
      <c r="E484" s="62">
        <f t="shared" si="361"/>
        <v>9900</v>
      </c>
      <c r="F484" s="62">
        <f t="shared" si="361"/>
        <v>9900</v>
      </c>
      <c r="G484" s="62">
        <f t="shared" si="361"/>
        <v>9900</v>
      </c>
      <c r="H484" s="62">
        <f t="shared" si="361"/>
        <v>9900</v>
      </c>
      <c r="I484" s="62">
        <f t="shared" si="361"/>
        <v>9900</v>
      </c>
      <c r="J484" s="62">
        <f t="shared" si="361"/>
        <v>9900</v>
      </c>
      <c r="K484" s="62">
        <f t="shared" si="361"/>
        <v>9900</v>
      </c>
      <c r="L484" s="62">
        <f t="shared" si="361"/>
        <v>9900</v>
      </c>
      <c r="M484" s="62">
        <f t="shared" si="361"/>
        <v>9900</v>
      </c>
      <c r="N484" s="62">
        <f t="shared" si="361"/>
        <v>9900</v>
      </c>
      <c r="O484" s="62">
        <f t="shared" si="361"/>
        <v>9900</v>
      </c>
      <c r="P484" s="62">
        <f t="shared" si="361"/>
        <v>9900</v>
      </c>
      <c r="Q484" s="62">
        <f t="shared" si="361"/>
        <v>9900</v>
      </c>
      <c r="R484" s="62">
        <f t="shared" si="361"/>
        <v>9900</v>
      </c>
      <c r="S484" s="62">
        <f t="shared" si="361"/>
        <v>9900</v>
      </c>
      <c r="T484" s="62">
        <f t="shared" si="361"/>
        <v>9900</v>
      </c>
      <c r="U484" s="62">
        <f t="shared" si="361"/>
        <v>9900</v>
      </c>
      <c r="V484" s="62">
        <f t="shared" si="361"/>
        <v>9900</v>
      </c>
      <c r="W484" s="62">
        <f t="shared" si="361"/>
        <v>9900</v>
      </c>
      <c r="X484" s="62">
        <f t="shared" si="361"/>
        <v>9900</v>
      </c>
      <c r="Y484" s="62">
        <f t="shared" si="361"/>
        <v>9900</v>
      </c>
      <c r="Z484" s="62">
        <f t="shared" si="361"/>
        <v>9900</v>
      </c>
      <c r="AA484" s="62">
        <f t="shared" si="361"/>
        <v>9900</v>
      </c>
      <c r="AB484" s="62">
        <f t="shared" si="361"/>
        <v>9900</v>
      </c>
      <c r="AC484" s="62">
        <f t="shared" si="361"/>
        <v>9900</v>
      </c>
    </row>
    <row r="485" spans="1:29" x14ac:dyDescent="0.25">
      <c r="A485" s="30" t="str">
        <f>A468</f>
        <v>Fuel Cost</v>
      </c>
      <c r="B485" s="62">
        <f>B467*B468*B475</f>
        <v>56860.95595074413</v>
      </c>
      <c r="C485" s="62">
        <f t="shared" ref="C485:AC485" si="362">C467*C468*C475</f>
        <v>56409.439845456232</v>
      </c>
      <c r="D485" s="62">
        <f t="shared" si="362"/>
        <v>55779.176983834732</v>
      </c>
      <c r="E485" s="62">
        <f t="shared" si="362"/>
        <v>54909.794606234762</v>
      </c>
      <c r="F485" s="62">
        <f t="shared" si="362"/>
        <v>53730.381280486414</v>
      </c>
      <c r="G485" s="62">
        <f t="shared" si="362"/>
        <v>52166.424471398896</v>
      </c>
      <c r="H485" s="62">
        <f t="shared" si="362"/>
        <v>50154.124962243797</v>
      </c>
      <c r="I485" s="62">
        <f t="shared" si="362"/>
        <v>47661.870238790136</v>
      </c>
      <c r="J485" s="62">
        <f t="shared" si="362"/>
        <v>44713.149376951806</v>
      </c>
      <c r="K485" s="62">
        <f t="shared" si="362"/>
        <v>41399.737184626989</v>
      </c>
      <c r="L485" s="62">
        <f t="shared" si="362"/>
        <v>37875.443151136104</v>
      </c>
      <c r="M485" s="62">
        <f t="shared" si="362"/>
        <v>34331.187376486407</v>
      </c>
      <c r="N485" s="62">
        <f t="shared" si="362"/>
        <v>30961.536112386617</v>
      </c>
      <c r="O485" s="62">
        <f t="shared" si="362"/>
        <v>27932.043399825972</v>
      </c>
      <c r="P485" s="62">
        <f t="shared" si="362"/>
        <v>25353.110894838654</v>
      </c>
      <c r="Q485" s="62">
        <f t="shared" si="362"/>
        <v>23267.232643341082</v>
      </c>
      <c r="R485" s="62">
        <f t="shared" si="362"/>
        <v>21654.773413516101</v>
      </c>
      <c r="S485" s="62">
        <f t="shared" si="362"/>
        <v>20454.326988958826</v>
      </c>
      <c r="T485" s="62">
        <f t="shared" si="362"/>
        <v>19586.716358738253</v>
      </c>
      <c r="U485" s="62">
        <f t="shared" si="362"/>
        <v>18973.500335908142</v>
      </c>
      <c r="V485" s="62">
        <f t="shared" si="362"/>
        <v>18547.070449598326</v>
      </c>
      <c r="W485" s="62">
        <f t="shared" si="362"/>
        <v>18253.930531678296</v>
      </c>
      <c r="X485" s="62">
        <f t="shared" si="362"/>
        <v>18054.03101534571</v>
      </c>
      <c r="Y485" s="62">
        <f t="shared" si="362"/>
        <v>17918.46673386102</v>
      </c>
      <c r="Z485" s="62">
        <f t="shared" si="362"/>
        <v>17826.878778170059</v>
      </c>
      <c r="AA485" s="62">
        <f t="shared" si="362"/>
        <v>17765.1598650673</v>
      </c>
      <c r="AB485" s="62">
        <f t="shared" si="362"/>
        <v>17723.64096930431</v>
      </c>
      <c r="AC485" s="62">
        <f t="shared" si="362"/>
        <v>17695.743412203738</v>
      </c>
    </row>
    <row r="486" spans="1:29" ht="15.75" thickBot="1" x14ac:dyDescent="0.3">
      <c r="A486" s="59" t="str">
        <f>A449</f>
        <v>Emission Cost</v>
      </c>
      <c r="B486" s="62">
        <f>B469*B475</f>
        <v>819.40952170180549</v>
      </c>
      <c r="C486" s="62">
        <f t="shared" ref="C486:AC486" si="363">C469*C475</f>
        <v>818.62924418663181</v>
      </c>
      <c r="D486" s="62">
        <f t="shared" si="363"/>
        <v>817.51229430294086</v>
      </c>
      <c r="E486" s="62">
        <f t="shared" si="363"/>
        <v>815.91441894689399</v>
      </c>
      <c r="F486" s="62">
        <f t="shared" si="363"/>
        <v>813.6307024744001</v>
      </c>
      <c r="G486" s="62">
        <f t="shared" si="363"/>
        <v>810.37134553655574</v>
      </c>
      <c r="H486" s="62">
        <f t="shared" si="363"/>
        <v>805.72922164928207</v>
      </c>
      <c r="I486" s="62">
        <f t="shared" si="363"/>
        <v>799.13807118611373</v>
      </c>
      <c r="J486" s="62">
        <f t="shared" si="363"/>
        <v>789.82211337554554</v>
      </c>
      <c r="K486" s="62">
        <f t="shared" si="363"/>
        <v>776.74267668330913</v>
      </c>
      <c r="L486" s="62">
        <f t="shared" si="363"/>
        <v>758.55751169855534</v>
      </c>
      <c r="M486" s="62">
        <f t="shared" si="363"/>
        <v>733.62633081283298</v>
      </c>
      <c r="N486" s="62">
        <f t="shared" si="363"/>
        <v>700.12149521976005</v>
      </c>
      <c r="O486" s="62">
        <f t="shared" si="363"/>
        <v>656.32420244140008</v>
      </c>
      <c r="P486" s="62">
        <f t="shared" si="363"/>
        <v>601.16891489035538</v>
      </c>
      <c r="Q486" s="62">
        <f t="shared" si="363"/>
        <v>534.98415306187871</v>
      </c>
      <c r="R486" s="62">
        <f t="shared" si="363"/>
        <v>460.14416808906202</v>
      </c>
      <c r="S486" s="62">
        <f t="shared" si="363"/>
        <v>381.1359030139912</v>
      </c>
      <c r="T486" s="62">
        <f t="shared" si="363"/>
        <v>303.68237281478292</v>
      </c>
      <c r="U486" s="62">
        <f t="shared" si="363"/>
        <v>233.17483000548518</v>
      </c>
      <c r="V486" s="62">
        <f t="shared" si="363"/>
        <v>173.2534590847593</v>
      </c>
      <c r="W486" s="62">
        <f t="shared" si="363"/>
        <v>125.26717228678149</v>
      </c>
      <c r="X486" s="62">
        <f t="shared" si="363"/>
        <v>88.651505676531869</v>
      </c>
      <c r="Y486" s="62">
        <f t="shared" si="363"/>
        <v>61.736054137291312</v>
      </c>
      <c r="Z486" s="62">
        <f t="shared" si="363"/>
        <v>42.491895663537662</v>
      </c>
      <c r="AA486" s="62">
        <f t="shared" si="363"/>
        <v>29.004582544034061</v>
      </c>
      <c r="AB486" s="62">
        <f t="shared" si="363"/>
        <v>19.684020183405611</v>
      </c>
      <c r="AC486" s="62">
        <f t="shared" si="363"/>
        <v>13.30549489858975</v>
      </c>
    </row>
    <row r="487" spans="1:29" ht="15.75" thickBot="1" x14ac:dyDescent="0.3">
      <c r="A487" s="31" t="s">
        <v>209</v>
      </c>
      <c r="B487" s="64">
        <f>B478+B479+B480+B481+B482+B483+B484+B485+B486</f>
        <v>218899.51494156045</v>
      </c>
      <c r="C487" s="64">
        <f t="shared" ref="C487:AC487" si="364">C478+C479+C480+C481+C482+C483+C484+C485+C486</f>
        <v>217767.72644759808</v>
      </c>
      <c r="D487" s="64">
        <f t="shared" si="364"/>
        <v>216191.60593830704</v>
      </c>
      <c r="E487" s="64">
        <f t="shared" si="364"/>
        <v>214025.42153150641</v>
      </c>
      <c r="F487" s="64">
        <f t="shared" si="364"/>
        <v>211103.10889498444</v>
      </c>
      <c r="G487" s="64">
        <f t="shared" si="364"/>
        <v>207260.57188500467</v>
      </c>
      <c r="H487" s="64">
        <f t="shared" si="364"/>
        <v>202378.24822814009</v>
      </c>
      <c r="I487" s="64">
        <f t="shared" si="364"/>
        <v>196441.02617644047</v>
      </c>
      <c r="J487" s="64">
        <f t="shared" si="364"/>
        <v>189594.96416236626</v>
      </c>
      <c r="K487" s="64">
        <f t="shared" si="364"/>
        <v>182163.90028776039</v>
      </c>
      <c r="L487" s="64">
        <f t="shared" si="364"/>
        <v>174597.61914810204</v>
      </c>
      <c r="M487" s="64">
        <f t="shared" si="364"/>
        <v>167365.48246136156</v>
      </c>
      <c r="N487" s="64">
        <f t="shared" si="364"/>
        <v>160849.34070421694</v>
      </c>
      <c r="O487" s="64">
        <f t="shared" si="364"/>
        <v>155283.10669140355</v>
      </c>
      <c r="P487" s="64">
        <f t="shared" si="364"/>
        <v>150746.79197641139</v>
      </c>
      <c r="Q487" s="64">
        <f t="shared" si="364"/>
        <v>147196.43961626213</v>
      </c>
      <c r="R487" s="64">
        <f t="shared" si="364"/>
        <v>144509.38374706835</v>
      </c>
      <c r="S487" s="64">
        <f t="shared" si="364"/>
        <v>142529.24728641775</v>
      </c>
      <c r="T487" s="64">
        <f t="shared" si="364"/>
        <v>141099.96895495694</v>
      </c>
      <c r="U487" s="64">
        <f t="shared" si="364"/>
        <v>140084.87350275647</v>
      </c>
      <c r="V487" s="64">
        <f t="shared" si="364"/>
        <v>139373.2615482425</v>
      </c>
      <c r="W487" s="64">
        <f t="shared" si="364"/>
        <v>138879.70393623976</v>
      </c>
      <c r="X487" s="64">
        <f t="shared" si="364"/>
        <v>138540.35836680114</v>
      </c>
      <c r="Y487" s="64">
        <f t="shared" si="364"/>
        <v>138308.65372840627</v>
      </c>
      <c r="Z487" s="64">
        <f t="shared" si="364"/>
        <v>138151.28519808897</v>
      </c>
      <c r="AA487" s="64">
        <f t="shared" si="364"/>
        <v>138044.82443712608</v>
      </c>
      <c r="AB487" s="64">
        <f t="shared" si="364"/>
        <v>137973.00730176747</v>
      </c>
      <c r="AC487" s="64">
        <f t="shared" si="364"/>
        <v>137924.65724838994</v>
      </c>
    </row>
    <row r="488" spans="1:29" ht="15.75" thickBot="1" x14ac:dyDescent="0.3">
      <c r="AC488" s="32"/>
    </row>
    <row r="489" spans="1:29" ht="15.75" thickBot="1" x14ac:dyDescent="0.3">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365">A478</f>
        <v>Capex vehicle</v>
      </c>
      <c r="B490" s="65">
        <f>((1+B463)^B470)*B463/(((1+B463)^B470)-1)*(B459)/B475</f>
        <v>0.68174939884062014</v>
      </c>
      <c r="C490" s="65">
        <f t="shared" ref="C490:AC490" si="366">((1+C463)^C470)*C463/(((1+C463)^C470)-1)*(C459)/C475</f>
        <v>0.67505238284329949</v>
      </c>
      <c r="D490" s="65">
        <f t="shared" si="366"/>
        <v>0.66574109951493565</v>
      </c>
      <c r="E490" s="65">
        <f t="shared" si="366"/>
        <v>0.65297567840755111</v>
      </c>
      <c r="F490" s="65">
        <f t="shared" si="366"/>
        <v>0.63582032032644997</v>
      </c>
      <c r="G490" s="65">
        <f t="shared" si="366"/>
        <v>0.61339495314300596</v>
      </c>
      <c r="H490" s="65">
        <f t="shared" si="366"/>
        <v>0.58515399355447761</v>
      </c>
      <c r="I490" s="65">
        <f t="shared" si="366"/>
        <v>0.55126565270511529</v>
      </c>
      <c r="J490" s="65">
        <f t="shared" si="366"/>
        <v>0.51294560969441838</v>
      </c>
      <c r="K490" s="65">
        <f t="shared" si="366"/>
        <v>0.47249129751120572</v>
      </c>
      <c r="L490" s="65">
        <f t="shared" si="366"/>
        <v>0.43283305052409016</v>
      </c>
      <c r="M490" s="65">
        <f t="shared" si="366"/>
        <v>0.39673133198403149</v>
      </c>
      <c r="N490" s="65">
        <f t="shared" si="366"/>
        <v>0.36605001220856437</v>
      </c>
      <c r="O490" s="65">
        <f t="shared" si="366"/>
        <v>0.34147976978147065</v>
      </c>
      <c r="P490" s="65">
        <f t="shared" si="366"/>
        <v>0.32273158430441928</v>
      </c>
      <c r="Q490" s="65">
        <f t="shared" si="366"/>
        <v>0.30895016437213768</v>
      </c>
      <c r="R490" s="65">
        <f t="shared" si="366"/>
        <v>0.29909664849173284</v>
      </c>
      <c r="S490" s="65">
        <f t="shared" si="366"/>
        <v>0.29219078902335055</v>
      </c>
      <c r="T490" s="65">
        <f t="shared" si="366"/>
        <v>0.2874184156634027</v>
      </c>
      <c r="U490" s="65">
        <f t="shared" si="366"/>
        <v>0.28415244275670393</v>
      </c>
      <c r="V490" s="65">
        <f t="shared" si="366"/>
        <v>0.28193229263501818</v>
      </c>
      <c r="W490" s="65">
        <f t="shared" si="366"/>
        <v>0.2804299417521825</v>
      </c>
      <c r="X490" s="65">
        <f t="shared" si="366"/>
        <v>0.27941645427813666</v>
      </c>
      <c r="Y490" s="65">
        <f t="shared" si="366"/>
        <v>0.27873417954518748</v>
      </c>
      <c r="Z490" s="65">
        <f t="shared" si="366"/>
        <v>0.27827552061697652</v>
      </c>
      <c r="AA490" s="65">
        <f t="shared" si="366"/>
        <v>0.27796747860190502</v>
      </c>
      <c r="AB490" s="65">
        <f t="shared" si="366"/>
        <v>0.27776072441341326</v>
      </c>
      <c r="AC490" s="65">
        <f t="shared" si="366"/>
        <v>0.27762201256182256</v>
      </c>
    </row>
    <row r="491" spans="1:29" x14ac:dyDescent="0.25">
      <c r="A491" s="30" t="str">
        <f t="shared" si="365"/>
        <v>Residual value (vehicle)</v>
      </c>
      <c r="B491" s="66">
        <f>((1+B463)^B470)*B463/(((1+B463)^B470)-1)*(B460)/B475</f>
        <v>-0.10332254514170883</v>
      </c>
      <c r="C491" s="66">
        <f t="shared" ref="C491:AC491" si="367">((1+C463)^C470)*C463/(((1+C463)^C470)-1)*(C460)/C475</f>
        <v>-0.10275971081852976</v>
      </c>
      <c r="D491" s="66">
        <f t="shared" si="367"/>
        <v>-0.1019771667941247</v>
      </c>
      <c r="E491" s="66">
        <f t="shared" si="367"/>
        <v>-0.10090432821169559</v>
      </c>
      <c r="F491" s="66">
        <f t="shared" si="367"/>
        <v>-9.9462548117645599E-2</v>
      </c>
      <c r="G491" s="66">
        <f t="shared" si="367"/>
        <v>-9.7577863003292326E-2</v>
      </c>
      <c r="H491" s="66">
        <f t="shared" si="367"/>
        <v>-9.520442065489472E-2</v>
      </c>
      <c r="I491" s="66">
        <f t="shared" si="367"/>
        <v>-9.2356357966490887E-2</v>
      </c>
      <c r="J491" s="66">
        <f t="shared" si="367"/>
        <v>-8.9135843713464211E-2</v>
      </c>
      <c r="K491" s="66">
        <f t="shared" si="367"/>
        <v>-8.5735960029981448E-2</v>
      </c>
      <c r="L491" s="66">
        <f t="shared" si="367"/>
        <v>-8.2402979698085577E-2</v>
      </c>
      <c r="M491" s="66">
        <f t="shared" si="367"/>
        <v>-7.9368899097378501E-2</v>
      </c>
      <c r="N491" s="66">
        <f t="shared" si="367"/>
        <v>-7.6790362648163718E-2</v>
      </c>
      <c r="O491" s="66">
        <f t="shared" si="367"/>
        <v>-7.4725416742056905E-2</v>
      </c>
      <c r="P491" s="66">
        <f t="shared" si="367"/>
        <v>-7.3149771366857921E-2</v>
      </c>
      <c r="Q491" s="66">
        <f t="shared" si="367"/>
        <v>-7.1991545649144881E-2</v>
      </c>
      <c r="R491" s="66">
        <f t="shared" si="367"/>
        <v>-7.1163431016642784E-2</v>
      </c>
      <c r="S491" s="66">
        <f t="shared" si="367"/>
        <v>-7.0583044954938307E-2</v>
      </c>
      <c r="T491" s="66">
        <f t="shared" si="367"/>
        <v>-7.0181962512985238E-2</v>
      </c>
      <c r="U491" s="66">
        <f t="shared" si="367"/>
        <v>-6.9907481811252045E-2</v>
      </c>
      <c r="V491" s="66">
        <f t="shared" si="367"/>
        <v>-6.9720894726557167E-2</v>
      </c>
      <c r="W491" s="66">
        <f t="shared" si="367"/>
        <v>-6.9594633322574179E-2</v>
      </c>
      <c r="X491" s="66">
        <f t="shared" si="367"/>
        <v>-6.9509457247627776E-2</v>
      </c>
      <c r="Y491" s="66">
        <f t="shared" si="367"/>
        <v>-6.9452117137092692E-2</v>
      </c>
      <c r="Z491" s="66">
        <f t="shared" si="367"/>
        <v>-6.9413570269721767E-2</v>
      </c>
      <c r="AA491" s="66">
        <f t="shared" si="367"/>
        <v>-6.9387681632284912E-2</v>
      </c>
      <c r="AB491" s="66">
        <f t="shared" si="367"/>
        <v>-6.9370305482401015E-2</v>
      </c>
      <c r="AC491" s="66">
        <f t="shared" si="367"/>
        <v>-6.9358647784235422E-2</v>
      </c>
    </row>
    <row r="492" spans="1:29" x14ac:dyDescent="0.25">
      <c r="A492" s="30" t="str">
        <f t="shared" si="365"/>
        <v>Capex costumization</v>
      </c>
      <c r="B492" s="66">
        <f>((1+B463)^B471)*B463/(((1+B463)^B471)-1)*(B461)/B475</f>
        <v>5.2837539307926999E-2</v>
      </c>
      <c r="C492" s="66">
        <f t="shared" ref="C492:AC492" si="368">((1+C463)^C471)*C463/(((1+C463)^C471)-1)*(C461)/C475</f>
        <v>5.2837539307926999E-2</v>
      </c>
      <c r="D492" s="66">
        <f t="shared" si="368"/>
        <v>5.2837539307926999E-2</v>
      </c>
      <c r="E492" s="66">
        <f t="shared" si="368"/>
        <v>5.2837539307926999E-2</v>
      </c>
      <c r="F492" s="66">
        <f t="shared" si="368"/>
        <v>5.2837539307926999E-2</v>
      </c>
      <c r="G492" s="66">
        <f t="shared" si="368"/>
        <v>5.2837539307926999E-2</v>
      </c>
      <c r="H492" s="66">
        <f t="shared" si="368"/>
        <v>5.2837539307926999E-2</v>
      </c>
      <c r="I492" s="66">
        <f t="shared" si="368"/>
        <v>5.2837539307926999E-2</v>
      </c>
      <c r="J492" s="66">
        <f t="shared" si="368"/>
        <v>5.2837539307926999E-2</v>
      </c>
      <c r="K492" s="66">
        <f t="shared" si="368"/>
        <v>5.2837539307926999E-2</v>
      </c>
      <c r="L492" s="66">
        <f t="shared" si="368"/>
        <v>5.2837539307926999E-2</v>
      </c>
      <c r="M492" s="66">
        <f t="shared" si="368"/>
        <v>5.2837539307926999E-2</v>
      </c>
      <c r="N492" s="66">
        <f t="shared" si="368"/>
        <v>5.2837539307926999E-2</v>
      </c>
      <c r="O492" s="66">
        <f t="shared" si="368"/>
        <v>5.2837539307926999E-2</v>
      </c>
      <c r="P492" s="66">
        <f t="shared" si="368"/>
        <v>5.2837539307926999E-2</v>
      </c>
      <c r="Q492" s="66">
        <f t="shared" si="368"/>
        <v>5.2837539307926999E-2</v>
      </c>
      <c r="R492" s="66">
        <f t="shared" si="368"/>
        <v>5.2837539307926999E-2</v>
      </c>
      <c r="S492" s="66">
        <f t="shared" si="368"/>
        <v>5.2837539307926999E-2</v>
      </c>
      <c r="T492" s="66">
        <f t="shared" si="368"/>
        <v>5.2837539307926999E-2</v>
      </c>
      <c r="U492" s="66">
        <f t="shared" si="368"/>
        <v>5.2837539307926999E-2</v>
      </c>
      <c r="V492" s="66">
        <f t="shared" si="368"/>
        <v>5.2837539307926999E-2</v>
      </c>
      <c r="W492" s="66">
        <f t="shared" si="368"/>
        <v>5.2837539307926999E-2</v>
      </c>
      <c r="X492" s="66">
        <f t="shared" si="368"/>
        <v>5.2837539307926999E-2</v>
      </c>
      <c r="Y492" s="66">
        <f t="shared" si="368"/>
        <v>5.2837539307926999E-2</v>
      </c>
      <c r="Z492" s="66">
        <f t="shared" si="368"/>
        <v>5.2837539307926999E-2</v>
      </c>
      <c r="AA492" s="66">
        <f t="shared" si="368"/>
        <v>5.2837539307926999E-2</v>
      </c>
      <c r="AB492" s="66">
        <f t="shared" si="368"/>
        <v>5.2837539307926999E-2</v>
      </c>
      <c r="AC492" s="66">
        <f t="shared" si="368"/>
        <v>5.2837539307926999E-2</v>
      </c>
    </row>
    <row r="493" spans="1:29" x14ac:dyDescent="0.25">
      <c r="A493" s="30" t="str">
        <f t="shared" si="365"/>
        <v>Residual value (costumization)</v>
      </c>
      <c r="B493" s="66">
        <f>((1+B463)^B471)*B463/(((1+B463)^B471)-1)*(B462)/B475</f>
        <v>-1.320938482698175E-2</v>
      </c>
      <c r="C493" s="66">
        <f t="shared" ref="C493:AC493" si="369">((1+C463)^C471)*C463/(((1+C463)^C471)-1)*(C462)/C475</f>
        <v>-1.320938482698175E-2</v>
      </c>
      <c r="D493" s="66">
        <f t="shared" si="369"/>
        <v>-1.320938482698175E-2</v>
      </c>
      <c r="E493" s="66">
        <f t="shared" si="369"/>
        <v>-1.320938482698175E-2</v>
      </c>
      <c r="F493" s="66">
        <f t="shared" si="369"/>
        <v>-1.320938482698175E-2</v>
      </c>
      <c r="G493" s="66">
        <f t="shared" si="369"/>
        <v>-1.320938482698175E-2</v>
      </c>
      <c r="H493" s="66">
        <f t="shared" si="369"/>
        <v>-1.320938482698175E-2</v>
      </c>
      <c r="I493" s="66">
        <f t="shared" si="369"/>
        <v>-1.320938482698175E-2</v>
      </c>
      <c r="J493" s="66">
        <f t="shared" si="369"/>
        <v>-1.320938482698175E-2</v>
      </c>
      <c r="K493" s="66">
        <f t="shared" si="369"/>
        <v>-1.320938482698175E-2</v>
      </c>
      <c r="L493" s="66">
        <f t="shared" si="369"/>
        <v>-1.320938482698175E-2</v>
      </c>
      <c r="M493" s="66">
        <f t="shared" si="369"/>
        <v>-1.320938482698175E-2</v>
      </c>
      <c r="N493" s="66">
        <f t="shared" si="369"/>
        <v>-1.320938482698175E-2</v>
      </c>
      <c r="O493" s="66">
        <f t="shared" si="369"/>
        <v>-1.320938482698175E-2</v>
      </c>
      <c r="P493" s="66">
        <f t="shared" si="369"/>
        <v>-1.320938482698175E-2</v>
      </c>
      <c r="Q493" s="66">
        <f t="shared" si="369"/>
        <v>-1.320938482698175E-2</v>
      </c>
      <c r="R493" s="66">
        <f t="shared" si="369"/>
        <v>-1.320938482698175E-2</v>
      </c>
      <c r="S493" s="66">
        <f t="shared" si="369"/>
        <v>-1.320938482698175E-2</v>
      </c>
      <c r="T493" s="66">
        <f t="shared" si="369"/>
        <v>-1.320938482698175E-2</v>
      </c>
      <c r="U493" s="66">
        <f t="shared" si="369"/>
        <v>-1.320938482698175E-2</v>
      </c>
      <c r="V493" s="66">
        <f t="shared" si="369"/>
        <v>-1.320938482698175E-2</v>
      </c>
      <c r="W493" s="66">
        <f t="shared" si="369"/>
        <v>-1.320938482698175E-2</v>
      </c>
      <c r="X493" s="66">
        <f t="shared" si="369"/>
        <v>-1.320938482698175E-2</v>
      </c>
      <c r="Y493" s="66">
        <f t="shared" si="369"/>
        <v>-1.320938482698175E-2</v>
      </c>
      <c r="Z493" s="66">
        <f t="shared" si="369"/>
        <v>-1.320938482698175E-2</v>
      </c>
      <c r="AA493" s="66">
        <f t="shared" si="369"/>
        <v>-1.320938482698175E-2</v>
      </c>
      <c r="AB493" s="66">
        <f t="shared" si="369"/>
        <v>-1.320938482698175E-2</v>
      </c>
      <c r="AC493" s="66">
        <f t="shared" si="369"/>
        <v>-1.320938482698175E-2</v>
      </c>
    </row>
    <row r="494" spans="1:29" x14ac:dyDescent="0.25">
      <c r="A494" s="30" t="str">
        <f t="shared" si="365"/>
        <v>Opex fix (admin, crew, insurance)</v>
      </c>
      <c r="B494" s="66">
        <f>B464/B475</f>
        <v>0.77777777777777779</v>
      </c>
      <c r="C494" s="66">
        <f t="shared" ref="C494:AC494" si="370">C464/C475</f>
        <v>0.77777777777777779</v>
      </c>
      <c r="D494" s="66">
        <f t="shared" si="370"/>
        <v>0.77777777777777779</v>
      </c>
      <c r="E494" s="66">
        <f t="shared" si="370"/>
        <v>0.77777777777777779</v>
      </c>
      <c r="F494" s="66">
        <f t="shared" si="370"/>
        <v>0.77777777777777779</v>
      </c>
      <c r="G494" s="66">
        <f t="shared" si="370"/>
        <v>0.77777777777777779</v>
      </c>
      <c r="H494" s="66">
        <f t="shared" si="370"/>
        <v>0.77777777777777779</v>
      </c>
      <c r="I494" s="66">
        <f t="shared" si="370"/>
        <v>0.77777777777777779</v>
      </c>
      <c r="J494" s="66">
        <f t="shared" si="370"/>
        <v>0.77777777777777779</v>
      </c>
      <c r="K494" s="66">
        <f t="shared" si="370"/>
        <v>0.77777777777777779</v>
      </c>
      <c r="L494" s="66">
        <f t="shared" si="370"/>
        <v>0.77777777777777779</v>
      </c>
      <c r="M494" s="66">
        <f t="shared" si="370"/>
        <v>0.77777777777777779</v>
      </c>
      <c r="N494" s="66">
        <f t="shared" si="370"/>
        <v>0.77777777777777779</v>
      </c>
      <c r="O494" s="66">
        <f t="shared" si="370"/>
        <v>0.77777777777777779</v>
      </c>
      <c r="P494" s="66">
        <f t="shared" si="370"/>
        <v>0.77777777777777779</v>
      </c>
      <c r="Q494" s="66">
        <f t="shared" si="370"/>
        <v>0.77777777777777779</v>
      </c>
      <c r="R494" s="66">
        <f t="shared" si="370"/>
        <v>0.77777777777777779</v>
      </c>
      <c r="S494" s="66">
        <f t="shared" si="370"/>
        <v>0.77777777777777779</v>
      </c>
      <c r="T494" s="66">
        <f t="shared" si="370"/>
        <v>0.77777777777777779</v>
      </c>
      <c r="U494" s="66">
        <f t="shared" si="370"/>
        <v>0.77777777777777779</v>
      </c>
      <c r="V494" s="66">
        <f t="shared" si="370"/>
        <v>0.77777777777777779</v>
      </c>
      <c r="W494" s="66">
        <f t="shared" si="370"/>
        <v>0.77777777777777779</v>
      </c>
      <c r="X494" s="66">
        <f t="shared" si="370"/>
        <v>0.77777777777777779</v>
      </c>
      <c r="Y494" s="66">
        <f t="shared" si="370"/>
        <v>0.77777777777777779</v>
      </c>
      <c r="Z494" s="66">
        <f t="shared" si="370"/>
        <v>0.77777777777777779</v>
      </c>
      <c r="AA494" s="66">
        <f t="shared" si="370"/>
        <v>0.77777777777777779</v>
      </c>
      <c r="AB494" s="66">
        <f t="shared" si="370"/>
        <v>0.77777777777777779</v>
      </c>
      <c r="AC494" s="66">
        <f t="shared" si="370"/>
        <v>0.77777777777777779</v>
      </c>
    </row>
    <row r="495" spans="1:29" x14ac:dyDescent="0.25">
      <c r="A495" s="30" t="str">
        <f t="shared" si="365"/>
        <v>Opex maintenance &amp; repair</v>
      </c>
      <c r="B495" s="66">
        <f>B465/B475</f>
        <v>0.28549109703252695</v>
      </c>
      <c r="C495" s="66">
        <f t="shared" ref="C495:AC495" si="371">C465/C475</f>
        <v>0.28407536636045455</v>
      </c>
      <c r="D495" s="66">
        <f t="shared" si="371"/>
        <v>0.2821069868001258</v>
      </c>
      <c r="E495" s="66">
        <f t="shared" si="371"/>
        <v>0.27940841206014083</v>
      </c>
      <c r="F495" s="66">
        <f t="shared" si="371"/>
        <v>0.27578181677717956</v>
      </c>
      <c r="G495" s="66">
        <f t="shared" si="371"/>
        <v>0.27104115613566571</v>
      </c>
      <c r="H495" s="66">
        <f t="shared" si="371"/>
        <v>0.26507109533332746</v>
      </c>
      <c r="I495" s="66">
        <f t="shared" si="371"/>
        <v>0.25790719374114374</v>
      </c>
      <c r="J495" s="66">
        <f t="shared" si="371"/>
        <v>0.24980644256075518</v>
      </c>
      <c r="K495" s="66">
        <f t="shared" si="371"/>
        <v>0.24125451277616472</v>
      </c>
      <c r="L495" s="66">
        <f t="shared" si="371"/>
        <v>0.23287086897379905</v>
      </c>
      <c r="M495" s="66">
        <f t="shared" si="371"/>
        <v>0.22523906545531661</v>
      </c>
      <c r="N495" s="66">
        <f t="shared" si="371"/>
        <v>0.21875311925432689</v>
      </c>
      <c r="O495" s="66">
        <f t="shared" si="371"/>
        <v>0.21355903791448727</v>
      </c>
      <c r="P495" s="66">
        <f t="shared" si="371"/>
        <v>0.20959572332240889</v>
      </c>
      <c r="Q495" s="66">
        <f t="shared" si="371"/>
        <v>0.20668236923894151</v>
      </c>
      <c r="R495" s="66">
        <f t="shared" si="371"/>
        <v>0.20459936321577799</v>
      </c>
      <c r="S495" s="66">
        <f t="shared" si="371"/>
        <v>0.20313948361114187</v>
      </c>
      <c r="T495" s="66">
        <f t="shared" si="371"/>
        <v>0.20213061707312519</v>
      </c>
      <c r="U495" s="66">
        <f t="shared" si="371"/>
        <v>0.2014401994274124</v>
      </c>
      <c r="V495" s="66">
        <f t="shared" si="371"/>
        <v>0.20097086582792076</v>
      </c>
      <c r="W495" s="66">
        <f t="shared" si="371"/>
        <v>0.20065327300360972</v>
      </c>
      <c r="X495" s="66">
        <f t="shared" si="371"/>
        <v>0.20043902455275606</v>
      </c>
      <c r="Y495" s="66">
        <f t="shared" si="371"/>
        <v>0.20029479355993737</v>
      </c>
      <c r="Z495" s="66">
        <f t="shared" si="371"/>
        <v>0.20019783433019273</v>
      </c>
      <c r="AA495" s="66">
        <f t="shared" si="371"/>
        <v>0.20013271509959835</v>
      </c>
      <c r="AB495" s="66">
        <f t="shared" si="371"/>
        <v>0.2000890078355953</v>
      </c>
      <c r="AC495" s="66">
        <f t="shared" si="371"/>
        <v>0.20005968453355225</v>
      </c>
    </row>
    <row r="496" spans="1:29" x14ac:dyDescent="0.25">
      <c r="A496" s="30" t="str">
        <f t="shared" si="365"/>
        <v>Opex var (mode-fees)</v>
      </c>
      <c r="B496" s="66">
        <f>B466*B475/B475</f>
        <v>0.11</v>
      </c>
      <c r="C496" s="66">
        <f t="shared" ref="C496:AC496" si="372">C466*C475/C475</f>
        <v>0.11</v>
      </c>
      <c r="D496" s="66">
        <f t="shared" si="372"/>
        <v>0.11</v>
      </c>
      <c r="E496" s="66">
        <f t="shared" si="372"/>
        <v>0.11</v>
      </c>
      <c r="F496" s="66">
        <f t="shared" si="372"/>
        <v>0.11</v>
      </c>
      <c r="G496" s="66">
        <f t="shared" si="372"/>
        <v>0.11</v>
      </c>
      <c r="H496" s="66">
        <f t="shared" si="372"/>
        <v>0.11</v>
      </c>
      <c r="I496" s="66">
        <f t="shared" si="372"/>
        <v>0.11</v>
      </c>
      <c r="J496" s="66">
        <f t="shared" si="372"/>
        <v>0.11</v>
      </c>
      <c r="K496" s="66">
        <f t="shared" si="372"/>
        <v>0.11</v>
      </c>
      <c r="L496" s="66">
        <f t="shared" si="372"/>
        <v>0.11</v>
      </c>
      <c r="M496" s="66">
        <f t="shared" si="372"/>
        <v>0.11</v>
      </c>
      <c r="N496" s="66">
        <f t="shared" si="372"/>
        <v>0.11</v>
      </c>
      <c r="O496" s="66">
        <f t="shared" si="372"/>
        <v>0.11</v>
      </c>
      <c r="P496" s="66">
        <f t="shared" si="372"/>
        <v>0.11</v>
      </c>
      <c r="Q496" s="66">
        <f t="shared" si="372"/>
        <v>0.11</v>
      </c>
      <c r="R496" s="66">
        <f t="shared" si="372"/>
        <v>0.11</v>
      </c>
      <c r="S496" s="66">
        <f t="shared" si="372"/>
        <v>0.11</v>
      </c>
      <c r="T496" s="66">
        <f t="shared" si="372"/>
        <v>0.11</v>
      </c>
      <c r="U496" s="66">
        <f t="shared" si="372"/>
        <v>0.11</v>
      </c>
      <c r="V496" s="66">
        <f t="shared" si="372"/>
        <v>0.11</v>
      </c>
      <c r="W496" s="66">
        <f t="shared" si="372"/>
        <v>0.11</v>
      </c>
      <c r="X496" s="66">
        <f t="shared" si="372"/>
        <v>0.11</v>
      </c>
      <c r="Y496" s="66">
        <f t="shared" si="372"/>
        <v>0.11</v>
      </c>
      <c r="Z496" s="66">
        <f t="shared" si="372"/>
        <v>0.11</v>
      </c>
      <c r="AA496" s="66">
        <f t="shared" si="372"/>
        <v>0.11</v>
      </c>
      <c r="AB496" s="66">
        <f t="shared" si="372"/>
        <v>0.11</v>
      </c>
      <c r="AC496" s="66">
        <f t="shared" si="372"/>
        <v>0.11</v>
      </c>
    </row>
    <row r="497" spans="1:29" x14ac:dyDescent="0.25">
      <c r="A497" s="30" t="str">
        <f t="shared" si="365"/>
        <v>Fuel Cost</v>
      </c>
      <c r="B497" s="66">
        <f>B467*B468*B475/B475</f>
        <v>0.63178839945271259</v>
      </c>
      <c r="C497" s="66">
        <f t="shared" ref="C497:AC497" si="373">C467*C468*C475/C475</f>
        <v>0.62677155383840255</v>
      </c>
      <c r="D497" s="66">
        <f t="shared" si="373"/>
        <v>0.61976863315371922</v>
      </c>
      <c r="E497" s="66">
        <f t="shared" si="373"/>
        <v>0.61010882895816398</v>
      </c>
      <c r="F497" s="66">
        <f t="shared" si="373"/>
        <v>0.59700423644984901</v>
      </c>
      <c r="G497" s="66">
        <f t="shared" si="373"/>
        <v>0.57962693857109882</v>
      </c>
      <c r="H497" s="66">
        <f t="shared" si="373"/>
        <v>0.55726805513604216</v>
      </c>
      <c r="I497" s="66">
        <f t="shared" si="373"/>
        <v>0.52957633598655707</v>
      </c>
      <c r="J497" s="66">
        <f t="shared" si="373"/>
        <v>0.49681277085502007</v>
      </c>
      <c r="K497" s="66">
        <f t="shared" si="373"/>
        <v>0.45999707982918875</v>
      </c>
      <c r="L497" s="66">
        <f t="shared" si="373"/>
        <v>0.42083825723484558</v>
      </c>
      <c r="M497" s="66">
        <f t="shared" si="373"/>
        <v>0.38145763751651562</v>
      </c>
      <c r="N497" s="66">
        <f t="shared" si="373"/>
        <v>0.34401706791540687</v>
      </c>
      <c r="O497" s="66">
        <f t="shared" si="373"/>
        <v>0.31035603777584414</v>
      </c>
      <c r="P497" s="66">
        <f t="shared" si="373"/>
        <v>0.28170123216487392</v>
      </c>
      <c r="Q497" s="66">
        <f t="shared" si="373"/>
        <v>0.25852480714823423</v>
      </c>
      <c r="R497" s="66">
        <f t="shared" si="373"/>
        <v>0.24060859348351224</v>
      </c>
      <c r="S497" s="66">
        <f t="shared" si="373"/>
        <v>0.22727029987732028</v>
      </c>
      <c r="T497" s="66">
        <f t="shared" si="373"/>
        <v>0.21763018176375837</v>
      </c>
      <c r="U497" s="66">
        <f t="shared" si="373"/>
        <v>0.21081667039897936</v>
      </c>
      <c r="V497" s="66">
        <f t="shared" si="373"/>
        <v>0.20607856055109253</v>
      </c>
      <c r="W497" s="66">
        <f t="shared" si="373"/>
        <v>0.20282145035198107</v>
      </c>
      <c r="X497" s="66">
        <f t="shared" si="373"/>
        <v>0.20060034461495233</v>
      </c>
      <c r="Y497" s="66">
        <f t="shared" si="373"/>
        <v>0.19909407482067801</v>
      </c>
      <c r="Z497" s="66">
        <f t="shared" si="373"/>
        <v>0.19807643086855622</v>
      </c>
      <c r="AA497" s="66">
        <f t="shared" si="373"/>
        <v>0.19739066516741444</v>
      </c>
      <c r="AB497" s="66">
        <f t="shared" si="373"/>
        <v>0.19692934410338123</v>
      </c>
      <c r="AC497" s="66">
        <f t="shared" si="373"/>
        <v>0.1966193712467082</v>
      </c>
    </row>
    <row r="498" spans="1:29" ht="15.75" thickBot="1" x14ac:dyDescent="0.3">
      <c r="A498" s="59" t="str">
        <f t="shared" ref="A498" si="374">A486</f>
        <v>Emission Cost</v>
      </c>
      <c r="B498" s="66">
        <f>B469</f>
        <v>9.1045502411311718E-3</v>
      </c>
      <c r="C498" s="66">
        <f t="shared" ref="C498:AC498" si="375">C469</f>
        <v>9.095880490962575E-3</v>
      </c>
      <c r="D498" s="66">
        <f t="shared" si="375"/>
        <v>9.0834699366993434E-3</v>
      </c>
      <c r="E498" s="66">
        <f t="shared" si="375"/>
        <v>9.0657157660766E-3</v>
      </c>
      <c r="F498" s="66">
        <f t="shared" si="375"/>
        <v>9.040341138604446E-3</v>
      </c>
      <c r="G498" s="66">
        <f t="shared" si="375"/>
        <v>9.0041260615172855E-3</v>
      </c>
      <c r="H498" s="66">
        <f t="shared" si="375"/>
        <v>8.9525469072142452E-3</v>
      </c>
      <c r="I498" s="66">
        <f t="shared" si="375"/>
        <v>8.8793119020679299E-3</v>
      </c>
      <c r="J498" s="66">
        <f t="shared" si="375"/>
        <v>8.7758012597282838E-3</v>
      </c>
      <c r="K498" s="66">
        <f t="shared" si="375"/>
        <v>8.630474185370102E-3</v>
      </c>
      <c r="L498" s="66">
        <f t="shared" si="375"/>
        <v>8.4284167966506146E-3</v>
      </c>
      <c r="M498" s="66">
        <f t="shared" si="375"/>
        <v>8.1514036756981448E-3</v>
      </c>
      <c r="N498" s="66">
        <f t="shared" si="375"/>
        <v>7.7791277246640009E-3</v>
      </c>
      <c r="O498" s="66">
        <f t="shared" si="375"/>
        <v>7.2924911382377788E-3</v>
      </c>
      <c r="P498" s="66">
        <f t="shared" si="375"/>
        <v>6.6796546098928378E-3</v>
      </c>
      <c r="Q498" s="66">
        <f t="shared" si="375"/>
        <v>5.9442683673542078E-3</v>
      </c>
      <c r="R498" s="66">
        <f t="shared" si="375"/>
        <v>5.1127129787673555E-3</v>
      </c>
      <c r="S498" s="66">
        <f t="shared" si="375"/>
        <v>4.2348433668221242E-3</v>
      </c>
      <c r="T498" s="66">
        <f t="shared" si="375"/>
        <v>3.3742485868309214E-3</v>
      </c>
      <c r="U498" s="66">
        <f t="shared" si="375"/>
        <v>2.5908314445053909E-3</v>
      </c>
      <c r="V498" s="66">
        <f t="shared" si="375"/>
        <v>1.9250384342751033E-3</v>
      </c>
      <c r="W498" s="66">
        <f t="shared" si="375"/>
        <v>1.3918574698531276E-3</v>
      </c>
      <c r="X498" s="66">
        <f t="shared" si="375"/>
        <v>9.8501672973924301E-4</v>
      </c>
      <c r="Y498" s="66">
        <f t="shared" si="375"/>
        <v>6.8595615708101458E-4</v>
      </c>
      <c r="Z498" s="66">
        <f t="shared" si="375"/>
        <v>4.7213217403930738E-4</v>
      </c>
      <c r="AA498" s="66">
        <f t="shared" si="375"/>
        <v>3.2227313937815624E-4</v>
      </c>
      <c r="AB498" s="66">
        <f t="shared" si="375"/>
        <v>2.1871133537117345E-4</v>
      </c>
      <c r="AC498" s="66">
        <f t="shared" si="375"/>
        <v>1.4783883220655276E-4</v>
      </c>
    </row>
    <row r="499" spans="1:29" ht="15.75" thickBot="1" x14ac:dyDescent="0.3">
      <c r="A499" s="31" t="s">
        <v>63</v>
      </c>
      <c r="B499" s="76">
        <f>B490+B491+B492-B493+B494+B495+B496+B497+B498</f>
        <v>2.4586356023379685</v>
      </c>
      <c r="C499" s="76">
        <f t="shared" ref="C499:AC499" si="376">C490+C491+C492-C493+C494+C495+C496+C497+C498</f>
        <v>2.4460601746272763</v>
      </c>
      <c r="D499" s="76">
        <f t="shared" si="376"/>
        <v>2.4285477245240417</v>
      </c>
      <c r="E499" s="76">
        <f t="shared" si="376"/>
        <v>2.4044790088929235</v>
      </c>
      <c r="F499" s="76">
        <f t="shared" si="376"/>
        <v>2.3720088684871241</v>
      </c>
      <c r="G499" s="76">
        <f t="shared" si="376"/>
        <v>2.329314012820682</v>
      </c>
      <c r="H499" s="76">
        <f t="shared" si="376"/>
        <v>2.2750659721888531</v>
      </c>
      <c r="I499" s="76">
        <f t="shared" si="376"/>
        <v>2.2090968382810798</v>
      </c>
      <c r="J499" s="76">
        <f t="shared" si="376"/>
        <v>2.1330294825691443</v>
      </c>
      <c r="K499" s="76">
        <f t="shared" si="376"/>
        <v>2.0504621061846344</v>
      </c>
      <c r="L499" s="76">
        <f t="shared" si="376"/>
        <v>1.9663923157439867</v>
      </c>
      <c r="M499" s="76">
        <f t="shared" si="376"/>
        <v>1.8860352414468704</v>
      </c>
      <c r="N499" s="76">
        <f t="shared" si="376"/>
        <v>1.813633666367485</v>
      </c>
      <c r="O499" s="76">
        <f t="shared" si="376"/>
        <v>1.7517866217806692</v>
      </c>
      <c r="P499" s="76">
        <f t="shared" si="376"/>
        <v>1.7013831249474236</v>
      </c>
      <c r="Q499" s="76">
        <f t="shared" si="376"/>
        <v>1.6619347653902095</v>
      </c>
      <c r="R499" s="76">
        <f t="shared" si="376"/>
        <v>1.6320785890658345</v>
      </c>
      <c r="S499" s="76">
        <f t="shared" si="376"/>
        <v>1.6100770728363833</v>
      </c>
      <c r="T499" s="76">
        <f t="shared" si="376"/>
        <v>1.5941962024868184</v>
      </c>
      <c r="U499" s="76">
        <f t="shared" si="376"/>
        <v>1.5829173641290355</v>
      </c>
      <c r="V499" s="76">
        <f t="shared" si="376"/>
        <v>1.5750105646344361</v>
      </c>
      <c r="W499" s="76">
        <f t="shared" si="376"/>
        <v>1.5695265911677387</v>
      </c>
      <c r="X499" s="76">
        <f t="shared" si="376"/>
        <v>1.5657560848406429</v>
      </c>
      <c r="Y499" s="76">
        <f t="shared" si="376"/>
        <v>1.5631815888584779</v>
      </c>
      <c r="Z499" s="76">
        <f t="shared" si="376"/>
        <v>1.5614330496327296</v>
      </c>
      <c r="AA499" s="76">
        <f t="shared" si="376"/>
        <v>1.5602501522886978</v>
      </c>
      <c r="AB499" s="76">
        <f t="shared" si="376"/>
        <v>1.5594521841180464</v>
      </c>
      <c r="AC499" s="76">
        <f t="shared" si="376"/>
        <v>1.5589149613027407</v>
      </c>
    </row>
    <row r="500" spans="1:29" ht="15.75" thickBot="1" x14ac:dyDescent="0.3"/>
    <row r="501" spans="1:29" ht="15.75" thickBot="1" x14ac:dyDescent="0.3">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377">A478</f>
        <v>Capex vehicle</v>
      </c>
      <c r="B502" s="65">
        <f>((1+B463)^B470)*B463/(((1+B463)^B470)-1)*(B459)/B475/(B472)</f>
        <v>2.7269975953624806E-2</v>
      </c>
      <c r="C502" s="65">
        <f t="shared" ref="C502:AC502" si="378">((1+C463)^C470)*C463/(((1+C463)^C470)-1)*(C459)/C475/(C472)</f>
        <v>2.7002095313731978E-2</v>
      </c>
      <c r="D502" s="65">
        <f t="shared" si="378"/>
        <v>2.6629643980597428E-2</v>
      </c>
      <c r="E502" s="65">
        <f t="shared" si="378"/>
        <v>2.6119027136302046E-2</v>
      </c>
      <c r="F502" s="65">
        <f t="shared" si="378"/>
        <v>2.5432812813057998E-2</v>
      </c>
      <c r="G502" s="65">
        <f t="shared" si="378"/>
        <v>2.4535798125720237E-2</v>
      </c>
      <c r="H502" s="65">
        <f t="shared" si="378"/>
        <v>2.3406159742179106E-2</v>
      </c>
      <c r="I502" s="65">
        <f t="shared" si="378"/>
        <v>2.2050626108204612E-2</v>
      </c>
      <c r="J502" s="65">
        <f t="shared" si="378"/>
        <v>2.0517824387776735E-2</v>
      </c>
      <c r="K502" s="65">
        <f t="shared" si="378"/>
        <v>1.889965190044823E-2</v>
      </c>
      <c r="L502" s="65">
        <f t="shared" si="378"/>
        <v>1.7313322020963605E-2</v>
      </c>
      <c r="M502" s="65">
        <f t="shared" si="378"/>
        <v>1.586925327936126E-2</v>
      </c>
      <c r="N502" s="65">
        <f t="shared" si="378"/>
        <v>1.4642000488342575E-2</v>
      </c>
      <c r="O502" s="65">
        <f t="shared" si="378"/>
        <v>1.3659190791258826E-2</v>
      </c>
      <c r="P502" s="65">
        <f t="shared" si="378"/>
        <v>1.2909263372176771E-2</v>
      </c>
      <c r="Q502" s="65">
        <f t="shared" si="378"/>
        <v>1.2358006574885507E-2</v>
      </c>
      <c r="R502" s="65">
        <f t="shared" si="378"/>
        <v>1.1963865939669313E-2</v>
      </c>
      <c r="S502" s="65">
        <f t="shared" si="378"/>
        <v>1.1687631560934022E-2</v>
      </c>
      <c r="T502" s="65">
        <f t="shared" si="378"/>
        <v>1.1496736626536108E-2</v>
      </c>
      <c r="U502" s="65">
        <f t="shared" si="378"/>
        <v>1.1366097710268157E-2</v>
      </c>
      <c r="V502" s="65">
        <f t="shared" si="378"/>
        <v>1.1277291705400727E-2</v>
      </c>
      <c r="W502" s="65">
        <f t="shared" si="378"/>
        <v>1.12171976700873E-2</v>
      </c>
      <c r="X502" s="65">
        <f t="shared" si="378"/>
        <v>1.1176658171125467E-2</v>
      </c>
      <c r="Y502" s="65">
        <f t="shared" si="378"/>
        <v>1.11493671818075E-2</v>
      </c>
      <c r="Z502" s="65">
        <f t="shared" si="378"/>
        <v>1.1131020824679061E-2</v>
      </c>
      <c r="AA502" s="65">
        <f t="shared" si="378"/>
        <v>1.11186991440762E-2</v>
      </c>
      <c r="AB502" s="65">
        <f t="shared" si="378"/>
        <v>1.1110428976536531E-2</v>
      </c>
      <c r="AC502" s="65">
        <f t="shared" si="378"/>
        <v>1.1104880502472903E-2</v>
      </c>
    </row>
    <row r="503" spans="1:29" x14ac:dyDescent="0.25">
      <c r="A503" s="30" t="str">
        <f t="shared" si="377"/>
        <v>Residual value (vehicle)</v>
      </c>
      <c r="B503" s="68">
        <f>((1+B463)^B470)*B463/(((1+B463)^B470)-1)*(B460)/B475/(B472)</f>
        <v>-4.1329018056683528E-3</v>
      </c>
      <c r="C503" s="68">
        <f t="shared" ref="C503:AC503" si="379">((1+C463)^C470)*C463/(((1+C463)^C470)-1)*(C460)/C475/(C472)</f>
        <v>-4.1103884327411905E-3</v>
      </c>
      <c r="D503" s="68">
        <f t="shared" si="379"/>
        <v>-4.0790866717649883E-3</v>
      </c>
      <c r="E503" s="68">
        <f t="shared" si="379"/>
        <v>-4.0361731284678237E-3</v>
      </c>
      <c r="F503" s="68">
        <f t="shared" si="379"/>
        <v>-3.9785019247058238E-3</v>
      </c>
      <c r="G503" s="68">
        <f t="shared" si="379"/>
        <v>-3.903114520131693E-3</v>
      </c>
      <c r="H503" s="68">
        <f t="shared" si="379"/>
        <v>-3.8081768261957888E-3</v>
      </c>
      <c r="I503" s="68">
        <f t="shared" si="379"/>
        <v>-3.6942543186596357E-3</v>
      </c>
      <c r="J503" s="68">
        <f t="shared" si="379"/>
        <v>-3.5654337485385686E-3</v>
      </c>
      <c r="K503" s="68">
        <f t="shared" si="379"/>
        <v>-3.4294384011992578E-3</v>
      </c>
      <c r="L503" s="68">
        <f t="shared" si="379"/>
        <v>-3.296119187923423E-3</v>
      </c>
      <c r="M503" s="68">
        <f t="shared" si="379"/>
        <v>-3.1747559638951399E-3</v>
      </c>
      <c r="N503" s="68">
        <f t="shared" si="379"/>
        <v>-3.0716145059265488E-3</v>
      </c>
      <c r="O503" s="68">
        <f t="shared" si="379"/>
        <v>-2.9890166696822764E-3</v>
      </c>
      <c r="P503" s="68">
        <f t="shared" si="379"/>
        <v>-2.9259908546743168E-3</v>
      </c>
      <c r="Q503" s="68">
        <f t="shared" si="379"/>
        <v>-2.8796618259657953E-3</v>
      </c>
      <c r="R503" s="68">
        <f t="shared" si="379"/>
        <v>-2.8465372406657114E-3</v>
      </c>
      <c r="S503" s="68">
        <f t="shared" si="379"/>
        <v>-2.8233217981975321E-3</v>
      </c>
      <c r="T503" s="68">
        <f t="shared" si="379"/>
        <v>-2.8072785005194096E-3</v>
      </c>
      <c r="U503" s="68">
        <f t="shared" si="379"/>
        <v>-2.7962992724500819E-3</v>
      </c>
      <c r="V503" s="68">
        <f t="shared" si="379"/>
        <v>-2.7888357890622868E-3</v>
      </c>
      <c r="W503" s="68">
        <f t="shared" si="379"/>
        <v>-2.7837853329029673E-3</v>
      </c>
      <c r="X503" s="68">
        <f t="shared" si="379"/>
        <v>-2.7803782899051112E-3</v>
      </c>
      <c r="Y503" s="68">
        <f t="shared" si="379"/>
        <v>-2.7780846854837077E-3</v>
      </c>
      <c r="Z503" s="68">
        <f t="shared" si="379"/>
        <v>-2.7765428107888708E-3</v>
      </c>
      <c r="AA503" s="68">
        <f t="shared" si="379"/>
        <v>-2.7755072652913965E-3</v>
      </c>
      <c r="AB503" s="68">
        <f t="shared" si="379"/>
        <v>-2.7748122192960407E-3</v>
      </c>
      <c r="AC503" s="68">
        <f t="shared" si="379"/>
        <v>-2.7743459113694167E-3</v>
      </c>
    </row>
    <row r="504" spans="1:29" x14ac:dyDescent="0.25">
      <c r="A504" s="30" t="str">
        <f t="shared" si="377"/>
        <v>Capex costumization</v>
      </c>
      <c r="B504" s="66">
        <f>((1+B463)^B471)*B463/(((1+B463)^B471)-1)*(B461)/B475/(B472)</f>
        <v>2.1135015723170798E-3</v>
      </c>
      <c r="C504" s="66">
        <f t="shared" ref="C504:AC504" si="380">((1+C463)^C471)*C463/(((1+C463)^C471)-1)*(C461)/C475/(C472)</f>
        <v>2.1135015723170798E-3</v>
      </c>
      <c r="D504" s="66">
        <f t="shared" si="380"/>
        <v>2.1135015723170798E-3</v>
      </c>
      <c r="E504" s="66">
        <f t="shared" si="380"/>
        <v>2.1135015723170798E-3</v>
      </c>
      <c r="F504" s="66">
        <f t="shared" si="380"/>
        <v>2.1135015723170798E-3</v>
      </c>
      <c r="G504" s="66">
        <f t="shared" si="380"/>
        <v>2.1135015723170798E-3</v>
      </c>
      <c r="H504" s="66">
        <f t="shared" si="380"/>
        <v>2.1135015723170798E-3</v>
      </c>
      <c r="I504" s="66">
        <f t="shared" si="380"/>
        <v>2.1135015723170798E-3</v>
      </c>
      <c r="J504" s="66">
        <f t="shared" si="380"/>
        <v>2.1135015723170798E-3</v>
      </c>
      <c r="K504" s="66">
        <f t="shared" si="380"/>
        <v>2.1135015723170798E-3</v>
      </c>
      <c r="L504" s="66">
        <f t="shared" si="380"/>
        <v>2.1135015723170798E-3</v>
      </c>
      <c r="M504" s="66">
        <f t="shared" si="380"/>
        <v>2.1135015723170798E-3</v>
      </c>
      <c r="N504" s="66">
        <f t="shared" si="380"/>
        <v>2.1135015723170798E-3</v>
      </c>
      <c r="O504" s="66">
        <f t="shared" si="380"/>
        <v>2.1135015723170798E-3</v>
      </c>
      <c r="P504" s="66">
        <f t="shared" si="380"/>
        <v>2.1135015723170798E-3</v>
      </c>
      <c r="Q504" s="66">
        <f t="shared" si="380"/>
        <v>2.1135015723170798E-3</v>
      </c>
      <c r="R504" s="66">
        <f t="shared" si="380"/>
        <v>2.1135015723170798E-3</v>
      </c>
      <c r="S504" s="66">
        <f t="shared" si="380"/>
        <v>2.1135015723170798E-3</v>
      </c>
      <c r="T504" s="66">
        <f t="shared" si="380"/>
        <v>2.1135015723170798E-3</v>
      </c>
      <c r="U504" s="66">
        <f t="shared" si="380"/>
        <v>2.1135015723170798E-3</v>
      </c>
      <c r="V504" s="66">
        <f t="shared" si="380"/>
        <v>2.1135015723170798E-3</v>
      </c>
      <c r="W504" s="66">
        <f t="shared" si="380"/>
        <v>2.1135015723170798E-3</v>
      </c>
      <c r="X504" s="66">
        <f t="shared" si="380"/>
        <v>2.1135015723170798E-3</v>
      </c>
      <c r="Y504" s="66">
        <f t="shared" si="380"/>
        <v>2.1135015723170798E-3</v>
      </c>
      <c r="Z504" s="66">
        <f t="shared" si="380"/>
        <v>2.1135015723170798E-3</v>
      </c>
      <c r="AA504" s="66">
        <f t="shared" si="380"/>
        <v>2.1135015723170798E-3</v>
      </c>
      <c r="AB504" s="66">
        <f t="shared" si="380"/>
        <v>2.1135015723170798E-3</v>
      </c>
      <c r="AC504" s="66">
        <f t="shared" si="380"/>
        <v>2.1135015723170798E-3</v>
      </c>
    </row>
    <row r="505" spans="1:29" x14ac:dyDescent="0.25">
      <c r="A505" s="30" t="str">
        <f t="shared" si="377"/>
        <v>Residual value (costumization)</v>
      </c>
      <c r="B505" s="69">
        <f>((1+B463)^B471)*B463/(((1+B463)^B471)-1)*(B462)/B475/(B472)</f>
        <v>-5.2837539307926996E-4</v>
      </c>
      <c r="C505" s="69">
        <f t="shared" ref="C505:AC505" si="381">((1+C463)^C471)*C463/(((1+C463)^C471)-1)*(C462)/C475/(C472)</f>
        <v>-5.2837539307926996E-4</v>
      </c>
      <c r="D505" s="69">
        <f t="shared" si="381"/>
        <v>-5.2837539307926996E-4</v>
      </c>
      <c r="E505" s="69">
        <f t="shared" si="381"/>
        <v>-5.2837539307926996E-4</v>
      </c>
      <c r="F505" s="69">
        <f t="shared" si="381"/>
        <v>-5.2837539307926996E-4</v>
      </c>
      <c r="G505" s="69">
        <f t="shared" si="381"/>
        <v>-5.2837539307926996E-4</v>
      </c>
      <c r="H505" s="69">
        <f t="shared" si="381"/>
        <v>-5.2837539307926996E-4</v>
      </c>
      <c r="I505" s="69">
        <f t="shared" si="381"/>
        <v>-5.2837539307926996E-4</v>
      </c>
      <c r="J505" s="69">
        <f t="shared" si="381"/>
        <v>-5.2837539307926996E-4</v>
      </c>
      <c r="K505" s="69">
        <f t="shared" si="381"/>
        <v>-5.2837539307926996E-4</v>
      </c>
      <c r="L505" s="69">
        <f t="shared" si="381"/>
        <v>-5.2837539307926996E-4</v>
      </c>
      <c r="M505" s="69">
        <f t="shared" si="381"/>
        <v>-5.2837539307926996E-4</v>
      </c>
      <c r="N505" s="69">
        <f t="shared" si="381"/>
        <v>-5.2837539307926996E-4</v>
      </c>
      <c r="O505" s="69">
        <f t="shared" si="381"/>
        <v>-5.2837539307926996E-4</v>
      </c>
      <c r="P505" s="69">
        <f t="shared" si="381"/>
        <v>-5.2837539307926996E-4</v>
      </c>
      <c r="Q505" s="69">
        <f t="shared" si="381"/>
        <v>-5.2837539307926996E-4</v>
      </c>
      <c r="R505" s="69">
        <f t="shared" si="381"/>
        <v>-5.2837539307926996E-4</v>
      </c>
      <c r="S505" s="69">
        <f t="shared" si="381"/>
        <v>-5.2837539307926996E-4</v>
      </c>
      <c r="T505" s="69">
        <f t="shared" si="381"/>
        <v>-5.2837539307926996E-4</v>
      </c>
      <c r="U505" s="69">
        <f t="shared" si="381"/>
        <v>-5.2837539307926996E-4</v>
      </c>
      <c r="V505" s="69">
        <f t="shared" si="381"/>
        <v>-5.2837539307926996E-4</v>
      </c>
      <c r="W505" s="69">
        <f t="shared" si="381"/>
        <v>-5.2837539307926996E-4</v>
      </c>
      <c r="X505" s="69">
        <f t="shared" si="381"/>
        <v>-5.2837539307926996E-4</v>
      </c>
      <c r="Y505" s="69">
        <f t="shared" si="381"/>
        <v>-5.2837539307926996E-4</v>
      </c>
      <c r="Z505" s="69">
        <f t="shared" si="381"/>
        <v>-5.2837539307926996E-4</v>
      </c>
      <c r="AA505" s="69">
        <f t="shared" si="381"/>
        <v>-5.2837539307926996E-4</v>
      </c>
      <c r="AB505" s="69">
        <f t="shared" si="381"/>
        <v>-5.2837539307926996E-4</v>
      </c>
      <c r="AC505" s="69">
        <f t="shared" si="381"/>
        <v>-5.2837539307926996E-4</v>
      </c>
    </row>
    <row r="506" spans="1:29" x14ac:dyDescent="0.25">
      <c r="A506" s="30" t="str">
        <f t="shared" si="377"/>
        <v>Opex fix (admin, crew, insurance)</v>
      </c>
      <c r="B506" s="66">
        <f>B464/B475/(B472)</f>
        <v>3.111111111111111E-2</v>
      </c>
      <c r="C506" s="66">
        <f t="shared" ref="C506:AC506" si="382">C464/C475/(C472)</f>
        <v>3.111111111111111E-2</v>
      </c>
      <c r="D506" s="66">
        <f t="shared" si="382"/>
        <v>3.111111111111111E-2</v>
      </c>
      <c r="E506" s="66">
        <f t="shared" si="382"/>
        <v>3.111111111111111E-2</v>
      </c>
      <c r="F506" s="66">
        <f t="shared" si="382"/>
        <v>3.111111111111111E-2</v>
      </c>
      <c r="G506" s="66">
        <f t="shared" si="382"/>
        <v>3.111111111111111E-2</v>
      </c>
      <c r="H506" s="66">
        <f t="shared" si="382"/>
        <v>3.111111111111111E-2</v>
      </c>
      <c r="I506" s="66">
        <f t="shared" si="382"/>
        <v>3.111111111111111E-2</v>
      </c>
      <c r="J506" s="66">
        <f t="shared" si="382"/>
        <v>3.111111111111111E-2</v>
      </c>
      <c r="K506" s="66">
        <f t="shared" si="382"/>
        <v>3.111111111111111E-2</v>
      </c>
      <c r="L506" s="66">
        <f t="shared" si="382"/>
        <v>3.111111111111111E-2</v>
      </c>
      <c r="M506" s="66">
        <f t="shared" si="382"/>
        <v>3.111111111111111E-2</v>
      </c>
      <c r="N506" s="66">
        <f t="shared" si="382"/>
        <v>3.111111111111111E-2</v>
      </c>
      <c r="O506" s="66">
        <f t="shared" si="382"/>
        <v>3.111111111111111E-2</v>
      </c>
      <c r="P506" s="66">
        <f t="shared" si="382"/>
        <v>3.111111111111111E-2</v>
      </c>
      <c r="Q506" s="66">
        <f t="shared" si="382"/>
        <v>3.111111111111111E-2</v>
      </c>
      <c r="R506" s="66">
        <f t="shared" si="382"/>
        <v>3.111111111111111E-2</v>
      </c>
      <c r="S506" s="66">
        <f t="shared" si="382"/>
        <v>3.111111111111111E-2</v>
      </c>
      <c r="T506" s="66">
        <f t="shared" si="382"/>
        <v>3.111111111111111E-2</v>
      </c>
      <c r="U506" s="66">
        <f t="shared" si="382"/>
        <v>3.111111111111111E-2</v>
      </c>
      <c r="V506" s="66">
        <f t="shared" si="382"/>
        <v>3.111111111111111E-2</v>
      </c>
      <c r="W506" s="66">
        <f t="shared" si="382"/>
        <v>3.111111111111111E-2</v>
      </c>
      <c r="X506" s="66">
        <f t="shared" si="382"/>
        <v>3.111111111111111E-2</v>
      </c>
      <c r="Y506" s="66">
        <f t="shared" si="382"/>
        <v>3.111111111111111E-2</v>
      </c>
      <c r="Z506" s="66">
        <f t="shared" si="382"/>
        <v>3.111111111111111E-2</v>
      </c>
      <c r="AA506" s="66">
        <f t="shared" si="382"/>
        <v>3.111111111111111E-2</v>
      </c>
      <c r="AB506" s="66">
        <f t="shared" si="382"/>
        <v>3.111111111111111E-2</v>
      </c>
      <c r="AC506" s="66">
        <f t="shared" si="382"/>
        <v>3.111111111111111E-2</v>
      </c>
    </row>
    <row r="507" spans="1:29" x14ac:dyDescent="0.25">
      <c r="A507" s="30" t="str">
        <f t="shared" si="377"/>
        <v>Opex maintenance &amp; repair</v>
      </c>
      <c r="B507" s="66">
        <f>B465/B475/(B472)</f>
        <v>1.1419643881301077E-2</v>
      </c>
      <c r="C507" s="66">
        <f t="shared" ref="C507:AC507" si="383">C465/C475/(C472)</f>
        <v>1.1363014654418182E-2</v>
      </c>
      <c r="D507" s="66">
        <f t="shared" si="383"/>
        <v>1.1284279472005032E-2</v>
      </c>
      <c r="E507" s="66">
        <f t="shared" si="383"/>
        <v>1.1176336482405633E-2</v>
      </c>
      <c r="F507" s="66">
        <f t="shared" si="383"/>
        <v>1.1031272671087182E-2</v>
      </c>
      <c r="G507" s="66">
        <f t="shared" si="383"/>
        <v>1.0841646245426629E-2</v>
      </c>
      <c r="H507" s="66">
        <f t="shared" si="383"/>
        <v>1.0602843813333098E-2</v>
      </c>
      <c r="I507" s="66">
        <f t="shared" si="383"/>
        <v>1.0316287749645749E-2</v>
      </c>
      <c r="J507" s="66">
        <f t="shared" si="383"/>
        <v>9.9922577024302069E-3</v>
      </c>
      <c r="K507" s="66">
        <f t="shared" si="383"/>
        <v>9.6501805110465882E-3</v>
      </c>
      <c r="L507" s="66">
        <f t="shared" si="383"/>
        <v>9.3148347589519613E-3</v>
      </c>
      <c r="M507" s="66">
        <f t="shared" si="383"/>
        <v>9.0095626182126638E-3</v>
      </c>
      <c r="N507" s="66">
        <f t="shared" si="383"/>
        <v>8.7501247701730761E-3</v>
      </c>
      <c r="O507" s="66">
        <f t="shared" si="383"/>
        <v>8.542361516579491E-3</v>
      </c>
      <c r="P507" s="66">
        <f t="shared" si="383"/>
        <v>8.3838289328963551E-3</v>
      </c>
      <c r="Q507" s="66">
        <f t="shared" si="383"/>
        <v>8.2672947695576603E-3</v>
      </c>
      <c r="R507" s="66">
        <f t="shared" si="383"/>
        <v>8.1839745286311199E-3</v>
      </c>
      <c r="S507" s="66">
        <f t="shared" si="383"/>
        <v>8.1255793444456742E-3</v>
      </c>
      <c r="T507" s="66">
        <f t="shared" si="383"/>
        <v>8.0852246829250067E-3</v>
      </c>
      <c r="U507" s="66">
        <f t="shared" si="383"/>
        <v>8.0576079770964953E-3</v>
      </c>
      <c r="V507" s="66">
        <f t="shared" si="383"/>
        <v>8.0388346331168297E-3</v>
      </c>
      <c r="W507" s="66">
        <f t="shared" si="383"/>
        <v>8.0261309201443889E-3</v>
      </c>
      <c r="X507" s="66">
        <f t="shared" si="383"/>
        <v>8.0175609821102421E-3</v>
      </c>
      <c r="Y507" s="66">
        <f t="shared" si="383"/>
        <v>8.0117917423974949E-3</v>
      </c>
      <c r="Z507" s="66">
        <f t="shared" si="383"/>
        <v>8.0079133732077097E-3</v>
      </c>
      <c r="AA507" s="66">
        <f t="shared" si="383"/>
        <v>8.0053086039839332E-3</v>
      </c>
      <c r="AB507" s="66">
        <f t="shared" si="383"/>
        <v>8.0035603134238128E-3</v>
      </c>
      <c r="AC507" s="66">
        <f t="shared" si="383"/>
        <v>8.0023873813420895E-3</v>
      </c>
    </row>
    <row r="508" spans="1:29" x14ac:dyDescent="0.25">
      <c r="A508" s="30" t="str">
        <f t="shared" si="377"/>
        <v>Opex var (mode-fees)</v>
      </c>
      <c r="B508" s="66">
        <f>B466*B475/B475/(B472)</f>
        <v>4.4000000000000003E-3</v>
      </c>
      <c r="C508" s="66">
        <f t="shared" ref="C508:AC508" si="384">C466*C475/C475/(C472)</f>
        <v>4.4000000000000003E-3</v>
      </c>
      <c r="D508" s="66">
        <f t="shared" si="384"/>
        <v>4.4000000000000003E-3</v>
      </c>
      <c r="E508" s="66">
        <f t="shared" si="384"/>
        <v>4.4000000000000003E-3</v>
      </c>
      <c r="F508" s="66">
        <f t="shared" si="384"/>
        <v>4.4000000000000003E-3</v>
      </c>
      <c r="G508" s="66">
        <f t="shared" si="384"/>
        <v>4.4000000000000003E-3</v>
      </c>
      <c r="H508" s="66">
        <f t="shared" si="384"/>
        <v>4.4000000000000003E-3</v>
      </c>
      <c r="I508" s="66">
        <f t="shared" si="384"/>
        <v>4.4000000000000003E-3</v>
      </c>
      <c r="J508" s="66">
        <f t="shared" si="384"/>
        <v>4.4000000000000003E-3</v>
      </c>
      <c r="K508" s="66">
        <f t="shared" si="384"/>
        <v>4.4000000000000003E-3</v>
      </c>
      <c r="L508" s="66">
        <f t="shared" si="384"/>
        <v>4.4000000000000003E-3</v>
      </c>
      <c r="M508" s="66">
        <f t="shared" si="384"/>
        <v>4.4000000000000003E-3</v>
      </c>
      <c r="N508" s="66">
        <f t="shared" si="384"/>
        <v>4.4000000000000003E-3</v>
      </c>
      <c r="O508" s="66">
        <f t="shared" si="384"/>
        <v>4.4000000000000003E-3</v>
      </c>
      <c r="P508" s="66">
        <f t="shared" si="384"/>
        <v>4.4000000000000003E-3</v>
      </c>
      <c r="Q508" s="66">
        <f t="shared" si="384"/>
        <v>4.4000000000000003E-3</v>
      </c>
      <c r="R508" s="66">
        <f t="shared" si="384"/>
        <v>4.4000000000000003E-3</v>
      </c>
      <c r="S508" s="66">
        <f t="shared" si="384"/>
        <v>4.4000000000000003E-3</v>
      </c>
      <c r="T508" s="66">
        <f t="shared" si="384"/>
        <v>4.4000000000000003E-3</v>
      </c>
      <c r="U508" s="66">
        <f t="shared" si="384"/>
        <v>4.4000000000000003E-3</v>
      </c>
      <c r="V508" s="66">
        <f t="shared" si="384"/>
        <v>4.4000000000000003E-3</v>
      </c>
      <c r="W508" s="66">
        <f t="shared" si="384"/>
        <v>4.4000000000000003E-3</v>
      </c>
      <c r="X508" s="66">
        <f t="shared" si="384"/>
        <v>4.4000000000000003E-3</v>
      </c>
      <c r="Y508" s="66">
        <f t="shared" si="384"/>
        <v>4.4000000000000003E-3</v>
      </c>
      <c r="Z508" s="66">
        <f t="shared" si="384"/>
        <v>4.4000000000000003E-3</v>
      </c>
      <c r="AA508" s="66">
        <f t="shared" si="384"/>
        <v>4.4000000000000003E-3</v>
      </c>
      <c r="AB508" s="66">
        <f t="shared" si="384"/>
        <v>4.4000000000000003E-3</v>
      </c>
      <c r="AC508" s="66">
        <f t="shared" si="384"/>
        <v>4.4000000000000003E-3</v>
      </c>
    </row>
    <row r="509" spans="1:29" x14ac:dyDescent="0.25">
      <c r="A509" s="30" t="str">
        <f t="shared" si="377"/>
        <v>Fuel Cost</v>
      </c>
      <c r="B509" s="66">
        <f>B467*B468*B475/B475/(B472)</f>
        <v>2.5271535978108505E-2</v>
      </c>
      <c r="C509" s="66">
        <f t="shared" ref="C509:AC509" si="385">C467*C468*C475/C475/(C472)</f>
        <v>2.5070862153536103E-2</v>
      </c>
      <c r="D509" s="66">
        <f t="shared" si="385"/>
        <v>2.4790745326148767E-2</v>
      </c>
      <c r="E509" s="66">
        <f t="shared" si="385"/>
        <v>2.440435315832656E-2</v>
      </c>
      <c r="F509" s="66">
        <f t="shared" si="385"/>
        <v>2.3880169457993962E-2</v>
      </c>
      <c r="G509" s="66">
        <f t="shared" si="385"/>
        <v>2.3185077542843952E-2</v>
      </c>
      <c r="H509" s="66">
        <f t="shared" si="385"/>
        <v>2.2290722205441687E-2</v>
      </c>
      <c r="I509" s="66">
        <f t="shared" si="385"/>
        <v>2.1183053439462283E-2</v>
      </c>
      <c r="J509" s="66">
        <f t="shared" si="385"/>
        <v>1.9872510834200802E-2</v>
      </c>
      <c r="K509" s="66">
        <f t="shared" si="385"/>
        <v>1.839988319316755E-2</v>
      </c>
      <c r="L509" s="66">
        <f t="shared" si="385"/>
        <v>1.6833530289393824E-2</v>
      </c>
      <c r="M509" s="66">
        <f t="shared" si="385"/>
        <v>1.5258305500660626E-2</v>
      </c>
      <c r="N509" s="66">
        <f t="shared" si="385"/>
        <v>1.3760682716616275E-2</v>
      </c>
      <c r="O509" s="66">
        <f t="shared" si="385"/>
        <v>1.2414241511033765E-2</v>
      </c>
      <c r="P509" s="66">
        <f t="shared" si="385"/>
        <v>1.1268049286594957E-2</v>
      </c>
      <c r="Q509" s="66">
        <f t="shared" si="385"/>
        <v>1.0340992285929369E-2</v>
      </c>
      <c r="R509" s="66">
        <f t="shared" si="385"/>
        <v>9.6243437393404904E-3</v>
      </c>
      <c r="S509" s="66">
        <f t="shared" si="385"/>
        <v>9.090811995092811E-3</v>
      </c>
      <c r="T509" s="66">
        <f t="shared" si="385"/>
        <v>8.7052072705503351E-3</v>
      </c>
      <c r="U509" s="66">
        <f t="shared" si="385"/>
        <v>8.4326668159591736E-3</v>
      </c>
      <c r="V509" s="66">
        <f t="shared" si="385"/>
        <v>8.2431424220437005E-3</v>
      </c>
      <c r="W509" s="66">
        <f t="shared" si="385"/>
        <v>8.1128580140792435E-3</v>
      </c>
      <c r="X509" s="66">
        <f t="shared" si="385"/>
        <v>8.0240137845980931E-3</v>
      </c>
      <c r="Y509" s="66">
        <f t="shared" si="385"/>
        <v>7.9637629928271201E-3</v>
      </c>
      <c r="Z509" s="66">
        <f t="shared" si="385"/>
        <v>7.9230572347422489E-3</v>
      </c>
      <c r="AA509" s="66">
        <f t="shared" si="385"/>
        <v>7.8956266066965777E-3</v>
      </c>
      <c r="AB509" s="66">
        <f t="shared" si="385"/>
        <v>7.8771737641352493E-3</v>
      </c>
      <c r="AC509" s="66">
        <f t="shared" si="385"/>
        <v>7.8647748498683282E-3</v>
      </c>
    </row>
    <row r="510" spans="1:29" x14ac:dyDescent="0.25">
      <c r="A510" s="59" t="str">
        <f>A473</f>
        <v>Market failure (av. utilization)</v>
      </c>
      <c r="B510" s="66">
        <f t="shared" ref="B510:AC510" si="386">B499/B473-B499/B472</f>
        <v>5.5319301052604297E-2</v>
      </c>
      <c r="C510" s="66">
        <f t="shared" si="386"/>
        <v>5.5036353929113713E-2</v>
      </c>
      <c r="D510" s="66">
        <f t="shared" si="386"/>
        <v>5.4642323801790932E-2</v>
      </c>
      <c r="E510" s="66">
        <f t="shared" si="386"/>
        <v>5.410077770009078E-2</v>
      </c>
      <c r="F510" s="66">
        <f t="shared" si="386"/>
        <v>5.3370199540960298E-2</v>
      </c>
      <c r="G510" s="66">
        <f t="shared" si="386"/>
        <v>5.240956528846534E-2</v>
      </c>
      <c r="H510" s="66">
        <f t="shared" si="386"/>
        <v>5.1188984374249194E-2</v>
      </c>
      <c r="I510" s="66">
        <f t="shared" si="386"/>
        <v>4.9704678861324292E-2</v>
      </c>
      <c r="J510" s="66">
        <f t="shared" si="386"/>
        <v>4.7993163357805749E-2</v>
      </c>
      <c r="K510" s="66">
        <f t="shared" si="386"/>
        <v>4.6135397389154273E-2</v>
      </c>
      <c r="L510" s="66">
        <f t="shared" si="386"/>
        <v>4.42438271042397E-2</v>
      </c>
      <c r="M510" s="66">
        <f t="shared" si="386"/>
        <v>4.2435792932554589E-2</v>
      </c>
      <c r="N510" s="66">
        <f t="shared" si="386"/>
        <v>4.0806757493268411E-2</v>
      </c>
      <c r="O510" s="66">
        <f t="shared" si="386"/>
        <v>3.9415198990065056E-2</v>
      </c>
      <c r="P510" s="66">
        <f t="shared" si="386"/>
        <v>3.828112031131703E-2</v>
      </c>
      <c r="Q510" s="66">
        <f t="shared" si="386"/>
        <v>3.739353222127971E-2</v>
      </c>
      <c r="R510" s="66">
        <f t="shared" si="386"/>
        <v>3.6721768253981282E-2</v>
      </c>
      <c r="S510" s="66">
        <f t="shared" si="386"/>
        <v>3.622673413881862E-2</v>
      </c>
      <c r="T510" s="66">
        <f t="shared" si="386"/>
        <v>3.5869414555953411E-2</v>
      </c>
      <c r="U510" s="66">
        <f t="shared" si="386"/>
        <v>3.5615640692903294E-2</v>
      </c>
      <c r="V510" s="66">
        <f t="shared" si="386"/>
        <v>3.5437737704274816E-2</v>
      </c>
      <c r="W510" s="66">
        <f t="shared" si="386"/>
        <v>3.5314348301274126E-2</v>
      </c>
      <c r="X510" s="66">
        <f t="shared" si="386"/>
        <v>3.5229511908914463E-2</v>
      </c>
      <c r="Y510" s="66">
        <f t="shared" si="386"/>
        <v>3.5171585749315754E-2</v>
      </c>
      <c r="Z510" s="66">
        <f t="shared" si="386"/>
        <v>3.5132243616736412E-2</v>
      </c>
      <c r="AA510" s="66">
        <f t="shared" si="386"/>
        <v>3.51056284264957E-2</v>
      </c>
      <c r="AB510" s="66">
        <f t="shared" si="386"/>
        <v>3.5087674142656046E-2</v>
      </c>
      <c r="AC510" s="66">
        <f t="shared" si="386"/>
        <v>3.5075586629311664E-2</v>
      </c>
    </row>
    <row r="511" spans="1:29" x14ac:dyDescent="0.25">
      <c r="A511" s="59" t="str">
        <f>A474</f>
        <v>Payload loss (fuel)</v>
      </c>
      <c r="B511" s="66">
        <f>B499/(B472-B474)-B499/B472</f>
        <v>5.1329338279129805E-3</v>
      </c>
      <c r="C511" s="66">
        <f t="shared" ref="C511:AC511" si="387">C499/(C472-C474)-C499/C472</f>
        <v>5.0883135669933383E-3</v>
      </c>
      <c r="D511" s="66">
        <f t="shared" si="387"/>
        <v>5.0260043443011021E-3</v>
      </c>
      <c r="E511" s="66">
        <f t="shared" si="387"/>
        <v>4.9399990960154183E-3</v>
      </c>
      <c r="F511" s="66">
        <f t="shared" si="387"/>
        <v>4.8232030956476268E-3</v>
      </c>
      <c r="G511" s="66">
        <f t="shared" si="387"/>
        <v>4.6680856397840059E-3</v>
      </c>
      <c r="H511" s="66">
        <f t="shared" si="387"/>
        <v>4.4680611322033131E-3</v>
      </c>
      <c r="I511" s="66">
        <f t="shared" si="387"/>
        <v>4.2196188726329187E-3</v>
      </c>
      <c r="J511" s="66">
        <f t="shared" si="387"/>
        <v>3.9247121457089973E-3</v>
      </c>
      <c r="K511" s="66">
        <f t="shared" si="387"/>
        <v>3.5923589405527645E-3</v>
      </c>
      <c r="L511" s="66">
        <f t="shared" si="387"/>
        <v>3.2383933571694945E-3</v>
      </c>
      <c r="M511" s="66">
        <f t="shared" si="387"/>
        <v>2.8830996835997186E-3</v>
      </c>
      <c r="N511" s="66">
        <f t="shared" si="387"/>
        <v>2.547401176234837E-3</v>
      </c>
      <c r="O511" s="66">
        <f t="shared" si="387"/>
        <v>2.2487178514773165E-3</v>
      </c>
      <c r="P511" s="66">
        <f t="shared" si="387"/>
        <v>1.9977875961428027E-3</v>
      </c>
      <c r="Q511" s="66">
        <f t="shared" si="387"/>
        <v>1.7976250225062856E-3</v>
      </c>
      <c r="R511" s="66">
        <f t="shared" si="387"/>
        <v>1.6448337014583619E-3</v>
      </c>
      <c r="S511" s="66">
        <f t="shared" si="387"/>
        <v>1.5322417761439028E-3</v>
      </c>
      <c r="T511" s="66">
        <f t="shared" si="387"/>
        <v>1.451475589592785E-3</v>
      </c>
      <c r="U511" s="66">
        <f t="shared" si="387"/>
        <v>1.3946779486809918E-3</v>
      </c>
      <c r="V511" s="66">
        <f t="shared" si="387"/>
        <v>1.3553043033490003E-3</v>
      </c>
      <c r="W511" s="66">
        <f t="shared" si="387"/>
        <v>1.3282869733819563E-3</v>
      </c>
      <c r="X511" s="66">
        <f t="shared" si="387"/>
        <v>1.3098817064012835E-3</v>
      </c>
      <c r="Y511" s="66">
        <f t="shared" si="387"/>
        <v>1.2974066562711634E-3</v>
      </c>
      <c r="Z511" s="66">
        <f t="shared" si="387"/>
        <v>1.2889808178753667E-3</v>
      </c>
      <c r="AA511" s="66">
        <f t="shared" si="387"/>
        <v>1.2833036833046901E-3</v>
      </c>
      <c r="AB511" s="66">
        <f t="shared" si="387"/>
        <v>1.2794849174362979E-3</v>
      </c>
      <c r="AC511" s="66">
        <f t="shared" si="387"/>
        <v>1.2769191029350091E-3</v>
      </c>
    </row>
    <row r="512" spans="1:29" ht="15.75" thickBot="1" x14ac:dyDescent="0.3">
      <c r="A512" s="59" t="str">
        <f>A449</f>
        <v>Emission Cost</v>
      </c>
      <c r="B512" s="68">
        <f>B469*B475/B475/(B472)</f>
        <v>3.6418200964524684E-4</v>
      </c>
      <c r="C512" s="68">
        <f t="shared" ref="C512:AC512" si="388">C469*C475/C475/(C472)</f>
        <v>3.6383521963850298E-4</v>
      </c>
      <c r="D512" s="68">
        <f t="shared" si="388"/>
        <v>3.6333879746797376E-4</v>
      </c>
      <c r="E512" s="68">
        <f t="shared" si="388"/>
        <v>3.6262863064306401E-4</v>
      </c>
      <c r="F512" s="68">
        <f t="shared" si="388"/>
        <v>3.6161364554417784E-4</v>
      </c>
      <c r="G512" s="68">
        <f t="shared" si="388"/>
        <v>3.6016504246069139E-4</v>
      </c>
      <c r="H512" s="68">
        <f t="shared" si="388"/>
        <v>3.581018762885698E-4</v>
      </c>
      <c r="I512" s="68">
        <f t="shared" si="388"/>
        <v>3.551724760827172E-4</v>
      </c>
      <c r="J512" s="68">
        <f t="shared" si="388"/>
        <v>3.5103205038913133E-4</v>
      </c>
      <c r="K512" s="68">
        <f t="shared" si="388"/>
        <v>3.4521896741480408E-4</v>
      </c>
      <c r="L512" s="68">
        <f t="shared" si="388"/>
        <v>3.371366718660246E-4</v>
      </c>
      <c r="M512" s="68">
        <f t="shared" si="388"/>
        <v>3.2605614702792577E-4</v>
      </c>
      <c r="N512" s="68">
        <f t="shared" si="388"/>
        <v>3.1116510898656003E-4</v>
      </c>
      <c r="O512" s="68">
        <f t="shared" si="388"/>
        <v>2.9169964552951117E-4</v>
      </c>
      <c r="P512" s="68">
        <f t="shared" si="388"/>
        <v>2.6718618439571353E-4</v>
      </c>
      <c r="Q512" s="68">
        <f t="shared" si="388"/>
        <v>2.3777073469416832E-4</v>
      </c>
      <c r="R512" s="68">
        <f t="shared" si="388"/>
        <v>2.0450851915069422E-4</v>
      </c>
      <c r="S512" s="68">
        <f t="shared" si="388"/>
        <v>1.6939373467288497E-4</v>
      </c>
      <c r="T512" s="68">
        <f t="shared" si="388"/>
        <v>1.3496994347323685E-4</v>
      </c>
      <c r="U512" s="68">
        <f t="shared" si="388"/>
        <v>1.0363325778021563E-4</v>
      </c>
      <c r="V512" s="68">
        <f t="shared" si="388"/>
        <v>7.700153737100413E-5</v>
      </c>
      <c r="W512" s="68">
        <f t="shared" si="388"/>
        <v>5.5674298794125105E-5</v>
      </c>
      <c r="X512" s="68">
        <f t="shared" si="388"/>
        <v>3.940066918956972E-5</v>
      </c>
      <c r="Y512" s="68">
        <f t="shared" si="388"/>
        <v>2.7438246283240584E-5</v>
      </c>
      <c r="Z512" s="68">
        <f t="shared" si="388"/>
        <v>1.8885286961572295E-5</v>
      </c>
      <c r="AA512" s="68">
        <f t="shared" si="388"/>
        <v>1.2890925575126249E-5</v>
      </c>
      <c r="AB512" s="68">
        <f t="shared" si="388"/>
        <v>8.748453414846938E-6</v>
      </c>
      <c r="AC512" s="68">
        <f t="shared" si="388"/>
        <v>5.9135532882621105E-6</v>
      </c>
    </row>
    <row r="513" spans="1:29" ht="15.75" thickBot="1" x14ac:dyDescent="0.3">
      <c r="A513" s="31" t="s">
        <v>210</v>
      </c>
      <c r="B513" s="67">
        <f>B502+B503+B504+B505+B506+B507+B508+B509+B510+B511+B512</f>
        <v>0.15774090818787748</v>
      </c>
      <c r="C513" s="67">
        <f t="shared" ref="C513:AC513" si="389">C502+C503+C504+C505+C506+C507+C508+C509+C510+C511+C512</f>
        <v>0.15691032369503954</v>
      </c>
      <c r="D513" s="67">
        <f t="shared" si="389"/>
        <v>0.15575348634089514</v>
      </c>
      <c r="E513" s="67">
        <f t="shared" si="389"/>
        <v>0.15416318636566459</v>
      </c>
      <c r="F513" s="67">
        <f t="shared" si="389"/>
        <v>0.15201700658993433</v>
      </c>
      <c r="G513" s="67">
        <f t="shared" si="389"/>
        <v>0.14919346065491809</v>
      </c>
      <c r="H513" s="67">
        <f t="shared" si="389"/>
        <v>0.14560293360784812</v>
      </c>
      <c r="I513" s="67">
        <f t="shared" si="389"/>
        <v>0.14123142047904186</v>
      </c>
      <c r="J513" s="67">
        <f t="shared" si="389"/>
        <v>0.13618230402012196</v>
      </c>
      <c r="K513" s="67">
        <f t="shared" si="389"/>
        <v>0.13068948979093387</v>
      </c>
      <c r="L513" s="67">
        <f t="shared" si="389"/>
        <v>0.12508116230501012</v>
      </c>
      <c r="M513" s="67">
        <f t="shared" si="389"/>
        <v>0.11970355148787055</v>
      </c>
      <c r="N513" s="67">
        <f t="shared" si="389"/>
        <v>0.1148427545380441</v>
      </c>
      <c r="O513" s="67">
        <f t="shared" si="389"/>
        <v>0.11067863092661061</v>
      </c>
      <c r="P513" s="67">
        <f t="shared" si="389"/>
        <v>0.10727748211919823</v>
      </c>
      <c r="Q513" s="67">
        <f t="shared" si="389"/>
        <v>0.10461179707323583</v>
      </c>
      <c r="R513" s="67">
        <f t="shared" si="389"/>
        <v>0.10259299473191448</v>
      </c>
      <c r="S513" s="67">
        <f t="shared" si="389"/>
        <v>0.1011053080422593</v>
      </c>
      <c r="T513" s="67">
        <f t="shared" si="389"/>
        <v>0.1000319874588604</v>
      </c>
      <c r="U513" s="67">
        <f t="shared" si="389"/>
        <v>9.9270262420587174E-2</v>
      </c>
      <c r="V513" s="67">
        <f t="shared" si="389"/>
        <v>9.8736713806842721E-2</v>
      </c>
      <c r="W513" s="67">
        <f t="shared" si="389"/>
        <v>9.8366948135207091E-2</v>
      </c>
      <c r="X513" s="67">
        <f t="shared" si="389"/>
        <v>9.8112886222782927E-2</v>
      </c>
      <c r="Y513" s="67">
        <f t="shared" si="389"/>
        <v>9.7939505173767469E-2</v>
      </c>
      <c r="Z513" s="67">
        <f t="shared" si="389"/>
        <v>9.7821795633762434E-2</v>
      </c>
      <c r="AA513" s="67">
        <f t="shared" si="389"/>
        <v>9.7742187415189766E-2</v>
      </c>
      <c r="AB513" s="67">
        <f t="shared" si="389"/>
        <v>9.7688495638655656E-2</v>
      </c>
      <c r="AC513" s="67">
        <f t="shared" si="389"/>
        <v>9.7652353398197764E-2</v>
      </c>
    </row>
    <row r="515" spans="1:29" x14ac:dyDescent="0.25">
      <c r="B515" s="40"/>
    </row>
  </sheetData>
  <conditionalFormatting sqref="Q11:AR20 Q22:AR27">
    <cfRule type="colorScale" priority="50">
      <colorScale>
        <cfvo type="min"/>
        <cfvo type="max"/>
        <color rgb="FFFF7128"/>
        <color rgb="FFFFEF9C"/>
      </colorScale>
    </cfRule>
    <cfRule type="colorScale" priority="46">
      <colorScale>
        <cfvo type="min"/>
        <cfvo type="max"/>
        <color rgb="FFFF7128"/>
        <color rgb="FFFFEF9C"/>
      </colorScale>
    </cfRule>
    <cfRule type="colorScale" priority="47">
      <colorScale>
        <cfvo type="min"/>
        <cfvo type="percentile" val="50"/>
        <cfvo type="max"/>
        <color rgb="FFF8696B"/>
        <color rgb="FFFFEB84"/>
        <color rgb="FF63BE7B"/>
      </colorScale>
    </cfRule>
    <cfRule type="colorScale" priority="48">
      <colorScale>
        <cfvo type="min"/>
        <cfvo type="percentile" val="50"/>
        <cfvo type="max"/>
        <color theme="5" tint="-0.249977111117893"/>
        <color theme="7" tint="0.79998168889431442"/>
        <color theme="7" tint="0.39997558519241921"/>
      </colorScale>
    </cfRule>
    <cfRule type="colorScale" priority="49">
      <colorScale>
        <cfvo type="min"/>
        <cfvo type="percentile" val="50"/>
        <cfvo type="max"/>
        <color rgb="FFF8696B"/>
        <color rgb="FFFFEB84"/>
        <color rgb="FF63BE7B"/>
      </colorScale>
    </cfRule>
  </conditionalFormatting>
  <conditionalFormatting sqref="Q21:AR21">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26 Q128:AR133">
    <cfRule type="colorScale" priority="45">
      <colorScale>
        <cfvo type="min"/>
        <cfvo type="max"/>
        <color rgb="FFFF7128"/>
        <color rgb="FFFFEF9C"/>
      </colorScale>
    </cfRule>
    <cfRule type="colorScale" priority="43">
      <colorScale>
        <cfvo type="min"/>
        <cfvo type="percentile" val="50"/>
        <cfvo type="max"/>
        <color theme="5" tint="-0.249977111117893"/>
        <color theme="7" tint="0.79998168889431442"/>
        <color theme="7" tint="0.39997558519241921"/>
      </colorScale>
    </cfRule>
    <cfRule type="colorScale" priority="42">
      <colorScale>
        <cfvo type="min"/>
        <cfvo type="percentile" val="50"/>
        <cfvo type="max"/>
        <color rgb="FFF8696B"/>
        <color rgb="FFFFEB84"/>
        <color rgb="FF63BE7B"/>
      </colorScale>
    </cfRule>
    <cfRule type="colorScale" priority="41">
      <colorScale>
        <cfvo type="min"/>
        <cfvo type="max"/>
        <color rgb="FFFF7128"/>
        <color rgb="FFFFEF9C"/>
      </colorScale>
    </cfRule>
    <cfRule type="colorScale" priority="44">
      <colorScale>
        <cfvo type="min"/>
        <cfvo type="percentile" val="50"/>
        <cfvo type="max"/>
        <color rgb="FFF8696B"/>
        <color rgb="FFFFEB84"/>
        <color rgb="FF63BE7B"/>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40">
      <colorScale>
        <cfvo type="min"/>
        <cfvo type="max"/>
        <color rgb="FFFF7128"/>
        <color rgb="FFFFEF9C"/>
      </colorScale>
    </cfRule>
    <cfRule type="colorScale" priority="39">
      <colorScale>
        <cfvo type="min"/>
        <cfvo type="percentile" val="50"/>
        <cfvo type="max"/>
        <color rgb="FFF8696B"/>
        <color rgb="FFFFEB84"/>
        <color rgb="FF63BE7B"/>
      </colorScale>
    </cfRule>
    <cfRule type="colorScale" priority="37">
      <colorScale>
        <cfvo type="min"/>
        <cfvo type="percentile" val="50"/>
        <cfvo type="max"/>
        <color rgb="FFF8696B"/>
        <color rgb="FFFFEB84"/>
        <color rgb="FF63BE7B"/>
      </colorScale>
    </cfRule>
    <cfRule type="colorScale" priority="36">
      <colorScale>
        <cfvo type="min"/>
        <cfvo type="max"/>
        <color rgb="FFFF7128"/>
        <color rgb="FFFFEF9C"/>
      </colorScale>
    </cfRule>
    <cfRule type="colorScale" priority="38">
      <colorScale>
        <cfvo type="min"/>
        <cfvo type="percentile" val="50"/>
        <cfvo type="max"/>
        <color theme="5" tint="-0.249977111117893"/>
        <color theme="7" tint="0.79998168889431442"/>
        <color theme="7" tint="0.39997558519241921"/>
      </colorScale>
    </cfRule>
  </conditionalFormatting>
  <conditionalFormatting sqref="Q235:AR235">
    <cfRule type="colorScale" priority="13">
      <colorScale>
        <cfvo type="min"/>
        <cfvo type="percentile" val="50"/>
        <cfvo type="max"/>
        <color theme="5" tint="-0.249977111117893"/>
        <color theme="7" tint="0.79998168889431442"/>
        <color theme="7" tint="0.39997558519241921"/>
      </colorScale>
    </cfRule>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32">
      <colorScale>
        <cfvo type="min"/>
        <cfvo type="percentile" val="50"/>
        <cfvo type="max"/>
        <color rgb="FFF8696B"/>
        <color rgb="FFFFEB84"/>
        <color rgb="FF63BE7B"/>
      </colorScale>
    </cfRule>
    <cfRule type="colorScale" priority="31">
      <colorScale>
        <cfvo type="min"/>
        <cfvo type="max"/>
        <color rgb="FFFF7128"/>
        <color rgb="FFFFEF9C"/>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344:AR344">
    <cfRule type="colorScale" priority="10">
      <colorScale>
        <cfvo type="min"/>
        <cfvo type="max"/>
        <color rgb="FFFF7128"/>
        <color rgb="FFFFEF9C"/>
      </colorScale>
    </cfRule>
    <cfRule type="colorScale" priority="9">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onditionalFormatting>
  <conditionalFormatting sqref="Q439:AR448 Q450:AR455">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7F730-5EA7-42C3-9E51-B4EA98C0E228}">
  <sheetPr codeName="Sheet8">
    <tabColor rgb="FFC00000"/>
  </sheetPr>
  <dimension ref="A1:BA515"/>
  <sheetViews>
    <sheetView topLeftCell="A484" zoomScale="80" zoomScaleNormal="80" workbookViewId="0">
      <selection activeCell="A446" sqref="A446"/>
    </sheetView>
  </sheetViews>
  <sheetFormatPr defaultColWidth="9.140625" defaultRowHeight="15" x14ac:dyDescent="0.25"/>
  <cols>
    <col min="1" max="1" width="38.5703125" style="4" customWidth="1"/>
    <col min="2" max="4" width="14.85546875" style="4" bestFit="1" customWidth="1"/>
    <col min="5" max="5" width="28" style="4" bestFit="1" customWidth="1"/>
    <col min="6" max="11" width="14.85546875" style="4" bestFit="1" customWidth="1"/>
    <col min="12" max="12" width="24.42578125" style="4" bestFit="1" customWidth="1"/>
    <col min="13" max="29" width="14.85546875" style="4" bestFit="1" customWidth="1"/>
    <col min="30" max="44" width="13.5703125" style="4" bestFit="1" customWidth="1"/>
    <col min="45" max="45" width="9.140625" style="4"/>
    <col min="46" max="46" width="35.140625" style="4" bestFit="1" customWidth="1"/>
    <col min="47" max="48" width="11.42578125" style="4" bestFit="1" customWidth="1"/>
    <col min="49" max="49" width="8.5703125" style="4" bestFit="1" customWidth="1"/>
    <col min="50" max="50" width="21.42578125" style="4" bestFit="1" customWidth="1"/>
    <col min="51" max="52" width="4.42578125" style="4" bestFit="1" customWidth="1"/>
    <col min="53" max="53" width="7" style="4" bestFit="1" customWidth="1"/>
    <col min="54" max="54" width="9.140625" style="4"/>
    <col min="55" max="55" width="31.5703125" style="4" bestFit="1" customWidth="1"/>
    <col min="56" max="57" width="9.5703125" style="4" bestFit="1" customWidth="1"/>
    <col min="58" max="58" width="11.42578125" style="4" bestFit="1" customWidth="1"/>
    <col min="59" max="59" width="8" style="4" bestFit="1" customWidth="1"/>
    <col min="60" max="61" width="4.42578125" style="4" bestFit="1" customWidth="1"/>
    <col min="62" max="62" width="7" style="4" bestFit="1" customWidth="1"/>
    <col min="63" max="63" width="9.140625" style="4"/>
    <col min="64" max="64" width="31.5703125" style="4" bestFit="1" customWidth="1"/>
    <col min="65" max="66" width="9.5703125" style="4" bestFit="1" customWidth="1"/>
    <col min="67" max="67" width="8.5703125" style="4" bestFit="1" customWidth="1"/>
    <col min="68" max="68" width="3.42578125" style="4" bestFit="1" customWidth="1"/>
    <col min="69" max="70" width="4.42578125" style="4" bestFit="1" customWidth="1"/>
    <col min="71" max="16384" width="9.140625" style="4"/>
  </cols>
  <sheetData>
    <row r="1" spans="1:53" s="3" customFormat="1" ht="21" x14ac:dyDescent="0.35">
      <c r="A1" s="2" t="str">
        <f>'Parameter Input'!A90</f>
        <v>Railway long-haul: Dry bulk</v>
      </c>
    </row>
    <row r="2" spans="1:53" s="3" customFormat="1" ht="21" x14ac:dyDescent="0.35">
      <c r="A2" s="2" t="s">
        <v>11</v>
      </c>
    </row>
    <row r="3" spans="1:53" x14ac:dyDescent="0.25">
      <c r="A3" s="33" t="s">
        <v>195</v>
      </c>
    </row>
    <row r="4" spans="1:53" x14ac:dyDescent="0.25">
      <c r="A4" s="33" t="s">
        <v>196</v>
      </c>
    </row>
    <row r="5" spans="1:53" ht="15.75" thickBot="1" x14ac:dyDescent="0.3">
      <c r="A5" s="34" t="s">
        <v>197</v>
      </c>
      <c r="B5" s="34"/>
    </row>
    <row r="6" spans="1:53" ht="15.75" thickBot="1" x14ac:dyDescent="0.3">
      <c r="A6" s="39" t="s">
        <v>198</v>
      </c>
      <c r="B6" s="35"/>
    </row>
    <row r="7" spans="1:53" ht="15.75" thickBot="1" x14ac:dyDescent="0.3">
      <c r="A7" s="38" t="s">
        <v>199</v>
      </c>
      <c r="B7" s="36"/>
    </row>
    <row r="8" spans="1:53" ht="15.75" thickBot="1" x14ac:dyDescent="0.3"/>
    <row r="9" spans="1:53"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c r="AT9" s="82"/>
      <c r="AU9" s="83"/>
      <c r="AV9" s="83"/>
      <c r="AW9" s="83"/>
      <c r="AX9" s="83" t="str">
        <f>L9</f>
        <v>Input Sigmoid function</v>
      </c>
      <c r="AY9" s="83"/>
      <c r="AZ9" s="83"/>
      <c r="BA9" s="84" t="s">
        <v>3</v>
      </c>
    </row>
    <row r="10" spans="1:53"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c r="AT10" s="85"/>
      <c r="AU10" s="80">
        <f>B9</f>
        <v>2023</v>
      </c>
      <c r="AV10" s="80">
        <f>C9</f>
        <v>2050</v>
      </c>
      <c r="AW10" s="80" t="str">
        <f>D10</f>
        <v>Unit</v>
      </c>
      <c r="AX10" s="80" t="str">
        <f>L10</f>
        <v>midway</v>
      </c>
      <c r="AY10" s="80" t="str">
        <f t="shared" ref="AY10:AZ12" si="0">O10</f>
        <v>a</v>
      </c>
      <c r="AZ10" s="80" t="str">
        <f t="shared" si="0"/>
        <v>k</v>
      </c>
      <c r="BA10" s="86"/>
    </row>
    <row r="11" spans="1:53" x14ac:dyDescent="0.25">
      <c r="A11" s="24" t="s">
        <v>18</v>
      </c>
      <c r="B11" s="41">
        <f>'Parameter Input'!$L$91</f>
        <v>3500000</v>
      </c>
      <c r="C11" s="42">
        <f>'Parameter Input'!$M$91</f>
        <v>3500000</v>
      </c>
      <c r="D11" s="1" t="s">
        <v>15</v>
      </c>
      <c r="L11" s="51">
        <f>'Parameter Input'!$O$91</f>
        <v>12</v>
      </c>
      <c r="M11" s="52">
        <v>0</v>
      </c>
      <c r="N11" s="52">
        <v>1</v>
      </c>
      <c r="O11" s="52">
        <f>'Parameter Input'!$P$91</f>
        <v>0.9</v>
      </c>
      <c r="P11" s="53">
        <f>'Parameter Input'!$Q$91</f>
        <v>0.4</v>
      </c>
      <c r="Q11" s="4">
        <f t="shared" ref="Q11:AR20" si="1">$N11+($M11-$N11)*((1/(1+EXP(-$P11*(Q$9-$L11)))^$O11))</f>
        <v>0.9867978615748374</v>
      </c>
      <c r="R11" s="4">
        <f t="shared" si="1"/>
        <v>0.98114509762858249</v>
      </c>
      <c r="S11" s="4">
        <f t="shared" si="1"/>
        <v>0.97311898315872036</v>
      </c>
      <c r="T11" s="4">
        <f t="shared" si="1"/>
        <v>0.96177484161592774</v>
      </c>
      <c r="U11" s="4">
        <f t="shared" si="1"/>
        <v>0.94584787155511363</v>
      </c>
      <c r="V11" s="4">
        <f t="shared" si="1"/>
        <v>0.92370360150141495</v>
      </c>
      <c r="W11" s="4">
        <f t="shared" si="1"/>
        <v>0.89334463567658451</v>
      </c>
      <c r="X11" s="4">
        <f t="shared" si="1"/>
        <v>0.85254543874327005</v>
      </c>
      <c r="Y11" s="4">
        <f t="shared" si="1"/>
        <v>0.79921300652623883</v>
      </c>
      <c r="Z11" s="4">
        <f t="shared" si="1"/>
        <v>0.73204982249993378</v>
      </c>
      <c r="AA11" s="4">
        <f t="shared" si="1"/>
        <v>0.65145592958786691</v>
      </c>
      <c r="AB11" s="4">
        <f t="shared" si="1"/>
        <v>0.56032247880849573</v>
      </c>
      <c r="AC11" s="4">
        <f t="shared" si="1"/>
        <v>0.46411326873185343</v>
      </c>
      <c r="AD11" s="4">
        <f t="shared" si="1"/>
        <v>0.36979727595523937</v>
      </c>
      <c r="AE11" s="4">
        <f t="shared" si="1"/>
        <v>0.28393948637231203</v>
      </c>
      <c r="AF11" s="4">
        <f t="shared" si="1"/>
        <v>0.21097259161117732</v>
      </c>
      <c r="AG11" s="4">
        <f t="shared" si="1"/>
        <v>0.15253917653798199</v>
      </c>
      <c r="AH11" s="4">
        <f t="shared" si="1"/>
        <v>0.10795188737709993</v>
      </c>
      <c r="AI11" s="4">
        <f t="shared" si="1"/>
        <v>7.5176653938091809E-2</v>
      </c>
      <c r="AJ11" s="4">
        <f t="shared" si="1"/>
        <v>5.1742836177502194E-2</v>
      </c>
      <c r="AK11" s="4">
        <f t="shared" si="1"/>
        <v>3.5319190625345942E-2</v>
      </c>
      <c r="AL11" s="4">
        <f t="shared" si="1"/>
        <v>2.3969442072658165E-2</v>
      </c>
      <c r="AM11" s="4">
        <f t="shared" si="1"/>
        <v>1.6202243558389728E-2</v>
      </c>
      <c r="AN11" s="4">
        <f t="shared" si="1"/>
        <v>1.0922240564108399E-2</v>
      </c>
      <c r="AO11" s="4">
        <f t="shared" si="1"/>
        <v>7.3493212906090566E-3</v>
      </c>
      <c r="AP11" s="4">
        <f t="shared" si="1"/>
        <v>4.9390262185057265E-3</v>
      </c>
      <c r="AQ11" s="4">
        <f t="shared" si="1"/>
        <v>3.3164275492956197E-3</v>
      </c>
      <c r="AR11" s="4">
        <f t="shared" si="1"/>
        <v>2.2256362146679809E-3</v>
      </c>
      <c r="AT11" s="85" t="str">
        <f t="shared" ref="AT11:AV12" si="2">A11</f>
        <v>Capex vehicle</v>
      </c>
      <c r="AU11" s="81">
        <f t="shared" si="2"/>
        <v>3500000</v>
      </c>
      <c r="AV11" s="81">
        <f t="shared" si="2"/>
        <v>3500000</v>
      </c>
      <c r="AW11" s="81" t="str">
        <f>D11</f>
        <v>[€]</v>
      </c>
      <c r="AX11" s="80">
        <f>L11</f>
        <v>12</v>
      </c>
      <c r="AY11" s="80">
        <f t="shared" si="0"/>
        <v>0.9</v>
      </c>
      <c r="AZ11" s="80">
        <f t="shared" si="0"/>
        <v>0.4</v>
      </c>
      <c r="BA11" s="86"/>
    </row>
    <row r="12" spans="1:53" x14ac:dyDescent="0.25">
      <c r="A12" s="24" t="s">
        <v>28</v>
      </c>
      <c r="B12" s="60">
        <f>'Parameter Input'!$L$92</f>
        <v>-525000</v>
      </c>
      <c r="C12" s="61">
        <f>'Parameter Input'!$M$92</f>
        <v>-175000</v>
      </c>
      <c r="D12" s="1" t="s">
        <v>15</v>
      </c>
      <c r="L12" s="54">
        <f>'Parameter Input'!$O$92</f>
        <v>12</v>
      </c>
      <c r="M12" s="37">
        <v>0</v>
      </c>
      <c r="N12" s="37">
        <v>1</v>
      </c>
      <c r="O12" s="37">
        <f>'Parameter Input'!$P$92</f>
        <v>0.9</v>
      </c>
      <c r="P12" s="55">
        <f>'Parameter Input'!$Q$92</f>
        <v>0.4</v>
      </c>
      <c r="Q12" s="4">
        <f t="shared" si="1"/>
        <v>0.9867978615748374</v>
      </c>
      <c r="R12" s="4">
        <f t="shared" si="1"/>
        <v>0.98114509762858249</v>
      </c>
      <c r="S12" s="4">
        <f t="shared" si="1"/>
        <v>0.97311898315872036</v>
      </c>
      <c r="T12" s="4">
        <f t="shared" si="1"/>
        <v>0.96177484161592774</v>
      </c>
      <c r="U12" s="4">
        <f t="shared" si="1"/>
        <v>0.94584787155511363</v>
      </c>
      <c r="V12" s="4">
        <f t="shared" si="1"/>
        <v>0.92370360150141495</v>
      </c>
      <c r="W12" s="4">
        <f t="shared" si="1"/>
        <v>0.89334463567658451</v>
      </c>
      <c r="X12" s="4">
        <f t="shared" si="1"/>
        <v>0.85254543874327005</v>
      </c>
      <c r="Y12" s="4">
        <f t="shared" si="1"/>
        <v>0.79921300652623883</v>
      </c>
      <c r="Z12" s="4">
        <f t="shared" si="1"/>
        <v>0.73204982249993378</v>
      </c>
      <c r="AA12" s="4">
        <f t="shared" si="1"/>
        <v>0.65145592958786691</v>
      </c>
      <c r="AB12" s="4">
        <f t="shared" si="1"/>
        <v>0.56032247880849573</v>
      </c>
      <c r="AC12" s="4">
        <f t="shared" si="1"/>
        <v>0.46411326873185343</v>
      </c>
      <c r="AD12" s="4">
        <f t="shared" si="1"/>
        <v>0.36979727595523937</v>
      </c>
      <c r="AE12" s="4">
        <f t="shared" si="1"/>
        <v>0.28393948637231203</v>
      </c>
      <c r="AF12" s="4">
        <f t="shared" si="1"/>
        <v>0.21097259161117732</v>
      </c>
      <c r="AG12" s="4">
        <f t="shared" si="1"/>
        <v>0.15253917653798199</v>
      </c>
      <c r="AH12" s="4">
        <f t="shared" si="1"/>
        <v>0.10795188737709993</v>
      </c>
      <c r="AI12" s="4">
        <f t="shared" si="1"/>
        <v>7.5176653938091809E-2</v>
      </c>
      <c r="AJ12" s="4">
        <f t="shared" si="1"/>
        <v>5.1742836177502194E-2</v>
      </c>
      <c r="AK12" s="4">
        <f t="shared" si="1"/>
        <v>3.5319190625345942E-2</v>
      </c>
      <c r="AL12" s="4">
        <f t="shared" si="1"/>
        <v>2.3969442072658165E-2</v>
      </c>
      <c r="AM12" s="4">
        <f t="shared" si="1"/>
        <v>1.6202243558389728E-2</v>
      </c>
      <c r="AN12" s="4">
        <f t="shared" si="1"/>
        <v>1.0922240564108399E-2</v>
      </c>
      <c r="AO12" s="4">
        <f t="shared" si="1"/>
        <v>7.3493212906090566E-3</v>
      </c>
      <c r="AP12" s="4">
        <f t="shared" si="1"/>
        <v>4.9390262185057265E-3</v>
      </c>
      <c r="AQ12" s="4">
        <f t="shared" si="1"/>
        <v>3.3164275492956197E-3</v>
      </c>
      <c r="AR12" s="4">
        <f t="shared" si="1"/>
        <v>2.2256362146679809E-3</v>
      </c>
      <c r="AT12" s="85" t="str">
        <f t="shared" si="2"/>
        <v>Residual value (vehicle)</v>
      </c>
      <c r="AU12" s="81">
        <f t="shared" si="2"/>
        <v>-525000</v>
      </c>
      <c r="AV12" s="81">
        <f t="shared" si="2"/>
        <v>-175000</v>
      </c>
      <c r="AW12" s="81" t="str">
        <f>D12</f>
        <v>[€]</v>
      </c>
      <c r="AX12" s="80">
        <f>L12</f>
        <v>12</v>
      </c>
      <c r="AY12" s="80">
        <f t="shared" si="0"/>
        <v>0.9</v>
      </c>
      <c r="AZ12" s="80">
        <f t="shared" si="0"/>
        <v>0.4</v>
      </c>
      <c r="BA12" s="86"/>
    </row>
    <row r="13" spans="1:53" x14ac:dyDescent="0.25">
      <c r="A13" s="24" t="s">
        <v>14</v>
      </c>
      <c r="B13" s="43">
        <f>'Parameter Input'!B91</f>
        <v>4200000</v>
      </c>
      <c r="C13" s="44">
        <f>'Parameter Input'!C91</f>
        <v>4200000</v>
      </c>
      <c r="D13" s="1" t="s">
        <v>15</v>
      </c>
      <c r="L13" s="54">
        <f>'Parameter Input'!E91</f>
        <v>12</v>
      </c>
      <c r="M13" s="37">
        <v>0</v>
      </c>
      <c r="N13" s="37">
        <v>1</v>
      </c>
      <c r="O13" s="37">
        <f>'Parameter Input'!F91</f>
        <v>0.9</v>
      </c>
      <c r="P13" s="55">
        <f>'Parameter Input'!G91</f>
        <v>0.4</v>
      </c>
      <c r="Q13" s="4">
        <f t="shared" si="1"/>
        <v>0.9867978615748374</v>
      </c>
      <c r="R13" s="4">
        <f t="shared" si="1"/>
        <v>0.98114509762858249</v>
      </c>
      <c r="S13" s="4">
        <f t="shared" si="1"/>
        <v>0.97311898315872036</v>
      </c>
      <c r="T13" s="4">
        <f t="shared" si="1"/>
        <v>0.96177484161592774</v>
      </c>
      <c r="U13" s="4">
        <f t="shared" si="1"/>
        <v>0.94584787155511363</v>
      </c>
      <c r="V13" s="4">
        <f t="shared" si="1"/>
        <v>0.92370360150141495</v>
      </c>
      <c r="W13" s="4">
        <f t="shared" si="1"/>
        <v>0.89334463567658451</v>
      </c>
      <c r="X13" s="4">
        <f t="shared" si="1"/>
        <v>0.85254543874327005</v>
      </c>
      <c r="Y13" s="4">
        <f t="shared" si="1"/>
        <v>0.79921300652623883</v>
      </c>
      <c r="Z13" s="4">
        <f t="shared" si="1"/>
        <v>0.73204982249993378</v>
      </c>
      <c r="AA13" s="4">
        <f t="shared" si="1"/>
        <v>0.65145592958786691</v>
      </c>
      <c r="AB13" s="4">
        <f t="shared" si="1"/>
        <v>0.56032247880849573</v>
      </c>
      <c r="AC13" s="4">
        <f t="shared" si="1"/>
        <v>0.46411326873185343</v>
      </c>
      <c r="AD13" s="4">
        <f t="shared" si="1"/>
        <v>0.36979727595523937</v>
      </c>
      <c r="AE13" s="4">
        <f t="shared" si="1"/>
        <v>0.28393948637231203</v>
      </c>
      <c r="AF13" s="4">
        <f t="shared" si="1"/>
        <v>0.21097259161117732</v>
      </c>
      <c r="AG13" s="4">
        <f t="shared" si="1"/>
        <v>0.15253917653798199</v>
      </c>
      <c r="AH13" s="4">
        <f t="shared" si="1"/>
        <v>0.10795188737709993</v>
      </c>
      <c r="AI13" s="4">
        <f t="shared" si="1"/>
        <v>7.5176653938091809E-2</v>
      </c>
      <c r="AJ13" s="4">
        <f t="shared" si="1"/>
        <v>5.1742836177502194E-2</v>
      </c>
      <c r="AK13" s="4">
        <f t="shared" si="1"/>
        <v>3.5319190625345942E-2</v>
      </c>
      <c r="AL13" s="4">
        <f t="shared" si="1"/>
        <v>2.3969442072658165E-2</v>
      </c>
      <c r="AM13" s="4">
        <f t="shared" si="1"/>
        <v>1.6202243558389728E-2</v>
      </c>
      <c r="AN13" s="4">
        <f t="shared" si="1"/>
        <v>1.0922240564108399E-2</v>
      </c>
      <c r="AO13" s="4">
        <f t="shared" si="1"/>
        <v>7.3493212906090566E-3</v>
      </c>
      <c r="AP13" s="4">
        <f t="shared" si="1"/>
        <v>4.9390262185057265E-3</v>
      </c>
      <c r="AQ13" s="4">
        <f t="shared" si="1"/>
        <v>3.3164275492956197E-3</v>
      </c>
      <c r="AR13" s="4">
        <f t="shared" si="1"/>
        <v>2.2256362146679809E-3</v>
      </c>
      <c r="AT13" s="85" t="str">
        <f t="shared" ref="AT13:AW14" si="3">A15</f>
        <v>WACC</v>
      </c>
      <c r="AU13" s="81">
        <f t="shared" si="3"/>
        <v>0.06</v>
      </c>
      <c r="AV13" s="81">
        <f t="shared" si="3"/>
        <v>0.06</v>
      </c>
      <c r="AW13" s="81" t="str">
        <f t="shared" si="3"/>
        <v>[%]</v>
      </c>
      <c r="AX13" s="80">
        <f>L15</f>
        <v>12</v>
      </c>
      <c r="AY13" s="80">
        <f>O15</f>
        <v>0.9</v>
      </c>
      <c r="AZ13" s="80">
        <f>P15</f>
        <v>0.4</v>
      </c>
      <c r="BA13" s="86"/>
    </row>
    <row r="14" spans="1:53" x14ac:dyDescent="0.25">
      <c r="A14" s="24" t="s">
        <v>25</v>
      </c>
      <c r="B14" s="60">
        <f>'Parameter Input'!B92</f>
        <v>-210000</v>
      </c>
      <c r="C14" s="61">
        <f>'Parameter Input'!C92</f>
        <v>-210000</v>
      </c>
      <c r="D14" s="1" t="s">
        <v>15</v>
      </c>
      <c r="L14" s="54">
        <f>'Parameter Input'!E92</f>
        <v>12</v>
      </c>
      <c r="M14" s="37">
        <v>0</v>
      </c>
      <c r="N14" s="37">
        <v>1</v>
      </c>
      <c r="O14" s="37">
        <f>'Parameter Input'!F92</f>
        <v>0.9</v>
      </c>
      <c r="P14" s="55">
        <f>'Parameter Input'!G92</f>
        <v>0.4</v>
      </c>
      <c r="Q14" s="4">
        <f t="shared" si="1"/>
        <v>0.9867978615748374</v>
      </c>
      <c r="R14" s="4">
        <f t="shared" si="1"/>
        <v>0.98114509762858249</v>
      </c>
      <c r="S14" s="4">
        <f t="shared" si="1"/>
        <v>0.97311898315872036</v>
      </c>
      <c r="T14" s="4">
        <f t="shared" si="1"/>
        <v>0.96177484161592774</v>
      </c>
      <c r="U14" s="4">
        <f t="shared" si="1"/>
        <v>0.94584787155511363</v>
      </c>
      <c r="V14" s="4">
        <f t="shared" si="1"/>
        <v>0.92370360150141495</v>
      </c>
      <c r="W14" s="4">
        <f t="shared" si="1"/>
        <v>0.89334463567658451</v>
      </c>
      <c r="X14" s="4">
        <f t="shared" si="1"/>
        <v>0.85254543874327005</v>
      </c>
      <c r="Y14" s="4">
        <f t="shared" si="1"/>
        <v>0.79921300652623883</v>
      </c>
      <c r="Z14" s="4">
        <f t="shared" si="1"/>
        <v>0.73204982249993378</v>
      </c>
      <c r="AA14" s="4">
        <f t="shared" si="1"/>
        <v>0.65145592958786691</v>
      </c>
      <c r="AB14" s="4">
        <f t="shared" si="1"/>
        <v>0.56032247880849573</v>
      </c>
      <c r="AC14" s="4">
        <f t="shared" si="1"/>
        <v>0.46411326873185343</v>
      </c>
      <c r="AD14" s="4">
        <f t="shared" si="1"/>
        <v>0.36979727595523937</v>
      </c>
      <c r="AE14" s="4">
        <f t="shared" si="1"/>
        <v>0.28393948637231203</v>
      </c>
      <c r="AF14" s="4">
        <f t="shared" si="1"/>
        <v>0.21097259161117732</v>
      </c>
      <c r="AG14" s="4">
        <f t="shared" si="1"/>
        <v>0.15253917653798199</v>
      </c>
      <c r="AH14" s="4">
        <f t="shared" si="1"/>
        <v>0.10795188737709993</v>
      </c>
      <c r="AI14" s="4">
        <f t="shared" si="1"/>
        <v>7.5176653938091809E-2</v>
      </c>
      <c r="AJ14" s="4">
        <f t="shared" si="1"/>
        <v>5.1742836177502194E-2</v>
      </c>
      <c r="AK14" s="4">
        <f t="shared" si="1"/>
        <v>3.5319190625345942E-2</v>
      </c>
      <c r="AL14" s="4">
        <f t="shared" si="1"/>
        <v>2.3969442072658165E-2</v>
      </c>
      <c r="AM14" s="4">
        <f t="shared" si="1"/>
        <v>1.6202243558389728E-2</v>
      </c>
      <c r="AN14" s="4">
        <f t="shared" si="1"/>
        <v>1.0922240564108399E-2</v>
      </c>
      <c r="AO14" s="4">
        <f t="shared" si="1"/>
        <v>7.3493212906090566E-3</v>
      </c>
      <c r="AP14" s="4">
        <f t="shared" si="1"/>
        <v>4.9390262185057265E-3</v>
      </c>
      <c r="AQ14" s="4">
        <f t="shared" si="1"/>
        <v>3.3164275492956197E-3</v>
      </c>
      <c r="AR14" s="4">
        <f t="shared" si="1"/>
        <v>2.2256362146679809E-3</v>
      </c>
      <c r="AT14" s="85" t="str">
        <f t="shared" si="3"/>
        <v>Opex fix (admin, crew, insurance)</v>
      </c>
      <c r="AU14" s="81">
        <f t="shared" si="3"/>
        <v>650000</v>
      </c>
      <c r="AV14" s="81">
        <f t="shared" si="3"/>
        <v>650000</v>
      </c>
      <c r="AW14" s="81" t="str">
        <f t="shared" si="3"/>
        <v>[€/a]</v>
      </c>
      <c r="AX14" s="80">
        <f>L16</f>
        <v>12</v>
      </c>
      <c r="AY14" s="80">
        <f>O16</f>
        <v>0.9</v>
      </c>
      <c r="AZ14" s="80">
        <f>P16</f>
        <v>0.4</v>
      </c>
      <c r="BA14" s="86"/>
    </row>
    <row r="15" spans="1:53" x14ac:dyDescent="0.25">
      <c r="A15" s="24" t="s">
        <v>79</v>
      </c>
      <c r="B15" s="45">
        <f>'Parameter Input'!$L$98</f>
        <v>0.06</v>
      </c>
      <c r="C15" s="46">
        <f>'Parameter Input'!$M$98</f>
        <v>0.06</v>
      </c>
      <c r="D15" s="1" t="s">
        <v>57</v>
      </c>
      <c r="L15" s="54">
        <f>'Parameter Input'!$O$98</f>
        <v>12</v>
      </c>
      <c r="M15" s="37">
        <v>0</v>
      </c>
      <c r="N15" s="37">
        <v>1</v>
      </c>
      <c r="O15" s="37">
        <f>'Parameter Input'!$P$98</f>
        <v>0.9</v>
      </c>
      <c r="P15" s="55">
        <f>'Parameter Input'!$Q$98</f>
        <v>0.4</v>
      </c>
      <c r="Q15" s="4">
        <f t="shared" si="1"/>
        <v>0.9867978615748374</v>
      </c>
      <c r="R15" s="4">
        <f t="shared" si="1"/>
        <v>0.98114509762858249</v>
      </c>
      <c r="S15" s="4">
        <f t="shared" si="1"/>
        <v>0.97311898315872036</v>
      </c>
      <c r="T15" s="4">
        <f t="shared" si="1"/>
        <v>0.96177484161592774</v>
      </c>
      <c r="U15" s="4">
        <f t="shared" si="1"/>
        <v>0.94584787155511363</v>
      </c>
      <c r="V15" s="4">
        <f t="shared" si="1"/>
        <v>0.92370360150141495</v>
      </c>
      <c r="W15" s="4">
        <f t="shared" si="1"/>
        <v>0.89334463567658451</v>
      </c>
      <c r="X15" s="4">
        <f t="shared" si="1"/>
        <v>0.85254543874327005</v>
      </c>
      <c r="Y15" s="4">
        <f t="shared" si="1"/>
        <v>0.79921300652623883</v>
      </c>
      <c r="Z15" s="4">
        <f t="shared" si="1"/>
        <v>0.73204982249993378</v>
      </c>
      <c r="AA15" s="4">
        <f t="shared" si="1"/>
        <v>0.65145592958786691</v>
      </c>
      <c r="AB15" s="4">
        <f t="shared" si="1"/>
        <v>0.56032247880849573</v>
      </c>
      <c r="AC15" s="4">
        <f t="shared" si="1"/>
        <v>0.46411326873185343</v>
      </c>
      <c r="AD15" s="4">
        <f t="shared" si="1"/>
        <v>0.36979727595523937</v>
      </c>
      <c r="AE15" s="4">
        <f t="shared" si="1"/>
        <v>0.28393948637231203</v>
      </c>
      <c r="AF15" s="4">
        <f t="shared" si="1"/>
        <v>0.21097259161117732</v>
      </c>
      <c r="AG15" s="4">
        <f t="shared" si="1"/>
        <v>0.15253917653798199</v>
      </c>
      <c r="AH15" s="4">
        <f t="shared" si="1"/>
        <v>0.10795188737709993</v>
      </c>
      <c r="AI15" s="4">
        <f t="shared" si="1"/>
        <v>7.5176653938091809E-2</v>
      </c>
      <c r="AJ15" s="4">
        <f t="shared" si="1"/>
        <v>5.1742836177502194E-2</v>
      </c>
      <c r="AK15" s="4">
        <f t="shared" si="1"/>
        <v>3.5319190625345942E-2</v>
      </c>
      <c r="AL15" s="4">
        <f t="shared" si="1"/>
        <v>2.3969442072658165E-2</v>
      </c>
      <c r="AM15" s="4">
        <f t="shared" si="1"/>
        <v>1.6202243558389728E-2</v>
      </c>
      <c r="AN15" s="4">
        <f t="shared" si="1"/>
        <v>1.0922240564108399E-2</v>
      </c>
      <c r="AO15" s="4">
        <f t="shared" si="1"/>
        <v>7.3493212906090566E-3</v>
      </c>
      <c r="AP15" s="4">
        <f t="shared" si="1"/>
        <v>4.9390262185057265E-3</v>
      </c>
      <c r="AQ15" s="4">
        <f t="shared" si="1"/>
        <v>3.3164275492956197E-3</v>
      </c>
      <c r="AR15" s="4">
        <f t="shared" si="1"/>
        <v>2.2256362146679809E-3</v>
      </c>
      <c r="AT15" s="85" t="str">
        <f>A18</f>
        <v>Opex var (mode-fees, shunting)</v>
      </c>
      <c r="AU15" s="81">
        <f>B18</f>
        <v>3.9215686274509802</v>
      </c>
      <c r="AV15" s="81">
        <f>C18</f>
        <v>3.9215686274509802</v>
      </c>
      <c r="AW15" s="81" t="str">
        <f>D18</f>
        <v>[€/km]</v>
      </c>
      <c r="AX15" s="80">
        <f>L18</f>
        <v>12</v>
      </c>
      <c r="AY15" s="80">
        <f>O18</f>
        <v>0.9</v>
      </c>
      <c r="AZ15" s="80">
        <f>P18</f>
        <v>0.4</v>
      </c>
      <c r="BA15" s="86"/>
    </row>
    <row r="16" spans="1:53" x14ac:dyDescent="0.25">
      <c r="A16" s="24" t="s">
        <v>37</v>
      </c>
      <c r="B16" s="43">
        <f>'Parameter Input'!B93</f>
        <v>650000</v>
      </c>
      <c r="C16" s="44">
        <f>'Parameter Input'!C93</f>
        <v>650000</v>
      </c>
      <c r="D16" s="1" t="s">
        <v>38</v>
      </c>
      <c r="L16" s="54">
        <f>'Parameter Input'!E93</f>
        <v>12</v>
      </c>
      <c r="M16" s="37">
        <v>0</v>
      </c>
      <c r="N16" s="37">
        <v>1</v>
      </c>
      <c r="O16" s="37">
        <f>'Parameter Input'!F93</f>
        <v>0.9</v>
      </c>
      <c r="P16" s="55">
        <f>'Parameter Input'!G93</f>
        <v>0.4</v>
      </c>
      <c r="Q16" s="4">
        <f t="shared" si="1"/>
        <v>0.9867978615748374</v>
      </c>
      <c r="R16" s="4">
        <f t="shared" si="1"/>
        <v>0.98114509762858249</v>
      </c>
      <c r="S16" s="4">
        <f t="shared" si="1"/>
        <v>0.97311898315872036</v>
      </c>
      <c r="T16" s="4">
        <f t="shared" si="1"/>
        <v>0.96177484161592774</v>
      </c>
      <c r="U16" s="4">
        <f t="shared" si="1"/>
        <v>0.94584787155511363</v>
      </c>
      <c r="V16" s="4">
        <f t="shared" si="1"/>
        <v>0.92370360150141495</v>
      </c>
      <c r="W16" s="4">
        <f t="shared" si="1"/>
        <v>0.89334463567658451</v>
      </c>
      <c r="X16" s="4">
        <f t="shared" si="1"/>
        <v>0.85254543874327005</v>
      </c>
      <c r="Y16" s="4">
        <f t="shared" si="1"/>
        <v>0.79921300652623883</v>
      </c>
      <c r="Z16" s="4">
        <f t="shared" si="1"/>
        <v>0.73204982249993378</v>
      </c>
      <c r="AA16" s="4">
        <f t="shared" si="1"/>
        <v>0.65145592958786691</v>
      </c>
      <c r="AB16" s="4">
        <f t="shared" si="1"/>
        <v>0.56032247880849573</v>
      </c>
      <c r="AC16" s="4">
        <f t="shared" si="1"/>
        <v>0.46411326873185343</v>
      </c>
      <c r="AD16" s="4">
        <f t="shared" si="1"/>
        <v>0.36979727595523937</v>
      </c>
      <c r="AE16" s="4">
        <f t="shared" si="1"/>
        <v>0.28393948637231203</v>
      </c>
      <c r="AF16" s="4">
        <f t="shared" si="1"/>
        <v>0.21097259161117732</v>
      </c>
      <c r="AG16" s="4">
        <f t="shared" si="1"/>
        <v>0.15253917653798199</v>
      </c>
      <c r="AH16" s="4">
        <f t="shared" si="1"/>
        <v>0.10795188737709993</v>
      </c>
      <c r="AI16" s="4">
        <f t="shared" si="1"/>
        <v>7.5176653938091809E-2</v>
      </c>
      <c r="AJ16" s="4">
        <f t="shared" si="1"/>
        <v>5.1742836177502194E-2</v>
      </c>
      <c r="AK16" s="4">
        <f t="shared" si="1"/>
        <v>3.5319190625345942E-2</v>
      </c>
      <c r="AL16" s="4">
        <f t="shared" si="1"/>
        <v>2.3969442072658165E-2</v>
      </c>
      <c r="AM16" s="4">
        <f t="shared" si="1"/>
        <v>1.6202243558389728E-2</v>
      </c>
      <c r="AN16" s="4">
        <f t="shared" si="1"/>
        <v>1.0922240564108399E-2</v>
      </c>
      <c r="AO16" s="4">
        <f t="shared" si="1"/>
        <v>7.3493212906090566E-3</v>
      </c>
      <c r="AP16" s="4">
        <f t="shared" si="1"/>
        <v>4.9390262185057265E-3</v>
      </c>
      <c r="AQ16" s="4">
        <f t="shared" si="1"/>
        <v>3.3164275492956197E-3</v>
      </c>
      <c r="AR16" s="4">
        <f t="shared" si="1"/>
        <v>2.2256362146679809E-3</v>
      </c>
      <c r="AT16" s="85" t="str">
        <f t="shared" ref="AT16:AW17" si="4">A22</f>
        <v>Lifetime vehicle</v>
      </c>
      <c r="AU16" s="81">
        <f t="shared" si="4"/>
        <v>20</v>
      </c>
      <c r="AV16" s="81">
        <f t="shared" si="4"/>
        <v>20</v>
      </c>
      <c r="AW16" s="81" t="str">
        <f t="shared" si="4"/>
        <v>[a]</v>
      </c>
      <c r="AX16" s="80">
        <f>L22</f>
        <v>12</v>
      </c>
      <c r="AY16" s="80">
        <f>O22</f>
        <v>0.9</v>
      </c>
      <c r="AZ16" s="80">
        <f>P22</f>
        <v>0.4</v>
      </c>
      <c r="BA16" s="86"/>
    </row>
    <row r="17" spans="1:53" x14ac:dyDescent="0.25">
      <c r="A17" s="24" t="s">
        <v>52</v>
      </c>
      <c r="B17" s="43">
        <f>'Parameter Input'!$L$94</f>
        <v>1050000</v>
      </c>
      <c r="C17" s="44">
        <f>'Parameter Input'!$M$94</f>
        <v>1050000</v>
      </c>
      <c r="D17" s="1" t="s">
        <v>38</v>
      </c>
      <c r="L17" s="54">
        <f>'Parameter Input'!$O$94</f>
        <v>12</v>
      </c>
      <c r="M17" s="37">
        <v>0</v>
      </c>
      <c r="N17" s="37">
        <v>1</v>
      </c>
      <c r="O17" s="37">
        <f>'Parameter Input'!$P$94</f>
        <v>0.9</v>
      </c>
      <c r="P17" s="55">
        <f>'Parameter Input'!$Q$94</f>
        <v>0.4</v>
      </c>
      <c r="Q17" s="4">
        <f t="shared" si="1"/>
        <v>0.9867978615748374</v>
      </c>
      <c r="R17" s="4">
        <f t="shared" si="1"/>
        <v>0.98114509762858249</v>
      </c>
      <c r="S17" s="4">
        <f t="shared" si="1"/>
        <v>0.97311898315872036</v>
      </c>
      <c r="T17" s="4">
        <f t="shared" si="1"/>
        <v>0.96177484161592774</v>
      </c>
      <c r="U17" s="4">
        <f t="shared" si="1"/>
        <v>0.94584787155511363</v>
      </c>
      <c r="V17" s="4">
        <f t="shared" si="1"/>
        <v>0.92370360150141495</v>
      </c>
      <c r="W17" s="4">
        <f t="shared" si="1"/>
        <v>0.89334463567658451</v>
      </c>
      <c r="X17" s="4">
        <f t="shared" si="1"/>
        <v>0.85254543874327005</v>
      </c>
      <c r="Y17" s="4">
        <f t="shared" si="1"/>
        <v>0.79921300652623883</v>
      </c>
      <c r="Z17" s="4">
        <f t="shared" si="1"/>
        <v>0.73204982249993378</v>
      </c>
      <c r="AA17" s="4">
        <f t="shared" si="1"/>
        <v>0.65145592958786691</v>
      </c>
      <c r="AB17" s="4">
        <f t="shared" si="1"/>
        <v>0.56032247880849573</v>
      </c>
      <c r="AC17" s="4">
        <f t="shared" si="1"/>
        <v>0.46411326873185343</v>
      </c>
      <c r="AD17" s="4">
        <f t="shared" si="1"/>
        <v>0.36979727595523937</v>
      </c>
      <c r="AE17" s="4">
        <f t="shared" si="1"/>
        <v>0.28393948637231203</v>
      </c>
      <c r="AF17" s="4">
        <f t="shared" si="1"/>
        <v>0.21097259161117732</v>
      </c>
      <c r="AG17" s="4">
        <f t="shared" si="1"/>
        <v>0.15253917653798199</v>
      </c>
      <c r="AH17" s="4">
        <f t="shared" si="1"/>
        <v>0.10795188737709993</v>
      </c>
      <c r="AI17" s="4">
        <f t="shared" si="1"/>
        <v>7.5176653938091809E-2</v>
      </c>
      <c r="AJ17" s="4">
        <f t="shared" si="1"/>
        <v>5.1742836177502194E-2</v>
      </c>
      <c r="AK17" s="4">
        <f t="shared" si="1"/>
        <v>3.5319190625345942E-2</v>
      </c>
      <c r="AL17" s="4">
        <f t="shared" si="1"/>
        <v>2.3969442072658165E-2</v>
      </c>
      <c r="AM17" s="4">
        <f t="shared" si="1"/>
        <v>1.6202243558389728E-2</v>
      </c>
      <c r="AN17" s="4">
        <f t="shared" si="1"/>
        <v>1.0922240564108399E-2</v>
      </c>
      <c r="AO17" s="4">
        <f t="shared" si="1"/>
        <v>7.3493212906090566E-3</v>
      </c>
      <c r="AP17" s="4">
        <f t="shared" si="1"/>
        <v>4.9390262185057265E-3</v>
      </c>
      <c r="AQ17" s="4">
        <f t="shared" si="1"/>
        <v>3.3164275492956197E-3</v>
      </c>
      <c r="AR17" s="4">
        <f t="shared" si="1"/>
        <v>2.2256362146679809E-3</v>
      </c>
      <c r="AT17" s="85" t="str">
        <f t="shared" si="4"/>
        <v>Lifetime costumization</v>
      </c>
      <c r="AU17" s="81">
        <f t="shared" si="4"/>
        <v>30</v>
      </c>
      <c r="AV17" s="81">
        <f t="shared" si="4"/>
        <v>30</v>
      </c>
      <c r="AW17" s="81" t="str">
        <f t="shared" si="4"/>
        <v>[a]</v>
      </c>
      <c r="AX17" s="80">
        <f>L23</f>
        <v>12</v>
      </c>
      <c r="AY17" s="80">
        <f>O23</f>
        <v>0.9</v>
      </c>
      <c r="AZ17" s="80">
        <f>P23</f>
        <v>0.4</v>
      </c>
      <c r="BA17" s="86"/>
    </row>
    <row r="18" spans="1:53" ht="15.75" thickBot="1" x14ac:dyDescent="0.3">
      <c r="A18" s="24" t="s">
        <v>287</v>
      </c>
      <c r="B18" s="45">
        <f>'Parameter Input'!B98</f>
        <v>3.9215686274509802</v>
      </c>
      <c r="C18" s="46">
        <f>'Parameter Input'!C98</f>
        <v>3.9215686274509802</v>
      </c>
      <c r="D18" s="1" t="s">
        <v>76</v>
      </c>
      <c r="L18" s="54">
        <f>'Parameter Input'!E98</f>
        <v>12</v>
      </c>
      <c r="M18" s="37">
        <v>0</v>
      </c>
      <c r="N18" s="37">
        <v>1</v>
      </c>
      <c r="O18" s="37">
        <f>'Parameter Input'!F98</f>
        <v>0.9</v>
      </c>
      <c r="P18" s="55">
        <f>'Parameter Input'!G98</f>
        <v>0.4</v>
      </c>
      <c r="Q18" s="4">
        <f t="shared" si="1"/>
        <v>0.9867978615748374</v>
      </c>
      <c r="R18" s="4">
        <f t="shared" si="1"/>
        <v>0.98114509762858249</v>
      </c>
      <c r="S18" s="4">
        <f t="shared" si="1"/>
        <v>0.97311898315872036</v>
      </c>
      <c r="T18" s="4">
        <f t="shared" si="1"/>
        <v>0.96177484161592774</v>
      </c>
      <c r="U18" s="4">
        <f t="shared" si="1"/>
        <v>0.94584787155511363</v>
      </c>
      <c r="V18" s="4">
        <f t="shared" si="1"/>
        <v>0.92370360150141495</v>
      </c>
      <c r="W18" s="4">
        <f t="shared" si="1"/>
        <v>0.89334463567658451</v>
      </c>
      <c r="X18" s="4">
        <f t="shared" si="1"/>
        <v>0.85254543874327005</v>
      </c>
      <c r="Y18" s="4">
        <f t="shared" si="1"/>
        <v>0.79921300652623883</v>
      </c>
      <c r="Z18" s="4">
        <f t="shared" si="1"/>
        <v>0.73204982249993378</v>
      </c>
      <c r="AA18" s="4">
        <f t="shared" si="1"/>
        <v>0.65145592958786691</v>
      </c>
      <c r="AB18" s="4">
        <f t="shared" si="1"/>
        <v>0.56032247880849573</v>
      </c>
      <c r="AC18" s="4">
        <f t="shared" si="1"/>
        <v>0.46411326873185343</v>
      </c>
      <c r="AD18" s="4">
        <f t="shared" si="1"/>
        <v>0.36979727595523937</v>
      </c>
      <c r="AE18" s="4">
        <f t="shared" si="1"/>
        <v>0.28393948637231203</v>
      </c>
      <c r="AF18" s="4">
        <f t="shared" si="1"/>
        <v>0.21097259161117732</v>
      </c>
      <c r="AG18" s="4">
        <f t="shared" si="1"/>
        <v>0.15253917653798199</v>
      </c>
      <c r="AH18" s="4">
        <f t="shared" si="1"/>
        <v>0.10795188737709993</v>
      </c>
      <c r="AI18" s="4">
        <f t="shared" si="1"/>
        <v>7.5176653938091809E-2</v>
      </c>
      <c r="AJ18" s="4">
        <f t="shared" si="1"/>
        <v>5.1742836177502194E-2</v>
      </c>
      <c r="AK18" s="4">
        <f t="shared" si="1"/>
        <v>3.5319190625345942E-2</v>
      </c>
      <c r="AL18" s="4">
        <f t="shared" si="1"/>
        <v>2.3969442072658165E-2</v>
      </c>
      <c r="AM18" s="4">
        <f t="shared" si="1"/>
        <v>1.6202243558389728E-2</v>
      </c>
      <c r="AN18" s="4">
        <f t="shared" si="1"/>
        <v>1.0922240564108399E-2</v>
      </c>
      <c r="AO18" s="4">
        <f t="shared" si="1"/>
        <v>7.3493212906090566E-3</v>
      </c>
      <c r="AP18" s="4">
        <f t="shared" si="1"/>
        <v>4.9390262185057265E-3</v>
      </c>
      <c r="AQ18" s="4">
        <f t="shared" si="1"/>
        <v>3.3164275492956197E-3</v>
      </c>
      <c r="AR18" s="4">
        <f t="shared" si="1"/>
        <v>2.2256362146679809E-3</v>
      </c>
    </row>
    <row r="19" spans="1:53" x14ac:dyDescent="0.25">
      <c r="A19" s="24" t="s">
        <v>59</v>
      </c>
      <c r="B19" s="47">
        <f>'Parameter Input'!$L$95</f>
        <v>76.777599999999993</v>
      </c>
      <c r="C19" s="48">
        <f>'Parameter Input'!$M$95</f>
        <v>76.777599999999993</v>
      </c>
      <c r="D19" s="1" t="s">
        <v>60</v>
      </c>
      <c r="L19" s="54">
        <f>'Parameter Input'!$O$95</f>
        <v>12</v>
      </c>
      <c r="M19" s="37">
        <v>0</v>
      </c>
      <c r="N19" s="37">
        <v>1</v>
      </c>
      <c r="O19" s="37">
        <f>'Parameter Input'!$P$95</f>
        <v>0.9</v>
      </c>
      <c r="P19" s="55">
        <f>'Parameter Input'!$Q$95</f>
        <v>0.4</v>
      </c>
      <c r="Q19" s="4">
        <f t="shared" si="1"/>
        <v>0.9867978615748374</v>
      </c>
      <c r="R19" s="4">
        <f t="shared" si="1"/>
        <v>0.98114509762858249</v>
      </c>
      <c r="S19" s="4">
        <f t="shared" si="1"/>
        <v>0.97311898315872036</v>
      </c>
      <c r="T19" s="4">
        <f t="shared" si="1"/>
        <v>0.96177484161592774</v>
      </c>
      <c r="U19" s="4">
        <f t="shared" si="1"/>
        <v>0.94584787155511363</v>
      </c>
      <c r="V19" s="4">
        <f t="shared" si="1"/>
        <v>0.92370360150141495</v>
      </c>
      <c r="W19" s="4">
        <f t="shared" si="1"/>
        <v>0.89334463567658451</v>
      </c>
      <c r="X19" s="4">
        <f t="shared" si="1"/>
        <v>0.85254543874327005</v>
      </c>
      <c r="Y19" s="4">
        <f t="shared" si="1"/>
        <v>0.79921300652623883</v>
      </c>
      <c r="Z19" s="4">
        <f t="shared" si="1"/>
        <v>0.73204982249993378</v>
      </c>
      <c r="AA19" s="4">
        <f t="shared" si="1"/>
        <v>0.65145592958786691</v>
      </c>
      <c r="AB19" s="4">
        <f t="shared" si="1"/>
        <v>0.56032247880849573</v>
      </c>
      <c r="AC19" s="4">
        <f t="shared" si="1"/>
        <v>0.46411326873185343</v>
      </c>
      <c r="AD19" s="4">
        <f t="shared" si="1"/>
        <v>0.36979727595523937</v>
      </c>
      <c r="AE19" s="4">
        <f t="shared" si="1"/>
        <v>0.28393948637231203</v>
      </c>
      <c r="AF19" s="4">
        <f t="shared" si="1"/>
        <v>0.21097259161117732</v>
      </c>
      <c r="AG19" s="4">
        <f t="shared" si="1"/>
        <v>0.15253917653798199</v>
      </c>
      <c r="AH19" s="4">
        <f t="shared" si="1"/>
        <v>0.10795188737709993</v>
      </c>
      <c r="AI19" s="4">
        <f t="shared" si="1"/>
        <v>7.5176653938091809E-2</v>
      </c>
      <c r="AJ19" s="4">
        <f t="shared" si="1"/>
        <v>5.1742836177502194E-2</v>
      </c>
      <c r="AK19" s="4">
        <f t="shared" si="1"/>
        <v>3.5319190625345942E-2</v>
      </c>
      <c r="AL19" s="4">
        <f t="shared" si="1"/>
        <v>2.3969442072658165E-2</v>
      </c>
      <c r="AM19" s="4">
        <f t="shared" si="1"/>
        <v>1.6202243558389728E-2</v>
      </c>
      <c r="AN19" s="4">
        <f t="shared" si="1"/>
        <v>1.0922240564108399E-2</v>
      </c>
      <c r="AO19" s="4">
        <f t="shared" si="1"/>
        <v>7.3493212906090566E-3</v>
      </c>
      <c r="AP19" s="4">
        <f t="shared" si="1"/>
        <v>4.9390262185057265E-3</v>
      </c>
      <c r="AQ19" s="4">
        <f t="shared" si="1"/>
        <v>3.3164275492956197E-3</v>
      </c>
      <c r="AR19" s="4">
        <f t="shared" si="1"/>
        <v>2.2256362146679809E-3</v>
      </c>
      <c r="AT19" s="82" t="str">
        <f>A1</f>
        <v>Railway long-haul: Dry bulk</v>
      </c>
      <c r="AU19" s="83"/>
      <c r="AV19" s="83"/>
      <c r="AW19" s="83"/>
      <c r="AX19" s="83"/>
      <c r="AY19" s="83"/>
      <c r="AZ19" s="83"/>
      <c r="BA19" s="84"/>
    </row>
    <row r="20" spans="1:53" x14ac:dyDescent="0.25">
      <c r="A20" s="24" t="s">
        <v>67</v>
      </c>
      <c r="B20" s="45">
        <f>'Parameter Input'!$L$96</f>
        <v>0.1</v>
      </c>
      <c r="C20" s="46">
        <f>'Parameter Input'!$M$96</f>
        <v>0.1</v>
      </c>
      <c r="D20" s="1" t="s">
        <v>68</v>
      </c>
      <c r="L20" s="54">
        <f>'Parameter Input'!$O$96</f>
        <v>12</v>
      </c>
      <c r="M20" s="37">
        <v>0</v>
      </c>
      <c r="N20" s="37">
        <v>1</v>
      </c>
      <c r="O20" s="37">
        <f>'Parameter Input'!$P$96</f>
        <v>0.9</v>
      </c>
      <c r="P20" s="55">
        <f>'Parameter Input'!$Q$96</f>
        <v>0.4</v>
      </c>
      <c r="Q20" s="4">
        <f t="shared" si="1"/>
        <v>0.9867978615748374</v>
      </c>
      <c r="R20" s="4">
        <f t="shared" si="1"/>
        <v>0.98114509762858249</v>
      </c>
      <c r="S20" s="4">
        <f t="shared" si="1"/>
        <v>0.97311898315872036</v>
      </c>
      <c r="T20" s="4">
        <f t="shared" ref="T20:AR27" si="5">$N20+($M20-$N20)*((1/(1+EXP(-$P20*(T$9-$L20)))^$O20))</f>
        <v>0.96177484161592774</v>
      </c>
      <c r="U20" s="4">
        <f t="shared" si="5"/>
        <v>0.94584787155511363</v>
      </c>
      <c r="V20" s="4">
        <f t="shared" si="5"/>
        <v>0.92370360150141495</v>
      </c>
      <c r="W20" s="4">
        <f t="shared" si="5"/>
        <v>0.89334463567658451</v>
      </c>
      <c r="X20" s="4">
        <f t="shared" si="5"/>
        <v>0.85254543874327005</v>
      </c>
      <c r="Y20" s="4">
        <f t="shared" si="5"/>
        <v>0.79921300652623883</v>
      </c>
      <c r="Z20" s="4">
        <f t="shared" si="5"/>
        <v>0.73204982249993378</v>
      </c>
      <c r="AA20" s="4">
        <f t="shared" si="5"/>
        <v>0.65145592958786691</v>
      </c>
      <c r="AB20" s="4">
        <f t="shared" si="5"/>
        <v>0.56032247880849573</v>
      </c>
      <c r="AC20" s="4">
        <f t="shared" si="5"/>
        <v>0.46411326873185343</v>
      </c>
      <c r="AD20" s="4">
        <f t="shared" si="5"/>
        <v>0.36979727595523937</v>
      </c>
      <c r="AE20" s="4">
        <f t="shared" si="5"/>
        <v>0.28393948637231203</v>
      </c>
      <c r="AF20" s="4">
        <f t="shared" si="5"/>
        <v>0.21097259161117732</v>
      </c>
      <c r="AG20" s="4">
        <f t="shared" si="5"/>
        <v>0.15253917653798199</v>
      </c>
      <c r="AH20" s="4">
        <f t="shared" si="5"/>
        <v>0.10795188737709993</v>
      </c>
      <c r="AI20" s="4">
        <f t="shared" si="5"/>
        <v>7.5176653938091809E-2</v>
      </c>
      <c r="AJ20" s="4">
        <f t="shared" si="5"/>
        <v>5.1742836177502194E-2</v>
      </c>
      <c r="AK20" s="4">
        <f t="shared" si="5"/>
        <v>3.5319190625345942E-2</v>
      </c>
      <c r="AL20" s="4">
        <f t="shared" si="5"/>
        <v>2.3969442072658165E-2</v>
      </c>
      <c r="AM20" s="4">
        <f t="shared" si="5"/>
        <v>1.6202243558389728E-2</v>
      </c>
      <c r="AN20" s="4">
        <f t="shared" si="5"/>
        <v>1.0922240564108399E-2</v>
      </c>
      <c r="AO20" s="4">
        <f t="shared" si="5"/>
        <v>7.3493212906090566E-3</v>
      </c>
      <c r="AP20" s="4">
        <f t="shared" si="5"/>
        <v>4.9390262185057265E-3</v>
      </c>
      <c r="AQ20" s="4">
        <f t="shared" si="5"/>
        <v>3.3164275492956197E-3</v>
      </c>
      <c r="AR20" s="4">
        <f t="shared" si="5"/>
        <v>2.2256362146679809E-3</v>
      </c>
      <c r="AT20" s="85" t="str">
        <f>A2</f>
        <v>Diesel</v>
      </c>
      <c r="AU20" s="80"/>
      <c r="AV20" s="80"/>
      <c r="AW20" s="80"/>
      <c r="AX20" s="80"/>
      <c r="AY20" s="80"/>
      <c r="AZ20" s="80"/>
      <c r="BA20" s="86"/>
    </row>
    <row r="21" spans="1:53" x14ac:dyDescent="0.25">
      <c r="A21" s="24" t="s">
        <v>206</v>
      </c>
      <c r="B21" s="45">
        <f>'Parameter Input'!L99</f>
        <v>2.0469721783010932</v>
      </c>
      <c r="C21" s="46">
        <f>'Parameter Input'!M99</f>
        <v>7.1644026240538263</v>
      </c>
      <c r="D21" s="1"/>
      <c r="L21" s="54">
        <f>'Parameter Input'!O99</f>
        <v>17</v>
      </c>
      <c r="M21" s="37">
        <v>0</v>
      </c>
      <c r="N21" s="37">
        <v>1</v>
      </c>
      <c r="O21" s="37">
        <f>'Parameter Input'!P99</f>
        <v>0.9</v>
      </c>
      <c r="P21" s="55">
        <f>'Parameter Input'!Q99</f>
        <v>0.4</v>
      </c>
      <c r="Q21" s="4">
        <f t="shared" ref="Q21:AR21" si="6">$N21+($M21-$N21)*((1/(1+EXP(-$P21*(Q$9-$L21)))^$O21))</f>
        <v>0.99780374543478534</v>
      </c>
      <c r="R21" s="4">
        <f t="shared" si="6"/>
        <v>0.99685359315256394</v>
      </c>
      <c r="S21" s="4">
        <f t="shared" si="6"/>
        <v>0.99549347132349975</v>
      </c>
      <c r="T21" s="4">
        <f t="shared" si="6"/>
        <v>0.99354772139898062</v>
      </c>
      <c r="U21" s="4">
        <f t="shared" si="6"/>
        <v>0.99076681540580536</v>
      </c>
      <c r="V21" s="4">
        <f t="shared" si="6"/>
        <v>0.9867978615748374</v>
      </c>
      <c r="W21" s="4">
        <f t="shared" si="6"/>
        <v>0.98114509762858249</v>
      </c>
      <c r="X21" s="4">
        <f t="shared" si="6"/>
        <v>0.97311898315872036</v>
      </c>
      <c r="Y21" s="4">
        <f t="shared" si="6"/>
        <v>0.96177484161592774</v>
      </c>
      <c r="Z21" s="4">
        <f t="shared" si="6"/>
        <v>0.94584787155511363</v>
      </c>
      <c r="AA21" s="4">
        <f t="shared" si="6"/>
        <v>0.92370360150141495</v>
      </c>
      <c r="AB21" s="4">
        <f t="shared" si="6"/>
        <v>0.89334463567658451</v>
      </c>
      <c r="AC21" s="4">
        <f t="shared" si="6"/>
        <v>0.85254543874327005</v>
      </c>
      <c r="AD21" s="4">
        <f t="shared" si="6"/>
        <v>0.79921300652623883</v>
      </c>
      <c r="AE21" s="4">
        <f t="shared" si="6"/>
        <v>0.73204982249993378</v>
      </c>
      <c r="AF21" s="4">
        <f t="shared" si="6"/>
        <v>0.65145592958786691</v>
      </c>
      <c r="AG21" s="4">
        <f t="shared" si="6"/>
        <v>0.56032247880849573</v>
      </c>
      <c r="AH21" s="4">
        <f t="shared" si="6"/>
        <v>0.46411326873185343</v>
      </c>
      <c r="AI21" s="4">
        <f t="shared" si="6"/>
        <v>0.36979727595523937</v>
      </c>
      <c r="AJ21" s="4">
        <f t="shared" si="6"/>
        <v>0.28393948637231203</v>
      </c>
      <c r="AK21" s="4">
        <f t="shared" si="6"/>
        <v>0.21097259161117732</v>
      </c>
      <c r="AL21" s="4">
        <f t="shared" si="6"/>
        <v>0.15253917653798199</v>
      </c>
      <c r="AM21" s="4">
        <f t="shared" si="6"/>
        <v>0.10795188737709993</v>
      </c>
      <c r="AN21" s="4">
        <f t="shared" si="6"/>
        <v>7.5176653938091809E-2</v>
      </c>
      <c r="AO21" s="4">
        <f t="shared" si="6"/>
        <v>5.1742836177502194E-2</v>
      </c>
      <c r="AP21" s="4">
        <f t="shared" si="6"/>
        <v>3.5319190625345942E-2</v>
      </c>
      <c r="AQ21" s="4">
        <f t="shared" si="6"/>
        <v>2.3969442072658165E-2</v>
      </c>
      <c r="AR21" s="4">
        <f t="shared" si="6"/>
        <v>1.6202243558389728E-2</v>
      </c>
      <c r="AT21" s="85"/>
      <c r="AU21" s="80"/>
      <c r="AV21" s="80"/>
      <c r="AW21" s="80"/>
      <c r="AX21" s="80"/>
      <c r="AY21" s="80"/>
      <c r="AZ21" s="80"/>
      <c r="BA21" s="86"/>
    </row>
    <row r="22" spans="1:53" x14ac:dyDescent="0.25">
      <c r="A22" s="24" t="s">
        <v>41</v>
      </c>
      <c r="B22" s="43">
        <f>'Parameter Input'!$L$93</f>
        <v>20</v>
      </c>
      <c r="C22" s="44">
        <f>'Parameter Input'!$M$93</f>
        <v>20</v>
      </c>
      <c r="D22" s="1" t="s">
        <v>42</v>
      </c>
      <c r="L22" s="54">
        <f>'Parameter Input'!$O$93</f>
        <v>12</v>
      </c>
      <c r="M22" s="37">
        <v>0</v>
      </c>
      <c r="N22" s="37">
        <v>1</v>
      </c>
      <c r="O22" s="37">
        <f>'Parameter Input'!$P$93</f>
        <v>0.9</v>
      </c>
      <c r="P22" s="55">
        <f>'Parameter Input'!$Q$93</f>
        <v>0.4</v>
      </c>
      <c r="Q22" s="4">
        <f t="shared" ref="Q22:AF27" si="7">$N22+($M22-$N22)*((1/(1+EXP(-$P22*(Q$9-$L22)))^$O22))</f>
        <v>0.9867978615748374</v>
      </c>
      <c r="R22" s="4">
        <f t="shared" si="7"/>
        <v>0.98114509762858249</v>
      </c>
      <c r="S22" s="4">
        <f t="shared" si="7"/>
        <v>0.97311898315872036</v>
      </c>
      <c r="T22" s="4">
        <f t="shared" si="7"/>
        <v>0.96177484161592774</v>
      </c>
      <c r="U22" s="4">
        <f t="shared" si="7"/>
        <v>0.94584787155511363</v>
      </c>
      <c r="V22" s="4">
        <f t="shared" si="7"/>
        <v>0.92370360150141495</v>
      </c>
      <c r="W22" s="4">
        <f t="shared" si="7"/>
        <v>0.89334463567658451</v>
      </c>
      <c r="X22" s="4">
        <f t="shared" si="7"/>
        <v>0.85254543874327005</v>
      </c>
      <c r="Y22" s="4">
        <f t="shared" si="7"/>
        <v>0.79921300652623883</v>
      </c>
      <c r="Z22" s="4">
        <f t="shared" si="7"/>
        <v>0.73204982249993378</v>
      </c>
      <c r="AA22" s="4">
        <f t="shared" si="7"/>
        <v>0.65145592958786691</v>
      </c>
      <c r="AB22" s="4">
        <f t="shared" si="7"/>
        <v>0.56032247880849573</v>
      </c>
      <c r="AC22" s="4">
        <f t="shared" si="7"/>
        <v>0.46411326873185343</v>
      </c>
      <c r="AD22" s="4">
        <f t="shared" si="7"/>
        <v>0.36979727595523937</v>
      </c>
      <c r="AE22" s="4">
        <f t="shared" si="7"/>
        <v>0.28393948637231203</v>
      </c>
      <c r="AF22" s="4">
        <f t="shared" si="7"/>
        <v>0.21097259161117732</v>
      </c>
      <c r="AG22" s="4">
        <f t="shared" si="5"/>
        <v>0.15253917653798199</v>
      </c>
      <c r="AH22" s="4">
        <f t="shared" si="5"/>
        <v>0.10795188737709993</v>
      </c>
      <c r="AI22" s="4">
        <f t="shared" si="5"/>
        <v>7.5176653938091809E-2</v>
      </c>
      <c r="AJ22" s="4">
        <f t="shared" si="5"/>
        <v>5.1742836177502194E-2</v>
      </c>
      <c r="AK22" s="4">
        <f t="shared" si="5"/>
        <v>3.5319190625345942E-2</v>
      </c>
      <c r="AL22" s="4">
        <f t="shared" si="5"/>
        <v>2.3969442072658165E-2</v>
      </c>
      <c r="AM22" s="4">
        <f t="shared" si="5"/>
        <v>1.6202243558389728E-2</v>
      </c>
      <c r="AN22" s="4">
        <f t="shared" si="5"/>
        <v>1.0922240564108399E-2</v>
      </c>
      <c r="AO22" s="4">
        <f t="shared" si="5"/>
        <v>7.3493212906090566E-3</v>
      </c>
      <c r="AP22" s="4">
        <f t="shared" si="5"/>
        <v>4.9390262185057265E-3</v>
      </c>
      <c r="AQ22" s="4">
        <f t="shared" si="5"/>
        <v>3.3164275492956197E-3</v>
      </c>
      <c r="AR22" s="4">
        <f t="shared" si="5"/>
        <v>2.2256362146679809E-3</v>
      </c>
      <c r="AT22" s="85" t="str">
        <f t="shared" ref="AT22:AW23" si="8">A13</f>
        <v>Capex costumization</v>
      </c>
      <c r="AU22" s="81">
        <f t="shared" si="8"/>
        <v>4200000</v>
      </c>
      <c r="AV22" s="81">
        <f t="shared" si="8"/>
        <v>4200000</v>
      </c>
      <c r="AW22" s="81" t="str">
        <f t="shared" si="8"/>
        <v>[€]</v>
      </c>
      <c r="AX22" s="80">
        <f>L13</f>
        <v>12</v>
      </c>
      <c r="AY22" s="80">
        <f>O13</f>
        <v>0.9</v>
      </c>
      <c r="AZ22" s="80">
        <f>P13</f>
        <v>0.4</v>
      </c>
      <c r="BA22" s="86"/>
    </row>
    <row r="23" spans="1:53" x14ac:dyDescent="0.25">
      <c r="A23" s="24" t="s">
        <v>70</v>
      </c>
      <c r="B23" s="43">
        <f>'Parameter Input'!B97</f>
        <v>30</v>
      </c>
      <c r="C23" s="44">
        <f>'Parameter Input'!C97</f>
        <v>30</v>
      </c>
      <c r="D23" s="1" t="s">
        <v>42</v>
      </c>
      <c r="L23" s="54">
        <f>'Parameter Input'!E97</f>
        <v>12</v>
      </c>
      <c r="M23" s="37">
        <v>0</v>
      </c>
      <c r="N23" s="37">
        <v>1</v>
      </c>
      <c r="O23" s="37">
        <f>'Parameter Input'!F97</f>
        <v>0.9</v>
      </c>
      <c r="P23" s="55">
        <f>'Parameter Input'!G97</f>
        <v>0.4</v>
      </c>
      <c r="Q23" s="4">
        <f t="shared" si="7"/>
        <v>0.9867978615748374</v>
      </c>
      <c r="R23" s="4">
        <f t="shared" si="7"/>
        <v>0.98114509762858249</v>
      </c>
      <c r="S23" s="4">
        <f t="shared" si="7"/>
        <v>0.97311898315872036</v>
      </c>
      <c r="T23" s="4">
        <f t="shared" si="7"/>
        <v>0.96177484161592774</v>
      </c>
      <c r="U23" s="4">
        <f t="shared" si="7"/>
        <v>0.94584787155511363</v>
      </c>
      <c r="V23" s="4">
        <f t="shared" si="7"/>
        <v>0.92370360150141495</v>
      </c>
      <c r="W23" s="4">
        <f t="shared" si="7"/>
        <v>0.89334463567658451</v>
      </c>
      <c r="X23" s="4">
        <f t="shared" si="7"/>
        <v>0.85254543874327005</v>
      </c>
      <c r="Y23" s="4">
        <f t="shared" si="7"/>
        <v>0.79921300652623883</v>
      </c>
      <c r="Z23" s="4">
        <f t="shared" si="7"/>
        <v>0.73204982249993378</v>
      </c>
      <c r="AA23" s="4">
        <f t="shared" si="7"/>
        <v>0.65145592958786691</v>
      </c>
      <c r="AB23" s="4">
        <f t="shared" si="7"/>
        <v>0.56032247880849573</v>
      </c>
      <c r="AC23" s="4">
        <f t="shared" si="7"/>
        <v>0.46411326873185343</v>
      </c>
      <c r="AD23" s="4">
        <f t="shared" si="7"/>
        <v>0.36979727595523937</v>
      </c>
      <c r="AE23" s="4">
        <f t="shared" si="7"/>
        <v>0.28393948637231203</v>
      </c>
      <c r="AF23" s="4">
        <f t="shared" si="7"/>
        <v>0.21097259161117732</v>
      </c>
      <c r="AG23" s="4">
        <f t="shared" si="5"/>
        <v>0.15253917653798199</v>
      </c>
      <c r="AH23" s="4">
        <f t="shared" si="5"/>
        <v>0.10795188737709993</v>
      </c>
      <c r="AI23" s="4">
        <f t="shared" si="5"/>
        <v>7.5176653938091809E-2</v>
      </c>
      <c r="AJ23" s="4">
        <f t="shared" si="5"/>
        <v>5.1742836177502194E-2</v>
      </c>
      <c r="AK23" s="4">
        <f t="shared" si="5"/>
        <v>3.5319190625345942E-2</v>
      </c>
      <c r="AL23" s="4">
        <f t="shared" si="5"/>
        <v>2.3969442072658165E-2</v>
      </c>
      <c r="AM23" s="4">
        <f t="shared" si="5"/>
        <v>1.6202243558389728E-2</v>
      </c>
      <c r="AN23" s="4">
        <f t="shared" si="5"/>
        <v>1.0922240564108399E-2</v>
      </c>
      <c r="AO23" s="4">
        <f t="shared" si="5"/>
        <v>7.3493212906090566E-3</v>
      </c>
      <c r="AP23" s="4">
        <f t="shared" si="5"/>
        <v>4.9390262185057265E-3</v>
      </c>
      <c r="AQ23" s="4">
        <f t="shared" si="5"/>
        <v>3.3164275492956197E-3</v>
      </c>
      <c r="AR23" s="4">
        <f t="shared" si="5"/>
        <v>2.2256362146679809E-3</v>
      </c>
      <c r="AT23" s="85" t="str">
        <f t="shared" si="8"/>
        <v>Residual value (costumization)</v>
      </c>
      <c r="AU23" s="81">
        <f t="shared" si="8"/>
        <v>-210000</v>
      </c>
      <c r="AV23" s="81">
        <f t="shared" si="8"/>
        <v>-210000</v>
      </c>
      <c r="AW23" s="81" t="str">
        <f t="shared" si="8"/>
        <v>[€]</v>
      </c>
      <c r="AX23" s="80">
        <f>L14</f>
        <v>12</v>
      </c>
      <c r="AY23" s="80">
        <f>O14</f>
        <v>0.9</v>
      </c>
      <c r="AZ23" s="80">
        <f>P14</f>
        <v>0.4</v>
      </c>
      <c r="BA23" s="86"/>
    </row>
    <row r="24" spans="1:53" x14ac:dyDescent="0.25">
      <c r="A24" s="24" t="s">
        <v>48</v>
      </c>
      <c r="B24" s="70">
        <f>'Parameter Input'!B94</f>
        <v>2240</v>
      </c>
      <c r="C24" s="71">
        <f>'Parameter Input'!C94</f>
        <v>2240</v>
      </c>
      <c r="D24" s="1" t="s">
        <v>49</v>
      </c>
      <c r="L24" s="54">
        <f>'Parameter Input'!E94</f>
        <v>12</v>
      </c>
      <c r="M24" s="37">
        <v>0</v>
      </c>
      <c r="N24" s="37">
        <v>1</v>
      </c>
      <c r="O24" s="37">
        <f>'Parameter Input'!F94</f>
        <v>0.9</v>
      </c>
      <c r="P24" s="55">
        <f>'Parameter Input'!G94</f>
        <v>0.4</v>
      </c>
      <c r="Q24" s="4">
        <f t="shared" si="7"/>
        <v>0.9867978615748374</v>
      </c>
      <c r="R24" s="4">
        <f t="shared" si="7"/>
        <v>0.98114509762858249</v>
      </c>
      <c r="S24" s="4">
        <f t="shared" si="7"/>
        <v>0.97311898315872036</v>
      </c>
      <c r="T24" s="4">
        <f t="shared" si="7"/>
        <v>0.96177484161592774</v>
      </c>
      <c r="U24" s="4">
        <f t="shared" si="7"/>
        <v>0.94584787155511363</v>
      </c>
      <c r="V24" s="4">
        <f t="shared" si="7"/>
        <v>0.92370360150141495</v>
      </c>
      <c r="W24" s="4">
        <f t="shared" si="7"/>
        <v>0.89334463567658451</v>
      </c>
      <c r="X24" s="4">
        <f t="shared" si="7"/>
        <v>0.85254543874327005</v>
      </c>
      <c r="Y24" s="4">
        <f t="shared" si="7"/>
        <v>0.79921300652623883</v>
      </c>
      <c r="Z24" s="4">
        <f t="shared" si="7"/>
        <v>0.73204982249993378</v>
      </c>
      <c r="AA24" s="4">
        <f t="shared" si="7"/>
        <v>0.65145592958786691</v>
      </c>
      <c r="AB24" s="4">
        <f t="shared" si="7"/>
        <v>0.56032247880849573</v>
      </c>
      <c r="AC24" s="4">
        <f t="shared" si="7"/>
        <v>0.46411326873185343</v>
      </c>
      <c r="AD24" s="4">
        <f t="shared" si="7"/>
        <v>0.36979727595523937</v>
      </c>
      <c r="AE24" s="4">
        <f t="shared" si="7"/>
        <v>0.28393948637231203</v>
      </c>
      <c r="AF24" s="4">
        <f t="shared" si="7"/>
        <v>0.21097259161117732</v>
      </c>
      <c r="AG24" s="4">
        <f t="shared" si="5"/>
        <v>0.15253917653798199</v>
      </c>
      <c r="AH24" s="4">
        <f t="shared" si="5"/>
        <v>0.10795188737709993</v>
      </c>
      <c r="AI24" s="4">
        <f t="shared" si="5"/>
        <v>7.5176653938091809E-2</v>
      </c>
      <c r="AJ24" s="4">
        <f t="shared" si="5"/>
        <v>5.1742836177502194E-2</v>
      </c>
      <c r="AK24" s="4">
        <f t="shared" si="5"/>
        <v>3.5319190625345942E-2</v>
      </c>
      <c r="AL24" s="4">
        <f t="shared" si="5"/>
        <v>2.3969442072658165E-2</v>
      </c>
      <c r="AM24" s="4">
        <f t="shared" si="5"/>
        <v>1.6202243558389728E-2</v>
      </c>
      <c r="AN24" s="4">
        <f t="shared" si="5"/>
        <v>1.0922240564108399E-2</v>
      </c>
      <c r="AO24" s="4">
        <f t="shared" si="5"/>
        <v>7.3493212906090566E-3</v>
      </c>
      <c r="AP24" s="4">
        <f t="shared" si="5"/>
        <v>4.9390262185057265E-3</v>
      </c>
      <c r="AQ24" s="4">
        <f t="shared" si="5"/>
        <v>3.3164275492956197E-3</v>
      </c>
      <c r="AR24" s="4">
        <f t="shared" si="5"/>
        <v>2.2256362146679809E-3</v>
      </c>
      <c r="AT24" s="85" t="str">
        <f t="shared" ref="AT24:AW27" si="9">A24</f>
        <v xml:space="preserve">Tonnage </v>
      </c>
      <c r="AU24" s="81">
        <f t="shared" si="9"/>
        <v>2240</v>
      </c>
      <c r="AV24" s="81">
        <f t="shared" si="9"/>
        <v>2240</v>
      </c>
      <c r="AW24" s="81" t="str">
        <f t="shared" si="9"/>
        <v>[t]</v>
      </c>
      <c r="AX24" s="80">
        <f>L24</f>
        <v>12</v>
      </c>
      <c r="AY24" s="80">
        <f t="shared" ref="AY24:AZ27" si="10">O24</f>
        <v>0.9</v>
      </c>
      <c r="AZ24" s="80">
        <f t="shared" si="10"/>
        <v>0.4</v>
      </c>
      <c r="BA24" s="86"/>
    </row>
    <row r="25" spans="1:53" x14ac:dyDescent="0.25">
      <c r="A25" s="24" t="s">
        <v>56</v>
      </c>
      <c r="B25" s="72">
        <f>'Parameter Input'!B95</f>
        <v>0.64</v>
      </c>
      <c r="C25" s="73">
        <f>'Parameter Input'!C95</f>
        <v>0.64</v>
      </c>
      <c r="D25" s="1" t="s">
        <v>57</v>
      </c>
      <c r="L25" s="54">
        <f>'Parameter Input'!E95</f>
        <v>12</v>
      </c>
      <c r="M25" s="37">
        <v>0</v>
      </c>
      <c r="N25" s="37">
        <v>1</v>
      </c>
      <c r="O25" s="37">
        <f>'Parameter Input'!F95</f>
        <v>0.9</v>
      </c>
      <c r="P25" s="55">
        <f>'Parameter Input'!G95</f>
        <v>0.4</v>
      </c>
      <c r="Q25" s="4">
        <f t="shared" si="7"/>
        <v>0.9867978615748374</v>
      </c>
      <c r="R25" s="4">
        <f t="shared" si="7"/>
        <v>0.98114509762858249</v>
      </c>
      <c r="S25" s="4">
        <f t="shared" si="7"/>
        <v>0.97311898315872036</v>
      </c>
      <c r="T25" s="4">
        <f t="shared" si="7"/>
        <v>0.96177484161592774</v>
      </c>
      <c r="U25" s="4">
        <f t="shared" si="7"/>
        <v>0.94584787155511363</v>
      </c>
      <c r="V25" s="4">
        <f t="shared" si="7"/>
        <v>0.92370360150141495</v>
      </c>
      <c r="W25" s="4">
        <f t="shared" si="7"/>
        <v>0.89334463567658451</v>
      </c>
      <c r="X25" s="4">
        <f t="shared" si="7"/>
        <v>0.85254543874327005</v>
      </c>
      <c r="Y25" s="4">
        <f t="shared" si="7"/>
        <v>0.79921300652623883</v>
      </c>
      <c r="Z25" s="4">
        <f t="shared" si="7"/>
        <v>0.73204982249993378</v>
      </c>
      <c r="AA25" s="4">
        <f t="shared" si="7"/>
        <v>0.65145592958786691</v>
      </c>
      <c r="AB25" s="4">
        <f t="shared" si="7"/>
        <v>0.56032247880849573</v>
      </c>
      <c r="AC25" s="4">
        <f t="shared" si="7"/>
        <v>0.46411326873185343</v>
      </c>
      <c r="AD25" s="4">
        <f t="shared" si="7"/>
        <v>0.36979727595523937</v>
      </c>
      <c r="AE25" s="4">
        <f t="shared" si="7"/>
        <v>0.28393948637231203</v>
      </c>
      <c r="AF25" s="4">
        <f t="shared" si="7"/>
        <v>0.21097259161117732</v>
      </c>
      <c r="AG25" s="4">
        <f t="shared" si="5"/>
        <v>0.15253917653798199</v>
      </c>
      <c r="AH25" s="4">
        <f t="shared" si="5"/>
        <v>0.10795188737709993</v>
      </c>
      <c r="AI25" s="4">
        <f t="shared" si="5"/>
        <v>7.5176653938091809E-2</v>
      </c>
      <c r="AJ25" s="4">
        <f t="shared" si="5"/>
        <v>5.1742836177502194E-2</v>
      </c>
      <c r="AK25" s="4">
        <f t="shared" si="5"/>
        <v>3.5319190625345942E-2</v>
      </c>
      <c r="AL25" s="4">
        <f t="shared" si="5"/>
        <v>2.3969442072658165E-2</v>
      </c>
      <c r="AM25" s="4">
        <f t="shared" si="5"/>
        <v>1.6202243558389728E-2</v>
      </c>
      <c r="AN25" s="4">
        <f t="shared" si="5"/>
        <v>1.0922240564108399E-2</v>
      </c>
      <c r="AO25" s="4">
        <f t="shared" si="5"/>
        <v>7.3493212906090566E-3</v>
      </c>
      <c r="AP25" s="4">
        <f t="shared" si="5"/>
        <v>4.9390262185057265E-3</v>
      </c>
      <c r="AQ25" s="4">
        <f t="shared" si="5"/>
        <v>3.3164275492956197E-3</v>
      </c>
      <c r="AR25" s="4">
        <f t="shared" si="5"/>
        <v>2.2256362146679809E-3</v>
      </c>
      <c r="AT25" s="85" t="str">
        <f t="shared" si="9"/>
        <v>Market failure (av. utilization)</v>
      </c>
      <c r="AU25" s="81">
        <f t="shared" si="9"/>
        <v>0.64</v>
      </c>
      <c r="AV25" s="81">
        <f t="shared" si="9"/>
        <v>0.64</v>
      </c>
      <c r="AW25" s="81" t="str">
        <f t="shared" si="9"/>
        <v>[%]</v>
      </c>
      <c r="AX25" s="80">
        <f>L25</f>
        <v>12</v>
      </c>
      <c r="AY25" s="80">
        <f t="shared" si="10"/>
        <v>0.9</v>
      </c>
      <c r="AZ25" s="80">
        <f t="shared" si="10"/>
        <v>0.4</v>
      </c>
      <c r="BA25" s="86"/>
    </row>
    <row r="26" spans="1:53" x14ac:dyDescent="0.25">
      <c r="A26" s="24" t="s">
        <v>73</v>
      </c>
      <c r="B26" s="72">
        <f>'Parameter Input'!$L$97</f>
        <v>0</v>
      </c>
      <c r="C26" s="73">
        <f>'Parameter Input'!$M$97</f>
        <v>0</v>
      </c>
      <c r="D26" s="1" t="s">
        <v>57</v>
      </c>
      <c r="L26" s="54">
        <f>'Parameter Input'!$O$97</f>
        <v>12</v>
      </c>
      <c r="M26" s="37">
        <v>0</v>
      </c>
      <c r="N26" s="37">
        <v>1</v>
      </c>
      <c r="O26" s="37">
        <f>'Parameter Input'!$P$97</f>
        <v>0.9</v>
      </c>
      <c r="P26" s="55">
        <f>'Parameter Input'!$Q$97</f>
        <v>0.4</v>
      </c>
      <c r="Q26" s="4">
        <f t="shared" si="7"/>
        <v>0.9867978615748374</v>
      </c>
      <c r="R26" s="4">
        <f t="shared" si="7"/>
        <v>0.98114509762858249</v>
      </c>
      <c r="S26" s="4">
        <f t="shared" si="7"/>
        <v>0.97311898315872036</v>
      </c>
      <c r="T26" s="4">
        <f t="shared" si="7"/>
        <v>0.96177484161592774</v>
      </c>
      <c r="U26" s="4">
        <f t="shared" si="7"/>
        <v>0.94584787155511363</v>
      </c>
      <c r="V26" s="4">
        <f t="shared" si="7"/>
        <v>0.92370360150141495</v>
      </c>
      <c r="W26" s="4">
        <f t="shared" si="7"/>
        <v>0.89334463567658451</v>
      </c>
      <c r="X26" s="4">
        <f t="shared" si="7"/>
        <v>0.85254543874327005</v>
      </c>
      <c r="Y26" s="4">
        <f t="shared" si="7"/>
        <v>0.79921300652623883</v>
      </c>
      <c r="Z26" s="4">
        <f t="shared" si="7"/>
        <v>0.73204982249993378</v>
      </c>
      <c r="AA26" s="4">
        <f t="shared" si="7"/>
        <v>0.65145592958786691</v>
      </c>
      <c r="AB26" s="4">
        <f t="shared" si="7"/>
        <v>0.56032247880849573</v>
      </c>
      <c r="AC26" s="4">
        <f t="shared" si="7"/>
        <v>0.46411326873185343</v>
      </c>
      <c r="AD26" s="4">
        <f t="shared" si="7"/>
        <v>0.36979727595523937</v>
      </c>
      <c r="AE26" s="4">
        <f t="shared" si="7"/>
        <v>0.28393948637231203</v>
      </c>
      <c r="AF26" s="4">
        <f t="shared" si="7"/>
        <v>0.21097259161117732</v>
      </c>
      <c r="AG26" s="4">
        <f t="shared" si="5"/>
        <v>0.15253917653798199</v>
      </c>
      <c r="AH26" s="4">
        <f t="shared" si="5"/>
        <v>0.10795188737709993</v>
      </c>
      <c r="AI26" s="4">
        <f t="shared" si="5"/>
        <v>7.5176653938091809E-2</v>
      </c>
      <c r="AJ26" s="4">
        <f t="shared" si="5"/>
        <v>5.1742836177502194E-2</v>
      </c>
      <c r="AK26" s="4">
        <f t="shared" si="5"/>
        <v>3.5319190625345942E-2</v>
      </c>
      <c r="AL26" s="4">
        <f t="shared" si="5"/>
        <v>2.3969442072658165E-2</v>
      </c>
      <c r="AM26" s="4">
        <f t="shared" si="5"/>
        <v>1.6202243558389728E-2</v>
      </c>
      <c r="AN26" s="4">
        <f t="shared" si="5"/>
        <v>1.0922240564108399E-2</v>
      </c>
      <c r="AO26" s="4">
        <f t="shared" si="5"/>
        <v>7.3493212906090566E-3</v>
      </c>
      <c r="AP26" s="4">
        <f t="shared" si="5"/>
        <v>4.9390262185057265E-3</v>
      </c>
      <c r="AQ26" s="4">
        <f t="shared" si="5"/>
        <v>3.3164275492956197E-3</v>
      </c>
      <c r="AR26" s="4">
        <f t="shared" si="5"/>
        <v>2.2256362146679809E-3</v>
      </c>
      <c r="AT26" s="85" t="str">
        <f t="shared" si="9"/>
        <v>Payload loss (fuel)</v>
      </c>
      <c r="AU26" s="81">
        <f t="shared" si="9"/>
        <v>0</v>
      </c>
      <c r="AV26" s="81">
        <f t="shared" si="9"/>
        <v>0</v>
      </c>
      <c r="AW26" s="81" t="str">
        <f t="shared" si="9"/>
        <v>[%]</v>
      </c>
      <c r="AX26" s="80">
        <f>L26</f>
        <v>12</v>
      </c>
      <c r="AY26" s="80">
        <f t="shared" si="10"/>
        <v>0.9</v>
      </c>
      <c r="AZ26" s="80">
        <f t="shared" si="10"/>
        <v>0.4</v>
      </c>
      <c r="BA26" s="86"/>
    </row>
    <row r="27" spans="1:53" ht="15.75" thickBot="1" x14ac:dyDescent="0.3">
      <c r="A27" s="24" t="s">
        <v>64</v>
      </c>
      <c r="B27" s="74">
        <f>'Parameter Input'!B96</f>
        <v>178500</v>
      </c>
      <c r="C27" s="75">
        <f>'Parameter Input'!C96</f>
        <v>178500</v>
      </c>
      <c r="D27" s="1" t="s">
        <v>65</v>
      </c>
      <c r="L27" s="56">
        <f>'Parameter Input'!E96</f>
        <v>12</v>
      </c>
      <c r="M27" s="57">
        <v>0</v>
      </c>
      <c r="N27" s="57">
        <v>1</v>
      </c>
      <c r="O27" s="57">
        <f>'Parameter Input'!F96</f>
        <v>0.9</v>
      </c>
      <c r="P27" s="58">
        <f>'Parameter Input'!G96</f>
        <v>0.4</v>
      </c>
      <c r="Q27" s="4">
        <f t="shared" si="7"/>
        <v>0.9867978615748374</v>
      </c>
      <c r="R27" s="4">
        <f t="shared" si="7"/>
        <v>0.98114509762858249</v>
      </c>
      <c r="S27" s="4">
        <f t="shared" si="7"/>
        <v>0.97311898315872036</v>
      </c>
      <c r="T27" s="4">
        <f t="shared" si="7"/>
        <v>0.96177484161592774</v>
      </c>
      <c r="U27" s="4">
        <f t="shared" si="7"/>
        <v>0.94584787155511363</v>
      </c>
      <c r="V27" s="4">
        <f t="shared" si="7"/>
        <v>0.92370360150141495</v>
      </c>
      <c r="W27" s="4">
        <f t="shared" si="7"/>
        <v>0.89334463567658451</v>
      </c>
      <c r="X27" s="4">
        <f t="shared" si="7"/>
        <v>0.85254543874327005</v>
      </c>
      <c r="Y27" s="4">
        <f t="shared" si="7"/>
        <v>0.79921300652623883</v>
      </c>
      <c r="Z27" s="4">
        <f t="shared" si="7"/>
        <v>0.73204982249993378</v>
      </c>
      <c r="AA27" s="4">
        <f t="shared" si="7"/>
        <v>0.65145592958786691</v>
      </c>
      <c r="AB27" s="4">
        <f t="shared" si="7"/>
        <v>0.56032247880849573</v>
      </c>
      <c r="AC27" s="4">
        <f t="shared" si="7"/>
        <v>0.46411326873185343</v>
      </c>
      <c r="AD27" s="4">
        <f t="shared" si="7"/>
        <v>0.36979727595523937</v>
      </c>
      <c r="AE27" s="4">
        <f t="shared" si="7"/>
        <v>0.28393948637231203</v>
      </c>
      <c r="AF27" s="4">
        <f t="shared" si="7"/>
        <v>0.21097259161117732</v>
      </c>
      <c r="AG27" s="4">
        <f t="shared" si="5"/>
        <v>0.15253917653798199</v>
      </c>
      <c r="AH27" s="4">
        <f t="shared" si="5"/>
        <v>0.10795188737709993</v>
      </c>
      <c r="AI27" s="4">
        <f t="shared" si="5"/>
        <v>7.5176653938091809E-2</v>
      </c>
      <c r="AJ27" s="4">
        <f t="shared" si="5"/>
        <v>5.1742836177502194E-2</v>
      </c>
      <c r="AK27" s="4">
        <f t="shared" si="5"/>
        <v>3.5319190625345942E-2</v>
      </c>
      <c r="AL27" s="4">
        <f t="shared" si="5"/>
        <v>2.3969442072658165E-2</v>
      </c>
      <c r="AM27" s="4">
        <f t="shared" si="5"/>
        <v>1.6202243558389728E-2</v>
      </c>
      <c r="AN27" s="4">
        <f t="shared" si="5"/>
        <v>1.0922240564108399E-2</v>
      </c>
      <c r="AO27" s="4">
        <f t="shared" si="5"/>
        <v>7.3493212906090566E-3</v>
      </c>
      <c r="AP27" s="4">
        <f t="shared" si="5"/>
        <v>4.9390262185057265E-3</v>
      </c>
      <c r="AQ27" s="4">
        <f t="shared" si="5"/>
        <v>3.3164275492956197E-3</v>
      </c>
      <c r="AR27" s="4">
        <f t="shared" si="5"/>
        <v>2.2256362146679809E-3</v>
      </c>
      <c r="AT27" s="87" t="str">
        <f t="shared" si="9"/>
        <v>Annual Mileage</v>
      </c>
      <c r="AU27" s="88">
        <f t="shared" si="9"/>
        <v>178500</v>
      </c>
      <c r="AV27" s="88">
        <f t="shared" si="9"/>
        <v>178500</v>
      </c>
      <c r="AW27" s="88" t="str">
        <f t="shared" si="9"/>
        <v>[km/a]</v>
      </c>
      <c r="AX27" s="89">
        <f>L27</f>
        <v>12</v>
      </c>
      <c r="AY27" s="89">
        <f t="shared" si="10"/>
        <v>0.9</v>
      </c>
      <c r="AZ27" s="89">
        <f t="shared" si="10"/>
        <v>0.4</v>
      </c>
      <c r="BA27" s="90"/>
    </row>
    <row r="28" spans="1:53" ht="15.75" thickBot="1" x14ac:dyDescent="0.3">
      <c r="A28" s="25"/>
      <c r="B28" s="40"/>
    </row>
    <row r="29" spans="1:53" ht="15.75" thickBot="1" x14ac:dyDescent="0.3">
      <c r="AT29" s="82" t="str">
        <f>A1</f>
        <v>Railway long-haul: Dry bulk</v>
      </c>
      <c r="AU29" s="83"/>
      <c r="AV29" s="83"/>
      <c r="AW29" s="83"/>
      <c r="AX29" s="83">
        <f>U9</f>
        <v>4</v>
      </c>
      <c r="AY29" s="83"/>
      <c r="AZ29" s="83"/>
      <c r="BA29" s="84" t="s">
        <v>3</v>
      </c>
    </row>
    <row r="30" spans="1:53"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c r="AT30" s="85" t="str">
        <f>A2</f>
        <v>Diesel</v>
      </c>
      <c r="AU30" s="80">
        <f>B9</f>
        <v>2023</v>
      </c>
      <c r="AV30" s="80">
        <f>C9</f>
        <v>2050</v>
      </c>
      <c r="AW30" s="80" t="str">
        <f>D10</f>
        <v>Unit</v>
      </c>
      <c r="AX30" s="80" t="str">
        <f>L10</f>
        <v>midway</v>
      </c>
      <c r="AY30" s="80" t="str">
        <f>O10</f>
        <v>a</v>
      </c>
      <c r="AZ30" s="80" t="str">
        <f>P10</f>
        <v>k</v>
      </c>
      <c r="BA30" s="86"/>
    </row>
    <row r="31" spans="1:53" x14ac:dyDescent="0.25">
      <c r="A31" s="29" t="str">
        <f t="shared" ref="A31:A45" si="11">A11</f>
        <v>Capex vehicle</v>
      </c>
      <c r="B31" s="62">
        <f t="shared" ref="B31:B39" si="12">$B11+($C11-$B11)*(1-Q11)</f>
        <v>3500000</v>
      </c>
      <c r="C31" s="62">
        <f t="shared" ref="C31:C39" si="13">$B11+($C11-$B11)*(1-R11)</f>
        <v>3500000</v>
      </c>
      <c r="D31" s="62">
        <f t="shared" ref="D31:D39" si="14">$B11+($C11-$B11)*(1-S11)</f>
        <v>3500000</v>
      </c>
      <c r="E31" s="62">
        <f t="shared" ref="E31:E39" si="15">$B11+($C11-$B11)*(1-T11)</f>
        <v>3500000</v>
      </c>
      <c r="F31" s="62">
        <f t="shared" ref="F31:F39" si="16">$B11+($C11-$B11)*(1-U11)</f>
        <v>3500000</v>
      </c>
      <c r="G31" s="62">
        <f t="shared" ref="G31:G39" si="17">$B11+($C11-$B11)*(1-V11)</f>
        <v>3500000</v>
      </c>
      <c r="H31" s="62">
        <f t="shared" ref="H31:H39" si="18">$B11+($C11-$B11)*(1-W11)</f>
        <v>3500000</v>
      </c>
      <c r="I31" s="62">
        <f t="shared" ref="I31:I39" si="19">$B11+($C11-$B11)*(1-X11)</f>
        <v>3500000</v>
      </c>
      <c r="J31" s="62">
        <f t="shared" ref="J31:J39" si="20">$B11+($C11-$B11)*(1-Y11)</f>
        <v>3500000</v>
      </c>
      <c r="K31" s="62">
        <f t="shared" ref="K31:K39" si="21">$B11+($C11-$B11)*(1-Z11)</f>
        <v>3500000</v>
      </c>
      <c r="L31" s="62">
        <f t="shared" ref="L31:L39" si="22">$B11+($C11-$B11)*(1-AA11)</f>
        <v>3500000</v>
      </c>
      <c r="M31" s="62">
        <f t="shared" ref="M31:M39" si="23">$B11+($C11-$B11)*(1-AB11)</f>
        <v>3500000</v>
      </c>
      <c r="N31" s="62">
        <f t="shared" ref="N31:N39" si="24">$B11+($C11-$B11)*(1-AC11)</f>
        <v>3500000</v>
      </c>
      <c r="O31" s="62">
        <f t="shared" ref="O31:O39" si="25">$B11+($C11-$B11)*(1-AD11)</f>
        <v>3500000</v>
      </c>
      <c r="P31" s="62">
        <f t="shared" ref="P31:P39" si="26">$B11+($C11-$B11)*(1-AE11)</f>
        <v>3500000</v>
      </c>
      <c r="Q31" s="62">
        <f t="shared" ref="Q31:Q39" si="27">$B11+($C11-$B11)*(1-AF11)</f>
        <v>3500000</v>
      </c>
      <c r="R31" s="62">
        <f t="shared" ref="R31:R39" si="28">$B11+($C11-$B11)*(1-AG11)</f>
        <v>3500000</v>
      </c>
      <c r="S31" s="62">
        <f t="shared" ref="S31:S39" si="29">$B11+($C11-$B11)*(1-AH11)</f>
        <v>3500000</v>
      </c>
      <c r="T31" s="62">
        <f t="shared" ref="T31:T39" si="30">$B11+($C11-$B11)*(1-AI11)</f>
        <v>3500000</v>
      </c>
      <c r="U31" s="62">
        <f t="shared" ref="U31:U39" si="31">$B11+($C11-$B11)*(1-AJ11)</f>
        <v>3500000</v>
      </c>
      <c r="V31" s="62">
        <f t="shared" ref="V31:V39" si="32">$B11+($C11-$B11)*(1-AK11)</f>
        <v>3500000</v>
      </c>
      <c r="W31" s="62">
        <f t="shared" ref="W31:W39" si="33">$B11+($C11-$B11)*(1-AL11)</f>
        <v>3500000</v>
      </c>
      <c r="X31" s="62">
        <f t="shared" ref="X31:X39" si="34">$B11+($C11-$B11)*(1-AM11)</f>
        <v>3500000</v>
      </c>
      <c r="Y31" s="62">
        <f t="shared" ref="Y31:Y39" si="35">$B11+($C11-$B11)*(1-AN11)</f>
        <v>3500000</v>
      </c>
      <c r="Z31" s="62">
        <f t="shared" ref="Z31:Z39" si="36">$B11+($C11-$B11)*(1-AO11)</f>
        <v>3500000</v>
      </c>
      <c r="AA31" s="62">
        <f t="shared" ref="AA31:AA39" si="37">$B11+($C11-$B11)*(1-AP11)</f>
        <v>3500000</v>
      </c>
      <c r="AB31" s="62">
        <f t="shared" ref="AB31:AB39" si="38">$B11+($C11-$B11)*(1-AQ11)</f>
        <v>3500000</v>
      </c>
      <c r="AC31" s="62">
        <f t="shared" ref="AC31:AC39" si="39">$B11+($C11-$B11)*(1-AR11)</f>
        <v>3500000</v>
      </c>
      <c r="AT31" s="85" t="str">
        <f>A17</f>
        <v>Opex maintenance &amp; repair</v>
      </c>
      <c r="AU31" s="81">
        <f>B17</f>
        <v>1050000</v>
      </c>
      <c r="AV31" s="81">
        <f>C17</f>
        <v>1050000</v>
      </c>
      <c r="AW31" s="81" t="str">
        <f>D17</f>
        <v>[€/a]</v>
      </c>
      <c r="AX31" s="80">
        <f>L17</f>
        <v>12</v>
      </c>
      <c r="AY31" s="80">
        <f>O17</f>
        <v>0.9</v>
      </c>
      <c r="AZ31" s="80">
        <f>P17</f>
        <v>0.4</v>
      </c>
      <c r="BA31" s="86"/>
    </row>
    <row r="32" spans="1:53" x14ac:dyDescent="0.25">
      <c r="A32" s="30" t="str">
        <f t="shared" si="11"/>
        <v>Residual value (vehicle)</v>
      </c>
      <c r="B32" s="62">
        <f t="shared" si="12"/>
        <v>-520379.25155119307</v>
      </c>
      <c r="C32" s="62">
        <f t="shared" si="13"/>
        <v>-518400.78417000384</v>
      </c>
      <c r="D32" s="62">
        <f t="shared" si="14"/>
        <v>-515591.64410555211</v>
      </c>
      <c r="E32" s="62">
        <f t="shared" si="15"/>
        <v>-511621.1945655747</v>
      </c>
      <c r="F32" s="62">
        <f t="shared" si="16"/>
        <v>-506046.75504428975</v>
      </c>
      <c r="G32" s="62">
        <f t="shared" si="17"/>
        <v>-498296.26052549522</v>
      </c>
      <c r="H32" s="62">
        <f t="shared" si="18"/>
        <v>-487670.62248680455</v>
      </c>
      <c r="I32" s="62">
        <f t="shared" si="19"/>
        <v>-473390.90356014454</v>
      </c>
      <c r="J32" s="62">
        <f t="shared" si="20"/>
        <v>-454724.55228418356</v>
      </c>
      <c r="K32" s="62">
        <f t="shared" si="21"/>
        <v>-431217.43787497684</v>
      </c>
      <c r="L32" s="62">
        <f t="shared" si="22"/>
        <v>-403009.57535575342</v>
      </c>
      <c r="M32" s="62">
        <f t="shared" si="23"/>
        <v>-371112.8675829735</v>
      </c>
      <c r="N32" s="62">
        <f t="shared" si="24"/>
        <v>-337439.64405614871</v>
      </c>
      <c r="O32" s="62">
        <f t="shared" si="25"/>
        <v>-304429.04658433376</v>
      </c>
      <c r="P32" s="62">
        <f t="shared" si="26"/>
        <v>-274378.82023030921</v>
      </c>
      <c r="Q32" s="62">
        <f t="shared" si="27"/>
        <v>-248840.40706391208</v>
      </c>
      <c r="R32" s="62">
        <f t="shared" si="28"/>
        <v>-228388.71178829367</v>
      </c>
      <c r="S32" s="62">
        <f t="shared" si="29"/>
        <v>-212783.16058198496</v>
      </c>
      <c r="T32" s="62">
        <f t="shared" si="30"/>
        <v>-201311.8288783321</v>
      </c>
      <c r="U32" s="62">
        <f t="shared" si="31"/>
        <v>-193109.99266212579</v>
      </c>
      <c r="V32" s="62">
        <f t="shared" si="32"/>
        <v>-187361.71671887109</v>
      </c>
      <c r="W32" s="62">
        <f t="shared" si="33"/>
        <v>-183389.30472543038</v>
      </c>
      <c r="X32" s="62">
        <f t="shared" si="34"/>
        <v>-180670.78524543642</v>
      </c>
      <c r="Y32" s="62">
        <f t="shared" si="35"/>
        <v>-178822.78419743793</v>
      </c>
      <c r="Z32" s="62">
        <f t="shared" si="36"/>
        <v>-177572.26245171315</v>
      </c>
      <c r="AA32" s="62">
        <f t="shared" si="37"/>
        <v>-176728.659176477</v>
      </c>
      <c r="AB32" s="62">
        <f t="shared" si="38"/>
        <v>-176160.74964225345</v>
      </c>
      <c r="AC32" s="62">
        <f t="shared" si="39"/>
        <v>-175778.97267513379</v>
      </c>
      <c r="AT32" s="85" t="str">
        <f t="shared" ref="AT32:AW33" si="40">A19</f>
        <v>Fuel Economy</v>
      </c>
      <c r="AU32" s="81">
        <f t="shared" si="40"/>
        <v>76.777599999999993</v>
      </c>
      <c r="AV32" s="81">
        <f t="shared" si="40"/>
        <v>76.777599999999993</v>
      </c>
      <c r="AW32" s="81" t="str">
        <f t="shared" si="40"/>
        <v>[kWh/km]</v>
      </c>
      <c r="AX32" s="80">
        <f>L19</f>
        <v>12</v>
      </c>
      <c r="AY32" s="80">
        <f>O19</f>
        <v>0.9</v>
      </c>
      <c r="AZ32" s="80">
        <f>P19</f>
        <v>0.4</v>
      </c>
      <c r="BA32" s="86"/>
    </row>
    <row r="33" spans="1:53" x14ac:dyDescent="0.25">
      <c r="A33" s="30" t="str">
        <f t="shared" si="11"/>
        <v>Capex costumization</v>
      </c>
      <c r="B33" s="62">
        <f t="shared" si="12"/>
        <v>4200000</v>
      </c>
      <c r="C33" s="62">
        <f t="shared" si="13"/>
        <v>4200000</v>
      </c>
      <c r="D33" s="62">
        <f t="shared" si="14"/>
        <v>4200000</v>
      </c>
      <c r="E33" s="62">
        <f t="shared" si="15"/>
        <v>4200000</v>
      </c>
      <c r="F33" s="62">
        <f t="shared" si="16"/>
        <v>4200000</v>
      </c>
      <c r="G33" s="62">
        <f t="shared" si="17"/>
        <v>4200000</v>
      </c>
      <c r="H33" s="62">
        <f t="shared" si="18"/>
        <v>4200000</v>
      </c>
      <c r="I33" s="62">
        <f t="shared" si="19"/>
        <v>4200000</v>
      </c>
      <c r="J33" s="62">
        <f t="shared" si="20"/>
        <v>4200000</v>
      </c>
      <c r="K33" s="62">
        <f t="shared" si="21"/>
        <v>4200000</v>
      </c>
      <c r="L33" s="62">
        <f t="shared" si="22"/>
        <v>4200000</v>
      </c>
      <c r="M33" s="62">
        <f t="shared" si="23"/>
        <v>4200000</v>
      </c>
      <c r="N33" s="62">
        <f t="shared" si="24"/>
        <v>4200000</v>
      </c>
      <c r="O33" s="62">
        <f t="shared" si="25"/>
        <v>4200000</v>
      </c>
      <c r="P33" s="62">
        <f t="shared" si="26"/>
        <v>4200000</v>
      </c>
      <c r="Q33" s="62">
        <f t="shared" si="27"/>
        <v>4200000</v>
      </c>
      <c r="R33" s="62">
        <f t="shared" si="28"/>
        <v>4200000</v>
      </c>
      <c r="S33" s="62">
        <f t="shared" si="29"/>
        <v>4200000</v>
      </c>
      <c r="T33" s="62">
        <f t="shared" si="30"/>
        <v>4200000</v>
      </c>
      <c r="U33" s="62">
        <f t="shared" si="31"/>
        <v>4200000</v>
      </c>
      <c r="V33" s="62">
        <f t="shared" si="32"/>
        <v>4200000</v>
      </c>
      <c r="W33" s="62">
        <f t="shared" si="33"/>
        <v>4200000</v>
      </c>
      <c r="X33" s="62">
        <f t="shared" si="34"/>
        <v>4200000</v>
      </c>
      <c r="Y33" s="62">
        <f t="shared" si="35"/>
        <v>4200000</v>
      </c>
      <c r="Z33" s="62">
        <f t="shared" si="36"/>
        <v>4200000</v>
      </c>
      <c r="AA33" s="62">
        <f t="shared" si="37"/>
        <v>4200000</v>
      </c>
      <c r="AB33" s="62">
        <f t="shared" si="38"/>
        <v>4200000</v>
      </c>
      <c r="AC33" s="62">
        <f t="shared" si="39"/>
        <v>4200000</v>
      </c>
      <c r="AT33" s="85" t="str">
        <f t="shared" si="40"/>
        <v>Fuel Cost</v>
      </c>
      <c r="AU33" s="81">
        <f t="shared" si="40"/>
        <v>0.1</v>
      </c>
      <c r="AV33" s="81">
        <f t="shared" si="40"/>
        <v>0.1</v>
      </c>
      <c r="AW33" s="81" t="str">
        <f t="shared" si="40"/>
        <v>[€/kWh]</v>
      </c>
      <c r="AX33" s="80">
        <f>L20</f>
        <v>12</v>
      </c>
      <c r="AY33" s="80">
        <f>O20</f>
        <v>0.9</v>
      </c>
      <c r="AZ33" s="80">
        <f>P20</f>
        <v>0.4</v>
      </c>
      <c r="BA33" s="86"/>
    </row>
    <row r="34" spans="1:53" x14ac:dyDescent="0.25">
      <c r="A34" s="30" t="str">
        <f t="shared" si="11"/>
        <v>Residual value (costumization)</v>
      </c>
      <c r="B34" s="62">
        <f t="shared" si="12"/>
        <v>-210000</v>
      </c>
      <c r="C34" s="62">
        <f t="shared" si="13"/>
        <v>-210000</v>
      </c>
      <c r="D34" s="62">
        <f t="shared" si="14"/>
        <v>-210000</v>
      </c>
      <c r="E34" s="62">
        <f t="shared" si="15"/>
        <v>-210000</v>
      </c>
      <c r="F34" s="62">
        <f t="shared" si="16"/>
        <v>-210000</v>
      </c>
      <c r="G34" s="62">
        <f t="shared" si="17"/>
        <v>-210000</v>
      </c>
      <c r="H34" s="62">
        <f t="shared" si="18"/>
        <v>-210000</v>
      </c>
      <c r="I34" s="62">
        <f t="shared" si="19"/>
        <v>-210000</v>
      </c>
      <c r="J34" s="62">
        <f t="shared" si="20"/>
        <v>-210000</v>
      </c>
      <c r="K34" s="62">
        <f t="shared" si="21"/>
        <v>-210000</v>
      </c>
      <c r="L34" s="62">
        <f t="shared" si="22"/>
        <v>-210000</v>
      </c>
      <c r="M34" s="62">
        <f t="shared" si="23"/>
        <v>-210000</v>
      </c>
      <c r="N34" s="62">
        <f t="shared" si="24"/>
        <v>-210000</v>
      </c>
      <c r="O34" s="62">
        <f t="shared" si="25"/>
        <v>-210000</v>
      </c>
      <c r="P34" s="62">
        <f t="shared" si="26"/>
        <v>-210000</v>
      </c>
      <c r="Q34" s="62">
        <f t="shared" si="27"/>
        <v>-210000</v>
      </c>
      <c r="R34" s="62">
        <f t="shared" si="28"/>
        <v>-210000</v>
      </c>
      <c r="S34" s="62">
        <f t="shared" si="29"/>
        <v>-210000</v>
      </c>
      <c r="T34" s="62">
        <f t="shared" si="30"/>
        <v>-210000</v>
      </c>
      <c r="U34" s="62">
        <f t="shared" si="31"/>
        <v>-210000</v>
      </c>
      <c r="V34" s="62">
        <f t="shared" si="32"/>
        <v>-210000</v>
      </c>
      <c r="W34" s="62">
        <f t="shared" si="33"/>
        <v>-210000</v>
      </c>
      <c r="X34" s="62">
        <f t="shared" si="34"/>
        <v>-210000</v>
      </c>
      <c r="Y34" s="62">
        <f t="shared" si="35"/>
        <v>-210000</v>
      </c>
      <c r="Z34" s="62">
        <f t="shared" si="36"/>
        <v>-210000</v>
      </c>
      <c r="AA34" s="62">
        <f t="shared" si="37"/>
        <v>-210000</v>
      </c>
      <c r="AB34" s="62">
        <f t="shared" si="38"/>
        <v>-210000</v>
      </c>
      <c r="AC34" s="62">
        <f t="shared" si="39"/>
        <v>-210000</v>
      </c>
    </row>
    <row r="35" spans="1:53" x14ac:dyDescent="0.25">
      <c r="A35" s="30" t="str">
        <f t="shared" si="11"/>
        <v>WACC</v>
      </c>
      <c r="B35" s="62">
        <f t="shared" si="12"/>
        <v>0.06</v>
      </c>
      <c r="C35" s="62">
        <f t="shared" si="13"/>
        <v>0.06</v>
      </c>
      <c r="D35" s="62">
        <f t="shared" si="14"/>
        <v>0.06</v>
      </c>
      <c r="E35" s="62">
        <f t="shared" si="15"/>
        <v>0.06</v>
      </c>
      <c r="F35" s="62">
        <f t="shared" si="16"/>
        <v>0.06</v>
      </c>
      <c r="G35" s="62">
        <f t="shared" si="17"/>
        <v>0.06</v>
      </c>
      <c r="H35" s="62">
        <f t="shared" si="18"/>
        <v>0.06</v>
      </c>
      <c r="I35" s="62">
        <f t="shared" si="19"/>
        <v>0.06</v>
      </c>
      <c r="J35" s="62">
        <f t="shared" si="20"/>
        <v>0.06</v>
      </c>
      <c r="K35" s="62">
        <f t="shared" si="21"/>
        <v>0.06</v>
      </c>
      <c r="L35" s="62">
        <f t="shared" si="22"/>
        <v>0.06</v>
      </c>
      <c r="M35" s="62">
        <f t="shared" si="23"/>
        <v>0.06</v>
      </c>
      <c r="N35" s="62">
        <f t="shared" si="24"/>
        <v>0.06</v>
      </c>
      <c r="O35" s="62">
        <f t="shared" si="25"/>
        <v>0.06</v>
      </c>
      <c r="P35" s="62">
        <f t="shared" si="26"/>
        <v>0.06</v>
      </c>
      <c r="Q35" s="62">
        <f t="shared" si="27"/>
        <v>0.06</v>
      </c>
      <c r="R35" s="62">
        <f t="shared" si="28"/>
        <v>0.06</v>
      </c>
      <c r="S35" s="62">
        <f t="shared" si="29"/>
        <v>0.06</v>
      </c>
      <c r="T35" s="62">
        <f t="shared" si="30"/>
        <v>0.06</v>
      </c>
      <c r="U35" s="62">
        <f t="shared" si="31"/>
        <v>0.06</v>
      </c>
      <c r="V35" s="62">
        <f t="shared" si="32"/>
        <v>0.06</v>
      </c>
      <c r="W35" s="62">
        <f t="shared" si="33"/>
        <v>0.06</v>
      </c>
      <c r="X35" s="62">
        <f t="shared" si="34"/>
        <v>0.06</v>
      </c>
      <c r="Y35" s="62">
        <f t="shared" si="35"/>
        <v>0.06</v>
      </c>
      <c r="Z35" s="62">
        <f t="shared" si="36"/>
        <v>0.06</v>
      </c>
      <c r="AA35" s="62">
        <f t="shared" si="37"/>
        <v>0.06</v>
      </c>
      <c r="AB35" s="62">
        <f t="shared" si="38"/>
        <v>0.06</v>
      </c>
      <c r="AC35" s="62">
        <f t="shared" si="39"/>
        <v>0.06</v>
      </c>
    </row>
    <row r="36" spans="1:53" x14ac:dyDescent="0.25">
      <c r="A36" s="30" t="str">
        <f t="shared" si="11"/>
        <v>Opex fix (admin, crew, insurance)</v>
      </c>
      <c r="B36" s="62">
        <f t="shared" si="12"/>
        <v>650000</v>
      </c>
      <c r="C36" s="62">
        <f t="shared" si="13"/>
        <v>650000</v>
      </c>
      <c r="D36" s="62">
        <f t="shared" si="14"/>
        <v>650000</v>
      </c>
      <c r="E36" s="62">
        <f t="shared" si="15"/>
        <v>650000</v>
      </c>
      <c r="F36" s="62">
        <f t="shared" si="16"/>
        <v>650000</v>
      </c>
      <c r="G36" s="62">
        <f t="shared" si="17"/>
        <v>650000</v>
      </c>
      <c r="H36" s="62">
        <f t="shared" si="18"/>
        <v>650000</v>
      </c>
      <c r="I36" s="62">
        <f t="shared" si="19"/>
        <v>650000</v>
      </c>
      <c r="J36" s="62">
        <f t="shared" si="20"/>
        <v>650000</v>
      </c>
      <c r="K36" s="62">
        <f t="shared" si="21"/>
        <v>650000</v>
      </c>
      <c r="L36" s="62">
        <f t="shared" si="22"/>
        <v>650000</v>
      </c>
      <c r="M36" s="62">
        <f t="shared" si="23"/>
        <v>650000</v>
      </c>
      <c r="N36" s="62">
        <f t="shared" si="24"/>
        <v>650000</v>
      </c>
      <c r="O36" s="62">
        <f t="shared" si="25"/>
        <v>650000</v>
      </c>
      <c r="P36" s="62">
        <f t="shared" si="26"/>
        <v>650000</v>
      </c>
      <c r="Q36" s="62">
        <f t="shared" si="27"/>
        <v>650000</v>
      </c>
      <c r="R36" s="62">
        <f t="shared" si="28"/>
        <v>650000</v>
      </c>
      <c r="S36" s="62">
        <f t="shared" si="29"/>
        <v>650000</v>
      </c>
      <c r="T36" s="62">
        <f t="shared" si="30"/>
        <v>650000</v>
      </c>
      <c r="U36" s="62">
        <f t="shared" si="31"/>
        <v>650000</v>
      </c>
      <c r="V36" s="62">
        <f t="shared" si="32"/>
        <v>650000</v>
      </c>
      <c r="W36" s="62">
        <f t="shared" si="33"/>
        <v>650000</v>
      </c>
      <c r="X36" s="62">
        <f t="shared" si="34"/>
        <v>650000</v>
      </c>
      <c r="Y36" s="62">
        <f t="shared" si="35"/>
        <v>650000</v>
      </c>
      <c r="Z36" s="62">
        <f t="shared" si="36"/>
        <v>650000</v>
      </c>
      <c r="AA36" s="62">
        <f t="shared" si="37"/>
        <v>650000</v>
      </c>
      <c r="AB36" s="62">
        <f t="shared" si="38"/>
        <v>650000</v>
      </c>
      <c r="AC36" s="62">
        <f t="shared" si="39"/>
        <v>650000</v>
      </c>
    </row>
    <row r="37" spans="1:53" x14ac:dyDescent="0.25">
      <c r="A37" s="30" t="str">
        <f t="shared" si="11"/>
        <v>Opex maintenance &amp; repair</v>
      </c>
      <c r="B37" s="62">
        <f t="shared" si="12"/>
        <v>1050000</v>
      </c>
      <c r="C37" s="62">
        <f t="shared" si="13"/>
        <v>1050000</v>
      </c>
      <c r="D37" s="62">
        <f t="shared" si="14"/>
        <v>1050000</v>
      </c>
      <c r="E37" s="62">
        <f t="shared" si="15"/>
        <v>1050000</v>
      </c>
      <c r="F37" s="62">
        <f t="shared" si="16"/>
        <v>1050000</v>
      </c>
      <c r="G37" s="62">
        <f t="shared" si="17"/>
        <v>1050000</v>
      </c>
      <c r="H37" s="62">
        <f t="shared" si="18"/>
        <v>1050000</v>
      </c>
      <c r="I37" s="62">
        <f t="shared" si="19"/>
        <v>1050000</v>
      </c>
      <c r="J37" s="62">
        <f t="shared" si="20"/>
        <v>1050000</v>
      </c>
      <c r="K37" s="62">
        <f t="shared" si="21"/>
        <v>1050000</v>
      </c>
      <c r="L37" s="62">
        <f t="shared" si="22"/>
        <v>1050000</v>
      </c>
      <c r="M37" s="62">
        <f t="shared" si="23"/>
        <v>1050000</v>
      </c>
      <c r="N37" s="62">
        <f t="shared" si="24"/>
        <v>1050000</v>
      </c>
      <c r="O37" s="62">
        <f t="shared" si="25"/>
        <v>1050000</v>
      </c>
      <c r="P37" s="62">
        <f t="shared" si="26"/>
        <v>1050000</v>
      </c>
      <c r="Q37" s="62">
        <f t="shared" si="27"/>
        <v>1050000</v>
      </c>
      <c r="R37" s="62">
        <f t="shared" si="28"/>
        <v>1050000</v>
      </c>
      <c r="S37" s="62">
        <f t="shared" si="29"/>
        <v>1050000</v>
      </c>
      <c r="T37" s="62">
        <f t="shared" si="30"/>
        <v>1050000</v>
      </c>
      <c r="U37" s="62">
        <f t="shared" si="31"/>
        <v>1050000</v>
      </c>
      <c r="V37" s="62">
        <f t="shared" si="32"/>
        <v>1050000</v>
      </c>
      <c r="W37" s="62">
        <f t="shared" si="33"/>
        <v>1050000</v>
      </c>
      <c r="X37" s="62">
        <f t="shared" si="34"/>
        <v>1050000</v>
      </c>
      <c r="Y37" s="62">
        <f t="shared" si="35"/>
        <v>1050000</v>
      </c>
      <c r="Z37" s="62">
        <f t="shared" si="36"/>
        <v>1050000</v>
      </c>
      <c r="AA37" s="62">
        <f t="shared" si="37"/>
        <v>1050000</v>
      </c>
      <c r="AB37" s="62">
        <f t="shared" si="38"/>
        <v>1050000</v>
      </c>
      <c r="AC37" s="62">
        <f t="shared" si="39"/>
        <v>1050000</v>
      </c>
    </row>
    <row r="38" spans="1:53" x14ac:dyDescent="0.25">
      <c r="A38" s="30" t="str">
        <f t="shared" si="11"/>
        <v>Opex var (mode-fees, shunting)</v>
      </c>
      <c r="B38" s="62">
        <f t="shared" si="12"/>
        <v>3.9215686274509802</v>
      </c>
      <c r="C38" s="62">
        <f t="shared" si="13"/>
        <v>3.9215686274509802</v>
      </c>
      <c r="D38" s="62">
        <f t="shared" si="14"/>
        <v>3.9215686274509802</v>
      </c>
      <c r="E38" s="62">
        <f t="shared" si="15"/>
        <v>3.9215686274509802</v>
      </c>
      <c r="F38" s="62">
        <f t="shared" si="16"/>
        <v>3.9215686274509802</v>
      </c>
      <c r="G38" s="62">
        <f t="shared" si="17"/>
        <v>3.9215686274509802</v>
      </c>
      <c r="H38" s="62">
        <f t="shared" si="18"/>
        <v>3.9215686274509802</v>
      </c>
      <c r="I38" s="62">
        <f t="shared" si="19"/>
        <v>3.9215686274509802</v>
      </c>
      <c r="J38" s="62">
        <f t="shared" si="20"/>
        <v>3.9215686274509802</v>
      </c>
      <c r="K38" s="62">
        <f t="shared" si="21"/>
        <v>3.9215686274509802</v>
      </c>
      <c r="L38" s="62">
        <f t="shared" si="22"/>
        <v>3.9215686274509802</v>
      </c>
      <c r="M38" s="62">
        <f t="shared" si="23"/>
        <v>3.9215686274509802</v>
      </c>
      <c r="N38" s="62">
        <f t="shared" si="24"/>
        <v>3.9215686274509802</v>
      </c>
      <c r="O38" s="62">
        <f t="shared" si="25"/>
        <v>3.9215686274509802</v>
      </c>
      <c r="P38" s="62">
        <f t="shared" si="26"/>
        <v>3.9215686274509802</v>
      </c>
      <c r="Q38" s="62">
        <f t="shared" si="27"/>
        <v>3.9215686274509802</v>
      </c>
      <c r="R38" s="62">
        <f t="shared" si="28"/>
        <v>3.9215686274509802</v>
      </c>
      <c r="S38" s="62">
        <f t="shared" si="29"/>
        <v>3.9215686274509802</v>
      </c>
      <c r="T38" s="62">
        <f t="shared" si="30"/>
        <v>3.9215686274509802</v>
      </c>
      <c r="U38" s="62">
        <f t="shared" si="31"/>
        <v>3.9215686274509802</v>
      </c>
      <c r="V38" s="62">
        <f t="shared" si="32"/>
        <v>3.9215686274509802</v>
      </c>
      <c r="W38" s="62">
        <f t="shared" si="33"/>
        <v>3.9215686274509802</v>
      </c>
      <c r="X38" s="62">
        <f t="shared" si="34"/>
        <v>3.9215686274509802</v>
      </c>
      <c r="Y38" s="62">
        <f t="shared" si="35"/>
        <v>3.9215686274509802</v>
      </c>
      <c r="Z38" s="62">
        <f t="shared" si="36"/>
        <v>3.9215686274509802</v>
      </c>
      <c r="AA38" s="62">
        <f t="shared" si="37"/>
        <v>3.9215686274509802</v>
      </c>
      <c r="AB38" s="62">
        <f t="shared" si="38"/>
        <v>3.9215686274509802</v>
      </c>
      <c r="AC38" s="62">
        <f t="shared" si="39"/>
        <v>3.9215686274509802</v>
      </c>
    </row>
    <row r="39" spans="1:53" x14ac:dyDescent="0.25">
      <c r="A39" s="30" t="str">
        <f t="shared" si="11"/>
        <v>Fuel Economy</v>
      </c>
      <c r="B39" s="62">
        <f t="shared" si="12"/>
        <v>76.777599999999993</v>
      </c>
      <c r="C39" s="62">
        <f t="shared" si="13"/>
        <v>76.777599999999993</v>
      </c>
      <c r="D39" s="62">
        <f t="shared" si="14"/>
        <v>76.777599999999993</v>
      </c>
      <c r="E39" s="62">
        <f t="shared" si="15"/>
        <v>76.777599999999993</v>
      </c>
      <c r="F39" s="62">
        <f t="shared" si="16"/>
        <v>76.777599999999993</v>
      </c>
      <c r="G39" s="62">
        <f t="shared" si="17"/>
        <v>76.777599999999993</v>
      </c>
      <c r="H39" s="62">
        <f t="shared" si="18"/>
        <v>76.777599999999993</v>
      </c>
      <c r="I39" s="62">
        <f t="shared" si="19"/>
        <v>76.777599999999993</v>
      </c>
      <c r="J39" s="62">
        <f t="shared" si="20"/>
        <v>76.777599999999993</v>
      </c>
      <c r="K39" s="62">
        <f t="shared" si="21"/>
        <v>76.777599999999993</v>
      </c>
      <c r="L39" s="62">
        <f t="shared" si="22"/>
        <v>76.777599999999993</v>
      </c>
      <c r="M39" s="62">
        <f t="shared" si="23"/>
        <v>76.777599999999993</v>
      </c>
      <c r="N39" s="62">
        <f t="shared" si="24"/>
        <v>76.777599999999993</v>
      </c>
      <c r="O39" s="62">
        <f t="shared" si="25"/>
        <v>76.777599999999993</v>
      </c>
      <c r="P39" s="62">
        <f t="shared" si="26"/>
        <v>76.777599999999993</v>
      </c>
      <c r="Q39" s="62">
        <f t="shared" si="27"/>
        <v>76.777599999999993</v>
      </c>
      <c r="R39" s="62">
        <f t="shared" si="28"/>
        <v>76.777599999999993</v>
      </c>
      <c r="S39" s="62">
        <f t="shared" si="29"/>
        <v>76.777599999999993</v>
      </c>
      <c r="T39" s="62">
        <f t="shared" si="30"/>
        <v>76.777599999999993</v>
      </c>
      <c r="U39" s="62">
        <f t="shared" si="31"/>
        <v>76.777599999999993</v>
      </c>
      <c r="V39" s="62">
        <f t="shared" si="32"/>
        <v>76.777599999999993</v>
      </c>
      <c r="W39" s="62">
        <f t="shared" si="33"/>
        <v>76.777599999999993</v>
      </c>
      <c r="X39" s="62">
        <f t="shared" si="34"/>
        <v>76.777599999999993</v>
      </c>
      <c r="Y39" s="62">
        <f t="shared" si="35"/>
        <v>76.777599999999993</v>
      </c>
      <c r="Z39" s="62">
        <f t="shared" si="36"/>
        <v>76.777599999999993</v>
      </c>
      <c r="AA39" s="62">
        <f t="shared" si="37"/>
        <v>76.777599999999993</v>
      </c>
      <c r="AB39" s="62">
        <f t="shared" si="38"/>
        <v>76.777599999999993</v>
      </c>
      <c r="AC39" s="62">
        <f t="shared" si="39"/>
        <v>76.777599999999993</v>
      </c>
    </row>
    <row r="40" spans="1:53" x14ac:dyDescent="0.25">
      <c r="A40" s="30" t="str">
        <f t="shared" si="11"/>
        <v>Fuel Cost</v>
      </c>
      <c r="B40" s="62">
        <f>$B20+($C20-$B20)*(1-Q20)</f>
        <v>0.1</v>
      </c>
      <c r="C40" s="62">
        <f>$B20+($C20-$B20)*(1-R20)</f>
        <v>0.1</v>
      </c>
      <c r="D40" s="62">
        <f>$B20+($C20-$B20)*(1-S20)</f>
        <v>0.1</v>
      </c>
      <c r="E40" s="62">
        <f t="shared" ref="E40:AC40" si="41">$B20+($C20-$B20)*(1-T20)</f>
        <v>0.1</v>
      </c>
      <c r="F40" s="62">
        <f t="shared" si="41"/>
        <v>0.1</v>
      </c>
      <c r="G40" s="62">
        <f t="shared" si="41"/>
        <v>0.1</v>
      </c>
      <c r="H40" s="62">
        <f t="shared" si="41"/>
        <v>0.1</v>
      </c>
      <c r="I40" s="62">
        <f t="shared" si="41"/>
        <v>0.1</v>
      </c>
      <c r="J40" s="62">
        <f t="shared" si="41"/>
        <v>0.1</v>
      </c>
      <c r="K40" s="62">
        <f t="shared" si="41"/>
        <v>0.1</v>
      </c>
      <c r="L40" s="62">
        <f t="shared" si="41"/>
        <v>0.1</v>
      </c>
      <c r="M40" s="62">
        <f t="shared" si="41"/>
        <v>0.1</v>
      </c>
      <c r="N40" s="62">
        <f t="shared" si="41"/>
        <v>0.1</v>
      </c>
      <c r="O40" s="62">
        <f t="shared" si="41"/>
        <v>0.1</v>
      </c>
      <c r="P40" s="62">
        <f t="shared" si="41"/>
        <v>0.1</v>
      </c>
      <c r="Q40" s="62">
        <f t="shared" si="41"/>
        <v>0.1</v>
      </c>
      <c r="R40" s="62">
        <f t="shared" si="41"/>
        <v>0.1</v>
      </c>
      <c r="S40" s="62">
        <f t="shared" si="41"/>
        <v>0.1</v>
      </c>
      <c r="T40" s="62">
        <f t="shared" si="41"/>
        <v>0.1</v>
      </c>
      <c r="U40" s="62">
        <f t="shared" si="41"/>
        <v>0.1</v>
      </c>
      <c r="V40" s="62">
        <f t="shared" si="41"/>
        <v>0.1</v>
      </c>
      <c r="W40" s="62">
        <f t="shared" si="41"/>
        <v>0.1</v>
      </c>
      <c r="X40" s="62">
        <f t="shared" si="41"/>
        <v>0.1</v>
      </c>
      <c r="Y40" s="62">
        <f t="shared" si="41"/>
        <v>0.1</v>
      </c>
      <c r="Z40" s="62">
        <f t="shared" si="41"/>
        <v>0.1</v>
      </c>
      <c r="AA40" s="62">
        <f t="shared" si="41"/>
        <v>0.1</v>
      </c>
      <c r="AB40" s="62">
        <f t="shared" si="41"/>
        <v>0.1</v>
      </c>
      <c r="AC40" s="62">
        <f t="shared" si="41"/>
        <v>0.1</v>
      </c>
    </row>
    <row r="41" spans="1:53" x14ac:dyDescent="0.25">
      <c r="A41" s="30" t="str">
        <f t="shared" si="11"/>
        <v>Emission Cost</v>
      </c>
      <c r="B41" s="98">
        <f>$B21+($C21-$B21)*(1-Q21)</f>
        <v>2.0582113582797463</v>
      </c>
      <c r="C41" s="98">
        <f t="shared" ref="C41:AC41" si="42">$B21+($C21-$B21)*(1-R21)</f>
        <v>2.0630736964968874</v>
      </c>
      <c r="D41" s="98">
        <f t="shared" si="42"/>
        <v>2.0700340253548735</v>
      </c>
      <c r="E41" s="98">
        <f t="shared" si="42"/>
        <v>2.0799912652584287</v>
      </c>
      <c r="F41" s="98">
        <f t="shared" si="42"/>
        <v>2.0942223582546799</v>
      </c>
      <c r="G41" s="98">
        <f t="shared" si="42"/>
        <v>2.1145332034270625</v>
      </c>
      <c r="H41" s="98">
        <f t="shared" si="42"/>
        <v>2.1434608297482804</v>
      </c>
      <c r="I41" s="98">
        <f t="shared" si="42"/>
        <v>2.1845339122974496</v>
      </c>
      <c r="J41" s="98">
        <f t="shared" si="42"/>
        <v>2.2425867676094651</v>
      </c>
      <c r="K41" s="98">
        <f t="shared" si="42"/>
        <v>2.3240919291072673</v>
      </c>
      <c r="L41" s="98">
        <f t="shared" si="42"/>
        <v>2.4374136908790356</v>
      </c>
      <c r="M41" s="98">
        <f t="shared" si="42"/>
        <v>2.5927735868925894</v>
      </c>
      <c r="N41" s="98">
        <f t="shared" si="42"/>
        <v>2.8015606394413943</v>
      </c>
      <c r="O41" s="98">
        <f t="shared" si="42"/>
        <v>3.0744856518148742</v>
      </c>
      <c r="P41" s="98">
        <f t="shared" si="42"/>
        <v>3.4181885745847813</v>
      </c>
      <c r="Q41" s="98">
        <f t="shared" si="42"/>
        <v>3.8306222159147274</v>
      </c>
      <c r="R41" s="98">
        <f t="shared" si="42"/>
        <v>4.2969913115595899</v>
      </c>
      <c r="S41" s="98">
        <f t="shared" si="42"/>
        <v>4.7893352523676196</v>
      </c>
      <c r="T41" s="98">
        <f t="shared" si="42"/>
        <v>5.2719907853240588</v>
      </c>
      <c r="U41" s="98">
        <f t="shared" si="42"/>
        <v>5.7113620517407639</v>
      </c>
      <c r="V41" s="98">
        <f t="shared" si="42"/>
        <v>6.0847650605234298</v>
      </c>
      <c r="W41" s="98">
        <f t="shared" si="42"/>
        <v>6.383793997868306</v>
      </c>
      <c r="X41" s="98">
        <f t="shared" si="42"/>
        <v>6.6119663489137848</v>
      </c>
      <c r="Y41" s="98">
        <f t="shared" si="42"/>
        <v>6.7796913263812186</v>
      </c>
      <c r="Z41" s="98">
        <f t="shared" si="42"/>
        <v>6.8996122588494808</v>
      </c>
      <c r="AA41" s="98">
        <f t="shared" si="42"/>
        <v>6.9836591226283362</v>
      </c>
      <c r="AB41" s="98">
        <f t="shared" si="42"/>
        <v>7.0417406714234989</v>
      </c>
      <c r="AC41" s="98">
        <f t="shared" si="42"/>
        <v>7.0814887695786215</v>
      </c>
    </row>
    <row r="42" spans="1:53" x14ac:dyDescent="0.25">
      <c r="A42" s="30" t="str">
        <f t="shared" si="11"/>
        <v>Lifetime vehicle</v>
      </c>
      <c r="B42" s="62">
        <f>$B22+($C22-$B22)*(1-Q22)</f>
        <v>20</v>
      </c>
      <c r="C42" s="62">
        <f t="shared" ref="C42:L44" si="43">$B22+($C22-$B22)*(1-R22)</f>
        <v>20</v>
      </c>
      <c r="D42" s="62">
        <f t="shared" si="43"/>
        <v>20</v>
      </c>
      <c r="E42" s="62">
        <f t="shared" si="43"/>
        <v>20</v>
      </c>
      <c r="F42" s="62">
        <f t="shared" si="43"/>
        <v>20</v>
      </c>
      <c r="G42" s="62">
        <f t="shared" si="43"/>
        <v>20</v>
      </c>
      <c r="H42" s="62">
        <f t="shared" si="43"/>
        <v>20</v>
      </c>
      <c r="I42" s="62">
        <f t="shared" si="43"/>
        <v>20</v>
      </c>
      <c r="J42" s="62">
        <f t="shared" si="43"/>
        <v>20</v>
      </c>
      <c r="K42" s="62">
        <f t="shared" si="43"/>
        <v>20</v>
      </c>
      <c r="L42" s="62">
        <f t="shared" si="43"/>
        <v>20</v>
      </c>
      <c r="M42" s="62">
        <f t="shared" ref="M42:V44" si="44">$B22+($C22-$B22)*(1-AB22)</f>
        <v>20</v>
      </c>
      <c r="N42" s="62">
        <f t="shared" si="44"/>
        <v>20</v>
      </c>
      <c r="O42" s="62">
        <f t="shared" si="44"/>
        <v>20</v>
      </c>
      <c r="P42" s="62">
        <f t="shared" si="44"/>
        <v>20</v>
      </c>
      <c r="Q42" s="62">
        <f t="shared" si="44"/>
        <v>20</v>
      </c>
      <c r="R42" s="62">
        <f t="shared" si="44"/>
        <v>20</v>
      </c>
      <c r="S42" s="62">
        <f t="shared" si="44"/>
        <v>20</v>
      </c>
      <c r="T42" s="62">
        <f t="shared" si="44"/>
        <v>20</v>
      </c>
      <c r="U42" s="62">
        <f t="shared" si="44"/>
        <v>20</v>
      </c>
      <c r="V42" s="62">
        <f t="shared" si="44"/>
        <v>20</v>
      </c>
      <c r="W42" s="62">
        <f t="shared" ref="W42:AC44" si="45">$B22+($C22-$B22)*(1-AL22)</f>
        <v>20</v>
      </c>
      <c r="X42" s="62">
        <f t="shared" si="45"/>
        <v>20</v>
      </c>
      <c r="Y42" s="62">
        <f t="shared" si="45"/>
        <v>20</v>
      </c>
      <c r="Z42" s="62">
        <f t="shared" si="45"/>
        <v>20</v>
      </c>
      <c r="AA42" s="62">
        <f t="shared" si="45"/>
        <v>20</v>
      </c>
      <c r="AB42" s="62">
        <f t="shared" si="45"/>
        <v>20</v>
      </c>
      <c r="AC42" s="62">
        <f t="shared" si="45"/>
        <v>20</v>
      </c>
    </row>
    <row r="43" spans="1:53" x14ac:dyDescent="0.25">
      <c r="A43" s="30" t="str">
        <f t="shared" si="11"/>
        <v>Lifetime costumization</v>
      </c>
      <c r="B43" s="62">
        <f>$B23+($C23-$B23)*(1-Q23)</f>
        <v>30</v>
      </c>
      <c r="C43" s="62">
        <f t="shared" si="43"/>
        <v>30</v>
      </c>
      <c r="D43" s="62">
        <f t="shared" si="43"/>
        <v>30</v>
      </c>
      <c r="E43" s="62">
        <f t="shared" si="43"/>
        <v>30</v>
      </c>
      <c r="F43" s="62">
        <f t="shared" si="43"/>
        <v>30</v>
      </c>
      <c r="G43" s="62">
        <f t="shared" si="43"/>
        <v>30</v>
      </c>
      <c r="H43" s="62">
        <f t="shared" si="43"/>
        <v>30</v>
      </c>
      <c r="I43" s="62">
        <f t="shared" si="43"/>
        <v>30</v>
      </c>
      <c r="J43" s="62">
        <f t="shared" si="43"/>
        <v>30</v>
      </c>
      <c r="K43" s="62">
        <f t="shared" si="43"/>
        <v>30</v>
      </c>
      <c r="L43" s="62">
        <f t="shared" si="43"/>
        <v>30</v>
      </c>
      <c r="M43" s="62">
        <f t="shared" si="44"/>
        <v>30</v>
      </c>
      <c r="N43" s="62">
        <f t="shared" si="44"/>
        <v>30</v>
      </c>
      <c r="O43" s="62">
        <f t="shared" si="44"/>
        <v>30</v>
      </c>
      <c r="P43" s="62">
        <f t="shared" si="44"/>
        <v>30</v>
      </c>
      <c r="Q43" s="62">
        <f t="shared" si="44"/>
        <v>30</v>
      </c>
      <c r="R43" s="62">
        <f t="shared" si="44"/>
        <v>30</v>
      </c>
      <c r="S43" s="62">
        <f t="shared" si="44"/>
        <v>30</v>
      </c>
      <c r="T43" s="62">
        <f t="shared" si="44"/>
        <v>30</v>
      </c>
      <c r="U43" s="62">
        <f t="shared" si="44"/>
        <v>30</v>
      </c>
      <c r="V43" s="62">
        <f t="shared" si="44"/>
        <v>30</v>
      </c>
      <c r="W43" s="62">
        <f t="shared" si="45"/>
        <v>30</v>
      </c>
      <c r="X43" s="62">
        <f t="shared" si="45"/>
        <v>30</v>
      </c>
      <c r="Y43" s="62">
        <f t="shared" si="45"/>
        <v>30</v>
      </c>
      <c r="Z43" s="62">
        <f t="shared" si="45"/>
        <v>30</v>
      </c>
      <c r="AA43" s="62">
        <f t="shared" si="45"/>
        <v>30</v>
      </c>
      <c r="AB43" s="62">
        <f t="shared" si="45"/>
        <v>30</v>
      </c>
      <c r="AC43" s="62">
        <f t="shared" si="45"/>
        <v>30</v>
      </c>
    </row>
    <row r="44" spans="1:53" x14ac:dyDescent="0.25">
      <c r="A44" s="30" t="str">
        <f t="shared" si="11"/>
        <v xml:space="preserve">Tonnage </v>
      </c>
      <c r="B44" s="62">
        <f>$B24+($C24-$B24)*(1-Q24)</f>
        <v>2240</v>
      </c>
      <c r="C44" s="62">
        <f t="shared" si="43"/>
        <v>2240</v>
      </c>
      <c r="D44" s="62">
        <f t="shared" si="43"/>
        <v>2240</v>
      </c>
      <c r="E44" s="62">
        <f t="shared" si="43"/>
        <v>2240</v>
      </c>
      <c r="F44" s="62">
        <f t="shared" si="43"/>
        <v>2240</v>
      </c>
      <c r="G44" s="62">
        <f t="shared" si="43"/>
        <v>2240</v>
      </c>
      <c r="H44" s="62">
        <f t="shared" si="43"/>
        <v>2240</v>
      </c>
      <c r="I44" s="62">
        <f t="shared" si="43"/>
        <v>2240</v>
      </c>
      <c r="J44" s="62">
        <f t="shared" si="43"/>
        <v>2240</v>
      </c>
      <c r="K44" s="62">
        <f t="shared" si="43"/>
        <v>2240</v>
      </c>
      <c r="L44" s="62">
        <f t="shared" si="43"/>
        <v>2240</v>
      </c>
      <c r="M44" s="62">
        <f t="shared" si="44"/>
        <v>2240</v>
      </c>
      <c r="N44" s="62">
        <f t="shared" si="44"/>
        <v>2240</v>
      </c>
      <c r="O44" s="62">
        <f t="shared" si="44"/>
        <v>2240</v>
      </c>
      <c r="P44" s="62">
        <f t="shared" si="44"/>
        <v>2240</v>
      </c>
      <c r="Q44" s="62">
        <f t="shared" si="44"/>
        <v>2240</v>
      </c>
      <c r="R44" s="62">
        <f t="shared" si="44"/>
        <v>2240</v>
      </c>
      <c r="S44" s="62">
        <f t="shared" si="44"/>
        <v>2240</v>
      </c>
      <c r="T44" s="62">
        <f t="shared" si="44"/>
        <v>2240</v>
      </c>
      <c r="U44" s="62">
        <f t="shared" si="44"/>
        <v>2240</v>
      </c>
      <c r="V44" s="62">
        <f t="shared" si="44"/>
        <v>2240</v>
      </c>
      <c r="W44" s="62">
        <f t="shared" si="45"/>
        <v>2240</v>
      </c>
      <c r="X44" s="62">
        <f t="shared" si="45"/>
        <v>2240</v>
      </c>
      <c r="Y44" s="62">
        <f t="shared" si="45"/>
        <v>2240</v>
      </c>
      <c r="Z44" s="62">
        <f t="shared" si="45"/>
        <v>2240</v>
      </c>
      <c r="AA44" s="62">
        <f t="shared" si="45"/>
        <v>2240</v>
      </c>
      <c r="AB44" s="62">
        <f t="shared" si="45"/>
        <v>2240</v>
      </c>
      <c r="AC44" s="62">
        <f t="shared" si="45"/>
        <v>2240</v>
      </c>
    </row>
    <row r="45" spans="1:53" x14ac:dyDescent="0.25">
      <c r="A45" s="30" t="str">
        <f t="shared" si="11"/>
        <v>Market failure (av. utilization)</v>
      </c>
      <c r="B45" s="62">
        <f t="shared" ref="B45:K46" si="46">($B25+($C25-$B25)*(1-Q25))*B$44</f>
        <v>1433.6000000000001</v>
      </c>
      <c r="C45" s="62">
        <f t="shared" si="46"/>
        <v>1433.6000000000001</v>
      </c>
      <c r="D45" s="62">
        <f t="shared" si="46"/>
        <v>1433.6000000000001</v>
      </c>
      <c r="E45" s="62">
        <f t="shared" si="46"/>
        <v>1433.6000000000001</v>
      </c>
      <c r="F45" s="62">
        <f t="shared" si="46"/>
        <v>1433.6000000000001</v>
      </c>
      <c r="G45" s="62">
        <f t="shared" si="46"/>
        <v>1433.6000000000001</v>
      </c>
      <c r="H45" s="62">
        <f t="shared" si="46"/>
        <v>1433.6000000000001</v>
      </c>
      <c r="I45" s="62">
        <f t="shared" si="46"/>
        <v>1433.6000000000001</v>
      </c>
      <c r="J45" s="62">
        <f t="shared" si="46"/>
        <v>1433.6000000000001</v>
      </c>
      <c r="K45" s="62">
        <f t="shared" si="46"/>
        <v>1433.6000000000001</v>
      </c>
      <c r="L45" s="62">
        <f t="shared" ref="L45:U46" si="47">($B25+($C25-$B25)*(1-AA25))*L$44</f>
        <v>1433.6000000000001</v>
      </c>
      <c r="M45" s="62">
        <f t="shared" si="47"/>
        <v>1433.6000000000001</v>
      </c>
      <c r="N45" s="62">
        <f t="shared" si="47"/>
        <v>1433.6000000000001</v>
      </c>
      <c r="O45" s="62">
        <f t="shared" si="47"/>
        <v>1433.6000000000001</v>
      </c>
      <c r="P45" s="62">
        <f t="shared" si="47"/>
        <v>1433.6000000000001</v>
      </c>
      <c r="Q45" s="62">
        <f t="shared" si="47"/>
        <v>1433.6000000000001</v>
      </c>
      <c r="R45" s="62">
        <f t="shared" si="47"/>
        <v>1433.6000000000001</v>
      </c>
      <c r="S45" s="62">
        <f t="shared" si="47"/>
        <v>1433.6000000000001</v>
      </c>
      <c r="T45" s="62">
        <f t="shared" si="47"/>
        <v>1433.6000000000001</v>
      </c>
      <c r="U45" s="62">
        <f t="shared" si="47"/>
        <v>1433.6000000000001</v>
      </c>
      <c r="V45" s="62">
        <f t="shared" ref="V45:AC46" si="48">($B25+($C25-$B25)*(1-AK25))*V$44</f>
        <v>1433.6000000000001</v>
      </c>
      <c r="W45" s="62">
        <f t="shared" si="48"/>
        <v>1433.6000000000001</v>
      </c>
      <c r="X45" s="62">
        <f t="shared" si="48"/>
        <v>1433.6000000000001</v>
      </c>
      <c r="Y45" s="62">
        <f t="shared" si="48"/>
        <v>1433.6000000000001</v>
      </c>
      <c r="Z45" s="62">
        <f t="shared" si="48"/>
        <v>1433.6000000000001</v>
      </c>
      <c r="AA45" s="62">
        <f t="shared" si="48"/>
        <v>1433.6000000000001</v>
      </c>
      <c r="AB45" s="62">
        <f t="shared" si="48"/>
        <v>1433.6000000000001</v>
      </c>
      <c r="AC45" s="62">
        <f t="shared" si="48"/>
        <v>1433.6000000000001</v>
      </c>
    </row>
    <row r="46" spans="1:53" x14ac:dyDescent="0.25">
      <c r="A46" s="30" t="s">
        <v>73</v>
      </c>
      <c r="B46" s="62">
        <f t="shared" si="46"/>
        <v>0</v>
      </c>
      <c r="C46" s="62">
        <f t="shared" si="46"/>
        <v>0</v>
      </c>
      <c r="D46" s="62">
        <f t="shared" si="46"/>
        <v>0</v>
      </c>
      <c r="E46" s="62">
        <f t="shared" si="46"/>
        <v>0</v>
      </c>
      <c r="F46" s="62">
        <f t="shared" si="46"/>
        <v>0</v>
      </c>
      <c r="G46" s="62">
        <f t="shared" si="46"/>
        <v>0</v>
      </c>
      <c r="H46" s="62">
        <f t="shared" si="46"/>
        <v>0</v>
      </c>
      <c r="I46" s="62">
        <f t="shared" si="46"/>
        <v>0</v>
      </c>
      <c r="J46" s="62">
        <f t="shared" si="46"/>
        <v>0</v>
      </c>
      <c r="K46" s="62">
        <f t="shared" si="46"/>
        <v>0</v>
      </c>
      <c r="L46" s="62">
        <f t="shared" si="47"/>
        <v>0</v>
      </c>
      <c r="M46" s="62">
        <f t="shared" si="47"/>
        <v>0</v>
      </c>
      <c r="N46" s="62">
        <f t="shared" si="47"/>
        <v>0</v>
      </c>
      <c r="O46" s="62">
        <f t="shared" si="47"/>
        <v>0</v>
      </c>
      <c r="P46" s="62">
        <f t="shared" si="47"/>
        <v>0</v>
      </c>
      <c r="Q46" s="62">
        <f t="shared" si="47"/>
        <v>0</v>
      </c>
      <c r="R46" s="62">
        <f t="shared" si="47"/>
        <v>0</v>
      </c>
      <c r="S46" s="62">
        <f t="shared" si="47"/>
        <v>0</v>
      </c>
      <c r="T46" s="62">
        <f t="shared" si="47"/>
        <v>0</v>
      </c>
      <c r="U46" s="62">
        <f t="shared" si="47"/>
        <v>0</v>
      </c>
      <c r="V46" s="62">
        <f t="shared" si="48"/>
        <v>0</v>
      </c>
      <c r="W46" s="62">
        <f t="shared" si="48"/>
        <v>0</v>
      </c>
      <c r="X46" s="62">
        <f t="shared" si="48"/>
        <v>0</v>
      </c>
      <c r="Y46" s="62">
        <f t="shared" si="48"/>
        <v>0</v>
      </c>
      <c r="Z46" s="62">
        <f t="shared" si="48"/>
        <v>0</v>
      </c>
      <c r="AA46" s="62">
        <f t="shared" si="48"/>
        <v>0</v>
      </c>
      <c r="AB46" s="62">
        <f t="shared" si="48"/>
        <v>0</v>
      </c>
      <c r="AC46" s="62">
        <f t="shared" si="48"/>
        <v>0</v>
      </c>
    </row>
    <row r="47" spans="1:53" x14ac:dyDescent="0.25">
      <c r="A47" s="30" t="str">
        <f>A27</f>
        <v>Annual Mileage</v>
      </c>
      <c r="B47" s="62">
        <f t="shared" ref="B47:AC47" si="49">$B27+($C27-$B27)*(1-Q27)</f>
        <v>178500</v>
      </c>
      <c r="C47" s="62">
        <f t="shared" si="49"/>
        <v>178500</v>
      </c>
      <c r="D47" s="62">
        <f t="shared" si="49"/>
        <v>178500</v>
      </c>
      <c r="E47" s="62">
        <f t="shared" si="49"/>
        <v>178500</v>
      </c>
      <c r="F47" s="62">
        <f t="shared" si="49"/>
        <v>178500</v>
      </c>
      <c r="G47" s="62">
        <f t="shared" si="49"/>
        <v>178500</v>
      </c>
      <c r="H47" s="62">
        <f t="shared" si="49"/>
        <v>178500</v>
      </c>
      <c r="I47" s="62">
        <f t="shared" si="49"/>
        <v>178500</v>
      </c>
      <c r="J47" s="62">
        <f t="shared" si="49"/>
        <v>178500</v>
      </c>
      <c r="K47" s="62">
        <f t="shared" si="49"/>
        <v>178500</v>
      </c>
      <c r="L47" s="62">
        <f t="shared" si="49"/>
        <v>178500</v>
      </c>
      <c r="M47" s="62">
        <f t="shared" si="49"/>
        <v>178500</v>
      </c>
      <c r="N47" s="62">
        <f t="shared" si="49"/>
        <v>178500</v>
      </c>
      <c r="O47" s="62">
        <f t="shared" si="49"/>
        <v>178500</v>
      </c>
      <c r="P47" s="62">
        <f t="shared" si="49"/>
        <v>178500</v>
      </c>
      <c r="Q47" s="62">
        <f t="shared" si="49"/>
        <v>178500</v>
      </c>
      <c r="R47" s="62">
        <f t="shared" si="49"/>
        <v>178500</v>
      </c>
      <c r="S47" s="62">
        <f t="shared" si="49"/>
        <v>178500</v>
      </c>
      <c r="T47" s="62">
        <f t="shared" si="49"/>
        <v>178500</v>
      </c>
      <c r="U47" s="62">
        <f t="shared" si="49"/>
        <v>178500</v>
      </c>
      <c r="V47" s="62">
        <f t="shared" si="49"/>
        <v>178500</v>
      </c>
      <c r="W47" s="62">
        <f t="shared" si="49"/>
        <v>178500</v>
      </c>
      <c r="X47" s="62">
        <f t="shared" si="49"/>
        <v>178500</v>
      </c>
      <c r="Y47" s="62">
        <f t="shared" si="49"/>
        <v>178500</v>
      </c>
      <c r="Z47" s="62">
        <f t="shared" si="49"/>
        <v>178500</v>
      </c>
      <c r="AA47" s="62">
        <f t="shared" si="49"/>
        <v>178500</v>
      </c>
      <c r="AB47" s="62">
        <f t="shared" si="49"/>
        <v>178500</v>
      </c>
      <c r="AC47" s="62">
        <f t="shared" si="49"/>
        <v>178500</v>
      </c>
    </row>
    <row r="48" spans="1:53"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305145.94941897993</v>
      </c>
      <c r="C50" s="63">
        <f t="shared" ref="C50:AC50" si="50">((1+C35)^C42)*C35/(((1+C35)^C42)-1)*(C31)</f>
        <v>305145.94941897993</v>
      </c>
      <c r="D50" s="63">
        <f t="shared" si="50"/>
        <v>305145.94941897993</v>
      </c>
      <c r="E50" s="63">
        <f t="shared" si="50"/>
        <v>305145.94941897993</v>
      </c>
      <c r="F50" s="63">
        <f t="shared" si="50"/>
        <v>305145.94941897993</v>
      </c>
      <c r="G50" s="63">
        <f t="shared" si="50"/>
        <v>305145.94941897993</v>
      </c>
      <c r="H50" s="63">
        <f t="shared" si="50"/>
        <v>305145.94941897993</v>
      </c>
      <c r="I50" s="63">
        <f t="shared" si="50"/>
        <v>305145.94941897993</v>
      </c>
      <c r="J50" s="63">
        <f t="shared" si="50"/>
        <v>305145.94941897993</v>
      </c>
      <c r="K50" s="63">
        <f t="shared" si="50"/>
        <v>305145.94941897993</v>
      </c>
      <c r="L50" s="63">
        <f t="shared" si="50"/>
        <v>305145.94941897993</v>
      </c>
      <c r="M50" s="63">
        <f t="shared" si="50"/>
        <v>305145.94941897993</v>
      </c>
      <c r="N50" s="63">
        <f t="shared" si="50"/>
        <v>305145.94941897993</v>
      </c>
      <c r="O50" s="63">
        <f t="shared" si="50"/>
        <v>305145.94941897993</v>
      </c>
      <c r="P50" s="63">
        <f t="shared" si="50"/>
        <v>305145.94941897993</v>
      </c>
      <c r="Q50" s="63">
        <f t="shared" si="50"/>
        <v>305145.94941897993</v>
      </c>
      <c r="R50" s="63">
        <f t="shared" si="50"/>
        <v>305145.94941897993</v>
      </c>
      <c r="S50" s="63">
        <f t="shared" si="50"/>
        <v>305145.94941897993</v>
      </c>
      <c r="T50" s="63">
        <f t="shared" si="50"/>
        <v>305145.94941897993</v>
      </c>
      <c r="U50" s="63">
        <f t="shared" si="50"/>
        <v>305145.94941897993</v>
      </c>
      <c r="V50" s="63">
        <f t="shared" si="50"/>
        <v>305145.94941897993</v>
      </c>
      <c r="W50" s="63">
        <f t="shared" si="50"/>
        <v>305145.94941897993</v>
      </c>
      <c r="X50" s="63">
        <f t="shared" si="50"/>
        <v>305145.94941897993</v>
      </c>
      <c r="Y50" s="63">
        <f t="shared" si="50"/>
        <v>305145.94941897993</v>
      </c>
      <c r="Z50" s="63">
        <f t="shared" si="50"/>
        <v>305145.94941897993</v>
      </c>
      <c r="AA50" s="63">
        <f t="shared" si="50"/>
        <v>305145.94941897993</v>
      </c>
      <c r="AB50" s="63">
        <f t="shared" si="50"/>
        <v>305145.94941897993</v>
      </c>
      <c r="AC50" s="63">
        <f t="shared" si="50"/>
        <v>305145.94941897993</v>
      </c>
    </row>
    <row r="51" spans="1:29" x14ac:dyDescent="0.25">
      <c r="A51" s="30" t="str">
        <f>A32</f>
        <v>Residual value (vehicle)</v>
      </c>
      <c r="B51" s="62">
        <f>((1+B35)^B42)*B35/(((1+B35)^B42)-1)*(B32)</f>
        <v>-45369.034506436277</v>
      </c>
      <c r="C51" s="62">
        <f t="shared" ref="C51:AC51" si="51">((1+C35)^C42)*C35/(((1+C35)^C42)-1)*(C32)</f>
        <v>-45196.542704314146</v>
      </c>
      <c r="D51" s="62">
        <f t="shared" si="51"/>
        <v>-44951.629072308999</v>
      </c>
      <c r="E51" s="62">
        <f t="shared" si="51"/>
        <v>-44605.467188167124</v>
      </c>
      <c r="F51" s="62">
        <f t="shared" si="51"/>
        <v>-44119.462148109647</v>
      </c>
      <c r="G51" s="62">
        <f t="shared" si="51"/>
        <v>-43443.738717137028</v>
      </c>
      <c r="H51" s="62">
        <f t="shared" si="51"/>
        <v>-42517.347172137401</v>
      </c>
      <c r="I51" s="62">
        <f t="shared" si="51"/>
        <v>-41272.376203762586</v>
      </c>
      <c r="J51" s="62">
        <f t="shared" si="51"/>
        <v>-39644.958637393647</v>
      </c>
      <c r="K51" s="62">
        <f t="shared" si="51"/>
        <v>-37595.501281822799</v>
      </c>
      <c r="L51" s="62">
        <f t="shared" si="51"/>
        <v>-35136.211284820376</v>
      </c>
      <c r="M51" s="62">
        <f t="shared" si="51"/>
        <v>-32355.310948630464</v>
      </c>
      <c r="N51" s="62">
        <f t="shared" si="51"/>
        <v>-29419.525873461753</v>
      </c>
      <c r="O51" s="62">
        <f t="shared" si="51"/>
        <v>-26541.511557340396</v>
      </c>
      <c r="P51" s="62">
        <f t="shared" si="51"/>
        <v>-23921.595885610663</v>
      </c>
      <c r="Q51" s="62">
        <f t="shared" si="51"/>
        <v>-21695.040647806538</v>
      </c>
      <c r="R51" s="62">
        <f t="shared" si="51"/>
        <v>-19911.968655776182</v>
      </c>
      <c r="S51" s="62">
        <f t="shared" si="51"/>
        <v>-18551.40558747459</v>
      </c>
      <c r="T51" s="62">
        <f t="shared" si="51"/>
        <v>-17551.282614957105</v>
      </c>
      <c r="U51" s="62">
        <f t="shared" si="51"/>
        <v>-16836.209158050464</v>
      </c>
      <c r="V51" s="62">
        <f t="shared" si="51"/>
        <v>-16335.048266557109</v>
      </c>
      <c r="W51" s="62">
        <f t="shared" si="51"/>
        <v>-15988.715286779448</v>
      </c>
      <c r="X51" s="62">
        <f t="shared" si="51"/>
        <v>-15751.702370283236</v>
      </c>
      <c r="Y51" s="62">
        <f t="shared" si="51"/>
        <v>-15590.58521762073</v>
      </c>
      <c r="Z51" s="62">
        <f t="shared" si="51"/>
        <v>-15481.559033229796</v>
      </c>
      <c r="AA51" s="62">
        <f t="shared" si="51"/>
        <v>-15408.009855414111</v>
      </c>
      <c r="AB51" s="62">
        <f t="shared" si="51"/>
        <v>-15358.496914269901</v>
      </c>
      <c r="AC51" s="62">
        <f t="shared" si="51"/>
        <v>-15325.211858527608</v>
      </c>
    </row>
    <row r="52" spans="1:29" x14ac:dyDescent="0.25">
      <c r="A52" s="30" t="str">
        <f>A33</f>
        <v>Capex costumization</v>
      </c>
      <c r="B52" s="62">
        <f>((1+B35)^B43)*B35/(((1+B35)^B43)-1)*(B33)</f>
        <v>305125.4282581982</v>
      </c>
      <c r="C52" s="62">
        <f t="shared" ref="C52:AC52" si="52">((1+C35)^C43)*C35/(((1+C35)^C43)-1)*(C33)</f>
        <v>305125.4282581982</v>
      </c>
      <c r="D52" s="62">
        <f t="shared" si="52"/>
        <v>305125.4282581982</v>
      </c>
      <c r="E52" s="62">
        <f t="shared" si="52"/>
        <v>305125.4282581982</v>
      </c>
      <c r="F52" s="62">
        <f t="shared" si="52"/>
        <v>305125.4282581982</v>
      </c>
      <c r="G52" s="62">
        <f t="shared" si="52"/>
        <v>305125.4282581982</v>
      </c>
      <c r="H52" s="62">
        <f t="shared" si="52"/>
        <v>305125.4282581982</v>
      </c>
      <c r="I52" s="62">
        <f t="shared" si="52"/>
        <v>305125.4282581982</v>
      </c>
      <c r="J52" s="62">
        <f t="shared" si="52"/>
        <v>305125.4282581982</v>
      </c>
      <c r="K52" s="62">
        <f t="shared" si="52"/>
        <v>305125.4282581982</v>
      </c>
      <c r="L52" s="62">
        <f t="shared" si="52"/>
        <v>305125.4282581982</v>
      </c>
      <c r="M52" s="62">
        <f t="shared" si="52"/>
        <v>305125.4282581982</v>
      </c>
      <c r="N52" s="62">
        <f t="shared" si="52"/>
        <v>305125.4282581982</v>
      </c>
      <c r="O52" s="62">
        <f t="shared" si="52"/>
        <v>305125.4282581982</v>
      </c>
      <c r="P52" s="62">
        <f t="shared" si="52"/>
        <v>305125.4282581982</v>
      </c>
      <c r="Q52" s="62">
        <f t="shared" si="52"/>
        <v>305125.4282581982</v>
      </c>
      <c r="R52" s="62">
        <f t="shared" si="52"/>
        <v>305125.4282581982</v>
      </c>
      <c r="S52" s="62">
        <f t="shared" si="52"/>
        <v>305125.4282581982</v>
      </c>
      <c r="T52" s="62">
        <f t="shared" si="52"/>
        <v>305125.4282581982</v>
      </c>
      <c r="U52" s="62">
        <f t="shared" si="52"/>
        <v>305125.4282581982</v>
      </c>
      <c r="V52" s="62">
        <f t="shared" si="52"/>
        <v>305125.4282581982</v>
      </c>
      <c r="W52" s="62">
        <f t="shared" si="52"/>
        <v>305125.4282581982</v>
      </c>
      <c r="X52" s="62">
        <f t="shared" si="52"/>
        <v>305125.4282581982</v>
      </c>
      <c r="Y52" s="62">
        <f t="shared" si="52"/>
        <v>305125.4282581982</v>
      </c>
      <c r="Z52" s="62">
        <f t="shared" si="52"/>
        <v>305125.4282581982</v>
      </c>
      <c r="AA52" s="62">
        <f t="shared" si="52"/>
        <v>305125.4282581982</v>
      </c>
      <c r="AB52" s="62">
        <f t="shared" si="52"/>
        <v>305125.4282581982</v>
      </c>
      <c r="AC52" s="62">
        <f t="shared" si="52"/>
        <v>305125.4282581982</v>
      </c>
    </row>
    <row r="53" spans="1:29" x14ac:dyDescent="0.25">
      <c r="A53" s="30" t="str">
        <f>A34</f>
        <v>Residual value (costumization)</v>
      </c>
      <c r="B53" s="62">
        <f>((1+B35)^B43)*B35/(((1+B35)^B43)-1)*(B34)</f>
        <v>-15256.271412909911</v>
      </c>
      <c r="C53" s="62">
        <f t="shared" ref="C53:AC53" si="53">((1+C35)^C43)*C35/(((1+C35)^C43)-1)*(C34)</f>
        <v>-15256.271412909911</v>
      </c>
      <c r="D53" s="62">
        <f t="shared" si="53"/>
        <v>-15256.271412909911</v>
      </c>
      <c r="E53" s="62">
        <f t="shared" si="53"/>
        <v>-15256.271412909911</v>
      </c>
      <c r="F53" s="62">
        <f t="shared" si="53"/>
        <v>-15256.271412909911</v>
      </c>
      <c r="G53" s="62">
        <f t="shared" si="53"/>
        <v>-15256.271412909911</v>
      </c>
      <c r="H53" s="62">
        <f t="shared" si="53"/>
        <v>-15256.271412909911</v>
      </c>
      <c r="I53" s="62">
        <f t="shared" si="53"/>
        <v>-15256.271412909911</v>
      </c>
      <c r="J53" s="62">
        <f t="shared" si="53"/>
        <v>-15256.271412909911</v>
      </c>
      <c r="K53" s="62">
        <f t="shared" si="53"/>
        <v>-15256.271412909911</v>
      </c>
      <c r="L53" s="62">
        <f t="shared" si="53"/>
        <v>-15256.271412909911</v>
      </c>
      <c r="M53" s="62">
        <f t="shared" si="53"/>
        <v>-15256.271412909911</v>
      </c>
      <c r="N53" s="62">
        <f t="shared" si="53"/>
        <v>-15256.271412909911</v>
      </c>
      <c r="O53" s="62">
        <f t="shared" si="53"/>
        <v>-15256.271412909911</v>
      </c>
      <c r="P53" s="62">
        <f t="shared" si="53"/>
        <v>-15256.271412909911</v>
      </c>
      <c r="Q53" s="62">
        <f t="shared" si="53"/>
        <v>-15256.271412909911</v>
      </c>
      <c r="R53" s="62">
        <f t="shared" si="53"/>
        <v>-15256.271412909911</v>
      </c>
      <c r="S53" s="62">
        <f t="shared" si="53"/>
        <v>-15256.271412909911</v>
      </c>
      <c r="T53" s="62">
        <f t="shared" si="53"/>
        <v>-15256.271412909911</v>
      </c>
      <c r="U53" s="62">
        <f t="shared" si="53"/>
        <v>-15256.271412909911</v>
      </c>
      <c r="V53" s="62">
        <f t="shared" si="53"/>
        <v>-15256.271412909911</v>
      </c>
      <c r="W53" s="62">
        <f t="shared" si="53"/>
        <v>-15256.271412909911</v>
      </c>
      <c r="X53" s="62">
        <f t="shared" si="53"/>
        <v>-15256.271412909911</v>
      </c>
      <c r="Y53" s="62">
        <f t="shared" si="53"/>
        <v>-15256.271412909911</v>
      </c>
      <c r="Z53" s="62">
        <f t="shared" si="53"/>
        <v>-15256.271412909911</v>
      </c>
      <c r="AA53" s="62">
        <f t="shared" si="53"/>
        <v>-15256.271412909911</v>
      </c>
      <c r="AB53" s="62">
        <f t="shared" si="53"/>
        <v>-15256.271412909911</v>
      </c>
      <c r="AC53" s="62">
        <f t="shared" si="53"/>
        <v>-15256.271412909911</v>
      </c>
    </row>
    <row r="54" spans="1:29" x14ac:dyDescent="0.25">
      <c r="A54" s="30" t="str">
        <f t="shared" ref="A54:AC54" si="54">A36</f>
        <v>Opex fix (admin, crew, insurance)</v>
      </c>
      <c r="B54" s="62">
        <f t="shared" si="54"/>
        <v>650000</v>
      </c>
      <c r="C54" s="62">
        <f t="shared" si="54"/>
        <v>650000</v>
      </c>
      <c r="D54" s="62">
        <f t="shared" si="54"/>
        <v>650000</v>
      </c>
      <c r="E54" s="62">
        <f t="shared" si="54"/>
        <v>650000</v>
      </c>
      <c r="F54" s="62">
        <f t="shared" si="54"/>
        <v>650000</v>
      </c>
      <c r="G54" s="62">
        <f t="shared" si="54"/>
        <v>650000</v>
      </c>
      <c r="H54" s="62">
        <f t="shared" si="54"/>
        <v>650000</v>
      </c>
      <c r="I54" s="62">
        <f t="shared" si="54"/>
        <v>650000</v>
      </c>
      <c r="J54" s="62">
        <f t="shared" si="54"/>
        <v>650000</v>
      </c>
      <c r="K54" s="62">
        <f t="shared" si="54"/>
        <v>650000</v>
      </c>
      <c r="L54" s="62">
        <f t="shared" si="54"/>
        <v>650000</v>
      </c>
      <c r="M54" s="62">
        <f t="shared" si="54"/>
        <v>650000</v>
      </c>
      <c r="N54" s="62">
        <f t="shared" si="54"/>
        <v>650000</v>
      </c>
      <c r="O54" s="62">
        <f t="shared" si="54"/>
        <v>650000</v>
      </c>
      <c r="P54" s="62">
        <f t="shared" si="54"/>
        <v>650000</v>
      </c>
      <c r="Q54" s="62">
        <f t="shared" si="54"/>
        <v>650000</v>
      </c>
      <c r="R54" s="62">
        <f t="shared" si="54"/>
        <v>650000</v>
      </c>
      <c r="S54" s="62">
        <f t="shared" si="54"/>
        <v>650000</v>
      </c>
      <c r="T54" s="62">
        <f t="shared" si="54"/>
        <v>650000</v>
      </c>
      <c r="U54" s="62">
        <f t="shared" si="54"/>
        <v>650000</v>
      </c>
      <c r="V54" s="62">
        <f t="shared" si="54"/>
        <v>650000</v>
      </c>
      <c r="W54" s="62">
        <f t="shared" si="54"/>
        <v>650000</v>
      </c>
      <c r="X54" s="62">
        <f t="shared" si="54"/>
        <v>650000</v>
      </c>
      <c r="Y54" s="62">
        <f t="shared" si="54"/>
        <v>650000</v>
      </c>
      <c r="Z54" s="62">
        <f t="shared" si="54"/>
        <v>650000</v>
      </c>
      <c r="AA54" s="62">
        <f t="shared" si="54"/>
        <v>650000</v>
      </c>
      <c r="AB54" s="62">
        <f t="shared" si="54"/>
        <v>650000</v>
      </c>
      <c r="AC54" s="62">
        <f t="shared" si="54"/>
        <v>650000</v>
      </c>
    </row>
    <row r="55" spans="1:29" x14ac:dyDescent="0.25">
      <c r="A55" s="30" t="str">
        <f t="shared" ref="A55:AC55" si="55">A37</f>
        <v>Opex maintenance &amp; repair</v>
      </c>
      <c r="B55" s="62">
        <f t="shared" si="55"/>
        <v>1050000</v>
      </c>
      <c r="C55" s="62">
        <f t="shared" si="55"/>
        <v>1050000</v>
      </c>
      <c r="D55" s="62">
        <f t="shared" si="55"/>
        <v>1050000</v>
      </c>
      <c r="E55" s="62">
        <f t="shared" si="55"/>
        <v>1050000</v>
      </c>
      <c r="F55" s="62">
        <f t="shared" si="55"/>
        <v>1050000</v>
      </c>
      <c r="G55" s="62">
        <f t="shared" si="55"/>
        <v>1050000</v>
      </c>
      <c r="H55" s="62">
        <f t="shared" si="55"/>
        <v>1050000</v>
      </c>
      <c r="I55" s="62">
        <f t="shared" si="55"/>
        <v>1050000</v>
      </c>
      <c r="J55" s="62">
        <f t="shared" si="55"/>
        <v>1050000</v>
      </c>
      <c r="K55" s="62">
        <f t="shared" si="55"/>
        <v>1050000</v>
      </c>
      <c r="L55" s="62">
        <f t="shared" si="55"/>
        <v>1050000</v>
      </c>
      <c r="M55" s="62">
        <f t="shared" si="55"/>
        <v>1050000</v>
      </c>
      <c r="N55" s="62">
        <f t="shared" si="55"/>
        <v>1050000</v>
      </c>
      <c r="O55" s="62">
        <f t="shared" si="55"/>
        <v>1050000</v>
      </c>
      <c r="P55" s="62">
        <f t="shared" si="55"/>
        <v>1050000</v>
      </c>
      <c r="Q55" s="62">
        <f t="shared" si="55"/>
        <v>1050000</v>
      </c>
      <c r="R55" s="62">
        <f t="shared" si="55"/>
        <v>1050000</v>
      </c>
      <c r="S55" s="62">
        <f t="shared" si="55"/>
        <v>1050000</v>
      </c>
      <c r="T55" s="62">
        <f t="shared" si="55"/>
        <v>1050000</v>
      </c>
      <c r="U55" s="62">
        <f t="shared" si="55"/>
        <v>1050000</v>
      </c>
      <c r="V55" s="62">
        <f t="shared" si="55"/>
        <v>1050000</v>
      </c>
      <c r="W55" s="62">
        <f t="shared" si="55"/>
        <v>1050000</v>
      </c>
      <c r="X55" s="62">
        <f t="shared" si="55"/>
        <v>1050000</v>
      </c>
      <c r="Y55" s="62">
        <f t="shared" si="55"/>
        <v>1050000</v>
      </c>
      <c r="Z55" s="62">
        <f t="shared" si="55"/>
        <v>1050000</v>
      </c>
      <c r="AA55" s="62">
        <f t="shared" si="55"/>
        <v>1050000</v>
      </c>
      <c r="AB55" s="62">
        <f t="shared" si="55"/>
        <v>1050000</v>
      </c>
      <c r="AC55" s="62">
        <f t="shared" si="55"/>
        <v>1050000</v>
      </c>
    </row>
    <row r="56" spans="1:29" x14ac:dyDescent="0.25">
      <c r="A56" s="30" t="str">
        <f>A38</f>
        <v>Opex var (mode-fees, shunting)</v>
      </c>
      <c r="B56" s="62">
        <f>B38*B47</f>
        <v>700000</v>
      </c>
      <c r="C56" s="62">
        <f t="shared" ref="C56:AC56" si="56">C38*C47</f>
        <v>700000</v>
      </c>
      <c r="D56" s="62">
        <f t="shared" si="56"/>
        <v>700000</v>
      </c>
      <c r="E56" s="62">
        <f t="shared" si="56"/>
        <v>700000</v>
      </c>
      <c r="F56" s="62">
        <f t="shared" si="56"/>
        <v>700000</v>
      </c>
      <c r="G56" s="62">
        <f t="shared" si="56"/>
        <v>700000</v>
      </c>
      <c r="H56" s="62">
        <f t="shared" si="56"/>
        <v>700000</v>
      </c>
      <c r="I56" s="62">
        <f t="shared" si="56"/>
        <v>700000</v>
      </c>
      <c r="J56" s="62">
        <f t="shared" si="56"/>
        <v>700000</v>
      </c>
      <c r="K56" s="62">
        <f t="shared" si="56"/>
        <v>700000</v>
      </c>
      <c r="L56" s="62">
        <f t="shared" si="56"/>
        <v>700000</v>
      </c>
      <c r="M56" s="62">
        <f t="shared" si="56"/>
        <v>700000</v>
      </c>
      <c r="N56" s="62">
        <f t="shared" si="56"/>
        <v>700000</v>
      </c>
      <c r="O56" s="62">
        <f t="shared" si="56"/>
        <v>700000</v>
      </c>
      <c r="P56" s="62">
        <f t="shared" si="56"/>
        <v>700000</v>
      </c>
      <c r="Q56" s="62">
        <f t="shared" si="56"/>
        <v>700000</v>
      </c>
      <c r="R56" s="62">
        <f t="shared" si="56"/>
        <v>700000</v>
      </c>
      <c r="S56" s="62">
        <f t="shared" si="56"/>
        <v>700000</v>
      </c>
      <c r="T56" s="62">
        <f t="shared" si="56"/>
        <v>700000</v>
      </c>
      <c r="U56" s="62">
        <f t="shared" si="56"/>
        <v>700000</v>
      </c>
      <c r="V56" s="62">
        <f t="shared" si="56"/>
        <v>700000</v>
      </c>
      <c r="W56" s="62">
        <f t="shared" si="56"/>
        <v>700000</v>
      </c>
      <c r="X56" s="62">
        <f t="shared" si="56"/>
        <v>700000</v>
      </c>
      <c r="Y56" s="62">
        <f t="shared" si="56"/>
        <v>700000</v>
      </c>
      <c r="Z56" s="62">
        <f t="shared" si="56"/>
        <v>700000</v>
      </c>
      <c r="AA56" s="62">
        <f t="shared" si="56"/>
        <v>700000</v>
      </c>
      <c r="AB56" s="62">
        <f t="shared" si="56"/>
        <v>700000</v>
      </c>
      <c r="AC56" s="62">
        <f t="shared" si="56"/>
        <v>700000</v>
      </c>
    </row>
    <row r="57" spans="1:29" x14ac:dyDescent="0.25">
      <c r="A57" s="30" t="str">
        <f>A40</f>
        <v>Fuel Cost</v>
      </c>
      <c r="B57" s="62">
        <f>B39*B40*B47</f>
        <v>1370480.16</v>
      </c>
      <c r="C57" s="62">
        <f t="shared" ref="C57:AC57" si="57">C39*C40*C47</f>
        <v>1370480.16</v>
      </c>
      <c r="D57" s="62">
        <f t="shared" si="57"/>
        <v>1370480.16</v>
      </c>
      <c r="E57" s="62">
        <f t="shared" si="57"/>
        <v>1370480.16</v>
      </c>
      <c r="F57" s="62">
        <f t="shared" si="57"/>
        <v>1370480.16</v>
      </c>
      <c r="G57" s="62">
        <f t="shared" si="57"/>
        <v>1370480.16</v>
      </c>
      <c r="H57" s="62">
        <f t="shared" si="57"/>
        <v>1370480.16</v>
      </c>
      <c r="I57" s="62">
        <f t="shared" si="57"/>
        <v>1370480.16</v>
      </c>
      <c r="J57" s="62">
        <f t="shared" si="57"/>
        <v>1370480.16</v>
      </c>
      <c r="K57" s="62">
        <f t="shared" si="57"/>
        <v>1370480.16</v>
      </c>
      <c r="L57" s="62">
        <f t="shared" si="57"/>
        <v>1370480.16</v>
      </c>
      <c r="M57" s="62">
        <f t="shared" si="57"/>
        <v>1370480.16</v>
      </c>
      <c r="N57" s="62">
        <f t="shared" si="57"/>
        <v>1370480.16</v>
      </c>
      <c r="O57" s="62">
        <f t="shared" si="57"/>
        <v>1370480.16</v>
      </c>
      <c r="P57" s="62">
        <f t="shared" si="57"/>
        <v>1370480.16</v>
      </c>
      <c r="Q57" s="62">
        <f t="shared" si="57"/>
        <v>1370480.16</v>
      </c>
      <c r="R57" s="62">
        <f t="shared" si="57"/>
        <v>1370480.16</v>
      </c>
      <c r="S57" s="62">
        <f t="shared" si="57"/>
        <v>1370480.16</v>
      </c>
      <c r="T57" s="62">
        <f t="shared" si="57"/>
        <v>1370480.16</v>
      </c>
      <c r="U57" s="62">
        <f t="shared" si="57"/>
        <v>1370480.16</v>
      </c>
      <c r="V57" s="62">
        <f t="shared" si="57"/>
        <v>1370480.16</v>
      </c>
      <c r="W57" s="62">
        <f t="shared" si="57"/>
        <v>1370480.16</v>
      </c>
      <c r="X57" s="62">
        <f t="shared" si="57"/>
        <v>1370480.16</v>
      </c>
      <c r="Y57" s="62">
        <f t="shared" si="57"/>
        <v>1370480.16</v>
      </c>
      <c r="Z57" s="62">
        <f t="shared" si="57"/>
        <v>1370480.16</v>
      </c>
      <c r="AA57" s="62">
        <f t="shared" si="57"/>
        <v>1370480.16</v>
      </c>
      <c r="AB57" s="62">
        <f t="shared" si="57"/>
        <v>1370480.16</v>
      </c>
      <c r="AC57" s="62">
        <f t="shared" si="57"/>
        <v>1370480.16</v>
      </c>
    </row>
    <row r="58" spans="1:29" ht="15.75" thickBot="1" x14ac:dyDescent="0.3">
      <c r="A58" s="59" t="str">
        <f>A21</f>
        <v>Emission Cost</v>
      </c>
      <c r="B58" s="62">
        <f>B41*B47</f>
        <v>367390.72745293472</v>
      </c>
      <c r="C58" s="62">
        <f t="shared" ref="C58:AC58" si="58">C41*C47</f>
        <v>368258.65482469439</v>
      </c>
      <c r="D58" s="62">
        <f t="shared" si="58"/>
        <v>369501.0735258449</v>
      </c>
      <c r="E58" s="62">
        <f t="shared" si="58"/>
        <v>371278.44084862951</v>
      </c>
      <c r="F58" s="62">
        <f t="shared" si="58"/>
        <v>373818.69094846037</v>
      </c>
      <c r="G58" s="62">
        <f t="shared" si="58"/>
        <v>377444.17681173066</v>
      </c>
      <c r="H58" s="62">
        <f t="shared" si="58"/>
        <v>382607.75811006804</v>
      </c>
      <c r="I58" s="62">
        <f t="shared" si="58"/>
        <v>389939.30334509478</v>
      </c>
      <c r="J58" s="62">
        <f t="shared" si="58"/>
        <v>400301.7380182895</v>
      </c>
      <c r="K58" s="62">
        <f t="shared" si="58"/>
        <v>414850.4093456472</v>
      </c>
      <c r="L58" s="62">
        <f t="shared" si="58"/>
        <v>435078.34382190782</v>
      </c>
      <c r="M58" s="62">
        <f t="shared" si="58"/>
        <v>462810.08526032721</v>
      </c>
      <c r="N58" s="62">
        <f t="shared" si="58"/>
        <v>500078.57414028887</v>
      </c>
      <c r="O58" s="62">
        <f t="shared" si="58"/>
        <v>548795.68884895509</v>
      </c>
      <c r="P58" s="62">
        <f t="shared" si="58"/>
        <v>610146.66056338348</v>
      </c>
      <c r="Q58" s="62">
        <f t="shared" si="58"/>
        <v>683766.0655407788</v>
      </c>
      <c r="R58" s="62">
        <f t="shared" si="58"/>
        <v>767012.9491133868</v>
      </c>
      <c r="S58" s="62">
        <f t="shared" si="58"/>
        <v>854896.34254762006</v>
      </c>
      <c r="T58" s="62">
        <f t="shared" si="58"/>
        <v>941050.35518034454</v>
      </c>
      <c r="U58" s="62">
        <f t="shared" si="58"/>
        <v>1019478.1262357264</v>
      </c>
      <c r="V58" s="62">
        <f t="shared" si="58"/>
        <v>1086130.5633034322</v>
      </c>
      <c r="W58" s="62">
        <f t="shared" si="58"/>
        <v>1139507.2286194926</v>
      </c>
      <c r="X58" s="62">
        <f t="shared" si="58"/>
        <v>1180235.9932811107</v>
      </c>
      <c r="Y58" s="62">
        <f t="shared" si="58"/>
        <v>1210174.9017590475</v>
      </c>
      <c r="Z58" s="62">
        <f t="shared" si="58"/>
        <v>1231580.7882046322</v>
      </c>
      <c r="AA58" s="62">
        <f t="shared" si="58"/>
        <v>1246583.153389158</v>
      </c>
      <c r="AB58" s="62">
        <f t="shared" si="58"/>
        <v>1256950.7098490945</v>
      </c>
      <c r="AC58" s="62">
        <f t="shared" si="58"/>
        <v>1264045.7453697838</v>
      </c>
    </row>
    <row r="59" spans="1:29" ht="15.75" thickBot="1" x14ac:dyDescent="0.3">
      <c r="A59" s="31" t="s">
        <v>209</v>
      </c>
      <c r="B59" s="64">
        <f>B50+B51+B52+B53+B54+B55+B56+B57+B58</f>
        <v>4687516.9592107665</v>
      </c>
      <c r="C59" s="64">
        <f t="shared" ref="C59:AC59" si="59">C50+C51+C52+C53+C54+C55+C56+C57+C58</f>
        <v>4688557.3783846488</v>
      </c>
      <c r="D59" s="64">
        <f t="shared" si="59"/>
        <v>4690044.7107178038</v>
      </c>
      <c r="E59" s="64">
        <f t="shared" si="59"/>
        <v>4692168.2399247307</v>
      </c>
      <c r="F59" s="64">
        <f t="shared" si="59"/>
        <v>4695194.495064619</v>
      </c>
      <c r="G59" s="64">
        <f t="shared" si="59"/>
        <v>4699495.7043588618</v>
      </c>
      <c r="H59" s="64">
        <f t="shared" si="59"/>
        <v>4705585.6772021987</v>
      </c>
      <c r="I59" s="64">
        <f t="shared" si="59"/>
        <v>4714162.1934056003</v>
      </c>
      <c r="J59" s="64">
        <f t="shared" si="59"/>
        <v>4726152.0456451634</v>
      </c>
      <c r="K59" s="64">
        <f t="shared" si="59"/>
        <v>4742750.1743280925</v>
      </c>
      <c r="L59" s="64">
        <f t="shared" si="59"/>
        <v>4765437.3988013556</v>
      </c>
      <c r="M59" s="64">
        <f t="shared" si="59"/>
        <v>4795950.0405759644</v>
      </c>
      <c r="N59" s="64">
        <f t="shared" si="59"/>
        <v>4836154.3145310953</v>
      </c>
      <c r="O59" s="64">
        <f t="shared" si="59"/>
        <v>4887749.4435558822</v>
      </c>
      <c r="P59" s="64">
        <f t="shared" si="59"/>
        <v>4951720.3309420403</v>
      </c>
      <c r="Q59" s="64">
        <f t="shared" si="59"/>
        <v>5027566.29115724</v>
      </c>
      <c r="R59" s="64">
        <f t="shared" si="59"/>
        <v>5112596.2467218786</v>
      </c>
      <c r="S59" s="64">
        <f t="shared" si="59"/>
        <v>5201840.2032244131</v>
      </c>
      <c r="T59" s="64">
        <f t="shared" si="59"/>
        <v>5288994.3388296552</v>
      </c>
      <c r="U59" s="64">
        <f t="shared" si="59"/>
        <v>5368137.1833419437</v>
      </c>
      <c r="V59" s="64">
        <f t="shared" si="59"/>
        <v>5435290.7813011436</v>
      </c>
      <c r="W59" s="64">
        <f t="shared" si="59"/>
        <v>5489013.7795969816</v>
      </c>
      <c r="X59" s="64">
        <f t="shared" si="59"/>
        <v>5529979.5571750961</v>
      </c>
      <c r="Y59" s="64">
        <f t="shared" si="59"/>
        <v>5560079.582805695</v>
      </c>
      <c r="Z59" s="64">
        <f t="shared" si="59"/>
        <v>5581594.49543567</v>
      </c>
      <c r="AA59" s="64">
        <f t="shared" si="59"/>
        <v>5596670.4097980121</v>
      </c>
      <c r="AB59" s="64">
        <f t="shared" si="59"/>
        <v>5607087.4791990928</v>
      </c>
      <c r="AC59" s="64">
        <f t="shared" si="59"/>
        <v>5614215.7997755241</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60">A50</f>
        <v>Capex vehicle</v>
      </c>
      <c r="B62" s="65">
        <f>((1+B35)^B42)*B35/(((1+B35)^B42)-1)*(B31)/B47</f>
        <v>1.7095011171931649</v>
      </c>
      <c r="C62" s="65">
        <f t="shared" ref="C62:AC62" si="61">((1+C35)^C42)*C35/(((1+C35)^C42)-1)*(C31)/C47</f>
        <v>1.7095011171931649</v>
      </c>
      <c r="D62" s="65">
        <f t="shared" si="61"/>
        <v>1.7095011171931649</v>
      </c>
      <c r="E62" s="65">
        <f t="shared" si="61"/>
        <v>1.7095011171931649</v>
      </c>
      <c r="F62" s="65">
        <f t="shared" si="61"/>
        <v>1.7095011171931649</v>
      </c>
      <c r="G62" s="65">
        <f t="shared" si="61"/>
        <v>1.7095011171931649</v>
      </c>
      <c r="H62" s="65">
        <f t="shared" si="61"/>
        <v>1.7095011171931649</v>
      </c>
      <c r="I62" s="65">
        <f t="shared" si="61"/>
        <v>1.7095011171931649</v>
      </c>
      <c r="J62" s="65">
        <f t="shared" si="61"/>
        <v>1.7095011171931649</v>
      </c>
      <c r="K62" s="65">
        <f t="shared" si="61"/>
        <v>1.7095011171931649</v>
      </c>
      <c r="L62" s="65">
        <f t="shared" si="61"/>
        <v>1.7095011171931649</v>
      </c>
      <c r="M62" s="65">
        <f t="shared" si="61"/>
        <v>1.7095011171931649</v>
      </c>
      <c r="N62" s="65">
        <f t="shared" si="61"/>
        <v>1.7095011171931649</v>
      </c>
      <c r="O62" s="65">
        <f t="shared" si="61"/>
        <v>1.7095011171931649</v>
      </c>
      <c r="P62" s="65">
        <f t="shared" si="61"/>
        <v>1.7095011171931649</v>
      </c>
      <c r="Q62" s="65">
        <f t="shared" si="61"/>
        <v>1.7095011171931649</v>
      </c>
      <c r="R62" s="65">
        <f t="shared" si="61"/>
        <v>1.7095011171931649</v>
      </c>
      <c r="S62" s="65">
        <f t="shared" si="61"/>
        <v>1.7095011171931649</v>
      </c>
      <c r="T62" s="65">
        <f t="shared" si="61"/>
        <v>1.7095011171931649</v>
      </c>
      <c r="U62" s="65">
        <f t="shared" si="61"/>
        <v>1.7095011171931649</v>
      </c>
      <c r="V62" s="65">
        <f t="shared" si="61"/>
        <v>1.7095011171931649</v>
      </c>
      <c r="W62" s="65">
        <f t="shared" si="61"/>
        <v>1.7095011171931649</v>
      </c>
      <c r="X62" s="65">
        <f t="shared" si="61"/>
        <v>1.7095011171931649</v>
      </c>
      <c r="Y62" s="65">
        <f t="shared" si="61"/>
        <v>1.7095011171931649</v>
      </c>
      <c r="Z62" s="65">
        <f t="shared" si="61"/>
        <v>1.7095011171931649</v>
      </c>
      <c r="AA62" s="65">
        <f t="shared" si="61"/>
        <v>1.7095011171931649</v>
      </c>
      <c r="AB62" s="65">
        <f t="shared" si="61"/>
        <v>1.7095011171931649</v>
      </c>
      <c r="AC62" s="65">
        <f t="shared" si="61"/>
        <v>1.7095011171931649</v>
      </c>
    </row>
    <row r="63" spans="1:29" x14ac:dyDescent="0.25">
      <c r="A63" s="30" t="str">
        <f t="shared" si="60"/>
        <v>Residual value (vehicle)</v>
      </c>
      <c r="B63" s="66">
        <f>((1+B35)^B42)*B35/(((1+B35)^B42)-1)*(B32)/B47</f>
        <v>-0.25416826054025926</v>
      </c>
      <c r="C63" s="66">
        <f t="shared" ref="C63:AC63" si="62">((1+C35)^C42)*C35/(((1+C35)^C42)-1)*(C32)/C47</f>
        <v>-0.2532019199121241</v>
      </c>
      <c r="D63" s="66">
        <f t="shared" si="62"/>
        <v>-0.25182985474682912</v>
      </c>
      <c r="E63" s="66">
        <f t="shared" si="62"/>
        <v>-0.24989057248272897</v>
      </c>
      <c r="F63" s="66">
        <f t="shared" si="62"/>
        <v>-0.24716785517148263</v>
      </c>
      <c r="G63" s="66">
        <f t="shared" si="62"/>
        <v>-0.2433822897318601</v>
      </c>
      <c r="H63" s="66">
        <f t="shared" si="62"/>
        <v>-0.23819242113242242</v>
      </c>
      <c r="I63" s="66">
        <f t="shared" si="62"/>
        <v>-0.23121779385861393</v>
      </c>
      <c r="J63" s="66">
        <f t="shared" si="62"/>
        <v>-0.22210060861284955</v>
      </c>
      <c r="K63" s="66">
        <f t="shared" si="62"/>
        <v>-0.21061905480012771</v>
      </c>
      <c r="L63" s="66">
        <f t="shared" si="62"/>
        <v>-0.19684151980291528</v>
      </c>
      <c r="M63" s="66">
        <f t="shared" si="62"/>
        <v>-0.18126224621081494</v>
      </c>
      <c r="N63" s="66">
        <f t="shared" si="62"/>
        <v>-0.16481527099978574</v>
      </c>
      <c r="O63" s="66">
        <f t="shared" si="62"/>
        <v>-0.14869194149770532</v>
      </c>
      <c r="P63" s="66">
        <f t="shared" si="62"/>
        <v>-0.13401454277653033</v>
      </c>
      <c r="Q63" s="66">
        <f t="shared" si="62"/>
        <v>-0.12154084396530274</v>
      </c>
      <c r="R63" s="66">
        <f t="shared" si="62"/>
        <v>-0.11155164513039878</v>
      </c>
      <c r="S63" s="66">
        <f t="shared" si="62"/>
        <v>-0.10392944306708454</v>
      </c>
      <c r="T63" s="66">
        <f t="shared" si="62"/>
        <v>-9.8326513249059416E-2</v>
      </c>
      <c r="U63" s="66">
        <f t="shared" si="62"/>
        <v>-9.4320499484876544E-2</v>
      </c>
      <c r="V63" s="66">
        <f t="shared" si="62"/>
        <v>-9.1512875442896963E-2</v>
      </c>
      <c r="W63" s="66">
        <f t="shared" si="62"/>
        <v>-8.9572634659828843E-2</v>
      </c>
      <c r="X63" s="66">
        <f t="shared" si="62"/>
        <v>-8.8244831206068547E-2</v>
      </c>
      <c r="Y63" s="66">
        <f t="shared" si="62"/>
        <v>-8.734221410431782E-2</v>
      </c>
      <c r="Z63" s="66">
        <f t="shared" si="62"/>
        <v>-8.6731423155348999E-2</v>
      </c>
      <c r="AA63" s="66">
        <f t="shared" si="62"/>
        <v>-8.631938294349642E-2</v>
      </c>
      <c r="AB63" s="66">
        <f t="shared" si="62"/>
        <v>-8.6041999519719331E-2</v>
      </c>
      <c r="AC63" s="66">
        <f t="shared" si="62"/>
        <v>-8.5855528619202287E-2</v>
      </c>
    </row>
    <row r="64" spans="1:29" x14ac:dyDescent="0.25">
      <c r="A64" s="30" t="str">
        <f t="shared" si="60"/>
        <v>Capex costumization</v>
      </c>
      <c r="B64" s="66">
        <f>((1+B35)^B43)*B35/(((1+B35)^B43)-1)*(B33)/B47</f>
        <v>1.7093861527069927</v>
      </c>
      <c r="C64" s="66">
        <f t="shared" ref="C64:AC64" si="63">((1+C35)^C43)*C35/(((1+C35)^C43)-1)*(C33)/C47</f>
        <v>1.7093861527069927</v>
      </c>
      <c r="D64" s="66">
        <f t="shared" si="63"/>
        <v>1.7093861527069927</v>
      </c>
      <c r="E64" s="66">
        <f t="shared" si="63"/>
        <v>1.7093861527069927</v>
      </c>
      <c r="F64" s="66">
        <f t="shared" si="63"/>
        <v>1.7093861527069927</v>
      </c>
      <c r="G64" s="66">
        <f t="shared" si="63"/>
        <v>1.7093861527069927</v>
      </c>
      <c r="H64" s="66">
        <f t="shared" si="63"/>
        <v>1.7093861527069927</v>
      </c>
      <c r="I64" s="66">
        <f t="shared" si="63"/>
        <v>1.7093861527069927</v>
      </c>
      <c r="J64" s="66">
        <f t="shared" si="63"/>
        <v>1.7093861527069927</v>
      </c>
      <c r="K64" s="66">
        <f t="shared" si="63"/>
        <v>1.7093861527069927</v>
      </c>
      <c r="L64" s="66">
        <f t="shared" si="63"/>
        <v>1.7093861527069927</v>
      </c>
      <c r="M64" s="66">
        <f t="shared" si="63"/>
        <v>1.7093861527069927</v>
      </c>
      <c r="N64" s="66">
        <f t="shared" si="63"/>
        <v>1.7093861527069927</v>
      </c>
      <c r="O64" s="66">
        <f t="shared" si="63"/>
        <v>1.7093861527069927</v>
      </c>
      <c r="P64" s="66">
        <f t="shared" si="63"/>
        <v>1.7093861527069927</v>
      </c>
      <c r="Q64" s="66">
        <f t="shared" si="63"/>
        <v>1.7093861527069927</v>
      </c>
      <c r="R64" s="66">
        <f t="shared" si="63"/>
        <v>1.7093861527069927</v>
      </c>
      <c r="S64" s="66">
        <f t="shared" si="63"/>
        <v>1.7093861527069927</v>
      </c>
      <c r="T64" s="66">
        <f t="shared" si="63"/>
        <v>1.7093861527069927</v>
      </c>
      <c r="U64" s="66">
        <f t="shared" si="63"/>
        <v>1.7093861527069927</v>
      </c>
      <c r="V64" s="66">
        <f t="shared" si="63"/>
        <v>1.7093861527069927</v>
      </c>
      <c r="W64" s="66">
        <f t="shared" si="63"/>
        <v>1.7093861527069927</v>
      </c>
      <c r="X64" s="66">
        <f t="shared" si="63"/>
        <v>1.7093861527069927</v>
      </c>
      <c r="Y64" s="66">
        <f t="shared" si="63"/>
        <v>1.7093861527069927</v>
      </c>
      <c r="Z64" s="66">
        <f t="shared" si="63"/>
        <v>1.7093861527069927</v>
      </c>
      <c r="AA64" s="66">
        <f t="shared" si="63"/>
        <v>1.7093861527069927</v>
      </c>
      <c r="AB64" s="66">
        <f t="shared" si="63"/>
        <v>1.7093861527069927</v>
      </c>
      <c r="AC64" s="66">
        <f t="shared" si="63"/>
        <v>1.7093861527069927</v>
      </c>
    </row>
    <row r="65" spans="1:29" x14ac:dyDescent="0.25">
      <c r="A65" s="30" t="str">
        <f t="shared" si="60"/>
        <v>Residual value (costumization)</v>
      </c>
      <c r="B65" s="66">
        <f>((1+B35)^B43)*B35/(((1+B35)^B43)-1)*(B34)/B47</f>
        <v>-8.5469307635349642E-2</v>
      </c>
      <c r="C65" s="66">
        <f t="shared" ref="C65:AC65" si="64">((1+C35)^C43)*C35/(((1+C35)^C43)-1)*(C34)/C47</f>
        <v>-8.5469307635349642E-2</v>
      </c>
      <c r="D65" s="66">
        <f t="shared" si="64"/>
        <v>-8.5469307635349642E-2</v>
      </c>
      <c r="E65" s="66">
        <f t="shared" si="64"/>
        <v>-8.5469307635349642E-2</v>
      </c>
      <c r="F65" s="66">
        <f t="shared" si="64"/>
        <v>-8.5469307635349642E-2</v>
      </c>
      <c r="G65" s="66">
        <f t="shared" si="64"/>
        <v>-8.5469307635349642E-2</v>
      </c>
      <c r="H65" s="66">
        <f t="shared" si="64"/>
        <v>-8.5469307635349642E-2</v>
      </c>
      <c r="I65" s="66">
        <f t="shared" si="64"/>
        <v>-8.5469307635349642E-2</v>
      </c>
      <c r="J65" s="66">
        <f t="shared" si="64"/>
        <v>-8.5469307635349642E-2</v>
      </c>
      <c r="K65" s="66">
        <f t="shared" si="64"/>
        <v>-8.5469307635349642E-2</v>
      </c>
      <c r="L65" s="66">
        <f t="shared" si="64"/>
        <v>-8.5469307635349642E-2</v>
      </c>
      <c r="M65" s="66">
        <f t="shared" si="64"/>
        <v>-8.5469307635349642E-2</v>
      </c>
      <c r="N65" s="66">
        <f t="shared" si="64"/>
        <v>-8.5469307635349642E-2</v>
      </c>
      <c r="O65" s="66">
        <f t="shared" si="64"/>
        <v>-8.5469307635349642E-2</v>
      </c>
      <c r="P65" s="66">
        <f t="shared" si="64"/>
        <v>-8.5469307635349642E-2</v>
      </c>
      <c r="Q65" s="66">
        <f t="shared" si="64"/>
        <v>-8.5469307635349642E-2</v>
      </c>
      <c r="R65" s="66">
        <f t="shared" si="64"/>
        <v>-8.5469307635349642E-2</v>
      </c>
      <c r="S65" s="66">
        <f t="shared" si="64"/>
        <v>-8.5469307635349642E-2</v>
      </c>
      <c r="T65" s="66">
        <f t="shared" si="64"/>
        <v>-8.5469307635349642E-2</v>
      </c>
      <c r="U65" s="66">
        <f t="shared" si="64"/>
        <v>-8.5469307635349642E-2</v>
      </c>
      <c r="V65" s="66">
        <f t="shared" si="64"/>
        <v>-8.5469307635349642E-2</v>
      </c>
      <c r="W65" s="66">
        <f t="shared" si="64"/>
        <v>-8.5469307635349642E-2</v>
      </c>
      <c r="X65" s="66">
        <f t="shared" si="64"/>
        <v>-8.5469307635349642E-2</v>
      </c>
      <c r="Y65" s="66">
        <f t="shared" si="64"/>
        <v>-8.5469307635349642E-2</v>
      </c>
      <c r="Z65" s="66">
        <f t="shared" si="64"/>
        <v>-8.5469307635349642E-2</v>
      </c>
      <c r="AA65" s="66">
        <f t="shared" si="64"/>
        <v>-8.5469307635349642E-2</v>
      </c>
      <c r="AB65" s="66">
        <f t="shared" si="64"/>
        <v>-8.5469307635349642E-2</v>
      </c>
      <c r="AC65" s="66">
        <f t="shared" si="64"/>
        <v>-8.5469307635349642E-2</v>
      </c>
    </row>
    <row r="66" spans="1:29" x14ac:dyDescent="0.25">
      <c r="A66" s="30" t="str">
        <f t="shared" si="60"/>
        <v>Opex fix (admin, crew, insurance)</v>
      </c>
      <c r="B66" s="66">
        <f>B36/B47</f>
        <v>3.6414565826330532</v>
      </c>
      <c r="C66" s="66">
        <f t="shared" ref="C66:AC66" si="65">C36/C47</f>
        <v>3.6414565826330532</v>
      </c>
      <c r="D66" s="66">
        <f t="shared" si="65"/>
        <v>3.6414565826330532</v>
      </c>
      <c r="E66" s="66">
        <f t="shared" si="65"/>
        <v>3.6414565826330532</v>
      </c>
      <c r="F66" s="66">
        <f t="shared" si="65"/>
        <v>3.6414565826330532</v>
      </c>
      <c r="G66" s="66">
        <f t="shared" si="65"/>
        <v>3.6414565826330532</v>
      </c>
      <c r="H66" s="66">
        <f t="shared" si="65"/>
        <v>3.6414565826330532</v>
      </c>
      <c r="I66" s="66">
        <f t="shared" si="65"/>
        <v>3.6414565826330532</v>
      </c>
      <c r="J66" s="66">
        <f t="shared" si="65"/>
        <v>3.6414565826330532</v>
      </c>
      <c r="K66" s="66">
        <f t="shared" si="65"/>
        <v>3.6414565826330532</v>
      </c>
      <c r="L66" s="66">
        <f t="shared" si="65"/>
        <v>3.6414565826330532</v>
      </c>
      <c r="M66" s="66">
        <f t="shared" si="65"/>
        <v>3.6414565826330532</v>
      </c>
      <c r="N66" s="66">
        <f t="shared" si="65"/>
        <v>3.6414565826330532</v>
      </c>
      <c r="O66" s="66">
        <f t="shared" si="65"/>
        <v>3.6414565826330532</v>
      </c>
      <c r="P66" s="66">
        <f t="shared" si="65"/>
        <v>3.6414565826330532</v>
      </c>
      <c r="Q66" s="66">
        <f t="shared" si="65"/>
        <v>3.6414565826330532</v>
      </c>
      <c r="R66" s="66">
        <f t="shared" si="65"/>
        <v>3.6414565826330532</v>
      </c>
      <c r="S66" s="66">
        <f t="shared" si="65"/>
        <v>3.6414565826330532</v>
      </c>
      <c r="T66" s="66">
        <f t="shared" si="65"/>
        <v>3.6414565826330532</v>
      </c>
      <c r="U66" s="66">
        <f t="shared" si="65"/>
        <v>3.6414565826330532</v>
      </c>
      <c r="V66" s="66">
        <f t="shared" si="65"/>
        <v>3.6414565826330532</v>
      </c>
      <c r="W66" s="66">
        <f t="shared" si="65"/>
        <v>3.6414565826330532</v>
      </c>
      <c r="X66" s="66">
        <f t="shared" si="65"/>
        <v>3.6414565826330532</v>
      </c>
      <c r="Y66" s="66">
        <f t="shared" si="65"/>
        <v>3.6414565826330532</v>
      </c>
      <c r="Z66" s="66">
        <f t="shared" si="65"/>
        <v>3.6414565826330532</v>
      </c>
      <c r="AA66" s="66">
        <f t="shared" si="65"/>
        <v>3.6414565826330532</v>
      </c>
      <c r="AB66" s="66">
        <f t="shared" si="65"/>
        <v>3.6414565826330532</v>
      </c>
      <c r="AC66" s="66">
        <f t="shared" si="65"/>
        <v>3.6414565826330532</v>
      </c>
    </row>
    <row r="67" spans="1:29" x14ac:dyDescent="0.25">
      <c r="A67" s="30" t="str">
        <f t="shared" si="60"/>
        <v>Opex maintenance &amp; repair</v>
      </c>
      <c r="B67" s="66">
        <f>B37/B47</f>
        <v>5.882352941176471</v>
      </c>
      <c r="C67" s="66">
        <f t="shared" ref="C67:AC67" si="66">C37/C47</f>
        <v>5.882352941176471</v>
      </c>
      <c r="D67" s="66">
        <f t="shared" si="66"/>
        <v>5.882352941176471</v>
      </c>
      <c r="E67" s="66">
        <f t="shared" si="66"/>
        <v>5.882352941176471</v>
      </c>
      <c r="F67" s="66">
        <f t="shared" si="66"/>
        <v>5.882352941176471</v>
      </c>
      <c r="G67" s="66">
        <f t="shared" si="66"/>
        <v>5.882352941176471</v>
      </c>
      <c r="H67" s="66">
        <f t="shared" si="66"/>
        <v>5.882352941176471</v>
      </c>
      <c r="I67" s="66">
        <f t="shared" si="66"/>
        <v>5.882352941176471</v>
      </c>
      <c r="J67" s="66">
        <f t="shared" si="66"/>
        <v>5.882352941176471</v>
      </c>
      <c r="K67" s="66">
        <f t="shared" si="66"/>
        <v>5.882352941176471</v>
      </c>
      <c r="L67" s="66">
        <f t="shared" si="66"/>
        <v>5.882352941176471</v>
      </c>
      <c r="M67" s="66">
        <f t="shared" si="66"/>
        <v>5.882352941176471</v>
      </c>
      <c r="N67" s="66">
        <f t="shared" si="66"/>
        <v>5.882352941176471</v>
      </c>
      <c r="O67" s="66">
        <f t="shared" si="66"/>
        <v>5.882352941176471</v>
      </c>
      <c r="P67" s="66">
        <f t="shared" si="66"/>
        <v>5.882352941176471</v>
      </c>
      <c r="Q67" s="66">
        <f t="shared" si="66"/>
        <v>5.882352941176471</v>
      </c>
      <c r="R67" s="66">
        <f t="shared" si="66"/>
        <v>5.882352941176471</v>
      </c>
      <c r="S67" s="66">
        <f t="shared" si="66"/>
        <v>5.882352941176471</v>
      </c>
      <c r="T67" s="66">
        <f t="shared" si="66"/>
        <v>5.882352941176471</v>
      </c>
      <c r="U67" s="66">
        <f t="shared" si="66"/>
        <v>5.882352941176471</v>
      </c>
      <c r="V67" s="66">
        <f t="shared" si="66"/>
        <v>5.882352941176471</v>
      </c>
      <c r="W67" s="66">
        <f t="shared" si="66"/>
        <v>5.882352941176471</v>
      </c>
      <c r="X67" s="66">
        <f t="shared" si="66"/>
        <v>5.882352941176471</v>
      </c>
      <c r="Y67" s="66">
        <f t="shared" si="66"/>
        <v>5.882352941176471</v>
      </c>
      <c r="Z67" s="66">
        <f t="shared" si="66"/>
        <v>5.882352941176471</v>
      </c>
      <c r="AA67" s="66">
        <f t="shared" si="66"/>
        <v>5.882352941176471</v>
      </c>
      <c r="AB67" s="66">
        <f t="shared" si="66"/>
        <v>5.882352941176471</v>
      </c>
      <c r="AC67" s="66">
        <f t="shared" si="66"/>
        <v>5.882352941176471</v>
      </c>
    </row>
    <row r="68" spans="1:29" x14ac:dyDescent="0.25">
      <c r="A68" s="30" t="str">
        <f t="shared" si="60"/>
        <v>Opex var (mode-fees, shunting)</v>
      </c>
      <c r="B68" s="66">
        <f>B38*B47/B47</f>
        <v>3.9215686274509802</v>
      </c>
      <c r="C68" s="66">
        <f t="shared" ref="C68:AC68" si="67">C38*C47/C47</f>
        <v>3.9215686274509802</v>
      </c>
      <c r="D68" s="66">
        <f t="shared" si="67"/>
        <v>3.9215686274509802</v>
      </c>
      <c r="E68" s="66">
        <f t="shared" si="67"/>
        <v>3.9215686274509802</v>
      </c>
      <c r="F68" s="66">
        <f t="shared" si="67"/>
        <v>3.9215686274509802</v>
      </c>
      <c r="G68" s="66">
        <f t="shared" si="67"/>
        <v>3.9215686274509802</v>
      </c>
      <c r="H68" s="66">
        <f t="shared" si="67"/>
        <v>3.9215686274509802</v>
      </c>
      <c r="I68" s="66">
        <f t="shared" si="67"/>
        <v>3.9215686274509802</v>
      </c>
      <c r="J68" s="66">
        <f t="shared" si="67"/>
        <v>3.9215686274509802</v>
      </c>
      <c r="K68" s="66">
        <f t="shared" si="67"/>
        <v>3.9215686274509802</v>
      </c>
      <c r="L68" s="66">
        <f t="shared" si="67"/>
        <v>3.9215686274509802</v>
      </c>
      <c r="M68" s="66">
        <f t="shared" si="67"/>
        <v>3.9215686274509802</v>
      </c>
      <c r="N68" s="66">
        <f t="shared" si="67"/>
        <v>3.9215686274509802</v>
      </c>
      <c r="O68" s="66">
        <f t="shared" si="67"/>
        <v>3.9215686274509802</v>
      </c>
      <c r="P68" s="66">
        <f t="shared" si="67"/>
        <v>3.9215686274509802</v>
      </c>
      <c r="Q68" s="66">
        <f t="shared" si="67"/>
        <v>3.9215686274509802</v>
      </c>
      <c r="R68" s="66">
        <f t="shared" si="67"/>
        <v>3.9215686274509802</v>
      </c>
      <c r="S68" s="66">
        <f t="shared" si="67"/>
        <v>3.9215686274509802</v>
      </c>
      <c r="T68" s="66">
        <f t="shared" si="67"/>
        <v>3.9215686274509802</v>
      </c>
      <c r="U68" s="66">
        <f t="shared" si="67"/>
        <v>3.9215686274509802</v>
      </c>
      <c r="V68" s="66">
        <f t="shared" si="67"/>
        <v>3.9215686274509802</v>
      </c>
      <c r="W68" s="66">
        <f t="shared" si="67"/>
        <v>3.9215686274509802</v>
      </c>
      <c r="X68" s="66">
        <f t="shared" si="67"/>
        <v>3.9215686274509802</v>
      </c>
      <c r="Y68" s="66">
        <f t="shared" si="67"/>
        <v>3.9215686274509802</v>
      </c>
      <c r="Z68" s="66">
        <f t="shared" si="67"/>
        <v>3.9215686274509802</v>
      </c>
      <c r="AA68" s="66">
        <f t="shared" si="67"/>
        <v>3.9215686274509802</v>
      </c>
      <c r="AB68" s="66">
        <f t="shared" si="67"/>
        <v>3.9215686274509802</v>
      </c>
      <c r="AC68" s="66">
        <f t="shared" si="67"/>
        <v>3.9215686274509802</v>
      </c>
    </row>
    <row r="69" spans="1:29" x14ac:dyDescent="0.25">
      <c r="A69" s="30" t="str">
        <f t="shared" si="60"/>
        <v>Fuel Cost</v>
      </c>
      <c r="B69" s="66">
        <f>B39*B40*B47/B47</f>
        <v>7.6777599999999993</v>
      </c>
      <c r="C69" s="66">
        <f t="shared" ref="C69:AC69" si="68">C39*C40*C47/C47</f>
        <v>7.6777599999999993</v>
      </c>
      <c r="D69" s="66">
        <f t="shared" si="68"/>
        <v>7.6777599999999993</v>
      </c>
      <c r="E69" s="66">
        <f t="shared" si="68"/>
        <v>7.6777599999999993</v>
      </c>
      <c r="F69" s="66">
        <f t="shared" si="68"/>
        <v>7.6777599999999993</v>
      </c>
      <c r="G69" s="66">
        <f t="shared" si="68"/>
        <v>7.6777599999999993</v>
      </c>
      <c r="H69" s="66">
        <f t="shared" si="68"/>
        <v>7.6777599999999993</v>
      </c>
      <c r="I69" s="66">
        <f t="shared" si="68"/>
        <v>7.6777599999999993</v>
      </c>
      <c r="J69" s="66">
        <f t="shared" si="68"/>
        <v>7.6777599999999993</v>
      </c>
      <c r="K69" s="66">
        <f t="shared" si="68"/>
        <v>7.6777599999999993</v>
      </c>
      <c r="L69" s="66">
        <f t="shared" si="68"/>
        <v>7.6777599999999993</v>
      </c>
      <c r="M69" s="66">
        <f t="shared" si="68"/>
        <v>7.6777599999999993</v>
      </c>
      <c r="N69" s="66">
        <f t="shared" si="68"/>
        <v>7.6777599999999993</v>
      </c>
      <c r="O69" s="66">
        <f t="shared" si="68"/>
        <v>7.6777599999999993</v>
      </c>
      <c r="P69" s="66">
        <f t="shared" si="68"/>
        <v>7.6777599999999993</v>
      </c>
      <c r="Q69" s="66">
        <f t="shared" si="68"/>
        <v>7.6777599999999993</v>
      </c>
      <c r="R69" s="66">
        <f t="shared" si="68"/>
        <v>7.6777599999999993</v>
      </c>
      <c r="S69" s="66">
        <f t="shared" si="68"/>
        <v>7.6777599999999993</v>
      </c>
      <c r="T69" s="66">
        <f t="shared" si="68"/>
        <v>7.6777599999999993</v>
      </c>
      <c r="U69" s="66">
        <f t="shared" si="68"/>
        <v>7.6777599999999993</v>
      </c>
      <c r="V69" s="66">
        <f t="shared" si="68"/>
        <v>7.6777599999999993</v>
      </c>
      <c r="W69" s="66">
        <f t="shared" si="68"/>
        <v>7.6777599999999993</v>
      </c>
      <c r="X69" s="66">
        <f t="shared" si="68"/>
        <v>7.6777599999999993</v>
      </c>
      <c r="Y69" s="66">
        <f t="shared" si="68"/>
        <v>7.6777599999999993</v>
      </c>
      <c r="Z69" s="66">
        <f t="shared" si="68"/>
        <v>7.6777599999999993</v>
      </c>
      <c r="AA69" s="66">
        <f t="shared" si="68"/>
        <v>7.6777599999999993</v>
      </c>
      <c r="AB69" s="66">
        <f t="shared" si="68"/>
        <v>7.6777599999999993</v>
      </c>
      <c r="AC69" s="66">
        <f t="shared" si="68"/>
        <v>7.6777599999999993</v>
      </c>
    </row>
    <row r="70" spans="1:29" ht="15.75" thickBot="1" x14ac:dyDescent="0.3">
      <c r="A70" s="59" t="str">
        <f>A21</f>
        <v>Emission Cost</v>
      </c>
      <c r="B70" s="66">
        <f>B41</f>
        <v>2.0582113582797463</v>
      </c>
      <c r="C70" s="66">
        <f t="shared" ref="C70:AC70" si="69">C41</f>
        <v>2.0630736964968874</v>
      </c>
      <c r="D70" s="66">
        <f t="shared" si="69"/>
        <v>2.0700340253548735</v>
      </c>
      <c r="E70" s="66">
        <f t="shared" si="69"/>
        <v>2.0799912652584287</v>
      </c>
      <c r="F70" s="66">
        <f t="shared" si="69"/>
        <v>2.0942223582546799</v>
      </c>
      <c r="G70" s="66">
        <f t="shared" si="69"/>
        <v>2.1145332034270625</v>
      </c>
      <c r="H70" s="66">
        <f t="shared" si="69"/>
        <v>2.1434608297482804</v>
      </c>
      <c r="I70" s="66">
        <f t="shared" si="69"/>
        <v>2.1845339122974496</v>
      </c>
      <c r="J70" s="66">
        <f t="shared" si="69"/>
        <v>2.2425867676094651</v>
      </c>
      <c r="K70" s="66">
        <f t="shared" si="69"/>
        <v>2.3240919291072673</v>
      </c>
      <c r="L70" s="66">
        <f t="shared" si="69"/>
        <v>2.4374136908790356</v>
      </c>
      <c r="M70" s="66">
        <f t="shared" si="69"/>
        <v>2.5927735868925894</v>
      </c>
      <c r="N70" s="66">
        <f t="shared" si="69"/>
        <v>2.8015606394413943</v>
      </c>
      <c r="O70" s="66">
        <f t="shared" si="69"/>
        <v>3.0744856518148742</v>
      </c>
      <c r="P70" s="66">
        <f t="shared" si="69"/>
        <v>3.4181885745847813</v>
      </c>
      <c r="Q70" s="66">
        <f t="shared" si="69"/>
        <v>3.8306222159147274</v>
      </c>
      <c r="R70" s="66">
        <f t="shared" si="69"/>
        <v>4.2969913115595899</v>
      </c>
      <c r="S70" s="66">
        <f t="shared" si="69"/>
        <v>4.7893352523676196</v>
      </c>
      <c r="T70" s="66">
        <f t="shared" si="69"/>
        <v>5.2719907853240588</v>
      </c>
      <c r="U70" s="66">
        <f t="shared" si="69"/>
        <v>5.7113620517407639</v>
      </c>
      <c r="V70" s="66">
        <f t="shared" si="69"/>
        <v>6.0847650605234298</v>
      </c>
      <c r="W70" s="66">
        <f t="shared" si="69"/>
        <v>6.383793997868306</v>
      </c>
      <c r="X70" s="66">
        <f t="shared" si="69"/>
        <v>6.6119663489137848</v>
      </c>
      <c r="Y70" s="66">
        <f t="shared" si="69"/>
        <v>6.7796913263812186</v>
      </c>
      <c r="Z70" s="66">
        <f t="shared" si="69"/>
        <v>6.8996122588494808</v>
      </c>
      <c r="AA70" s="66">
        <f t="shared" si="69"/>
        <v>6.9836591226283362</v>
      </c>
      <c r="AB70" s="66">
        <f t="shared" si="69"/>
        <v>7.0417406714234989</v>
      </c>
      <c r="AC70" s="66">
        <f t="shared" si="69"/>
        <v>7.0814887695786215</v>
      </c>
    </row>
    <row r="71" spans="1:29" ht="15.75" thickBot="1" x14ac:dyDescent="0.3">
      <c r="A71" s="31" t="s">
        <v>63</v>
      </c>
      <c r="B71" s="76">
        <f>B62+B63+B64-B65+B66+B67+B68+B69+B70</f>
        <v>26.431537826535497</v>
      </c>
      <c r="C71" s="76">
        <f t="shared" ref="C71:AC71" si="70">C62+C63+C64-C65+C66+C67+C68+C69+C70</f>
        <v>26.437366505380773</v>
      </c>
      <c r="D71" s="76">
        <f t="shared" si="70"/>
        <v>26.445698899404057</v>
      </c>
      <c r="E71" s="76">
        <f t="shared" si="70"/>
        <v>26.45759542157171</v>
      </c>
      <c r="F71" s="76">
        <f t="shared" si="70"/>
        <v>26.474549231879209</v>
      </c>
      <c r="G71" s="76">
        <f t="shared" si="70"/>
        <v>26.498645642491212</v>
      </c>
      <c r="H71" s="76">
        <f t="shared" si="70"/>
        <v>26.53276313741187</v>
      </c>
      <c r="I71" s="76">
        <f t="shared" si="70"/>
        <v>26.580810847234847</v>
      </c>
      <c r="J71" s="76">
        <f t="shared" si="70"/>
        <v>26.647980887792627</v>
      </c>
      <c r="K71" s="76">
        <f t="shared" si="70"/>
        <v>26.740967603103151</v>
      </c>
      <c r="L71" s="76">
        <f t="shared" si="70"/>
        <v>26.868066899872133</v>
      </c>
      <c r="M71" s="76">
        <f t="shared" si="70"/>
        <v>27.039006069477786</v>
      </c>
      <c r="N71" s="76">
        <f t="shared" si="70"/>
        <v>27.264240097237618</v>
      </c>
      <c r="O71" s="76">
        <f t="shared" si="70"/>
        <v>27.553288439113182</v>
      </c>
      <c r="P71" s="76">
        <f t="shared" si="70"/>
        <v>27.911668760604261</v>
      </c>
      <c r="Q71" s="76">
        <f t="shared" si="70"/>
        <v>28.336576100745432</v>
      </c>
      <c r="R71" s="76">
        <f t="shared" si="70"/>
        <v>28.812934395225202</v>
      </c>
      <c r="S71" s="76">
        <f t="shared" si="70"/>
        <v>29.312900538096542</v>
      </c>
      <c r="T71" s="76">
        <f t="shared" si="70"/>
        <v>29.80115900087101</v>
      </c>
      <c r="U71" s="76">
        <f t="shared" si="70"/>
        <v>30.244536281051897</v>
      </c>
      <c r="V71" s="76">
        <f t="shared" si="70"/>
        <v>30.620746913876545</v>
      </c>
      <c r="W71" s="76">
        <f t="shared" si="70"/>
        <v>30.921716092004488</v>
      </c>
      <c r="X71" s="76">
        <f t="shared" si="70"/>
        <v>31.151216246503729</v>
      </c>
      <c r="Y71" s="76">
        <f t="shared" si="70"/>
        <v>31.31984384107291</v>
      </c>
      <c r="Z71" s="76">
        <f t="shared" si="70"/>
        <v>31.440375564490143</v>
      </c>
      <c r="AA71" s="76">
        <f t="shared" si="70"/>
        <v>31.524834468480851</v>
      </c>
      <c r="AB71" s="76">
        <f t="shared" si="70"/>
        <v>31.583193400699791</v>
      </c>
      <c r="AC71" s="76">
        <f t="shared" si="70"/>
        <v>31.62312796975543</v>
      </c>
    </row>
    <row r="72" spans="1:29" ht="15.75" thickBot="1" x14ac:dyDescent="0.3"/>
    <row r="73" spans="1:29" ht="15.75" thickBot="1" x14ac:dyDescent="0.3">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71">A50</f>
        <v>Capex vehicle</v>
      </c>
      <c r="B74" s="65">
        <f>((1+B35)^B42)*B35/(((1+B35)^B42)-1)*(B31)/B47/(B44)</f>
        <v>7.6317014160409149E-4</v>
      </c>
      <c r="C74" s="65">
        <f t="shared" ref="C74:AC74" si="72">((1+C35)^C42)*C35/(((1+C35)^C42)-1)*(C31)/C47/(C44)</f>
        <v>7.6317014160409149E-4</v>
      </c>
      <c r="D74" s="65">
        <f t="shared" si="72"/>
        <v>7.6317014160409149E-4</v>
      </c>
      <c r="E74" s="65">
        <f t="shared" si="72"/>
        <v>7.6317014160409149E-4</v>
      </c>
      <c r="F74" s="65">
        <f t="shared" si="72"/>
        <v>7.6317014160409149E-4</v>
      </c>
      <c r="G74" s="65">
        <f t="shared" si="72"/>
        <v>7.6317014160409149E-4</v>
      </c>
      <c r="H74" s="65">
        <f t="shared" si="72"/>
        <v>7.6317014160409149E-4</v>
      </c>
      <c r="I74" s="65">
        <f t="shared" si="72"/>
        <v>7.6317014160409149E-4</v>
      </c>
      <c r="J74" s="65">
        <f t="shared" si="72"/>
        <v>7.6317014160409149E-4</v>
      </c>
      <c r="K74" s="65">
        <f t="shared" si="72"/>
        <v>7.6317014160409149E-4</v>
      </c>
      <c r="L74" s="65">
        <f t="shared" si="72"/>
        <v>7.6317014160409149E-4</v>
      </c>
      <c r="M74" s="65">
        <f t="shared" si="72"/>
        <v>7.6317014160409149E-4</v>
      </c>
      <c r="N74" s="65">
        <f t="shared" si="72"/>
        <v>7.6317014160409149E-4</v>
      </c>
      <c r="O74" s="65">
        <f t="shared" si="72"/>
        <v>7.6317014160409149E-4</v>
      </c>
      <c r="P74" s="65">
        <f t="shared" si="72"/>
        <v>7.6317014160409149E-4</v>
      </c>
      <c r="Q74" s="65">
        <f t="shared" si="72"/>
        <v>7.6317014160409149E-4</v>
      </c>
      <c r="R74" s="65">
        <f t="shared" si="72"/>
        <v>7.6317014160409149E-4</v>
      </c>
      <c r="S74" s="65">
        <f t="shared" si="72"/>
        <v>7.6317014160409149E-4</v>
      </c>
      <c r="T74" s="65">
        <f t="shared" si="72"/>
        <v>7.6317014160409149E-4</v>
      </c>
      <c r="U74" s="65">
        <f t="shared" si="72"/>
        <v>7.6317014160409149E-4</v>
      </c>
      <c r="V74" s="65">
        <f t="shared" si="72"/>
        <v>7.6317014160409149E-4</v>
      </c>
      <c r="W74" s="65">
        <f t="shared" si="72"/>
        <v>7.6317014160409149E-4</v>
      </c>
      <c r="X74" s="65">
        <f t="shared" si="72"/>
        <v>7.6317014160409149E-4</v>
      </c>
      <c r="Y74" s="65">
        <f t="shared" si="72"/>
        <v>7.6317014160409149E-4</v>
      </c>
      <c r="Z74" s="65">
        <f t="shared" si="72"/>
        <v>7.6317014160409149E-4</v>
      </c>
      <c r="AA74" s="65">
        <f t="shared" si="72"/>
        <v>7.6317014160409149E-4</v>
      </c>
      <c r="AB74" s="65">
        <f t="shared" si="72"/>
        <v>7.6317014160409149E-4</v>
      </c>
      <c r="AC74" s="65">
        <f t="shared" si="72"/>
        <v>7.6317014160409149E-4</v>
      </c>
    </row>
    <row r="75" spans="1:29" x14ac:dyDescent="0.25">
      <c r="A75" s="30" t="str">
        <f t="shared" si="71"/>
        <v>Residual value (vehicle)</v>
      </c>
      <c r="B75" s="68">
        <f>((1+B35)^B42)*B35/(((1+B35)^B42)-1)*(B32)/B47/(B44)</f>
        <v>-1.1346797345547289E-4</v>
      </c>
      <c r="C75" s="68">
        <f t="shared" ref="C75:AC75" si="73">((1+C35)^C42)*C35/(((1+C35)^C42)-1)*(C32)/C47/(C44)</f>
        <v>-1.1303657138934111E-4</v>
      </c>
      <c r="D75" s="68">
        <f t="shared" si="73"/>
        <v>-1.1242404229769157E-4</v>
      </c>
      <c r="E75" s="68">
        <f t="shared" si="73"/>
        <v>-1.1155829128693258E-4</v>
      </c>
      <c r="F75" s="68">
        <f t="shared" si="73"/>
        <v>-1.1034279248726903E-4</v>
      </c>
      <c r="G75" s="68">
        <f t="shared" si="73"/>
        <v>-1.0865280791600897E-4</v>
      </c>
      <c r="H75" s="68">
        <f t="shared" si="73"/>
        <v>-1.0633590229126001E-4</v>
      </c>
      <c r="I75" s="68">
        <f t="shared" si="73"/>
        <v>-1.0322222940116694E-4</v>
      </c>
      <c r="J75" s="68">
        <f t="shared" si="73"/>
        <v>-9.9152057416450692E-5</v>
      </c>
      <c r="K75" s="68">
        <f t="shared" si="73"/>
        <v>-9.4026363750057009E-5</v>
      </c>
      <c r="L75" s="68">
        <f t="shared" si="73"/>
        <v>-8.7875678483444322E-5</v>
      </c>
      <c r="M75" s="68">
        <f t="shared" si="73"/>
        <v>-8.0920645629828101E-5</v>
      </c>
      <c r="N75" s="68">
        <f t="shared" si="73"/>
        <v>-7.357824598204721E-5</v>
      </c>
      <c r="O75" s="68">
        <f t="shared" si="73"/>
        <v>-6.6380331025761298E-5</v>
      </c>
      <c r="P75" s="68">
        <f t="shared" si="73"/>
        <v>-5.982792088237961E-5</v>
      </c>
      <c r="Q75" s="68">
        <f t="shared" si="73"/>
        <v>-5.4259305341653007E-5</v>
      </c>
      <c r="R75" s="68">
        <f t="shared" si="73"/>
        <v>-4.9799841576070884E-5</v>
      </c>
      <c r="S75" s="68">
        <f t="shared" si="73"/>
        <v>-4.6397072797805602E-5</v>
      </c>
      <c r="T75" s="68">
        <f t="shared" si="73"/>
        <v>-4.3895764843330094E-5</v>
      </c>
      <c r="U75" s="68">
        <f t="shared" si="73"/>
        <v>-4.2107365841462744E-5</v>
      </c>
      <c r="V75" s="68">
        <f t="shared" si="73"/>
        <v>-4.0853962251293284E-5</v>
      </c>
      <c r="W75" s="68">
        <f t="shared" si="73"/>
        <v>-3.9987783330280735E-5</v>
      </c>
      <c r="X75" s="68">
        <f t="shared" si="73"/>
        <v>-3.93950139312806E-5</v>
      </c>
      <c r="Y75" s="68">
        <f t="shared" si="73"/>
        <v>-3.8992059867999029E-5</v>
      </c>
      <c r="Z75" s="68">
        <f t="shared" si="73"/>
        <v>-3.8719385337209372E-5</v>
      </c>
      <c r="AA75" s="68">
        <f t="shared" si="73"/>
        <v>-3.8535438814060903E-5</v>
      </c>
      <c r="AB75" s="68">
        <f t="shared" si="73"/>
        <v>-3.8411606928446129E-5</v>
      </c>
      <c r="AC75" s="68">
        <f t="shared" si="73"/>
        <v>-3.832836099071531E-5</v>
      </c>
    </row>
    <row r="76" spans="1:29" x14ac:dyDescent="0.25">
      <c r="A76" s="30" t="str">
        <f t="shared" si="71"/>
        <v>Capex costumization</v>
      </c>
      <c r="B76" s="66">
        <f>((1+B35)^B43)*B35/(((1+B35)^B43)-1)*(B33)/B47/(B44)</f>
        <v>7.6311881817276459E-4</v>
      </c>
      <c r="C76" s="66">
        <f t="shared" ref="C76:AC76" si="74">((1+C35)^C43)*C35/(((1+C35)^C43)-1)*(C33)/C47/(C44)</f>
        <v>7.6311881817276459E-4</v>
      </c>
      <c r="D76" s="66">
        <f t="shared" si="74"/>
        <v>7.6311881817276459E-4</v>
      </c>
      <c r="E76" s="66">
        <f t="shared" si="74"/>
        <v>7.6311881817276459E-4</v>
      </c>
      <c r="F76" s="66">
        <f t="shared" si="74"/>
        <v>7.6311881817276459E-4</v>
      </c>
      <c r="G76" s="66">
        <f t="shared" si="74"/>
        <v>7.6311881817276459E-4</v>
      </c>
      <c r="H76" s="66">
        <f t="shared" si="74"/>
        <v>7.6311881817276459E-4</v>
      </c>
      <c r="I76" s="66">
        <f t="shared" si="74"/>
        <v>7.6311881817276459E-4</v>
      </c>
      <c r="J76" s="66">
        <f t="shared" si="74"/>
        <v>7.6311881817276459E-4</v>
      </c>
      <c r="K76" s="66">
        <f t="shared" si="74"/>
        <v>7.6311881817276459E-4</v>
      </c>
      <c r="L76" s="66">
        <f t="shared" si="74"/>
        <v>7.6311881817276459E-4</v>
      </c>
      <c r="M76" s="66">
        <f t="shared" si="74"/>
        <v>7.6311881817276459E-4</v>
      </c>
      <c r="N76" s="66">
        <f t="shared" si="74"/>
        <v>7.6311881817276459E-4</v>
      </c>
      <c r="O76" s="66">
        <f t="shared" si="74"/>
        <v>7.6311881817276459E-4</v>
      </c>
      <c r="P76" s="66">
        <f t="shared" si="74"/>
        <v>7.6311881817276459E-4</v>
      </c>
      <c r="Q76" s="66">
        <f t="shared" si="74"/>
        <v>7.6311881817276459E-4</v>
      </c>
      <c r="R76" s="66">
        <f t="shared" si="74"/>
        <v>7.6311881817276459E-4</v>
      </c>
      <c r="S76" s="66">
        <f t="shared" si="74"/>
        <v>7.6311881817276459E-4</v>
      </c>
      <c r="T76" s="66">
        <f t="shared" si="74"/>
        <v>7.6311881817276459E-4</v>
      </c>
      <c r="U76" s="66">
        <f t="shared" si="74"/>
        <v>7.6311881817276459E-4</v>
      </c>
      <c r="V76" s="66">
        <f t="shared" si="74"/>
        <v>7.6311881817276459E-4</v>
      </c>
      <c r="W76" s="66">
        <f t="shared" si="74"/>
        <v>7.6311881817276459E-4</v>
      </c>
      <c r="X76" s="66">
        <f t="shared" si="74"/>
        <v>7.6311881817276459E-4</v>
      </c>
      <c r="Y76" s="66">
        <f t="shared" si="74"/>
        <v>7.6311881817276459E-4</v>
      </c>
      <c r="Z76" s="66">
        <f t="shared" si="74"/>
        <v>7.6311881817276459E-4</v>
      </c>
      <c r="AA76" s="66">
        <f t="shared" si="74"/>
        <v>7.6311881817276459E-4</v>
      </c>
      <c r="AB76" s="66">
        <f t="shared" si="74"/>
        <v>7.6311881817276459E-4</v>
      </c>
      <c r="AC76" s="66">
        <f t="shared" si="74"/>
        <v>7.6311881817276459E-4</v>
      </c>
    </row>
    <row r="77" spans="1:29" x14ac:dyDescent="0.25">
      <c r="A77" s="30" t="str">
        <f t="shared" si="71"/>
        <v>Residual value (costumization)</v>
      </c>
      <c r="B77" s="69">
        <f>((1+B35)^B43)*B35/(((1+B35)^B43)-1)*(B34)/B47/(B44)</f>
        <v>-3.8155940908638231E-5</v>
      </c>
      <c r="C77" s="69">
        <f t="shared" ref="C77:AC77" si="75">((1+C35)^C43)*C35/(((1+C35)^C43)-1)*(C34)/C47/(C44)</f>
        <v>-3.8155940908638231E-5</v>
      </c>
      <c r="D77" s="69">
        <f t="shared" si="75"/>
        <v>-3.8155940908638231E-5</v>
      </c>
      <c r="E77" s="69">
        <f t="shared" si="75"/>
        <v>-3.8155940908638231E-5</v>
      </c>
      <c r="F77" s="69">
        <f t="shared" si="75"/>
        <v>-3.8155940908638231E-5</v>
      </c>
      <c r="G77" s="69">
        <f t="shared" si="75"/>
        <v>-3.8155940908638231E-5</v>
      </c>
      <c r="H77" s="69">
        <f t="shared" si="75"/>
        <v>-3.8155940908638231E-5</v>
      </c>
      <c r="I77" s="69">
        <f t="shared" si="75"/>
        <v>-3.8155940908638231E-5</v>
      </c>
      <c r="J77" s="69">
        <f t="shared" si="75"/>
        <v>-3.8155940908638231E-5</v>
      </c>
      <c r="K77" s="69">
        <f t="shared" si="75"/>
        <v>-3.8155940908638231E-5</v>
      </c>
      <c r="L77" s="69">
        <f t="shared" si="75"/>
        <v>-3.8155940908638231E-5</v>
      </c>
      <c r="M77" s="69">
        <f t="shared" si="75"/>
        <v>-3.8155940908638231E-5</v>
      </c>
      <c r="N77" s="69">
        <f t="shared" si="75"/>
        <v>-3.8155940908638231E-5</v>
      </c>
      <c r="O77" s="69">
        <f t="shared" si="75"/>
        <v>-3.8155940908638231E-5</v>
      </c>
      <c r="P77" s="69">
        <f t="shared" si="75"/>
        <v>-3.8155940908638231E-5</v>
      </c>
      <c r="Q77" s="69">
        <f t="shared" si="75"/>
        <v>-3.8155940908638231E-5</v>
      </c>
      <c r="R77" s="69">
        <f t="shared" si="75"/>
        <v>-3.8155940908638231E-5</v>
      </c>
      <c r="S77" s="69">
        <f t="shared" si="75"/>
        <v>-3.8155940908638231E-5</v>
      </c>
      <c r="T77" s="69">
        <f t="shared" si="75"/>
        <v>-3.8155940908638231E-5</v>
      </c>
      <c r="U77" s="69">
        <f t="shared" si="75"/>
        <v>-3.8155940908638231E-5</v>
      </c>
      <c r="V77" s="69">
        <f t="shared" si="75"/>
        <v>-3.8155940908638231E-5</v>
      </c>
      <c r="W77" s="69">
        <f t="shared" si="75"/>
        <v>-3.8155940908638231E-5</v>
      </c>
      <c r="X77" s="69">
        <f t="shared" si="75"/>
        <v>-3.8155940908638231E-5</v>
      </c>
      <c r="Y77" s="69">
        <f t="shared" si="75"/>
        <v>-3.8155940908638231E-5</v>
      </c>
      <c r="Z77" s="69">
        <f t="shared" si="75"/>
        <v>-3.8155940908638231E-5</v>
      </c>
      <c r="AA77" s="69">
        <f t="shared" si="75"/>
        <v>-3.8155940908638231E-5</v>
      </c>
      <c r="AB77" s="69">
        <f t="shared" si="75"/>
        <v>-3.8155940908638231E-5</v>
      </c>
      <c r="AC77" s="69">
        <f t="shared" si="75"/>
        <v>-3.8155940908638231E-5</v>
      </c>
    </row>
    <row r="78" spans="1:29" x14ac:dyDescent="0.25">
      <c r="A78" s="30" t="str">
        <f t="shared" si="71"/>
        <v>Opex fix (admin, crew, insurance)</v>
      </c>
      <c r="B78" s="66">
        <f>B36/B47/(B44)</f>
        <v>1.6256502601040416E-3</v>
      </c>
      <c r="C78" s="66">
        <f t="shared" ref="C78:AC78" si="76">C36/C47/(C44)</f>
        <v>1.6256502601040416E-3</v>
      </c>
      <c r="D78" s="66">
        <f t="shared" si="76"/>
        <v>1.6256502601040416E-3</v>
      </c>
      <c r="E78" s="66">
        <f t="shared" si="76"/>
        <v>1.6256502601040416E-3</v>
      </c>
      <c r="F78" s="66">
        <f t="shared" si="76"/>
        <v>1.6256502601040416E-3</v>
      </c>
      <c r="G78" s="66">
        <f t="shared" si="76"/>
        <v>1.6256502601040416E-3</v>
      </c>
      <c r="H78" s="66">
        <f t="shared" si="76"/>
        <v>1.6256502601040416E-3</v>
      </c>
      <c r="I78" s="66">
        <f t="shared" si="76"/>
        <v>1.6256502601040416E-3</v>
      </c>
      <c r="J78" s="66">
        <f t="shared" si="76"/>
        <v>1.6256502601040416E-3</v>
      </c>
      <c r="K78" s="66">
        <f t="shared" si="76"/>
        <v>1.6256502601040416E-3</v>
      </c>
      <c r="L78" s="66">
        <f t="shared" si="76"/>
        <v>1.6256502601040416E-3</v>
      </c>
      <c r="M78" s="66">
        <f t="shared" si="76"/>
        <v>1.6256502601040416E-3</v>
      </c>
      <c r="N78" s="66">
        <f t="shared" si="76"/>
        <v>1.6256502601040416E-3</v>
      </c>
      <c r="O78" s="66">
        <f t="shared" si="76"/>
        <v>1.6256502601040416E-3</v>
      </c>
      <c r="P78" s="66">
        <f t="shared" si="76"/>
        <v>1.6256502601040416E-3</v>
      </c>
      <c r="Q78" s="66">
        <f t="shared" si="76"/>
        <v>1.6256502601040416E-3</v>
      </c>
      <c r="R78" s="66">
        <f t="shared" si="76"/>
        <v>1.6256502601040416E-3</v>
      </c>
      <c r="S78" s="66">
        <f t="shared" si="76"/>
        <v>1.6256502601040416E-3</v>
      </c>
      <c r="T78" s="66">
        <f t="shared" si="76"/>
        <v>1.6256502601040416E-3</v>
      </c>
      <c r="U78" s="66">
        <f t="shared" si="76"/>
        <v>1.6256502601040416E-3</v>
      </c>
      <c r="V78" s="66">
        <f t="shared" si="76"/>
        <v>1.6256502601040416E-3</v>
      </c>
      <c r="W78" s="66">
        <f t="shared" si="76"/>
        <v>1.6256502601040416E-3</v>
      </c>
      <c r="X78" s="66">
        <f t="shared" si="76"/>
        <v>1.6256502601040416E-3</v>
      </c>
      <c r="Y78" s="66">
        <f t="shared" si="76"/>
        <v>1.6256502601040416E-3</v>
      </c>
      <c r="Z78" s="66">
        <f t="shared" si="76"/>
        <v>1.6256502601040416E-3</v>
      </c>
      <c r="AA78" s="66">
        <f t="shared" si="76"/>
        <v>1.6256502601040416E-3</v>
      </c>
      <c r="AB78" s="66">
        <f t="shared" si="76"/>
        <v>1.6256502601040416E-3</v>
      </c>
      <c r="AC78" s="66">
        <f t="shared" si="76"/>
        <v>1.6256502601040416E-3</v>
      </c>
    </row>
    <row r="79" spans="1:29" x14ac:dyDescent="0.25">
      <c r="A79" s="30" t="str">
        <f t="shared" si="71"/>
        <v>Opex maintenance &amp; repair</v>
      </c>
      <c r="B79" s="66">
        <f>B37/B47/(B44)</f>
        <v>2.6260504201680674E-3</v>
      </c>
      <c r="C79" s="66">
        <f t="shared" ref="C79:AC79" si="77">C37/C47/(C44)</f>
        <v>2.6260504201680674E-3</v>
      </c>
      <c r="D79" s="66">
        <f t="shared" si="77"/>
        <v>2.6260504201680674E-3</v>
      </c>
      <c r="E79" s="66">
        <f t="shared" si="77"/>
        <v>2.6260504201680674E-3</v>
      </c>
      <c r="F79" s="66">
        <f t="shared" si="77"/>
        <v>2.6260504201680674E-3</v>
      </c>
      <c r="G79" s="66">
        <f t="shared" si="77"/>
        <v>2.6260504201680674E-3</v>
      </c>
      <c r="H79" s="66">
        <f t="shared" si="77"/>
        <v>2.6260504201680674E-3</v>
      </c>
      <c r="I79" s="66">
        <f t="shared" si="77"/>
        <v>2.6260504201680674E-3</v>
      </c>
      <c r="J79" s="66">
        <f t="shared" si="77"/>
        <v>2.6260504201680674E-3</v>
      </c>
      <c r="K79" s="66">
        <f t="shared" si="77"/>
        <v>2.6260504201680674E-3</v>
      </c>
      <c r="L79" s="66">
        <f t="shared" si="77"/>
        <v>2.6260504201680674E-3</v>
      </c>
      <c r="M79" s="66">
        <f t="shared" si="77"/>
        <v>2.6260504201680674E-3</v>
      </c>
      <c r="N79" s="66">
        <f t="shared" si="77"/>
        <v>2.6260504201680674E-3</v>
      </c>
      <c r="O79" s="66">
        <f t="shared" si="77"/>
        <v>2.6260504201680674E-3</v>
      </c>
      <c r="P79" s="66">
        <f t="shared" si="77"/>
        <v>2.6260504201680674E-3</v>
      </c>
      <c r="Q79" s="66">
        <f t="shared" si="77"/>
        <v>2.6260504201680674E-3</v>
      </c>
      <c r="R79" s="66">
        <f t="shared" si="77"/>
        <v>2.6260504201680674E-3</v>
      </c>
      <c r="S79" s="66">
        <f t="shared" si="77"/>
        <v>2.6260504201680674E-3</v>
      </c>
      <c r="T79" s="66">
        <f t="shared" si="77"/>
        <v>2.6260504201680674E-3</v>
      </c>
      <c r="U79" s="66">
        <f t="shared" si="77"/>
        <v>2.6260504201680674E-3</v>
      </c>
      <c r="V79" s="66">
        <f t="shared" si="77"/>
        <v>2.6260504201680674E-3</v>
      </c>
      <c r="W79" s="66">
        <f t="shared" si="77"/>
        <v>2.6260504201680674E-3</v>
      </c>
      <c r="X79" s="66">
        <f t="shared" si="77"/>
        <v>2.6260504201680674E-3</v>
      </c>
      <c r="Y79" s="66">
        <f t="shared" si="77"/>
        <v>2.6260504201680674E-3</v>
      </c>
      <c r="Z79" s="66">
        <f t="shared" si="77"/>
        <v>2.6260504201680674E-3</v>
      </c>
      <c r="AA79" s="66">
        <f t="shared" si="77"/>
        <v>2.6260504201680674E-3</v>
      </c>
      <c r="AB79" s="66">
        <f t="shared" si="77"/>
        <v>2.6260504201680674E-3</v>
      </c>
      <c r="AC79" s="66">
        <f t="shared" si="77"/>
        <v>2.6260504201680674E-3</v>
      </c>
    </row>
    <row r="80" spans="1:29" x14ac:dyDescent="0.25">
      <c r="A80" s="30" t="str">
        <f t="shared" si="71"/>
        <v>Opex var (mode-fees, shunting)</v>
      </c>
      <c r="B80" s="66">
        <f>B38*B47/B47/(B44)</f>
        <v>1.7507002801120447E-3</v>
      </c>
      <c r="C80" s="66">
        <f t="shared" ref="C80:AC80" si="78">C38*C47/C47/(C44)</f>
        <v>1.7507002801120447E-3</v>
      </c>
      <c r="D80" s="66">
        <f t="shared" si="78"/>
        <v>1.7507002801120447E-3</v>
      </c>
      <c r="E80" s="66">
        <f t="shared" si="78"/>
        <v>1.7507002801120447E-3</v>
      </c>
      <c r="F80" s="66">
        <f t="shared" si="78"/>
        <v>1.7507002801120447E-3</v>
      </c>
      <c r="G80" s="66">
        <f t="shared" si="78"/>
        <v>1.7507002801120447E-3</v>
      </c>
      <c r="H80" s="66">
        <f t="shared" si="78"/>
        <v>1.7507002801120447E-3</v>
      </c>
      <c r="I80" s="66">
        <f t="shared" si="78"/>
        <v>1.7507002801120447E-3</v>
      </c>
      <c r="J80" s="66">
        <f t="shared" si="78"/>
        <v>1.7507002801120447E-3</v>
      </c>
      <c r="K80" s="66">
        <f t="shared" si="78"/>
        <v>1.7507002801120447E-3</v>
      </c>
      <c r="L80" s="66">
        <f t="shared" si="78"/>
        <v>1.7507002801120447E-3</v>
      </c>
      <c r="M80" s="66">
        <f t="shared" si="78"/>
        <v>1.7507002801120447E-3</v>
      </c>
      <c r="N80" s="66">
        <f t="shared" si="78"/>
        <v>1.7507002801120447E-3</v>
      </c>
      <c r="O80" s="66">
        <f t="shared" si="78"/>
        <v>1.7507002801120447E-3</v>
      </c>
      <c r="P80" s="66">
        <f t="shared" si="78"/>
        <v>1.7507002801120447E-3</v>
      </c>
      <c r="Q80" s="66">
        <f t="shared" si="78"/>
        <v>1.7507002801120447E-3</v>
      </c>
      <c r="R80" s="66">
        <f t="shared" si="78"/>
        <v>1.7507002801120447E-3</v>
      </c>
      <c r="S80" s="66">
        <f t="shared" si="78"/>
        <v>1.7507002801120447E-3</v>
      </c>
      <c r="T80" s="66">
        <f t="shared" si="78"/>
        <v>1.7507002801120447E-3</v>
      </c>
      <c r="U80" s="66">
        <f t="shared" si="78"/>
        <v>1.7507002801120447E-3</v>
      </c>
      <c r="V80" s="66">
        <f t="shared" si="78"/>
        <v>1.7507002801120447E-3</v>
      </c>
      <c r="W80" s="66">
        <f t="shared" si="78"/>
        <v>1.7507002801120447E-3</v>
      </c>
      <c r="X80" s="66">
        <f t="shared" si="78"/>
        <v>1.7507002801120447E-3</v>
      </c>
      <c r="Y80" s="66">
        <f t="shared" si="78"/>
        <v>1.7507002801120447E-3</v>
      </c>
      <c r="Z80" s="66">
        <f t="shared" si="78"/>
        <v>1.7507002801120447E-3</v>
      </c>
      <c r="AA80" s="66">
        <f t="shared" si="78"/>
        <v>1.7507002801120447E-3</v>
      </c>
      <c r="AB80" s="66">
        <f t="shared" si="78"/>
        <v>1.7507002801120447E-3</v>
      </c>
      <c r="AC80" s="66">
        <f t="shared" si="78"/>
        <v>1.7507002801120447E-3</v>
      </c>
    </row>
    <row r="81" spans="1:29" x14ac:dyDescent="0.25">
      <c r="A81" s="30" t="str">
        <f t="shared" si="71"/>
        <v>Fuel Cost</v>
      </c>
      <c r="B81" s="66">
        <f>B39*B40*B47/B47/(B44)</f>
        <v>3.4275714285714283E-3</v>
      </c>
      <c r="C81" s="66">
        <f t="shared" ref="C81:AC81" si="79">C39*C40*C47/C47/(C44)</f>
        <v>3.4275714285714283E-3</v>
      </c>
      <c r="D81" s="66">
        <f t="shared" si="79"/>
        <v>3.4275714285714283E-3</v>
      </c>
      <c r="E81" s="66">
        <f t="shared" si="79"/>
        <v>3.4275714285714283E-3</v>
      </c>
      <c r="F81" s="66">
        <f t="shared" si="79"/>
        <v>3.4275714285714283E-3</v>
      </c>
      <c r="G81" s="66">
        <f t="shared" si="79"/>
        <v>3.4275714285714283E-3</v>
      </c>
      <c r="H81" s="66">
        <f t="shared" si="79"/>
        <v>3.4275714285714283E-3</v>
      </c>
      <c r="I81" s="66">
        <f t="shared" si="79"/>
        <v>3.4275714285714283E-3</v>
      </c>
      <c r="J81" s="66">
        <f t="shared" si="79"/>
        <v>3.4275714285714283E-3</v>
      </c>
      <c r="K81" s="66">
        <f t="shared" si="79"/>
        <v>3.4275714285714283E-3</v>
      </c>
      <c r="L81" s="66">
        <f t="shared" si="79"/>
        <v>3.4275714285714283E-3</v>
      </c>
      <c r="M81" s="66">
        <f t="shared" si="79"/>
        <v>3.4275714285714283E-3</v>
      </c>
      <c r="N81" s="66">
        <f t="shared" si="79"/>
        <v>3.4275714285714283E-3</v>
      </c>
      <c r="O81" s="66">
        <f t="shared" si="79"/>
        <v>3.4275714285714283E-3</v>
      </c>
      <c r="P81" s="66">
        <f t="shared" si="79"/>
        <v>3.4275714285714283E-3</v>
      </c>
      <c r="Q81" s="66">
        <f t="shared" si="79"/>
        <v>3.4275714285714283E-3</v>
      </c>
      <c r="R81" s="66">
        <f t="shared" si="79"/>
        <v>3.4275714285714283E-3</v>
      </c>
      <c r="S81" s="66">
        <f t="shared" si="79"/>
        <v>3.4275714285714283E-3</v>
      </c>
      <c r="T81" s="66">
        <f t="shared" si="79"/>
        <v>3.4275714285714283E-3</v>
      </c>
      <c r="U81" s="66">
        <f t="shared" si="79"/>
        <v>3.4275714285714283E-3</v>
      </c>
      <c r="V81" s="66">
        <f t="shared" si="79"/>
        <v>3.4275714285714283E-3</v>
      </c>
      <c r="W81" s="66">
        <f t="shared" si="79"/>
        <v>3.4275714285714283E-3</v>
      </c>
      <c r="X81" s="66">
        <f t="shared" si="79"/>
        <v>3.4275714285714283E-3</v>
      </c>
      <c r="Y81" s="66">
        <f t="shared" si="79"/>
        <v>3.4275714285714283E-3</v>
      </c>
      <c r="Z81" s="66">
        <f t="shared" si="79"/>
        <v>3.4275714285714283E-3</v>
      </c>
      <c r="AA81" s="66">
        <f t="shared" si="79"/>
        <v>3.4275714285714283E-3</v>
      </c>
      <c r="AB81" s="66">
        <f t="shared" si="79"/>
        <v>3.4275714285714283E-3</v>
      </c>
      <c r="AC81" s="66">
        <f t="shared" si="79"/>
        <v>3.4275714285714283E-3</v>
      </c>
    </row>
    <row r="82" spans="1:29" x14ac:dyDescent="0.25">
      <c r="A82" s="59" t="str">
        <f>A45</f>
        <v>Market failure (av. utilization)</v>
      </c>
      <c r="B82" s="66">
        <f t="shared" ref="B82:AC82" si="80">B71/B45-B71/B44</f>
        <v>6.6373839408152731E-3</v>
      </c>
      <c r="C82" s="66">
        <f t="shared" si="80"/>
        <v>6.6388476157485197E-3</v>
      </c>
      <c r="D82" s="66">
        <f t="shared" si="80"/>
        <v>6.6409400138012411E-3</v>
      </c>
      <c r="E82" s="66">
        <f t="shared" si="80"/>
        <v>6.6439274217116439E-3</v>
      </c>
      <c r="F82" s="66">
        <f t="shared" si="80"/>
        <v>6.6481847959518076E-3</v>
      </c>
      <c r="G82" s="66">
        <f t="shared" si="80"/>
        <v>6.6542357919202235E-3</v>
      </c>
      <c r="H82" s="66">
        <f t="shared" si="80"/>
        <v>6.6628032432116818E-3</v>
      </c>
      <c r="I82" s="66">
        <f t="shared" si="80"/>
        <v>6.6748687953435692E-3</v>
      </c>
      <c r="J82" s="66">
        <f t="shared" si="80"/>
        <v>6.6917362720461376E-3</v>
      </c>
      <c r="K82" s="66">
        <f t="shared" si="80"/>
        <v>6.7150867306899654E-3</v>
      </c>
      <c r="L82" s="66">
        <f t="shared" si="80"/>
        <v>6.7470034067759234E-3</v>
      </c>
      <c r="M82" s="66">
        <f t="shared" si="80"/>
        <v>6.7899289795005577E-3</v>
      </c>
      <c r="N82" s="66">
        <f t="shared" si="80"/>
        <v>6.8464888637036411E-3</v>
      </c>
      <c r="O82" s="66">
        <f t="shared" si="80"/>
        <v>6.9190735477683736E-3</v>
      </c>
      <c r="P82" s="66">
        <f t="shared" si="80"/>
        <v>7.0090686061785243E-3</v>
      </c>
      <c r="Q82" s="66">
        <f t="shared" si="80"/>
        <v>7.1157696681559378E-3</v>
      </c>
      <c r="R82" s="66">
        <f t="shared" si="80"/>
        <v>7.2353908916581132E-3</v>
      </c>
      <c r="S82" s="66">
        <f t="shared" si="80"/>
        <v>7.3609404253032577E-3</v>
      </c>
      <c r="T82" s="66">
        <f t="shared" si="80"/>
        <v>7.4835499723169378E-3</v>
      </c>
      <c r="U82" s="66">
        <f t="shared" si="80"/>
        <v>7.594889133076644E-3</v>
      </c>
      <c r="V82" s="66">
        <f t="shared" si="80"/>
        <v>7.6893616692212292E-3</v>
      </c>
      <c r="W82" s="66">
        <f t="shared" si="80"/>
        <v>7.7649398668538025E-3</v>
      </c>
      <c r="X82" s="66">
        <f t="shared" si="80"/>
        <v>7.8225710440439026E-3</v>
      </c>
      <c r="Y82" s="66">
        <f t="shared" si="80"/>
        <v>7.8649161431265675E-3</v>
      </c>
      <c r="Z82" s="66">
        <f t="shared" si="80"/>
        <v>7.8951835959936156E-3</v>
      </c>
      <c r="AA82" s="66">
        <f t="shared" si="80"/>
        <v>7.9163925841609258E-3</v>
      </c>
      <c r="AB82" s="66">
        <f t="shared" si="80"/>
        <v>7.9310474499525128E-3</v>
      </c>
      <c r="AC82" s="66">
        <f t="shared" si="80"/>
        <v>7.9410756620479587E-3</v>
      </c>
    </row>
    <row r="83" spans="1:29" x14ac:dyDescent="0.25">
      <c r="A83" s="59" t="str">
        <f>A46</f>
        <v>Payload loss (fuel)</v>
      </c>
      <c r="B83" s="66">
        <f>B71/(B44-B46)-B71/B44</f>
        <v>0</v>
      </c>
      <c r="C83" s="66">
        <f t="shared" ref="C83:AC83" si="81">C71/(C44-C46)-C71/C44</f>
        <v>0</v>
      </c>
      <c r="D83" s="66">
        <f t="shared" si="81"/>
        <v>0</v>
      </c>
      <c r="E83" s="66">
        <f t="shared" si="81"/>
        <v>0</v>
      </c>
      <c r="F83" s="66">
        <f t="shared" si="81"/>
        <v>0</v>
      </c>
      <c r="G83" s="66">
        <f t="shared" si="81"/>
        <v>0</v>
      </c>
      <c r="H83" s="66">
        <f t="shared" si="81"/>
        <v>0</v>
      </c>
      <c r="I83" s="66">
        <f t="shared" si="81"/>
        <v>0</v>
      </c>
      <c r="J83" s="66">
        <f t="shared" si="81"/>
        <v>0</v>
      </c>
      <c r="K83" s="66">
        <f t="shared" si="81"/>
        <v>0</v>
      </c>
      <c r="L83" s="66">
        <f t="shared" si="81"/>
        <v>0</v>
      </c>
      <c r="M83" s="66">
        <f t="shared" si="81"/>
        <v>0</v>
      </c>
      <c r="N83" s="66">
        <f t="shared" si="81"/>
        <v>0</v>
      </c>
      <c r="O83" s="66">
        <f t="shared" si="81"/>
        <v>0</v>
      </c>
      <c r="P83" s="66">
        <f t="shared" si="81"/>
        <v>0</v>
      </c>
      <c r="Q83" s="66">
        <f t="shared" si="81"/>
        <v>0</v>
      </c>
      <c r="R83" s="66">
        <f t="shared" si="81"/>
        <v>0</v>
      </c>
      <c r="S83" s="66">
        <f t="shared" si="81"/>
        <v>0</v>
      </c>
      <c r="T83" s="66">
        <f t="shared" si="81"/>
        <v>0</v>
      </c>
      <c r="U83" s="66">
        <f t="shared" si="81"/>
        <v>0</v>
      </c>
      <c r="V83" s="66">
        <f t="shared" si="81"/>
        <v>0</v>
      </c>
      <c r="W83" s="66">
        <f t="shared" si="81"/>
        <v>0</v>
      </c>
      <c r="X83" s="66">
        <f t="shared" si="81"/>
        <v>0</v>
      </c>
      <c r="Y83" s="66">
        <f t="shared" si="81"/>
        <v>0</v>
      </c>
      <c r="Z83" s="66">
        <f t="shared" si="81"/>
        <v>0</v>
      </c>
      <c r="AA83" s="66">
        <f t="shared" si="81"/>
        <v>0</v>
      </c>
      <c r="AB83" s="66">
        <f t="shared" si="81"/>
        <v>0</v>
      </c>
      <c r="AC83" s="66">
        <f t="shared" si="81"/>
        <v>0</v>
      </c>
    </row>
    <row r="84" spans="1:29" ht="15.75" thickBot="1" x14ac:dyDescent="0.3">
      <c r="A84" s="59" t="str">
        <f>A21</f>
        <v>Emission Cost</v>
      </c>
      <c r="B84" s="69">
        <f>B41*B47/B47/(B44)</f>
        <v>9.1884435637488678E-4</v>
      </c>
      <c r="C84" s="69">
        <f t="shared" ref="C84:AC84" si="82">C41*C47/C47/(C44)</f>
        <v>9.2101504307896766E-4</v>
      </c>
      <c r="D84" s="69">
        <f t="shared" si="82"/>
        <v>9.2412233274771132E-4</v>
      </c>
      <c r="E84" s="69">
        <f t="shared" si="82"/>
        <v>9.2856752913322708E-4</v>
      </c>
      <c r="F84" s="69">
        <f t="shared" si="82"/>
        <v>9.3492069564941069E-4</v>
      </c>
      <c r="G84" s="69">
        <f t="shared" si="82"/>
        <v>9.4398803724422429E-4</v>
      </c>
      <c r="H84" s="69">
        <f t="shared" si="82"/>
        <v>9.5690215613762522E-4</v>
      </c>
      <c r="I84" s="69">
        <f t="shared" si="82"/>
        <v>9.752383537042186E-4</v>
      </c>
      <c r="J84" s="69">
        <f t="shared" si="82"/>
        <v>1.0011548069685111E-3</v>
      </c>
      <c r="K84" s="69">
        <f t="shared" si="82"/>
        <v>1.0375410397800301E-3</v>
      </c>
      <c r="L84" s="69">
        <f t="shared" si="82"/>
        <v>1.0881311119995696E-3</v>
      </c>
      <c r="M84" s="69">
        <f t="shared" si="82"/>
        <v>1.1574882084341917E-3</v>
      </c>
      <c r="N84" s="69">
        <f t="shared" si="82"/>
        <v>1.2506967140363367E-3</v>
      </c>
      <c r="O84" s="69">
        <f t="shared" si="82"/>
        <v>1.3725382374173548E-3</v>
      </c>
      <c r="P84" s="69">
        <f t="shared" si="82"/>
        <v>1.5259770422253488E-3</v>
      </c>
      <c r="Q84" s="69">
        <f t="shared" si="82"/>
        <v>1.7100992035333602E-3</v>
      </c>
      <c r="R84" s="69">
        <f t="shared" si="82"/>
        <v>1.9182996926605312E-3</v>
      </c>
      <c r="S84" s="69">
        <f t="shared" si="82"/>
        <v>2.138096094806973E-3</v>
      </c>
      <c r="T84" s="69">
        <f t="shared" si="82"/>
        <v>2.3535673148768121E-3</v>
      </c>
      <c r="U84" s="69">
        <f t="shared" si="82"/>
        <v>2.5497152016699838E-3</v>
      </c>
      <c r="V84" s="69">
        <f t="shared" si="82"/>
        <v>2.7164129734479599E-3</v>
      </c>
      <c r="W84" s="69">
        <f t="shared" si="82"/>
        <v>2.8499080347626367E-3</v>
      </c>
      <c r="X84" s="69">
        <f t="shared" si="82"/>
        <v>2.9517706914793684E-3</v>
      </c>
      <c r="Y84" s="69">
        <f t="shared" si="82"/>
        <v>3.0266479135630442E-3</v>
      </c>
      <c r="Z84" s="69">
        <f t="shared" si="82"/>
        <v>3.0801840441292321E-3</v>
      </c>
      <c r="AA84" s="69">
        <f t="shared" si="82"/>
        <v>3.1177049654590788E-3</v>
      </c>
      <c r="AB84" s="69">
        <f t="shared" si="82"/>
        <v>3.1436342283140619E-3</v>
      </c>
      <c r="AC84" s="69">
        <f t="shared" si="82"/>
        <v>3.1613789149904556E-3</v>
      </c>
    </row>
    <row r="85" spans="1:29" ht="15.75" thickBot="1" x14ac:dyDescent="0.3">
      <c r="A85" s="31" t="s">
        <v>210</v>
      </c>
      <c r="B85" s="97">
        <f>B74+B75+B76+B77+B78+B79+B80+B81+B82+B83+B84</f>
        <v>1.8360865731558488E-2</v>
      </c>
      <c r="C85" s="97">
        <f t="shared" ref="C85:AC85" si="83">C74+C75+C76+C77+C78+C79+C80+C81+C82+C83+C84</f>
        <v>1.8364931495261947E-2</v>
      </c>
      <c r="D85" s="97">
        <f t="shared" si="83"/>
        <v>1.8370743712075061E-2</v>
      </c>
      <c r="E85" s="97">
        <f t="shared" si="83"/>
        <v>1.8379042067381737E-2</v>
      </c>
      <c r="F85" s="97">
        <f t="shared" si="83"/>
        <v>1.8390868106937748E-2</v>
      </c>
      <c r="G85" s="97">
        <f t="shared" si="83"/>
        <v>1.8407676429072237E-2</v>
      </c>
      <c r="H85" s="97">
        <f t="shared" si="83"/>
        <v>1.8431474904881846E-2</v>
      </c>
      <c r="I85" s="97">
        <f t="shared" si="83"/>
        <v>1.8464990327470419E-2</v>
      </c>
      <c r="J85" s="97">
        <f t="shared" si="83"/>
        <v>1.8511844429421997E-2</v>
      </c>
      <c r="K85" s="97">
        <f t="shared" si="83"/>
        <v>1.8576706814543736E-2</v>
      </c>
      <c r="L85" s="97">
        <f t="shared" si="83"/>
        <v>1.8665364248115848E-2</v>
      </c>
      <c r="M85" s="97">
        <f t="shared" si="83"/>
        <v>1.878460195012872E-2</v>
      </c>
      <c r="N85" s="97">
        <f t="shared" si="83"/>
        <v>1.8941712739581729E-2</v>
      </c>
      <c r="O85" s="97">
        <f t="shared" si="83"/>
        <v>1.9143336861983766E-2</v>
      </c>
      <c r="P85" s="97">
        <f t="shared" si="83"/>
        <v>1.9393323135345295E-2</v>
      </c>
      <c r="Q85" s="97">
        <f t="shared" si="83"/>
        <v>1.9689714974171445E-2</v>
      </c>
      <c r="R85" s="97">
        <f t="shared" si="83"/>
        <v>2.0021996150566372E-2</v>
      </c>
      <c r="S85" s="97">
        <f t="shared" si="83"/>
        <v>2.0370744855136225E-2</v>
      </c>
      <c r="T85" s="97">
        <f t="shared" si="83"/>
        <v>2.0711326930174221E-2</v>
      </c>
      <c r="U85" s="97">
        <f t="shared" si="83"/>
        <v>2.1020602376728963E-2</v>
      </c>
      <c r="V85" s="97">
        <f t="shared" si="83"/>
        <v>2.1283026088241695E-2</v>
      </c>
      <c r="W85" s="97">
        <f t="shared" si="83"/>
        <v>2.1492965526109957E-2</v>
      </c>
      <c r="X85" s="97">
        <f t="shared" si="83"/>
        <v>2.1653052129415793E-2</v>
      </c>
      <c r="Y85" s="97">
        <f t="shared" si="83"/>
        <v>2.1770677404645413E-2</v>
      </c>
      <c r="Z85" s="97">
        <f t="shared" si="83"/>
        <v>2.1854753662609437E-2</v>
      </c>
      <c r="AA85" s="97">
        <f t="shared" si="83"/>
        <v>2.1913667518629745E-2</v>
      </c>
      <c r="AB85" s="97">
        <f t="shared" si="83"/>
        <v>2.1954375479161927E-2</v>
      </c>
      <c r="AC85" s="97">
        <f t="shared" si="83"/>
        <v>2.1982231623871498E-2</v>
      </c>
    </row>
    <row r="87" spans="1:29" x14ac:dyDescent="0.25">
      <c r="B87" s="40"/>
    </row>
    <row r="107" spans="1:2" s="3" customFormat="1" ht="21" x14ac:dyDescent="0.35">
      <c r="A107" s="2" t="str">
        <f>'Parameter Input'!A102</f>
        <v>Railway long-haul: Liquid bulk</v>
      </c>
    </row>
    <row r="108" spans="1:2" s="3" customFormat="1" ht="21" x14ac:dyDescent="0.35">
      <c r="A108" s="2" t="s">
        <v>11</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Input'!$L$91</f>
        <v>3500000</v>
      </c>
      <c r="C117" s="42">
        <f>'Parameter Input'!$M$91</f>
        <v>3500000</v>
      </c>
      <c r="D117" s="1" t="s">
        <v>15</v>
      </c>
      <c r="L117" s="51">
        <f>'Parameter Input'!$O$91</f>
        <v>12</v>
      </c>
      <c r="M117" s="52">
        <v>0</v>
      </c>
      <c r="N117" s="52">
        <v>1</v>
      </c>
      <c r="O117" s="52">
        <f>'Parameter Input'!$P$91</f>
        <v>0.9</v>
      </c>
      <c r="P117" s="53">
        <f>'Parameter Input'!$Q$91</f>
        <v>0.4</v>
      </c>
      <c r="Q117" s="4">
        <f t="shared" ref="Q117:AR126" si="84">$N117+($M117-$N117)*((1/(1+EXP(-$P117*(Q$9-$L117)))^$O117))</f>
        <v>0.9867978615748374</v>
      </c>
      <c r="R117" s="4">
        <f t="shared" si="84"/>
        <v>0.98114509762858249</v>
      </c>
      <c r="S117" s="4">
        <f t="shared" si="84"/>
        <v>0.97311898315872036</v>
      </c>
      <c r="T117" s="4">
        <f t="shared" si="84"/>
        <v>0.96177484161592774</v>
      </c>
      <c r="U117" s="4">
        <f t="shared" si="84"/>
        <v>0.94584787155511363</v>
      </c>
      <c r="V117" s="4">
        <f t="shared" si="84"/>
        <v>0.92370360150141495</v>
      </c>
      <c r="W117" s="4">
        <f t="shared" si="84"/>
        <v>0.89334463567658451</v>
      </c>
      <c r="X117" s="4">
        <f t="shared" si="84"/>
        <v>0.85254543874327005</v>
      </c>
      <c r="Y117" s="4">
        <f t="shared" si="84"/>
        <v>0.79921300652623883</v>
      </c>
      <c r="Z117" s="4">
        <f t="shared" si="84"/>
        <v>0.73204982249993378</v>
      </c>
      <c r="AA117" s="4">
        <f t="shared" si="84"/>
        <v>0.65145592958786691</v>
      </c>
      <c r="AB117" s="4">
        <f t="shared" si="84"/>
        <v>0.56032247880849573</v>
      </c>
      <c r="AC117" s="4">
        <f t="shared" si="84"/>
        <v>0.46411326873185343</v>
      </c>
      <c r="AD117" s="4">
        <f t="shared" si="84"/>
        <v>0.36979727595523937</v>
      </c>
      <c r="AE117" s="4">
        <f t="shared" si="84"/>
        <v>0.28393948637231203</v>
      </c>
      <c r="AF117" s="4">
        <f t="shared" si="84"/>
        <v>0.21097259161117732</v>
      </c>
      <c r="AG117" s="4">
        <f t="shared" si="84"/>
        <v>0.15253917653798199</v>
      </c>
      <c r="AH117" s="4">
        <f t="shared" si="84"/>
        <v>0.10795188737709993</v>
      </c>
      <c r="AI117" s="4">
        <f t="shared" si="84"/>
        <v>7.5176653938091809E-2</v>
      </c>
      <c r="AJ117" s="4">
        <f t="shared" si="84"/>
        <v>5.1742836177502194E-2</v>
      </c>
      <c r="AK117" s="4">
        <f t="shared" si="84"/>
        <v>3.5319190625345942E-2</v>
      </c>
      <c r="AL117" s="4">
        <f t="shared" si="84"/>
        <v>2.3969442072658165E-2</v>
      </c>
      <c r="AM117" s="4">
        <f t="shared" si="84"/>
        <v>1.6202243558389728E-2</v>
      </c>
      <c r="AN117" s="4">
        <f t="shared" si="84"/>
        <v>1.0922240564108399E-2</v>
      </c>
      <c r="AO117" s="4">
        <f t="shared" si="84"/>
        <v>7.3493212906090566E-3</v>
      </c>
      <c r="AP117" s="4">
        <f t="shared" si="84"/>
        <v>4.9390262185057265E-3</v>
      </c>
      <c r="AQ117" s="4">
        <f t="shared" si="84"/>
        <v>3.3164275492956197E-3</v>
      </c>
      <c r="AR117" s="4">
        <f t="shared" si="84"/>
        <v>2.2256362146679809E-3</v>
      </c>
    </row>
    <row r="118" spans="1:44" x14ac:dyDescent="0.25">
      <c r="A118" s="24" t="s">
        <v>28</v>
      </c>
      <c r="B118" s="60">
        <f>'Parameter Input'!$L$92</f>
        <v>-525000</v>
      </c>
      <c r="C118" s="61">
        <f>'Parameter Input'!$M$92</f>
        <v>-175000</v>
      </c>
      <c r="D118" s="1" t="s">
        <v>15</v>
      </c>
      <c r="L118" s="54">
        <f>'Parameter Input'!$O$92</f>
        <v>12</v>
      </c>
      <c r="M118" s="37">
        <v>0</v>
      </c>
      <c r="N118" s="37">
        <v>1</v>
      </c>
      <c r="O118" s="37">
        <f>'Parameter Input'!$P$92</f>
        <v>0.9</v>
      </c>
      <c r="P118" s="55">
        <f>'Parameter Input'!$Q$92</f>
        <v>0.4</v>
      </c>
      <c r="Q118" s="4">
        <f t="shared" si="84"/>
        <v>0.9867978615748374</v>
      </c>
      <c r="R118" s="4">
        <f t="shared" si="84"/>
        <v>0.98114509762858249</v>
      </c>
      <c r="S118" s="4">
        <f t="shared" si="84"/>
        <v>0.97311898315872036</v>
      </c>
      <c r="T118" s="4">
        <f t="shared" si="84"/>
        <v>0.96177484161592774</v>
      </c>
      <c r="U118" s="4">
        <f t="shared" si="84"/>
        <v>0.94584787155511363</v>
      </c>
      <c r="V118" s="4">
        <f t="shared" si="84"/>
        <v>0.92370360150141495</v>
      </c>
      <c r="W118" s="4">
        <f t="shared" si="84"/>
        <v>0.89334463567658451</v>
      </c>
      <c r="X118" s="4">
        <f t="shared" si="84"/>
        <v>0.85254543874327005</v>
      </c>
      <c r="Y118" s="4">
        <f t="shared" si="84"/>
        <v>0.79921300652623883</v>
      </c>
      <c r="Z118" s="4">
        <f t="shared" si="84"/>
        <v>0.73204982249993378</v>
      </c>
      <c r="AA118" s="4">
        <f t="shared" si="84"/>
        <v>0.65145592958786691</v>
      </c>
      <c r="AB118" s="4">
        <f t="shared" si="84"/>
        <v>0.56032247880849573</v>
      </c>
      <c r="AC118" s="4">
        <f t="shared" si="84"/>
        <v>0.46411326873185343</v>
      </c>
      <c r="AD118" s="4">
        <f t="shared" si="84"/>
        <v>0.36979727595523937</v>
      </c>
      <c r="AE118" s="4">
        <f t="shared" si="84"/>
        <v>0.28393948637231203</v>
      </c>
      <c r="AF118" s="4">
        <f t="shared" si="84"/>
        <v>0.21097259161117732</v>
      </c>
      <c r="AG118" s="4">
        <f t="shared" si="84"/>
        <v>0.15253917653798199</v>
      </c>
      <c r="AH118" s="4">
        <f t="shared" si="84"/>
        <v>0.10795188737709993</v>
      </c>
      <c r="AI118" s="4">
        <f t="shared" si="84"/>
        <v>7.5176653938091809E-2</v>
      </c>
      <c r="AJ118" s="4">
        <f t="shared" si="84"/>
        <v>5.1742836177502194E-2</v>
      </c>
      <c r="AK118" s="4">
        <f t="shared" si="84"/>
        <v>3.5319190625345942E-2</v>
      </c>
      <c r="AL118" s="4">
        <f t="shared" si="84"/>
        <v>2.3969442072658165E-2</v>
      </c>
      <c r="AM118" s="4">
        <f t="shared" si="84"/>
        <v>1.6202243558389728E-2</v>
      </c>
      <c r="AN118" s="4">
        <f t="shared" si="84"/>
        <v>1.0922240564108399E-2</v>
      </c>
      <c r="AO118" s="4">
        <f t="shared" si="84"/>
        <v>7.3493212906090566E-3</v>
      </c>
      <c r="AP118" s="4">
        <f t="shared" si="84"/>
        <v>4.9390262185057265E-3</v>
      </c>
      <c r="AQ118" s="4">
        <f t="shared" si="84"/>
        <v>3.3164275492956197E-3</v>
      </c>
      <c r="AR118" s="4">
        <f t="shared" si="84"/>
        <v>2.2256362146679809E-3</v>
      </c>
    </row>
    <row r="119" spans="1:44" x14ac:dyDescent="0.25">
      <c r="A119" s="24" t="s">
        <v>14</v>
      </c>
      <c r="B119" s="43">
        <f>'Parameter Input'!B103</f>
        <v>5600000</v>
      </c>
      <c r="C119" s="44">
        <f>'Parameter Input'!C103</f>
        <v>5600000</v>
      </c>
      <c r="D119" s="1" t="s">
        <v>15</v>
      </c>
      <c r="L119" s="54">
        <f>'Parameter Input'!E91</f>
        <v>12</v>
      </c>
      <c r="M119" s="37">
        <v>0</v>
      </c>
      <c r="N119" s="37">
        <v>1</v>
      </c>
      <c r="O119" s="37">
        <f>'Parameter Input'!F91</f>
        <v>0.9</v>
      </c>
      <c r="P119" s="55">
        <f>'Parameter Input'!G91</f>
        <v>0.4</v>
      </c>
      <c r="Q119" s="4">
        <f t="shared" si="84"/>
        <v>0.9867978615748374</v>
      </c>
      <c r="R119" s="4">
        <f t="shared" si="84"/>
        <v>0.98114509762858249</v>
      </c>
      <c r="S119" s="4">
        <f t="shared" si="84"/>
        <v>0.97311898315872036</v>
      </c>
      <c r="T119" s="4">
        <f t="shared" si="84"/>
        <v>0.96177484161592774</v>
      </c>
      <c r="U119" s="4">
        <f t="shared" si="84"/>
        <v>0.94584787155511363</v>
      </c>
      <c r="V119" s="4">
        <f t="shared" si="84"/>
        <v>0.92370360150141495</v>
      </c>
      <c r="W119" s="4">
        <f t="shared" si="84"/>
        <v>0.89334463567658451</v>
      </c>
      <c r="X119" s="4">
        <f t="shared" si="84"/>
        <v>0.85254543874327005</v>
      </c>
      <c r="Y119" s="4">
        <f t="shared" si="84"/>
        <v>0.79921300652623883</v>
      </c>
      <c r="Z119" s="4">
        <f t="shared" si="84"/>
        <v>0.73204982249993378</v>
      </c>
      <c r="AA119" s="4">
        <f t="shared" si="84"/>
        <v>0.65145592958786691</v>
      </c>
      <c r="AB119" s="4">
        <f t="shared" si="84"/>
        <v>0.56032247880849573</v>
      </c>
      <c r="AC119" s="4">
        <f t="shared" si="84"/>
        <v>0.46411326873185343</v>
      </c>
      <c r="AD119" s="4">
        <f t="shared" si="84"/>
        <v>0.36979727595523937</v>
      </c>
      <c r="AE119" s="4">
        <f t="shared" si="84"/>
        <v>0.28393948637231203</v>
      </c>
      <c r="AF119" s="4">
        <f t="shared" si="84"/>
        <v>0.21097259161117732</v>
      </c>
      <c r="AG119" s="4">
        <f t="shared" si="84"/>
        <v>0.15253917653798199</v>
      </c>
      <c r="AH119" s="4">
        <f t="shared" si="84"/>
        <v>0.10795188737709993</v>
      </c>
      <c r="AI119" s="4">
        <f t="shared" si="84"/>
        <v>7.5176653938091809E-2</v>
      </c>
      <c r="AJ119" s="4">
        <f t="shared" si="84"/>
        <v>5.1742836177502194E-2</v>
      </c>
      <c r="AK119" s="4">
        <f t="shared" si="84"/>
        <v>3.5319190625345942E-2</v>
      </c>
      <c r="AL119" s="4">
        <f t="shared" si="84"/>
        <v>2.3969442072658165E-2</v>
      </c>
      <c r="AM119" s="4">
        <f t="shared" si="84"/>
        <v>1.6202243558389728E-2</v>
      </c>
      <c r="AN119" s="4">
        <f t="shared" si="84"/>
        <v>1.0922240564108399E-2</v>
      </c>
      <c r="AO119" s="4">
        <f t="shared" si="84"/>
        <v>7.3493212906090566E-3</v>
      </c>
      <c r="AP119" s="4">
        <f t="shared" si="84"/>
        <v>4.9390262185057265E-3</v>
      </c>
      <c r="AQ119" s="4">
        <f t="shared" si="84"/>
        <v>3.3164275492956197E-3</v>
      </c>
      <c r="AR119" s="4">
        <f t="shared" si="84"/>
        <v>2.2256362146679809E-3</v>
      </c>
    </row>
    <row r="120" spans="1:44" x14ac:dyDescent="0.25">
      <c r="A120" s="24" t="s">
        <v>25</v>
      </c>
      <c r="B120" s="60">
        <f>'Parameter Input'!B104</f>
        <v>-280000</v>
      </c>
      <c r="C120" s="61">
        <f>'Parameter Input'!C104</f>
        <v>-280000</v>
      </c>
      <c r="D120" s="1" t="s">
        <v>15</v>
      </c>
      <c r="L120" s="54">
        <f>'Parameter Input'!E92</f>
        <v>12</v>
      </c>
      <c r="M120" s="37">
        <v>0</v>
      </c>
      <c r="N120" s="37">
        <v>1</v>
      </c>
      <c r="O120" s="37">
        <f>'Parameter Input'!F92</f>
        <v>0.9</v>
      </c>
      <c r="P120" s="55">
        <f>'Parameter Input'!G92</f>
        <v>0.4</v>
      </c>
      <c r="Q120" s="4">
        <f t="shared" si="84"/>
        <v>0.9867978615748374</v>
      </c>
      <c r="R120" s="4">
        <f t="shared" si="84"/>
        <v>0.98114509762858249</v>
      </c>
      <c r="S120" s="4">
        <f t="shared" si="84"/>
        <v>0.97311898315872036</v>
      </c>
      <c r="T120" s="4">
        <f t="shared" si="84"/>
        <v>0.96177484161592774</v>
      </c>
      <c r="U120" s="4">
        <f t="shared" si="84"/>
        <v>0.94584787155511363</v>
      </c>
      <c r="V120" s="4">
        <f t="shared" si="84"/>
        <v>0.92370360150141495</v>
      </c>
      <c r="W120" s="4">
        <f t="shared" si="84"/>
        <v>0.89334463567658451</v>
      </c>
      <c r="X120" s="4">
        <f t="shared" si="84"/>
        <v>0.85254543874327005</v>
      </c>
      <c r="Y120" s="4">
        <f t="shared" si="84"/>
        <v>0.79921300652623883</v>
      </c>
      <c r="Z120" s="4">
        <f t="shared" si="84"/>
        <v>0.73204982249993378</v>
      </c>
      <c r="AA120" s="4">
        <f t="shared" si="84"/>
        <v>0.65145592958786691</v>
      </c>
      <c r="AB120" s="4">
        <f t="shared" si="84"/>
        <v>0.56032247880849573</v>
      </c>
      <c r="AC120" s="4">
        <f t="shared" si="84"/>
        <v>0.46411326873185343</v>
      </c>
      <c r="AD120" s="4">
        <f t="shared" si="84"/>
        <v>0.36979727595523937</v>
      </c>
      <c r="AE120" s="4">
        <f t="shared" si="84"/>
        <v>0.28393948637231203</v>
      </c>
      <c r="AF120" s="4">
        <f t="shared" si="84"/>
        <v>0.21097259161117732</v>
      </c>
      <c r="AG120" s="4">
        <f t="shared" si="84"/>
        <v>0.15253917653798199</v>
      </c>
      <c r="AH120" s="4">
        <f t="shared" si="84"/>
        <v>0.10795188737709993</v>
      </c>
      <c r="AI120" s="4">
        <f t="shared" si="84"/>
        <v>7.5176653938091809E-2</v>
      </c>
      <c r="AJ120" s="4">
        <f t="shared" si="84"/>
        <v>5.1742836177502194E-2</v>
      </c>
      <c r="AK120" s="4">
        <f t="shared" si="84"/>
        <v>3.5319190625345942E-2</v>
      </c>
      <c r="AL120" s="4">
        <f t="shared" si="84"/>
        <v>2.3969442072658165E-2</v>
      </c>
      <c r="AM120" s="4">
        <f t="shared" si="84"/>
        <v>1.6202243558389728E-2</v>
      </c>
      <c r="AN120" s="4">
        <f t="shared" si="84"/>
        <v>1.0922240564108399E-2</v>
      </c>
      <c r="AO120" s="4">
        <f t="shared" si="84"/>
        <v>7.3493212906090566E-3</v>
      </c>
      <c r="AP120" s="4">
        <f t="shared" si="84"/>
        <v>4.9390262185057265E-3</v>
      </c>
      <c r="AQ120" s="4">
        <f t="shared" si="84"/>
        <v>3.3164275492956197E-3</v>
      </c>
      <c r="AR120" s="4">
        <f t="shared" si="84"/>
        <v>2.2256362146679809E-3</v>
      </c>
    </row>
    <row r="121" spans="1:44" x14ac:dyDescent="0.25">
      <c r="A121" s="24" t="s">
        <v>79</v>
      </c>
      <c r="B121" s="45">
        <f>'Parameter Input'!$L$98</f>
        <v>0.06</v>
      </c>
      <c r="C121" s="46">
        <f>'Parameter Input'!$M$98</f>
        <v>0.06</v>
      </c>
      <c r="D121" s="1" t="s">
        <v>57</v>
      </c>
      <c r="L121" s="54">
        <f>'Parameter Input'!$O$98</f>
        <v>12</v>
      </c>
      <c r="M121" s="37">
        <v>0</v>
      </c>
      <c r="N121" s="37">
        <v>1</v>
      </c>
      <c r="O121" s="37">
        <f>'Parameter Input'!$P$98</f>
        <v>0.9</v>
      </c>
      <c r="P121" s="55">
        <f>'Parameter Input'!$Q$98</f>
        <v>0.4</v>
      </c>
      <c r="Q121" s="4">
        <f t="shared" si="84"/>
        <v>0.9867978615748374</v>
      </c>
      <c r="R121" s="4">
        <f t="shared" si="84"/>
        <v>0.98114509762858249</v>
      </c>
      <c r="S121" s="4">
        <f t="shared" si="84"/>
        <v>0.97311898315872036</v>
      </c>
      <c r="T121" s="4">
        <f t="shared" si="84"/>
        <v>0.96177484161592774</v>
      </c>
      <c r="U121" s="4">
        <f t="shared" si="84"/>
        <v>0.94584787155511363</v>
      </c>
      <c r="V121" s="4">
        <f t="shared" si="84"/>
        <v>0.92370360150141495</v>
      </c>
      <c r="W121" s="4">
        <f t="shared" si="84"/>
        <v>0.89334463567658451</v>
      </c>
      <c r="X121" s="4">
        <f t="shared" si="84"/>
        <v>0.85254543874327005</v>
      </c>
      <c r="Y121" s="4">
        <f t="shared" si="84"/>
        <v>0.79921300652623883</v>
      </c>
      <c r="Z121" s="4">
        <f t="shared" si="84"/>
        <v>0.73204982249993378</v>
      </c>
      <c r="AA121" s="4">
        <f t="shared" si="84"/>
        <v>0.65145592958786691</v>
      </c>
      <c r="AB121" s="4">
        <f t="shared" si="84"/>
        <v>0.56032247880849573</v>
      </c>
      <c r="AC121" s="4">
        <f t="shared" si="84"/>
        <v>0.46411326873185343</v>
      </c>
      <c r="AD121" s="4">
        <f t="shared" si="84"/>
        <v>0.36979727595523937</v>
      </c>
      <c r="AE121" s="4">
        <f t="shared" si="84"/>
        <v>0.28393948637231203</v>
      </c>
      <c r="AF121" s="4">
        <f t="shared" si="84"/>
        <v>0.21097259161117732</v>
      </c>
      <c r="AG121" s="4">
        <f t="shared" si="84"/>
        <v>0.15253917653798199</v>
      </c>
      <c r="AH121" s="4">
        <f t="shared" si="84"/>
        <v>0.10795188737709993</v>
      </c>
      <c r="AI121" s="4">
        <f t="shared" si="84"/>
        <v>7.5176653938091809E-2</v>
      </c>
      <c r="AJ121" s="4">
        <f t="shared" si="84"/>
        <v>5.1742836177502194E-2</v>
      </c>
      <c r="AK121" s="4">
        <f t="shared" si="84"/>
        <v>3.5319190625345942E-2</v>
      </c>
      <c r="AL121" s="4">
        <f t="shared" si="84"/>
        <v>2.3969442072658165E-2</v>
      </c>
      <c r="AM121" s="4">
        <f t="shared" si="84"/>
        <v>1.6202243558389728E-2</v>
      </c>
      <c r="AN121" s="4">
        <f t="shared" si="84"/>
        <v>1.0922240564108399E-2</v>
      </c>
      <c r="AO121" s="4">
        <f t="shared" si="84"/>
        <v>7.3493212906090566E-3</v>
      </c>
      <c r="AP121" s="4">
        <f t="shared" si="84"/>
        <v>4.9390262185057265E-3</v>
      </c>
      <c r="AQ121" s="4">
        <f t="shared" si="84"/>
        <v>3.3164275492956197E-3</v>
      </c>
      <c r="AR121" s="4">
        <f t="shared" si="84"/>
        <v>2.2256362146679809E-3</v>
      </c>
    </row>
    <row r="122" spans="1:44" x14ac:dyDescent="0.25">
      <c r="A122" s="24" t="s">
        <v>37</v>
      </c>
      <c r="B122" s="43">
        <f>'Parameter Input'!B105</f>
        <v>620000</v>
      </c>
      <c r="C122" s="44">
        <f>'Parameter Input'!C105</f>
        <v>620000</v>
      </c>
      <c r="D122" s="1" t="s">
        <v>38</v>
      </c>
      <c r="L122" s="54">
        <f>'Parameter Input'!E93</f>
        <v>12</v>
      </c>
      <c r="M122" s="37">
        <v>0</v>
      </c>
      <c r="N122" s="37">
        <v>1</v>
      </c>
      <c r="O122" s="37">
        <f>'Parameter Input'!F93</f>
        <v>0.9</v>
      </c>
      <c r="P122" s="55">
        <f>'Parameter Input'!G93</f>
        <v>0.4</v>
      </c>
      <c r="Q122" s="4">
        <f t="shared" si="84"/>
        <v>0.9867978615748374</v>
      </c>
      <c r="R122" s="4">
        <f t="shared" si="84"/>
        <v>0.98114509762858249</v>
      </c>
      <c r="S122" s="4">
        <f t="shared" si="84"/>
        <v>0.97311898315872036</v>
      </c>
      <c r="T122" s="4">
        <f t="shared" si="84"/>
        <v>0.96177484161592774</v>
      </c>
      <c r="U122" s="4">
        <f t="shared" si="84"/>
        <v>0.94584787155511363</v>
      </c>
      <c r="V122" s="4">
        <f t="shared" si="84"/>
        <v>0.92370360150141495</v>
      </c>
      <c r="W122" s="4">
        <f t="shared" si="84"/>
        <v>0.89334463567658451</v>
      </c>
      <c r="X122" s="4">
        <f t="shared" si="84"/>
        <v>0.85254543874327005</v>
      </c>
      <c r="Y122" s="4">
        <f t="shared" si="84"/>
        <v>0.79921300652623883</v>
      </c>
      <c r="Z122" s="4">
        <f t="shared" si="84"/>
        <v>0.73204982249993378</v>
      </c>
      <c r="AA122" s="4">
        <f t="shared" si="84"/>
        <v>0.65145592958786691</v>
      </c>
      <c r="AB122" s="4">
        <f t="shared" si="84"/>
        <v>0.56032247880849573</v>
      </c>
      <c r="AC122" s="4">
        <f t="shared" si="84"/>
        <v>0.46411326873185343</v>
      </c>
      <c r="AD122" s="4">
        <f t="shared" si="84"/>
        <v>0.36979727595523937</v>
      </c>
      <c r="AE122" s="4">
        <f t="shared" si="84"/>
        <v>0.28393948637231203</v>
      </c>
      <c r="AF122" s="4">
        <f t="shared" si="84"/>
        <v>0.21097259161117732</v>
      </c>
      <c r="AG122" s="4">
        <f t="shared" si="84"/>
        <v>0.15253917653798199</v>
      </c>
      <c r="AH122" s="4">
        <f t="shared" si="84"/>
        <v>0.10795188737709993</v>
      </c>
      <c r="AI122" s="4">
        <f t="shared" si="84"/>
        <v>7.5176653938091809E-2</v>
      </c>
      <c r="AJ122" s="4">
        <f t="shared" si="84"/>
        <v>5.1742836177502194E-2</v>
      </c>
      <c r="AK122" s="4">
        <f t="shared" si="84"/>
        <v>3.5319190625345942E-2</v>
      </c>
      <c r="AL122" s="4">
        <f t="shared" si="84"/>
        <v>2.3969442072658165E-2</v>
      </c>
      <c r="AM122" s="4">
        <f t="shared" si="84"/>
        <v>1.6202243558389728E-2</v>
      </c>
      <c r="AN122" s="4">
        <f t="shared" si="84"/>
        <v>1.0922240564108399E-2</v>
      </c>
      <c r="AO122" s="4">
        <f t="shared" si="84"/>
        <v>7.3493212906090566E-3</v>
      </c>
      <c r="AP122" s="4">
        <f t="shared" si="84"/>
        <v>4.9390262185057265E-3</v>
      </c>
      <c r="AQ122" s="4">
        <f t="shared" si="84"/>
        <v>3.3164275492956197E-3</v>
      </c>
      <c r="AR122" s="4">
        <f t="shared" si="84"/>
        <v>2.2256362146679809E-3</v>
      </c>
    </row>
    <row r="123" spans="1:44" x14ac:dyDescent="0.25">
      <c r="A123" s="24" t="s">
        <v>52</v>
      </c>
      <c r="B123" s="43">
        <f>'Parameter Input'!$L$94</f>
        <v>1050000</v>
      </c>
      <c r="C123" s="44">
        <f>'Parameter Input'!$M$94</f>
        <v>1050000</v>
      </c>
      <c r="D123" s="1" t="s">
        <v>38</v>
      </c>
      <c r="L123" s="54">
        <f>'Parameter Input'!$O$94</f>
        <v>12</v>
      </c>
      <c r="M123" s="37">
        <v>0</v>
      </c>
      <c r="N123" s="37">
        <v>1</v>
      </c>
      <c r="O123" s="37">
        <f>'Parameter Input'!$P$94</f>
        <v>0.9</v>
      </c>
      <c r="P123" s="55">
        <f>'Parameter Input'!$Q$94</f>
        <v>0.4</v>
      </c>
      <c r="Q123" s="4">
        <f t="shared" si="84"/>
        <v>0.9867978615748374</v>
      </c>
      <c r="R123" s="4">
        <f t="shared" si="84"/>
        <v>0.98114509762858249</v>
      </c>
      <c r="S123" s="4">
        <f t="shared" si="84"/>
        <v>0.97311898315872036</v>
      </c>
      <c r="T123" s="4">
        <f t="shared" si="84"/>
        <v>0.96177484161592774</v>
      </c>
      <c r="U123" s="4">
        <f t="shared" si="84"/>
        <v>0.94584787155511363</v>
      </c>
      <c r="V123" s="4">
        <f t="shared" si="84"/>
        <v>0.92370360150141495</v>
      </c>
      <c r="W123" s="4">
        <f t="shared" si="84"/>
        <v>0.89334463567658451</v>
      </c>
      <c r="X123" s="4">
        <f t="shared" si="84"/>
        <v>0.85254543874327005</v>
      </c>
      <c r="Y123" s="4">
        <f t="shared" si="84"/>
        <v>0.79921300652623883</v>
      </c>
      <c r="Z123" s="4">
        <f t="shared" si="84"/>
        <v>0.73204982249993378</v>
      </c>
      <c r="AA123" s="4">
        <f t="shared" si="84"/>
        <v>0.65145592958786691</v>
      </c>
      <c r="AB123" s="4">
        <f t="shared" si="84"/>
        <v>0.56032247880849573</v>
      </c>
      <c r="AC123" s="4">
        <f t="shared" si="84"/>
        <v>0.46411326873185343</v>
      </c>
      <c r="AD123" s="4">
        <f t="shared" si="84"/>
        <v>0.36979727595523937</v>
      </c>
      <c r="AE123" s="4">
        <f t="shared" si="84"/>
        <v>0.28393948637231203</v>
      </c>
      <c r="AF123" s="4">
        <f t="shared" si="84"/>
        <v>0.21097259161117732</v>
      </c>
      <c r="AG123" s="4">
        <f t="shared" si="84"/>
        <v>0.15253917653798199</v>
      </c>
      <c r="AH123" s="4">
        <f t="shared" si="84"/>
        <v>0.10795188737709993</v>
      </c>
      <c r="AI123" s="4">
        <f t="shared" si="84"/>
        <v>7.5176653938091809E-2</v>
      </c>
      <c r="AJ123" s="4">
        <f t="shared" si="84"/>
        <v>5.1742836177502194E-2</v>
      </c>
      <c r="AK123" s="4">
        <f t="shared" si="84"/>
        <v>3.5319190625345942E-2</v>
      </c>
      <c r="AL123" s="4">
        <f t="shared" si="84"/>
        <v>2.3969442072658165E-2</v>
      </c>
      <c r="AM123" s="4">
        <f t="shared" si="84"/>
        <v>1.6202243558389728E-2</v>
      </c>
      <c r="AN123" s="4">
        <f t="shared" si="84"/>
        <v>1.0922240564108399E-2</v>
      </c>
      <c r="AO123" s="4">
        <f t="shared" si="84"/>
        <v>7.3493212906090566E-3</v>
      </c>
      <c r="AP123" s="4">
        <f t="shared" si="84"/>
        <v>4.9390262185057265E-3</v>
      </c>
      <c r="AQ123" s="4">
        <f t="shared" si="84"/>
        <v>3.3164275492956197E-3</v>
      </c>
      <c r="AR123" s="4">
        <f t="shared" si="84"/>
        <v>2.2256362146679809E-3</v>
      </c>
    </row>
    <row r="124" spans="1:44" x14ac:dyDescent="0.25">
      <c r="A124" s="24" t="s">
        <v>287</v>
      </c>
      <c r="B124" s="45">
        <f>'Parameter Input'!B110</f>
        <v>3.6414565826330532</v>
      </c>
      <c r="C124" s="46">
        <f>'Parameter Input'!C110</f>
        <v>3.6414565826330532</v>
      </c>
      <c r="D124" s="1" t="s">
        <v>76</v>
      </c>
      <c r="L124" s="54">
        <f>'Parameter Input'!E98</f>
        <v>12</v>
      </c>
      <c r="M124" s="37">
        <v>0</v>
      </c>
      <c r="N124" s="37">
        <v>1</v>
      </c>
      <c r="O124" s="37">
        <f>'Parameter Input'!F98</f>
        <v>0.9</v>
      </c>
      <c r="P124" s="55">
        <f>'Parameter Input'!G98</f>
        <v>0.4</v>
      </c>
      <c r="Q124" s="4">
        <f t="shared" si="84"/>
        <v>0.9867978615748374</v>
      </c>
      <c r="R124" s="4">
        <f t="shared" si="84"/>
        <v>0.98114509762858249</v>
      </c>
      <c r="S124" s="4">
        <f t="shared" si="84"/>
        <v>0.97311898315872036</v>
      </c>
      <c r="T124" s="4">
        <f t="shared" si="84"/>
        <v>0.96177484161592774</v>
      </c>
      <c r="U124" s="4">
        <f t="shared" si="84"/>
        <v>0.94584787155511363</v>
      </c>
      <c r="V124" s="4">
        <f t="shared" si="84"/>
        <v>0.92370360150141495</v>
      </c>
      <c r="W124" s="4">
        <f t="shared" si="84"/>
        <v>0.89334463567658451</v>
      </c>
      <c r="X124" s="4">
        <f t="shared" si="84"/>
        <v>0.85254543874327005</v>
      </c>
      <c r="Y124" s="4">
        <f t="shared" si="84"/>
        <v>0.79921300652623883</v>
      </c>
      <c r="Z124" s="4">
        <f t="shared" si="84"/>
        <v>0.73204982249993378</v>
      </c>
      <c r="AA124" s="4">
        <f t="shared" si="84"/>
        <v>0.65145592958786691</v>
      </c>
      <c r="AB124" s="4">
        <f t="shared" si="84"/>
        <v>0.56032247880849573</v>
      </c>
      <c r="AC124" s="4">
        <f t="shared" si="84"/>
        <v>0.46411326873185343</v>
      </c>
      <c r="AD124" s="4">
        <f t="shared" si="84"/>
        <v>0.36979727595523937</v>
      </c>
      <c r="AE124" s="4">
        <f t="shared" si="84"/>
        <v>0.28393948637231203</v>
      </c>
      <c r="AF124" s="4">
        <f t="shared" si="84"/>
        <v>0.21097259161117732</v>
      </c>
      <c r="AG124" s="4">
        <f t="shared" si="84"/>
        <v>0.15253917653798199</v>
      </c>
      <c r="AH124" s="4">
        <f t="shared" si="84"/>
        <v>0.10795188737709993</v>
      </c>
      <c r="AI124" s="4">
        <f t="shared" si="84"/>
        <v>7.5176653938091809E-2</v>
      </c>
      <c r="AJ124" s="4">
        <f t="shared" si="84"/>
        <v>5.1742836177502194E-2</v>
      </c>
      <c r="AK124" s="4">
        <f t="shared" si="84"/>
        <v>3.5319190625345942E-2</v>
      </c>
      <c r="AL124" s="4">
        <f t="shared" si="84"/>
        <v>2.3969442072658165E-2</v>
      </c>
      <c r="AM124" s="4">
        <f t="shared" si="84"/>
        <v>1.6202243558389728E-2</v>
      </c>
      <c r="AN124" s="4">
        <f t="shared" si="84"/>
        <v>1.0922240564108399E-2</v>
      </c>
      <c r="AO124" s="4">
        <f t="shared" si="84"/>
        <v>7.3493212906090566E-3</v>
      </c>
      <c r="AP124" s="4">
        <f t="shared" si="84"/>
        <v>4.9390262185057265E-3</v>
      </c>
      <c r="AQ124" s="4">
        <f t="shared" si="84"/>
        <v>3.3164275492956197E-3</v>
      </c>
      <c r="AR124" s="4">
        <f t="shared" si="84"/>
        <v>2.2256362146679809E-3</v>
      </c>
    </row>
    <row r="125" spans="1:44" x14ac:dyDescent="0.25">
      <c r="A125" s="24" t="s">
        <v>59</v>
      </c>
      <c r="B125" s="47">
        <f>'Parameter Input'!$L$95</f>
        <v>76.777599999999993</v>
      </c>
      <c r="C125" s="48">
        <f>'Parameter Input'!$M$95</f>
        <v>76.777599999999993</v>
      </c>
      <c r="D125" s="1" t="s">
        <v>60</v>
      </c>
      <c r="L125" s="54">
        <f>'Parameter Input'!$O$95</f>
        <v>12</v>
      </c>
      <c r="M125" s="37">
        <v>0</v>
      </c>
      <c r="N125" s="37">
        <v>1</v>
      </c>
      <c r="O125" s="37">
        <f>'Parameter Input'!$P$95</f>
        <v>0.9</v>
      </c>
      <c r="P125" s="55">
        <f>'Parameter Input'!$Q$95</f>
        <v>0.4</v>
      </c>
      <c r="Q125" s="4">
        <f t="shared" si="84"/>
        <v>0.9867978615748374</v>
      </c>
      <c r="R125" s="4">
        <f t="shared" si="84"/>
        <v>0.98114509762858249</v>
      </c>
      <c r="S125" s="4">
        <f t="shared" si="84"/>
        <v>0.97311898315872036</v>
      </c>
      <c r="T125" s="4">
        <f t="shared" si="84"/>
        <v>0.96177484161592774</v>
      </c>
      <c r="U125" s="4">
        <f t="shared" si="84"/>
        <v>0.94584787155511363</v>
      </c>
      <c r="V125" s="4">
        <f t="shared" si="84"/>
        <v>0.92370360150141495</v>
      </c>
      <c r="W125" s="4">
        <f t="shared" si="84"/>
        <v>0.89334463567658451</v>
      </c>
      <c r="X125" s="4">
        <f t="shared" si="84"/>
        <v>0.85254543874327005</v>
      </c>
      <c r="Y125" s="4">
        <f t="shared" si="84"/>
        <v>0.79921300652623883</v>
      </c>
      <c r="Z125" s="4">
        <f t="shared" si="84"/>
        <v>0.73204982249993378</v>
      </c>
      <c r="AA125" s="4">
        <f t="shared" si="84"/>
        <v>0.65145592958786691</v>
      </c>
      <c r="AB125" s="4">
        <f t="shared" si="84"/>
        <v>0.56032247880849573</v>
      </c>
      <c r="AC125" s="4">
        <f t="shared" si="84"/>
        <v>0.46411326873185343</v>
      </c>
      <c r="AD125" s="4">
        <f t="shared" si="84"/>
        <v>0.36979727595523937</v>
      </c>
      <c r="AE125" s="4">
        <f t="shared" si="84"/>
        <v>0.28393948637231203</v>
      </c>
      <c r="AF125" s="4">
        <f t="shared" si="84"/>
        <v>0.21097259161117732</v>
      </c>
      <c r="AG125" s="4">
        <f t="shared" si="84"/>
        <v>0.15253917653798199</v>
      </c>
      <c r="AH125" s="4">
        <f t="shared" si="84"/>
        <v>0.10795188737709993</v>
      </c>
      <c r="AI125" s="4">
        <f t="shared" si="84"/>
        <v>7.5176653938091809E-2</v>
      </c>
      <c r="AJ125" s="4">
        <f t="shared" si="84"/>
        <v>5.1742836177502194E-2</v>
      </c>
      <c r="AK125" s="4">
        <f t="shared" si="84"/>
        <v>3.5319190625345942E-2</v>
      </c>
      <c r="AL125" s="4">
        <f t="shared" si="84"/>
        <v>2.3969442072658165E-2</v>
      </c>
      <c r="AM125" s="4">
        <f t="shared" si="84"/>
        <v>1.6202243558389728E-2</v>
      </c>
      <c r="AN125" s="4">
        <f t="shared" si="84"/>
        <v>1.0922240564108399E-2</v>
      </c>
      <c r="AO125" s="4">
        <f t="shared" si="84"/>
        <v>7.3493212906090566E-3</v>
      </c>
      <c r="AP125" s="4">
        <f t="shared" si="84"/>
        <v>4.9390262185057265E-3</v>
      </c>
      <c r="AQ125" s="4">
        <f t="shared" si="84"/>
        <v>3.3164275492956197E-3</v>
      </c>
      <c r="AR125" s="4">
        <f t="shared" si="84"/>
        <v>2.2256362146679809E-3</v>
      </c>
    </row>
    <row r="126" spans="1:44" x14ac:dyDescent="0.25">
      <c r="A126" s="24" t="s">
        <v>67</v>
      </c>
      <c r="B126" s="45">
        <f>'Parameter Input'!$L$96</f>
        <v>0.1</v>
      </c>
      <c r="C126" s="46">
        <f>'Parameter Input'!$M$96</f>
        <v>0.1</v>
      </c>
      <c r="D126" s="1" t="s">
        <v>68</v>
      </c>
      <c r="L126" s="54">
        <f>'Parameter Input'!$O$96</f>
        <v>12</v>
      </c>
      <c r="M126" s="37">
        <v>0</v>
      </c>
      <c r="N126" s="37">
        <v>1</v>
      </c>
      <c r="O126" s="37">
        <f>'Parameter Input'!$P$96</f>
        <v>0.9</v>
      </c>
      <c r="P126" s="55">
        <f>'Parameter Input'!$Q$96</f>
        <v>0.4</v>
      </c>
      <c r="Q126" s="4">
        <f t="shared" si="84"/>
        <v>0.9867978615748374</v>
      </c>
      <c r="R126" s="4">
        <f t="shared" si="84"/>
        <v>0.98114509762858249</v>
      </c>
      <c r="S126" s="4">
        <f t="shared" si="84"/>
        <v>0.97311898315872036</v>
      </c>
      <c r="T126" s="4">
        <f t="shared" ref="T126:AI133" si="85">$N126+($M126-$N126)*((1/(1+EXP(-$P126*(T$9-$L126)))^$O126))</f>
        <v>0.96177484161592774</v>
      </c>
      <c r="U126" s="4">
        <f t="shared" si="85"/>
        <v>0.94584787155511363</v>
      </c>
      <c r="V126" s="4">
        <f t="shared" si="85"/>
        <v>0.92370360150141495</v>
      </c>
      <c r="W126" s="4">
        <f t="shared" si="85"/>
        <v>0.89334463567658451</v>
      </c>
      <c r="X126" s="4">
        <f t="shared" si="85"/>
        <v>0.85254543874327005</v>
      </c>
      <c r="Y126" s="4">
        <f t="shared" si="85"/>
        <v>0.79921300652623883</v>
      </c>
      <c r="Z126" s="4">
        <f t="shared" si="85"/>
        <v>0.73204982249993378</v>
      </c>
      <c r="AA126" s="4">
        <f t="shared" si="85"/>
        <v>0.65145592958786691</v>
      </c>
      <c r="AB126" s="4">
        <f t="shared" si="85"/>
        <v>0.56032247880849573</v>
      </c>
      <c r="AC126" s="4">
        <f t="shared" si="85"/>
        <v>0.46411326873185343</v>
      </c>
      <c r="AD126" s="4">
        <f t="shared" si="85"/>
        <v>0.36979727595523937</v>
      </c>
      <c r="AE126" s="4">
        <f t="shared" si="85"/>
        <v>0.28393948637231203</v>
      </c>
      <c r="AF126" s="4">
        <f t="shared" si="85"/>
        <v>0.21097259161117732</v>
      </c>
      <c r="AG126" s="4">
        <f t="shared" si="85"/>
        <v>0.15253917653798199</v>
      </c>
      <c r="AH126" s="4">
        <f t="shared" si="85"/>
        <v>0.10795188737709993</v>
      </c>
      <c r="AI126" s="4">
        <f t="shared" si="85"/>
        <v>7.5176653938091809E-2</v>
      </c>
      <c r="AJ126" s="4">
        <f t="shared" ref="AJ126:AR133" si="86">$N126+($M126-$N126)*((1/(1+EXP(-$P126*(AJ$9-$L126)))^$O126))</f>
        <v>5.1742836177502194E-2</v>
      </c>
      <c r="AK126" s="4">
        <f t="shared" si="86"/>
        <v>3.5319190625345942E-2</v>
      </c>
      <c r="AL126" s="4">
        <f t="shared" si="86"/>
        <v>2.3969442072658165E-2</v>
      </c>
      <c r="AM126" s="4">
        <f t="shared" si="86"/>
        <v>1.6202243558389728E-2</v>
      </c>
      <c r="AN126" s="4">
        <f t="shared" si="86"/>
        <v>1.0922240564108399E-2</v>
      </c>
      <c r="AO126" s="4">
        <f t="shared" si="86"/>
        <v>7.3493212906090566E-3</v>
      </c>
      <c r="AP126" s="4">
        <f t="shared" si="86"/>
        <v>4.9390262185057265E-3</v>
      </c>
      <c r="AQ126" s="4">
        <f t="shared" si="86"/>
        <v>3.3164275492956197E-3</v>
      </c>
      <c r="AR126" s="4">
        <f t="shared" si="86"/>
        <v>2.2256362146679809E-3</v>
      </c>
    </row>
    <row r="127" spans="1:44" x14ac:dyDescent="0.25">
      <c r="A127" s="24" t="s">
        <v>206</v>
      </c>
      <c r="B127" s="45">
        <f>'Parameter Input'!L99</f>
        <v>2.0469721783010932</v>
      </c>
      <c r="C127" s="46">
        <f>'Parameter Input'!M99</f>
        <v>7.1644026240538263</v>
      </c>
      <c r="D127" s="1"/>
      <c r="L127" s="54">
        <f>'Parameter Input'!O99</f>
        <v>17</v>
      </c>
      <c r="M127" s="37">
        <v>0</v>
      </c>
      <c r="N127" s="37">
        <v>1</v>
      </c>
      <c r="O127" s="37">
        <f>'Parameter Input'!P99</f>
        <v>0.9</v>
      </c>
      <c r="P127" s="55">
        <f>'Parameter Input'!Q99</f>
        <v>0.4</v>
      </c>
      <c r="Q127" s="4">
        <f t="shared" ref="Q127:AR127" si="87">$N127+($M127-$N127)*((1/(1+EXP(-$P127*(Q$9-$L127)))^$O127))</f>
        <v>0.99780374543478534</v>
      </c>
      <c r="R127" s="4">
        <f t="shared" si="87"/>
        <v>0.99685359315256394</v>
      </c>
      <c r="S127" s="4">
        <f t="shared" si="87"/>
        <v>0.99549347132349975</v>
      </c>
      <c r="T127" s="4">
        <f t="shared" si="87"/>
        <v>0.99354772139898062</v>
      </c>
      <c r="U127" s="4">
        <f t="shared" si="87"/>
        <v>0.99076681540580536</v>
      </c>
      <c r="V127" s="4">
        <f t="shared" si="87"/>
        <v>0.9867978615748374</v>
      </c>
      <c r="W127" s="4">
        <f t="shared" si="87"/>
        <v>0.98114509762858249</v>
      </c>
      <c r="X127" s="4">
        <f t="shared" si="87"/>
        <v>0.97311898315872036</v>
      </c>
      <c r="Y127" s="4">
        <f t="shared" si="87"/>
        <v>0.96177484161592774</v>
      </c>
      <c r="Z127" s="4">
        <f t="shared" si="87"/>
        <v>0.94584787155511363</v>
      </c>
      <c r="AA127" s="4">
        <f t="shared" si="87"/>
        <v>0.92370360150141495</v>
      </c>
      <c r="AB127" s="4">
        <f t="shared" si="87"/>
        <v>0.89334463567658451</v>
      </c>
      <c r="AC127" s="4">
        <f t="shared" si="87"/>
        <v>0.85254543874327005</v>
      </c>
      <c r="AD127" s="4">
        <f t="shared" si="87"/>
        <v>0.79921300652623883</v>
      </c>
      <c r="AE127" s="4">
        <f t="shared" si="87"/>
        <v>0.73204982249993378</v>
      </c>
      <c r="AF127" s="4">
        <f t="shared" si="87"/>
        <v>0.65145592958786691</v>
      </c>
      <c r="AG127" s="4">
        <f t="shared" si="87"/>
        <v>0.56032247880849573</v>
      </c>
      <c r="AH127" s="4">
        <f t="shared" si="87"/>
        <v>0.46411326873185343</v>
      </c>
      <c r="AI127" s="4">
        <f t="shared" si="87"/>
        <v>0.36979727595523937</v>
      </c>
      <c r="AJ127" s="4">
        <f t="shared" si="87"/>
        <v>0.28393948637231203</v>
      </c>
      <c r="AK127" s="4">
        <f t="shared" si="87"/>
        <v>0.21097259161117732</v>
      </c>
      <c r="AL127" s="4">
        <f t="shared" si="87"/>
        <v>0.15253917653798199</v>
      </c>
      <c r="AM127" s="4">
        <f t="shared" si="87"/>
        <v>0.10795188737709993</v>
      </c>
      <c r="AN127" s="4">
        <f t="shared" si="87"/>
        <v>7.5176653938091809E-2</v>
      </c>
      <c r="AO127" s="4">
        <f t="shared" si="87"/>
        <v>5.1742836177502194E-2</v>
      </c>
      <c r="AP127" s="4">
        <f t="shared" si="87"/>
        <v>3.5319190625345942E-2</v>
      </c>
      <c r="AQ127" s="4">
        <f t="shared" si="87"/>
        <v>2.3969442072658165E-2</v>
      </c>
      <c r="AR127" s="4">
        <f t="shared" si="87"/>
        <v>1.6202243558389728E-2</v>
      </c>
    </row>
    <row r="128" spans="1:44" x14ac:dyDescent="0.25">
      <c r="A128" s="24" t="s">
        <v>41</v>
      </c>
      <c r="B128" s="43">
        <f>'Parameter Input'!$L$93</f>
        <v>20</v>
      </c>
      <c r="C128" s="44">
        <f>'Parameter Input'!$M$93</f>
        <v>20</v>
      </c>
      <c r="D128" s="1" t="s">
        <v>42</v>
      </c>
      <c r="L128" s="54">
        <f>'Parameter Input'!$O$93</f>
        <v>12</v>
      </c>
      <c r="M128" s="37">
        <v>0</v>
      </c>
      <c r="N128" s="37">
        <v>1</v>
      </c>
      <c r="O128" s="37">
        <f>'Parameter Input'!$P$93</f>
        <v>0.9</v>
      </c>
      <c r="P128" s="55">
        <f>'Parameter Input'!$Q$93</f>
        <v>0.4</v>
      </c>
      <c r="Q128" s="4">
        <f t="shared" ref="Q128:AF133" si="88">$N128+($M128-$N128)*((1/(1+EXP(-$P128*(Q$9-$L128)))^$O128))</f>
        <v>0.9867978615748374</v>
      </c>
      <c r="R128" s="4">
        <f t="shared" si="88"/>
        <v>0.98114509762858249</v>
      </c>
      <c r="S128" s="4">
        <f t="shared" si="88"/>
        <v>0.97311898315872036</v>
      </c>
      <c r="T128" s="4">
        <f t="shared" si="88"/>
        <v>0.96177484161592774</v>
      </c>
      <c r="U128" s="4">
        <f t="shared" si="88"/>
        <v>0.94584787155511363</v>
      </c>
      <c r="V128" s="4">
        <f t="shared" si="88"/>
        <v>0.92370360150141495</v>
      </c>
      <c r="W128" s="4">
        <f t="shared" si="88"/>
        <v>0.89334463567658451</v>
      </c>
      <c r="X128" s="4">
        <f t="shared" si="88"/>
        <v>0.85254543874327005</v>
      </c>
      <c r="Y128" s="4">
        <f t="shared" si="88"/>
        <v>0.79921300652623883</v>
      </c>
      <c r="Z128" s="4">
        <f t="shared" si="88"/>
        <v>0.73204982249993378</v>
      </c>
      <c r="AA128" s="4">
        <f t="shared" si="88"/>
        <v>0.65145592958786691</v>
      </c>
      <c r="AB128" s="4">
        <f t="shared" si="88"/>
        <v>0.56032247880849573</v>
      </c>
      <c r="AC128" s="4">
        <f t="shared" si="88"/>
        <v>0.46411326873185343</v>
      </c>
      <c r="AD128" s="4">
        <f t="shared" si="88"/>
        <v>0.36979727595523937</v>
      </c>
      <c r="AE128" s="4">
        <f t="shared" si="88"/>
        <v>0.28393948637231203</v>
      </c>
      <c r="AF128" s="4">
        <f t="shared" si="88"/>
        <v>0.21097259161117732</v>
      </c>
      <c r="AG128" s="4">
        <f t="shared" si="85"/>
        <v>0.15253917653798199</v>
      </c>
      <c r="AH128" s="4">
        <f t="shared" si="85"/>
        <v>0.10795188737709993</v>
      </c>
      <c r="AI128" s="4">
        <f t="shared" si="85"/>
        <v>7.5176653938091809E-2</v>
      </c>
      <c r="AJ128" s="4">
        <f t="shared" si="86"/>
        <v>5.1742836177502194E-2</v>
      </c>
      <c r="AK128" s="4">
        <f t="shared" si="86"/>
        <v>3.5319190625345942E-2</v>
      </c>
      <c r="AL128" s="4">
        <f t="shared" si="86"/>
        <v>2.3969442072658165E-2</v>
      </c>
      <c r="AM128" s="4">
        <f t="shared" si="86"/>
        <v>1.6202243558389728E-2</v>
      </c>
      <c r="AN128" s="4">
        <f t="shared" si="86"/>
        <v>1.0922240564108399E-2</v>
      </c>
      <c r="AO128" s="4">
        <f t="shared" si="86"/>
        <v>7.3493212906090566E-3</v>
      </c>
      <c r="AP128" s="4">
        <f t="shared" si="86"/>
        <v>4.9390262185057265E-3</v>
      </c>
      <c r="AQ128" s="4">
        <f t="shared" si="86"/>
        <v>3.3164275492956197E-3</v>
      </c>
      <c r="AR128" s="4">
        <f t="shared" si="86"/>
        <v>2.2256362146679809E-3</v>
      </c>
    </row>
    <row r="129" spans="1:44" x14ac:dyDescent="0.25">
      <c r="A129" s="24" t="s">
        <v>70</v>
      </c>
      <c r="B129" s="43">
        <f>'Parameter Input'!B109</f>
        <v>30</v>
      </c>
      <c r="C129" s="44">
        <f>'Parameter Input'!C109</f>
        <v>30</v>
      </c>
      <c r="D129" s="1" t="s">
        <v>42</v>
      </c>
      <c r="L129" s="54">
        <f>'Parameter Input'!E97</f>
        <v>12</v>
      </c>
      <c r="M129" s="37">
        <v>0</v>
      </c>
      <c r="N129" s="37">
        <v>1</v>
      </c>
      <c r="O129" s="37">
        <f>'Parameter Input'!F97</f>
        <v>0.9</v>
      </c>
      <c r="P129" s="55">
        <f>'Parameter Input'!G97</f>
        <v>0.4</v>
      </c>
      <c r="Q129" s="4">
        <f t="shared" si="88"/>
        <v>0.9867978615748374</v>
      </c>
      <c r="R129" s="4">
        <f t="shared" si="88"/>
        <v>0.98114509762858249</v>
      </c>
      <c r="S129" s="4">
        <f t="shared" si="88"/>
        <v>0.97311898315872036</v>
      </c>
      <c r="T129" s="4">
        <f t="shared" si="88"/>
        <v>0.96177484161592774</v>
      </c>
      <c r="U129" s="4">
        <f t="shared" si="88"/>
        <v>0.94584787155511363</v>
      </c>
      <c r="V129" s="4">
        <f t="shared" si="88"/>
        <v>0.92370360150141495</v>
      </c>
      <c r="W129" s="4">
        <f t="shared" si="88"/>
        <v>0.89334463567658451</v>
      </c>
      <c r="X129" s="4">
        <f t="shared" si="88"/>
        <v>0.85254543874327005</v>
      </c>
      <c r="Y129" s="4">
        <f t="shared" si="88"/>
        <v>0.79921300652623883</v>
      </c>
      <c r="Z129" s="4">
        <f t="shared" si="88"/>
        <v>0.73204982249993378</v>
      </c>
      <c r="AA129" s="4">
        <f t="shared" si="88"/>
        <v>0.65145592958786691</v>
      </c>
      <c r="AB129" s="4">
        <f t="shared" si="88"/>
        <v>0.56032247880849573</v>
      </c>
      <c r="AC129" s="4">
        <f t="shared" si="88"/>
        <v>0.46411326873185343</v>
      </c>
      <c r="AD129" s="4">
        <f t="shared" si="88"/>
        <v>0.36979727595523937</v>
      </c>
      <c r="AE129" s="4">
        <f t="shared" si="88"/>
        <v>0.28393948637231203</v>
      </c>
      <c r="AF129" s="4">
        <f t="shared" si="88"/>
        <v>0.21097259161117732</v>
      </c>
      <c r="AG129" s="4">
        <f t="shared" si="85"/>
        <v>0.15253917653798199</v>
      </c>
      <c r="AH129" s="4">
        <f t="shared" si="85"/>
        <v>0.10795188737709993</v>
      </c>
      <c r="AI129" s="4">
        <f t="shared" si="85"/>
        <v>7.5176653938091809E-2</v>
      </c>
      <c r="AJ129" s="4">
        <f t="shared" si="86"/>
        <v>5.1742836177502194E-2</v>
      </c>
      <c r="AK129" s="4">
        <f t="shared" si="86"/>
        <v>3.5319190625345942E-2</v>
      </c>
      <c r="AL129" s="4">
        <f t="shared" si="86"/>
        <v>2.3969442072658165E-2</v>
      </c>
      <c r="AM129" s="4">
        <f t="shared" si="86"/>
        <v>1.6202243558389728E-2</v>
      </c>
      <c r="AN129" s="4">
        <f t="shared" si="86"/>
        <v>1.0922240564108399E-2</v>
      </c>
      <c r="AO129" s="4">
        <f t="shared" si="86"/>
        <v>7.3493212906090566E-3</v>
      </c>
      <c r="AP129" s="4">
        <f t="shared" si="86"/>
        <v>4.9390262185057265E-3</v>
      </c>
      <c r="AQ129" s="4">
        <f t="shared" si="86"/>
        <v>3.3164275492956197E-3</v>
      </c>
      <c r="AR129" s="4">
        <f t="shared" si="86"/>
        <v>2.2256362146679809E-3</v>
      </c>
    </row>
    <row r="130" spans="1:44" x14ac:dyDescent="0.25">
      <c r="A130" s="24" t="s">
        <v>207</v>
      </c>
      <c r="B130" s="70">
        <f>'Parameter Input'!B106</f>
        <v>2240</v>
      </c>
      <c r="C130" s="71">
        <f>'Parameter Input'!C106</f>
        <v>2240</v>
      </c>
      <c r="D130" s="1" t="s">
        <v>49</v>
      </c>
      <c r="L130" s="54">
        <f>'Parameter Input'!E94</f>
        <v>12</v>
      </c>
      <c r="M130" s="37">
        <v>0</v>
      </c>
      <c r="N130" s="37">
        <v>1</v>
      </c>
      <c r="O130" s="37">
        <f>'Parameter Input'!F94</f>
        <v>0.9</v>
      </c>
      <c r="P130" s="55">
        <f>'Parameter Input'!G94</f>
        <v>0.4</v>
      </c>
      <c r="Q130" s="4">
        <f t="shared" si="88"/>
        <v>0.9867978615748374</v>
      </c>
      <c r="R130" s="4">
        <f t="shared" si="88"/>
        <v>0.98114509762858249</v>
      </c>
      <c r="S130" s="4">
        <f t="shared" si="88"/>
        <v>0.97311898315872036</v>
      </c>
      <c r="T130" s="4">
        <f t="shared" si="88"/>
        <v>0.96177484161592774</v>
      </c>
      <c r="U130" s="4">
        <f t="shared" si="88"/>
        <v>0.94584787155511363</v>
      </c>
      <c r="V130" s="4">
        <f t="shared" si="88"/>
        <v>0.92370360150141495</v>
      </c>
      <c r="W130" s="4">
        <f t="shared" si="88"/>
        <v>0.89334463567658451</v>
      </c>
      <c r="X130" s="4">
        <f t="shared" si="88"/>
        <v>0.85254543874327005</v>
      </c>
      <c r="Y130" s="4">
        <f t="shared" si="88"/>
        <v>0.79921300652623883</v>
      </c>
      <c r="Z130" s="4">
        <f t="shared" si="88"/>
        <v>0.73204982249993378</v>
      </c>
      <c r="AA130" s="4">
        <f t="shared" si="88"/>
        <v>0.65145592958786691</v>
      </c>
      <c r="AB130" s="4">
        <f t="shared" si="88"/>
        <v>0.56032247880849573</v>
      </c>
      <c r="AC130" s="4">
        <f t="shared" si="88"/>
        <v>0.46411326873185343</v>
      </c>
      <c r="AD130" s="4">
        <f t="shared" si="88"/>
        <v>0.36979727595523937</v>
      </c>
      <c r="AE130" s="4">
        <f t="shared" si="88"/>
        <v>0.28393948637231203</v>
      </c>
      <c r="AF130" s="4">
        <f t="shared" si="88"/>
        <v>0.21097259161117732</v>
      </c>
      <c r="AG130" s="4">
        <f t="shared" si="85"/>
        <v>0.15253917653798199</v>
      </c>
      <c r="AH130" s="4">
        <f t="shared" si="85"/>
        <v>0.10795188737709993</v>
      </c>
      <c r="AI130" s="4">
        <f t="shared" si="85"/>
        <v>7.5176653938091809E-2</v>
      </c>
      <c r="AJ130" s="4">
        <f t="shared" si="86"/>
        <v>5.1742836177502194E-2</v>
      </c>
      <c r="AK130" s="4">
        <f t="shared" si="86"/>
        <v>3.5319190625345942E-2</v>
      </c>
      <c r="AL130" s="4">
        <f t="shared" si="86"/>
        <v>2.3969442072658165E-2</v>
      </c>
      <c r="AM130" s="4">
        <f t="shared" si="86"/>
        <v>1.6202243558389728E-2</v>
      </c>
      <c r="AN130" s="4">
        <f t="shared" si="86"/>
        <v>1.0922240564108399E-2</v>
      </c>
      <c r="AO130" s="4">
        <f t="shared" si="86"/>
        <v>7.3493212906090566E-3</v>
      </c>
      <c r="AP130" s="4">
        <f t="shared" si="86"/>
        <v>4.9390262185057265E-3</v>
      </c>
      <c r="AQ130" s="4">
        <f t="shared" si="86"/>
        <v>3.3164275492956197E-3</v>
      </c>
      <c r="AR130" s="4">
        <f t="shared" si="86"/>
        <v>2.2256362146679809E-3</v>
      </c>
    </row>
    <row r="131" spans="1:44" x14ac:dyDescent="0.25">
      <c r="A131" s="24" t="s">
        <v>56</v>
      </c>
      <c r="B131" s="72">
        <f>'Parameter Input'!B107</f>
        <v>0.42666666666666669</v>
      </c>
      <c r="C131" s="73">
        <f>'Parameter Input'!C107</f>
        <v>0.42666666666666669</v>
      </c>
      <c r="D131" s="1" t="s">
        <v>57</v>
      </c>
      <c r="L131" s="54">
        <f>'Parameter Input'!E95</f>
        <v>12</v>
      </c>
      <c r="M131" s="37">
        <v>0</v>
      </c>
      <c r="N131" s="37">
        <v>1</v>
      </c>
      <c r="O131" s="37">
        <f>'Parameter Input'!F95</f>
        <v>0.9</v>
      </c>
      <c r="P131" s="55">
        <f>'Parameter Input'!G95</f>
        <v>0.4</v>
      </c>
      <c r="Q131" s="4">
        <f t="shared" si="88"/>
        <v>0.9867978615748374</v>
      </c>
      <c r="R131" s="4">
        <f t="shared" si="88"/>
        <v>0.98114509762858249</v>
      </c>
      <c r="S131" s="4">
        <f t="shared" si="88"/>
        <v>0.97311898315872036</v>
      </c>
      <c r="T131" s="4">
        <f t="shared" si="88"/>
        <v>0.96177484161592774</v>
      </c>
      <c r="U131" s="4">
        <f t="shared" si="88"/>
        <v>0.94584787155511363</v>
      </c>
      <c r="V131" s="4">
        <f t="shared" si="88"/>
        <v>0.92370360150141495</v>
      </c>
      <c r="W131" s="4">
        <f t="shared" si="88"/>
        <v>0.89334463567658451</v>
      </c>
      <c r="X131" s="4">
        <f t="shared" si="88"/>
        <v>0.85254543874327005</v>
      </c>
      <c r="Y131" s="4">
        <f t="shared" si="88"/>
        <v>0.79921300652623883</v>
      </c>
      <c r="Z131" s="4">
        <f t="shared" si="88"/>
        <v>0.73204982249993378</v>
      </c>
      <c r="AA131" s="4">
        <f t="shared" si="88"/>
        <v>0.65145592958786691</v>
      </c>
      <c r="AB131" s="4">
        <f t="shared" si="88"/>
        <v>0.56032247880849573</v>
      </c>
      <c r="AC131" s="4">
        <f t="shared" si="88"/>
        <v>0.46411326873185343</v>
      </c>
      <c r="AD131" s="4">
        <f t="shared" si="88"/>
        <v>0.36979727595523937</v>
      </c>
      <c r="AE131" s="4">
        <f t="shared" si="88"/>
        <v>0.28393948637231203</v>
      </c>
      <c r="AF131" s="4">
        <f t="shared" si="88"/>
        <v>0.21097259161117732</v>
      </c>
      <c r="AG131" s="4">
        <f t="shared" si="85"/>
        <v>0.15253917653798199</v>
      </c>
      <c r="AH131" s="4">
        <f t="shared" si="85"/>
        <v>0.10795188737709993</v>
      </c>
      <c r="AI131" s="4">
        <f t="shared" si="85"/>
        <v>7.5176653938091809E-2</v>
      </c>
      <c r="AJ131" s="4">
        <f t="shared" si="86"/>
        <v>5.1742836177502194E-2</v>
      </c>
      <c r="AK131" s="4">
        <f t="shared" si="86"/>
        <v>3.5319190625345942E-2</v>
      </c>
      <c r="AL131" s="4">
        <f t="shared" si="86"/>
        <v>2.3969442072658165E-2</v>
      </c>
      <c r="AM131" s="4">
        <f t="shared" si="86"/>
        <v>1.6202243558389728E-2</v>
      </c>
      <c r="AN131" s="4">
        <f t="shared" si="86"/>
        <v>1.0922240564108399E-2</v>
      </c>
      <c r="AO131" s="4">
        <f t="shared" si="86"/>
        <v>7.3493212906090566E-3</v>
      </c>
      <c r="AP131" s="4">
        <f t="shared" si="86"/>
        <v>4.9390262185057265E-3</v>
      </c>
      <c r="AQ131" s="4">
        <f t="shared" si="86"/>
        <v>3.3164275492956197E-3</v>
      </c>
      <c r="AR131" s="4">
        <f t="shared" si="86"/>
        <v>2.2256362146679809E-3</v>
      </c>
    </row>
    <row r="132" spans="1:44" x14ac:dyDescent="0.25">
      <c r="A132" s="24" t="s">
        <v>73</v>
      </c>
      <c r="B132" s="72">
        <f>'Parameter Input'!$L$97</f>
        <v>0</v>
      </c>
      <c r="C132" s="73">
        <f>'Parameter Input'!$M$97</f>
        <v>0</v>
      </c>
      <c r="D132" s="1" t="s">
        <v>57</v>
      </c>
      <c r="L132" s="54">
        <f>'Parameter Input'!$O$97</f>
        <v>12</v>
      </c>
      <c r="M132" s="37">
        <v>0</v>
      </c>
      <c r="N132" s="37">
        <v>1</v>
      </c>
      <c r="O132" s="37">
        <f>'Parameter Input'!$P$97</f>
        <v>0.9</v>
      </c>
      <c r="P132" s="55">
        <f>'Parameter Input'!$Q$97</f>
        <v>0.4</v>
      </c>
      <c r="Q132" s="4">
        <f t="shared" si="88"/>
        <v>0.9867978615748374</v>
      </c>
      <c r="R132" s="4">
        <f t="shared" si="88"/>
        <v>0.98114509762858249</v>
      </c>
      <c r="S132" s="4">
        <f t="shared" si="88"/>
        <v>0.97311898315872036</v>
      </c>
      <c r="T132" s="4">
        <f t="shared" si="88"/>
        <v>0.96177484161592774</v>
      </c>
      <c r="U132" s="4">
        <f t="shared" si="88"/>
        <v>0.94584787155511363</v>
      </c>
      <c r="V132" s="4">
        <f t="shared" si="88"/>
        <v>0.92370360150141495</v>
      </c>
      <c r="W132" s="4">
        <f t="shared" si="88"/>
        <v>0.89334463567658451</v>
      </c>
      <c r="X132" s="4">
        <f t="shared" si="88"/>
        <v>0.85254543874327005</v>
      </c>
      <c r="Y132" s="4">
        <f t="shared" si="88"/>
        <v>0.79921300652623883</v>
      </c>
      <c r="Z132" s="4">
        <f t="shared" si="88"/>
        <v>0.73204982249993378</v>
      </c>
      <c r="AA132" s="4">
        <f t="shared" si="88"/>
        <v>0.65145592958786691</v>
      </c>
      <c r="AB132" s="4">
        <f t="shared" si="88"/>
        <v>0.56032247880849573</v>
      </c>
      <c r="AC132" s="4">
        <f t="shared" si="88"/>
        <v>0.46411326873185343</v>
      </c>
      <c r="AD132" s="4">
        <f t="shared" si="88"/>
        <v>0.36979727595523937</v>
      </c>
      <c r="AE132" s="4">
        <f t="shared" si="88"/>
        <v>0.28393948637231203</v>
      </c>
      <c r="AF132" s="4">
        <f t="shared" si="88"/>
        <v>0.21097259161117732</v>
      </c>
      <c r="AG132" s="4">
        <f t="shared" si="85"/>
        <v>0.15253917653798199</v>
      </c>
      <c r="AH132" s="4">
        <f t="shared" si="85"/>
        <v>0.10795188737709993</v>
      </c>
      <c r="AI132" s="4">
        <f t="shared" si="85"/>
        <v>7.5176653938091809E-2</v>
      </c>
      <c r="AJ132" s="4">
        <f t="shared" si="86"/>
        <v>5.1742836177502194E-2</v>
      </c>
      <c r="AK132" s="4">
        <f t="shared" si="86"/>
        <v>3.5319190625345942E-2</v>
      </c>
      <c r="AL132" s="4">
        <f t="shared" si="86"/>
        <v>2.3969442072658165E-2</v>
      </c>
      <c r="AM132" s="4">
        <f t="shared" si="86"/>
        <v>1.6202243558389728E-2</v>
      </c>
      <c r="AN132" s="4">
        <f t="shared" si="86"/>
        <v>1.0922240564108399E-2</v>
      </c>
      <c r="AO132" s="4">
        <f t="shared" si="86"/>
        <v>7.3493212906090566E-3</v>
      </c>
      <c r="AP132" s="4">
        <f t="shared" si="86"/>
        <v>4.9390262185057265E-3</v>
      </c>
      <c r="AQ132" s="4">
        <f t="shared" si="86"/>
        <v>3.3164275492956197E-3</v>
      </c>
      <c r="AR132" s="4">
        <f t="shared" si="86"/>
        <v>2.2256362146679809E-3</v>
      </c>
    </row>
    <row r="133" spans="1:44" ht="15.75" thickBot="1" x14ac:dyDescent="0.3">
      <c r="A133" s="24" t="s">
        <v>64</v>
      </c>
      <c r="B133" s="74">
        <f>'Parameter Input'!B108</f>
        <v>178500</v>
      </c>
      <c r="C133" s="75">
        <f>'Parameter Input'!C108</f>
        <v>178500</v>
      </c>
      <c r="D133" s="1" t="s">
        <v>65</v>
      </c>
      <c r="L133" s="56">
        <f>'Parameter Input'!E96</f>
        <v>12</v>
      </c>
      <c r="M133" s="57">
        <v>0</v>
      </c>
      <c r="N133" s="57">
        <v>1</v>
      </c>
      <c r="O133" s="57">
        <f>'Parameter Input'!F96</f>
        <v>0.9</v>
      </c>
      <c r="P133" s="58">
        <f>'Parameter Input'!G96</f>
        <v>0.4</v>
      </c>
      <c r="Q133" s="4">
        <f t="shared" si="88"/>
        <v>0.9867978615748374</v>
      </c>
      <c r="R133" s="4">
        <f t="shared" si="88"/>
        <v>0.98114509762858249</v>
      </c>
      <c r="S133" s="4">
        <f t="shared" si="88"/>
        <v>0.97311898315872036</v>
      </c>
      <c r="T133" s="4">
        <f t="shared" si="88"/>
        <v>0.96177484161592774</v>
      </c>
      <c r="U133" s="4">
        <f t="shared" si="88"/>
        <v>0.94584787155511363</v>
      </c>
      <c r="V133" s="4">
        <f t="shared" si="88"/>
        <v>0.92370360150141495</v>
      </c>
      <c r="W133" s="4">
        <f t="shared" si="88"/>
        <v>0.89334463567658451</v>
      </c>
      <c r="X133" s="4">
        <f t="shared" si="88"/>
        <v>0.85254543874327005</v>
      </c>
      <c r="Y133" s="4">
        <f t="shared" si="88"/>
        <v>0.79921300652623883</v>
      </c>
      <c r="Z133" s="4">
        <f t="shared" si="88"/>
        <v>0.73204982249993378</v>
      </c>
      <c r="AA133" s="4">
        <f t="shared" si="88"/>
        <v>0.65145592958786691</v>
      </c>
      <c r="AB133" s="4">
        <f t="shared" si="88"/>
        <v>0.56032247880849573</v>
      </c>
      <c r="AC133" s="4">
        <f t="shared" si="88"/>
        <v>0.46411326873185343</v>
      </c>
      <c r="AD133" s="4">
        <f t="shared" si="88"/>
        <v>0.36979727595523937</v>
      </c>
      <c r="AE133" s="4">
        <f t="shared" si="88"/>
        <v>0.28393948637231203</v>
      </c>
      <c r="AF133" s="4">
        <f t="shared" si="88"/>
        <v>0.21097259161117732</v>
      </c>
      <c r="AG133" s="4">
        <f t="shared" si="85"/>
        <v>0.15253917653798199</v>
      </c>
      <c r="AH133" s="4">
        <f t="shared" si="85"/>
        <v>0.10795188737709993</v>
      </c>
      <c r="AI133" s="4">
        <f t="shared" si="85"/>
        <v>7.5176653938091809E-2</v>
      </c>
      <c r="AJ133" s="4">
        <f t="shared" si="86"/>
        <v>5.1742836177502194E-2</v>
      </c>
      <c r="AK133" s="4">
        <f t="shared" si="86"/>
        <v>3.5319190625345942E-2</v>
      </c>
      <c r="AL133" s="4">
        <f t="shared" si="86"/>
        <v>2.3969442072658165E-2</v>
      </c>
      <c r="AM133" s="4">
        <f t="shared" si="86"/>
        <v>1.6202243558389728E-2</v>
      </c>
      <c r="AN133" s="4">
        <f t="shared" si="86"/>
        <v>1.0922240564108399E-2</v>
      </c>
      <c r="AO133" s="4">
        <f t="shared" si="86"/>
        <v>7.3493212906090566E-3</v>
      </c>
      <c r="AP133" s="4">
        <f t="shared" si="86"/>
        <v>4.9390262185057265E-3</v>
      </c>
      <c r="AQ133" s="4">
        <f t="shared" si="86"/>
        <v>3.3164275492956197E-3</v>
      </c>
      <c r="AR133" s="4">
        <f t="shared" si="86"/>
        <v>2.2256362146679809E-3</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51" si="89">A117</f>
        <v>Capex vehicle</v>
      </c>
      <c r="B137" s="62">
        <f t="shared" ref="B137:B146" si="90">$B117+($C117-$B117)*(1-Q117)</f>
        <v>3500000</v>
      </c>
      <c r="C137" s="62">
        <f t="shared" ref="C137:C146" si="91">$B117+($C117-$B117)*(1-R117)</f>
        <v>3500000</v>
      </c>
      <c r="D137" s="62">
        <f t="shared" ref="D137:D146" si="92">$B117+($C117-$B117)*(1-S117)</f>
        <v>3500000</v>
      </c>
      <c r="E137" s="62">
        <f t="shared" ref="E137:E146" si="93">$B117+($C117-$B117)*(1-T117)</f>
        <v>3500000</v>
      </c>
      <c r="F137" s="62">
        <f t="shared" ref="F137:F146" si="94">$B117+($C117-$B117)*(1-U117)</f>
        <v>3500000</v>
      </c>
      <c r="G137" s="62">
        <f t="shared" ref="G137:G146" si="95">$B117+($C117-$B117)*(1-V117)</f>
        <v>3500000</v>
      </c>
      <c r="H137" s="62">
        <f t="shared" ref="H137:H146" si="96">$B117+($C117-$B117)*(1-W117)</f>
        <v>3500000</v>
      </c>
      <c r="I137" s="62">
        <f t="shared" ref="I137:I146" si="97">$B117+($C117-$B117)*(1-X117)</f>
        <v>3500000</v>
      </c>
      <c r="J137" s="62">
        <f t="shared" ref="J137:J146" si="98">$B117+($C117-$B117)*(1-Y117)</f>
        <v>3500000</v>
      </c>
      <c r="K137" s="62">
        <f t="shared" ref="K137:K146" si="99">$B117+($C117-$B117)*(1-Z117)</f>
        <v>3500000</v>
      </c>
      <c r="L137" s="62">
        <f t="shared" ref="L137:L146" si="100">$B117+($C117-$B117)*(1-AA117)</f>
        <v>3500000</v>
      </c>
      <c r="M137" s="62">
        <f t="shared" ref="M137:M146" si="101">$B117+($C117-$B117)*(1-AB117)</f>
        <v>3500000</v>
      </c>
      <c r="N137" s="62">
        <f t="shared" ref="N137:N146" si="102">$B117+($C117-$B117)*(1-AC117)</f>
        <v>3500000</v>
      </c>
      <c r="O137" s="62">
        <f t="shared" ref="O137:O146" si="103">$B117+($C117-$B117)*(1-AD117)</f>
        <v>3500000</v>
      </c>
      <c r="P137" s="62">
        <f t="shared" ref="P137:P146" si="104">$B117+($C117-$B117)*(1-AE117)</f>
        <v>3500000</v>
      </c>
      <c r="Q137" s="62">
        <f t="shared" ref="Q137:Q146" si="105">$B117+($C117-$B117)*(1-AF117)</f>
        <v>3500000</v>
      </c>
      <c r="R137" s="62">
        <f t="shared" ref="R137:R146" si="106">$B117+($C117-$B117)*(1-AG117)</f>
        <v>3500000</v>
      </c>
      <c r="S137" s="62">
        <f t="shared" ref="S137:S146" si="107">$B117+($C117-$B117)*(1-AH117)</f>
        <v>3500000</v>
      </c>
      <c r="T137" s="62">
        <f t="shared" ref="T137:T146" si="108">$B117+($C117-$B117)*(1-AI117)</f>
        <v>3500000</v>
      </c>
      <c r="U137" s="62">
        <f t="shared" ref="U137:U146" si="109">$B117+($C117-$B117)*(1-AJ117)</f>
        <v>3500000</v>
      </c>
      <c r="V137" s="62">
        <f t="shared" ref="V137:V146" si="110">$B117+($C117-$B117)*(1-AK117)</f>
        <v>3500000</v>
      </c>
      <c r="W137" s="62">
        <f t="shared" ref="W137:W146" si="111">$B117+($C117-$B117)*(1-AL117)</f>
        <v>3500000</v>
      </c>
      <c r="X137" s="62">
        <f t="shared" ref="X137:X146" si="112">$B117+($C117-$B117)*(1-AM117)</f>
        <v>3500000</v>
      </c>
      <c r="Y137" s="62">
        <f t="shared" ref="Y137:Y146" si="113">$B117+($C117-$B117)*(1-AN117)</f>
        <v>3500000</v>
      </c>
      <c r="Z137" s="62">
        <f t="shared" ref="Z137:Z146" si="114">$B117+($C117-$B117)*(1-AO117)</f>
        <v>3500000</v>
      </c>
      <c r="AA137" s="62">
        <f t="shared" ref="AA137:AA146" si="115">$B117+($C117-$B117)*(1-AP117)</f>
        <v>3500000</v>
      </c>
      <c r="AB137" s="62">
        <f t="shared" ref="AB137:AB146" si="116">$B117+($C117-$B117)*(1-AQ117)</f>
        <v>3500000</v>
      </c>
      <c r="AC137" s="62">
        <f t="shared" ref="AC137:AC146" si="117">$B117+($C117-$B117)*(1-AR117)</f>
        <v>3500000</v>
      </c>
    </row>
    <row r="138" spans="1:44" x14ac:dyDescent="0.25">
      <c r="A138" s="30" t="str">
        <f t="shared" si="89"/>
        <v>Residual value (vehicle)</v>
      </c>
      <c r="B138" s="62">
        <f t="shared" si="90"/>
        <v>-520379.25155119307</v>
      </c>
      <c r="C138" s="62">
        <f t="shared" si="91"/>
        <v>-518400.78417000384</v>
      </c>
      <c r="D138" s="62">
        <f t="shared" si="92"/>
        <v>-515591.64410555211</v>
      </c>
      <c r="E138" s="62">
        <f t="shared" si="93"/>
        <v>-511621.1945655747</v>
      </c>
      <c r="F138" s="62">
        <f t="shared" si="94"/>
        <v>-506046.75504428975</v>
      </c>
      <c r="G138" s="62">
        <f t="shared" si="95"/>
        <v>-498296.26052549522</v>
      </c>
      <c r="H138" s="62">
        <f t="shared" si="96"/>
        <v>-487670.62248680455</v>
      </c>
      <c r="I138" s="62">
        <f t="shared" si="97"/>
        <v>-473390.90356014454</v>
      </c>
      <c r="J138" s="62">
        <f t="shared" si="98"/>
        <v>-454724.55228418356</v>
      </c>
      <c r="K138" s="62">
        <f t="shared" si="99"/>
        <v>-431217.43787497684</v>
      </c>
      <c r="L138" s="62">
        <f t="shared" si="100"/>
        <v>-403009.57535575342</v>
      </c>
      <c r="M138" s="62">
        <f t="shared" si="101"/>
        <v>-371112.8675829735</v>
      </c>
      <c r="N138" s="62">
        <f t="shared" si="102"/>
        <v>-337439.64405614871</v>
      </c>
      <c r="O138" s="62">
        <f t="shared" si="103"/>
        <v>-304429.04658433376</v>
      </c>
      <c r="P138" s="62">
        <f t="shared" si="104"/>
        <v>-274378.82023030921</v>
      </c>
      <c r="Q138" s="62">
        <f t="shared" si="105"/>
        <v>-248840.40706391208</v>
      </c>
      <c r="R138" s="62">
        <f t="shared" si="106"/>
        <v>-228388.71178829367</v>
      </c>
      <c r="S138" s="62">
        <f t="shared" si="107"/>
        <v>-212783.16058198496</v>
      </c>
      <c r="T138" s="62">
        <f t="shared" si="108"/>
        <v>-201311.8288783321</v>
      </c>
      <c r="U138" s="62">
        <f t="shared" si="109"/>
        <v>-193109.99266212579</v>
      </c>
      <c r="V138" s="62">
        <f t="shared" si="110"/>
        <v>-187361.71671887109</v>
      </c>
      <c r="W138" s="62">
        <f t="shared" si="111"/>
        <v>-183389.30472543038</v>
      </c>
      <c r="X138" s="62">
        <f t="shared" si="112"/>
        <v>-180670.78524543642</v>
      </c>
      <c r="Y138" s="62">
        <f t="shared" si="113"/>
        <v>-178822.78419743793</v>
      </c>
      <c r="Z138" s="62">
        <f t="shared" si="114"/>
        <v>-177572.26245171315</v>
      </c>
      <c r="AA138" s="62">
        <f t="shared" si="115"/>
        <v>-176728.659176477</v>
      </c>
      <c r="AB138" s="62">
        <f t="shared" si="116"/>
        <v>-176160.74964225345</v>
      </c>
      <c r="AC138" s="62">
        <f t="shared" si="117"/>
        <v>-175778.97267513379</v>
      </c>
    </row>
    <row r="139" spans="1:44" x14ac:dyDescent="0.25">
      <c r="A139" s="30" t="str">
        <f t="shared" si="89"/>
        <v>Capex costumization</v>
      </c>
      <c r="B139" s="62">
        <f t="shared" si="90"/>
        <v>5600000</v>
      </c>
      <c r="C139" s="62">
        <f t="shared" si="91"/>
        <v>5600000</v>
      </c>
      <c r="D139" s="62">
        <f t="shared" si="92"/>
        <v>5600000</v>
      </c>
      <c r="E139" s="62">
        <f t="shared" si="93"/>
        <v>5600000</v>
      </c>
      <c r="F139" s="62">
        <f t="shared" si="94"/>
        <v>5600000</v>
      </c>
      <c r="G139" s="62">
        <f t="shared" si="95"/>
        <v>5600000</v>
      </c>
      <c r="H139" s="62">
        <f t="shared" si="96"/>
        <v>5600000</v>
      </c>
      <c r="I139" s="62">
        <f t="shared" si="97"/>
        <v>5600000</v>
      </c>
      <c r="J139" s="62">
        <f t="shared" si="98"/>
        <v>5600000</v>
      </c>
      <c r="K139" s="62">
        <f t="shared" si="99"/>
        <v>5600000</v>
      </c>
      <c r="L139" s="62">
        <f t="shared" si="100"/>
        <v>5600000</v>
      </c>
      <c r="M139" s="62">
        <f t="shared" si="101"/>
        <v>5600000</v>
      </c>
      <c r="N139" s="62">
        <f t="shared" si="102"/>
        <v>5600000</v>
      </c>
      <c r="O139" s="62">
        <f t="shared" si="103"/>
        <v>5600000</v>
      </c>
      <c r="P139" s="62">
        <f t="shared" si="104"/>
        <v>5600000</v>
      </c>
      <c r="Q139" s="62">
        <f t="shared" si="105"/>
        <v>5600000</v>
      </c>
      <c r="R139" s="62">
        <f t="shared" si="106"/>
        <v>5600000</v>
      </c>
      <c r="S139" s="62">
        <f t="shared" si="107"/>
        <v>5600000</v>
      </c>
      <c r="T139" s="62">
        <f t="shared" si="108"/>
        <v>5600000</v>
      </c>
      <c r="U139" s="62">
        <f t="shared" si="109"/>
        <v>5600000</v>
      </c>
      <c r="V139" s="62">
        <f t="shared" si="110"/>
        <v>5600000</v>
      </c>
      <c r="W139" s="62">
        <f t="shared" si="111"/>
        <v>5600000</v>
      </c>
      <c r="X139" s="62">
        <f t="shared" si="112"/>
        <v>5600000</v>
      </c>
      <c r="Y139" s="62">
        <f t="shared" si="113"/>
        <v>5600000</v>
      </c>
      <c r="Z139" s="62">
        <f t="shared" si="114"/>
        <v>5600000</v>
      </c>
      <c r="AA139" s="62">
        <f t="shared" si="115"/>
        <v>5600000</v>
      </c>
      <c r="AB139" s="62">
        <f t="shared" si="116"/>
        <v>5600000</v>
      </c>
      <c r="AC139" s="62">
        <f t="shared" si="117"/>
        <v>5600000</v>
      </c>
    </row>
    <row r="140" spans="1:44" x14ac:dyDescent="0.25">
      <c r="A140" s="30" t="str">
        <f t="shared" si="89"/>
        <v>Residual value (costumization)</v>
      </c>
      <c r="B140" s="62">
        <f t="shared" si="90"/>
        <v>-280000</v>
      </c>
      <c r="C140" s="62">
        <f t="shared" si="91"/>
        <v>-280000</v>
      </c>
      <c r="D140" s="62">
        <f t="shared" si="92"/>
        <v>-280000</v>
      </c>
      <c r="E140" s="62">
        <f t="shared" si="93"/>
        <v>-280000</v>
      </c>
      <c r="F140" s="62">
        <f t="shared" si="94"/>
        <v>-280000</v>
      </c>
      <c r="G140" s="62">
        <f t="shared" si="95"/>
        <v>-280000</v>
      </c>
      <c r="H140" s="62">
        <f t="shared" si="96"/>
        <v>-280000</v>
      </c>
      <c r="I140" s="62">
        <f t="shared" si="97"/>
        <v>-280000</v>
      </c>
      <c r="J140" s="62">
        <f t="shared" si="98"/>
        <v>-280000</v>
      </c>
      <c r="K140" s="62">
        <f t="shared" si="99"/>
        <v>-280000</v>
      </c>
      <c r="L140" s="62">
        <f t="shared" si="100"/>
        <v>-280000</v>
      </c>
      <c r="M140" s="62">
        <f t="shared" si="101"/>
        <v>-280000</v>
      </c>
      <c r="N140" s="62">
        <f t="shared" si="102"/>
        <v>-280000</v>
      </c>
      <c r="O140" s="62">
        <f t="shared" si="103"/>
        <v>-280000</v>
      </c>
      <c r="P140" s="62">
        <f t="shared" si="104"/>
        <v>-280000</v>
      </c>
      <c r="Q140" s="62">
        <f t="shared" si="105"/>
        <v>-280000</v>
      </c>
      <c r="R140" s="62">
        <f t="shared" si="106"/>
        <v>-280000</v>
      </c>
      <c r="S140" s="62">
        <f t="shared" si="107"/>
        <v>-280000</v>
      </c>
      <c r="T140" s="62">
        <f t="shared" si="108"/>
        <v>-280000</v>
      </c>
      <c r="U140" s="62">
        <f t="shared" si="109"/>
        <v>-280000</v>
      </c>
      <c r="V140" s="62">
        <f t="shared" si="110"/>
        <v>-280000</v>
      </c>
      <c r="W140" s="62">
        <f t="shared" si="111"/>
        <v>-280000</v>
      </c>
      <c r="X140" s="62">
        <f t="shared" si="112"/>
        <v>-280000</v>
      </c>
      <c r="Y140" s="62">
        <f t="shared" si="113"/>
        <v>-280000</v>
      </c>
      <c r="Z140" s="62">
        <f t="shared" si="114"/>
        <v>-280000</v>
      </c>
      <c r="AA140" s="62">
        <f t="shared" si="115"/>
        <v>-280000</v>
      </c>
      <c r="AB140" s="62">
        <f t="shared" si="116"/>
        <v>-280000</v>
      </c>
      <c r="AC140" s="62">
        <f t="shared" si="117"/>
        <v>-280000</v>
      </c>
    </row>
    <row r="141" spans="1:44" x14ac:dyDescent="0.25">
      <c r="A141" s="30" t="str">
        <f t="shared" si="89"/>
        <v>WACC</v>
      </c>
      <c r="B141" s="62">
        <f t="shared" si="90"/>
        <v>0.06</v>
      </c>
      <c r="C141" s="62">
        <f t="shared" si="91"/>
        <v>0.06</v>
      </c>
      <c r="D141" s="62">
        <f t="shared" si="92"/>
        <v>0.06</v>
      </c>
      <c r="E141" s="62">
        <f t="shared" si="93"/>
        <v>0.06</v>
      </c>
      <c r="F141" s="62">
        <f t="shared" si="94"/>
        <v>0.06</v>
      </c>
      <c r="G141" s="62">
        <f t="shared" si="95"/>
        <v>0.06</v>
      </c>
      <c r="H141" s="62">
        <f t="shared" si="96"/>
        <v>0.06</v>
      </c>
      <c r="I141" s="62">
        <f t="shared" si="97"/>
        <v>0.06</v>
      </c>
      <c r="J141" s="62">
        <f t="shared" si="98"/>
        <v>0.06</v>
      </c>
      <c r="K141" s="62">
        <f t="shared" si="99"/>
        <v>0.06</v>
      </c>
      <c r="L141" s="62">
        <f t="shared" si="100"/>
        <v>0.06</v>
      </c>
      <c r="M141" s="62">
        <f t="shared" si="101"/>
        <v>0.06</v>
      </c>
      <c r="N141" s="62">
        <f t="shared" si="102"/>
        <v>0.06</v>
      </c>
      <c r="O141" s="62">
        <f t="shared" si="103"/>
        <v>0.06</v>
      </c>
      <c r="P141" s="62">
        <f t="shared" si="104"/>
        <v>0.06</v>
      </c>
      <c r="Q141" s="62">
        <f t="shared" si="105"/>
        <v>0.06</v>
      </c>
      <c r="R141" s="62">
        <f t="shared" si="106"/>
        <v>0.06</v>
      </c>
      <c r="S141" s="62">
        <f t="shared" si="107"/>
        <v>0.06</v>
      </c>
      <c r="T141" s="62">
        <f t="shared" si="108"/>
        <v>0.06</v>
      </c>
      <c r="U141" s="62">
        <f t="shared" si="109"/>
        <v>0.06</v>
      </c>
      <c r="V141" s="62">
        <f t="shared" si="110"/>
        <v>0.06</v>
      </c>
      <c r="W141" s="62">
        <f t="shared" si="111"/>
        <v>0.06</v>
      </c>
      <c r="X141" s="62">
        <f t="shared" si="112"/>
        <v>0.06</v>
      </c>
      <c r="Y141" s="62">
        <f t="shared" si="113"/>
        <v>0.06</v>
      </c>
      <c r="Z141" s="62">
        <f t="shared" si="114"/>
        <v>0.06</v>
      </c>
      <c r="AA141" s="62">
        <f t="shared" si="115"/>
        <v>0.06</v>
      </c>
      <c r="AB141" s="62">
        <f t="shared" si="116"/>
        <v>0.06</v>
      </c>
      <c r="AC141" s="62">
        <f t="shared" si="117"/>
        <v>0.06</v>
      </c>
    </row>
    <row r="142" spans="1:44" x14ac:dyDescent="0.25">
      <c r="A142" s="30" t="str">
        <f t="shared" si="89"/>
        <v>Opex fix (admin, crew, insurance)</v>
      </c>
      <c r="B142" s="62">
        <f t="shared" si="90"/>
        <v>620000</v>
      </c>
      <c r="C142" s="62">
        <f t="shared" si="91"/>
        <v>620000</v>
      </c>
      <c r="D142" s="62">
        <f t="shared" si="92"/>
        <v>620000</v>
      </c>
      <c r="E142" s="62">
        <f t="shared" si="93"/>
        <v>620000</v>
      </c>
      <c r="F142" s="62">
        <f t="shared" si="94"/>
        <v>620000</v>
      </c>
      <c r="G142" s="62">
        <f t="shared" si="95"/>
        <v>620000</v>
      </c>
      <c r="H142" s="62">
        <f t="shared" si="96"/>
        <v>620000</v>
      </c>
      <c r="I142" s="62">
        <f t="shared" si="97"/>
        <v>620000</v>
      </c>
      <c r="J142" s="62">
        <f t="shared" si="98"/>
        <v>620000</v>
      </c>
      <c r="K142" s="62">
        <f t="shared" si="99"/>
        <v>620000</v>
      </c>
      <c r="L142" s="62">
        <f t="shared" si="100"/>
        <v>620000</v>
      </c>
      <c r="M142" s="62">
        <f t="shared" si="101"/>
        <v>620000</v>
      </c>
      <c r="N142" s="62">
        <f t="shared" si="102"/>
        <v>620000</v>
      </c>
      <c r="O142" s="62">
        <f t="shared" si="103"/>
        <v>620000</v>
      </c>
      <c r="P142" s="62">
        <f t="shared" si="104"/>
        <v>620000</v>
      </c>
      <c r="Q142" s="62">
        <f t="shared" si="105"/>
        <v>620000</v>
      </c>
      <c r="R142" s="62">
        <f t="shared" si="106"/>
        <v>620000</v>
      </c>
      <c r="S142" s="62">
        <f t="shared" si="107"/>
        <v>620000</v>
      </c>
      <c r="T142" s="62">
        <f t="shared" si="108"/>
        <v>620000</v>
      </c>
      <c r="U142" s="62">
        <f t="shared" si="109"/>
        <v>620000</v>
      </c>
      <c r="V142" s="62">
        <f t="shared" si="110"/>
        <v>620000</v>
      </c>
      <c r="W142" s="62">
        <f t="shared" si="111"/>
        <v>620000</v>
      </c>
      <c r="X142" s="62">
        <f t="shared" si="112"/>
        <v>620000</v>
      </c>
      <c r="Y142" s="62">
        <f t="shared" si="113"/>
        <v>620000</v>
      </c>
      <c r="Z142" s="62">
        <f t="shared" si="114"/>
        <v>620000</v>
      </c>
      <c r="AA142" s="62">
        <f t="shared" si="115"/>
        <v>620000</v>
      </c>
      <c r="AB142" s="62">
        <f t="shared" si="116"/>
        <v>620000</v>
      </c>
      <c r="AC142" s="62">
        <f t="shared" si="117"/>
        <v>620000</v>
      </c>
    </row>
    <row r="143" spans="1:44" x14ac:dyDescent="0.25">
      <c r="A143" s="30" t="str">
        <f t="shared" si="89"/>
        <v>Opex maintenance &amp; repair</v>
      </c>
      <c r="B143" s="62">
        <f t="shared" si="90"/>
        <v>1050000</v>
      </c>
      <c r="C143" s="62">
        <f t="shared" si="91"/>
        <v>1050000</v>
      </c>
      <c r="D143" s="62">
        <f t="shared" si="92"/>
        <v>1050000</v>
      </c>
      <c r="E143" s="62">
        <f t="shared" si="93"/>
        <v>1050000</v>
      </c>
      <c r="F143" s="62">
        <f t="shared" si="94"/>
        <v>1050000</v>
      </c>
      <c r="G143" s="62">
        <f t="shared" si="95"/>
        <v>1050000</v>
      </c>
      <c r="H143" s="62">
        <f t="shared" si="96"/>
        <v>1050000</v>
      </c>
      <c r="I143" s="62">
        <f t="shared" si="97"/>
        <v>1050000</v>
      </c>
      <c r="J143" s="62">
        <f t="shared" si="98"/>
        <v>1050000</v>
      </c>
      <c r="K143" s="62">
        <f t="shared" si="99"/>
        <v>1050000</v>
      </c>
      <c r="L143" s="62">
        <f t="shared" si="100"/>
        <v>1050000</v>
      </c>
      <c r="M143" s="62">
        <f t="shared" si="101"/>
        <v>1050000</v>
      </c>
      <c r="N143" s="62">
        <f t="shared" si="102"/>
        <v>1050000</v>
      </c>
      <c r="O143" s="62">
        <f t="shared" si="103"/>
        <v>1050000</v>
      </c>
      <c r="P143" s="62">
        <f t="shared" si="104"/>
        <v>1050000</v>
      </c>
      <c r="Q143" s="62">
        <f t="shared" si="105"/>
        <v>1050000</v>
      </c>
      <c r="R143" s="62">
        <f t="shared" si="106"/>
        <v>1050000</v>
      </c>
      <c r="S143" s="62">
        <f t="shared" si="107"/>
        <v>1050000</v>
      </c>
      <c r="T143" s="62">
        <f t="shared" si="108"/>
        <v>1050000</v>
      </c>
      <c r="U143" s="62">
        <f t="shared" si="109"/>
        <v>1050000</v>
      </c>
      <c r="V143" s="62">
        <f t="shared" si="110"/>
        <v>1050000</v>
      </c>
      <c r="W143" s="62">
        <f t="shared" si="111"/>
        <v>1050000</v>
      </c>
      <c r="X143" s="62">
        <f t="shared" si="112"/>
        <v>1050000</v>
      </c>
      <c r="Y143" s="62">
        <f t="shared" si="113"/>
        <v>1050000</v>
      </c>
      <c r="Z143" s="62">
        <f t="shared" si="114"/>
        <v>1050000</v>
      </c>
      <c r="AA143" s="62">
        <f t="shared" si="115"/>
        <v>1050000</v>
      </c>
      <c r="AB143" s="62">
        <f t="shared" si="116"/>
        <v>1050000</v>
      </c>
      <c r="AC143" s="62">
        <f t="shared" si="117"/>
        <v>1050000</v>
      </c>
    </row>
    <row r="144" spans="1:44" x14ac:dyDescent="0.25">
      <c r="A144" s="30" t="str">
        <f t="shared" si="89"/>
        <v>Opex var (mode-fees, shunting)</v>
      </c>
      <c r="B144" s="62">
        <f t="shared" si="90"/>
        <v>3.6414565826330532</v>
      </c>
      <c r="C144" s="62">
        <f t="shared" si="91"/>
        <v>3.6414565826330532</v>
      </c>
      <c r="D144" s="62">
        <f t="shared" si="92"/>
        <v>3.6414565826330532</v>
      </c>
      <c r="E144" s="62">
        <f t="shared" si="93"/>
        <v>3.6414565826330532</v>
      </c>
      <c r="F144" s="62">
        <f t="shared" si="94"/>
        <v>3.6414565826330532</v>
      </c>
      <c r="G144" s="62">
        <f t="shared" si="95"/>
        <v>3.6414565826330532</v>
      </c>
      <c r="H144" s="62">
        <f t="shared" si="96"/>
        <v>3.6414565826330532</v>
      </c>
      <c r="I144" s="62">
        <f t="shared" si="97"/>
        <v>3.6414565826330532</v>
      </c>
      <c r="J144" s="62">
        <f t="shared" si="98"/>
        <v>3.6414565826330532</v>
      </c>
      <c r="K144" s="62">
        <f t="shared" si="99"/>
        <v>3.6414565826330532</v>
      </c>
      <c r="L144" s="62">
        <f t="shared" si="100"/>
        <v>3.6414565826330532</v>
      </c>
      <c r="M144" s="62">
        <f t="shared" si="101"/>
        <v>3.6414565826330532</v>
      </c>
      <c r="N144" s="62">
        <f t="shared" si="102"/>
        <v>3.6414565826330532</v>
      </c>
      <c r="O144" s="62">
        <f t="shared" si="103"/>
        <v>3.6414565826330532</v>
      </c>
      <c r="P144" s="62">
        <f t="shared" si="104"/>
        <v>3.6414565826330532</v>
      </c>
      <c r="Q144" s="62">
        <f t="shared" si="105"/>
        <v>3.6414565826330532</v>
      </c>
      <c r="R144" s="62">
        <f t="shared" si="106"/>
        <v>3.6414565826330532</v>
      </c>
      <c r="S144" s="62">
        <f t="shared" si="107"/>
        <v>3.6414565826330532</v>
      </c>
      <c r="T144" s="62">
        <f t="shared" si="108"/>
        <v>3.6414565826330532</v>
      </c>
      <c r="U144" s="62">
        <f t="shared" si="109"/>
        <v>3.6414565826330532</v>
      </c>
      <c r="V144" s="62">
        <f t="shared" si="110"/>
        <v>3.6414565826330532</v>
      </c>
      <c r="W144" s="62">
        <f t="shared" si="111"/>
        <v>3.6414565826330532</v>
      </c>
      <c r="X144" s="62">
        <f t="shared" si="112"/>
        <v>3.6414565826330532</v>
      </c>
      <c r="Y144" s="62">
        <f t="shared" si="113"/>
        <v>3.6414565826330532</v>
      </c>
      <c r="Z144" s="62">
        <f t="shared" si="114"/>
        <v>3.6414565826330532</v>
      </c>
      <c r="AA144" s="62">
        <f t="shared" si="115"/>
        <v>3.6414565826330532</v>
      </c>
      <c r="AB144" s="62">
        <f t="shared" si="116"/>
        <v>3.6414565826330532</v>
      </c>
      <c r="AC144" s="62">
        <f t="shared" si="117"/>
        <v>3.6414565826330532</v>
      </c>
    </row>
    <row r="145" spans="1:29" x14ac:dyDescent="0.25">
      <c r="A145" s="30" t="str">
        <f t="shared" si="89"/>
        <v>Fuel Economy</v>
      </c>
      <c r="B145" s="62">
        <f t="shared" si="90"/>
        <v>76.777599999999993</v>
      </c>
      <c r="C145" s="62">
        <f t="shared" si="91"/>
        <v>76.777599999999993</v>
      </c>
      <c r="D145" s="62">
        <f t="shared" si="92"/>
        <v>76.777599999999993</v>
      </c>
      <c r="E145" s="62">
        <f t="shared" si="93"/>
        <v>76.777599999999993</v>
      </c>
      <c r="F145" s="62">
        <f t="shared" si="94"/>
        <v>76.777599999999993</v>
      </c>
      <c r="G145" s="62">
        <f t="shared" si="95"/>
        <v>76.777599999999993</v>
      </c>
      <c r="H145" s="62">
        <f t="shared" si="96"/>
        <v>76.777599999999993</v>
      </c>
      <c r="I145" s="62">
        <f t="shared" si="97"/>
        <v>76.777599999999993</v>
      </c>
      <c r="J145" s="62">
        <f t="shared" si="98"/>
        <v>76.777599999999993</v>
      </c>
      <c r="K145" s="62">
        <f t="shared" si="99"/>
        <v>76.777599999999993</v>
      </c>
      <c r="L145" s="62">
        <f t="shared" si="100"/>
        <v>76.777599999999993</v>
      </c>
      <c r="M145" s="62">
        <f t="shared" si="101"/>
        <v>76.777599999999993</v>
      </c>
      <c r="N145" s="62">
        <f t="shared" si="102"/>
        <v>76.777599999999993</v>
      </c>
      <c r="O145" s="62">
        <f t="shared" si="103"/>
        <v>76.777599999999993</v>
      </c>
      <c r="P145" s="62">
        <f t="shared" si="104"/>
        <v>76.777599999999993</v>
      </c>
      <c r="Q145" s="62">
        <f t="shared" si="105"/>
        <v>76.777599999999993</v>
      </c>
      <c r="R145" s="62">
        <f t="shared" si="106"/>
        <v>76.777599999999993</v>
      </c>
      <c r="S145" s="62">
        <f t="shared" si="107"/>
        <v>76.777599999999993</v>
      </c>
      <c r="T145" s="62">
        <f t="shared" si="108"/>
        <v>76.777599999999993</v>
      </c>
      <c r="U145" s="62">
        <f t="shared" si="109"/>
        <v>76.777599999999993</v>
      </c>
      <c r="V145" s="62">
        <f t="shared" si="110"/>
        <v>76.777599999999993</v>
      </c>
      <c r="W145" s="62">
        <f t="shared" si="111"/>
        <v>76.777599999999993</v>
      </c>
      <c r="X145" s="62">
        <f t="shared" si="112"/>
        <v>76.777599999999993</v>
      </c>
      <c r="Y145" s="62">
        <f t="shared" si="113"/>
        <v>76.777599999999993</v>
      </c>
      <c r="Z145" s="62">
        <f t="shared" si="114"/>
        <v>76.777599999999993</v>
      </c>
      <c r="AA145" s="62">
        <f t="shared" si="115"/>
        <v>76.777599999999993</v>
      </c>
      <c r="AB145" s="62">
        <f t="shared" si="116"/>
        <v>76.777599999999993</v>
      </c>
      <c r="AC145" s="62">
        <f t="shared" si="117"/>
        <v>76.777599999999993</v>
      </c>
    </row>
    <row r="146" spans="1:29" x14ac:dyDescent="0.25">
      <c r="A146" s="30" t="str">
        <f t="shared" si="89"/>
        <v>Fuel Cost</v>
      </c>
      <c r="B146" s="62">
        <f t="shared" si="90"/>
        <v>0.1</v>
      </c>
      <c r="C146" s="62">
        <f t="shared" si="91"/>
        <v>0.1</v>
      </c>
      <c r="D146" s="62">
        <f t="shared" si="92"/>
        <v>0.1</v>
      </c>
      <c r="E146" s="62">
        <f t="shared" si="93"/>
        <v>0.1</v>
      </c>
      <c r="F146" s="62">
        <f t="shared" si="94"/>
        <v>0.1</v>
      </c>
      <c r="G146" s="62">
        <f t="shared" si="95"/>
        <v>0.1</v>
      </c>
      <c r="H146" s="62">
        <f t="shared" si="96"/>
        <v>0.1</v>
      </c>
      <c r="I146" s="62">
        <f t="shared" si="97"/>
        <v>0.1</v>
      </c>
      <c r="J146" s="62">
        <f t="shared" si="98"/>
        <v>0.1</v>
      </c>
      <c r="K146" s="62">
        <f t="shared" si="99"/>
        <v>0.1</v>
      </c>
      <c r="L146" s="62">
        <f t="shared" si="100"/>
        <v>0.1</v>
      </c>
      <c r="M146" s="62">
        <f t="shared" si="101"/>
        <v>0.1</v>
      </c>
      <c r="N146" s="62">
        <f t="shared" si="102"/>
        <v>0.1</v>
      </c>
      <c r="O146" s="62">
        <f t="shared" si="103"/>
        <v>0.1</v>
      </c>
      <c r="P146" s="62">
        <f t="shared" si="104"/>
        <v>0.1</v>
      </c>
      <c r="Q146" s="62">
        <f t="shared" si="105"/>
        <v>0.1</v>
      </c>
      <c r="R146" s="62">
        <f t="shared" si="106"/>
        <v>0.1</v>
      </c>
      <c r="S146" s="62">
        <f t="shared" si="107"/>
        <v>0.1</v>
      </c>
      <c r="T146" s="62">
        <f t="shared" si="108"/>
        <v>0.1</v>
      </c>
      <c r="U146" s="62">
        <f t="shared" si="109"/>
        <v>0.1</v>
      </c>
      <c r="V146" s="62">
        <f t="shared" si="110"/>
        <v>0.1</v>
      </c>
      <c r="W146" s="62">
        <f t="shared" si="111"/>
        <v>0.1</v>
      </c>
      <c r="X146" s="62">
        <f t="shared" si="112"/>
        <v>0.1</v>
      </c>
      <c r="Y146" s="62">
        <f t="shared" si="113"/>
        <v>0.1</v>
      </c>
      <c r="Z146" s="62">
        <f t="shared" si="114"/>
        <v>0.1</v>
      </c>
      <c r="AA146" s="62">
        <f t="shared" si="115"/>
        <v>0.1</v>
      </c>
      <c r="AB146" s="62">
        <f t="shared" si="116"/>
        <v>0.1</v>
      </c>
      <c r="AC146" s="62">
        <f t="shared" si="117"/>
        <v>0.1</v>
      </c>
    </row>
    <row r="147" spans="1:29" x14ac:dyDescent="0.25">
      <c r="A147" s="30" t="str">
        <f t="shared" si="89"/>
        <v>Emission Cost</v>
      </c>
      <c r="B147" s="66">
        <f>$B127+($C127-$B127)*(1-Q127)</f>
        <v>2.0582113582797463</v>
      </c>
      <c r="C147" s="66">
        <f t="shared" ref="C147:AC147" si="118">$B127+($C127-$B127)*(1-R127)</f>
        <v>2.0630736964968874</v>
      </c>
      <c r="D147" s="66">
        <f t="shared" si="118"/>
        <v>2.0700340253548735</v>
      </c>
      <c r="E147" s="66">
        <f t="shared" si="118"/>
        <v>2.0799912652584287</v>
      </c>
      <c r="F147" s="66">
        <f t="shared" si="118"/>
        <v>2.0942223582546799</v>
      </c>
      <c r="G147" s="66">
        <f t="shared" si="118"/>
        <v>2.1145332034270625</v>
      </c>
      <c r="H147" s="66">
        <f t="shared" si="118"/>
        <v>2.1434608297482804</v>
      </c>
      <c r="I147" s="66">
        <f t="shared" si="118"/>
        <v>2.1845339122974496</v>
      </c>
      <c r="J147" s="66">
        <f t="shared" si="118"/>
        <v>2.2425867676094651</v>
      </c>
      <c r="K147" s="66">
        <f t="shared" si="118"/>
        <v>2.3240919291072673</v>
      </c>
      <c r="L147" s="66">
        <f t="shared" si="118"/>
        <v>2.4374136908790356</v>
      </c>
      <c r="M147" s="66">
        <f t="shared" si="118"/>
        <v>2.5927735868925894</v>
      </c>
      <c r="N147" s="66">
        <f t="shared" si="118"/>
        <v>2.8015606394413943</v>
      </c>
      <c r="O147" s="66">
        <f t="shared" si="118"/>
        <v>3.0744856518148742</v>
      </c>
      <c r="P147" s="66">
        <f t="shared" si="118"/>
        <v>3.4181885745847813</v>
      </c>
      <c r="Q147" s="66">
        <f t="shared" si="118"/>
        <v>3.8306222159147274</v>
      </c>
      <c r="R147" s="66">
        <f t="shared" si="118"/>
        <v>4.2969913115595899</v>
      </c>
      <c r="S147" s="66">
        <f t="shared" si="118"/>
        <v>4.7893352523676196</v>
      </c>
      <c r="T147" s="66">
        <f t="shared" si="118"/>
        <v>5.2719907853240588</v>
      </c>
      <c r="U147" s="66">
        <f t="shared" si="118"/>
        <v>5.7113620517407639</v>
      </c>
      <c r="V147" s="66">
        <f t="shared" si="118"/>
        <v>6.0847650605234298</v>
      </c>
      <c r="W147" s="66">
        <f t="shared" si="118"/>
        <v>6.383793997868306</v>
      </c>
      <c r="X147" s="66">
        <f t="shared" si="118"/>
        <v>6.6119663489137848</v>
      </c>
      <c r="Y147" s="66">
        <f t="shared" si="118"/>
        <v>6.7796913263812186</v>
      </c>
      <c r="Z147" s="66">
        <f t="shared" si="118"/>
        <v>6.8996122588494808</v>
      </c>
      <c r="AA147" s="66">
        <f t="shared" si="118"/>
        <v>6.9836591226283362</v>
      </c>
      <c r="AB147" s="66">
        <f t="shared" si="118"/>
        <v>7.0417406714234989</v>
      </c>
      <c r="AC147" s="66">
        <f t="shared" si="118"/>
        <v>7.0814887695786215</v>
      </c>
    </row>
    <row r="148" spans="1:29" x14ac:dyDescent="0.25">
      <c r="A148" s="30" t="str">
        <f t="shared" si="89"/>
        <v>Lifetime vehicle</v>
      </c>
      <c r="B148" s="62">
        <f>$B128+($C128-$B128)*(1-Q128)</f>
        <v>20</v>
      </c>
      <c r="C148" s="62">
        <f t="shared" ref="C148:L150" si="119">$B128+($C128-$B128)*(1-R128)</f>
        <v>20</v>
      </c>
      <c r="D148" s="62">
        <f t="shared" si="119"/>
        <v>20</v>
      </c>
      <c r="E148" s="62">
        <f t="shared" si="119"/>
        <v>20</v>
      </c>
      <c r="F148" s="62">
        <f t="shared" si="119"/>
        <v>20</v>
      </c>
      <c r="G148" s="62">
        <f t="shared" si="119"/>
        <v>20</v>
      </c>
      <c r="H148" s="62">
        <f t="shared" si="119"/>
        <v>20</v>
      </c>
      <c r="I148" s="62">
        <f t="shared" si="119"/>
        <v>20</v>
      </c>
      <c r="J148" s="62">
        <f t="shared" si="119"/>
        <v>20</v>
      </c>
      <c r="K148" s="62">
        <f t="shared" si="119"/>
        <v>20</v>
      </c>
      <c r="L148" s="62">
        <f t="shared" si="119"/>
        <v>20</v>
      </c>
      <c r="M148" s="62">
        <f t="shared" ref="M148:V150" si="120">$B128+($C128-$B128)*(1-AB128)</f>
        <v>20</v>
      </c>
      <c r="N148" s="62">
        <f t="shared" si="120"/>
        <v>20</v>
      </c>
      <c r="O148" s="62">
        <f t="shared" si="120"/>
        <v>20</v>
      </c>
      <c r="P148" s="62">
        <f t="shared" si="120"/>
        <v>20</v>
      </c>
      <c r="Q148" s="62">
        <f t="shared" si="120"/>
        <v>20</v>
      </c>
      <c r="R148" s="62">
        <f t="shared" si="120"/>
        <v>20</v>
      </c>
      <c r="S148" s="62">
        <f t="shared" si="120"/>
        <v>20</v>
      </c>
      <c r="T148" s="62">
        <f t="shared" si="120"/>
        <v>20</v>
      </c>
      <c r="U148" s="62">
        <f t="shared" si="120"/>
        <v>20</v>
      </c>
      <c r="V148" s="62">
        <f t="shared" si="120"/>
        <v>20</v>
      </c>
      <c r="W148" s="62">
        <f t="shared" ref="W148:AC150" si="121">$B128+($C128-$B128)*(1-AL128)</f>
        <v>20</v>
      </c>
      <c r="X148" s="62">
        <f t="shared" si="121"/>
        <v>20</v>
      </c>
      <c r="Y148" s="62">
        <f t="shared" si="121"/>
        <v>20</v>
      </c>
      <c r="Z148" s="62">
        <f t="shared" si="121"/>
        <v>20</v>
      </c>
      <c r="AA148" s="62">
        <f t="shared" si="121"/>
        <v>20</v>
      </c>
      <c r="AB148" s="62">
        <f t="shared" si="121"/>
        <v>20</v>
      </c>
      <c r="AC148" s="62">
        <f t="shared" si="121"/>
        <v>20</v>
      </c>
    </row>
    <row r="149" spans="1:29" x14ac:dyDescent="0.25">
      <c r="A149" s="30" t="str">
        <f t="shared" si="89"/>
        <v>Lifetime costumization</v>
      </c>
      <c r="B149" s="62">
        <f>$B129+($C129-$B129)*(1-Q129)</f>
        <v>30</v>
      </c>
      <c r="C149" s="62">
        <f t="shared" si="119"/>
        <v>30</v>
      </c>
      <c r="D149" s="62">
        <f t="shared" si="119"/>
        <v>30</v>
      </c>
      <c r="E149" s="62">
        <f t="shared" si="119"/>
        <v>30</v>
      </c>
      <c r="F149" s="62">
        <f t="shared" si="119"/>
        <v>30</v>
      </c>
      <c r="G149" s="62">
        <f t="shared" si="119"/>
        <v>30</v>
      </c>
      <c r="H149" s="62">
        <f t="shared" si="119"/>
        <v>30</v>
      </c>
      <c r="I149" s="62">
        <f t="shared" si="119"/>
        <v>30</v>
      </c>
      <c r="J149" s="62">
        <f t="shared" si="119"/>
        <v>30</v>
      </c>
      <c r="K149" s="62">
        <f t="shared" si="119"/>
        <v>30</v>
      </c>
      <c r="L149" s="62">
        <f t="shared" si="119"/>
        <v>30</v>
      </c>
      <c r="M149" s="62">
        <f t="shared" si="120"/>
        <v>30</v>
      </c>
      <c r="N149" s="62">
        <f t="shared" si="120"/>
        <v>30</v>
      </c>
      <c r="O149" s="62">
        <f t="shared" si="120"/>
        <v>30</v>
      </c>
      <c r="P149" s="62">
        <f t="shared" si="120"/>
        <v>30</v>
      </c>
      <c r="Q149" s="62">
        <f t="shared" si="120"/>
        <v>30</v>
      </c>
      <c r="R149" s="62">
        <f t="shared" si="120"/>
        <v>30</v>
      </c>
      <c r="S149" s="62">
        <f t="shared" si="120"/>
        <v>30</v>
      </c>
      <c r="T149" s="62">
        <f t="shared" si="120"/>
        <v>30</v>
      </c>
      <c r="U149" s="62">
        <f t="shared" si="120"/>
        <v>30</v>
      </c>
      <c r="V149" s="62">
        <f t="shared" si="120"/>
        <v>30</v>
      </c>
      <c r="W149" s="62">
        <f t="shared" si="121"/>
        <v>30</v>
      </c>
      <c r="X149" s="62">
        <f t="shared" si="121"/>
        <v>30</v>
      </c>
      <c r="Y149" s="62">
        <f t="shared" si="121"/>
        <v>30</v>
      </c>
      <c r="Z149" s="62">
        <f t="shared" si="121"/>
        <v>30</v>
      </c>
      <c r="AA149" s="62">
        <f t="shared" si="121"/>
        <v>30</v>
      </c>
      <c r="AB149" s="62">
        <f t="shared" si="121"/>
        <v>30</v>
      </c>
      <c r="AC149" s="62">
        <f t="shared" si="121"/>
        <v>30</v>
      </c>
    </row>
    <row r="150" spans="1:29" x14ac:dyDescent="0.25">
      <c r="A150" s="30" t="str">
        <f t="shared" si="89"/>
        <v>Tonnage .</v>
      </c>
      <c r="B150" s="62">
        <f>$B130+($C130-$B130)*(1-Q130)</f>
        <v>2240</v>
      </c>
      <c r="C150" s="62">
        <f t="shared" si="119"/>
        <v>2240</v>
      </c>
      <c r="D150" s="62">
        <f t="shared" si="119"/>
        <v>2240</v>
      </c>
      <c r="E150" s="62">
        <f t="shared" si="119"/>
        <v>2240</v>
      </c>
      <c r="F150" s="62">
        <f t="shared" si="119"/>
        <v>2240</v>
      </c>
      <c r="G150" s="62">
        <f t="shared" si="119"/>
        <v>2240</v>
      </c>
      <c r="H150" s="62">
        <f t="shared" si="119"/>
        <v>2240</v>
      </c>
      <c r="I150" s="62">
        <f t="shared" si="119"/>
        <v>2240</v>
      </c>
      <c r="J150" s="62">
        <f t="shared" si="119"/>
        <v>2240</v>
      </c>
      <c r="K150" s="62">
        <f t="shared" si="119"/>
        <v>2240</v>
      </c>
      <c r="L150" s="62">
        <f t="shared" si="119"/>
        <v>2240</v>
      </c>
      <c r="M150" s="62">
        <f t="shared" si="120"/>
        <v>2240</v>
      </c>
      <c r="N150" s="62">
        <f t="shared" si="120"/>
        <v>2240</v>
      </c>
      <c r="O150" s="62">
        <f t="shared" si="120"/>
        <v>2240</v>
      </c>
      <c r="P150" s="62">
        <f t="shared" si="120"/>
        <v>2240</v>
      </c>
      <c r="Q150" s="62">
        <f t="shared" si="120"/>
        <v>2240</v>
      </c>
      <c r="R150" s="62">
        <f t="shared" si="120"/>
        <v>2240</v>
      </c>
      <c r="S150" s="62">
        <f t="shared" si="120"/>
        <v>2240</v>
      </c>
      <c r="T150" s="62">
        <f t="shared" si="120"/>
        <v>2240</v>
      </c>
      <c r="U150" s="62">
        <f t="shared" si="120"/>
        <v>2240</v>
      </c>
      <c r="V150" s="62">
        <f t="shared" si="120"/>
        <v>2240</v>
      </c>
      <c r="W150" s="62">
        <f t="shared" si="121"/>
        <v>2240</v>
      </c>
      <c r="X150" s="62">
        <f t="shared" si="121"/>
        <v>2240</v>
      </c>
      <c r="Y150" s="62">
        <f t="shared" si="121"/>
        <v>2240</v>
      </c>
      <c r="Z150" s="62">
        <f t="shared" si="121"/>
        <v>2240</v>
      </c>
      <c r="AA150" s="62">
        <f t="shared" si="121"/>
        <v>2240</v>
      </c>
      <c r="AB150" s="62">
        <f t="shared" si="121"/>
        <v>2240</v>
      </c>
      <c r="AC150" s="62">
        <f t="shared" si="121"/>
        <v>2240</v>
      </c>
    </row>
    <row r="151" spans="1:29" x14ac:dyDescent="0.25">
      <c r="A151" s="30" t="str">
        <f t="shared" si="89"/>
        <v>Market failure (av. utilization)</v>
      </c>
      <c r="B151" s="62">
        <f t="shared" ref="B151:K152" si="122">($B131+($C131-$B131)*(1-Q131))*B$44</f>
        <v>955.73333333333335</v>
      </c>
      <c r="C151" s="62">
        <f t="shared" si="122"/>
        <v>955.73333333333335</v>
      </c>
      <c r="D151" s="62">
        <f t="shared" si="122"/>
        <v>955.73333333333335</v>
      </c>
      <c r="E151" s="62">
        <f t="shared" si="122"/>
        <v>955.73333333333335</v>
      </c>
      <c r="F151" s="62">
        <f t="shared" si="122"/>
        <v>955.73333333333335</v>
      </c>
      <c r="G151" s="62">
        <f t="shared" si="122"/>
        <v>955.73333333333335</v>
      </c>
      <c r="H151" s="62">
        <f t="shared" si="122"/>
        <v>955.73333333333335</v>
      </c>
      <c r="I151" s="62">
        <f t="shared" si="122"/>
        <v>955.73333333333335</v>
      </c>
      <c r="J151" s="62">
        <f t="shared" si="122"/>
        <v>955.73333333333335</v>
      </c>
      <c r="K151" s="62">
        <f t="shared" si="122"/>
        <v>955.73333333333335</v>
      </c>
      <c r="L151" s="62">
        <f t="shared" ref="L151:U152" si="123">($B131+($C131-$B131)*(1-AA131))*L$44</f>
        <v>955.73333333333335</v>
      </c>
      <c r="M151" s="62">
        <f t="shared" si="123"/>
        <v>955.73333333333335</v>
      </c>
      <c r="N151" s="62">
        <f t="shared" si="123"/>
        <v>955.73333333333335</v>
      </c>
      <c r="O151" s="62">
        <f t="shared" si="123"/>
        <v>955.73333333333335</v>
      </c>
      <c r="P151" s="62">
        <f t="shared" si="123"/>
        <v>955.73333333333335</v>
      </c>
      <c r="Q151" s="62">
        <f t="shared" si="123"/>
        <v>955.73333333333335</v>
      </c>
      <c r="R151" s="62">
        <f t="shared" si="123"/>
        <v>955.73333333333335</v>
      </c>
      <c r="S151" s="62">
        <f t="shared" si="123"/>
        <v>955.73333333333335</v>
      </c>
      <c r="T151" s="62">
        <f t="shared" si="123"/>
        <v>955.73333333333335</v>
      </c>
      <c r="U151" s="62">
        <f t="shared" si="123"/>
        <v>955.73333333333335</v>
      </c>
      <c r="V151" s="62">
        <f t="shared" ref="V151:AC152" si="124">($B131+($C131-$B131)*(1-AK131))*V$44</f>
        <v>955.73333333333335</v>
      </c>
      <c r="W151" s="62">
        <f t="shared" si="124"/>
        <v>955.73333333333335</v>
      </c>
      <c r="X151" s="62">
        <f t="shared" si="124"/>
        <v>955.73333333333335</v>
      </c>
      <c r="Y151" s="62">
        <f t="shared" si="124"/>
        <v>955.73333333333335</v>
      </c>
      <c r="Z151" s="62">
        <f t="shared" si="124"/>
        <v>955.73333333333335</v>
      </c>
      <c r="AA151" s="62">
        <f t="shared" si="124"/>
        <v>955.73333333333335</v>
      </c>
      <c r="AB151" s="62">
        <f t="shared" si="124"/>
        <v>955.73333333333335</v>
      </c>
      <c r="AC151" s="62">
        <f t="shared" si="124"/>
        <v>955.73333333333335</v>
      </c>
    </row>
    <row r="152" spans="1:29" x14ac:dyDescent="0.25">
      <c r="A152" s="30" t="s">
        <v>73</v>
      </c>
      <c r="B152" s="62">
        <f t="shared" si="122"/>
        <v>0</v>
      </c>
      <c r="C152" s="62">
        <f t="shared" si="122"/>
        <v>0</v>
      </c>
      <c r="D152" s="62">
        <f t="shared" si="122"/>
        <v>0</v>
      </c>
      <c r="E152" s="62">
        <f t="shared" si="122"/>
        <v>0</v>
      </c>
      <c r="F152" s="62">
        <f t="shared" si="122"/>
        <v>0</v>
      </c>
      <c r="G152" s="62">
        <f t="shared" si="122"/>
        <v>0</v>
      </c>
      <c r="H152" s="62">
        <f t="shared" si="122"/>
        <v>0</v>
      </c>
      <c r="I152" s="62">
        <f t="shared" si="122"/>
        <v>0</v>
      </c>
      <c r="J152" s="62">
        <f t="shared" si="122"/>
        <v>0</v>
      </c>
      <c r="K152" s="62">
        <f t="shared" si="122"/>
        <v>0</v>
      </c>
      <c r="L152" s="62">
        <f t="shared" si="123"/>
        <v>0</v>
      </c>
      <c r="M152" s="62">
        <f t="shared" si="123"/>
        <v>0</v>
      </c>
      <c r="N152" s="62">
        <f t="shared" si="123"/>
        <v>0</v>
      </c>
      <c r="O152" s="62">
        <f t="shared" si="123"/>
        <v>0</v>
      </c>
      <c r="P152" s="62">
        <f t="shared" si="123"/>
        <v>0</v>
      </c>
      <c r="Q152" s="62">
        <f t="shared" si="123"/>
        <v>0</v>
      </c>
      <c r="R152" s="62">
        <f t="shared" si="123"/>
        <v>0</v>
      </c>
      <c r="S152" s="62">
        <f t="shared" si="123"/>
        <v>0</v>
      </c>
      <c r="T152" s="62">
        <f t="shared" si="123"/>
        <v>0</v>
      </c>
      <c r="U152" s="62">
        <f t="shared" si="123"/>
        <v>0</v>
      </c>
      <c r="V152" s="62">
        <f t="shared" si="124"/>
        <v>0</v>
      </c>
      <c r="W152" s="62">
        <f t="shared" si="124"/>
        <v>0</v>
      </c>
      <c r="X152" s="62">
        <f t="shared" si="124"/>
        <v>0</v>
      </c>
      <c r="Y152" s="62">
        <f t="shared" si="124"/>
        <v>0</v>
      </c>
      <c r="Z152" s="62">
        <f t="shared" si="124"/>
        <v>0</v>
      </c>
      <c r="AA152" s="62">
        <f t="shared" si="124"/>
        <v>0</v>
      </c>
      <c r="AB152" s="62">
        <f t="shared" si="124"/>
        <v>0</v>
      </c>
      <c r="AC152" s="62">
        <f t="shared" si="124"/>
        <v>0</v>
      </c>
    </row>
    <row r="153" spans="1:29" x14ac:dyDescent="0.25">
      <c r="A153" s="30" t="str">
        <f>A133</f>
        <v>Annual Mileage</v>
      </c>
      <c r="B153" s="62">
        <f t="shared" ref="B153:AC153" si="125">$B133+($C133-$B133)*(1-Q133)</f>
        <v>178500</v>
      </c>
      <c r="C153" s="62">
        <f t="shared" si="125"/>
        <v>178500</v>
      </c>
      <c r="D153" s="62">
        <f t="shared" si="125"/>
        <v>178500</v>
      </c>
      <c r="E153" s="62">
        <f t="shared" si="125"/>
        <v>178500</v>
      </c>
      <c r="F153" s="62">
        <f t="shared" si="125"/>
        <v>178500</v>
      </c>
      <c r="G153" s="62">
        <f t="shared" si="125"/>
        <v>178500</v>
      </c>
      <c r="H153" s="62">
        <f t="shared" si="125"/>
        <v>178500</v>
      </c>
      <c r="I153" s="62">
        <f t="shared" si="125"/>
        <v>178500</v>
      </c>
      <c r="J153" s="62">
        <f t="shared" si="125"/>
        <v>178500</v>
      </c>
      <c r="K153" s="62">
        <f t="shared" si="125"/>
        <v>178500</v>
      </c>
      <c r="L153" s="62">
        <f t="shared" si="125"/>
        <v>178500</v>
      </c>
      <c r="M153" s="62">
        <f t="shared" si="125"/>
        <v>178500</v>
      </c>
      <c r="N153" s="62">
        <f t="shared" si="125"/>
        <v>178500</v>
      </c>
      <c r="O153" s="62">
        <f t="shared" si="125"/>
        <v>178500</v>
      </c>
      <c r="P153" s="62">
        <f t="shared" si="125"/>
        <v>178500</v>
      </c>
      <c r="Q153" s="62">
        <f t="shared" si="125"/>
        <v>178500</v>
      </c>
      <c r="R153" s="62">
        <f t="shared" si="125"/>
        <v>178500</v>
      </c>
      <c r="S153" s="62">
        <f t="shared" si="125"/>
        <v>178500</v>
      </c>
      <c r="T153" s="62">
        <f t="shared" si="125"/>
        <v>178500</v>
      </c>
      <c r="U153" s="62">
        <f t="shared" si="125"/>
        <v>178500</v>
      </c>
      <c r="V153" s="62">
        <f t="shared" si="125"/>
        <v>178500</v>
      </c>
      <c r="W153" s="62">
        <f t="shared" si="125"/>
        <v>178500</v>
      </c>
      <c r="X153" s="62">
        <f t="shared" si="125"/>
        <v>178500</v>
      </c>
      <c r="Y153" s="62">
        <f t="shared" si="125"/>
        <v>178500</v>
      </c>
      <c r="Z153" s="62">
        <f t="shared" si="125"/>
        <v>178500</v>
      </c>
      <c r="AA153" s="62">
        <f t="shared" si="125"/>
        <v>178500</v>
      </c>
      <c r="AB153" s="62">
        <f t="shared" si="125"/>
        <v>178500</v>
      </c>
      <c r="AC153" s="62">
        <f t="shared" si="125"/>
        <v>178500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305145.94941897993</v>
      </c>
      <c r="C156" s="63">
        <f t="shared" ref="C156:AC156" si="126">((1+C141)^C148)*C141/(((1+C141)^C148)-1)*(C137)</f>
        <v>305145.94941897993</v>
      </c>
      <c r="D156" s="63">
        <f t="shared" si="126"/>
        <v>305145.94941897993</v>
      </c>
      <c r="E156" s="63">
        <f t="shared" si="126"/>
        <v>305145.94941897993</v>
      </c>
      <c r="F156" s="63">
        <f t="shared" si="126"/>
        <v>305145.94941897993</v>
      </c>
      <c r="G156" s="63">
        <f t="shared" si="126"/>
        <v>305145.94941897993</v>
      </c>
      <c r="H156" s="63">
        <f t="shared" si="126"/>
        <v>305145.94941897993</v>
      </c>
      <c r="I156" s="63">
        <f t="shared" si="126"/>
        <v>305145.94941897993</v>
      </c>
      <c r="J156" s="63">
        <f t="shared" si="126"/>
        <v>305145.94941897993</v>
      </c>
      <c r="K156" s="63">
        <f t="shared" si="126"/>
        <v>305145.94941897993</v>
      </c>
      <c r="L156" s="63">
        <f t="shared" si="126"/>
        <v>305145.94941897993</v>
      </c>
      <c r="M156" s="63">
        <f t="shared" si="126"/>
        <v>305145.94941897993</v>
      </c>
      <c r="N156" s="63">
        <f t="shared" si="126"/>
        <v>305145.94941897993</v>
      </c>
      <c r="O156" s="63">
        <f t="shared" si="126"/>
        <v>305145.94941897993</v>
      </c>
      <c r="P156" s="63">
        <f t="shared" si="126"/>
        <v>305145.94941897993</v>
      </c>
      <c r="Q156" s="63">
        <f t="shared" si="126"/>
        <v>305145.94941897993</v>
      </c>
      <c r="R156" s="63">
        <f t="shared" si="126"/>
        <v>305145.94941897993</v>
      </c>
      <c r="S156" s="63">
        <f t="shared" si="126"/>
        <v>305145.94941897993</v>
      </c>
      <c r="T156" s="63">
        <f t="shared" si="126"/>
        <v>305145.94941897993</v>
      </c>
      <c r="U156" s="63">
        <f t="shared" si="126"/>
        <v>305145.94941897993</v>
      </c>
      <c r="V156" s="63">
        <f t="shared" si="126"/>
        <v>305145.94941897993</v>
      </c>
      <c r="W156" s="63">
        <f t="shared" si="126"/>
        <v>305145.94941897993</v>
      </c>
      <c r="X156" s="63">
        <f t="shared" si="126"/>
        <v>305145.94941897993</v>
      </c>
      <c r="Y156" s="63">
        <f t="shared" si="126"/>
        <v>305145.94941897993</v>
      </c>
      <c r="Z156" s="63">
        <f t="shared" si="126"/>
        <v>305145.94941897993</v>
      </c>
      <c r="AA156" s="63">
        <f t="shared" si="126"/>
        <v>305145.94941897993</v>
      </c>
      <c r="AB156" s="63">
        <f t="shared" si="126"/>
        <v>305145.94941897993</v>
      </c>
      <c r="AC156" s="63">
        <f t="shared" si="126"/>
        <v>305145.94941897993</v>
      </c>
    </row>
    <row r="157" spans="1:29" x14ac:dyDescent="0.25">
      <c r="A157" s="30" t="str">
        <f>A138</f>
        <v>Residual value (vehicle)</v>
      </c>
      <c r="B157" s="62">
        <f>((1+B141)^B148)*B141/(((1+B141)^B148)-1)*(B138)</f>
        <v>-45369.034506436277</v>
      </c>
      <c r="C157" s="62">
        <f t="shared" ref="C157:AC157" si="127">((1+C141)^C148)*C141/(((1+C141)^C148)-1)*(C138)</f>
        <v>-45196.542704314146</v>
      </c>
      <c r="D157" s="62">
        <f t="shared" si="127"/>
        <v>-44951.629072308999</v>
      </c>
      <c r="E157" s="62">
        <f t="shared" si="127"/>
        <v>-44605.467188167124</v>
      </c>
      <c r="F157" s="62">
        <f t="shared" si="127"/>
        <v>-44119.462148109647</v>
      </c>
      <c r="G157" s="62">
        <f t="shared" si="127"/>
        <v>-43443.738717137028</v>
      </c>
      <c r="H157" s="62">
        <f t="shared" si="127"/>
        <v>-42517.347172137401</v>
      </c>
      <c r="I157" s="62">
        <f t="shared" si="127"/>
        <v>-41272.376203762586</v>
      </c>
      <c r="J157" s="62">
        <f t="shared" si="127"/>
        <v>-39644.958637393647</v>
      </c>
      <c r="K157" s="62">
        <f t="shared" si="127"/>
        <v>-37595.501281822799</v>
      </c>
      <c r="L157" s="62">
        <f t="shared" si="127"/>
        <v>-35136.211284820376</v>
      </c>
      <c r="M157" s="62">
        <f t="shared" si="127"/>
        <v>-32355.310948630464</v>
      </c>
      <c r="N157" s="62">
        <f t="shared" si="127"/>
        <v>-29419.525873461753</v>
      </c>
      <c r="O157" s="62">
        <f t="shared" si="127"/>
        <v>-26541.511557340396</v>
      </c>
      <c r="P157" s="62">
        <f t="shared" si="127"/>
        <v>-23921.595885610663</v>
      </c>
      <c r="Q157" s="62">
        <f t="shared" si="127"/>
        <v>-21695.040647806538</v>
      </c>
      <c r="R157" s="62">
        <f t="shared" si="127"/>
        <v>-19911.968655776182</v>
      </c>
      <c r="S157" s="62">
        <f t="shared" si="127"/>
        <v>-18551.40558747459</v>
      </c>
      <c r="T157" s="62">
        <f t="shared" si="127"/>
        <v>-17551.282614957105</v>
      </c>
      <c r="U157" s="62">
        <f t="shared" si="127"/>
        <v>-16836.209158050464</v>
      </c>
      <c r="V157" s="62">
        <f t="shared" si="127"/>
        <v>-16335.048266557109</v>
      </c>
      <c r="W157" s="62">
        <f t="shared" si="127"/>
        <v>-15988.715286779448</v>
      </c>
      <c r="X157" s="62">
        <f t="shared" si="127"/>
        <v>-15751.702370283236</v>
      </c>
      <c r="Y157" s="62">
        <f t="shared" si="127"/>
        <v>-15590.58521762073</v>
      </c>
      <c r="Z157" s="62">
        <f t="shared" si="127"/>
        <v>-15481.559033229796</v>
      </c>
      <c r="AA157" s="62">
        <f t="shared" si="127"/>
        <v>-15408.009855414111</v>
      </c>
      <c r="AB157" s="62">
        <f t="shared" si="127"/>
        <v>-15358.496914269901</v>
      </c>
      <c r="AC157" s="62">
        <f t="shared" si="127"/>
        <v>-15325.211858527608</v>
      </c>
    </row>
    <row r="158" spans="1:29" x14ac:dyDescent="0.25">
      <c r="A158" s="30" t="str">
        <f>A139</f>
        <v>Capex costumization</v>
      </c>
      <c r="B158" s="62">
        <f>((1+B141)^B149)*B141/(((1+B141)^B149)-1)*(B139)</f>
        <v>406833.9043442643</v>
      </c>
      <c r="C158" s="62">
        <f t="shared" ref="C158:AC158" si="128">((1+C141)^C149)*C141/(((1+C141)^C149)-1)*(C139)</f>
        <v>406833.9043442643</v>
      </c>
      <c r="D158" s="62">
        <f t="shared" si="128"/>
        <v>406833.9043442643</v>
      </c>
      <c r="E158" s="62">
        <f t="shared" si="128"/>
        <v>406833.9043442643</v>
      </c>
      <c r="F158" s="62">
        <f t="shared" si="128"/>
        <v>406833.9043442643</v>
      </c>
      <c r="G158" s="62">
        <f t="shared" si="128"/>
        <v>406833.9043442643</v>
      </c>
      <c r="H158" s="62">
        <f t="shared" si="128"/>
        <v>406833.9043442643</v>
      </c>
      <c r="I158" s="62">
        <f t="shared" si="128"/>
        <v>406833.9043442643</v>
      </c>
      <c r="J158" s="62">
        <f t="shared" si="128"/>
        <v>406833.9043442643</v>
      </c>
      <c r="K158" s="62">
        <f t="shared" si="128"/>
        <v>406833.9043442643</v>
      </c>
      <c r="L158" s="62">
        <f t="shared" si="128"/>
        <v>406833.9043442643</v>
      </c>
      <c r="M158" s="62">
        <f t="shared" si="128"/>
        <v>406833.9043442643</v>
      </c>
      <c r="N158" s="62">
        <f t="shared" si="128"/>
        <v>406833.9043442643</v>
      </c>
      <c r="O158" s="62">
        <f t="shared" si="128"/>
        <v>406833.9043442643</v>
      </c>
      <c r="P158" s="62">
        <f t="shared" si="128"/>
        <v>406833.9043442643</v>
      </c>
      <c r="Q158" s="62">
        <f t="shared" si="128"/>
        <v>406833.9043442643</v>
      </c>
      <c r="R158" s="62">
        <f t="shared" si="128"/>
        <v>406833.9043442643</v>
      </c>
      <c r="S158" s="62">
        <f t="shared" si="128"/>
        <v>406833.9043442643</v>
      </c>
      <c r="T158" s="62">
        <f t="shared" si="128"/>
        <v>406833.9043442643</v>
      </c>
      <c r="U158" s="62">
        <f t="shared" si="128"/>
        <v>406833.9043442643</v>
      </c>
      <c r="V158" s="62">
        <f t="shared" si="128"/>
        <v>406833.9043442643</v>
      </c>
      <c r="W158" s="62">
        <f t="shared" si="128"/>
        <v>406833.9043442643</v>
      </c>
      <c r="X158" s="62">
        <f t="shared" si="128"/>
        <v>406833.9043442643</v>
      </c>
      <c r="Y158" s="62">
        <f t="shared" si="128"/>
        <v>406833.9043442643</v>
      </c>
      <c r="Z158" s="62">
        <f t="shared" si="128"/>
        <v>406833.9043442643</v>
      </c>
      <c r="AA158" s="62">
        <f t="shared" si="128"/>
        <v>406833.9043442643</v>
      </c>
      <c r="AB158" s="62">
        <f t="shared" si="128"/>
        <v>406833.9043442643</v>
      </c>
      <c r="AC158" s="62">
        <f t="shared" si="128"/>
        <v>406833.9043442643</v>
      </c>
    </row>
    <row r="159" spans="1:29" x14ac:dyDescent="0.25">
      <c r="A159" s="30" t="str">
        <f>A140</f>
        <v>Residual value (costumization)</v>
      </c>
      <c r="B159" s="62">
        <f>((1+B141)^B149)*B141/(((1+B141)^B149)-1)*(B140)</f>
        <v>-20341.695217213215</v>
      </c>
      <c r="C159" s="62">
        <f t="shared" ref="C159:AC159" si="129">((1+C141)^C149)*C141/(((1+C141)^C149)-1)*(C140)</f>
        <v>-20341.695217213215</v>
      </c>
      <c r="D159" s="62">
        <f t="shared" si="129"/>
        <v>-20341.695217213215</v>
      </c>
      <c r="E159" s="62">
        <f t="shared" si="129"/>
        <v>-20341.695217213215</v>
      </c>
      <c r="F159" s="62">
        <f t="shared" si="129"/>
        <v>-20341.695217213215</v>
      </c>
      <c r="G159" s="62">
        <f t="shared" si="129"/>
        <v>-20341.695217213215</v>
      </c>
      <c r="H159" s="62">
        <f t="shared" si="129"/>
        <v>-20341.695217213215</v>
      </c>
      <c r="I159" s="62">
        <f t="shared" si="129"/>
        <v>-20341.695217213215</v>
      </c>
      <c r="J159" s="62">
        <f t="shared" si="129"/>
        <v>-20341.695217213215</v>
      </c>
      <c r="K159" s="62">
        <f t="shared" si="129"/>
        <v>-20341.695217213215</v>
      </c>
      <c r="L159" s="62">
        <f t="shared" si="129"/>
        <v>-20341.695217213215</v>
      </c>
      <c r="M159" s="62">
        <f t="shared" si="129"/>
        <v>-20341.695217213215</v>
      </c>
      <c r="N159" s="62">
        <f t="shared" si="129"/>
        <v>-20341.695217213215</v>
      </c>
      <c r="O159" s="62">
        <f t="shared" si="129"/>
        <v>-20341.695217213215</v>
      </c>
      <c r="P159" s="62">
        <f t="shared" si="129"/>
        <v>-20341.695217213215</v>
      </c>
      <c r="Q159" s="62">
        <f t="shared" si="129"/>
        <v>-20341.695217213215</v>
      </c>
      <c r="R159" s="62">
        <f t="shared" si="129"/>
        <v>-20341.695217213215</v>
      </c>
      <c r="S159" s="62">
        <f t="shared" si="129"/>
        <v>-20341.695217213215</v>
      </c>
      <c r="T159" s="62">
        <f t="shared" si="129"/>
        <v>-20341.695217213215</v>
      </c>
      <c r="U159" s="62">
        <f t="shared" si="129"/>
        <v>-20341.695217213215</v>
      </c>
      <c r="V159" s="62">
        <f t="shared" si="129"/>
        <v>-20341.695217213215</v>
      </c>
      <c r="W159" s="62">
        <f t="shared" si="129"/>
        <v>-20341.695217213215</v>
      </c>
      <c r="X159" s="62">
        <f t="shared" si="129"/>
        <v>-20341.695217213215</v>
      </c>
      <c r="Y159" s="62">
        <f t="shared" si="129"/>
        <v>-20341.695217213215</v>
      </c>
      <c r="Z159" s="62">
        <f t="shared" si="129"/>
        <v>-20341.695217213215</v>
      </c>
      <c r="AA159" s="62">
        <f t="shared" si="129"/>
        <v>-20341.695217213215</v>
      </c>
      <c r="AB159" s="62">
        <f t="shared" si="129"/>
        <v>-20341.695217213215</v>
      </c>
      <c r="AC159" s="62">
        <f t="shared" si="129"/>
        <v>-20341.695217213215</v>
      </c>
    </row>
    <row r="160" spans="1:29" x14ac:dyDescent="0.25">
      <c r="A160" s="30" t="str">
        <f t="shared" ref="A160:AC160" si="130">A142</f>
        <v>Opex fix (admin, crew, insurance)</v>
      </c>
      <c r="B160" s="62">
        <f t="shared" si="130"/>
        <v>620000</v>
      </c>
      <c r="C160" s="62">
        <f t="shared" si="130"/>
        <v>620000</v>
      </c>
      <c r="D160" s="62">
        <f t="shared" si="130"/>
        <v>620000</v>
      </c>
      <c r="E160" s="62">
        <f t="shared" si="130"/>
        <v>620000</v>
      </c>
      <c r="F160" s="62">
        <f t="shared" si="130"/>
        <v>620000</v>
      </c>
      <c r="G160" s="62">
        <f t="shared" si="130"/>
        <v>620000</v>
      </c>
      <c r="H160" s="62">
        <f t="shared" si="130"/>
        <v>620000</v>
      </c>
      <c r="I160" s="62">
        <f t="shared" si="130"/>
        <v>620000</v>
      </c>
      <c r="J160" s="62">
        <f t="shared" si="130"/>
        <v>620000</v>
      </c>
      <c r="K160" s="62">
        <f t="shared" si="130"/>
        <v>620000</v>
      </c>
      <c r="L160" s="62">
        <f t="shared" si="130"/>
        <v>620000</v>
      </c>
      <c r="M160" s="62">
        <f t="shared" si="130"/>
        <v>620000</v>
      </c>
      <c r="N160" s="62">
        <f t="shared" si="130"/>
        <v>620000</v>
      </c>
      <c r="O160" s="62">
        <f t="shared" si="130"/>
        <v>620000</v>
      </c>
      <c r="P160" s="62">
        <f t="shared" si="130"/>
        <v>620000</v>
      </c>
      <c r="Q160" s="62">
        <f t="shared" si="130"/>
        <v>620000</v>
      </c>
      <c r="R160" s="62">
        <f t="shared" si="130"/>
        <v>620000</v>
      </c>
      <c r="S160" s="62">
        <f t="shared" si="130"/>
        <v>620000</v>
      </c>
      <c r="T160" s="62">
        <f t="shared" si="130"/>
        <v>620000</v>
      </c>
      <c r="U160" s="62">
        <f t="shared" si="130"/>
        <v>620000</v>
      </c>
      <c r="V160" s="62">
        <f t="shared" si="130"/>
        <v>620000</v>
      </c>
      <c r="W160" s="62">
        <f t="shared" si="130"/>
        <v>620000</v>
      </c>
      <c r="X160" s="62">
        <f t="shared" si="130"/>
        <v>620000</v>
      </c>
      <c r="Y160" s="62">
        <f t="shared" si="130"/>
        <v>620000</v>
      </c>
      <c r="Z160" s="62">
        <f t="shared" si="130"/>
        <v>620000</v>
      </c>
      <c r="AA160" s="62">
        <f t="shared" si="130"/>
        <v>620000</v>
      </c>
      <c r="AB160" s="62">
        <f t="shared" si="130"/>
        <v>620000</v>
      </c>
      <c r="AC160" s="62">
        <f t="shared" si="130"/>
        <v>620000</v>
      </c>
    </row>
    <row r="161" spans="1:29" x14ac:dyDescent="0.25">
      <c r="A161" s="30" t="str">
        <f t="shared" ref="A161:AC161" si="131">A143</f>
        <v>Opex maintenance &amp; repair</v>
      </c>
      <c r="B161" s="62">
        <f t="shared" si="131"/>
        <v>1050000</v>
      </c>
      <c r="C161" s="62">
        <f t="shared" si="131"/>
        <v>1050000</v>
      </c>
      <c r="D161" s="62">
        <f t="shared" si="131"/>
        <v>1050000</v>
      </c>
      <c r="E161" s="62">
        <f t="shared" si="131"/>
        <v>1050000</v>
      </c>
      <c r="F161" s="62">
        <f t="shared" si="131"/>
        <v>1050000</v>
      </c>
      <c r="G161" s="62">
        <f t="shared" si="131"/>
        <v>1050000</v>
      </c>
      <c r="H161" s="62">
        <f t="shared" si="131"/>
        <v>1050000</v>
      </c>
      <c r="I161" s="62">
        <f t="shared" si="131"/>
        <v>1050000</v>
      </c>
      <c r="J161" s="62">
        <f t="shared" si="131"/>
        <v>1050000</v>
      </c>
      <c r="K161" s="62">
        <f t="shared" si="131"/>
        <v>1050000</v>
      </c>
      <c r="L161" s="62">
        <f t="shared" si="131"/>
        <v>1050000</v>
      </c>
      <c r="M161" s="62">
        <f t="shared" si="131"/>
        <v>1050000</v>
      </c>
      <c r="N161" s="62">
        <f t="shared" si="131"/>
        <v>1050000</v>
      </c>
      <c r="O161" s="62">
        <f t="shared" si="131"/>
        <v>1050000</v>
      </c>
      <c r="P161" s="62">
        <f t="shared" si="131"/>
        <v>1050000</v>
      </c>
      <c r="Q161" s="62">
        <f t="shared" si="131"/>
        <v>1050000</v>
      </c>
      <c r="R161" s="62">
        <f t="shared" si="131"/>
        <v>1050000</v>
      </c>
      <c r="S161" s="62">
        <f t="shared" si="131"/>
        <v>1050000</v>
      </c>
      <c r="T161" s="62">
        <f t="shared" si="131"/>
        <v>1050000</v>
      </c>
      <c r="U161" s="62">
        <f t="shared" si="131"/>
        <v>1050000</v>
      </c>
      <c r="V161" s="62">
        <f t="shared" si="131"/>
        <v>1050000</v>
      </c>
      <c r="W161" s="62">
        <f t="shared" si="131"/>
        <v>1050000</v>
      </c>
      <c r="X161" s="62">
        <f t="shared" si="131"/>
        <v>1050000</v>
      </c>
      <c r="Y161" s="62">
        <f t="shared" si="131"/>
        <v>1050000</v>
      </c>
      <c r="Z161" s="62">
        <f t="shared" si="131"/>
        <v>1050000</v>
      </c>
      <c r="AA161" s="62">
        <f t="shared" si="131"/>
        <v>1050000</v>
      </c>
      <c r="AB161" s="62">
        <f t="shared" si="131"/>
        <v>1050000</v>
      </c>
      <c r="AC161" s="62">
        <f t="shared" si="131"/>
        <v>1050000</v>
      </c>
    </row>
    <row r="162" spans="1:29" x14ac:dyDescent="0.25">
      <c r="A162" s="30" t="str">
        <f>A144</f>
        <v>Opex var (mode-fees, shunting)</v>
      </c>
      <c r="B162" s="62">
        <f>B144*B153</f>
        <v>650000</v>
      </c>
      <c r="C162" s="62">
        <f t="shared" ref="C162:AC162" si="132">C144*C153</f>
        <v>650000</v>
      </c>
      <c r="D162" s="62">
        <f t="shared" si="132"/>
        <v>650000</v>
      </c>
      <c r="E162" s="62">
        <f t="shared" si="132"/>
        <v>650000</v>
      </c>
      <c r="F162" s="62">
        <f t="shared" si="132"/>
        <v>650000</v>
      </c>
      <c r="G162" s="62">
        <f t="shared" si="132"/>
        <v>650000</v>
      </c>
      <c r="H162" s="62">
        <f t="shared" si="132"/>
        <v>650000</v>
      </c>
      <c r="I162" s="62">
        <f t="shared" si="132"/>
        <v>650000</v>
      </c>
      <c r="J162" s="62">
        <f t="shared" si="132"/>
        <v>650000</v>
      </c>
      <c r="K162" s="62">
        <f t="shared" si="132"/>
        <v>650000</v>
      </c>
      <c r="L162" s="62">
        <f t="shared" si="132"/>
        <v>650000</v>
      </c>
      <c r="M162" s="62">
        <f t="shared" si="132"/>
        <v>650000</v>
      </c>
      <c r="N162" s="62">
        <f t="shared" si="132"/>
        <v>650000</v>
      </c>
      <c r="O162" s="62">
        <f t="shared" si="132"/>
        <v>650000</v>
      </c>
      <c r="P162" s="62">
        <f t="shared" si="132"/>
        <v>650000</v>
      </c>
      <c r="Q162" s="62">
        <f t="shared" si="132"/>
        <v>650000</v>
      </c>
      <c r="R162" s="62">
        <f t="shared" si="132"/>
        <v>650000</v>
      </c>
      <c r="S162" s="62">
        <f t="shared" si="132"/>
        <v>650000</v>
      </c>
      <c r="T162" s="62">
        <f t="shared" si="132"/>
        <v>650000</v>
      </c>
      <c r="U162" s="62">
        <f t="shared" si="132"/>
        <v>650000</v>
      </c>
      <c r="V162" s="62">
        <f t="shared" si="132"/>
        <v>650000</v>
      </c>
      <c r="W162" s="62">
        <f t="shared" si="132"/>
        <v>650000</v>
      </c>
      <c r="X162" s="62">
        <f t="shared" si="132"/>
        <v>650000</v>
      </c>
      <c r="Y162" s="62">
        <f t="shared" si="132"/>
        <v>650000</v>
      </c>
      <c r="Z162" s="62">
        <f t="shared" si="132"/>
        <v>650000</v>
      </c>
      <c r="AA162" s="62">
        <f t="shared" si="132"/>
        <v>650000</v>
      </c>
      <c r="AB162" s="62">
        <f t="shared" si="132"/>
        <v>650000</v>
      </c>
      <c r="AC162" s="62">
        <f t="shared" si="132"/>
        <v>650000</v>
      </c>
    </row>
    <row r="163" spans="1:29" x14ac:dyDescent="0.25">
      <c r="A163" s="30" t="str">
        <f>A146</f>
        <v>Fuel Cost</v>
      </c>
      <c r="B163" s="62">
        <f>B145*B146*B153</f>
        <v>1370480.16</v>
      </c>
      <c r="C163" s="62">
        <f t="shared" ref="C163:AC163" si="133">C145*C146*C153</f>
        <v>1370480.16</v>
      </c>
      <c r="D163" s="62">
        <f t="shared" si="133"/>
        <v>1370480.16</v>
      </c>
      <c r="E163" s="62">
        <f t="shared" si="133"/>
        <v>1370480.16</v>
      </c>
      <c r="F163" s="62">
        <f t="shared" si="133"/>
        <v>1370480.16</v>
      </c>
      <c r="G163" s="62">
        <f t="shared" si="133"/>
        <v>1370480.16</v>
      </c>
      <c r="H163" s="62">
        <f t="shared" si="133"/>
        <v>1370480.16</v>
      </c>
      <c r="I163" s="62">
        <f t="shared" si="133"/>
        <v>1370480.16</v>
      </c>
      <c r="J163" s="62">
        <f t="shared" si="133"/>
        <v>1370480.16</v>
      </c>
      <c r="K163" s="62">
        <f t="shared" si="133"/>
        <v>1370480.16</v>
      </c>
      <c r="L163" s="62">
        <f t="shared" si="133"/>
        <v>1370480.16</v>
      </c>
      <c r="M163" s="62">
        <f t="shared" si="133"/>
        <v>1370480.16</v>
      </c>
      <c r="N163" s="62">
        <f t="shared" si="133"/>
        <v>1370480.16</v>
      </c>
      <c r="O163" s="62">
        <f t="shared" si="133"/>
        <v>1370480.16</v>
      </c>
      <c r="P163" s="62">
        <f t="shared" si="133"/>
        <v>1370480.16</v>
      </c>
      <c r="Q163" s="62">
        <f t="shared" si="133"/>
        <v>1370480.16</v>
      </c>
      <c r="R163" s="62">
        <f t="shared" si="133"/>
        <v>1370480.16</v>
      </c>
      <c r="S163" s="62">
        <f t="shared" si="133"/>
        <v>1370480.16</v>
      </c>
      <c r="T163" s="62">
        <f t="shared" si="133"/>
        <v>1370480.16</v>
      </c>
      <c r="U163" s="62">
        <f t="shared" si="133"/>
        <v>1370480.16</v>
      </c>
      <c r="V163" s="62">
        <f t="shared" si="133"/>
        <v>1370480.16</v>
      </c>
      <c r="W163" s="62">
        <f t="shared" si="133"/>
        <v>1370480.16</v>
      </c>
      <c r="X163" s="62">
        <f t="shared" si="133"/>
        <v>1370480.16</v>
      </c>
      <c r="Y163" s="62">
        <f t="shared" si="133"/>
        <v>1370480.16</v>
      </c>
      <c r="Z163" s="62">
        <f t="shared" si="133"/>
        <v>1370480.16</v>
      </c>
      <c r="AA163" s="62">
        <f t="shared" si="133"/>
        <v>1370480.16</v>
      </c>
      <c r="AB163" s="62">
        <f t="shared" si="133"/>
        <v>1370480.16</v>
      </c>
      <c r="AC163" s="62">
        <f t="shared" si="133"/>
        <v>1370480.16</v>
      </c>
    </row>
    <row r="164" spans="1:29" ht="15.75" thickBot="1" x14ac:dyDescent="0.3">
      <c r="A164" s="59" t="str">
        <f>A127</f>
        <v>Emission Cost</v>
      </c>
      <c r="B164" s="62">
        <f>B147*B153</f>
        <v>367390.72745293472</v>
      </c>
      <c r="C164" s="62">
        <f t="shared" ref="C164:AC164" si="134">C147*C153</f>
        <v>368258.65482469439</v>
      </c>
      <c r="D164" s="62">
        <f t="shared" si="134"/>
        <v>369501.0735258449</v>
      </c>
      <c r="E164" s="62">
        <f t="shared" si="134"/>
        <v>371278.44084862951</v>
      </c>
      <c r="F164" s="62">
        <f t="shared" si="134"/>
        <v>373818.69094846037</v>
      </c>
      <c r="G164" s="62">
        <f t="shared" si="134"/>
        <v>377444.17681173066</v>
      </c>
      <c r="H164" s="62">
        <f t="shared" si="134"/>
        <v>382607.75811006804</v>
      </c>
      <c r="I164" s="62">
        <f t="shared" si="134"/>
        <v>389939.30334509478</v>
      </c>
      <c r="J164" s="62">
        <f t="shared" si="134"/>
        <v>400301.7380182895</v>
      </c>
      <c r="K164" s="62">
        <f t="shared" si="134"/>
        <v>414850.4093456472</v>
      </c>
      <c r="L164" s="62">
        <f t="shared" si="134"/>
        <v>435078.34382190782</v>
      </c>
      <c r="M164" s="62">
        <f t="shared" si="134"/>
        <v>462810.08526032721</v>
      </c>
      <c r="N164" s="62">
        <f t="shared" si="134"/>
        <v>500078.57414028887</v>
      </c>
      <c r="O164" s="62">
        <f t="shared" si="134"/>
        <v>548795.68884895509</v>
      </c>
      <c r="P164" s="62">
        <f t="shared" si="134"/>
        <v>610146.66056338348</v>
      </c>
      <c r="Q164" s="62">
        <f t="shared" si="134"/>
        <v>683766.0655407788</v>
      </c>
      <c r="R164" s="62">
        <f t="shared" si="134"/>
        <v>767012.9491133868</v>
      </c>
      <c r="S164" s="62">
        <f t="shared" si="134"/>
        <v>854896.34254762006</v>
      </c>
      <c r="T164" s="62">
        <f t="shared" si="134"/>
        <v>941050.35518034454</v>
      </c>
      <c r="U164" s="62">
        <f t="shared" si="134"/>
        <v>1019478.1262357264</v>
      </c>
      <c r="V164" s="62">
        <f t="shared" si="134"/>
        <v>1086130.5633034322</v>
      </c>
      <c r="W164" s="62">
        <f t="shared" si="134"/>
        <v>1139507.2286194926</v>
      </c>
      <c r="X164" s="62">
        <f t="shared" si="134"/>
        <v>1180235.9932811107</v>
      </c>
      <c r="Y164" s="62">
        <f t="shared" si="134"/>
        <v>1210174.9017590475</v>
      </c>
      <c r="Z164" s="62">
        <f t="shared" si="134"/>
        <v>1231580.7882046322</v>
      </c>
      <c r="AA164" s="62">
        <f t="shared" si="134"/>
        <v>1246583.153389158</v>
      </c>
      <c r="AB164" s="62">
        <f t="shared" si="134"/>
        <v>1256950.7098490945</v>
      </c>
      <c r="AC164" s="62">
        <f t="shared" si="134"/>
        <v>1264045.7453697838</v>
      </c>
    </row>
    <row r="165" spans="1:29" ht="15.75" thickBot="1" x14ac:dyDescent="0.3">
      <c r="A165" s="31" t="s">
        <v>209</v>
      </c>
      <c r="B165" s="64">
        <f>B156+B157+B158+B159+B160+B161+B162+B163+B164</f>
        <v>4704140.011492529</v>
      </c>
      <c r="C165" s="64">
        <f t="shared" ref="C165:AC165" si="135">C156+C157+C158+C159+C160+C161+C162+C163+C164</f>
        <v>4705180.4306664113</v>
      </c>
      <c r="D165" s="64">
        <f t="shared" si="135"/>
        <v>4706667.7629995672</v>
      </c>
      <c r="E165" s="64">
        <f t="shared" si="135"/>
        <v>4708791.2922064941</v>
      </c>
      <c r="F165" s="64">
        <f t="shared" si="135"/>
        <v>4711817.5473463815</v>
      </c>
      <c r="G165" s="64">
        <f t="shared" si="135"/>
        <v>4716118.7566406243</v>
      </c>
      <c r="H165" s="64">
        <f t="shared" si="135"/>
        <v>4722208.7294839611</v>
      </c>
      <c r="I165" s="64">
        <f t="shared" si="135"/>
        <v>4730785.2456873627</v>
      </c>
      <c r="J165" s="64">
        <f t="shared" si="135"/>
        <v>4742775.0979269268</v>
      </c>
      <c r="K165" s="64">
        <f t="shared" si="135"/>
        <v>4759373.2266098559</v>
      </c>
      <c r="L165" s="64">
        <f t="shared" si="135"/>
        <v>4782060.4510831181</v>
      </c>
      <c r="M165" s="64">
        <f t="shared" si="135"/>
        <v>4812573.0928577278</v>
      </c>
      <c r="N165" s="64">
        <f t="shared" si="135"/>
        <v>4852777.3668128578</v>
      </c>
      <c r="O165" s="64">
        <f t="shared" si="135"/>
        <v>4904372.4958376456</v>
      </c>
      <c r="P165" s="64">
        <f t="shared" si="135"/>
        <v>4968343.3832238037</v>
      </c>
      <c r="Q165" s="64">
        <f t="shared" si="135"/>
        <v>5044189.3434390025</v>
      </c>
      <c r="R165" s="64">
        <f t="shared" si="135"/>
        <v>5129219.2990036411</v>
      </c>
      <c r="S165" s="64">
        <f t="shared" si="135"/>
        <v>5218463.2555061765</v>
      </c>
      <c r="T165" s="64">
        <f t="shared" si="135"/>
        <v>5305617.3911114186</v>
      </c>
      <c r="U165" s="64">
        <f t="shared" si="135"/>
        <v>5384760.2356237071</v>
      </c>
      <c r="V165" s="64">
        <f t="shared" si="135"/>
        <v>5451913.8335829061</v>
      </c>
      <c r="W165" s="64">
        <f t="shared" si="135"/>
        <v>5505636.8318787441</v>
      </c>
      <c r="X165" s="64">
        <f t="shared" si="135"/>
        <v>5546602.6094568577</v>
      </c>
      <c r="Y165" s="64">
        <f t="shared" si="135"/>
        <v>5576702.6350874584</v>
      </c>
      <c r="Z165" s="64">
        <f t="shared" si="135"/>
        <v>5598217.5477174334</v>
      </c>
      <c r="AA165" s="64">
        <f t="shared" si="135"/>
        <v>5613293.4620797746</v>
      </c>
      <c r="AB165" s="64">
        <f t="shared" si="135"/>
        <v>5623710.5314808562</v>
      </c>
      <c r="AC165" s="64">
        <f t="shared" si="135"/>
        <v>5630838.8520572865</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36">A156</f>
        <v>Capex vehicle</v>
      </c>
      <c r="B168" s="65">
        <f>((1+B141)^B148)*B141/(((1+B141)^B148)-1)*(B137)/B153</f>
        <v>1.7095011171931649</v>
      </c>
      <c r="C168" s="65">
        <f t="shared" ref="C168:AC168" si="137">((1+C141)^C148)*C141/(((1+C141)^C148)-1)*(C137)/C153</f>
        <v>1.7095011171931649</v>
      </c>
      <c r="D168" s="65">
        <f t="shared" si="137"/>
        <v>1.7095011171931649</v>
      </c>
      <c r="E168" s="65">
        <f t="shared" si="137"/>
        <v>1.7095011171931649</v>
      </c>
      <c r="F168" s="65">
        <f t="shared" si="137"/>
        <v>1.7095011171931649</v>
      </c>
      <c r="G168" s="65">
        <f t="shared" si="137"/>
        <v>1.7095011171931649</v>
      </c>
      <c r="H168" s="65">
        <f t="shared" si="137"/>
        <v>1.7095011171931649</v>
      </c>
      <c r="I168" s="65">
        <f t="shared" si="137"/>
        <v>1.7095011171931649</v>
      </c>
      <c r="J168" s="65">
        <f t="shared" si="137"/>
        <v>1.7095011171931649</v>
      </c>
      <c r="K168" s="65">
        <f t="shared" si="137"/>
        <v>1.7095011171931649</v>
      </c>
      <c r="L168" s="65">
        <f t="shared" si="137"/>
        <v>1.7095011171931649</v>
      </c>
      <c r="M168" s="65">
        <f t="shared" si="137"/>
        <v>1.7095011171931649</v>
      </c>
      <c r="N168" s="65">
        <f t="shared" si="137"/>
        <v>1.7095011171931649</v>
      </c>
      <c r="O168" s="65">
        <f t="shared" si="137"/>
        <v>1.7095011171931649</v>
      </c>
      <c r="P168" s="65">
        <f t="shared" si="137"/>
        <v>1.7095011171931649</v>
      </c>
      <c r="Q168" s="65">
        <f t="shared" si="137"/>
        <v>1.7095011171931649</v>
      </c>
      <c r="R168" s="65">
        <f t="shared" si="137"/>
        <v>1.7095011171931649</v>
      </c>
      <c r="S168" s="65">
        <f t="shared" si="137"/>
        <v>1.7095011171931649</v>
      </c>
      <c r="T168" s="65">
        <f t="shared" si="137"/>
        <v>1.7095011171931649</v>
      </c>
      <c r="U168" s="65">
        <f t="shared" si="137"/>
        <v>1.7095011171931649</v>
      </c>
      <c r="V168" s="65">
        <f t="shared" si="137"/>
        <v>1.7095011171931649</v>
      </c>
      <c r="W168" s="65">
        <f t="shared" si="137"/>
        <v>1.7095011171931649</v>
      </c>
      <c r="X168" s="65">
        <f t="shared" si="137"/>
        <v>1.7095011171931649</v>
      </c>
      <c r="Y168" s="65">
        <f t="shared" si="137"/>
        <v>1.7095011171931649</v>
      </c>
      <c r="Z168" s="65">
        <f t="shared" si="137"/>
        <v>1.7095011171931649</v>
      </c>
      <c r="AA168" s="65">
        <f t="shared" si="137"/>
        <v>1.7095011171931649</v>
      </c>
      <c r="AB168" s="65">
        <f t="shared" si="137"/>
        <v>1.7095011171931649</v>
      </c>
      <c r="AC168" s="65">
        <f t="shared" si="137"/>
        <v>1.7095011171931649</v>
      </c>
    </row>
    <row r="169" spans="1:29" x14ac:dyDescent="0.25">
      <c r="A169" s="30" t="str">
        <f t="shared" si="136"/>
        <v>Residual value (vehicle)</v>
      </c>
      <c r="B169" s="66">
        <f>((1+B141)^B148)*B141/(((1+B141)^B148)-1)*(B138)/B153</f>
        <v>-0.25416826054025926</v>
      </c>
      <c r="C169" s="66">
        <f t="shared" ref="C169:AC169" si="138">((1+C141)^C148)*C141/(((1+C141)^C148)-1)*(C138)/C153</f>
        <v>-0.2532019199121241</v>
      </c>
      <c r="D169" s="66">
        <f t="shared" si="138"/>
        <v>-0.25182985474682912</v>
      </c>
      <c r="E169" s="66">
        <f t="shared" si="138"/>
        <v>-0.24989057248272897</v>
      </c>
      <c r="F169" s="66">
        <f t="shared" si="138"/>
        <v>-0.24716785517148263</v>
      </c>
      <c r="G169" s="66">
        <f t="shared" si="138"/>
        <v>-0.2433822897318601</v>
      </c>
      <c r="H169" s="66">
        <f t="shared" si="138"/>
        <v>-0.23819242113242242</v>
      </c>
      <c r="I169" s="66">
        <f t="shared" si="138"/>
        <v>-0.23121779385861393</v>
      </c>
      <c r="J169" s="66">
        <f t="shared" si="138"/>
        <v>-0.22210060861284955</v>
      </c>
      <c r="K169" s="66">
        <f t="shared" si="138"/>
        <v>-0.21061905480012771</v>
      </c>
      <c r="L169" s="66">
        <f t="shared" si="138"/>
        <v>-0.19684151980291528</v>
      </c>
      <c r="M169" s="66">
        <f t="shared" si="138"/>
        <v>-0.18126224621081494</v>
      </c>
      <c r="N169" s="66">
        <f t="shared" si="138"/>
        <v>-0.16481527099978574</v>
      </c>
      <c r="O169" s="66">
        <f t="shared" si="138"/>
        <v>-0.14869194149770532</v>
      </c>
      <c r="P169" s="66">
        <f t="shared" si="138"/>
        <v>-0.13401454277653033</v>
      </c>
      <c r="Q169" s="66">
        <f t="shared" si="138"/>
        <v>-0.12154084396530274</v>
      </c>
      <c r="R169" s="66">
        <f t="shared" si="138"/>
        <v>-0.11155164513039878</v>
      </c>
      <c r="S169" s="66">
        <f t="shared" si="138"/>
        <v>-0.10392944306708454</v>
      </c>
      <c r="T169" s="66">
        <f t="shared" si="138"/>
        <v>-9.8326513249059416E-2</v>
      </c>
      <c r="U169" s="66">
        <f t="shared" si="138"/>
        <v>-9.4320499484876544E-2</v>
      </c>
      <c r="V169" s="66">
        <f t="shared" si="138"/>
        <v>-9.1512875442896963E-2</v>
      </c>
      <c r="W169" s="66">
        <f t="shared" si="138"/>
        <v>-8.9572634659828843E-2</v>
      </c>
      <c r="X169" s="66">
        <f t="shared" si="138"/>
        <v>-8.8244831206068547E-2</v>
      </c>
      <c r="Y169" s="66">
        <f t="shared" si="138"/>
        <v>-8.734221410431782E-2</v>
      </c>
      <c r="Z169" s="66">
        <f t="shared" si="138"/>
        <v>-8.6731423155348999E-2</v>
      </c>
      <c r="AA169" s="66">
        <f t="shared" si="138"/>
        <v>-8.631938294349642E-2</v>
      </c>
      <c r="AB169" s="66">
        <f t="shared" si="138"/>
        <v>-8.6041999519719331E-2</v>
      </c>
      <c r="AC169" s="66">
        <f t="shared" si="138"/>
        <v>-8.5855528619202287E-2</v>
      </c>
    </row>
    <row r="170" spans="1:29" x14ac:dyDescent="0.25">
      <c r="A170" s="30" t="str">
        <f t="shared" si="136"/>
        <v>Capex costumization</v>
      </c>
      <c r="B170" s="66">
        <f>((1+B141)^B149)*B141/(((1+B141)^B149)-1)*(B139)/B153</f>
        <v>2.2791815369426573</v>
      </c>
      <c r="C170" s="66">
        <f t="shared" ref="C170:AC170" si="139">((1+C141)^C149)*C141/(((1+C141)^C149)-1)*(C139)/C153</f>
        <v>2.2791815369426573</v>
      </c>
      <c r="D170" s="66">
        <f t="shared" si="139"/>
        <v>2.2791815369426573</v>
      </c>
      <c r="E170" s="66">
        <f t="shared" si="139"/>
        <v>2.2791815369426573</v>
      </c>
      <c r="F170" s="66">
        <f t="shared" si="139"/>
        <v>2.2791815369426573</v>
      </c>
      <c r="G170" s="66">
        <f t="shared" si="139"/>
        <v>2.2791815369426573</v>
      </c>
      <c r="H170" s="66">
        <f t="shared" si="139"/>
        <v>2.2791815369426573</v>
      </c>
      <c r="I170" s="66">
        <f t="shared" si="139"/>
        <v>2.2791815369426573</v>
      </c>
      <c r="J170" s="66">
        <f t="shared" si="139"/>
        <v>2.2791815369426573</v>
      </c>
      <c r="K170" s="66">
        <f t="shared" si="139"/>
        <v>2.2791815369426573</v>
      </c>
      <c r="L170" s="66">
        <f t="shared" si="139"/>
        <v>2.2791815369426573</v>
      </c>
      <c r="M170" s="66">
        <f t="shared" si="139"/>
        <v>2.2791815369426573</v>
      </c>
      <c r="N170" s="66">
        <f t="shared" si="139"/>
        <v>2.2791815369426573</v>
      </c>
      <c r="O170" s="66">
        <f t="shared" si="139"/>
        <v>2.2791815369426573</v>
      </c>
      <c r="P170" s="66">
        <f t="shared" si="139"/>
        <v>2.2791815369426573</v>
      </c>
      <c r="Q170" s="66">
        <f t="shared" si="139"/>
        <v>2.2791815369426573</v>
      </c>
      <c r="R170" s="66">
        <f t="shared" si="139"/>
        <v>2.2791815369426573</v>
      </c>
      <c r="S170" s="66">
        <f t="shared" si="139"/>
        <v>2.2791815369426573</v>
      </c>
      <c r="T170" s="66">
        <f t="shared" si="139"/>
        <v>2.2791815369426573</v>
      </c>
      <c r="U170" s="66">
        <f t="shared" si="139"/>
        <v>2.2791815369426573</v>
      </c>
      <c r="V170" s="66">
        <f t="shared" si="139"/>
        <v>2.2791815369426573</v>
      </c>
      <c r="W170" s="66">
        <f t="shared" si="139"/>
        <v>2.2791815369426573</v>
      </c>
      <c r="X170" s="66">
        <f t="shared" si="139"/>
        <v>2.2791815369426573</v>
      </c>
      <c r="Y170" s="66">
        <f t="shared" si="139"/>
        <v>2.2791815369426573</v>
      </c>
      <c r="Z170" s="66">
        <f t="shared" si="139"/>
        <v>2.2791815369426573</v>
      </c>
      <c r="AA170" s="66">
        <f t="shared" si="139"/>
        <v>2.2791815369426573</v>
      </c>
      <c r="AB170" s="66">
        <f t="shared" si="139"/>
        <v>2.2791815369426573</v>
      </c>
      <c r="AC170" s="66">
        <f t="shared" si="139"/>
        <v>2.2791815369426573</v>
      </c>
    </row>
    <row r="171" spans="1:29" x14ac:dyDescent="0.25">
      <c r="A171" s="30" t="str">
        <f t="shared" si="136"/>
        <v>Residual value (costumization)</v>
      </c>
      <c r="B171" s="66">
        <f>((1+B141)^B149)*B141/(((1+B141)^B149)-1)*(B140)/B153</f>
        <v>-0.11395907684713286</v>
      </c>
      <c r="C171" s="66">
        <f t="shared" ref="C171:AC171" si="140">((1+C141)^C149)*C141/(((1+C141)^C149)-1)*(C140)/C153</f>
        <v>-0.11395907684713286</v>
      </c>
      <c r="D171" s="66">
        <f t="shared" si="140"/>
        <v>-0.11395907684713286</v>
      </c>
      <c r="E171" s="66">
        <f t="shared" si="140"/>
        <v>-0.11395907684713286</v>
      </c>
      <c r="F171" s="66">
        <f t="shared" si="140"/>
        <v>-0.11395907684713286</v>
      </c>
      <c r="G171" s="66">
        <f t="shared" si="140"/>
        <v>-0.11395907684713286</v>
      </c>
      <c r="H171" s="66">
        <f t="shared" si="140"/>
        <v>-0.11395907684713286</v>
      </c>
      <c r="I171" s="66">
        <f t="shared" si="140"/>
        <v>-0.11395907684713286</v>
      </c>
      <c r="J171" s="66">
        <f t="shared" si="140"/>
        <v>-0.11395907684713286</v>
      </c>
      <c r="K171" s="66">
        <f t="shared" si="140"/>
        <v>-0.11395907684713286</v>
      </c>
      <c r="L171" s="66">
        <f t="shared" si="140"/>
        <v>-0.11395907684713286</v>
      </c>
      <c r="M171" s="66">
        <f t="shared" si="140"/>
        <v>-0.11395907684713286</v>
      </c>
      <c r="N171" s="66">
        <f t="shared" si="140"/>
        <v>-0.11395907684713286</v>
      </c>
      <c r="O171" s="66">
        <f t="shared" si="140"/>
        <v>-0.11395907684713286</v>
      </c>
      <c r="P171" s="66">
        <f t="shared" si="140"/>
        <v>-0.11395907684713286</v>
      </c>
      <c r="Q171" s="66">
        <f t="shared" si="140"/>
        <v>-0.11395907684713286</v>
      </c>
      <c r="R171" s="66">
        <f t="shared" si="140"/>
        <v>-0.11395907684713286</v>
      </c>
      <c r="S171" s="66">
        <f t="shared" si="140"/>
        <v>-0.11395907684713286</v>
      </c>
      <c r="T171" s="66">
        <f t="shared" si="140"/>
        <v>-0.11395907684713286</v>
      </c>
      <c r="U171" s="66">
        <f t="shared" si="140"/>
        <v>-0.11395907684713286</v>
      </c>
      <c r="V171" s="66">
        <f t="shared" si="140"/>
        <v>-0.11395907684713286</v>
      </c>
      <c r="W171" s="66">
        <f t="shared" si="140"/>
        <v>-0.11395907684713286</v>
      </c>
      <c r="X171" s="66">
        <f t="shared" si="140"/>
        <v>-0.11395907684713286</v>
      </c>
      <c r="Y171" s="66">
        <f t="shared" si="140"/>
        <v>-0.11395907684713286</v>
      </c>
      <c r="Z171" s="66">
        <f t="shared" si="140"/>
        <v>-0.11395907684713286</v>
      </c>
      <c r="AA171" s="66">
        <f t="shared" si="140"/>
        <v>-0.11395907684713286</v>
      </c>
      <c r="AB171" s="66">
        <f t="shared" si="140"/>
        <v>-0.11395907684713286</v>
      </c>
      <c r="AC171" s="66">
        <f t="shared" si="140"/>
        <v>-0.11395907684713286</v>
      </c>
    </row>
    <row r="172" spans="1:29" x14ac:dyDescent="0.25">
      <c r="A172" s="30" t="str">
        <f t="shared" si="136"/>
        <v>Opex fix (admin, crew, insurance)</v>
      </c>
      <c r="B172" s="66">
        <f>B142/B153</f>
        <v>3.473389355742297</v>
      </c>
      <c r="C172" s="66">
        <f t="shared" ref="C172:AC172" si="141">C142/C153</f>
        <v>3.473389355742297</v>
      </c>
      <c r="D172" s="66">
        <f t="shared" si="141"/>
        <v>3.473389355742297</v>
      </c>
      <c r="E172" s="66">
        <f t="shared" si="141"/>
        <v>3.473389355742297</v>
      </c>
      <c r="F172" s="66">
        <f t="shared" si="141"/>
        <v>3.473389355742297</v>
      </c>
      <c r="G172" s="66">
        <f t="shared" si="141"/>
        <v>3.473389355742297</v>
      </c>
      <c r="H172" s="66">
        <f t="shared" si="141"/>
        <v>3.473389355742297</v>
      </c>
      <c r="I172" s="66">
        <f t="shared" si="141"/>
        <v>3.473389355742297</v>
      </c>
      <c r="J172" s="66">
        <f t="shared" si="141"/>
        <v>3.473389355742297</v>
      </c>
      <c r="K172" s="66">
        <f t="shared" si="141"/>
        <v>3.473389355742297</v>
      </c>
      <c r="L172" s="66">
        <f t="shared" si="141"/>
        <v>3.473389355742297</v>
      </c>
      <c r="M172" s="66">
        <f t="shared" si="141"/>
        <v>3.473389355742297</v>
      </c>
      <c r="N172" s="66">
        <f t="shared" si="141"/>
        <v>3.473389355742297</v>
      </c>
      <c r="O172" s="66">
        <f t="shared" si="141"/>
        <v>3.473389355742297</v>
      </c>
      <c r="P172" s="66">
        <f t="shared" si="141"/>
        <v>3.473389355742297</v>
      </c>
      <c r="Q172" s="66">
        <f t="shared" si="141"/>
        <v>3.473389355742297</v>
      </c>
      <c r="R172" s="66">
        <f t="shared" si="141"/>
        <v>3.473389355742297</v>
      </c>
      <c r="S172" s="66">
        <f t="shared" si="141"/>
        <v>3.473389355742297</v>
      </c>
      <c r="T172" s="66">
        <f t="shared" si="141"/>
        <v>3.473389355742297</v>
      </c>
      <c r="U172" s="66">
        <f t="shared" si="141"/>
        <v>3.473389355742297</v>
      </c>
      <c r="V172" s="66">
        <f t="shared" si="141"/>
        <v>3.473389355742297</v>
      </c>
      <c r="W172" s="66">
        <f t="shared" si="141"/>
        <v>3.473389355742297</v>
      </c>
      <c r="X172" s="66">
        <f t="shared" si="141"/>
        <v>3.473389355742297</v>
      </c>
      <c r="Y172" s="66">
        <f t="shared" si="141"/>
        <v>3.473389355742297</v>
      </c>
      <c r="Z172" s="66">
        <f t="shared" si="141"/>
        <v>3.473389355742297</v>
      </c>
      <c r="AA172" s="66">
        <f t="shared" si="141"/>
        <v>3.473389355742297</v>
      </c>
      <c r="AB172" s="66">
        <f t="shared" si="141"/>
        <v>3.473389355742297</v>
      </c>
      <c r="AC172" s="66">
        <f t="shared" si="141"/>
        <v>3.473389355742297</v>
      </c>
    </row>
    <row r="173" spans="1:29" x14ac:dyDescent="0.25">
      <c r="A173" s="30" t="str">
        <f t="shared" si="136"/>
        <v>Opex maintenance &amp; repair</v>
      </c>
      <c r="B173" s="66">
        <f>B143/B153</f>
        <v>5.882352941176471</v>
      </c>
      <c r="C173" s="66">
        <f t="shared" ref="C173:AC173" si="142">C143/C153</f>
        <v>5.882352941176471</v>
      </c>
      <c r="D173" s="66">
        <f t="shared" si="142"/>
        <v>5.882352941176471</v>
      </c>
      <c r="E173" s="66">
        <f t="shared" si="142"/>
        <v>5.882352941176471</v>
      </c>
      <c r="F173" s="66">
        <f t="shared" si="142"/>
        <v>5.882352941176471</v>
      </c>
      <c r="G173" s="66">
        <f t="shared" si="142"/>
        <v>5.882352941176471</v>
      </c>
      <c r="H173" s="66">
        <f t="shared" si="142"/>
        <v>5.882352941176471</v>
      </c>
      <c r="I173" s="66">
        <f t="shared" si="142"/>
        <v>5.882352941176471</v>
      </c>
      <c r="J173" s="66">
        <f t="shared" si="142"/>
        <v>5.882352941176471</v>
      </c>
      <c r="K173" s="66">
        <f t="shared" si="142"/>
        <v>5.882352941176471</v>
      </c>
      <c r="L173" s="66">
        <f t="shared" si="142"/>
        <v>5.882352941176471</v>
      </c>
      <c r="M173" s="66">
        <f t="shared" si="142"/>
        <v>5.882352941176471</v>
      </c>
      <c r="N173" s="66">
        <f t="shared" si="142"/>
        <v>5.882352941176471</v>
      </c>
      <c r="O173" s="66">
        <f t="shared" si="142"/>
        <v>5.882352941176471</v>
      </c>
      <c r="P173" s="66">
        <f t="shared" si="142"/>
        <v>5.882352941176471</v>
      </c>
      <c r="Q173" s="66">
        <f t="shared" si="142"/>
        <v>5.882352941176471</v>
      </c>
      <c r="R173" s="66">
        <f t="shared" si="142"/>
        <v>5.882352941176471</v>
      </c>
      <c r="S173" s="66">
        <f t="shared" si="142"/>
        <v>5.882352941176471</v>
      </c>
      <c r="T173" s="66">
        <f t="shared" si="142"/>
        <v>5.882352941176471</v>
      </c>
      <c r="U173" s="66">
        <f t="shared" si="142"/>
        <v>5.882352941176471</v>
      </c>
      <c r="V173" s="66">
        <f t="shared" si="142"/>
        <v>5.882352941176471</v>
      </c>
      <c r="W173" s="66">
        <f t="shared" si="142"/>
        <v>5.882352941176471</v>
      </c>
      <c r="X173" s="66">
        <f t="shared" si="142"/>
        <v>5.882352941176471</v>
      </c>
      <c r="Y173" s="66">
        <f t="shared" si="142"/>
        <v>5.882352941176471</v>
      </c>
      <c r="Z173" s="66">
        <f t="shared" si="142"/>
        <v>5.882352941176471</v>
      </c>
      <c r="AA173" s="66">
        <f t="shared" si="142"/>
        <v>5.882352941176471</v>
      </c>
      <c r="AB173" s="66">
        <f t="shared" si="142"/>
        <v>5.882352941176471</v>
      </c>
      <c r="AC173" s="66">
        <f t="shared" si="142"/>
        <v>5.882352941176471</v>
      </c>
    </row>
    <row r="174" spans="1:29" x14ac:dyDescent="0.25">
      <c r="A174" s="30" t="str">
        <f t="shared" si="136"/>
        <v>Opex var (mode-fees, shunting)</v>
      </c>
      <c r="B174" s="66">
        <f>B144*B153/B153</f>
        <v>3.6414565826330532</v>
      </c>
      <c r="C174" s="66">
        <f t="shared" ref="C174:AC174" si="143">C144*C153/C153</f>
        <v>3.6414565826330532</v>
      </c>
      <c r="D174" s="66">
        <f t="shared" si="143"/>
        <v>3.6414565826330532</v>
      </c>
      <c r="E174" s="66">
        <f t="shared" si="143"/>
        <v>3.6414565826330532</v>
      </c>
      <c r="F174" s="66">
        <f t="shared" si="143"/>
        <v>3.6414565826330532</v>
      </c>
      <c r="G174" s="66">
        <f t="shared" si="143"/>
        <v>3.6414565826330532</v>
      </c>
      <c r="H174" s="66">
        <f t="shared" si="143"/>
        <v>3.6414565826330532</v>
      </c>
      <c r="I174" s="66">
        <f t="shared" si="143"/>
        <v>3.6414565826330532</v>
      </c>
      <c r="J174" s="66">
        <f t="shared" si="143"/>
        <v>3.6414565826330532</v>
      </c>
      <c r="K174" s="66">
        <f t="shared" si="143"/>
        <v>3.6414565826330532</v>
      </c>
      <c r="L174" s="66">
        <f t="shared" si="143"/>
        <v>3.6414565826330532</v>
      </c>
      <c r="M174" s="66">
        <f t="shared" si="143"/>
        <v>3.6414565826330532</v>
      </c>
      <c r="N174" s="66">
        <f t="shared" si="143"/>
        <v>3.6414565826330532</v>
      </c>
      <c r="O174" s="66">
        <f t="shared" si="143"/>
        <v>3.6414565826330532</v>
      </c>
      <c r="P174" s="66">
        <f t="shared" si="143"/>
        <v>3.6414565826330532</v>
      </c>
      <c r="Q174" s="66">
        <f t="shared" si="143"/>
        <v>3.6414565826330532</v>
      </c>
      <c r="R174" s="66">
        <f t="shared" si="143"/>
        <v>3.6414565826330532</v>
      </c>
      <c r="S174" s="66">
        <f t="shared" si="143"/>
        <v>3.6414565826330532</v>
      </c>
      <c r="T174" s="66">
        <f t="shared" si="143"/>
        <v>3.6414565826330532</v>
      </c>
      <c r="U174" s="66">
        <f t="shared" si="143"/>
        <v>3.6414565826330532</v>
      </c>
      <c r="V174" s="66">
        <f t="shared" si="143"/>
        <v>3.6414565826330532</v>
      </c>
      <c r="W174" s="66">
        <f t="shared" si="143"/>
        <v>3.6414565826330532</v>
      </c>
      <c r="X174" s="66">
        <f t="shared" si="143"/>
        <v>3.6414565826330532</v>
      </c>
      <c r="Y174" s="66">
        <f t="shared" si="143"/>
        <v>3.6414565826330532</v>
      </c>
      <c r="Z174" s="66">
        <f t="shared" si="143"/>
        <v>3.6414565826330532</v>
      </c>
      <c r="AA174" s="66">
        <f t="shared" si="143"/>
        <v>3.6414565826330532</v>
      </c>
      <c r="AB174" s="66">
        <f t="shared" si="143"/>
        <v>3.6414565826330532</v>
      </c>
      <c r="AC174" s="66">
        <f t="shared" si="143"/>
        <v>3.6414565826330532</v>
      </c>
    </row>
    <row r="175" spans="1:29" x14ac:dyDescent="0.25">
      <c r="A175" s="30" t="str">
        <f t="shared" si="136"/>
        <v>Fuel Cost</v>
      </c>
      <c r="B175" s="66">
        <f>B145*B146*B153/B153</f>
        <v>7.6777599999999993</v>
      </c>
      <c r="C175" s="66">
        <f t="shared" ref="C175:AC175" si="144">C145*C146*C153/C153</f>
        <v>7.6777599999999993</v>
      </c>
      <c r="D175" s="66">
        <f t="shared" si="144"/>
        <v>7.6777599999999993</v>
      </c>
      <c r="E175" s="66">
        <f t="shared" si="144"/>
        <v>7.6777599999999993</v>
      </c>
      <c r="F175" s="66">
        <f t="shared" si="144"/>
        <v>7.6777599999999993</v>
      </c>
      <c r="G175" s="66">
        <f t="shared" si="144"/>
        <v>7.6777599999999993</v>
      </c>
      <c r="H175" s="66">
        <f t="shared" si="144"/>
        <v>7.6777599999999993</v>
      </c>
      <c r="I175" s="66">
        <f t="shared" si="144"/>
        <v>7.6777599999999993</v>
      </c>
      <c r="J175" s="66">
        <f t="shared" si="144"/>
        <v>7.6777599999999993</v>
      </c>
      <c r="K175" s="66">
        <f t="shared" si="144"/>
        <v>7.6777599999999993</v>
      </c>
      <c r="L175" s="66">
        <f t="shared" si="144"/>
        <v>7.6777599999999993</v>
      </c>
      <c r="M175" s="66">
        <f t="shared" si="144"/>
        <v>7.6777599999999993</v>
      </c>
      <c r="N175" s="66">
        <f t="shared" si="144"/>
        <v>7.6777599999999993</v>
      </c>
      <c r="O175" s="66">
        <f t="shared" si="144"/>
        <v>7.6777599999999993</v>
      </c>
      <c r="P175" s="66">
        <f t="shared" si="144"/>
        <v>7.6777599999999993</v>
      </c>
      <c r="Q175" s="66">
        <f t="shared" si="144"/>
        <v>7.6777599999999993</v>
      </c>
      <c r="R175" s="66">
        <f t="shared" si="144"/>
        <v>7.6777599999999993</v>
      </c>
      <c r="S175" s="66">
        <f t="shared" si="144"/>
        <v>7.6777599999999993</v>
      </c>
      <c r="T175" s="66">
        <f t="shared" si="144"/>
        <v>7.6777599999999993</v>
      </c>
      <c r="U175" s="66">
        <f t="shared" si="144"/>
        <v>7.6777599999999993</v>
      </c>
      <c r="V175" s="66">
        <f t="shared" si="144"/>
        <v>7.6777599999999993</v>
      </c>
      <c r="W175" s="66">
        <f t="shared" si="144"/>
        <v>7.6777599999999993</v>
      </c>
      <c r="X175" s="66">
        <f t="shared" si="144"/>
        <v>7.6777599999999993</v>
      </c>
      <c r="Y175" s="66">
        <f t="shared" si="144"/>
        <v>7.6777599999999993</v>
      </c>
      <c r="Z175" s="66">
        <f t="shared" si="144"/>
        <v>7.6777599999999993</v>
      </c>
      <c r="AA175" s="66">
        <f t="shared" si="144"/>
        <v>7.6777599999999993</v>
      </c>
      <c r="AB175" s="66">
        <f t="shared" si="144"/>
        <v>7.6777599999999993</v>
      </c>
      <c r="AC175" s="66">
        <f t="shared" si="144"/>
        <v>7.6777599999999993</v>
      </c>
    </row>
    <row r="176" spans="1:29" ht="15.75" thickBot="1" x14ac:dyDescent="0.3">
      <c r="A176" s="59" t="str">
        <f>A127</f>
        <v>Emission Cost</v>
      </c>
      <c r="B176" s="66">
        <f>B147</f>
        <v>2.0582113582797463</v>
      </c>
      <c r="C176" s="66">
        <f t="shared" ref="C176:AC176" si="145">C147</f>
        <v>2.0630736964968874</v>
      </c>
      <c r="D176" s="66">
        <f t="shared" si="145"/>
        <v>2.0700340253548735</v>
      </c>
      <c r="E176" s="66">
        <f t="shared" si="145"/>
        <v>2.0799912652584287</v>
      </c>
      <c r="F176" s="66">
        <f t="shared" si="145"/>
        <v>2.0942223582546799</v>
      </c>
      <c r="G176" s="66">
        <f t="shared" si="145"/>
        <v>2.1145332034270625</v>
      </c>
      <c r="H176" s="66">
        <f t="shared" si="145"/>
        <v>2.1434608297482804</v>
      </c>
      <c r="I176" s="66">
        <f t="shared" si="145"/>
        <v>2.1845339122974496</v>
      </c>
      <c r="J176" s="66">
        <f t="shared" si="145"/>
        <v>2.2425867676094651</v>
      </c>
      <c r="K176" s="66">
        <f t="shared" si="145"/>
        <v>2.3240919291072673</v>
      </c>
      <c r="L176" s="66">
        <f t="shared" si="145"/>
        <v>2.4374136908790356</v>
      </c>
      <c r="M176" s="66">
        <f t="shared" si="145"/>
        <v>2.5927735868925894</v>
      </c>
      <c r="N176" s="66">
        <f t="shared" si="145"/>
        <v>2.8015606394413943</v>
      </c>
      <c r="O176" s="66">
        <f t="shared" si="145"/>
        <v>3.0744856518148742</v>
      </c>
      <c r="P176" s="66">
        <f t="shared" si="145"/>
        <v>3.4181885745847813</v>
      </c>
      <c r="Q176" s="66">
        <f t="shared" si="145"/>
        <v>3.8306222159147274</v>
      </c>
      <c r="R176" s="66">
        <f t="shared" si="145"/>
        <v>4.2969913115595899</v>
      </c>
      <c r="S176" s="66">
        <f t="shared" si="145"/>
        <v>4.7893352523676196</v>
      </c>
      <c r="T176" s="66">
        <f t="shared" si="145"/>
        <v>5.2719907853240588</v>
      </c>
      <c r="U176" s="66">
        <f t="shared" si="145"/>
        <v>5.7113620517407639</v>
      </c>
      <c r="V176" s="66">
        <f t="shared" si="145"/>
        <v>6.0847650605234298</v>
      </c>
      <c r="W176" s="66">
        <f t="shared" si="145"/>
        <v>6.383793997868306</v>
      </c>
      <c r="X176" s="66">
        <f t="shared" si="145"/>
        <v>6.6119663489137848</v>
      </c>
      <c r="Y176" s="66">
        <f t="shared" si="145"/>
        <v>6.7796913263812186</v>
      </c>
      <c r="Z176" s="66">
        <f t="shared" si="145"/>
        <v>6.8996122588494808</v>
      </c>
      <c r="AA176" s="66">
        <f t="shared" si="145"/>
        <v>6.9836591226283362</v>
      </c>
      <c r="AB176" s="66">
        <f t="shared" si="145"/>
        <v>7.0417406714234989</v>
      </c>
      <c r="AC176" s="66">
        <f t="shared" si="145"/>
        <v>7.0814887695786215</v>
      </c>
    </row>
    <row r="177" spans="1:29" ht="15.75" thickBot="1" x14ac:dyDescent="0.3">
      <c r="A177" s="31" t="s">
        <v>63</v>
      </c>
      <c r="B177" s="76">
        <f>B168+B169+B170-B171+B172+B173+B174+B175+B176</f>
        <v>26.581643708274264</v>
      </c>
      <c r="C177" s="76">
        <f t="shared" ref="C177:AC177" si="146">C168+C169+C170-C171+C172+C173+C174+C175+C176</f>
        <v>26.58747238711954</v>
      </c>
      <c r="D177" s="76">
        <f t="shared" si="146"/>
        <v>26.595804781142817</v>
      </c>
      <c r="E177" s="76">
        <f t="shared" si="146"/>
        <v>26.607701303310474</v>
      </c>
      <c r="F177" s="76">
        <f t="shared" si="146"/>
        <v>26.624655113617973</v>
      </c>
      <c r="G177" s="76">
        <f t="shared" si="146"/>
        <v>26.648751524229979</v>
      </c>
      <c r="H177" s="76">
        <f t="shared" si="146"/>
        <v>26.682869019150637</v>
      </c>
      <c r="I177" s="76">
        <f t="shared" si="146"/>
        <v>26.730916728973611</v>
      </c>
      <c r="J177" s="76">
        <f t="shared" si="146"/>
        <v>26.798086769531395</v>
      </c>
      <c r="K177" s="76">
        <f t="shared" si="146"/>
        <v>26.891073484841918</v>
      </c>
      <c r="L177" s="76">
        <f t="shared" si="146"/>
        <v>27.018172781610897</v>
      </c>
      <c r="M177" s="76">
        <f t="shared" si="146"/>
        <v>27.189111951216553</v>
      </c>
      <c r="N177" s="76">
        <f t="shared" si="146"/>
        <v>27.414345978976385</v>
      </c>
      <c r="O177" s="76">
        <f t="shared" si="146"/>
        <v>27.703394320851945</v>
      </c>
      <c r="P177" s="76">
        <f t="shared" si="146"/>
        <v>28.061774642343028</v>
      </c>
      <c r="Q177" s="76">
        <f t="shared" si="146"/>
        <v>28.4866819824842</v>
      </c>
      <c r="R177" s="76">
        <f t="shared" si="146"/>
        <v>28.963040276963969</v>
      </c>
      <c r="S177" s="76">
        <f t="shared" si="146"/>
        <v>29.46300641983531</v>
      </c>
      <c r="T177" s="76">
        <f t="shared" si="146"/>
        <v>29.951264882609777</v>
      </c>
      <c r="U177" s="76">
        <f t="shared" si="146"/>
        <v>30.394642162790664</v>
      </c>
      <c r="V177" s="76">
        <f t="shared" si="146"/>
        <v>30.770852795615308</v>
      </c>
      <c r="W177" s="76">
        <f t="shared" si="146"/>
        <v>31.071821973743255</v>
      </c>
      <c r="X177" s="76">
        <f t="shared" si="146"/>
        <v>31.301322128242493</v>
      </c>
      <c r="Y177" s="76">
        <f t="shared" si="146"/>
        <v>31.469949722811677</v>
      </c>
      <c r="Z177" s="76">
        <f t="shared" si="146"/>
        <v>31.590481446228907</v>
      </c>
      <c r="AA177" s="76">
        <f t="shared" si="146"/>
        <v>31.674940350219615</v>
      </c>
      <c r="AB177" s="76">
        <f t="shared" si="146"/>
        <v>31.733299282438558</v>
      </c>
      <c r="AC177" s="76">
        <f t="shared" si="146"/>
        <v>31.773233851494197</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47">A156</f>
        <v>Capex vehicle</v>
      </c>
      <c r="B180" s="65">
        <f>((1+B141)^B148)*B141/(((1+B141)^B148)-1)*(B137)/B153/(B150)</f>
        <v>7.6317014160409149E-4</v>
      </c>
      <c r="C180" s="65">
        <f t="shared" ref="C180:AC180" si="148">((1+C141)^C148)*C141/(((1+C141)^C148)-1)*(C137)/C153/(C150)</f>
        <v>7.6317014160409149E-4</v>
      </c>
      <c r="D180" s="65">
        <f t="shared" si="148"/>
        <v>7.6317014160409149E-4</v>
      </c>
      <c r="E180" s="65">
        <f t="shared" si="148"/>
        <v>7.6317014160409149E-4</v>
      </c>
      <c r="F180" s="65">
        <f t="shared" si="148"/>
        <v>7.6317014160409149E-4</v>
      </c>
      <c r="G180" s="65">
        <f t="shared" si="148"/>
        <v>7.6317014160409149E-4</v>
      </c>
      <c r="H180" s="65">
        <f t="shared" si="148"/>
        <v>7.6317014160409149E-4</v>
      </c>
      <c r="I180" s="65">
        <f t="shared" si="148"/>
        <v>7.6317014160409149E-4</v>
      </c>
      <c r="J180" s="65">
        <f t="shared" si="148"/>
        <v>7.6317014160409149E-4</v>
      </c>
      <c r="K180" s="65">
        <f t="shared" si="148"/>
        <v>7.6317014160409149E-4</v>
      </c>
      <c r="L180" s="65">
        <f t="shared" si="148"/>
        <v>7.6317014160409149E-4</v>
      </c>
      <c r="M180" s="65">
        <f t="shared" si="148"/>
        <v>7.6317014160409149E-4</v>
      </c>
      <c r="N180" s="65">
        <f t="shared" si="148"/>
        <v>7.6317014160409149E-4</v>
      </c>
      <c r="O180" s="65">
        <f t="shared" si="148"/>
        <v>7.6317014160409149E-4</v>
      </c>
      <c r="P180" s="65">
        <f t="shared" si="148"/>
        <v>7.6317014160409149E-4</v>
      </c>
      <c r="Q180" s="65">
        <f t="shared" si="148"/>
        <v>7.6317014160409149E-4</v>
      </c>
      <c r="R180" s="65">
        <f t="shared" si="148"/>
        <v>7.6317014160409149E-4</v>
      </c>
      <c r="S180" s="65">
        <f t="shared" si="148"/>
        <v>7.6317014160409149E-4</v>
      </c>
      <c r="T180" s="65">
        <f t="shared" si="148"/>
        <v>7.6317014160409149E-4</v>
      </c>
      <c r="U180" s="65">
        <f t="shared" si="148"/>
        <v>7.6317014160409149E-4</v>
      </c>
      <c r="V180" s="65">
        <f t="shared" si="148"/>
        <v>7.6317014160409149E-4</v>
      </c>
      <c r="W180" s="65">
        <f t="shared" si="148"/>
        <v>7.6317014160409149E-4</v>
      </c>
      <c r="X180" s="65">
        <f t="shared" si="148"/>
        <v>7.6317014160409149E-4</v>
      </c>
      <c r="Y180" s="65">
        <f t="shared" si="148"/>
        <v>7.6317014160409149E-4</v>
      </c>
      <c r="Z180" s="65">
        <f t="shared" si="148"/>
        <v>7.6317014160409149E-4</v>
      </c>
      <c r="AA180" s="65">
        <f t="shared" si="148"/>
        <v>7.6317014160409149E-4</v>
      </c>
      <c r="AB180" s="65">
        <f t="shared" si="148"/>
        <v>7.6317014160409149E-4</v>
      </c>
      <c r="AC180" s="65">
        <f t="shared" si="148"/>
        <v>7.6317014160409149E-4</v>
      </c>
    </row>
    <row r="181" spans="1:29" x14ac:dyDescent="0.25">
      <c r="A181" s="30" t="str">
        <f t="shared" si="147"/>
        <v>Residual value (vehicle)</v>
      </c>
      <c r="B181" s="68">
        <f>((1+B141)^B148)*B141/(((1+B141)^B148)-1)*(B138)/B153/(B150)</f>
        <v>-1.1346797345547289E-4</v>
      </c>
      <c r="C181" s="68">
        <f t="shared" ref="C181:AC181" si="149">((1+C141)^C148)*C141/(((1+C141)^C148)-1)*(C138)/C153/(C150)</f>
        <v>-1.1303657138934111E-4</v>
      </c>
      <c r="D181" s="68">
        <f t="shared" si="149"/>
        <v>-1.1242404229769157E-4</v>
      </c>
      <c r="E181" s="68">
        <f t="shared" si="149"/>
        <v>-1.1155829128693258E-4</v>
      </c>
      <c r="F181" s="68">
        <f t="shared" si="149"/>
        <v>-1.1034279248726903E-4</v>
      </c>
      <c r="G181" s="68">
        <f t="shared" si="149"/>
        <v>-1.0865280791600897E-4</v>
      </c>
      <c r="H181" s="68">
        <f t="shared" si="149"/>
        <v>-1.0633590229126001E-4</v>
      </c>
      <c r="I181" s="68">
        <f t="shared" si="149"/>
        <v>-1.0322222940116694E-4</v>
      </c>
      <c r="J181" s="68">
        <f t="shared" si="149"/>
        <v>-9.9152057416450692E-5</v>
      </c>
      <c r="K181" s="68">
        <f t="shared" si="149"/>
        <v>-9.4026363750057009E-5</v>
      </c>
      <c r="L181" s="68">
        <f t="shared" si="149"/>
        <v>-8.7875678483444322E-5</v>
      </c>
      <c r="M181" s="68">
        <f t="shared" si="149"/>
        <v>-8.0920645629828101E-5</v>
      </c>
      <c r="N181" s="68">
        <f t="shared" si="149"/>
        <v>-7.357824598204721E-5</v>
      </c>
      <c r="O181" s="68">
        <f t="shared" si="149"/>
        <v>-6.6380331025761298E-5</v>
      </c>
      <c r="P181" s="68">
        <f t="shared" si="149"/>
        <v>-5.982792088237961E-5</v>
      </c>
      <c r="Q181" s="68">
        <f t="shared" si="149"/>
        <v>-5.4259305341653007E-5</v>
      </c>
      <c r="R181" s="68">
        <f t="shared" si="149"/>
        <v>-4.9799841576070884E-5</v>
      </c>
      <c r="S181" s="68">
        <f t="shared" si="149"/>
        <v>-4.6397072797805602E-5</v>
      </c>
      <c r="T181" s="68">
        <f t="shared" si="149"/>
        <v>-4.3895764843330094E-5</v>
      </c>
      <c r="U181" s="68">
        <f t="shared" si="149"/>
        <v>-4.2107365841462744E-5</v>
      </c>
      <c r="V181" s="68">
        <f t="shared" si="149"/>
        <v>-4.0853962251293284E-5</v>
      </c>
      <c r="W181" s="68">
        <f t="shared" si="149"/>
        <v>-3.9987783330280735E-5</v>
      </c>
      <c r="X181" s="68">
        <f t="shared" si="149"/>
        <v>-3.93950139312806E-5</v>
      </c>
      <c r="Y181" s="68">
        <f t="shared" si="149"/>
        <v>-3.8992059867999029E-5</v>
      </c>
      <c r="Z181" s="68">
        <f t="shared" si="149"/>
        <v>-3.8719385337209372E-5</v>
      </c>
      <c r="AA181" s="68">
        <f t="shared" si="149"/>
        <v>-3.8535438814060903E-5</v>
      </c>
      <c r="AB181" s="68">
        <f t="shared" si="149"/>
        <v>-3.8411606928446129E-5</v>
      </c>
      <c r="AC181" s="68">
        <f t="shared" si="149"/>
        <v>-3.832836099071531E-5</v>
      </c>
    </row>
    <row r="182" spans="1:29" x14ac:dyDescent="0.25">
      <c r="A182" s="30" t="str">
        <f t="shared" si="147"/>
        <v>Capex costumization</v>
      </c>
      <c r="B182" s="66">
        <f>((1+B141)^B149)*B141/(((1+B141)^B149)-1)*(B139)/B153/(B150)</f>
        <v>1.0174917575636864E-3</v>
      </c>
      <c r="C182" s="66">
        <f t="shared" ref="C182:AC182" si="150">((1+C141)^C149)*C141/(((1+C141)^C149)-1)*(C139)/C153/(C150)</f>
        <v>1.0174917575636864E-3</v>
      </c>
      <c r="D182" s="66">
        <f t="shared" si="150"/>
        <v>1.0174917575636864E-3</v>
      </c>
      <c r="E182" s="66">
        <f t="shared" si="150"/>
        <v>1.0174917575636864E-3</v>
      </c>
      <c r="F182" s="66">
        <f t="shared" si="150"/>
        <v>1.0174917575636864E-3</v>
      </c>
      <c r="G182" s="66">
        <f t="shared" si="150"/>
        <v>1.0174917575636864E-3</v>
      </c>
      <c r="H182" s="66">
        <f t="shared" si="150"/>
        <v>1.0174917575636864E-3</v>
      </c>
      <c r="I182" s="66">
        <f t="shared" si="150"/>
        <v>1.0174917575636864E-3</v>
      </c>
      <c r="J182" s="66">
        <f t="shared" si="150"/>
        <v>1.0174917575636864E-3</v>
      </c>
      <c r="K182" s="66">
        <f t="shared" si="150"/>
        <v>1.0174917575636864E-3</v>
      </c>
      <c r="L182" s="66">
        <f t="shared" si="150"/>
        <v>1.0174917575636864E-3</v>
      </c>
      <c r="M182" s="66">
        <f t="shared" si="150"/>
        <v>1.0174917575636864E-3</v>
      </c>
      <c r="N182" s="66">
        <f t="shared" si="150"/>
        <v>1.0174917575636864E-3</v>
      </c>
      <c r="O182" s="66">
        <f t="shared" si="150"/>
        <v>1.0174917575636864E-3</v>
      </c>
      <c r="P182" s="66">
        <f t="shared" si="150"/>
        <v>1.0174917575636864E-3</v>
      </c>
      <c r="Q182" s="66">
        <f t="shared" si="150"/>
        <v>1.0174917575636864E-3</v>
      </c>
      <c r="R182" s="66">
        <f t="shared" si="150"/>
        <v>1.0174917575636864E-3</v>
      </c>
      <c r="S182" s="66">
        <f t="shared" si="150"/>
        <v>1.0174917575636864E-3</v>
      </c>
      <c r="T182" s="66">
        <f t="shared" si="150"/>
        <v>1.0174917575636864E-3</v>
      </c>
      <c r="U182" s="66">
        <f t="shared" si="150"/>
        <v>1.0174917575636864E-3</v>
      </c>
      <c r="V182" s="66">
        <f t="shared" si="150"/>
        <v>1.0174917575636864E-3</v>
      </c>
      <c r="W182" s="66">
        <f t="shared" si="150"/>
        <v>1.0174917575636864E-3</v>
      </c>
      <c r="X182" s="66">
        <f t="shared" si="150"/>
        <v>1.0174917575636864E-3</v>
      </c>
      <c r="Y182" s="66">
        <f t="shared" si="150"/>
        <v>1.0174917575636864E-3</v>
      </c>
      <c r="Z182" s="66">
        <f t="shared" si="150"/>
        <v>1.0174917575636864E-3</v>
      </c>
      <c r="AA182" s="66">
        <f t="shared" si="150"/>
        <v>1.0174917575636864E-3</v>
      </c>
      <c r="AB182" s="66">
        <f t="shared" si="150"/>
        <v>1.0174917575636864E-3</v>
      </c>
      <c r="AC182" s="66">
        <f t="shared" si="150"/>
        <v>1.0174917575636864E-3</v>
      </c>
    </row>
    <row r="183" spans="1:29" x14ac:dyDescent="0.25">
      <c r="A183" s="30" t="str">
        <f t="shared" si="147"/>
        <v>Residual value (costumization)</v>
      </c>
      <c r="B183" s="69">
        <f>((1+B141)^B149)*B141/(((1+B141)^B149)-1)*(B140)/B153/(B150)</f>
        <v>-5.0874587878184312E-5</v>
      </c>
      <c r="C183" s="69">
        <f t="shared" ref="C183:AC183" si="151">((1+C141)^C149)*C141/(((1+C141)^C149)-1)*(C140)/C153/(C150)</f>
        <v>-5.0874587878184312E-5</v>
      </c>
      <c r="D183" s="69">
        <f t="shared" si="151"/>
        <v>-5.0874587878184312E-5</v>
      </c>
      <c r="E183" s="69">
        <f t="shared" si="151"/>
        <v>-5.0874587878184312E-5</v>
      </c>
      <c r="F183" s="69">
        <f t="shared" si="151"/>
        <v>-5.0874587878184312E-5</v>
      </c>
      <c r="G183" s="69">
        <f t="shared" si="151"/>
        <v>-5.0874587878184312E-5</v>
      </c>
      <c r="H183" s="69">
        <f t="shared" si="151"/>
        <v>-5.0874587878184312E-5</v>
      </c>
      <c r="I183" s="69">
        <f t="shared" si="151"/>
        <v>-5.0874587878184312E-5</v>
      </c>
      <c r="J183" s="69">
        <f t="shared" si="151"/>
        <v>-5.0874587878184312E-5</v>
      </c>
      <c r="K183" s="69">
        <f t="shared" si="151"/>
        <v>-5.0874587878184312E-5</v>
      </c>
      <c r="L183" s="69">
        <f t="shared" si="151"/>
        <v>-5.0874587878184312E-5</v>
      </c>
      <c r="M183" s="69">
        <f t="shared" si="151"/>
        <v>-5.0874587878184312E-5</v>
      </c>
      <c r="N183" s="69">
        <f t="shared" si="151"/>
        <v>-5.0874587878184312E-5</v>
      </c>
      <c r="O183" s="69">
        <f t="shared" si="151"/>
        <v>-5.0874587878184312E-5</v>
      </c>
      <c r="P183" s="69">
        <f t="shared" si="151"/>
        <v>-5.0874587878184312E-5</v>
      </c>
      <c r="Q183" s="69">
        <f t="shared" si="151"/>
        <v>-5.0874587878184312E-5</v>
      </c>
      <c r="R183" s="69">
        <f t="shared" si="151"/>
        <v>-5.0874587878184312E-5</v>
      </c>
      <c r="S183" s="69">
        <f t="shared" si="151"/>
        <v>-5.0874587878184312E-5</v>
      </c>
      <c r="T183" s="69">
        <f t="shared" si="151"/>
        <v>-5.0874587878184312E-5</v>
      </c>
      <c r="U183" s="69">
        <f t="shared" si="151"/>
        <v>-5.0874587878184312E-5</v>
      </c>
      <c r="V183" s="69">
        <f t="shared" si="151"/>
        <v>-5.0874587878184312E-5</v>
      </c>
      <c r="W183" s="69">
        <f t="shared" si="151"/>
        <v>-5.0874587878184312E-5</v>
      </c>
      <c r="X183" s="69">
        <f t="shared" si="151"/>
        <v>-5.0874587878184312E-5</v>
      </c>
      <c r="Y183" s="69">
        <f t="shared" si="151"/>
        <v>-5.0874587878184312E-5</v>
      </c>
      <c r="Z183" s="69">
        <f t="shared" si="151"/>
        <v>-5.0874587878184312E-5</v>
      </c>
      <c r="AA183" s="69">
        <f t="shared" si="151"/>
        <v>-5.0874587878184312E-5</v>
      </c>
      <c r="AB183" s="69">
        <f t="shared" si="151"/>
        <v>-5.0874587878184312E-5</v>
      </c>
      <c r="AC183" s="69">
        <f t="shared" si="151"/>
        <v>-5.0874587878184312E-5</v>
      </c>
    </row>
    <row r="184" spans="1:29" x14ac:dyDescent="0.25">
      <c r="A184" s="30" t="str">
        <f t="shared" si="147"/>
        <v>Opex fix (admin, crew, insurance)</v>
      </c>
      <c r="B184" s="66">
        <f>B142/B153/(B150)</f>
        <v>1.5506202480992397E-3</v>
      </c>
      <c r="C184" s="66">
        <f t="shared" ref="C184:AC184" si="152">C142/C153/(C150)</f>
        <v>1.5506202480992397E-3</v>
      </c>
      <c r="D184" s="66">
        <f t="shared" si="152"/>
        <v>1.5506202480992397E-3</v>
      </c>
      <c r="E184" s="66">
        <f t="shared" si="152"/>
        <v>1.5506202480992397E-3</v>
      </c>
      <c r="F184" s="66">
        <f t="shared" si="152"/>
        <v>1.5506202480992397E-3</v>
      </c>
      <c r="G184" s="66">
        <f t="shared" si="152"/>
        <v>1.5506202480992397E-3</v>
      </c>
      <c r="H184" s="66">
        <f t="shared" si="152"/>
        <v>1.5506202480992397E-3</v>
      </c>
      <c r="I184" s="66">
        <f t="shared" si="152"/>
        <v>1.5506202480992397E-3</v>
      </c>
      <c r="J184" s="66">
        <f t="shared" si="152"/>
        <v>1.5506202480992397E-3</v>
      </c>
      <c r="K184" s="66">
        <f t="shared" si="152"/>
        <v>1.5506202480992397E-3</v>
      </c>
      <c r="L184" s="66">
        <f t="shared" si="152"/>
        <v>1.5506202480992397E-3</v>
      </c>
      <c r="M184" s="66">
        <f t="shared" si="152"/>
        <v>1.5506202480992397E-3</v>
      </c>
      <c r="N184" s="66">
        <f t="shared" si="152"/>
        <v>1.5506202480992397E-3</v>
      </c>
      <c r="O184" s="66">
        <f t="shared" si="152"/>
        <v>1.5506202480992397E-3</v>
      </c>
      <c r="P184" s="66">
        <f t="shared" si="152"/>
        <v>1.5506202480992397E-3</v>
      </c>
      <c r="Q184" s="66">
        <f t="shared" si="152"/>
        <v>1.5506202480992397E-3</v>
      </c>
      <c r="R184" s="66">
        <f t="shared" si="152"/>
        <v>1.5506202480992397E-3</v>
      </c>
      <c r="S184" s="66">
        <f t="shared" si="152"/>
        <v>1.5506202480992397E-3</v>
      </c>
      <c r="T184" s="66">
        <f t="shared" si="152"/>
        <v>1.5506202480992397E-3</v>
      </c>
      <c r="U184" s="66">
        <f t="shared" si="152"/>
        <v>1.5506202480992397E-3</v>
      </c>
      <c r="V184" s="66">
        <f t="shared" si="152"/>
        <v>1.5506202480992397E-3</v>
      </c>
      <c r="W184" s="66">
        <f t="shared" si="152"/>
        <v>1.5506202480992397E-3</v>
      </c>
      <c r="X184" s="66">
        <f t="shared" si="152"/>
        <v>1.5506202480992397E-3</v>
      </c>
      <c r="Y184" s="66">
        <f t="shared" si="152"/>
        <v>1.5506202480992397E-3</v>
      </c>
      <c r="Z184" s="66">
        <f t="shared" si="152"/>
        <v>1.5506202480992397E-3</v>
      </c>
      <c r="AA184" s="66">
        <f t="shared" si="152"/>
        <v>1.5506202480992397E-3</v>
      </c>
      <c r="AB184" s="66">
        <f t="shared" si="152"/>
        <v>1.5506202480992397E-3</v>
      </c>
      <c r="AC184" s="66">
        <f t="shared" si="152"/>
        <v>1.5506202480992397E-3</v>
      </c>
    </row>
    <row r="185" spans="1:29" x14ac:dyDescent="0.25">
      <c r="A185" s="30" t="str">
        <f t="shared" si="147"/>
        <v>Opex maintenance &amp; repair</v>
      </c>
      <c r="B185" s="66">
        <f>B143/B153/(B150)</f>
        <v>2.6260504201680674E-3</v>
      </c>
      <c r="C185" s="66">
        <f t="shared" ref="C185:AC185" si="153">C143/C153/(C150)</f>
        <v>2.6260504201680674E-3</v>
      </c>
      <c r="D185" s="66">
        <f t="shared" si="153"/>
        <v>2.6260504201680674E-3</v>
      </c>
      <c r="E185" s="66">
        <f t="shared" si="153"/>
        <v>2.6260504201680674E-3</v>
      </c>
      <c r="F185" s="66">
        <f t="shared" si="153"/>
        <v>2.6260504201680674E-3</v>
      </c>
      <c r="G185" s="66">
        <f t="shared" si="153"/>
        <v>2.6260504201680674E-3</v>
      </c>
      <c r="H185" s="66">
        <f t="shared" si="153"/>
        <v>2.6260504201680674E-3</v>
      </c>
      <c r="I185" s="66">
        <f t="shared" si="153"/>
        <v>2.6260504201680674E-3</v>
      </c>
      <c r="J185" s="66">
        <f t="shared" si="153"/>
        <v>2.6260504201680674E-3</v>
      </c>
      <c r="K185" s="66">
        <f t="shared" si="153"/>
        <v>2.6260504201680674E-3</v>
      </c>
      <c r="L185" s="66">
        <f t="shared" si="153"/>
        <v>2.6260504201680674E-3</v>
      </c>
      <c r="M185" s="66">
        <f t="shared" si="153"/>
        <v>2.6260504201680674E-3</v>
      </c>
      <c r="N185" s="66">
        <f t="shared" si="153"/>
        <v>2.6260504201680674E-3</v>
      </c>
      <c r="O185" s="66">
        <f t="shared" si="153"/>
        <v>2.6260504201680674E-3</v>
      </c>
      <c r="P185" s="66">
        <f t="shared" si="153"/>
        <v>2.6260504201680674E-3</v>
      </c>
      <c r="Q185" s="66">
        <f t="shared" si="153"/>
        <v>2.6260504201680674E-3</v>
      </c>
      <c r="R185" s="66">
        <f t="shared" si="153"/>
        <v>2.6260504201680674E-3</v>
      </c>
      <c r="S185" s="66">
        <f t="shared" si="153"/>
        <v>2.6260504201680674E-3</v>
      </c>
      <c r="T185" s="66">
        <f t="shared" si="153"/>
        <v>2.6260504201680674E-3</v>
      </c>
      <c r="U185" s="66">
        <f t="shared" si="153"/>
        <v>2.6260504201680674E-3</v>
      </c>
      <c r="V185" s="66">
        <f t="shared" si="153"/>
        <v>2.6260504201680674E-3</v>
      </c>
      <c r="W185" s="66">
        <f t="shared" si="153"/>
        <v>2.6260504201680674E-3</v>
      </c>
      <c r="X185" s="66">
        <f t="shared" si="153"/>
        <v>2.6260504201680674E-3</v>
      </c>
      <c r="Y185" s="66">
        <f t="shared" si="153"/>
        <v>2.6260504201680674E-3</v>
      </c>
      <c r="Z185" s="66">
        <f t="shared" si="153"/>
        <v>2.6260504201680674E-3</v>
      </c>
      <c r="AA185" s="66">
        <f t="shared" si="153"/>
        <v>2.6260504201680674E-3</v>
      </c>
      <c r="AB185" s="66">
        <f t="shared" si="153"/>
        <v>2.6260504201680674E-3</v>
      </c>
      <c r="AC185" s="66">
        <f t="shared" si="153"/>
        <v>2.6260504201680674E-3</v>
      </c>
    </row>
    <row r="186" spans="1:29" x14ac:dyDescent="0.25">
      <c r="A186" s="30" t="str">
        <f t="shared" si="147"/>
        <v>Opex var (mode-fees, shunting)</v>
      </c>
      <c r="B186" s="66">
        <f>B144*B153/B153/(B150)</f>
        <v>1.6256502601040416E-3</v>
      </c>
      <c r="C186" s="66">
        <f t="shared" ref="C186:AC186" si="154">C144*C153/C153/(C150)</f>
        <v>1.6256502601040416E-3</v>
      </c>
      <c r="D186" s="66">
        <f t="shared" si="154"/>
        <v>1.6256502601040416E-3</v>
      </c>
      <c r="E186" s="66">
        <f t="shared" si="154"/>
        <v>1.6256502601040416E-3</v>
      </c>
      <c r="F186" s="66">
        <f t="shared" si="154"/>
        <v>1.6256502601040416E-3</v>
      </c>
      <c r="G186" s="66">
        <f t="shared" si="154"/>
        <v>1.6256502601040416E-3</v>
      </c>
      <c r="H186" s="66">
        <f t="shared" si="154"/>
        <v>1.6256502601040416E-3</v>
      </c>
      <c r="I186" s="66">
        <f t="shared" si="154"/>
        <v>1.6256502601040416E-3</v>
      </c>
      <c r="J186" s="66">
        <f t="shared" si="154"/>
        <v>1.6256502601040416E-3</v>
      </c>
      <c r="K186" s="66">
        <f t="shared" si="154"/>
        <v>1.6256502601040416E-3</v>
      </c>
      <c r="L186" s="66">
        <f t="shared" si="154"/>
        <v>1.6256502601040416E-3</v>
      </c>
      <c r="M186" s="66">
        <f t="shared" si="154"/>
        <v>1.6256502601040416E-3</v>
      </c>
      <c r="N186" s="66">
        <f t="shared" si="154"/>
        <v>1.6256502601040416E-3</v>
      </c>
      <c r="O186" s="66">
        <f t="shared" si="154"/>
        <v>1.6256502601040416E-3</v>
      </c>
      <c r="P186" s="66">
        <f t="shared" si="154"/>
        <v>1.6256502601040416E-3</v>
      </c>
      <c r="Q186" s="66">
        <f t="shared" si="154"/>
        <v>1.6256502601040416E-3</v>
      </c>
      <c r="R186" s="66">
        <f t="shared" si="154"/>
        <v>1.6256502601040416E-3</v>
      </c>
      <c r="S186" s="66">
        <f t="shared" si="154"/>
        <v>1.6256502601040416E-3</v>
      </c>
      <c r="T186" s="66">
        <f t="shared" si="154"/>
        <v>1.6256502601040416E-3</v>
      </c>
      <c r="U186" s="66">
        <f t="shared" si="154"/>
        <v>1.6256502601040416E-3</v>
      </c>
      <c r="V186" s="66">
        <f t="shared" si="154"/>
        <v>1.6256502601040416E-3</v>
      </c>
      <c r="W186" s="66">
        <f t="shared" si="154"/>
        <v>1.6256502601040416E-3</v>
      </c>
      <c r="X186" s="66">
        <f t="shared" si="154"/>
        <v>1.6256502601040416E-3</v>
      </c>
      <c r="Y186" s="66">
        <f t="shared" si="154"/>
        <v>1.6256502601040416E-3</v>
      </c>
      <c r="Z186" s="66">
        <f t="shared" si="154"/>
        <v>1.6256502601040416E-3</v>
      </c>
      <c r="AA186" s="66">
        <f t="shared" si="154"/>
        <v>1.6256502601040416E-3</v>
      </c>
      <c r="AB186" s="66">
        <f t="shared" si="154"/>
        <v>1.6256502601040416E-3</v>
      </c>
      <c r="AC186" s="66">
        <f t="shared" si="154"/>
        <v>1.6256502601040416E-3</v>
      </c>
    </row>
    <row r="187" spans="1:29" x14ac:dyDescent="0.25">
      <c r="A187" s="30" t="str">
        <f t="shared" si="147"/>
        <v>Fuel Cost</v>
      </c>
      <c r="B187" s="66">
        <f>B145*B146*B153/B153/(B150)</f>
        <v>3.4275714285714283E-3</v>
      </c>
      <c r="C187" s="66">
        <f t="shared" ref="C187:AC187" si="155">C145*C146*C153/C153/(C150)</f>
        <v>3.4275714285714283E-3</v>
      </c>
      <c r="D187" s="66">
        <f t="shared" si="155"/>
        <v>3.4275714285714283E-3</v>
      </c>
      <c r="E187" s="66">
        <f t="shared" si="155"/>
        <v>3.4275714285714283E-3</v>
      </c>
      <c r="F187" s="66">
        <f t="shared" si="155"/>
        <v>3.4275714285714283E-3</v>
      </c>
      <c r="G187" s="66">
        <f t="shared" si="155"/>
        <v>3.4275714285714283E-3</v>
      </c>
      <c r="H187" s="66">
        <f t="shared" si="155"/>
        <v>3.4275714285714283E-3</v>
      </c>
      <c r="I187" s="66">
        <f t="shared" si="155"/>
        <v>3.4275714285714283E-3</v>
      </c>
      <c r="J187" s="66">
        <f t="shared" si="155"/>
        <v>3.4275714285714283E-3</v>
      </c>
      <c r="K187" s="66">
        <f t="shared" si="155"/>
        <v>3.4275714285714283E-3</v>
      </c>
      <c r="L187" s="66">
        <f t="shared" si="155"/>
        <v>3.4275714285714283E-3</v>
      </c>
      <c r="M187" s="66">
        <f t="shared" si="155"/>
        <v>3.4275714285714283E-3</v>
      </c>
      <c r="N187" s="66">
        <f t="shared" si="155"/>
        <v>3.4275714285714283E-3</v>
      </c>
      <c r="O187" s="66">
        <f t="shared" si="155"/>
        <v>3.4275714285714283E-3</v>
      </c>
      <c r="P187" s="66">
        <f t="shared" si="155"/>
        <v>3.4275714285714283E-3</v>
      </c>
      <c r="Q187" s="66">
        <f t="shared" si="155"/>
        <v>3.4275714285714283E-3</v>
      </c>
      <c r="R187" s="66">
        <f t="shared" si="155"/>
        <v>3.4275714285714283E-3</v>
      </c>
      <c r="S187" s="66">
        <f t="shared" si="155"/>
        <v>3.4275714285714283E-3</v>
      </c>
      <c r="T187" s="66">
        <f t="shared" si="155"/>
        <v>3.4275714285714283E-3</v>
      </c>
      <c r="U187" s="66">
        <f t="shared" si="155"/>
        <v>3.4275714285714283E-3</v>
      </c>
      <c r="V187" s="66">
        <f t="shared" si="155"/>
        <v>3.4275714285714283E-3</v>
      </c>
      <c r="W187" s="66">
        <f t="shared" si="155"/>
        <v>3.4275714285714283E-3</v>
      </c>
      <c r="X187" s="66">
        <f t="shared" si="155"/>
        <v>3.4275714285714283E-3</v>
      </c>
      <c r="Y187" s="66">
        <f t="shared" si="155"/>
        <v>3.4275714285714283E-3</v>
      </c>
      <c r="Z187" s="66">
        <f t="shared" si="155"/>
        <v>3.4275714285714283E-3</v>
      </c>
      <c r="AA187" s="66">
        <f t="shared" si="155"/>
        <v>3.4275714285714283E-3</v>
      </c>
      <c r="AB187" s="66">
        <f t="shared" si="155"/>
        <v>3.4275714285714283E-3</v>
      </c>
      <c r="AC187" s="66">
        <f t="shared" si="155"/>
        <v>3.4275714285714283E-3</v>
      </c>
    </row>
    <row r="188" spans="1:29" x14ac:dyDescent="0.25">
      <c r="A188" s="59" t="str">
        <f>A151</f>
        <v>Market failure (av. utilization)</v>
      </c>
      <c r="B188" s="66">
        <f t="shared" ref="B188:AC188" si="156">B177/B151-B177/B150</f>
        <v>1.5946019523657831E-2</v>
      </c>
      <c r="C188" s="66">
        <f t="shared" si="156"/>
        <v>1.5949516080442802E-2</v>
      </c>
      <c r="D188" s="66">
        <f t="shared" si="156"/>
        <v>1.5954514586902079E-2</v>
      </c>
      <c r="E188" s="66">
        <f t="shared" si="156"/>
        <v>1.5961651172465827E-2</v>
      </c>
      <c r="F188" s="66">
        <f t="shared" si="156"/>
        <v>1.5971821566483996E-2</v>
      </c>
      <c r="G188" s="66">
        <f t="shared" si="156"/>
        <v>1.5986276723519655E-2</v>
      </c>
      <c r="H188" s="66">
        <f t="shared" si="156"/>
        <v>1.6006743412715921E-2</v>
      </c>
      <c r="I188" s="66">
        <f t="shared" si="156"/>
        <v>1.6035566676142095E-2</v>
      </c>
      <c r="J188" s="66">
        <f t="shared" si="156"/>
        <v>1.607586120382045E-2</v>
      </c>
      <c r="K188" s="66">
        <f t="shared" si="156"/>
        <v>1.6131642855025146E-2</v>
      </c>
      <c r="L188" s="66">
        <f t="shared" si="156"/>
        <v>1.6207888247897165E-2</v>
      </c>
      <c r="M188" s="66">
        <f t="shared" si="156"/>
        <v>1.6310432671628232E-2</v>
      </c>
      <c r="N188" s="66">
        <f t="shared" si="156"/>
        <v>1.6445547950557821E-2</v>
      </c>
      <c r="O188" s="66">
        <f t="shared" si="156"/>
        <v>1.6618944695823569E-2</v>
      </c>
      <c r="P188" s="66">
        <f t="shared" si="156"/>
        <v>1.6833932890914484E-2</v>
      </c>
      <c r="Q188" s="66">
        <f t="shared" si="156"/>
        <v>1.7088829872304975E-2</v>
      </c>
      <c r="R188" s="66">
        <f t="shared" si="156"/>
        <v>1.7374591684004612E-2</v>
      </c>
      <c r="S188" s="66">
        <f t="shared" si="156"/>
        <v>1.7674515569934685E-2</v>
      </c>
      <c r="T188" s="66">
        <f t="shared" si="156"/>
        <v>1.7967416154467362E-2</v>
      </c>
      <c r="U188" s="66">
        <f t="shared" si="156"/>
        <v>1.823339303850444E-2</v>
      </c>
      <c r="V188" s="66">
        <f t="shared" si="156"/>
        <v>1.8459077430405389E-2</v>
      </c>
      <c r="W188" s="66">
        <f t="shared" si="156"/>
        <v>1.8639625346972093E-2</v>
      </c>
      <c r="X188" s="66">
        <f t="shared" si="156"/>
        <v>1.8777299825815108E-2</v>
      </c>
      <c r="Y188" s="66">
        <f t="shared" si="156"/>
        <v>1.8878457562512586E-2</v>
      </c>
      <c r="Z188" s="66">
        <f t="shared" si="156"/>
        <v>1.895076314436165E-2</v>
      </c>
      <c r="AA188" s="66">
        <f t="shared" si="156"/>
        <v>1.9001429060539109E-2</v>
      </c>
      <c r="AB188" s="66">
        <f t="shared" si="156"/>
        <v>1.903643790659679E-2</v>
      </c>
      <c r="AC188" s="66">
        <f t="shared" si="156"/>
        <v>1.906039419104702E-2</v>
      </c>
    </row>
    <row r="189" spans="1:29" x14ac:dyDescent="0.25">
      <c r="A189" s="59" t="str">
        <f>A152</f>
        <v>Payload loss (fuel)</v>
      </c>
      <c r="B189" s="66">
        <f>B177/(B150-B152)-B177/B150</f>
        <v>0</v>
      </c>
      <c r="C189" s="66">
        <f t="shared" ref="C189:AC189" si="157">C177/(C150-C152)-C177/C150</f>
        <v>0</v>
      </c>
      <c r="D189" s="66">
        <f t="shared" si="157"/>
        <v>0</v>
      </c>
      <c r="E189" s="66">
        <f t="shared" si="157"/>
        <v>0</v>
      </c>
      <c r="F189" s="66">
        <f t="shared" si="157"/>
        <v>0</v>
      </c>
      <c r="G189" s="66">
        <f t="shared" si="157"/>
        <v>0</v>
      </c>
      <c r="H189" s="66">
        <f t="shared" si="157"/>
        <v>0</v>
      </c>
      <c r="I189" s="66">
        <f t="shared" si="157"/>
        <v>0</v>
      </c>
      <c r="J189" s="66">
        <f t="shared" si="157"/>
        <v>0</v>
      </c>
      <c r="K189" s="66">
        <f t="shared" si="157"/>
        <v>0</v>
      </c>
      <c r="L189" s="66">
        <f t="shared" si="157"/>
        <v>0</v>
      </c>
      <c r="M189" s="66">
        <f t="shared" si="157"/>
        <v>0</v>
      </c>
      <c r="N189" s="66">
        <f t="shared" si="157"/>
        <v>0</v>
      </c>
      <c r="O189" s="66">
        <f t="shared" si="157"/>
        <v>0</v>
      </c>
      <c r="P189" s="66">
        <f t="shared" si="157"/>
        <v>0</v>
      </c>
      <c r="Q189" s="66">
        <f t="shared" si="157"/>
        <v>0</v>
      </c>
      <c r="R189" s="66">
        <f t="shared" si="157"/>
        <v>0</v>
      </c>
      <c r="S189" s="66">
        <f t="shared" si="157"/>
        <v>0</v>
      </c>
      <c r="T189" s="66">
        <f t="shared" si="157"/>
        <v>0</v>
      </c>
      <c r="U189" s="66">
        <f t="shared" si="157"/>
        <v>0</v>
      </c>
      <c r="V189" s="66">
        <f t="shared" si="157"/>
        <v>0</v>
      </c>
      <c r="W189" s="66">
        <f t="shared" si="157"/>
        <v>0</v>
      </c>
      <c r="X189" s="66">
        <f t="shared" si="157"/>
        <v>0</v>
      </c>
      <c r="Y189" s="66">
        <f t="shared" si="157"/>
        <v>0</v>
      </c>
      <c r="Z189" s="66">
        <f t="shared" si="157"/>
        <v>0</v>
      </c>
      <c r="AA189" s="66">
        <f t="shared" si="157"/>
        <v>0</v>
      </c>
      <c r="AB189" s="66">
        <f t="shared" si="157"/>
        <v>0</v>
      </c>
      <c r="AC189" s="66">
        <f t="shared" si="157"/>
        <v>0</v>
      </c>
    </row>
    <row r="190" spans="1:29" ht="15.75" thickBot="1" x14ac:dyDescent="0.3">
      <c r="A190" s="59" t="str">
        <f>A127</f>
        <v>Emission Cost</v>
      </c>
      <c r="B190" s="69">
        <f>B147*B153/B153/(B150)</f>
        <v>9.1884435637488678E-4</v>
      </c>
      <c r="C190" s="69">
        <f t="shared" ref="C190:AC190" si="158">C147*C153/C153/(C150)</f>
        <v>9.2101504307896766E-4</v>
      </c>
      <c r="D190" s="69">
        <f t="shared" si="158"/>
        <v>9.2412233274771132E-4</v>
      </c>
      <c r="E190" s="69">
        <f t="shared" si="158"/>
        <v>9.2856752913322708E-4</v>
      </c>
      <c r="F190" s="69">
        <f t="shared" si="158"/>
        <v>9.3492069564941069E-4</v>
      </c>
      <c r="G190" s="69">
        <f t="shared" si="158"/>
        <v>9.4398803724422429E-4</v>
      </c>
      <c r="H190" s="69">
        <f t="shared" si="158"/>
        <v>9.5690215613762522E-4</v>
      </c>
      <c r="I190" s="69">
        <f t="shared" si="158"/>
        <v>9.752383537042186E-4</v>
      </c>
      <c r="J190" s="69">
        <f t="shared" si="158"/>
        <v>1.0011548069685111E-3</v>
      </c>
      <c r="K190" s="69">
        <f t="shared" si="158"/>
        <v>1.0375410397800301E-3</v>
      </c>
      <c r="L190" s="69">
        <f t="shared" si="158"/>
        <v>1.0881311119995696E-3</v>
      </c>
      <c r="M190" s="69">
        <f t="shared" si="158"/>
        <v>1.1574882084341917E-3</v>
      </c>
      <c r="N190" s="69">
        <f t="shared" si="158"/>
        <v>1.2506967140363367E-3</v>
      </c>
      <c r="O190" s="69">
        <f t="shared" si="158"/>
        <v>1.3725382374173548E-3</v>
      </c>
      <c r="P190" s="69">
        <f t="shared" si="158"/>
        <v>1.5259770422253488E-3</v>
      </c>
      <c r="Q190" s="69">
        <f t="shared" si="158"/>
        <v>1.7100992035333602E-3</v>
      </c>
      <c r="R190" s="69">
        <f t="shared" si="158"/>
        <v>1.9182996926605312E-3</v>
      </c>
      <c r="S190" s="69">
        <f t="shared" si="158"/>
        <v>2.138096094806973E-3</v>
      </c>
      <c r="T190" s="69">
        <f t="shared" si="158"/>
        <v>2.3535673148768121E-3</v>
      </c>
      <c r="U190" s="69">
        <f t="shared" si="158"/>
        <v>2.5497152016699838E-3</v>
      </c>
      <c r="V190" s="69">
        <f t="shared" si="158"/>
        <v>2.7164129734479599E-3</v>
      </c>
      <c r="W190" s="69">
        <f t="shared" si="158"/>
        <v>2.8499080347626367E-3</v>
      </c>
      <c r="X190" s="69">
        <f t="shared" si="158"/>
        <v>2.9517706914793684E-3</v>
      </c>
      <c r="Y190" s="69">
        <f t="shared" si="158"/>
        <v>3.0266479135630442E-3</v>
      </c>
      <c r="Z190" s="69">
        <f t="shared" si="158"/>
        <v>3.0801840441292321E-3</v>
      </c>
      <c r="AA190" s="69">
        <f t="shared" si="158"/>
        <v>3.1177049654590788E-3</v>
      </c>
      <c r="AB190" s="69">
        <f t="shared" si="158"/>
        <v>3.1436342283140619E-3</v>
      </c>
      <c r="AC190" s="69">
        <f t="shared" si="158"/>
        <v>3.1613789149904556E-3</v>
      </c>
    </row>
    <row r="191" spans="1:29" ht="15.75" thickBot="1" x14ac:dyDescent="0.3">
      <c r="A191" s="31" t="s">
        <v>210</v>
      </c>
      <c r="B191" s="67">
        <f>B180+B181+B182+B183+B184+B185+B186+B187+B188+B189+B190</f>
        <v>2.7711075574809615E-2</v>
      </c>
      <c r="C191" s="67">
        <f t="shared" ref="C191:AC191" si="159">C180+C181+C182+C183+C184+C185+C186+C187+C188+C189+C190</f>
        <v>2.77171742203648E-2</v>
      </c>
      <c r="D191" s="67">
        <f t="shared" si="159"/>
        <v>2.7725892545584468E-2</v>
      </c>
      <c r="E191" s="67">
        <f t="shared" si="159"/>
        <v>2.7738340078544494E-2</v>
      </c>
      <c r="F191" s="67">
        <f t="shared" si="159"/>
        <v>2.775607913787851E-2</v>
      </c>
      <c r="G191" s="67">
        <f t="shared" si="159"/>
        <v>2.7781291621080242E-2</v>
      </c>
      <c r="H191" s="67">
        <f t="shared" si="159"/>
        <v>2.7816989334794658E-2</v>
      </c>
      <c r="I191" s="67">
        <f t="shared" si="159"/>
        <v>2.7867262468677517E-2</v>
      </c>
      <c r="J191" s="67">
        <f t="shared" si="159"/>
        <v>2.7937543621604881E-2</v>
      </c>
      <c r="K191" s="67">
        <f t="shared" si="159"/>
        <v>2.8034837199287489E-2</v>
      </c>
      <c r="L191" s="67">
        <f t="shared" si="159"/>
        <v>2.8167823349645661E-2</v>
      </c>
      <c r="M191" s="67">
        <f t="shared" si="159"/>
        <v>2.8346679902664967E-2</v>
      </c>
      <c r="N191" s="67">
        <f t="shared" si="159"/>
        <v>2.8582346086844481E-2</v>
      </c>
      <c r="O191" s="67">
        <f t="shared" si="159"/>
        <v>2.8884782270447534E-2</v>
      </c>
      <c r="P191" s="67">
        <f t="shared" si="159"/>
        <v>2.9259761680489823E-2</v>
      </c>
      <c r="Q191" s="67">
        <f t="shared" si="159"/>
        <v>2.9704349438729051E-2</v>
      </c>
      <c r="R191" s="67">
        <f t="shared" si="159"/>
        <v>3.0202771203321443E-2</v>
      </c>
      <c r="S191" s="67">
        <f t="shared" si="159"/>
        <v>3.0725894260176224E-2</v>
      </c>
      <c r="T191" s="67">
        <f t="shared" si="159"/>
        <v>3.1236767372733218E-2</v>
      </c>
      <c r="U191" s="67">
        <f t="shared" si="159"/>
        <v>3.1700680542565335E-2</v>
      </c>
      <c r="V191" s="67">
        <f t="shared" si="159"/>
        <v>3.2094316109834431E-2</v>
      </c>
      <c r="W191" s="67">
        <f t="shared" si="159"/>
        <v>3.2409225266636824E-2</v>
      </c>
      <c r="X191" s="67">
        <f t="shared" si="159"/>
        <v>3.2649355171595569E-2</v>
      </c>
      <c r="Y191" s="67">
        <f t="shared" si="159"/>
        <v>3.2825793084440003E-2</v>
      </c>
      <c r="Z191" s="67">
        <f t="shared" si="159"/>
        <v>3.2951907471386044E-2</v>
      </c>
      <c r="AA191" s="67">
        <f t="shared" si="159"/>
        <v>3.30402782554165E-2</v>
      </c>
      <c r="AB191" s="67">
        <f t="shared" si="159"/>
        <v>3.310134019621478E-2</v>
      </c>
      <c r="AC191" s="67">
        <f t="shared" si="159"/>
        <v>3.3143124413279129E-2</v>
      </c>
    </row>
    <row r="193" spans="2:2" x14ac:dyDescent="0.25">
      <c r="B193" s="40"/>
    </row>
    <row r="215" spans="1:44" s="3" customFormat="1" ht="21" x14ac:dyDescent="0.35">
      <c r="A215" s="2" t="str">
        <f>'Parameter Input'!A114</f>
        <v>Railway long-haul: Container</v>
      </c>
    </row>
    <row r="216" spans="1:44" s="3" customFormat="1" ht="21" x14ac:dyDescent="0.35">
      <c r="A216" s="2" t="s">
        <v>11</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Input'!$L$91</f>
        <v>3500000</v>
      </c>
      <c r="C225" s="42">
        <f>'Parameter Input'!$M$91</f>
        <v>3500000</v>
      </c>
      <c r="D225" s="1" t="s">
        <v>15</v>
      </c>
      <c r="L225" s="51">
        <f>'Parameter Input'!$O$91</f>
        <v>12</v>
      </c>
      <c r="M225" s="52">
        <v>0</v>
      </c>
      <c r="N225" s="52">
        <v>1</v>
      </c>
      <c r="O225" s="52">
        <f>'Parameter Input'!$P$91</f>
        <v>0.9</v>
      </c>
      <c r="P225" s="53">
        <f>'Parameter Input'!$Q$91</f>
        <v>0.4</v>
      </c>
      <c r="Q225" s="4">
        <f t="shared" ref="Q225:AR234" si="160">$N225+($M225-$N225)*((1/(1+EXP(-$P225*(Q$9-$L225)))^$O225))</f>
        <v>0.9867978615748374</v>
      </c>
      <c r="R225" s="4">
        <f t="shared" si="160"/>
        <v>0.98114509762858249</v>
      </c>
      <c r="S225" s="4">
        <f t="shared" si="160"/>
        <v>0.97311898315872036</v>
      </c>
      <c r="T225" s="4">
        <f t="shared" si="160"/>
        <v>0.96177484161592774</v>
      </c>
      <c r="U225" s="4">
        <f t="shared" si="160"/>
        <v>0.94584787155511363</v>
      </c>
      <c r="V225" s="4">
        <f t="shared" si="160"/>
        <v>0.92370360150141495</v>
      </c>
      <c r="W225" s="4">
        <f t="shared" si="160"/>
        <v>0.89334463567658451</v>
      </c>
      <c r="X225" s="4">
        <f t="shared" si="160"/>
        <v>0.85254543874327005</v>
      </c>
      <c r="Y225" s="4">
        <f t="shared" si="160"/>
        <v>0.79921300652623883</v>
      </c>
      <c r="Z225" s="4">
        <f t="shared" si="160"/>
        <v>0.73204982249993378</v>
      </c>
      <c r="AA225" s="4">
        <f t="shared" si="160"/>
        <v>0.65145592958786691</v>
      </c>
      <c r="AB225" s="4">
        <f t="shared" si="160"/>
        <v>0.56032247880849573</v>
      </c>
      <c r="AC225" s="4">
        <f t="shared" si="160"/>
        <v>0.46411326873185343</v>
      </c>
      <c r="AD225" s="4">
        <f t="shared" si="160"/>
        <v>0.36979727595523937</v>
      </c>
      <c r="AE225" s="4">
        <f t="shared" si="160"/>
        <v>0.28393948637231203</v>
      </c>
      <c r="AF225" s="4">
        <f t="shared" si="160"/>
        <v>0.21097259161117732</v>
      </c>
      <c r="AG225" s="4">
        <f t="shared" si="160"/>
        <v>0.15253917653798199</v>
      </c>
      <c r="AH225" s="4">
        <f t="shared" si="160"/>
        <v>0.10795188737709993</v>
      </c>
      <c r="AI225" s="4">
        <f t="shared" si="160"/>
        <v>7.5176653938091809E-2</v>
      </c>
      <c r="AJ225" s="4">
        <f t="shared" si="160"/>
        <v>5.1742836177502194E-2</v>
      </c>
      <c r="AK225" s="4">
        <f t="shared" si="160"/>
        <v>3.5319190625345942E-2</v>
      </c>
      <c r="AL225" s="4">
        <f t="shared" si="160"/>
        <v>2.3969442072658165E-2</v>
      </c>
      <c r="AM225" s="4">
        <f t="shared" si="160"/>
        <v>1.6202243558389728E-2</v>
      </c>
      <c r="AN225" s="4">
        <f t="shared" si="160"/>
        <v>1.0922240564108399E-2</v>
      </c>
      <c r="AO225" s="4">
        <f t="shared" si="160"/>
        <v>7.3493212906090566E-3</v>
      </c>
      <c r="AP225" s="4">
        <f t="shared" si="160"/>
        <v>4.9390262185057265E-3</v>
      </c>
      <c r="AQ225" s="4">
        <f t="shared" si="160"/>
        <v>3.3164275492956197E-3</v>
      </c>
      <c r="AR225" s="4">
        <f t="shared" si="160"/>
        <v>2.2256362146679809E-3</v>
      </c>
    </row>
    <row r="226" spans="1:44" x14ac:dyDescent="0.25">
      <c r="A226" s="24" t="s">
        <v>28</v>
      </c>
      <c r="B226" s="60">
        <f>'Parameter Input'!$L$92</f>
        <v>-525000</v>
      </c>
      <c r="C226" s="61">
        <f>'Parameter Input'!$M$92</f>
        <v>-175000</v>
      </c>
      <c r="D226" s="1" t="s">
        <v>15</v>
      </c>
      <c r="L226" s="54">
        <f>'Parameter Input'!$O$92</f>
        <v>12</v>
      </c>
      <c r="M226" s="37">
        <v>0</v>
      </c>
      <c r="N226" s="37">
        <v>1</v>
      </c>
      <c r="O226" s="37">
        <f>'Parameter Input'!$P$92</f>
        <v>0.9</v>
      </c>
      <c r="P226" s="55">
        <f>'Parameter Input'!$Q$92</f>
        <v>0.4</v>
      </c>
      <c r="Q226" s="4">
        <f t="shared" si="160"/>
        <v>0.9867978615748374</v>
      </c>
      <c r="R226" s="4">
        <f t="shared" si="160"/>
        <v>0.98114509762858249</v>
      </c>
      <c r="S226" s="4">
        <f t="shared" si="160"/>
        <v>0.97311898315872036</v>
      </c>
      <c r="T226" s="4">
        <f t="shared" si="160"/>
        <v>0.96177484161592774</v>
      </c>
      <c r="U226" s="4">
        <f t="shared" si="160"/>
        <v>0.94584787155511363</v>
      </c>
      <c r="V226" s="4">
        <f t="shared" si="160"/>
        <v>0.92370360150141495</v>
      </c>
      <c r="W226" s="4">
        <f t="shared" si="160"/>
        <v>0.89334463567658451</v>
      </c>
      <c r="X226" s="4">
        <f t="shared" si="160"/>
        <v>0.85254543874327005</v>
      </c>
      <c r="Y226" s="4">
        <f t="shared" si="160"/>
        <v>0.79921300652623883</v>
      </c>
      <c r="Z226" s="4">
        <f t="shared" si="160"/>
        <v>0.73204982249993378</v>
      </c>
      <c r="AA226" s="4">
        <f t="shared" si="160"/>
        <v>0.65145592958786691</v>
      </c>
      <c r="AB226" s="4">
        <f t="shared" si="160"/>
        <v>0.56032247880849573</v>
      </c>
      <c r="AC226" s="4">
        <f t="shared" si="160"/>
        <v>0.46411326873185343</v>
      </c>
      <c r="AD226" s="4">
        <f t="shared" si="160"/>
        <v>0.36979727595523937</v>
      </c>
      <c r="AE226" s="4">
        <f t="shared" si="160"/>
        <v>0.28393948637231203</v>
      </c>
      <c r="AF226" s="4">
        <f t="shared" si="160"/>
        <v>0.21097259161117732</v>
      </c>
      <c r="AG226" s="4">
        <f t="shared" si="160"/>
        <v>0.15253917653798199</v>
      </c>
      <c r="AH226" s="4">
        <f t="shared" si="160"/>
        <v>0.10795188737709993</v>
      </c>
      <c r="AI226" s="4">
        <f t="shared" si="160"/>
        <v>7.5176653938091809E-2</v>
      </c>
      <c r="AJ226" s="4">
        <f t="shared" si="160"/>
        <v>5.1742836177502194E-2</v>
      </c>
      <c r="AK226" s="4">
        <f t="shared" si="160"/>
        <v>3.5319190625345942E-2</v>
      </c>
      <c r="AL226" s="4">
        <f t="shared" si="160"/>
        <v>2.3969442072658165E-2</v>
      </c>
      <c r="AM226" s="4">
        <f t="shared" si="160"/>
        <v>1.6202243558389728E-2</v>
      </c>
      <c r="AN226" s="4">
        <f t="shared" si="160"/>
        <v>1.0922240564108399E-2</v>
      </c>
      <c r="AO226" s="4">
        <f t="shared" si="160"/>
        <v>7.3493212906090566E-3</v>
      </c>
      <c r="AP226" s="4">
        <f t="shared" si="160"/>
        <v>4.9390262185057265E-3</v>
      </c>
      <c r="AQ226" s="4">
        <f t="shared" si="160"/>
        <v>3.3164275492956197E-3</v>
      </c>
      <c r="AR226" s="4">
        <f t="shared" si="160"/>
        <v>2.2256362146679809E-3</v>
      </c>
    </row>
    <row r="227" spans="1:44" x14ac:dyDescent="0.25">
      <c r="A227" s="24" t="s">
        <v>14</v>
      </c>
      <c r="B227" s="43">
        <f>'Parameter Input'!B115</f>
        <v>2800000</v>
      </c>
      <c r="C227" s="44">
        <f>'Parameter Input'!C115</f>
        <v>2800000</v>
      </c>
      <c r="D227" s="1" t="s">
        <v>15</v>
      </c>
      <c r="L227" s="54">
        <f>'Parameter Input'!E115</f>
        <v>12</v>
      </c>
      <c r="M227" s="37">
        <v>0</v>
      </c>
      <c r="N227" s="37">
        <v>1</v>
      </c>
      <c r="O227" s="37">
        <f>'Parameter Input'!F115</f>
        <v>0.9</v>
      </c>
      <c r="P227" s="55">
        <f>'Parameter Input'!G115</f>
        <v>0.4</v>
      </c>
      <c r="Q227" s="4">
        <f t="shared" si="160"/>
        <v>0.9867978615748374</v>
      </c>
      <c r="R227" s="4">
        <f t="shared" si="160"/>
        <v>0.98114509762858249</v>
      </c>
      <c r="S227" s="4">
        <f t="shared" si="160"/>
        <v>0.97311898315872036</v>
      </c>
      <c r="T227" s="4">
        <f t="shared" si="160"/>
        <v>0.96177484161592774</v>
      </c>
      <c r="U227" s="4">
        <f t="shared" si="160"/>
        <v>0.94584787155511363</v>
      </c>
      <c r="V227" s="4">
        <f t="shared" si="160"/>
        <v>0.92370360150141495</v>
      </c>
      <c r="W227" s="4">
        <f t="shared" si="160"/>
        <v>0.89334463567658451</v>
      </c>
      <c r="X227" s="4">
        <f t="shared" si="160"/>
        <v>0.85254543874327005</v>
      </c>
      <c r="Y227" s="4">
        <f t="shared" si="160"/>
        <v>0.79921300652623883</v>
      </c>
      <c r="Z227" s="4">
        <f t="shared" si="160"/>
        <v>0.73204982249993378</v>
      </c>
      <c r="AA227" s="4">
        <f t="shared" si="160"/>
        <v>0.65145592958786691</v>
      </c>
      <c r="AB227" s="4">
        <f t="shared" si="160"/>
        <v>0.56032247880849573</v>
      </c>
      <c r="AC227" s="4">
        <f t="shared" si="160"/>
        <v>0.46411326873185343</v>
      </c>
      <c r="AD227" s="4">
        <f t="shared" si="160"/>
        <v>0.36979727595523937</v>
      </c>
      <c r="AE227" s="4">
        <f t="shared" si="160"/>
        <v>0.28393948637231203</v>
      </c>
      <c r="AF227" s="4">
        <f t="shared" si="160"/>
        <v>0.21097259161117732</v>
      </c>
      <c r="AG227" s="4">
        <f t="shared" si="160"/>
        <v>0.15253917653798199</v>
      </c>
      <c r="AH227" s="4">
        <f t="shared" si="160"/>
        <v>0.10795188737709993</v>
      </c>
      <c r="AI227" s="4">
        <f t="shared" si="160"/>
        <v>7.5176653938091809E-2</v>
      </c>
      <c r="AJ227" s="4">
        <f t="shared" si="160"/>
        <v>5.1742836177502194E-2</v>
      </c>
      <c r="AK227" s="4">
        <f t="shared" si="160"/>
        <v>3.5319190625345942E-2</v>
      </c>
      <c r="AL227" s="4">
        <f t="shared" si="160"/>
        <v>2.3969442072658165E-2</v>
      </c>
      <c r="AM227" s="4">
        <f t="shared" si="160"/>
        <v>1.6202243558389728E-2</v>
      </c>
      <c r="AN227" s="4">
        <f t="shared" si="160"/>
        <v>1.0922240564108399E-2</v>
      </c>
      <c r="AO227" s="4">
        <f t="shared" si="160"/>
        <v>7.3493212906090566E-3</v>
      </c>
      <c r="AP227" s="4">
        <f t="shared" si="160"/>
        <v>4.9390262185057265E-3</v>
      </c>
      <c r="AQ227" s="4">
        <f t="shared" si="160"/>
        <v>3.3164275492956197E-3</v>
      </c>
      <c r="AR227" s="4">
        <f t="shared" si="160"/>
        <v>2.2256362146679809E-3</v>
      </c>
    </row>
    <row r="228" spans="1:44" x14ac:dyDescent="0.25">
      <c r="A228" s="24" t="s">
        <v>25</v>
      </c>
      <c r="B228" s="60">
        <f>'Parameter Input'!B116</f>
        <v>-140000</v>
      </c>
      <c r="C228" s="61">
        <f>'Parameter Input'!C116</f>
        <v>-140000</v>
      </c>
      <c r="D228" s="1" t="s">
        <v>15</v>
      </c>
      <c r="L228" s="54">
        <f>'Parameter Input'!E116</f>
        <v>12</v>
      </c>
      <c r="M228" s="37">
        <v>0</v>
      </c>
      <c r="N228" s="37">
        <v>1</v>
      </c>
      <c r="O228" s="37">
        <f>'Parameter Input'!F116</f>
        <v>0.9</v>
      </c>
      <c r="P228" s="55">
        <f>'Parameter Input'!G116</f>
        <v>0.4</v>
      </c>
      <c r="Q228" s="4">
        <f t="shared" si="160"/>
        <v>0.9867978615748374</v>
      </c>
      <c r="R228" s="4">
        <f t="shared" si="160"/>
        <v>0.98114509762858249</v>
      </c>
      <c r="S228" s="4">
        <f t="shared" si="160"/>
        <v>0.97311898315872036</v>
      </c>
      <c r="T228" s="4">
        <f t="shared" si="160"/>
        <v>0.96177484161592774</v>
      </c>
      <c r="U228" s="4">
        <f t="shared" si="160"/>
        <v>0.94584787155511363</v>
      </c>
      <c r="V228" s="4">
        <f t="shared" si="160"/>
        <v>0.92370360150141495</v>
      </c>
      <c r="W228" s="4">
        <f t="shared" si="160"/>
        <v>0.89334463567658451</v>
      </c>
      <c r="X228" s="4">
        <f t="shared" si="160"/>
        <v>0.85254543874327005</v>
      </c>
      <c r="Y228" s="4">
        <f t="shared" si="160"/>
        <v>0.79921300652623883</v>
      </c>
      <c r="Z228" s="4">
        <f t="shared" si="160"/>
        <v>0.73204982249993378</v>
      </c>
      <c r="AA228" s="4">
        <f t="shared" si="160"/>
        <v>0.65145592958786691</v>
      </c>
      <c r="AB228" s="4">
        <f t="shared" si="160"/>
        <v>0.56032247880849573</v>
      </c>
      <c r="AC228" s="4">
        <f t="shared" si="160"/>
        <v>0.46411326873185343</v>
      </c>
      <c r="AD228" s="4">
        <f t="shared" si="160"/>
        <v>0.36979727595523937</v>
      </c>
      <c r="AE228" s="4">
        <f t="shared" si="160"/>
        <v>0.28393948637231203</v>
      </c>
      <c r="AF228" s="4">
        <f t="shared" si="160"/>
        <v>0.21097259161117732</v>
      </c>
      <c r="AG228" s="4">
        <f t="shared" si="160"/>
        <v>0.15253917653798199</v>
      </c>
      <c r="AH228" s="4">
        <f t="shared" si="160"/>
        <v>0.10795188737709993</v>
      </c>
      <c r="AI228" s="4">
        <f t="shared" si="160"/>
        <v>7.5176653938091809E-2</v>
      </c>
      <c r="AJ228" s="4">
        <f t="shared" si="160"/>
        <v>5.1742836177502194E-2</v>
      </c>
      <c r="AK228" s="4">
        <f t="shared" si="160"/>
        <v>3.5319190625345942E-2</v>
      </c>
      <c r="AL228" s="4">
        <f t="shared" si="160"/>
        <v>2.3969442072658165E-2</v>
      </c>
      <c r="AM228" s="4">
        <f t="shared" si="160"/>
        <v>1.6202243558389728E-2</v>
      </c>
      <c r="AN228" s="4">
        <f t="shared" si="160"/>
        <v>1.0922240564108399E-2</v>
      </c>
      <c r="AO228" s="4">
        <f t="shared" si="160"/>
        <v>7.3493212906090566E-3</v>
      </c>
      <c r="AP228" s="4">
        <f t="shared" si="160"/>
        <v>4.9390262185057265E-3</v>
      </c>
      <c r="AQ228" s="4">
        <f t="shared" si="160"/>
        <v>3.3164275492956197E-3</v>
      </c>
      <c r="AR228" s="4">
        <f t="shared" si="160"/>
        <v>2.2256362146679809E-3</v>
      </c>
    </row>
    <row r="229" spans="1:44" x14ac:dyDescent="0.25">
      <c r="A229" s="24" t="s">
        <v>79</v>
      </c>
      <c r="B229" s="45">
        <f>'Parameter Input'!$L$98</f>
        <v>0.06</v>
      </c>
      <c r="C229" s="46">
        <f>'Parameter Input'!$M$98</f>
        <v>0.06</v>
      </c>
      <c r="D229" s="1" t="s">
        <v>57</v>
      </c>
      <c r="L229" s="54">
        <f>'Parameter Input'!$O$98</f>
        <v>12</v>
      </c>
      <c r="M229" s="37">
        <v>0</v>
      </c>
      <c r="N229" s="37">
        <v>1</v>
      </c>
      <c r="O229" s="37">
        <f>'Parameter Input'!$P$98</f>
        <v>0.9</v>
      </c>
      <c r="P229" s="55">
        <f>'Parameter Input'!$Q$98</f>
        <v>0.4</v>
      </c>
      <c r="Q229" s="4">
        <f t="shared" si="160"/>
        <v>0.9867978615748374</v>
      </c>
      <c r="R229" s="4">
        <f t="shared" si="160"/>
        <v>0.98114509762858249</v>
      </c>
      <c r="S229" s="4">
        <f t="shared" si="160"/>
        <v>0.97311898315872036</v>
      </c>
      <c r="T229" s="4">
        <f t="shared" si="160"/>
        <v>0.96177484161592774</v>
      </c>
      <c r="U229" s="4">
        <f t="shared" si="160"/>
        <v>0.94584787155511363</v>
      </c>
      <c r="V229" s="4">
        <f t="shared" si="160"/>
        <v>0.92370360150141495</v>
      </c>
      <c r="W229" s="4">
        <f t="shared" si="160"/>
        <v>0.89334463567658451</v>
      </c>
      <c r="X229" s="4">
        <f t="shared" si="160"/>
        <v>0.85254543874327005</v>
      </c>
      <c r="Y229" s="4">
        <f t="shared" si="160"/>
        <v>0.79921300652623883</v>
      </c>
      <c r="Z229" s="4">
        <f t="shared" si="160"/>
        <v>0.73204982249993378</v>
      </c>
      <c r="AA229" s="4">
        <f t="shared" si="160"/>
        <v>0.65145592958786691</v>
      </c>
      <c r="AB229" s="4">
        <f t="shared" si="160"/>
        <v>0.56032247880849573</v>
      </c>
      <c r="AC229" s="4">
        <f t="shared" si="160"/>
        <v>0.46411326873185343</v>
      </c>
      <c r="AD229" s="4">
        <f t="shared" si="160"/>
        <v>0.36979727595523937</v>
      </c>
      <c r="AE229" s="4">
        <f t="shared" si="160"/>
        <v>0.28393948637231203</v>
      </c>
      <c r="AF229" s="4">
        <f t="shared" si="160"/>
        <v>0.21097259161117732</v>
      </c>
      <c r="AG229" s="4">
        <f t="shared" si="160"/>
        <v>0.15253917653798199</v>
      </c>
      <c r="AH229" s="4">
        <f t="shared" si="160"/>
        <v>0.10795188737709993</v>
      </c>
      <c r="AI229" s="4">
        <f t="shared" si="160"/>
        <v>7.5176653938091809E-2</v>
      </c>
      <c r="AJ229" s="4">
        <f t="shared" si="160"/>
        <v>5.1742836177502194E-2</v>
      </c>
      <c r="AK229" s="4">
        <f t="shared" si="160"/>
        <v>3.5319190625345942E-2</v>
      </c>
      <c r="AL229" s="4">
        <f t="shared" si="160"/>
        <v>2.3969442072658165E-2</v>
      </c>
      <c r="AM229" s="4">
        <f t="shared" si="160"/>
        <v>1.6202243558389728E-2</v>
      </c>
      <c r="AN229" s="4">
        <f t="shared" si="160"/>
        <v>1.0922240564108399E-2</v>
      </c>
      <c r="AO229" s="4">
        <f t="shared" si="160"/>
        <v>7.3493212906090566E-3</v>
      </c>
      <c r="AP229" s="4">
        <f t="shared" si="160"/>
        <v>4.9390262185057265E-3</v>
      </c>
      <c r="AQ229" s="4">
        <f t="shared" si="160"/>
        <v>3.3164275492956197E-3</v>
      </c>
      <c r="AR229" s="4">
        <f t="shared" si="160"/>
        <v>2.2256362146679809E-3</v>
      </c>
    </row>
    <row r="230" spans="1:44" x14ac:dyDescent="0.25">
      <c r="A230" s="24" t="s">
        <v>37</v>
      </c>
      <c r="B230" s="43">
        <f>'Parameter Input'!B117</f>
        <v>610000</v>
      </c>
      <c r="C230" s="44">
        <f>'Parameter Input'!C117</f>
        <v>610000</v>
      </c>
      <c r="D230" s="1" t="s">
        <v>38</v>
      </c>
      <c r="L230" s="54">
        <f>'Parameter Input'!E117</f>
        <v>12</v>
      </c>
      <c r="M230" s="37">
        <v>0</v>
      </c>
      <c r="N230" s="37">
        <v>1</v>
      </c>
      <c r="O230" s="37">
        <f>'Parameter Input'!F117</f>
        <v>0.9</v>
      </c>
      <c r="P230" s="55">
        <f>'Parameter Input'!G117</f>
        <v>0.4</v>
      </c>
      <c r="Q230" s="4">
        <f t="shared" si="160"/>
        <v>0.9867978615748374</v>
      </c>
      <c r="R230" s="4">
        <f t="shared" si="160"/>
        <v>0.98114509762858249</v>
      </c>
      <c r="S230" s="4">
        <f t="shared" si="160"/>
        <v>0.97311898315872036</v>
      </c>
      <c r="T230" s="4">
        <f t="shared" si="160"/>
        <v>0.96177484161592774</v>
      </c>
      <c r="U230" s="4">
        <f t="shared" si="160"/>
        <v>0.94584787155511363</v>
      </c>
      <c r="V230" s="4">
        <f t="shared" si="160"/>
        <v>0.92370360150141495</v>
      </c>
      <c r="W230" s="4">
        <f t="shared" si="160"/>
        <v>0.89334463567658451</v>
      </c>
      <c r="X230" s="4">
        <f t="shared" si="160"/>
        <v>0.85254543874327005</v>
      </c>
      <c r="Y230" s="4">
        <f t="shared" si="160"/>
        <v>0.79921300652623883</v>
      </c>
      <c r="Z230" s="4">
        <f t="shared" si="160"/>
        <v>0.73204982249993378</v>
      </c>
      <c r="AA230" s="4">
        <f t="shared" si="160"/>
        <v>0.65145592958786691</v>
      </c>
      <c r="AB230" s="4">
        <f t="shared" si="160"/>
        <v>0.56032247880849573</v>
      </c>
      <c r="AC230" s="4">
        <f t="shared" si="160"/>
        <v>0.46411326873185343</v>
      </c>
      <c r="AD230" s="4">
        <f t="shared" si="160"/>
        <v>0.36979727595523937</v>
      </c>
      <c r="AE230" s="4">
        <f t="shared" si="160"/>
        <v>0.28393948637231203</v>
      </c>
      <c r="AF230" s="4">
        <f t="shared" si="160"/>
        <v>0.21097259161117732</v>
      </c>
      <c r="AG230" s="4">
        <f t="shared" si="160"/>
        <v>0.15253917653798199</v>
      </c>
      <c r="AH230" s="4">
        <f t="shared" si="160"/>
        <v>0.10795188737709993</v>
      </c>
      <c r="AI230" s="4">
        <f t="shared" si="160"/>
        <v>7.5176653938091809E-2</v>
      </c>
      <c r="AJ230" s="4">
        <f t="shared" si="160"/>
        <v>5.1742836177502194E-2</v>
      </c>
      <c r="AK230" s="4">
        <f t="shared" si="160"/>
        <v>3.5319190625345942E-2</v>
      </c>
      <c r="AL230" s="4">
        <f t="shared" si="160"/>
        <v>2.3969442072658165E-2</v>
      </c>
      <c r="AM230" s="4">
        <f t="shared" si="160"/>
        <v>1.6202243558389728E-2</v>
      </c>
      <c r="AN230" s="4">
        <f t="shared" si="160"/>
        <v>1.0922240564108399E-2</v>
      </c>
      <c r="AO230" s="4">
        <f t="shared" si="160"/>
        <v>7.3493212906090566E-3</v>
      </c>
      <c r="AP230" s="4">
        <f t="shared" si="160"/>
        <v>4.9390262185057265E-3</v>
      </c>
      <c r="AQ230" s="4">
        <f t="shared" si="160"/>
        <v>3.3164275492956197E-3</v>
      </c>
      <c r="AR230" s="4">
        <f t="shared" si="160"/>
        <v>2.2256362146679809E-3</v>
      </c>
    </row>
    <row r="231" spans="1:44" x14ac:dyDescent="0.25">
      <c r="A231" s="24" t="s">
        <v>52</v>
      </c>
      <c r="B231" s="43">
        <f>'Parameter Input'!$L$94</f>
        <v>1050000</v>
      </c>
      <c r="C231" s="44">
        <f>'Parameter Input'!$M$94</f>
        <v>1050000</v>
      </c>
      <c r="D231" s="1" t="s">
        <v>38</v>
      </c>
      <c r="L231" s="54">
        <f>'Parameter Input'!$O$94</f>
        <v>12</v>
      </c>
      <c r="M231" s="37">
        <v>0</v>
      </c>
      <c r="N231" s="37">
        <v>1</v>
      </c>
      <c r="O231" s="37">
        <f>'Parameter Input'!$P$94</f>
        <v>0.9</v>
      </c>
      <c r="P231" s="55">
        <f>'Parameter Input'!$Q$94</f>
        <v>0.4</v>
      </c>
      <c r="Q231" s="4">
        <f t="shared" si="160"/>
        <v>0.9867978615748374</v>
      </c>
      <c r="R231" s="4">
        <f t="shared" si="160"/>
        <v>0.98114509762858249</v>
      </c>
      <c r="S231" s="4">
        <f t="shared" si="160"/>
        <v>0.97311898315872036</v>
      </c>
      <c r="T231" s="4">
        <f t="shared" si="160"/>
        <v>0.96177484161592774</v>
      </c>
      <c r="U231" s="4">
        <f t="shared" si="160"/>
        <v>0.94584787155511363</v>
      </c>
      <c r="V231" s="4">
        <f t="shared" si="160"/>
        <v>0.92370360150141495</v>
      </c>
      <c r="W231" s="4">
        <f t="shared" si="160"/>
        <v>0.89334463567658451</v>
      </c>
      <c r="X231" s="4">
        <f t="shared" si="160"/>
        <v>0.85254543874327005</v>
      </c>
      <c r="Y231" s="4">
        <f t="shared" si="160"/>
        <v>0.79921300652623883</v>
      </c>
      <c r="Z231" s="4">
        <f t="shared" si="160"/>
        <v>0.73204982249993378</v>
      </c>
      <c r="AA231" s="4">
        <f t="shared" si="160"/>
        <v>0.65145592958786691</v>
      </c>
      <c r="AB231" s="4">
        <f t="shared" si="160"/>
        <v>0.56032247880849573</v>
      </c>
      <c r="AC231" s="4">
        <f t="shared" si="160"/>
        <v>0.46411326873185343</v>
      </c>
      <c r="AD231" s="4">
        <f t="shared" si="160"/>
        <v>0.36979727595523937</v>
      </c>
      <c r="AE231" s="4">
        <f t="shared" si="160"/>
        <v>0.28393948637231203</v>
      </c>
      <c r="AF231" s="4">
        <f t="shared" si="160"/>
        <v>0.21097259161117732</v>
      </c>
      <c r="AG231" s="4">
        <f t="shared" si="160"/>
        <v>0.15253917653798199</v>
      </c>
      <c r="AH231" s="4">
        <f t="shared" si="160"/>
        <v>0.10795188737709993</v>
      </c>
      <c r="AI231" s="4">
        <f t="shared" si="160"/>
        <v>7.5176653938091809E-2</v>
      </c>
      <c r="AJ231" s="4">
        <f t="shared" si="160"/>
        <v>5.1742836177502194E-2</v>
      </c>
      <c r="AK231" s="4">
        <f t="shared" si="160"/>
        <v>3.5319190625345942E-2</v>
      </c>
      <c r="AL231" s="4">
        <f t="shared" si="160"/>
        <v>2.3969442072658165E-2</v>
      </c>
      <c r="AM231" s="4">
        <f t="shared" si="160"/>
        <v>1.6202243558389728E-2</v>
      </c>
      <c r="AN231" s="4">
        <f t="shared" si="160"/>
        <v>1.0922240564108399E-2</v>
      </c>
      <c r="AO231" s="4">
        <f t="shared" si="160"/>
        <v>7.3493212906090566E-3</v>
      </c>
      <c r="AP231" s="4">
        <f t="shared" si="160"/>
        <v>4.9390262185057265E-3</v>
      </c>
      <c r="AQ231" s="4">
        <f t="shared" si="160"/>
        <v>3.3164275492956197E-3</v>
      </c>
      <c r="AR231" s="4">
        <f t="shared" si="160"/>
        <v>2.2256362146679809E-3</v>
      </c>
    </row>
    <row r="232" spans="1:44" x14ac:dyDescent="0.25">
      <c r="A232" s="24" t="s">
        <v>287</v>
      </c>
      <c r="B232" s="45">
        <f>'Parameter Input'!B122</f>
        <v>3.6414565826330532</v>
      </c>
      <c r="C232" s="46">
        <f>'Parameter Input'!C122</f>
        <v>3.6414565826330532</v>
      </c>
      <c r="D232" s="1" t="s">
        <v>76</v>
      </c>
      <c r="L232" s="54">
        <f>'Parameter Input'!E122</f>
        <v>12</v>
      </c>
      <c r="M232" s="37">
        <v>0</v>
      </c>
      <c r="N232" s="37">
        <v>1</v>
      </c>
      <c r="O232" s="37">
        <f>'Parameter Input'!F122</f>
        <v>0.9</v>
      </c>
      <c r="P232" s="55">
        <f>'Parameter Input'!G122</f>
        <v>0.4</v>
      </c>
      <c r="Q232" s="4">
        <f t="shared" si="160"/>
        <v>0.9867978615748374</v>
      </c>
      <c r="R232" s="4">
        <f t="shared" si="160"/>
        <v>0.98114509762858249</v>
      </c>
      <c r="S232" s="4">
        <f t="shared" si="160"/>
        <v>0.97311898315872036</v>
      </c>
      <c r="T232" s="4">
        <f t="shared" si="160"/>
        <v>0.96177484161592774</v>
      </c>
      <c r="U232" s="4">
        <f t="shared" si="160"/>
        <v>0.94584787155511363</v>
      </c>
      <c r="V232" s="4">
        <f t="shared" si="160"/>
        <v>0.92370360150141495</v>
      </c>
      <c r="W232" s="4">
        <f t="shared" si="160"/>
        <v>0.89334463567658451</v>
      </c>
      <c r="X232" s="4">
        <f t="shared" si="160"/>
        <v>0.85254543874327005</v>
      </c>
      <c r="Y232" s="4">
        <f t="shared" si="160"/>
        <v>0.79921300652623883</v>
      </c>
      <c r="Z232" s="4">
        <f t="shared" si="160"/>
        <v>0.73204982249993378</v>
      </c>
      <c r="AA232" s="4">
        <f t="shared" si="160"/>
        <v>0.65145592958786691</v>
      </c>
      <c r="AB232" s="4">
        <f t="shared" si="160"/>
        <v>0.56032247880849573</v>
      </c>
      <c r="AC232" s="4">
        <f t="shared" si="160"/>
        <v>0.46411326873185343</v>
      </c>
      <c r="AD232" s="4">
        <f t="shared" si="160"/>
        <v>0.36979727595523937</v>
      </c>
      <c r="AE232" s="4">
        <f t="shared" si="160"/>
        <v>0.28393948637231203</v>
      </c>
      <c r="AF232" s="4">
        <f t="shared" si="160"/>
        <v>0.21097259161117732</v>
      </c>
      <c r="AG232" s="4">
        <f t="shared" si="160"/>
        <v>0.15253917653798199</v>
      </c>
      <c r="AH232" s="4">
        <f t="shared" si="160"/>
        <v>0.10795188737709993</v>
      </c>
      <c r="AI232" s="4">
        <f t="shared" si="160"/>
        <v>7.5176653938091809E-2</v>
      </c>
      <c r="AJ232" s="4">
        <f t="shared" si="160"/>
        <v>5.1742836177502194E-2</v>
      </c>
      <c r="AK232" s="4">
        <f t="shared" si="160"/>
        <v>3.5319190625345942E-2</v>
      </c>
      <c r="AL232" s="4">
        <f t="shared" si="160"/>
        <v>2.3969442072658165E-2</v>
      </c>
      <c r="AM232" s="4">
        <f t="shared" si="160"/>
        <v>1.6202243558389728E-2</v>
      </c>
      <c r="AN232" s="4">
        <f t="shared" si="160"/>
        <v>1.0922240564108399E-2</v>
      </c>
      <c r="AO232" s="4">
        <f t="shared" si="160"/>
        <v>7.3493212906090566E-3</v>
      </c>
      <c r="AP232" s="4">
        <f t="shared" si="160"/>
        <v>4.9390262185057265E-3</v>
      </c>
      <c r="AQ232" s="4">
        <f t="shared" si="160"/>
        <v>3.3164275492956197E-3</v>
      </c>
      <c r="AR232" s="4">
        <f t="shared" si="160"/>
        <v>2.2256362146679809E-3</v>
      </c>
    </row>
    <row r="233" spans="1:44" x14ac:dyDescent="0.25">
      <c r="A233" s="24" t="s">
        <v>59</v>
      </c>
      <c r="B233" s="47">
        <f>'Parameter Input'!$L$95</f>
        <v>76.777599999999993</v>
      </c>
      <c r="C233" s="48">
        <f>'Parameter Input'!$M$95</f>
        <v>76.777599999999993</v>
      </c>
      <c r="D233" s="1" t="s">
        <v>60</v>
      </c>
      <c r="L233" s="54">
        <f>'Parameter Input'!$O$95</f>
        <v>12</v>
      </c>
      <c r="M233" s="37">
        <v>0</v>
      </c>
      <c r="N233" s="37">
        <v>1</v>
      </c>
      <c r="O233" s="37">
        <f>'Parameter Input'!$P$95</f>
        <v>0.9</v>
      </c>
      <c r="P233" s="55">
        <f>'Parameter Input'!$Q$95</f>
        <v>0.4</v>
      </c>
      <c r="Q233" s="4">
        <f t="shared" si="160"/>
        <v>0.9867978615748374</v>
      </c>
      <c r="R233" s="4">
        <f t="shared" si="160"/>
        <v>0.98114509762858249</v>
      </c>
      <c r="S233" s="4">
        <f t="shared" si="160"/>
        <v>0.97311898315872036</v>
      </c>
      <c r="T233" s="4">
        <f t="shared" si="160"/>
        <v>0.96177484161592774</v>
      </c>
      <c r="U233" s="4">
        <f t="shared" si="160"/>
        <v>0.94584787155511363</v>
      </c>
      <c r="V233" s="4">
        <f t="shared" si="160"/>
        <v>0.92370360150141495</v>
      </c>
      <c r="W233" s="4">
        <f t="shared" si="160"/>
        <v>0.89334463567658451</v>
      </c>
      <c r="X233" s="4">
        <f t="shared" si="160"/>
        <v>0.85254543874327005</v>
      </c>
      <c r="Y233" s="4">
        <f t="shared" si="160"/>
        <v>0.79921300652623883</v>
      </c>
      <c r="Z233" s="4">
        <f t="shared" si="160"/>
        <v>0.73204982249993378</v>
      </c>
      <c r="AA233" s="4">
        <f t="shared" si="160"/>
        <v>0.65145592958786691</v>
      </c>
      <c r="AB233" s="4">
        <f t="shared" si="160"/>
        <v>0.56032247880849573</v>
      </c>
      <c r="AC233" s="4">
        <f t="shared" si="160"/>
        <v>0.46411326873185343</v>
      </c>
      <c r="AD233" s="4">
        <f t="shared" si="160"/>
        <v>0.36979727595523937</v>
      </c>
      <c r="AE233" s="4">
        <f t="shared" si="160"/>
        <v>0.28393948637231203</v>
      </c>
      <c r="AF233" s="4">
        <f t="shared" si="160"/>
        <v>0.21097259161117732</v>
      </c>
      <c r="AG233" s="4">
        <f t="shared" si="160"/>
        <v>0.15253917653798199</v>
      </c>
      <c r="AH233" s="4">
        <f t="shared" si="160"/>
        <v>0.10795188737709993</v>
      </c>
      <c r="AI233" s="4">
        <f t="shared" si="160"/>
        <v>7.5176653938091809E-2</v>
      </c>
      <c r="AJ233" s="4">
        <f t="shared" si="160"/>
        <v>5.1742836177502194E-2</v>
      </c>
      <c r="AK233" s="4">
        <f t="shared" si="160"/>
        <v>3.5319190625345942E-2</v>
      </c>
      <c r="AL233" s="4">
        <f t="shared" si="160"/>
        <v>2.3969442072658165E-2</v>
      </c>
      <c r="AM233" s="4">
        <f t="shared" si="160"/>
        <v>1.6202243558389728E-2</v>
      </c>
      <c r="AN233" s="4">
        <f t="shared" si="160"/>
        <v>1.0922240564108399E-2</v>
      </c>
      <c r="AO233" s="4">
        <f t="shared" si="160"/>
        <v>7.3493212906090566E-3</v>
      </c>
      <c r="AP233" s="4">
        <f t="shared" si="160"/>
        <v>4.9390262185057265E-3</v>
      </c>
      <c r="AQ233" s="4">
        <f t="shared" si="160"/>
        <v>3.3164275492956197E-3</v>
      </c>
      <c r="AR233" s="4">
        <f t="shared" si="160"/>
        <v>2.2256362146679809E-3</v>
      </c>
    </row>
    <row r="234" spans="1:44" x14ac:dyDescent="0.25">
      <c r="A234" s="24" t="s">
        <v>67</v>
      </c>
      <c r="B234" s="45">
        <f>'Parameter Input'!$L$96</f>
        <v>0.1</v>
      </c>
      <c r="C234" s="46">
        <f>'Parameter Input'!$M$96</f>
        <v>0.1</v>
      </c>
      <c r="D234" s="1" t="s">
        <v>68</v>
      </c>
      <c r="L234" s="54">
        <f>'Parameter Input'!$O$96</f>
        <v>12</v>
      </c>
      <c r="M234" s="37">
        <v>0</v>
      </c>
      <c r="N234" s="37">
        <v>1</v>
      </c>
      <c r="O234" s="37">
        <f>'Parameter Input'!$P$96</f>
        <v>0.9</v>
      </c>
      <c r="P234" s="55">
        <f>'Parameter Input'!$Q$96</f>
        <v>0.4</v>
      </c>
      <c r="Q234" s="4">
        <f t="shared" si="160"/>
        <v>0.9867978615748374</v>
      </c>
      <c r="R234" s="4">
        <f t="shared" si="160"/>
        <v>0.98114509762858249</v>
      </c>
      <c r="S234" s="4">
        <f t="shared" si="160"/>
        <v>0.97311898315872036</v>
      </c>
      <c r="T234" s="4">
        <f t="shared" ref="T234:AI241" si="161">$N234+($M234-$N234)*((1/(1+EXP(-$P234*(T$9-$L234)))^$O234))</f>
        <v>0.96177484161592774</v>
      </c>
      <c r="U234" s="4">
        <f t="shared" si="161"/>
        <v>0.94584787155511363</v>
      </c>
      <c r="V234" s="4">
        <f t="shared" si="161"/>
        <v>0.92370360150141495</v>
      </c>
      <c r="W234" s="4">
        <f t="shared" si="161"/>
        <v>0.89334463567658451</v>
      </c>
      <c r="X234" s="4">
        <f t="shared" si="161"/>
        <v>0.85254543874327005</v>
      </c>
      <c r="Y234" s="4">
        <f t="shared" si="161"/>
        <v>0.79921300652623883</v>
      </c>
      <c r="Z234" s="4">
        <f t="shared" si="161"/>
        <v>0.73204982249993378</v>
      </c>
      <c r="AA234" s="4">
        <f t="shared" si="161"/>
        <v>0.65145592958786691</v>
      </c>
      <c r="AB234" s="4">
        <f t="shared" si="161"/>
        <v>0.56032247880849573</v>
      </c>
      <c r="AC234" s="4">
        <f t="shared" si="161"/>
        <v>0.46411326873185343</v>
      </c>
      <c r="AD234" s="4">
        <f t="shared" si="161"/>
        <v>0.36979727595523937</v>
      </c>
      <c r="AE234" s="4">
        <f t="shared" si="161"/>
        <v>0.28393948637231203</v>
      </c>
      <c r="AF234" s="4">
        <f t="shared" si="161"/>
        <v>0.21097259161117732</v>
      </c>
      <c r="AG234" s="4">
        <f t="shared" si="161"/>
        <v>0.15253917653798199</v>
      </c>
      <c r="AH234" s="4">
        <f t="shared" si="161"/>
        <v>0.10795188737709993</v>
      </c>
      <c r="AI234" s="4">
        <f t="shared" si="161"/>
        <v>7.5176653938091809E-2</v>
      </c>
      <c r="AJ234" s="4">
        <f t="shared" ref="AJ234:AR241" si="162">$N234+($M234-$N234)*((1/(1+EXP(-$P234*(AJ$9-$L234)))^$O234))</f>
        <v>5.1742836177502194E-2</v>
      </c>
      <c r="AK234" s="4">
        <f t="shared" si="162"/>
        <v>3.5319190625345942E-2</v>
      </c>
      <c r="AL234" s="4">
        <f t="shared" si="162"/>
        <v>2.3969442072658165E-2</v>
      </c>
      <c r="AM234" s="4">
        <f t="shared" si="162"/>
        <v>1.6202243558389728E-2</v>
      </c>
      <c r="AN234" s="4">
        <f t="shared" si="162"/>
        <v>1.0922240564108399E-2</v>
      </c>
      <c r="AO234" s="4">
        <f t="shared" si="162"/>
        <v>7.3493212906090566E-3</v>
      </c>
      <c r="AP234" s="4">
        <f t="shared" si="162"/>
        <v>4.9390262185057265E-3</v>
      </c>
      <c r="AQ234" s="4">
        <f t="shared" si="162"/>
        <v>3.3164275492956197E-3</v>
      </c>
      <c r="AR234" s="4">
        <f t="shared" si="162"/>
        <v>2.2256362146679809E-3</v>
      </c>
    </row>
    <row r="235" spans="1:44" x14ac:dyDescent="0.25">
      <c r="A235" s="24" t="s">
        <v>206</v>
      </c>
      <c r="B235" s="45">
        <f>'Parameter Input'!L99</f>
        <v>2.0469721783010932</v>
      </c>
      <c r="C235" s="46">
        <f>'Parameter Input'!M99</f>
        <v>7.1644026240538263</v>
      </c>
      <c r="D235" s="1"/>
      <c r="L235" s="54">
        <f>'Parameter Input'!O99</f>
        <v>17</v>
      </c>
      <c r="M235" s="37">
        <v>0</v>
      </c>
      <c r="N235" s="37">
        <v>1</v>
      </c>
      <c r="O235" s="37">
        <f>'Parameter Input'!P99</f>
        <v>0.9</v>
      </c>
      <c r="P235" s="55">
        <f>'Parameter Input'!Q99</f>
        <v>0.4</v>
      </c>
      <c r="Q235" s="4">
        <f t="shared" ref="Q235:AR235" si="163">$N235+($M235-$N235)*((1/(1+EXP(-$P235*(Q$9-$L235)))^$O235))</f>
        <v>0.99780374543478534</v>
      </c>
      <c r="R235" s="4">
        <f t="shared" si="163"/>
        <v>0.99685359315256394</v>
      </c>
      <c r="S235" s="4">
        <f t="shared" si="163"/>
        <v>0.99549347132349975</v>
      </c>
      <c r="T235" s="4">
        <f t="shared" si="163"/>
        <v>0.99354772139898062</v>
      </c>
      <c r="U235" s="4">
        <f t="shared" si="163"/>
        <v>0.99076681540580536</v>
      </c>
      <c r="V235" s="4">
        <f t="shared" si="163"/>
        <v>0.9867978615748374</v>
      </c>
      <c r="W235" s="4">
        <f t="shared" si="163"/>
        <v>0.98114509762858249</v>
      </c>
      <c r="X235" s="4">
        <f t="shared" si="163"/>
        <v>0.97311898315872036</v>
      </c>
      <c r="Y235" s="4">
        <f t="shared" si="163"/>
        <v>0.96177484161592774</v>
      </c>
      <c r="Z235" s="4">
        <f t="shared" si="163"/>
        <v>0.94584787155511363</v>
      </c>
      <c r="AA235" s="4">
        <f t="shared" si="163"/>
        <v>0.92370360150141495</v>
      </c>
      <c r="AB235" s="4">
        <f t="shared" si="163"/>
        <v>0.89334463567658451</v>
      </c>
      <c r="AC235" s="4">
        <f t="shared" si="163"/>
        <v>0.85254543874327005</v>
      </c>
      <c r="AD235" s="4">
        <f t="shared" si="163"/>
        <v>0.79921300652623883</v>
      </c>
      <c r="AE235" s="4">
        <f t="shared" si="163"/>
        <v>0.73204982249993378</v>
      </c>
      <c r="AF235" s="4">
        <f t="shared" si="163"/>
        <v>0.65145592958786691</v>
      </c>
      <c r="AG235" s="4">
        <f t="shared" si="163"/>
        <v>0.56032247880849573</v>
      </c>
      <c r="AH235" s="4">
        <f t="shared" si="163"/>
        <v>0.46411326873185343</v>
      </c>
      <c r="AI235" s="4">
        <f t="shared" si="163"/>
        <v>0.36979727595523937</v>
      </c>
      <c r="AJ235" s="4">
        <f t="shared" si="163"/>
        <v>0.28393948637231203</v>
      </c>
      <c r="AK235" s="4">
        <f t="shared" si="163"/>
        <v>0.21097259161117732</v>
      </c>
      <c r="AL235" s="4">
        <f t="shared" si="163"/>
        <v>0.15253917653798199</v>
      </c>
      <c r="AM235" s="4">
        <f t="shared" si="163"/>
        <v>0.10795188737709993</v>
      </c>
      <c r="AN235" s="4">
        <f t="shared" si="163"/>
        <v>7.5176653938091809E-2</v>
      </c>
      <c r="AO235" s="4">
        <f t="shared" si="163"/>
        <v>5.1742836177502194E-2</v>
      </c>
      <c r="AP235" s="4">
        <f t="shared" si="163"/>
        <v>3.5319190625345942E-2</v>
      </c>
      <c r="AQ235" s="4">
        <f t="shared" si="163"/>
        <v>2.3969442072658165E-2</v>
      </c>
      <c r="AR235" s="4">
        <f t="shared" si="163"/>
        <v>1.6202243558389728E-2</v>
      </c>
    </row>
    <row r="236" spans="1:44" x14ac:dyDescent="0.25">
      <c r="A236" s="24" t="s">
        <v>41</v>
      </c>
      <c r="B236" s="43">
        <f>'Parameter Input'!$L$93</f>
        <v>20</v>
      </c>
      <c r="C236" s="44">
        <f>'Parameter Input'!$M$93</f>
        <v>20</v>
      </c>
      <c r="D236" s="1" t="s">
        <v>42</v>
      </c>
      <c r="L236" s="54">
        <f>'Parameter Input'!$O$93</f>
        <v>12</v>
      </c>
      <c r="M236" s="37">
        <v>0</v>
      </c>
      <c r="N236" s="37">
        <v>1</v>
      </c>
      <c r="O236" s="37">
        <f>'Parameter Input'!$P$93</f>
        <v>0.9</v>
      </c>
      <c r="P236" s="55">
        <f>'Parameter Input'!$Q$93</f>
        <v>0.4</v>
      </c>
      <c r="Q236" s="4">
        <f t="shared" ref="Q236:AF241" si="164">$N236+($M236-$N236)*((1/(1+EXP(-$P236*(Q$9-$L236)))^$O236))</f>
        <v>0.9867978615748374</v>
      </c>
      <c r="R236" s="4">
        <f t="shared" si="164"/>
        <v>0.98114509762858249</v>
      </c>
      <c r="S236" s="4">
        <f t="shared" si="164"/>
        <v>0.97311898315872036</v>
      </c>
      <c r="T236" s="4">
        <f t="shared" si="164"/>
        <v>0.96177484161592774</v>
      </c>
      <c r="U236" s="4">
        <f t="shared" si="164"/>
        <v>0.94584787155511363</v>
      </c>
      <c r="V236" s="4">
        <f t="shared" si="164"/>
        <v>0.92370360150141495</v>
      </c>
      <c r="W236" s="4">
        <f t="shared" si="164"/>
        <v>0.89334463567658451</v>
      </c>
      <c r="X236" s="4">
        <f t="shared" si="164"/>
        <v>0.85254543874327005</v>
      </c>
      <c r="Y236" s="4">
        <f t="shared" si="164"/>
        <v>0.79921300652623883</v>
      </c>
      <c r="Z236" s="4">
        <f t="shared" si="164"/>
        <v>0.73204982249993378</v>
      </c>
      <c r="AA236" s="4">
        <f t="shared" si="164"/>
        <v>0.65145592958786691</v>
      </c>
      <c r="AB236" s="4">
        <f t="shared" si="164"/>
        <v>0.56032247880849573</v>
      </c>
      <c r="AC236" s="4">
        <f t="shared" si="164"/>
        <v>0.46411326873185343</v>
      </c>
      <c r="AD236" s="4">
        <f t="shared" si="164"/>
        <v>0.36979727595523937</v>
      </c>
      <c r="AE236" s="4">
        <f t="shared" si="164"/>
        <v>0.28393948637231203</v>
      </c>
      <c r="AF236" s="4">
        <f t="shared" si="164"/>
        <v>0.21097259161117732</v>
      </c>
      <c r="AG236" s="4">
        <f t="shared" si="161"/>
        <v>0.15253917653798199</v>
      </c>
      <c r="AH236" s="4">
        <f t="shared" si="161"/>
        <v>0.10795188737709993</v>
      </c>
      <c r="AI236" s="4">
        <f t="shared" si="161"/>
        <v>7.5176653938091809E-2</v>
      </c>
      <c r="AJ236" s="4">
        <f t="shared" si="162"/>
        <v>5.1742836177502194E-2</v>
      </c>
      <c r="AK236" s="4">
        <f t="shared" si="162"/>
        <v>3.5319190625345942E-2</v>
      </c>
      <c r="AL236" s="4">
        <f t="shared" si="162"/>
        <v>2.3969442072658165E-2</v>
      </c>
      <c r="AM236" s="4">
        <f t="shared" si="162"/>
        <v>1.6202243558389728E-2</v>
      </c>
      <c r="AN236" s="4">
        <f t="shared" si="162"/>
        <v>1.0922240564108399E-2</v>
      </c>
      <c r="AO236" s="4">
        <f t="shared" si="162"/>
        <v>7.3493212906090566E-3</v>
      </c>
      <c r="AP236" s="4">
        <f t="shared" si="162"/>
        <v>4.9390262185057265E-3</v>
      </c>
      <c r="AQ236" s="4">
        <f t="shared" si="162"/>
        <v>3.3164275492956197E-3</v>
      </c>
      <c r="AR236" s="4">
        <f t="shared" si="162"/>
        <v>2.2256362146679809E-3</v>
      </c>
    </row>
    <row r="237" spans="1:44" x14ac:dyDescent="0.25">
      <c r="A237" s="24" t="s">
        <v>70</v>
      </c>
      <c r="B237" s="43">
        <f>'Parameter Input'!B121</f>
        <v>30</v>
      </c>
      <c r="C237" s="44">
        <f>'Parameter Input'!C121</f>
        <v>30</v>
      </c>
      <c r="D237" s="1" t="s">
        <v>42</v>
      </c>
      <c r="L237" s="54">
        <f>'Parameter Input'!E121</f>
        <v>12</v>
      </c>
      <c r="M237" s="37">
        <v>0</v>
      </c>
      <c r="N237" s="37">
        <v>1</v>
      </c>
      <c r="O237" s="37">
        <f>'Parameter Input'!F121</f>
        <v>0.9</v>
      </c>
      <c r="P237" s="55">
        <f>'Parameter Input'!G121</f>
        <v>0.4</v>
      </c>
      <c r="Q237" s="4">
        <f t="shared" si="164"/>
        <v>0.9867978615748374</v>
      </c>
      <c r="R237" s="4">
        <f t="shared" si="164"/>
        <v>0.98114509762858249</v>
      </c>
      <c r="S237" s="4">
        <f t="shared" si="164"/>
        <v>0.97311898315872036</v>
      </c>
      <c r="T237" s="4">
        <f t="shared" si="164"/>
        <v>0.96177484161592774</v>
      </c>
      <c r="U237" s="4">
        <f t="shared" si="164"/>
        <v>0.94584787155511363</v>
      </c>
      <c r="V237" s="4">
        <f t="shared" si="164"/>
        <v>0.92370360150141495</v>
      </c>
      <c r="W237" s="4">
        <f t="shared" si="164"/>
        <v>0.89334463567658451</v>
      </c>
      <c r="X237" s="4">
        <f t="shared" si="164"/>
        <v>0.85254543874327005</v>
      </c>
      <c r="Y237" s="4">
        <f t="shared" si="164"/>
        <v>0.79921300652623883</v>
      </c>
      <c r="Z237" s="4">
        <f t="shared" si="164"/>
        <v>0.73204982249993378</v>
      </c>
      <c r="AA237" s="4">
        <f t="shared" si="164"/>
        <v>0.65145592958786691</v>
      </c>
      <c r="AB237" s="4">
        <f t="shared" si="164"/>
        <v>0.56032247880849573</v>
      </c>
      <c r="AC237" s="4">
        <f t="shared" si="164"/>
        <v>0.46411326873185343</v>
      </c>
      <c r="AD237" s="4">
        <f t="shared" si="164"/>
        <v>0.36979727595523937</v>
      </c>
      <c r="AE237" s="4">
        <f t="shared" si="164"/>
        <v>0.28393948637231203</v>
      </c>
      <c r="AF237" s="4">
        <f t="shared" si="164"/>
        <v>0.21097259161117732</v>
      </c>
      <c r="AG237" s="4">
        <f t="shared" si="161"/>
        <v>0.15253917653798199</v>
      </c>
      <c r="AH237" s="4">
        <f t="shared" si="161"/>
        <v>0.10795188737709993</v>
      </c>
      <c r="AI237" s="4">
        <f t="shared" si="161"/>
        <v>7.5176653938091809E-2</v>
      </c>
      <c r="AJ237" s="4">
        <f t="shared" si="162"/>
        <v>5.1742836177502194E-2</v>
      </c>
      <c r="AK237" s="4">
        <f t="shared" si="162"/>
        <v>3.5319190625345942E-2</v>
      </c>
      <c r="AL237" s="4">
        <f t="shared" si="162"/>
        <v>2.3969442072658165E-2</v>
      </c>
      <c r="AM237" s="4">
        <f t="shared" si="162"/>
        <v>1.6202243558389728E-2</v>
      </c>
      <c r="AN237" s="4">
        <f t="shared" si="162"/>
        <v>1.0922240564108399E-2</v>
      </c>
      <c r="AO237" s="4">
        <f t="shared" si="162"/>
        <v>7.3493212906090566E-3</v>
      </c>
      <c r="AP237" s="4">
        <f t="shared" si="162"/>
        <v>4.9390262185057265E-3</v>
      </c>
      <c r="AQ237" s="4">
        <f t="shared" si="162"/>
        <v>3.3164275492956197E-3</v>
      </c>
      <c r="AR237" s="4">
        <f t="shared" si="162"/>
        <v>2.2256362146679809E-3</v>
      </c>
    </row>
    <row r="238" spans="1:44" x14ac:dyDescent="0.25">
      <c r="A238" s="24" t="s">
        <v>207</v>
      </c>
      <c r="B238" s="70">
        <f>'Parameter Input'!B118</f>
        <v>2240</v>
      </c>
      <c r="C238" s="71">
        <f>'Parameter Input'!C118</f>
        <v>2240</v>
      </c>
      <c r="D238" s="1" t="s">
        <v>49</v>
      </c>
      <c r="L238" s="54">
        <f>'Parameter Input'!E118</f>
        <v>12</v>
      </c>
      <c r="M238" s="37">
        <v>0</v>
      </c>
      <c r="N238" s="37">
        <v>1</v>
      </c>
      <c r="O238" s="37">
        <f>'Parameter Input'!F118</f>
        <v>0.9</v>
      </c>
      <c r="P238" s="55">
        <f>'Parameter Input'!G118</f>
        <v>0.4</v>
      </c>
      <c r="Q238" s="4">
        <f t="shared" si="164"/>
        <v>0.9867978615748374</v>
      </c>
      <c r="R238" s="4">
        <f t="shared" si="164"/>
        <v>0.98114509762858249</v>
      </c>
      <c r="S238" s="4">
        <f t="shared" si="164"/>
        <v>0.97311898315872036</v>
      </c>
      <c r="T238" s="4">
        <f t="shared" si="164"/>
        <v>0.96177484161592774</v>
      </c>
      <c r="U238" s="4">
        <f t="shared" si="164"/>
        <v>0.94584787155511363</v>
      </c>
      <c r="V238" s="4">
        <f t="shared" si="164"/>
        <v>0.92370360150141495</v>
      </c>
      <c r="W238" s="4">
        <f t="shared" si="164"/>
        <v>0.89334463567658451</v>
      </c>
      <c r="X238" s="4">
        <f t="shared" si="164"/>
        <v>0.85254543874327005</v>
      </c>
      <c r="Y238" s="4">
        <f t="shared" si="164"/>
        <v>0.79921300652623883</v>
      </c>
      <c r="Z238" s="4">
        <f t="shared" si="164"/>
        <v>0.73204982249993378</v>
      </c>
      <c r="AA238" s="4">
        <f t="shared" si="164"/>
        <v>0.65145592958786691</v>
      </c>
      <c r="AB238" s="4">
        <f t="shared" si="164"/>
        <v>0.56032247880849573</v>
      </c>
      <c r="AC238" s="4">
        <f t="shared" si="164"/>
        <v>0.46411326873185343</v>
      </c>
      <c r="AD238" s="4">
        <f t="shared" si="164"/>
        <v>0.36979727595523937</v>
      </c>
      <c r="AE238" s="4">
        <f t="shared" si="164"/>
        <v>0.28393948637231203</v>
      </c>
      <c r="AF238" s="4">
        <f t="shared" si="164"/>
        <v>0.21097259161117732</v>
      </c>
      <c r="AG238" s="4">
        <f t="shared" si="161"/>
        <v>0.15253917653798199</v>
      </c>
      <c r="AH238" s="4">
        <f t="shared" si="161"/>
        <v>0.10795188737709993</v>
      </c>
      <c r="AI238" s="4">
        <f t="shared" si="161"/>
        <v>7.5176653938091809E-2</v>
      </c>
      <c r="AJ238" s="4">
        <f t="shared" si="162"/>
        <v>5.1742836177502194E-2</v>
      </c>
      <c r="AK238" s="4">
        <f t="shared" si="162"/>
        <v>3.5319190625345942E-2</v>
      </c>
      <c r="AL238" s="4">
        <f t="shared" si="162"/>
        <v>2.3969442072658165E-2</v>
      </c>
      <c r="AM238" s="4">
        <f t="shared" si="162"/>
        <v>1.6202243558389728E-2</v>
      </c>
      <c r="AN238" s="4">
        <f t="shared" si="162"/>
        <v>1.0922240564108399E-2</v>
      </c>
      <c r="AO238" s="4">
        <f t="shared" si="162"/>
        <v>7.3493212906090566E-3</v>
      </c>
      <c r="AP238" s="4">
        <f t="shared" si="162"/>
        <v>4.9390262185057265E-3</v>
      </c>
      <c r="AQ238" s="4">
        <f t="shared" si="162"/>
        <v>3.3164275492956197E-3</v>
      </c>
      <c r="AR238" s="4">
        <f t="shared" si="162"/>
        <v>2.2256362146679809E-3</v>
      </c>
    </row>
    <row r="239" spans="1:44" x14ac:dyDescent="0.25">
      <c r="A239" s="24" t="s">
        <v>56</v>
      </c>
      <c r="B239" s="72">
        <f>'Parameter Input'!B119</f>
        <v>0.42666666666666669</v>
      </c>
      <c r="C239" s="73">
        <f>'Parameter Input'!C119</f>
        <v>0.42666666666666669</v>
      </c>
      <c r="D239" s="1" t="s">
        <v>57</v>
      </c>
      <c r="L239" s="54">
        <f>'Parameter Input'!E119</f>
        <v>12</v>
      </c>
      <c r="M239" s="37">
        <v>0</v>
      </c>
      <c r="N239" s="37">
        <v>1</v>
      </c>
      <c r="O239" s="37">
        <f>'Parameter Input'!F119</f>
        <v>0.9</v>
      </c>
      <c r="P239" s="55">
        <f>'Parameter Input'!G119</f>
        <v>0.4</v>
      </c>
      <c r="Q239" s="4">
        <f t="shared" si="164"/>
        <v>0.9867978615748374</v>
      </c>
      <c r="R239" s="4">
        <f t="shared" si="164"/>
        <v>0.98114509762858249</v>
      </c>
      <c r="S239" s="4">
        <f t="shared" si="164"/>
        <v>0.97311898315872036</v>
      </c>
      <c r="T239" s="4">
        <f t="shared" si="164"/>
        <v>0.96177484161592774</v>
      </c>
      <c r="U239" s="4">
        <f t="shared" si="164"/>
        <v>0.94584787155511363</v>
      </c>
      <c r="V239" s="4">
        <f t="shared" si="164"/>
        <v>0.92370360150141495</v>
      </c>
      <c r="W239" s="4">
        <f t="shared" si="164"/>
        <v>0.89334463567658451</v>
      </c>
      <c r="X239" s="4">
        <f t="shared" si="164"/>
        <v>0.85254543874327005</v>
      </c>
      <c r="Y239" s="4">
        <f t="shared" si="164"/>
        <v>0.79921300652623883</v>
      </c>
      <c r="Z239" s="4">
        <f t="shared" si="164"/>
        <v>0.73204982249993378</v>
      </c>
      <c r="AA239" s="4">
        <f t="shared" si="164"/>
        <v>0.65145592958786691</v>
      </c>
      <c r="AB239" s="4">
        <f t="shared" si="164"/>
        <v>0.56032247880849573</v>
      </c>
      <c r="AC239" s="4">
        <f t="shared" si="164"/>
        <v>0.46411326873185343</v>
      </c>
      <c r="AD239" s="4">
        <f t="shared" si="164"/>
        <v>0.36979727595523937</v>
      </c>
      <c r="AE239" s="4">
        <f t="shared" si="164"/>
        <v>0.28393948637231203</v>
      </c>
      <c r="AF239" s="4">
        <f t="shared" si="164"/>
        <v>0.21097259161117732</v>
      </c>
      <c r="AG239" s="4">
        <f t="shared" si="161"/>
        <v>0.15253917653798199</v>
      </c>
      <c r="AH239" s="4">
        <f t="shared" si="161"/>
        <v>0.10795188737709993</v>
      </c>
      <c r="AI239" s="4">
        <f t="shared" si="161"/>
        <v>7.5176653938091809E-2</v>
      </c>
      <c r="AJ239" s="4">
        <f t="shared" si="162"/>
        <v>5.1742836177502194E-2</v>
      </c>
      <c r="AK239" s="4">
        <f t="shared" si="162"/>
        <v>3.5319190625345942E-2</v>
      </c>
      <c r="AL239" s="4">
        <f t="shared" si="162"/>
        <v>2.3969442072658165E-2</v>
      </c>
      <c r="AM239" s="4">
        <f t="shared" si="162"/>
        <v>1.6202243558389728E-2</v>
      </c>
      <c r="AN239" s="4">
        <f t="shared" si="162"/>
        <v>1.0922240564108399E-2</v>
      </c>
      <c r="AO239" s="4">
        <f t="shared" si="162"/>
        <v>7.3493212906090566E-3</v>
      </c>
      <c r="AP239" s="4">
        <f t="shared" si="162"/>
        <v>4.9390262185057265E-3</v>
      </c>
      <c r="AQ239" s="4">
        <f t="shared" si="162"/>
        <v>3.3164275492956197E-3</v>
      </c>
      <c r="AR239" s="4">
        <f t="shared" si="162"/>
        <v>2.2256362146679809E-3</v>
      </c>
    </row>
    <row r="240" spans="1:44" x14ac:dyDescent="0.25">
      <c r="A240" s="24" t="s">
        <v>73</v>
      </c>
      <c r="B240" s="72">
        <f>'Parameter Input'!$L$97</f>
        <v>0</v>
      </c>
      <c r="C240" s="73">
        <f>'Parameter Input'!$M$97</f>
        <v>0</v>
      </c>
      <c r="D240" s="1" t="s">
        <v>57</v>
      </c>
      <c r="L240" s="54">
        <f>'Parameter Input'!$O$97</f>
        <v>12</v>
      </c>
      <c r="M240" s="37">
        <v>0</v>
      </c>
      <c r="N240" s="37">
        <v>1</v>
      </c>
      <c r="O240" s="37">
        <f>'Parameter Input'!$P$97</f>
        <v>0.9</v>
      </c>
      <c r="P240" s="55">
        <f>'Parameter Input'!$Q$97</f>
        <v>0.4</v>
      </c>
      <c r="Q240" s="4">
        <f t="shared" si="164"/>
        <v>0.9867978615748374</v>
      </c>
      <c r="R240" s="4">
        <f t="shared" si="164"/>
        <v>0.98114509762858249</v>
      </c>
      <c r="S240" s="4">
        <f t="shared" si="164"/>
        <v>0.97311898315872036</v>
      </c>
      <c r="T240" s="4">
        <f t="shared" si="164"/>
        <v>0.96177484161592774</v>
      </c>
      <c r="U240" s="4">
        <f t="shared" si="164"/>
        <v>0.94584787155511363</v>
      </c>
      <c r="V240" s="4">
        <f t="shared" si="164"/>
        <v>0.92370360150141495</v>
      </c>
      <c r="W240" s="4">
        <f t="shared" si="164"/>
        <v>0.89334463567658451</v>
      </c>
      <c r="X240" s="4">
        <f t="shared" si="164"/>
        <v>0.85254543874327005</v>
      </c>
      <c r="Y240" s="4">
        <f t="shared" si="164"/>
        <v>0.79921300652623883</v>
      </c>
      <c r="Z240" s="4">
        <f t="shared" si="164"/>
        <v>0.73204982249993378</v>
      </c>
      <c r="AA240" s="4">
        <f t="shared" si="164"/>
        <v>0.65145592958786691</v>
      </c>
      <c r="AB240" s="4">
        <f t="shared" si="164"/>
        <v>0.56032247880849573</v>
      </c>
      <c r="AC240" s="4">
        <f t="shared" si="164"/>
        <v>0.46411326873185343</v>
      </c>
      <c r="AD240" s="4">
        <f t="shared" si="164"/>
        <v>0.36979727595523937</v>
      </c>
      <c r="AE240" s="4">
        <f t="shared" si="164"/>
        <v>0.28393948637231203</v>
      </c>
      <c r="AF240" s="4">
        <f t="shared" si="164"/>
        <v>0.21097259161117732</v>
      </c>
      <c r="AG240" s="4">
        <f t="shared" si="161"/>
        <v>0.15253917653798199</v>
      </c>
      <c r="AH240" s="4">
        <f t="shared" si="161"/>
        <v>0.10795188737709993</v>
      </c>
      <c r="AI240" s="4">
        <f t="shared" si="161"/>
        <v>7.5176653938091809E-2</v>
      </c>
      <c r="AJ240" s="4">
        <f t="shared" si="162"/>
        <v>5.1742836177502194E-2</v>
      </c>
      <c r="AK240" s="4">
        <f t="shared" si="162"/>
        <v>3.5319190625345942E-2</v>
      </c>
      <c r="AL240" s="4">
        <f t="shared" si="162"/>
        <v>2.3969442072658165E-2</v>
      </c>
      <c r="AM240" s="4">
        <f t="shared" si="162"/>
        <v>1.6202243558389728E-2</v>
      </c>
      <c r="AN240" s="4">
        <f t="shared" si="162"/>
        <v>1.0922240564108399E-2</v>
      </c>
      <c r="AO240" s="4">
        <f t="shared" si="162"/>
        <v>7.3493212906090566E-3</v>
      </c>
      <c r="AP240" s="4">
        <f t="shared" si="162"/>
        <v>4.9390262185057265E-3</v>
      </c>
      <c r="AQ240" s="4">
        <f t="shared" si="162"/>
        <v>3.3164275492956197E-3</v>
      </c>
      <c r="AR240" s="4">
        <f t="shared" si="162"/>
        <v>2.2256362146679809E-3</v>
      </c>
    </row>
    <row r="241" spans="1:44" ht="15.75" thickBot="1" x14ac:dyDescent="0.3">
      <c r="A241" s="24" t="s">
        <v>64</v>
      </c>
      <c r="B241" s="74">
        <f>'Parameter Input'!B120</f>
        <v>178500</v>
      </c>
      <c r="C241" s="75">
        <f>'Parameter Input'!C120</f>
        <v>178500</v>
      </c>
      <c r="D241" s="1" t="s">
        <v>65</v>
      </c>
      <c r="L241" s="56">
        <f>'Parameter Input'!E120</f>
        <v>12</v>
      </c>
      <c r="M241" s="57">
        <v>0</v>
      </c>
      <c r="N241" s="57">
        <v>1</v>
      </c>
      <c r="O241" s="57">
        <f>'Parameter Input'!F120</f>
        <v>0.9</v>
      </c>
      <c r="P241" s="58">
        <f>'Parameter Input'!G120</f>
        <v>0.4</v>
      </c>
      <c r="Q241" s="4">
        <f t="shared" si="164"/>
        <v>0.9867978615748374</v>
      </c>
      <c r="R241" s="4">
        <f t="shared" si="164"/>
        <v>0.98114509762858249</v>
      </c>
      <c r="S241" s="4">
        <f t="shared" si="164"/>
        <v>0.97311898315872036</v>
      </c>
      <c r="T241" s="4">
        <f t="shared" si="164"/>
        <v>0.96177484161592774</v>
      </c>
      <c r="U241" s="4">
        <f t="shared" si="164"/>
        <v>0.94584787155511363</v>
      </c>
      <c r="V241" s="4">
        <f t="shared" si="164"/>
        <v>0.92370360150141495</v>
      </c>
      <c r="W241" s="4">
        <f t="shared" si="164"/>
        <v>0.89334463567658451</v>
      </c>
      <c r="X241" s="4">
        <f t="shared" si="164"/>
        <v>0.85254543874327005</v>
      </c>
      <c r="Y241" s="4">
        <f t="shared" si="164"/>
        <v>0.79921300652623883</v>
      </c>
      <c r="Z241" s="4">
        <f t="shared" si="164"/>
        <v>0.73204982249993378</v>
      </c>
      <c r="AA241" s="4">
        <f t="shared" si="164"/>
        <v>0.65145592958786691</v>
      </c>
      <c r="AB241" s="4">
        <f t="shared" si="164"/>
        <v>0.56032247880849573</v>
      </c>
      <c r="AC241" s="4">
        <f t="shared" si="164"/>
        <v>0.46411326873185343</v>
      </c>
      <c r="AD241" s="4">
        <f t="shared" si="164"/>
        <v>0.36979727595523937</v>
      </c>
      <c r="AE241" s="4">
        <f t="shared" si="164"/>
        <v>0.28393948637231203</v>
      </c>
      <c r="AF241" s="4">
        <f t="shared" si="164"/>
        <v>0.21097259161117732</v>
      </c>
      <c r="AG241" s="4">
        <f t="shared" si="161"/>
        <v>0.15253917653798199</v>
      </c>
      <c r="AH241" s="4">
        <f t="shared" si="161"/>
        <v>0.10795188737709993</v>
      </c>
      <c r="AI241" s="4">
        <f t="shared" si="161"/>
        <v>7.5176653938091809E-2</v>
      </c>
      <c r="AJ241" s="4">
        <f t="shared" si="162"/>
        <v>5.1742836177502194E-2</v>
      </c>
      <c r="AK241" s="4">
        <f t="shared" si="162"/>
        <v>3.5319190625345942E-2</v>
      </c>
      <c r="AL241" s="4">
        <f t="shared" si="162"/>
        <v>2.3969442072658165E-2</v>
      </c>
      <c r="AM241" s="4">
        <f t="shared" si="162"/>
        <v>1.6202243558389728E-2</v>
      </c>
      <c r="AN241" s="4">
        <f t="shared" si="162"/>
        <v>1.0922240564108399E-2</v>
      </c>
      <c r="AO241" s="4">
        <f t="shared" si="162"/>
        <v>7.3493212906090566E-3</v>
      </c>
      <c r="AP241" s="4">
        <f t="shared" si="162"/>
        <v>4.9390262185057265E-3</v>
      </c>
      <c r="AQ241" s="4">
        <f t="shared" si="162"/>
        <v>3.3164275492956197E-3</v>
      </c>
      <c r="AR241" s="4">
        <f t="shared" si="162"/>
        <v>2.2256362146679809E-3</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9" si="165">A225</f>
        <v>Capex vehicle</v>
      </c>
      <c r="B245" s="62">
        <f t="shared" ref="B245:B254" si="166">$B225+($C225-$B225)*(1-Q225)</f>
        <v>3500000</v>
      </c>
      <c r="C245" s="62">
        <f t="shared" ref="C245:C254" si="167">$B225+($C225-$B225)*(1-R225)</f>
        <v>3500000</v>
      </c>
      <c r="D245" s="62">
        <f t="shared" ref="D245:D254" si="168">$B225+($C225-$B225)*(1-S225)</f>
        <v>3500000</v>
      </c>
      <c r="E245" s="62">
        <f t="shared" ref="E245:E254" si="169">$B225+($C225-$B225)*(1-T225)</f>
        <v>3500000</v>
      </c>
      <c r="F245" s="62">
        <f t="shared" ref="F245:F254" si="170">$B225+($C225-$B225)*(1-U225)</f>
        <v>3500000</v>
      </c>
      <c r="G245" s="62">
        <f t="shared" ref="G245:G254" si="171">$B225+($C225-$B225)*(1-V225)</f>
        <v>3500000</v>
      </c>
      <c r="H245" s="62">
        <f t="shared" ref="H245:H254" si="172">$B225+($C225-$B225)*(1-W225)</f>
        <v>3500000</v>
      </c>
      <c r="I245" s="62">
        <f t="shared" ref="I245:I254" si="173">$B225+($C225-$B225)*(1-X225)</f>
        <v>3500000</v>
      </c>
      <c r="J245" s="62">
        <f t="shared" ref="J245:J254" si="174">$B225+($C225-$B225)*(1-Y225)</f>
        <v>3500000</v>
      </c>
      <c r="K245" s="62">
        <f t="shared" ref="K245:K254" si="175">$B225+($C225-$B225)*(1-Z225)</f>
        <v>3500000</v>
      </c>
      <c r="L245" s="62">
        <f t="shared" ref="L245:L254" si="176">$B225+($C225-$B225)*(1-AA225)</f>
        <v>3500000</v>
      </c>
      <c r="M245" s="62">
        <f t="shared" ref="M245:M254" si="177">$B225+($C225-$B225)*(1-AB225)</f>
        <v>3500000</v>
      </c>
      <c r="N245" s="62">
        <f t="shared" ref="N245:N254" si="178">$B225+($C225-$B225)*(1-AC225)</f>
        <v>3500000</v>
      </c>
      <c r="O245" s="62">
        <f t="shared" ref="O245:O254" si="179">$B225+($C225-$B225)*(1-AD225)</f>
        <v>3500000</v>
      </c>
      <c r="P245" s="62">
        <f t="shared" ref="P245:P254" si="180">$B225+($C225-$B225)*(1-AE225)</f>
        <v>3500000</v>
      </c>
      <c r="Q245" s="62">
        <f t="shared" ref="Q245:Q254" si="181">$B225+($C225-$B225)*(1-AF225)</f>
        <v>3500000</v>
      </c>
      <c r="R245" s="62">
        <f t="shared" ref="R245:R254" si="182">$B225+($C225-$B225)*(1-AG225)</f>
        <v>3500000</v>
      </c>
      <c r="S245" s="62">
        <f t="shared" ref="S245:S254" si="183">$B225+($C225-$B225)*(1-AH225)</f>
        <v>3500000</v>
      </c>
      <c r="T245" s="62">
        <f t="shared" ref="T245:T254" si="184">$B225+($C225-$B225)*(1-AI225)</f>
        <v>3500000</v>
      </c>
      <c r="U245" s="62">
        <f t="shared" ref="U245:U254" si="185">$B225+($C225-$B225)*(1-AJ225)</f>
        <v>3500000</v>
      </c>
      <c r="V245" s="62">
        <f t="shared" ref="V245:V254" si="186">$B225+($C225-$B225)*(1-AK225)</f>
        <v>3500000</v>
      </c>
      <c r="W245" s="62">
        <f t="shared" ref="W245:W254" si="187">$B225+($C225-$B225)*(1-AL225)</f>
        <v>3500000</v>
      </c>
      <c r="X245" s="62">
        <f t="shared" ref="X245:X254" si="188">$B225+($C225-$B225)*(1-AM225)</f>
        <v>3500000</v>
      </c>
      <c r="Y245" s="62">
        <f t="shared" ref="Y245:Y254" si="189">$B225+($C225-$B225)*(1-AN225)</f>
        <v>3500000</v>
      </c>
      <c r="Z245" s="62">
        <f t="shared" ref="Z245:Z254" si="190">$B225+($C225-$B225)*(1-AO225)</f>
        <v>3500000</v>
      </c>
      <c r="AA245" s="62">
        <f t="shared" ref="AA245:AA254" si="191">$B225+($C225-$B225)*(1-AP225)</f>
        <v>3500000</v>
      </c>
      <c r="AB245" s="62">
        <f t="shared" ref="AB245:AB254" si="192">$B225+($C225-$B225)*(1-AQ225)</f>
        <v>3500000</v>
      </c>
      <c r="AC245" s="62">
        <f t="shared" ref="AC245:AC254" si="193">$B225+($C225-$B225)*(1-AR225)</f>
        <v>3500000</v>
      </c>
    </row>
    <row r="246" spans="1:44" x14ac:dyDescent="0.25">
      <c r="A246" s="30" t="str">
        <f t="shared" si="165"/>
        <v>Residual value (vehicle)</v>
      </c>
      <c r="B246" s="62">
        <f t="shared" si="166"/>
        <v>-520379.25155119307</v>
      </c>
      <c r="C246" s="62">
        <f t="shared" si="167"/>
        <v>-518400.78417000384</v>
      </c>
      <c r="D246" s="62">
        <f t="shared" si="168"/>
        <v>-515591.64410555211</v>
      </c>
      <c r="E246" s="62">
        <f t="shared" si="169"/>
        <v>-511621.1945655747</v>
      </c>
      <c r="F246" s="62">
        <f t="shared" si="170"/>
        <v>-506046.75504428975</v>
      </c>
      <c r="G246" s="62">
        <f t="shared" si="171"/>
        <v>-498296.26052549522</v>
      </c>
      <c r="H246" s="62">
        <f t="shared" si="172"/>
        <v>-487670.62248680455</v>
      </c>
      <c r="I246" s="62">
        <f t="shared" si="173"/>
        <v>-473390.90356014454</v>
      </c>
      <c r="J246" s="62">
        <f t="shared" si="174"/>
        <v>-454724.55228418356</v>
      </c>
      <c r="K246" s="62">
        <f t="shared" si="175"/>
        <v>-431217.43787497684</v>
      </c>
      <c r="L246" s="62">
        <f t="shared" si="176"/>
        <v>-403009.57535575342</v>
      </c>
      <c r="M246" s="62">
        <f t="shared" si="177"/>
        <v>-371112.8675829735</v>
      </c>
      <c r="N246" s="62">
        <f t="shared" si="178"/>
        <v>-337439.64405614871</v>
      </c>
      <c r="O246" s="62">
        <f t="shared" si="179"/>
        <v>-304429.04658433376</v>
      </c>
      <c r="P246" s="62">
        <f t="shared" si="180"/>
        <v>-274378.82023030921</v>
      </c>
      <c r="Q246" s="62">
        <f t="shared" si="181"/>
        <v>-248840.40706391208</v>
      </c>
      <c r="R246" s="62">
        <f t="shared" si="182"/>
        <v>-228388.71178829367</v>
      </c>
      <c r="S246" s="62">
        <f t="shared" si="183"/>
        <v>-212783.16058198496</v>
      </c>
      <c r="T246" s="62">
        <f t="shared" si="184"/>
        <v>-201311.8288783321</v>
      </c>
      <c r="U246" s="62">
        <f t="shared" si="185"/>
        <v>-193109.99266212579</v>
      </c>
      <c r="V246" s="62">
        <f t="shared" si="186"/>
        <v>-187361.71671887109</v>
      </c>
      <c r="W246" s="62">
        <f t="shared" si="187"/>
        <v>-183389.30472543038</v>
      </c>
      <c r="X246" s="62">
        <f t="shared" si="188"/>
        <v>-180670.78524543642</v>
      </c>
      <c r="Y246" s="62">
        <f t="shared" si="189"/>
        <v>-178822.78419743793</v>
      </c>
      <c r="Z246" s="62">
        <f t="shared" si="190"/>
        <v>-177572.26245171315</v>
      </c>
      <c r="AA246" s="62">
        <f t="shared" si="191"/>
        <v>-176728.659176477</v>
      </c>
      <c r="AB246" s="62">
        <f t="shared" si="192"/>
        <v>-176160.74964225345</v>
      </c>
      <c r="AC246" s="62">
        <f t="shared" si="193"/>
        <v>-175778.97267513379</v>
      </c>
    </row>
    <row r="247" spans="1:44" x14ac:dyDescent="0.25">
      <c r="A247" s="30" t="str">
        <f t="shared" si="165"/>
        <v>Capex costumization</v>
      </c>
      <c r="B247" s="62">
        <f t="shared" si="166"/>
        <v>2800000</v>
      </c>
      <c r="C247" s="62">
        <f t="shared" si="167"/>
        <v>2800000</v>
      </c>
      <c r="D247" s="62">
        <f t="shared" si="168"/>
        <v>2800000</v>
      </c>
      <c r="E247" s="62">
        <f t="shared" si="169"/>
        <v>2800000</v>
      </c>
      <c r="F247" s="62">
        <f t="shared" si="170"/>
        <v>2800000</v>
      </c>
      <c r="G247" s="62">
        <f t="shared" si="171"/>
        <v>2800000</v>
      </c>
      <c r="H247" s="62">
        <f t="shared" si="172"/>
        <v>2800000</v>
      </c>
      <c r="I247" s="62">
        <f t="shared" si="173"/>
        <v>2800000</v>
      </c>
      <c r="J247" s="62">
        <f t="shared" si="174"/>
        <v>2800000</v>
      </c>
      <c r="K247" s="62">
        <f t="shared" si="175"/>
        <v>2800000</v>
      </c>
      <c r="L247" s="62">
        <f t="shared" si="176"/>
        <v>2800000</v>
      </c>
      <c r="M247" s="62">
        <f t="shared" si="177"/>
        <v>2800000</v>
      </c>
      <c r="N247" s="62">
        <f t="shared" si="178"/>
        <v>2800000</v>
      </c>
      <c r="O247" s="62">
        <f t="shared" si="179"/>
        <v>2800000</v>
      </c>
      <c r="P247" s="62">
        <f t="shared" si="180"/>
        <v>2800000</v>
      </c>
      <c r="Q247" s="62">
        <f t="shared" si="181"/>
        <v>2800000</v>
      </c>
      <c r="R247" s="62">
        <f t="shared" si="182"/>
        <v>2800000</v>
      </c>
      <c r="S247" s="62">
        <f t="shared" si="183"/>
        <v>2800000</v>
      </c>
      <c r="T247" s="62">
        <f t="shared" si="184"/>
        <v>2800000</v>
      </c>
      <c r="U247" s="62">
        <f t="shared" si="185"/>
        <v>2800000</v>
      </c>
      <c r="V247" s="62">
        <f t="shared" si="186"/>
        <v>2800000</v>
      </c>
      <c r="W247" s="62">
        <f t="shared" si="187"/>
        <v>2800000</v>
      </c>
      <c r="X247" s="62">
        <f t="shared" si="188"/>
        <v>2800000</v>
      </c>
      <c r="Y247" s="62">
        <f t="shared" si="189"/>
        <v>2800000</v>
      </c>
      <c r="Z247" s="62">
        <f t="shared" si="190"/>
        <v>2800000</v>
      </c>
      <c r="AA247" s="62">
        <f t="shared" si="191"/>
        <v>2800000</v>
      </c>
      <c r="AB247" s="62">
        <f t="shared" si="192"/>
        <v>2800000</v>
      </c>
      <c r="AC247" s="62">
        <f t="shared" si="193"/>
        <v>2800000</v>
      </c>
    </row>
    <row r="248" spans="1:44" x14ac:dyDescent="0.25">
      <c r="A248" s="30" t="str">
        <f t="shared" si="165"/>
        <v>Residual value (costumization)</v>
      </c>
      <c r="B248" s="62">
        <f t="shared" si="166"/>
        <v>-140000</v>
      </c>
      <c r="C248" s="62">
        <f t="shared" si="167"/>
        <v>-140000</v>
      </c>
      <c r="D248" s="62">
        <f t="shared" si="168"/>
        <v>-140000</v>
      </c>
      <c r="E248" s="62">
        <f t="shared" si="169"/>
        <v>-140000</v>
      </c>
      <c r="F248" s="62">
        <f t="shared" si="170"/>
        <v>-140000</v>
      </c>
      <c r="G248" s="62">
        <f t="shared" si="171"/>
        <v>-140000</v>
      </c>
      <c r="H248" s="62">
        <f t="shared" si="172"/>
        <v>-140000</v>
      </c>
      <c r="I248" s="62">
        <f t="shared" si="173"/>
        <v>-140000</v>
      </c>
      <c r="J248" s="62">
        <f t="shared" si="174"/>
        <v>-140000</v>
      </c>
      <c r="K248" s="62">
        <f t="shared" si="175"/>
        <v>-140000</v>
      </c>
      <c r="L248" s="62">
        <f t="shared" si="176"/>
        <v>-140000</v>
      </c>
      <c r="M248" s="62">
        <f t="shared" si="177"/>
        <v>-140000</v>
      </c>
      <c r="N248" s="62">
        <f t="shared" si="178"/>
        <v>-140000</v>
      </c>
      <c r="O248" s="62">
        <f t="shared" si="179"/>
        <v>-140000</v>
      </c>
      <c r="P248" s="62">
        <f t="shared" si="180"/>
        <v>-140000</v>
      </c>
      <c r="Q248" s="62">
        <f t="shared" si="181"/>
        <v>-140000</v>
      </c>
      <c r="R248" s="62">
        <f t="shared" si="182"/>
        <v>-140000</v>
      </c>
      <c r="S248" s="62">
        <f t="shared" si="183"/>
        <v>-140000</v>
      </c>
      <c r="T248" s="62">
        <f t="shared" si="184"/>
        <v>-140000</v>
      </c>
      <c r="U248" s="62">
        <f t="shared" si="185"/>
        <v>-140000</v>
      </c>
      <c r="V248" s="62">
        <f t="shared" si="186"/>
        <v>-140000</v>
      </c>
      <c r="W248" s="62">
        <f t="shared" si="187"/>
        <v>-140000</v>
      </c>
      <c r="X248" s="62">
        <f t="shared" si="188"/>
        <v>-140000</v>
      </c>
      <c r="Y248" s="62">
        <f t="shared" si="189"/>
        <v>-140000</v>
      </c>
      <c r="Z248" s="62">
        <f t="shared" si="190"/>
        <v>-140000</v>
      </c>
      <c r="AA248" s="62">
        <f t="shared" si="191"/>
        <v>-140000</v>
      </c>
      <c r="AB248" s="62">
        <f t="shared" si="192"/>
        <v>-140000</v>
      </c>
      <c r="AC248" s="62">
        <f t="shared" si="193"/>
        <v>-140000</v>
      </c>
    </row>
    <row r="249" spans="1:44" x14ac:dyDescent="0.25">
      <c r="A249" s="30" t="str">
        <f t="shared" si="165"/>
        <v>WACC</v>
      </c>
      <c r="B249" s="62">
        <f t="shared" si="166"/>
        <v>0.06</v>
      </c>
      <c r="C249" s="62">
        <f t="shared" si="167"/>
        <v>0.06</v>
      </c>
      <c r="D249" s="62">
        <f t="shared" si="168"/>
        <v>0.06</v>
      </c>
      <c r="E249" s="62">
        <f t="shared" si="169"/>
        <v>0.06</v>
      </c>
      <c r="F249" s="62">
        <f t="shared" si="170"/>
        <v>0.06</v>
      </c>
      <c r="G249" s="62">
        <f t="shared" si="171"/>
        <v>0.06</v>
      </c>
      <c r="H249" s="62">
        <f t="shared" si="172"/>
        <v>0.06</v>
      </c>
      <c r="I249" s="62">
        <f t="shared" si="173"/>
        <v>0.06</v>
      </c>
      <c r="J249" s="62">
        <f t="shared" si="174"/>
        <v>0.06</v>
      </c>
      <c r="K249" s="62">
        <f t="shared" si="175"/>
        <v>0.06</v>
      </c>
      <c r="L249" s="62">
        <f t="shared" si="176"/>
        <v>0.06</v>
      </c>
      <c r="M249" s="62">
        <f t="shared" si="177"/>
        <v>0.06</v>
      </c>
      <c r="N249" s="62">
        <f t="shared" si="178"/>
        <v>0.06</v>
      </c>
      <c r="O249" s="62">
        <f t="shared" si="179"/>
        <v>0.06</v>
      </c>
      <c r="P249" s="62">
        <f t="shared" si="180"/>
        <v>0.06</v>
      </c>
      <c r="Q249" s="62">
        <f t="shared" si="181"/>
        <v>0.06</v>
      </c>
      <c r="R249" s="62">
        <f t="shared" si="182"/>
        <v>0.06</v>
      </c>
      <c r="S249" s="62">
        <f t="shared" si="183"/>
        <v>0.06</v>
      </c>
      <c r="T249" s="62">
        <f t="shared" si="184"/>
        <v>0.06</v>
      </c>
      <c r="U249" s="62">
        <f t="shared" si="185"/>
        <v>0.06</v>
      </c>
      <c r="V249" s="62">
        <f t="shared" si="186"/>
        <v>0.06</v>
      </c>
      <c r="W249" s="62">
        <f t="shared" si="187"/>
        <v>0.06</v>
      </c>
      <c r="X249" s="62">
        <f t="shared" si="188"/>
        <v>0.06</v>
      </c>
      <c r="Y249" s="62">
        <f t="shared" si="189"/>
        <v>0.06</v>
      </c>
      <c r="Z249" s="62">
        <f t="shared" si="190"/>
        <v>0.06</v>
      </c>
      <c r="AA249" s="62">
        <f t="shared" si="191"/>
        <v>0.06</v>
      </c>
      <c r="AB249" s="62">
        <f t="shared" si="192"/>
        <v>0.06</v>
      </c>
      <c r="AC249" s="62">
        <f t="shared" si="193"/>
        <v>0.06</v>
      </c>
    </row>
    <row r="250" spans="1:44" x14ac:dyDescent="0.25">
      <c r="A250" s="30" t="str">
        <f t="shared" si="165"/>
        <v>Opex fix (admin, crew, insurance)</v>
      </c>
      <c r="B250" s="62">
        <f t="shared" si="166"/>
        <v>610000</v>
      </c>
      <c r="C250" s="62">
        <f t="shared" si="167"/>
        <v>610000</v>
      </c>
      <c r="D250" s="62">
        <f t="shared" si="168"/>
        <v>610000</v>
      </c>
      <c r="E250" s="62">
        <f t="shared" si="169"/>
        <v>610000</v>
      </c>
      <c r="F250" s="62">
        <f t="shared" si="170"/>
        <v>610000</v>
      </c>
      <c r="G250" s="62">
        <f t="shared" si="171"/>
        <v>610000</v>
      </c>
      <c r="H250" s="62">
        <f t="shared" si="172"/>
        <v>610000</v>
      </c>
      <c r="I250" s="62">
        <f t="shared" si="173"/>
        <v>610000</v>
      </c>
      <c r="J250" s="62">
        <f t="shared" si="174"/>
        <v>610000</v>
      </c>
      <c r="K250" s="62">
        <f t="shared" si="175"/>
        <v>610000</v>
      </c>
      <c r="L250" s="62">
        <f t="shared" si="176"/>
        <v>610000</v>
      </c>
      <c r="M250" s="62">
        <f t="shared" si="177"/>
        <v>610000</v>
      </c>
      <c r="N250" s="62">
        <f t="shared" si="178"/>
        <v>610000</v>
      </c>
      <c r="O250" s="62">
        <f t="shared" si="179"/>
        <v>610000</v>
      </c>
      <c r="P250" s="62">
        <f t="shared" si="180"/>
        <v>610000</v>
      </c>
      <c r="Q250" s="62">
        <f t="shared" si="181"/>
        <v>610000</v>
      </c>
      <c r="R250" s="62">
        <f t="shared" si="182"/>
        <v>610000</v>
      </c>
      <c r="S250" s="62">
        <f t="shared" si="183"/>
        <v>610000</v>
      </c>
      <c r="T250" s="62">
        <f t="shared" si="184"/>
        <v>610000</v>
      </c>
      <c r="U250" s="62">
        <f t="shared" si="185"/>
        <v>610000</v>
      </c>
      <c r="V250" s="62">
        <f t="shared" si="186"/>
        <v>610000</v>
      </c>
      <c r="W250" s="62">
        <f t="shared" si="187"/>
        <v>610000</v>
      </c>
      <c r="X250" s="62">
        <f t="shared" si="188"/>
        <v>610000</v>
      </c>
      <c r="Y250" s="62">
        <f t="shared" si="189"/>
        <v>610000</v>
      </c>
      <c r="Z250" s="62">
        <f t="shared" si="190"/>
        <v>610000</v>
      </c>
      <c r="AA250" s="62">
        <f t="shared" si="191"/>
        <v>610000</v>
      </c>
      <c r="AB250" s="62">
        <f t="shared" si="192"/>
        <v>610000</v>
      </c>
      <c r="AC250" s="62">
        <f t="shared" si="193"/>
        <v>610000</v>
      </c>
    </row>
    <row r="251" spans="1:44" x14ac:dyDescent="0.25">
      <c r="A251" s="30" t="str">
        <f t="shared" si="165"/>
        <v>Opex maintenance &amp; repair</v>
      </c>
      <c r="B251" s="62">
        <f t="shared" si="166"/>
        <v>1050000</v>
      </c>
      <c r="C251" s="62">
        <f t="shared" si="167"/>
        <v>1050000</v>
      </c>
      <c r="D251" s="62">
        <f t="shared" si="168"/>
        <v>1050000</v>
      </c>
      <c r="E251" s="62">
        <f t="shared" si="169"/>
        <v>1050000</v>
      </c>
      <c r="F251" s="62">
        <f t="shared" si="170"/>
        <v>1050000</v>
      </c>
      <c r="G251" s="62">
        <f t="shared" si="171"/>
        <v>1050000</v>
      </c>
      <c r="H251" s="62">
        <f t="shared" si="172"/>
        <v>1050000</v>
      </c>
      <c r="I251" s="62">
        <f t="shared" si="173"/>
        <v>1050000</v>
      </c>
      <c r="J251" s="62">
        <f t="shared" si="174"/>
        <v>1050000</v>
      </c>
      <c r="K251" s="62">
        <f t="shared" si="175"/>
        <v>1050000</v>
      </c>
      <c r="L251" s="62">
        <f t="shared" si="176"/>
        <v>1050000</v>
      </c>
      <c r="M251" s="62">
        <f t="shared" si="177"/>
        <v>1050000</v>
      </c>
      <c r="N251" s="62">
        <f t="shared" si="178"/>
        <v>1050000</v>
      </c>
      <c r="O251" s="62">
        <f t="shared" si="179"/>
        <v>1050000</v>
      </c>
      <c r="P251" s="62">
        <f t="shared" si="180"/>
        <v>1050000</v>
      </c>
      <c r="Q251" s="62">
        <f t="shared" si="181"/>
        <v>1050000</v>
      </c>
      <c r="R251" s="62">
        <f t="shared" si="182"/>
        <v>1050000</v>
      </c>
      <c r="S251" s="62">
        <f t="shared" si="183"/>
        <v>1050000</v>
      </c>
      <c r="T251" s="62">
        <f t="shared" si="184"/>
        <v>1050000</v>
      </c>
      <c r="U251" s="62">
        <f t="shared" si="185"/>
        <v>1050000</v>
      </c>
      <c r="V251" s="62">
        <f t="shared" si="186"/>
        <v>1050000</v>
      </c>
      <c r="W251" s="62">
        <f t="shared" si="187"/>
        <v>1050000</v>
      </c>
      <c r="X251" s="62">
        <f t="shared" si="188"/>
        <v>1050000</v>
      </c>
      <c r="Y251" s="62">
        <f t="shared" si="189"/>
        <v>1050000</v>
      </c>
      <c r="Z251" s="62">
        <f t="shared" si="190"/>
        <v>1050000</v>
      </c>
      <c r="AA251" s="62">
        <f t="shared" si="191"/>
        <v>1050000</v>
      </c>
      <c r="AB251" s="62">
        <f t="shared" si="192"/>
        <v>1050000</v>
      </c>
      <c r="AC251" s="62">
        <f t="shared" si="193"/>
        <v>1050000</v>
      </c>
    </row>
    <row r="252" spans="1:44" x14ac:dyDescent="0.25">
      <c r="A252" s="30" t="str">
        <f t="shared" si="165"/>
        <v>Opex var (mode-fees, shunting)</v>
      </c>
      <c r="B252" s="62">
        <f t="shared" si="166"/>
        <v>3.6414565826330532</v>
      </c>
      <c r="C252" s="62">
        <f t="shared" si="167"/>
        <v>3.6414565826330532</v>
      </c>
      <c r="D252" s="62">
        <f t="shared" si="168"/>
        <v>3.6414565826330532</v>
      </c>
      <c r="E252" s="62">
        <f t="shared" si="169"/>
        <v>3.6414565826330532</v>
      </c>
      <c r="F252" s="62">
        <f t="shared" si="170"/>
        <v>3.6414565826330532</v>
      </c>
      <c r="G252" s="62">
        <f t="shared" si="171"/>
        <v>3.6414565826330532</v>
      </c>
      <c r="H252" s="62">
        <f t="shared" si="172"/>
        <v>3.6414565826330532</v>
      </c>
      <c r="I252" s="62">
        <f t="shared" si="173"/>
        <v>3.6414565826330532</v>
      </c>
      <c r="J252" s="62">
        <f t="shared" si="174"/>
        <v>3.6414565826330532</v>
      </c>
      <c r="K252" s="62">
        <f t="shared" si="175"/>
        <v>3.6414565826330532</v>
      </c>
      <c r="L252" s="62">
        <f t="shared" si="176"/>
        <v>3.6414565826330532</v>
      </c>
      <c r="M252" s="62">
        <f t="shared" si="177"/>
        <v>3.6414565826330532</v>
      </c>
      <c r="N252" s="62">
        <f t="shared" si="178"/>
        <v>3.6414565826330532</v>
      </c>
      <c r="O252" s="62">
        <f t="shared" si="179"/>
        <v>3.6414565826330532</v>
      </c>
      <c r="P252" s="62">
        <f t="shared" si="180"/>
        <v>3.6414565826330532</v>
      </c>
      <c r="Q252" s="62">
        <f t="shared" si="181"/>
        <v>3.6414565826330532</v>
      </c>
      <c r="R252" s="62">
        <f t="shared" si="182"/>
        <v>3.6414565826330532</v>
      </c>
      <c r="S252" s="62">
        <f t="shared" si="183"/>
        <v>3.6414565826330532</v>
      </c>
      <c r="T252" s="62">
        <f t="shared" si="184"/>
        <v>3.6414565826330532</v>
      </c>
      <c r="U252" s="62">
        <f t="shared" si="185"/>
        <v>3.6414565826330532</v>
      </c>
      <c r="V252" s="62">
        <f t="shared" si="186"/>
        <v>3.6414565826330532</v>
      </c>
      <c r="W252" s="62">
        <f t="shared" si="187"/>
        <v>3.6414565826330532</v>
      </c>
      <c r="X252" s="62">
        <f t="shared" si="188"/>
        <v>3.6414565826330532</v>
      </c>
      <c r="Y252" s="62">
        <f t="shared" si="189"/>
        <v>3.6414565826330532</v>
      </c>
      <c r="Z252" s="62">
        <f t="shared" si="190"/>
        <v>3.6414565826330532</v>
      </c>
      <c r="AA252" s="62">
        <f t="shared" si="191"/>
        <v>3.6414565826330532</v>
      </c>
      <c r="AB252" s="62">
        <f t="shared" si="192"/>
        <v>3.6414565826330532</v>
      </c>
      <c r="AC252" s="62">
        <f t="shared" si="193"/>
        <v>3.6414565826330532</v>
      </c>
    </row>
    <row r="253" spans="1:44" x14ac:dyDescent="0.25">
      <c r="A253" s="30" t="str">
        <f t="shared" si="165"/>
        <v>Fuel Economy</v>
      </c>
      <c r="B253" s="62">
        <f t="shared" si="166"/>
        <v>76.777599999999993</v>
      </c>
      <c r="C253" s="62">
        <f t="shared" si="167"/>
        <v>76.777599999999993</v>
      </c>
      <c r="D253" s="62">
        <f t="shared" si="168"/>
        <v>76.777599999999993</v>
      </c>
      <c r="E253" s="62">
        <f t="shared" si="169"/>
        <v>76.777599999999993</v>
      </c>
      <c r="F253" s="62">
        <f t="shared" si="170"/>
        <v>76.777599999999993</v>
      </c>
      <c r="G253" s="62">
        <f t="shared" si="171"/>
        <v>76.777599999999993</v>
      </c>
      <c r="H253" s="62">
        <f t="shared" si="172"/>
        <v>76.777599999999993</v>
      </c>
      <c r="I253" s="62">
        <f t="shared" si="173"/>
        <v>76.777599999999993</v>
      </c>
      <c r="J253" s="62">
        <f t="shared" si="174"/>
        <v>76.777599999999993</v>
      </c>
      <c r="K253" s="62">
        <f t="shared" si="175"/>
        <v>76.777599999999993</v>
      </c>
      <c r="L253" s="62">
        <f t="shared" si="176"/>
        <v>76.777599999999993</v>
      </c>
      <c r="M253" s="62">
        <f t="shared" si="177"/>
        <v>76.777599999999993</v>
      </c>
      <c r="N253" s="62">
        <f t="shared" si="178"/>
        <v>76.777599999999993</v>
      </c>
      <c r="O253" s="62">
        <f t="shared" si="179"/>
        <v>76.777599999999993</v>
      </c>
      <c r="P253" s="62">
        <f t="shared" si="180"/>
        <v>76.777599999999993</v>
      </c>
      <c r="Q253" s="62">
        <f t="shared" si="181"/>
        <v>76.777599999999993</v>
      </c>
      <c r="R253" s="62">
        <f t="shared" si="182"/>
        <v>76.777599999999993</v>
      </c>
      <c r="S253" s="62">
        <f t="shared" si="183"/>
        <v>76.777599999999993</v>
      </c>
      <c r="T253" s="62">
        <f t="shared" si="184"/>
        <v>76.777599999999993</v>
      </c>
      <c r="U253" s="62">
        <f t="shared" si="185"/>
        <v>76.777599999999993</v>
      </c>
      <c r="V253" s="62">
        <f t="shared" si="186"/>
        <v>76.777599999999993</v>
      </c>
      <c r="W253" s="62">
        <f t="shared" si="187"/>
        <v>76.777599999999993</v>
      </c>
      <c r="X253" s="62">
        <f t="shared" si="188"/>
        <v>76.777599999999993</v>
      </c>
      <c r="Y253" s="62">
        <f t="shared" si="189"/>
        <v>76.777599999999993</v>
      </c>
      <c r="Z253" s="62">
        <f t="shared" si="190"/>
        <v>76.777599999999993</v>
      </c>
      <c r="AA253" s="62">
        <f t="shared" si="191"/>
        <v>76.777599999999993</v>
      </c>
      <c r="AB253" s="62">
        <f t="shared" si="192"/>
        <v>76.777599999999993</v>
      </c>
      <c r="AC253" s="62">
        <f t="shared" si="193"/>
        <v>76.777599999999993</v>
      </c>
    </row>
    <row r="254" spans="1:44" x14ac:dyDescent="0.25">
      <c r="A254" s="30" t="str">
        <f t="shared" si="165"/>
        <v>Fuel Cost</v>
      </c>
      <c r="B254" s="62">
        <f t="shared" si="166"/>
        <v>0.1</v>
      </c>
      <c r="C254" s="62">
        <f t="shared" si="167"/>
        <v>0.1</v>
      </c>
      <c r="D254" s="62">
        <f t="shared" si="168"/>
        <v>0.1</v>
      </c>
      <c r="E254" s="62">
        <f t="shared" si="169"/>
        <v>0.1</v>
      </c>
      <c r="F254" s="62">
        <f t="shared" si="170"/>
        <v>0.1</v>
      </c>
      <c r="G254" s="62">
        <f t="shared" si="171"/>
        <v>0.1</v>
      </c>
      <c r="H254" s="62">
        <f t="shared" si="172"/>
        <v>0.1</v>
      </c>
      <c r="I254" s="62">
        <f t="shared" si="173"/>
        <v>0.1</v>
      </c>
      <c r="J254" s="62">
        <f t="shared" si="174"/>
        <v>0.1</v>
      </c>
      <c r="K254" s="62">
        <f t="shared" si="175"/>
        <v>0.1</v>
      </c>
      <c r="L254" s="62">
        <f t="shared" si="176"/>
        <v>0.1</v>
      </c>
      <c r="M254" s="62">
        <f t="shared" si="177"/>
        <v>0.1</v>
      </c>
      <c r="N254" s="62">
        <f t="shared" si="178"/>
        <v>0.1</v>
      </c>
      <c r="O254" s="62">
        <f t="shared" si="179"/>
        <v>0.1</v>
      </c>
      <c r="P254" s="62">
        <f t="shared" si="180"/>
        <v>0.1</v>
      </c>
      <c r="Q254" s="62">
        <f t="shared" si="181"/>
        <v>0.1</v>
      </c>
      <c r="R254" s="62">
        <f t="shared" si="182"/>
        <v>0.1</v>
      </c>
      <c r="S254" s="62">
        <f t="shared" si="183"/>
        <v>0.1</v>
      </c>
      <c r="T254" s="62">
        <f t="shared" si="184"/>
        <v>0.1</v>
      </c>
      <c r="U254" s="62">
        <f t="shared" si="185"/>
        <v>0.1</v>
      </c>
      <c r="V254" s="62">
        <f t="shared" si="186"/>
        <v>0.1</v>
      </c>
      <c r="W254" s="62">
        <f t="shared" si="187"/>
        <v>0.1</v>
      </c>
      <c r="X254" s="62">
        <f t="shared" si="188"/>
        <v>0.1</v>
      </c>
      <c r="Y254" s="62">
        <f t="shared" si="189"/>
        <v>0.1</v>
      </c>
      <c r="Z254" s="62">
        <f t="shared" si="190"/>
        <v>0.1</v>
      </c>
      <c r="AA254" s="62">
        <f t="shared" si="191"/>
        <v>0.1</v>
      </c>
      <c r="AB254" s="62">
        <f t="shared" si="192"/>
        <v>0.1</v>
      </c>
      <c r="AC254" s="62">
        <f t="shared" si="193"/>
        <v>0.1</v>
      </c>
    </row>
    <row r="255" spans="1:44" x14ac:dyDescent="0.25">
      <c r="A255" s="30" t="str">
        <f t="shared" si="165"/>
        <v>Emission Cost</v>
      </c>
      <c r="B255" s="66">
        <f>$B235+($C235-$B235)*(1-Q235)</f>
        <v>2.0582113582797463</v>
      </c>
      <c r="C255" s="66">
        <f t="shared" ref="C255:AC255" si="194">$B235+($C235-$B235)*(1-R235)</f>
        <v>2.0630736964968874</v>
      </c>
      <c r="D255" s="66">
        <f t="shared" si="194"/>
        <v>2.0700340253548735</v>
      </c>
      <c r="E255" s="66">
        <f t="shared" si="194"/>
        <v>2.0799912652584287</v>
      </c>
      <c r="F255" s="66">
        <f t="shared" si="194"/>
        <v>2.0942223582546799</v>
      </c>
      <c r="G255" s="66">
        <f t="shared" si="194"/>
        <v>2.1145332034270625</v>
      </c>
      <c r="H255" s="66">
        <f t="shared" si="194"/>
        <v>2.1434608297482804</v>
      </c>
      <c r="I255" s="66">
        <f t="shared" si="194"/>
        <v>2.1845339122974496</v>
      </c>
      <c r="J255" s="66">
        <f t="shared" si="194"/>
        <v>2.2425867676094651</v>
      </c>
      <c r="K255" s="66">
        <f t="shared" si="194"/>
        <v>2.3240919291072673</v>
      </c>
      <c r="L255" s="66">
        <f t="shared" si="194"/>
        <v>2.4374136908790356</v>
      </c>
      <c r="M255" s="66">
        <f t="shared" si="194"/>
        <v>2.5927735868925894</v>
      </c>
      <c r="N255" s="66">
        <f t="shared" si="194"/>
        <v>2.8015606394413943</v>
      </c>
      <c r="O255" s="66">
        <f t="shared" si="194"/>
        <v>3.0744856518148742</v>
      </c>
      <c r="P255" s="66">
        <f t="shared" si="194"/>
        <v>3.4181885745847813</v>
      </c>
      <c r="Q255" s="66">
        <f t="shared" si="194"/>
        <v>3.8306222159147274</v>
      </c>
      <c r="R255" s="66">
        <f t="shared" si="194"/>
        <v>4.2969913115595899</v>
      </c>
      <c r="S255" s="66">
        <f t="shared" si="194"/>
        <v>4.7893352523676196</v>
      </c>
      <c r="T255" s="66">
        <f t="shared" si="194"/>
        <v>5.2719907853240588</v>
      </c>
      <c r="U255" s="66">
        <f t="shared" si="194"/>
        <v>5.7113620517407639</v>
      </c>
      <c r="V255" s="66">
        <f t="shared" si="194"/>
        <v>6.0847650605234298</v>
      </c>
      <c r="W255" s="66">
        <f t="shared" si="194"/>
        <v>6.383793997868306</v>
      </c>
      <c r="X255" s="66">
        <f t="shared" si="194"/>
        <v>6.6119663489137848</v>
      </c>
      <c r="Y255" s="66">
        <f t="shared" si="194"/>
        <v>6.7796913263812186</v>
      </c>
      <c r="Z255" s="66">
        <f t="shared" si="194"/>
        <v>6.8996122588494808</v>
      </c>
      <c r="AA255" s="66">
        <f t="shared" si="194"/>
        <v>6.9836591226283362</v>
      </c>
      <c r="AB255" s="66">
        <f t="shared" si="194"/>
        <v>7.0417406714234989</v>
      </c>
      <c r="AC255" s="66">
        <f t="shared" si="194"/>
        <v>7.0814887695786215</v>
      </c>
    </row>
    <row r="256" spans="1:44" x14ac:dyDescent="0.25">
      <c r="A256" s="30" t="str">
        <f t="shared" si="165"/>
        <v>Lifetime vehicle</v>
      </c>
      <c r="B256" s="62">
        <f>$B236+($C236-$B236)*(1-Q236)</f>
        <v>20</v>
      </c>
      <c r="C256" s="62">
        <f t="shared" ref="C256:L258" si="195">$B236+($C236-$B236)*(1-R236)</f>
        <v>20</v>
      </c>
      <c r="D256" s="62">
        <f t="shared" si="195"/>
        <v>20</v>
      </c>
      <c r="E256" s="62">
        <f t="shared" si="195"/>
        <v>20</v>
      </c>
      <c r="F256" s="62">
        <f t="shared" si="195"/>
        <v>20</v>
      </c>
      <c r="G256" s="62">
        <f t="shared" si="195"/>
        <v>20</v>
      </c>
      <c r="H256" s="62">
        <f t="shared" si="195"/>
        <v>20</v>
      </c>
      <c r="I256" s="62">
        <f t="shared" si="195"/>
        <v>20</v>
      </c>
      <c r="J256" s="62">
        <f t="shared" si="195"/>
        <v>20</v>
      </c>
      <c r="K256" s="62">
        <f t="shared" si="195"/>
        <v>20</v>
      </c>
      <c r="L256" s="62">
        <f t="shared" si="195"/>
        <v>20</v>
      </c>
      <c r="M256" s="62">
        <f t="shared" ref="M256:V258" si="196">$B236+($C236-$B236)*(1-AB236)</f>
        <v>20</v>
      </c>
      <c r="N256" s="62">
        <f t="shared" si="196"/>
        <v>20</v>
      </c>
      <c r="O256" s="62">
        <f t="shared" si="196"/>
        <v>20</v>
      </c>
      <c r="P256" s="62">
        <f t="shared" si="196"/>
        <v>20</v>
      </c>
      <c r="Q256" s="62">
        <f t="shared" si="196"/>
        <v>20</v>
      </c>
      <c r="R256" s="62">
        <f t="shared" si="196"/>
        <v>20</v>
      </c>
      <c r="S256" s="62">
        <f t="shared" si="196"/>
        <v>20</v>
      </c>
      <c r="T256" s="62">
        <f t="shared" si="196"/>
        <v>20</v>
      </c>
      <c r="U256" s="62">
        <f t="shared" si="196"/>
        <v>20</v>
      </c>
      <c r="V256" s="62">
        <f t="shared" si="196"/>
        <v>20</v>
      </c>
      <c r="W256" s="62">
        <f t="shared" ref="W256:AC258" si="197">$B236+($C236-$B236)*(1-AL236)</f>
        <v>20</v>
      </c>
      <c r="X256" s="62">
        <f t="shared" si="197"/>
        <v>20</v>
      </c>
      <c r="Y256" s="62">
        <f t="shared" si="197"/>
        <v>20</v>
      </c>
      <c r="Z256" s="62">
        <f t="shared" si="197"/>
        <v>20</v>
      </c>
      <c r="AA256" s="62">
        <f t="shared" si="197"/>
        <v>20</v>
      </c>
      <c r="AB256" s="62">
        <f t="shared" si="197"/>
        <v>20</v>
      </c>
      <c r="AC256" s="62">
        <f t="shared" si="197"/>
        <v>20</v>
      </c>
    </row>
    <row r="257" spans="1:29" x14ac:dyDescent="0.25">
      <c r="A257" s="30" t="str">
        <f t="shared" si="165"/>
        <v>Lifetime costumization</v>
      </c>
      <c r="B257" s="62">
        <f>$B237+($C237-$B237)*(1-Q237)</f>
        <v>30</v>
      </c>
      <c r="C257" s="62">
        <f t="shared" si="195"/>
        <v>30</v>
      </c>
      <c r="D257" s="62">
        <f t="shared" si="195"/>
        <v>30</v>
      </c>
      <c r="E257" s="62">
        <f t="shared" si="195"/>
        <v>30</v>
      </c>
      <c r="F257" s="62">
        <f t="shared" si="195"/>
        <v>30</v>
      </c>
      <c r="G257" s="62">
        <f t="shared" si="195"/>
        <v>30</v>
      </c>
      <c r="H257" s="62">
        <f t="shared" si="195"/>
        <v>30</v>
      </c>
      <c r="I257" s="62">
        <f t="shared" si="195"/>
        <v>30</v>
      </c>
      <c r="J257" s="62">
        <f t="shared" si="195"/>
        <v>30</v>
      </c>
      <c r="K257" s="62">
        <f t="shared" si="195"/>
        <v>30</v>
      </c>
      <c r="L257" s="62">
        <f t="shared" si="195"/>
        <v>30</v>
      </c>
      <c r="M257" s="62">
        <f t="shared" si="196"/>
        <v>30</v>
      </c>
      <c r="N257" s="62">
        <f t="shared" si="196"/>
        <v>30</v>
      </c>
      <c r="O257" s="62">
        <f t="shared" si="196"/>
        <v>30</v>
      </c>
      <c r="P257" s="62">
        <f t="shared" si="196"/>
        <v>30</v>
      </c>
      <c r="Q257" s="62">
        <f t="shared" si="196"/>
        <v>30</v>
      </c>
      <c r="R257" s="62">
        <f t="shared" si="196"/>
        <v>30</v>
      </c>
      <c r="S257" s="62">
        <f t="shared" si="196"/>
        <v>30</v>
      </c>
      <c r="T257" s="62">
        <f t="shared" si="196"/>
        <v>30</v>
      </c>
      <c r="U257" s="62">
        <f t="shared" si="196"/>
        <v>30</v>
      </c>
      <c r="V257" s="62">
        <f t="shared" si="196"/>
        <v>30</v>
      </c>
      <c r="W257" s="62">
        <f t="shared" si="197"/>
        <v>30</v>
      </c>
      <c r="X257" s="62">
        <f t="shared" si="197"/>
        <v>30</v>
      </c>
      <c r="Y257" s="62">
        <f t="shared" si="197"/>
        <v>30</v>
      </c>
      <c r="Z257" s="62">
        <f t="shared" si="197"/>
        <v>30</v>
      </c>
      <c r="AA257" s="62">
        <f t="shared" si="197"/>
        <v>30</v>
      </c>
      <c r="AB257" s="62">
        <f t="shared" si="197"/>
        <v>30</v>
      </c>
      <c r="AC257" s="62">
        <f t="shared" si="197"/>
        <v>30</v>
      </c>
    </row>
    <row r="258" spans="1:29" x14ac:dyDescent="0.25">
      <c r="A258" s="30" t="str">
        <f t="shared" si="165"/>
        <v>Tonnage .</v>
      </c>
      <c r="B258" s="62">
        <f>$B238+($C238-$B238)*(1-Q238)</f>
        <v>2240</v>
      </c>
      <c r="C258" s="62">
        <f t="shared" si="195"/>
        <v>2240</v>
      </c>
      <c r="D258" s="62">
        <f t="shared" si="195"/>
        <v>2240</v>
      </c>
      <c r="E258" s="62">
        <f t="shared" si="195"/>
        <v>2240</v>
      </c>
      <c r="F258" s="62">
        <f t="shared" si="195"/>
        <v>2240</v>
      </c>
      <c r="G258" s="62">
        <f t="shared" si="195"/>
        <v>2240</v>
      </c>
      <c r="H258" s="62">
        <f t="shared" si="195"/>
        <v>2240</v>
      </c>
      <c r="I258" s="62">
        <f t="shared" si="195"/>
        <v>2240</v>
      </c>
      <c r="J258" s="62">
        <f t="shared" si="195"/>
        <v>2240</v>
      </c>
      <c r="K258" s="62">
        <f t="shared" si="195"/>
        <v>2240</v>
      </c>
      <c r="L258" s="62">
        <f t="shared" si="195"/>
        <v>2240</v>
      </c>
      <c r="M258" s="62">
        <f t="shared" si="196"/>
        <v>2240</v>
      </c>
      <c r="N258" s="62">
        <f t="shared" si="196"/>
        <v>2240</v>
      </c>
      <c r="O258" s="62">
        <f t="shared" si="196"/>
        <v>2240</v>
      </c>
      <c r="P258" s="62">
        <f t="shared" si="196"/>
        <v>2240</v>
      </c>
      <c r="Q258" s="62">
        <f t="shared" si="196"/>
        <v>2240</v>
      </c>
      <c r="R258" s="62">
        <f t="shared" si="196"/>
        <v>2240</v>
      </c>
      <c r="S258" s="62">
        <f t="shared" si="196"/>
        <v>2240</v>
      </c>
      <c r="T258" s="62">
        <f t="shared" si="196"/>
        <v>2240</v>
      </c>
      <c r="U258" s="62">
        <f t="shared" si="196"/>
        <v>2240</v>
      </c>
      <c r="V258" s="62">
        <f t="shared" si="196"/>
        <v>2240</v>
      </c>
      <c r="W258" s="62">
        <f t="shared" si="197"/>
        <v>2240</v>
      </c>
      <c r="X258" s="62">
        <f t="shared" si="197"/>
        <v>2240</v>
      </c>
      <c r="Y258" s="62">
        <f t="shared" si="197"/>
        <v>2240</v>
      </c>
      <c r="Z258" s="62">
        <f t="shared" si="197"/>
        <v>2240</v>
      </c>
      <c r="AA258" s="62">
        <f t="shared" si="197"/>
        <v>2240</v>
      </c>
      <c r="AB258" s="62">
        <f t="shared" si="197"/>
        <v>2240</v>
      </c>
      <c r="AC258" s="62">
        <f t="shared" si="197"/>
        <v>2240</v>
      </c>
    </row>
    <row r="259" spans="1:29" x14ac:dyDescent="0.25">
      <c r="A259" s="30" t="str">
        <f t="shared" si="165"/>
        <v>Market failure (av. utilization)</v>
      </c>
      <c r="B259" s="62">
        <f t="shared" ref="B259:K260" si="198">($B239+($C239-$B239)*(1-Q239))*B$44</f>
        <v>955.73333333333335</v>
      </c>
      <c r="C259" s="62">
        <f t="shared" si="198"/>
        <v>955.73333333333335</v>
      </c>
      <c r="D259" s="62">
        <f t="shared" si="198"/>
        <v>955.73333333333335</v>
      </c>
      <c r="E259" s="62">
        <f t="shared" si="198"/>
        <v>955.73333333333335</v>
      </c>
      <c r="F259" s="62">
        <f t="shared" si="198"/>
        <v>955.73333333333335</v>
      </c>
      <c r="G259" s="62">
        <f t="shared" si="198"/>
        <v>955.73333333333335</v>
      </c>
      <c r="H259" s="62">
        <f t="shared" si="198"/>
        <v>955.73333333333335</v>
      </c>
      <c r="I259" s="62">
        <f t="shared" si="198"/>
        <v>955.73333333333335</v>
      </c>
      <c r="J259" s="62">
        <f t="shared" si="198"/>
        <v>955.73333333333335</v>
      </c>
      <c r="K259" s="62">
        <f t="shared" si="198"/>
        <v>955.73333333333335</v>
      </c>
      <c r="L259" s="62">
        <f t="shared" ref="L259:U260" si="199">($B239+($C239-$B239)*(1-AA239))*L$44</f>
        <v>955.73333333333335</v>
      </c>
      <c r="M259" s="62">
        <f t="shared" si="199"/>
        <v>955.73333333333335</v>
      </c>
      <c r="N259" s="62">
        <f t="shared" si="199"/>
        <v>955.73333333333335</v>
      </c>
      <c r="O259" s="62">
        <f t="shared" si="199"/>
        <v>955.73333333333335</v>
      </c>
      <c r="P259" s="62">
        <f t="shared" si="199"/>
        <v>955.73333333333335</v>
      </c>
      <c r="Q259" s="62">
        <f t="shared" si="199"/>
        <v>955.73333333333335</v>
      </c>
      <c r="R259" s="62">
        <f t="shared" si="199"/>
        <v>955.73333333333335</v>
      </c>
      <c r="S259" s="62">
        <f t="shared" si="199"/>
        <v>955.73333333333335</v>
      </c>
      <c r="T259" s="62">
        <f t="shared" si="199"/>
        <v>955.73333333333335</v>
      </c>
      <c r="U259" s="62">
        <f t="shared" si="199"/>
        <v>955.73333333333335</v>
      </c>
      <c r="V259" s="62">
        <f t="shared" ref="V259:AC260" si="200">($B239+($C239-$B239)*(1-AK239))*V$44</f>
        <v>955.73333333333335</v>
      </c>
      <c r="W259" s="62">
        <f t="shared" si="200"/>
        <v>955.73333333333335</v>
      </c>
      <c r="X259" s="62">
        <f t="shared" si="200"/>
        <v>955.73333333333335</v>
      </c>
      <c r="Y259" s="62">
        <f t="shared" si="200"/>
        <v>955.73333333333335</v>
      </c>
      <c r="Z259" s="62">
        <f t="shared" si="200"/>
        <v>955.73333333333335</v>
      </c>
      <c r="AA259" s="62">
        <f t="shared" si="200"/>
        <v>955.73333333333335</v>
      </c>
      <c r="AB259" s="62">
        <f t="shared" si="200"/>
        <v>955.73333333333335</v>
      </c>
      <c r="AC259" s="62">
        <f t="shared" si="200"/>
        <v>955.73333333333335</v>
      </c>
    </row>
    <row r="260" spans="1:29" x14ac:dyDescent="0.25">
      <c r="A260" s="30" t="s">
        <v>73</v>
      </c>
      <c r="B260" s="62">
        <f t="shared" si="198"/>
        <v>0</v>
      </c>
      <c r="C260" s="62">
        <f t="shared" si="198"/>
        <v>0</v>
      </c>
      <c r="D260" s="62">
        <f t="shared" si="198"/>
        <v>0</v>
      </c>
      <c r="E260" s="62">
        <f t="shared" si="198"/>
        <v>0</v>
      </c>
      <c r="F260" s="62">
        <f t="shared" si="198"/>
        <v>0</v>
      </c>
      <c r="G260" s="62">
        <f t="shared" si="198"/>
        <v>0</v>
      </c>
      <c r="H260" s="62">
        <f t="shared" si="198"/>
        <v>0</v>
      </c>
      <c r="I260" s="62">
        <f t="shared" si="198"/>
        <v>0</v>
      </c>
      <c r="J260" s="62">
        <f t="shared" si="198"/>
        <v>0</v>
      </c>
      <c r="K260" s="62">
        <f t="shared" si="198"/>
        <v>0</v>
      </c>
      <c r="L260" s="62">
        <f t="shared" si="199"/>
        <v>0</v>
      </c>
      <c r="M260" s="62">
        <f t="shared" si="199"/>
        <v>0</v>
      </c>
      <c r="N260" s="62">
        <f t="shared" si="199"/>
        <v>0</v>
      </c>
      <c r="O260" s="62">
        <f t="shared" si="199"/>
        <v>0</v>
      </c>
      <c r="P260" s="62">
        <f t="shared" si="199"/>
        <v>0</v>
      </c>
      <c r="Q260" s="62">
        <f t="shared" si="199"/>
        <v>0</v>
      </c>
      <c r="R260" s="62">
        <f t="shared" si="199"/>
        <v>0</v>
      </c>
      <c r="S260" s="62">
        <f t="shared" si="199"/>
        <v>0</v>
      </c>
      <c r="T260" s="62">
        <f t="shared" si="199"/>
        <v>0</v>
      </c>
      <c r="U260" s="62">
        <f t="shared" si="199"/>
        <v>0</v>
      </c>
      <c r="V260" s="62">
        <f t="shared" si="200"/>
        <v>0</v>
      </c>
      <c r="W260" s="62">
        <f t="shared" si="200"/>
        <v>0</v>
      </c>
      <c r="X260" s="62">
        <f t="shared" si="200"/>
        <v>0</v>
      </c>
      <c r="Y260" s="62">
        <f t="shared" si="200"/>
        <v>0</v>
      </c>
      <c r="Z260" s="62">
        <f t="shared" si="200"/>
        <v>0</v>
      </c>
      <c r="AA260" s="62">
        <f t="shared" si="200"/>
        <v>0</v>
      </c>
      <c r="AB260" s="62">
        <f t="shared" si="200"/>
        <v>0</v>
      </c>
      <c r="AC260" s="62">
        <f t="shared" si="200"/>
        <v>0</v>
      </c>
    </row>
    <row r="261" spans="1:29" x14ac:dyDescent="0.25">
      <c r="A261" s="30" t="str">
        <f>A241</f>
        <v>Annual Mileage</v>
      </c>
      <c r="B261" s="62">
        <f t="shared" ref="B261:AC261" si="201">$B241+($C241-$B241)*(1-Q241)</f>
        <v>178500</v>
      </c>
      <c r="C261" s="62">
        <f t="shared" si="201"/>
        <v>178500</v>
      </c>
      <c r="D261" s="62">
        <f t="shared" si="201"/>
        <v>178500</v>
      </c>
      <c r="E261" s="62">
        <f t="shared" si="201"/>
        <v>178500</v>
      </c>
      <c r="F261" s="62">
        <f t="shared" si="201"/>
        <v>178500</v>
      </c>
      <c r="G261" s="62">
        <f t="shared" si="201"/>
        <v>178500</v>
      </c>
      <c r="H261" s="62">
        <f t="shared" si="201"/>
        <v>178500</v>
      </c>
      <c r="I261" s="62">
        <f t="shared" si="201"/>
        <v>178500</v>
      </c>
      <c r="J261" s="62">
        <f t="shared" si="201"/>
        <v>178500</v>
      </c>
      <c r="K261" s="62">
        <f t="shared" si="201"/>
        <v>178500</v>
      </c>
      <c r="L261" s="62">
        <f t="shared" si="201"/>
        <v>178500</v>
      </c>
      <c r="M261" s="62">
        <f t="shared" si="201"/>
        <v>178500</v>
      </c>
      <c r="N261" s="62">
        <f t="shared" si="201"/>
        <v>178500</v>
      </c>
      <c r="O261" s="62">
        <f t="shared" si="201"/>
        <v>178500</v>
      </c>
      <c r="P261" s="62">
        <f t="shared" si="201"/>
        <v>178500</v>
      </c>
      <c r="Q261" s="62">
        <f t="shared" si="201"/>
        <v>178500</v>
      </c>
      <c r="R261" s="62">
        <f t="shared" si="201"/>
        <v>178500</v>
      </c>
      <c r="S261" s="62">
        <f t="shared" si="201"/>
        <v>178500</v>
      </c>
      <c r="T261" s="62">
        <f t="shared" si="201"/>
        <v>178500</v>
      </c>
      <c r="U261" s="62">
        <f t="shared" si="201"/>
        <v>178500</v>
      </c>
      <c r="V261" s="62">
        <f t="shared" si="201"/>
        <v>178500</v>
      </c>
      <c r="W261" s="62">
        <f t="shared" si="201"/>
        <v>178500</v>
      </c>
      <c r="X261" s="62">
        <f t="shared" si="201"/>
        <v>178500</v>
      </c>
      <c r="Y261" s="62">
        <f t="shared" si="201"/>
        <v>178500</v>
      </c>
      <c r="Z261" s="62">
        <f t="shared" si="201"/>
        <v>178500</v>
      </c>
      <c r="AA261" s="62">
        <f t="shared" si="201"/>
        <v>178500</v>
      </c>
      <c r="AB261" s="62">
        <f t="shared" si="201"/>
        <v>178500</v>
      </c>
      <c r="AC261" s="62">
        <f t="shared" si="201"/>
        <v>178500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305145.94941897993</v>
      </c>
      <c r="C264" s="63">
        <f t="shared" ref="C264:AC264" si="202">((1+C249)^C256)*C249/(((1+C249)^C256)-1)*(C245)</f>
        <v>305145.94941897993</v>
      </c>
      <c r="D264" s="63">
        <f t="shared" si="202"/>
        <v>305145.94941897993</v>
      </c>
      <c r="E264" s="63">
        <f t="shared" si="202"/>
        <v>305145.94941897993</v>
      </c>
      <c r="F264" s="63">
        <f t="shared" si="202"/>
        <v>305145.94941897993</v>
      </c>
      <c r="G264" s="63">
        <f t="shared" si="202"/>
        <v>305145.94941897993</v>
      </c>
      <c r="H264" s="63">
        <f t="shared" si="202"/>
        <v>305145.94941897993</v>
      </c>
      <c r="I264" s="63">
        <f t="shared" si="202"/>
        <v>305145.94941897993</v>
      </c>
      <c r="J264" s="63">
        <f t="shared" si="202"/>
        <v>305145.94941897993</v>
      </c>
      <c r="K264" s="63">
        <f t="shared" si="202"/>
        <v>305145.94941897993</v>
      </c>
      <c r="L264" s="63">
        <f t="shared" si="202"/>
        <v>305145.94941897993</v>
      </c>
      <c r="M264" s="63">
        <f t="shared" si="202"/>
        <v>305145.94941897993</v>
      </c>
      <c r="N264" s="63">
        <f t="shared" si="202"/>
        <v>305145.94941897993</v>
      </c>
      <c r="O264" s="63">
        <f t="shared" si="202"/>
        <v>305145.94941897993</v>
      </c>
      <c r="P264" s="63">
        <f t="shared" si="202"/>
        <v>305145.94941897993</v>
      </c>
      <c r="Q264" s="63">
        <f t="shared" si="202"/>
        <v>305145.94941897993</v>
      </c>
      <c r="R264" s="63">
        <f t="shared" si="202"/>
        <v>305145.94941897993</v>
      </c>
      <c r="S264" s="63">
        <f t="shared" si="202"/>
        <v>305145.94941897993</v>
      </c>
      <c r="T264" s="63">
        <f t="shared" si="202"/>
        <v>305145.94941897993</v>
      </c>
      <c r="U264" s="63">
        <f t="shared" si="202"/>
        <v>305145.94941897993</v>
      </c>
      <c r="V264" s="63">
        <f t="shared" si="202"/>
        <v>305145.94941897993</v>
      </c>
      <c r="W264" s="63">
        <f t="shared" si="202"/>
        <v>305145.94941897993</v>
      </c>
      <c r="X264" s="63">
        <f t="shared" si="202"/>
        <v>305145.94941897993</v>
      </c>
      <c r="Y264" s="63">
        <f t="shared" si="202"/>
        <v>305145.94941897993</v>
      </c>
      <c r="Z264" s="63">
        <f t="shared" si="202"/>
        <v>305145.94941897993</v>
      </c>
      <c r="AA264" s="63">
        <f t="shared" si="202"/>
        <v>305145.94941897993</v>
      </c>
      <c r="AB264" s="63">
        <f t="shared" si="202"/>
        <v>305145.94941897993</v>
      </c>
      <c r="AC264" s="63">
        <f t="shared" si="202"/>
        <v>305145.94941897993</v>
      </c>
    </row>
    <row r="265" spans="1:29" x14ac:dyDescent="0.25">
      <c r="A265" s="30" t="str">
        <f>A246</f>
        <v>Residual value (vehicle)</v>
      </c>
      <c r="B265" s="62">
        <f>((1+B249)^B256)*B249/(((1+B249)^B256)-1)*(B246)</f>
        <v>-45369.034506436277</v>
      </c>
      <c r="C265" s="62">
        <f t="shared" ref="C265:AC265" si="203">((1+C249)^C256)*C249/(((1+C249)^C256)-1)*(C246)</f>
        <v>-45196.542704314146</v>
      </c>
      <c r="D265" s="62">
        <f t="shared" si="203"/>
        <v>-44951.629072308999</v>
      </c>
      <c r="E265" s="62">
        <f t="shared" si="203"/>
        <v>-44605.467188167124</v>
      </c>
      <c r="F265" s="62">
        <f t="shared" si="203"/>
        <v>-44119.462148109647</v>
      </c>
      <c r="G265" s="62">
        <f t="shared" si="203"/>
        <v>-43443.738717137028</v>
      </c>
      <c r="H265" s="62">
        <f t="shared" si="203"/>
        <v>-42517.347172137401</v>
      </c>
      <c r="I265" s="62">
        <f t="shared" si="203"/>
        <v>-41272.376203762586</v>
      </c>
      <c r="J265" s="62">
        <f t="shared" si="203"/>
        <v>-39644.958637393647</v>
      </c>
      <c r="K265" s="62">
        <f t="shared" si="203"/>
        <v>-37595.501281822799</v>
      </c>
      <c r="L265" s="62">
        <f t="shared" si="203"/>
        <v>-35136.211284820376</v>
      </c>
      <c r="M265" s="62">
        <f t="shared" si="203"/>
        <v>-32355.310948630464</v>
      </c>
      <c r="N265" s="62">
        <f t="shared" si="203"/>
        <v>-29419.525873461753</v>
      </c>
      <c r="O265" s="62">
        <f t="shared" si="203"/>
        <v>-26541.511557340396</v>
      </c>
      <c r="P265" s="62">
        <f t="shared" si="203"/>
        <v>-23921.595885610663</v>
      </c>
      <c r="Q265" s="62">
        <f t="shared" si="203"/>
        <v>-21695.040647806538</v>
      </c>
      <c r="R265" s="62">
        <f t="shared" si="203"/>
        <v>-19911.968655776182</v>
      </c>
      <c r="S265" s="62">
        <f t="shared" si="203"/>
        <v>-18551.40558747459</v>
      </c>
      <c r="T265" s="62">
        <f t="shared" si="203"/>
        <v>-17551.282614957105</v>
      </c>
      <c r="U265" s="62">
        <f t="shared" si="203"/>
        <v>-16836.209158050464</v>
      </c>
      <c r="V265" s="62">
        <f t="shared" si="203"/>
        <v>-16335.048266557109</v>
      </c>
      <c r="W265" s="62">
        <f t="shared" si="203"/>
        <v>-15988.715286779448</v>
      </c>
      <c r="X265" s="62">
        <f t="shared" si="203"/>
        <v>-15751.702370283236</v>
      </c>
      <c r="Y265" s="62">
        <f t="shared" si="203"/>
        <v>-15590.58521762073</v>
      </c>
      <c r="Z265" s="62">
        <f t="shared" si="203"/>
        <v>-15481.559033229796</v>
      </c>
      <c r="AA265" s="62">
        <f t="shared" si="203"/>
        <v>-15408.009855414111</v>
      </c>
      <c r="AB265" s="62">
        <f t="shared" si="203"/>
        <v>-15358.496914269901</v>
      </c>
      <c r="AC265" s="62">
        <f t="shared" si="203"/>
        <v>-15325.211858527608</v>
      </c>
    </row>
    <row r="266" spans="1:29" x14ac:dyDescent="0.25">
      <c r="A266" s="30" t="str">
        <f>A247</f>
        <v>Capex costumization</v>
      </c>
      <c r="B266" s="62">
        <f>((1+B249)^B257)*B249/(((1+B249)^B257)-1)*(B247)</f>
        <v>203416.95217213215</v>
      </c>
      <c r="C266" s="62">
        <f t="shared" ref="C266:AC266" si="204">((1+C249)^C257)*C249/(((1+C249)^C257)-1)*(C247)</f>
        <v>203416.95217213215</v>
      </c>
      <c r="D266" s="62">
        <f t="shared" si="204"/>
        <v>203416.95217213215</v>
      </c>
      <c r="E266" s="62">
        <f t="shared" si="204"/>
        <v>203416.95217213215</v>
      </c>
      <c r="F266" s="62">
        <f t="shared" si="204"/>
        <v>203416.95217213215</v>
      </c>
      <c r="G266" s="62">
        <f t="shared" si="204"/>
        <v>203416.95217213215</v>
      </c>
      <c r="H266" s="62">
        <f t="shared" si="204"/>
        <v>203416.95217213215</v>
      </c>
      <c r="I266" s="62">
        <f t="shared" si="204"/>
        <v>203416.95217213215</v>
      </c>
      <c r="J266" s="62">
        <f t="shared" si="204"/>
        <v>203416.95217213215</v>
      </c>
      <c r="K266" s="62">
        <f t="shared" si="204"/>
        <v>203416.95217213215</v>
      </c>
      <c r="L266" s="62">
        <f t="shared" si="204"/>
        <v>203416.95217213215</v>
      </c>
      <c r="M266" s="62">
        <f t="shared" si="204"/>
        <v>203416.95217213215</v>
      </c>
      <c r="N266" s="62">
        <f t="shared" si="204"/>
        <v>203416.95217213215</v>
      </c>
      <c r="O266" s="62">
        <f t="shared" si="204"/>
        <v>203416.95217213215</v>
      </c>
      <c r="P266" s="62">
        <f t="shared" si="204"/>
        <v>203416.95217213215</v>
      </c>
      <c r="Q266" s="62">
        <f t="shared" si="204"/>
        <v>203416.95217213215</v>
      </c>
      <c r="R266" s="62">
        <f t="shared" si="204"/>
        <v>203416.95217213215</v>
      </c>
      <c r="S266" s="62">
        <f t="shared" si="204"/>
        <v>203416.95217213215</v>
      </c>
      <c r="T266" s="62">
        <f t="shared" si="204"/>
        <v>203416.95217213215</v>
      </c>
      <c r="U266" s="62">
        <f t="shared" si="204"/>
        <v>203416.95217213215</v>
      </c>
      <c r="V266" s="62">
        <f t="shared" si="204"/>
        <v>203416.95217213215</v>
      </c>
      <c r="W266" s="62">
        <f t="shared" si="204"/>
        <v>203416.95217213215</v>
      </c>
      <c r="X266" s="62">
        <f t="shared" si="204"/>
        <v>203416.95217213215</v>
      </c>
      <c r="Y266" s="62">
        <f t="shared" si="204"/>
        <v>203416.95217213215</v>
      </c>
      <c r="Z266" s="62">
        <f t="shared" si="204"/>
        <v>203416.95217213215</v>
      </c>
      <c r="AA266" s="62">
        <f t="shared" si="204"/>
        <v>203416.95217213215</v>
      </c>
      <c r="AB266" s="62">
        <f t="shared" si="204"/>
        <v>203416.95217213215</v>
      </c>
      <c r="AC266" s="62">
        <f t="shared" si="204"/>
        <v>203416.95217213215</v>
      </c>
    </row>
    <row r="267" spans="1:29" x14ac:dyDescent="0.25">
      <c r="A267" s="30" t="str">
        <f>A248</f>
        <v>Residual value (costumization)</v>
      </c>
      <c r="B267" s="62">
        <f>((1+B249)^B257)*B249/(((1+B249)^B257)-1)*(B248)</f>
        <v>-10170.847608606608</v>
      </c>
      <c r="C267" s="62">
        <f t="shared" ref="C267:AC267" si="205">((1+C249)^C257)*C249/(((1+C249)^C257)-1)*(C248)</f>
        <v>-10170.847608606608</v>
      </c>
      <c r="D267" s="62">
        <f t="shared" si="205"/>
        <v>-10170.847608606608</v>
      </c>
      <c r="E267" s="62">
        <f t="shared" si="205"/>
        <v>-10170.847608606608</v>
      </c>
      <c r="F267" s="62">
        <f t="shared" si="205"/>
        <v>-10170.847608606608</v>
      </c>
      <c r="G267" s="62">
        <f t="shared" si="205"/>
        <v>-10170.847608606608</v>
      </c>
      <c r="H267" s="62">
        <f t="shared" si="205"/>
        <v>-10170.847608606608</v>
      </c>
      <c r="I267" s="62">
        <f t="shared" si="205"/>
        <v>-10170.847608606608</v>
      </c>
      <c r="J267" s="62">
        <f t="shared" si="205"/>
        <v>-10170.847608606608</v>
      </c>
      <c r="K267" s="62">
        <f t="shared" si="205"/>
        <v>-10170.847608606608</v>
      </c>
      <c r="L267" s="62">
        <f t="shared" si="205"/>
        <v>-10170.847608606608</v>
      </c>
      <c r="M267" s="62">
        <f t="shared" si="205"/>
        <v>-10170.847608606608</v>
      </c>
      <c r="N267" s="62">
        <f t="shared" si="205"/>
        <v>-10170.847608606608</v>
      </c>
      <c r="O267" s="62">
        <f t="shared" si="205"/>
        <v>-10170.847608606608</v>
      </c>
      <c r="P267" s="62">
        <f t="shared" si="205"/>
        <v>-10170.847608606608</v>
      </c>
      <c r="Q267" s="62">
        <f t="shared" si="205"/>
        <v>-10170.847608606608</v>
      </c>
      <c r="R267" s="62">
        <f t="shared" si="205"/>
        <v>-10170.847608606608</v>
      </c>
      <c r="S267" s="62">
        <f t="shared" si="205"/>
        <v>-10170.847608606608</v>
      </c>
      <c r="T267" s="62">
        <f t="shared" si="205"/>
        <v>-10170.847608606608</v>
      </c>
      <c r="U267" s="62">
        <f t="shared" si="205"/>
        <v>-10170.847608606608</v>
      </c>
      <c r="V267" s="62">
        <f t="shared" si="205"/>
        <v>-10170.847608606608</v>
      </c>
      <c r="W267" s="62">
        <f t="shared" si="205"/>
        <v>-10170.847608606608</v>
      </c>
      <c r="X267" s="62">
        <f t="shared" si="205"/>
        <v>-10170.847608606608</v>
      </c>
      <c r="Y267" s="62">
        <f t="shared" si="205"/>
        <v>-10170.847608606608</v>
      </c>
      <c r="Z267" s="62">
        <f t="shared" si="205"/>
        <v>-10170.847608606608</v>
      </c>
      <c r="AA267" s="62">
        <f t="shared" si="205"/>
        <v>-10170.847608606608</v>
      </c>
      <c r="AB267" s="62">
        <f t="shared" si="205"/>
        <v>-10170.847608606608</v>
      </c>
      <c r="AC267" s="62">
        <f t="shared" si="205"/>
        <v>-10170.847608606608</v>
      </c>
    </row>
    <row r="268" spans="1:29" x14ac:dyDescent="0.25">
      <c r="A268" s="30" t="str">
        <f t="shared" ref="A268:AC268" si="206">A250</f>
        <v>Opex fix (admin, crew, insurance)</v>
      </c>
      <c r="B268" s="62">
        <f t="shared" si="206"/>
        <v>610000</v>
      </c>
      <c r="C268" s="62">
        <f t="shared" si="206"/>
        <v>610000</v>
      </c>
      <c r="D268" s="62">
        <f t="shared" si="206"/>
        <v>610000</v>
      </c>
      <c r="E268" s="62">
        <f t="shared" si="206"/>
        <v>610000</v>
      </c>
      <c r="F268" s="62">
        <f t="shared" si="206"/>
        <v>610000</v>
      </c>
      <c r="G268" s="62">
        <f t="shared" si="206"/>
        <v>610000</v>
      </c>
      <c r="H268" s="62">
        <f t="shared" si="206"/>
        <v>610000</v>
      </c>
      <c r="I268" s="62">
        <f t="shared" si="206"/>
        <v>610000</v>
      </c>
      <c r="J268" s="62">
        <f t="shared" si="206"/>
        <v>610000</v>
      </c>
      <c r="K268" s="62">
        <f t="shared" si="206"/>
        <v>610000</v>
      </c>
      <c r="L268" s="62">
        <f t="shared" si="206"/>
        <v>610000</v>
      </c>
      <c r="M268" s="62">
        <f t="shared" si="206"/>
        <v>610000</v>
      </c>
      <c r="N268" s="62">
        <f t="shared" si="206"/>
        <v>610000</v>
      </c>
      <c r="O268" s="62">
        <f t="shared" si="206"/>
        <v>610000</v>
      </c>
      <c r="P268" s="62">
        <f t="shared" si="206"/>
        <v>610000</v>
      </c>
      <c r="Q268" s="62">
        <f t="shared" si="206"/>
        <v>610000</v>
      </c>
      <c r="R268" s="62">
        <f t="shared" si="206"/>
        <v>610000</v>
      </c>
      <c r="S268" s="62">
        <f t="shared" si="206"/>
        <v>610000</v>
      </c>
      <c r="T268" s="62">
        <f t="shared" si="206"/>
        <v>610000</v>
      </c>
      <c r="U268" s="62">
        <f t="shared" si="206"/>
        <v>610000</v>
      </c>
      <c r="V268" s="62">
        <f t="shared" si="206"/>
        <v>610000</v>
      </c>
      <c r="W268" s="62">
        <f t="shared" si="206"/>
        <v>610000</v>
      </c>
      <c r="X268" s="62">
        <f t="shared" si="206"/>
        <v>610000</v>
      </c>
      <c r="Y268" s="62">
        <f t="shared" si="206"/>
        <v>610000</v>
      </c>
      <c r="Z268" s="62">
        <f t="shared" si="206"/>
        <v>610000</v>
      </c>
      <c r="AA268" s="62">
        <f t="shared" si="206"/>
        <v>610000</v>
      </c>
      <c r="AB268" s="62">
        <f t="shared" si="206"/>
        <v>610000</v>
      </c>
      <c r="AC268" s="62">
        <f t="shared" si="206"/>
        <v>610000</v>
      </c>
    </row>
    <row r="269" spans="1:29" x14ac:dyDescent="0.25">
      <c r="A269" s="30" t="str">
        <f t="shared" ref="A269:AC269" si="207">A251</f>
        <v>Opex maintenance &amp; repair</v>
      </c>
      <c r="B269" s="62">
        <f t="shared" si="207"/>
        <v>1050000</v>
      </c>
      <c r="C269" s="62">
        <f t="shared" si="207"/>
        <v>1050000</v>
      </c>
      <c r="D269" s="62">
        <f t="shared" si="207"/>
        <v>1050000</v>
      </c>
      <c r="E269" s="62">
        <f t="shared" si="207"/>
        <v>1050000</v>
      </c>
      <c r="F269" s="62">
        <f t="shared" si="207"/>
        <v>1050000</v>
      </c>
      <c r="G269" s="62">
        <f t="shared" si="207"/>
        <v>1050000</v>
      </c>
      <c r="H269" s="62">
        <f t="shared" si="207"/>
        <v>1050000</v>
      </c>
      <c r="I269" s="62">
        <f t="shared" si="207"/>
        <v>1050000</v>
      </c>
      <c r="J269" s="62">
        <f t="shared" si="207"/>
        <v>1050000</v>
      </c>
      <c r="K269" s="62">
        <f t="shared" si="207"/>
        <v>1050000</v>
      </c>
      <c r="L269" s="62">
        <f t="shared" si="207"/>
        <v>1050000</v>
      </c>
      <c r="M269" s="62">
        <f t="shared" si="207"/>
        <v>1050000</v>
      </c>
      <c r="N269" s="62">
        <f t="shared" si="207"/>
        <v>1050000</v>
      </c>
      <c r="O269" s="62">
        <f t="shared" si="207"/>
        <v>1050000</v>
      </c>
      <c r="P269" s="62">
        <f t="shared" si="207"/>
        <v>1050000</v>
      </c>
      <c r="Q269" s="62">
        <f t="shared" si="207"/>
        <v>1050000</v>
      </c>
      <c r="R269" s="62">
        <f t="shared" si="207"/>
        <v>1050000</v>
      </c>
      <c r="S269" s="62">
        <f t="shared" si="207"/>
        <v>1050000</v>
      </c>
      <c r="T269" s="62">
        <f t="shared" si="207"/>
        <v>1050000</v>
      </c>
      <c r="U269" s="62">
        <f t="shared" si="207"/>
        <v>1050000</v>
      </c>
      <c r="V269" s="62">
        <f t="shared" si="207"/>
        <v>1050000</v>
      </c>
      <c r="W269" s="62">
        <f t="shared" si="207"/>
        <v>1050000</v>
      </c>
      <c r="X269" s="62">
        <f t="shared" si="207"/>
        <v>1050000</v>
      </c>
      <c r="Y269" s="62">
        <f t="shared" si="207"/>
        <v>1050000</v>
      </c>
      <c r="Z269" s="62">
        <f t="shared" si="207"/>
        <v>1050000</v>
      </c>
      <c r="AA269" s="62">
        <f t="shared" si="207"/>
        <v>1050000</v>
      </c>
      <c r="AB269" s="62">
        <f t="shared" si="207"/>
        <v>1050000</v>
      </c>
      <c r="AC269" s="62">
        <f t="shared" si="207"/>
        <v>1050000</v>
      </c>
    </row>
    <row r="270" spans="1:29" x14ac:dyDescent="0.25">
      <c r="A270" s="30" t="str">
        <f>A252</f>
        <v>Opex var (mode-fees, shunting)</v>
      </c>
      <c r="B270" s="62">
        <f>B252*B261</f>
        <v>650000</v>
      </c>
      <c r="C270" s="62">
        <f t="shared" ref="C270:AC270" si="208">C252*C261</f>
        <v>650000</v>
      </c>
      <c r="D270" s="62">
        <f t="shared" si="208"/>
        <v>650000</v>
      </c>
      <c r="E270" s="62">
        <f t="shared" si="208"/>
        <v>650000</v>
      </c>
      <c r="F270" s="62">
        <f t="shared" si="208"/>
        <v>650000</v>
      </c>
      <c r="G270" s="62">
        <f t="shared" si="208"/>
        <v>650000</v>
      </c>
      <c r="H270" s="62">
        <f t="shared" si="208"/>
        <v>650000</v>
      </c>
      <c r="I270" s="62">
        <f t="shared" si="208"/>
        <v>650000</v>
      </c>
      <c r="J270" s="62">
        <f t="shared" si="208"/>
        <v>650000</v>
      </c>
      <c r="K270" s="62">
        <f t="shared" si="208"/>
        <v>650000</v>
      </c>
      <c r="L270" s="62">
        <f t="shared" si="208"/>
        <v>650000</v>
      </c>
      <c r="M270" s="62">
        <f t="shared" si="208"/>
        <v>650000</v>
      </c>
      <c r="N270" s="62">
        <f t="shared" si="208"/>
        <v>650000</v>
      </c>
      <c r="O270" s="62">
        <f t="shared" si="208"/>
        <v>650000</v>
      </c>
      <c r="P270" s="62">
        <f t="shared" si="208"/>
        <v>650000</v>
      </c>
      <c r="Q270" s="62">
        <f t="shared" si="208"/>
        <v>650000</v>
      </c>
      <c r="R270" s="62">
        <f t="shared" si="208"/>
        <v>650000</v>
      </c>
      <c r="S270" s="62">
        <f t="shared" si="208"/>
        <v>650000</v>
      </c>
      <c r="T270" s="62">
        <f t="shared" si="208"/>
        <v>650000</v>
      </c>
      <c r="U270" s="62">
        <f t="shared" si="208"/>
        <v>650000</v>
      </c>
      <c r="V270" s="62">
        <f t="shared" si="208"/>
        <v>650000</v>
      </c>
      <c r="W270" s="62">
        <f t="shared" si="208"/>
        <v>650000</v>
      </c>
      <c r="X270" s="62">
        <f t="shared" si="208"/>
        <v>650000</v>
      </c>
      <c r="Y270" s="62">
        <f t="shared" si="208"/>
        <v>650000</v>
      </c>
      <c r="Z270" s="62">
        <f t="shared" si="208"/>
        <v>650000</v>
      </c>
      <c r="AA270" s="62">
        <f t="shared" si="208"/>
        <v>650000</v>
      </c>
      <c r="AB270" s="62">
        <f t="shared" si="208"/>
        <v>650000</v>
      </c>
      <c r="AC270" s="62">
        <f t="shared" si="208"/>
        <v>650000</v>
      </c>
    </row>
    <row r="271" spans="1:29" x14ac:dyDescent="0.25">
      <c r="A271" s="30" t="str">
        <f>A254</f>
        <v>Fuel Cost</v>
      </c>
      <c r="B271" s="62">
        <f>B253*B254*B261</f>
        <v>1370480.16</v>
      </c>
      <c r="C271" s="62">
        <f t="shared" ref="C271:AC271" si="209">C253*C254*C261</f>
        <v>1370480.16</v>
      </c>
      <c r="D271" s="62">
        <f t="shared" si="209"/>
        <v>1370480.16</v>
      </c>
      <c r="E271" s="62">
        <f t="shared" si="209"/>
        <v>1370480.16</v>
      </c>
      <c r="F271" s="62">
        <f t="shared" si="209"/>
        <v>1370480.16</v>
      </c>
      <c r="G271" s="62">
        <f t="shared" si="209"/>
        <v>1370480.16</v>
      </c>
      <c r="H271" s="62">
        <f t="shared" si="209"/>
        <v>1370480.16</v>
      </c>
      <c r="I271" s="62">
        <f t="shared" si="209"/>
        <v>1370480.16</v>
      </c>
      <c r="J271" s="62">
        <f t="shared" si="209"/>
        <v>1370480.16</v>
      </c>
      <c r="K271" s="62">
        <f t="shared" si="209"/>
        <v>1370480.16</v>
      </c>
      <c r="L271" s="62">
        <f t="shared" si="209"/>
        <v>1370480.16</v>
      </c>
      <c r="M271" s="62">
        <f t="shared" si="209"/>
        <v>1370480.16</v>
      </c>
      <c r="N271" s="62">
        <f t="shared" si="209"/>
        <v>1370480.16</v>
      </c>
      <c r="O271" s="62">
        <f t="shared" si="209"/>
        <v>1370480.16</v>
      </c>
      <c r="P271" s="62">
        <f t="shared" si="209"/>
        <v>1370480.16</v>
      </c>
      <c r="Q271" s="62">
        <f t="shared" si="209"/>
        <v>1370480.16</v>
      </c>
      <c r="R271" s="62">
        <f t="shared" si="209"/>
        <v>1370480.16</v>
      </c>
      <c r="S271" s="62">
        <f t="shared" si="209"/>
        <v>1370480.16</v>
      </c>
      <c r="T271" s="62">
        <f t="shared" si="209"/>
        <v>1370480.16</v>
      </c>
      <c r="U271" s="62">
        <f t="shared" si="209"/>
        <v>1370480.16</v>
      </c>
      <c r="V271" s="62">
        <f t="shared" si="209"/>
        <v>1370480.16</v>
      </c>
      <c r="W271" s="62">
        <f t="shared" si="209"/>
        <v>1370480.16</v>
      </c>
      <c r="X271" s="62">
        <f t="shared" si="209"/>
        <v>1370480.16</v>
      </c>
      <c r="Y271" s="62">
        <f t="shared" si="209"/>
        <v>1370480.16</v>
      </c>
      <c r="Z271" s="62">
        <f t="shared" si="209"/>
        <v>1370480.16</v>
      </c>
      <c r="AA271" s="62">
        <f t="shared" si="209"/>
        <v>1370480.16</v>
      </c>
      <c r="AB271" s="62">
        <f t="shared" si="209"/>
        <v>1370480.16</v>
      </c>
      <c r="AC271" s="62">
        <f t="shared" si="209"/>
        <v>1370480.16</v>
      </c>
    </row>
    <row r="272" spans="1:29" ht="15.75" thickBot="1" x14ac:dyDescent="0.3">
      <c r="A272" s="59" t="str">
        <f>A235</f>
        <v>Emission Cost</v>
      </c>
      <c r="B272" s="62">
        <f>B255*B261</f>
        <v>367390.72745293472</v>
      </c>
      <c r="C272" s="62">
        <f t="shared" ref="C272:AC272" si="210">C255*C261</f>
        <v>368258.65482469439</v>
      </c>
      <c r="D272" s="62">
        <f t="shared" si="210"/>
        <v>369501.0735258449</v>
      </c>
      <c r="E272" s="62">
        <f t="shared" si="210"/>
        <v>371278.44084862951</v>
      </c>
      <c r="F272" s="62">
        <f t="shared" si="210"/>
        <v>373818.69094846037</v>
      </c>
      <c r="G272" s="62">
        <f t="shared" si="210"/>
        <v>377444.17681173066</v>
      </c>
      <c r="H272" s="62">
        <f t="shared" si="210"/>
        <v>382607.75811006804</v>
      </c>
      <c r="I272" s="62">
        <f t="shared" si="210"/>
        <v>389939.30334509478</v>
      </c>
      <c r="J272" s="62">
        <f t="shared" si="210"/>
        <v>400301.7380182895</v>
      </c>
      <c r="K272" s="62">
        <f t="shared" si="210"/>
        <v>414850.4093456472</v>
      </c>
      <c r="L272" s="62">
        <f t="shared" si="210"/>
        <v>435078.34382190782</v>
      </c>
      <c r="M272" s="62">
        <f t="shared" si="210"/>
        <v>462810.08526032721</v>
      </c>
      <c r="N272" s="62">
        <f t="shared" si="210"/>
        <v>500078.57414028887</v>
      </c>
      <c r="O272" s="62">
        <f t="shared" si="210"/>
        <v>548795.68884895509</v>
      </c>
      <c r="P272" s="62">
        <f t="shared" si="210"/>
        <v>610146.66056338348</v>
      </c>
      <c r="Q272" s="62">
        <f t="shared" si="210"/>
        <v>683766.0655407788</v>
      </c>
      <c r="R272" s="62">
        <f t="shared" si="210"/>
        <v>767012.9491133868</v>
      </c>
      <c r="S272" s="62">
        <f t="shared" si="210"/>
        <v>854896.34254762006</v>
      </c>
      <c r="T272" s="62">
        <f t="shared" si="210"/>
        <v>941050.35518034454</v>
      </c>
      <c r="U272" s="62">
        <f t="shared" si="210"/>
        <v>1019478.1262357264</v>
      </c>
      <c r="V272" s="62">
        <f t="shared" si="210"/>
        <v>1086130.5633034322</v>
      </c>
      <c r="W272" s="62">
        <f t="shared" si="210"/>
        <v>1139507.2286194926</v>
      </c>
      <c r="X272" s="62">
        <f t="shared" si="210"/>
        <v>1180235.9932811107</v>
      </c>
      <c r="Y272" s="62">
        <f t="shared" si="210"/>
        <v>1210174.9017590475</v>
      </c>
      <c r="Z272" s="62">
        <f t="shared" si="210"/>
        <v>1231580.7882046322</v>
      </c>
      <c r="AA272" s="62">
        <f t="shared" si="210"/>
        <v>1246583.153389158</v>
      </c>
      <c r="AB272" s="62">
        <f t="shared" si="210"/>
        <v>1256950.7098490945</v>
      </c>
      <c r="AC272" s="62">
        <f t="shared" si="210"/>
        <v>1264045.7453697838</v>
      </c>
    </row>
    <row r="273" spans="1:29" ht="15.75" thickBot="1" x14ac:dyDescent="0.3">
      <c r="A273" s="31" t="s">
        <v>209</v>
      </c>
      <c r="B273" s="64">
        <f>B264+B265+B266+B267+B268+B269+B270+B271+B272</f>
        <v>4500893.906929004</v>
      </c>
      <c r="C273" s="64">
        <f t="shared" ref="C273:AC273" si="211">C264+C265+C266+C267+C268+C269+C270+C271+C272</f>
        <v>4501934.3261028863</v>
      </c>
      <c r="D273" s="64">
        <f t="shared" si="211"/>
        <v>4503421.6584360413</v>
      </c>
      <c r="E273" s="64">
        <f t="shared" si="211"/>
        <v>4505545.1876429683</v>
      </c>
      <c r="F273" s="64">
        <f t="shared" si="211"/>
        <v>4508571.4427828565</v>
      </c>
      <c r="G273" s="64">
        <f t="shared" si="211"/>
        <v>4512872.6520770993</v>
      </c>
      <c r="H273" s="64">
        <f t="shared" si="211"/>
        <v>4518962.6249204362</v>
      </c>
      <c r="I273" s="64">
        <f t="shared" si="211"/>
        <v>4527539.1411238369</v>
      </c>
      <c r="J273" s="64">
        <f t="shared" si="211"/>
        <v>4539528.9933634009</v>
      </c>
      <c r="K273" s="64">
        <f t="shared" si="211"/>
        <v>4556127.12204633</v>
      </c>
      <c r="L273" s="64">
        <f t="shared" si="211"/>
        <v>4578814.3465195922</v>
      </c>
      <c r="M273" s="64">
        <f t="shared" si="211"/>
        <v>4609326.9882942019</v>
      </c>
      <c r="N273" s="64">
        <f t="shared" si="211"/>
        <v>4649531.2622493329</v>
      </c>
      <c r="O273" s="64">
        <f t="shared" si="211"/>
        <v>4701126.3912741207</v>
      </c>
      <c r="P273" s="64">
        <f t="shared" si="211"/>
        <v>4765097.2786602778</v>
      </c>
      <c r="Q273" s="64">
        <f t="shared" si="211"/>
        <v>4840943.2388754776</v>
      </c>
      <c r="R273" s="64">
        <f t="shared" si="211"/>
        <v>4925973.1944401162</v>
      </c>
      <c r="S273" s="64">
        <f t="shared" si="211"/>
        <v>5015217.1509426506</v>
      </c>
      <c r="T273" s="64">
        <f t="shared" si="211"/>
        <v>5102371.2865478927</v>
      </c>
      <c r="U273" s="64">
        <f t="shared" si="211"/>
        <v>5181514.1310601812</v>
      </c>
      <c r="V273" s="64">
        <f t="shared" si="211"/>
        <v>5248667.7290193811</v>
      </c>
      <c r="W273" s="64">
        <f t="shared" si="211"/>
        <v>5302390.7273152182</v>
      </c>
      <c r="X273" s="64">
        <f t="shared" si="211"/>
        <v>5343356.5048933327</v>
      </c>
      <c r="Y273" s="64">
        <f t="shared" si="211"/>
        <v>5373456.5305239316</v>
      </c>
      <c r="Z273" s="64">
        <f t="shared" si="211"/>
        <v>5394971.4431539085</v>
      </c>
      <c r="AA273" s="64">
        <f t="shared" si="211"/>
        <v>5410047.3575162487</v>
      </c>
      <c r="AB273" s="64">
        <f t="shared" si="211"/>
        <v>5420464.4269173294</v>
      </c>
      <c r="AC273" s="64">
        <f t="shared" si="211"/>
        <v>5427592.7474937616</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12">A264</f>
        <v>Capex vehicle</v>
      </c>
      <c r="B276" s="65">
        <f>((1+B249)^B256)*B249/(((1+B249)^B256)-1)*(B245)/B261</f>
        <v>1.7095011171931649</v>
      </c>
      <c r="C276" s="65">
        <f t="shared" ref="C276:AC276" si="213">((1+C249)^C256)*C249/(((1+C249)^C256)-1)*(C245)/C261</f>
        <v>1.7095011171931649</v>
      </c>
      <c r="D276" s="65">
        <f t="shared" si="213"/>
        <v>1.7095011171931649</v>
      </c>
      <c r="E276" s="65">
        <f t="shared" si="213"/>
        <v>1.7095011171931649</v>
      </c>
      <c r="F276" s="65">
        <f t="shared" si="213"/>
        <v>1.7095011171931649</v>
      </c>
      <c r="G276" s="65">
        <f t="shared" si="213"/>
        <v>1.7095011171931649</v>
      </c>
      <c r="H276" s="65">
        <f t="shared" si="213"/>
        <v>1.7095011171931649</v>
      </c>
      <c r="I276" s="65">
        <f t="shared" si="213"/>
        <v>1.7095011171931649</v>
      </c>
      <c r="J276" s="65">
        <f t="shared" si="213"/>
        <v>1.7095011171931649</v>
      </c>
      <c r="K276" s="65">
        <f t="shared" si="213"/>
        <v>1.7095011171931649</v>
      </c>
      <c r="L276" s="65">
        <f t="shared" si="213"/>
        <v>1.7095011171931649</v>
      </c>
      <c r="M276" s="65">
        <f t="shared" si="213"/>
        <v>1.7095011171931649</v>
      </c>
      <c r="N276" s="65">
        <f t="shared" si="213"/>
        <v>1.7095011171931649</v>
      </c>
      <c r="O276" s="65">
        <f t="shared" si="213"/>
        <v>1.7095011171931649</v>
      </c>
      <c r="P276" s="65">
        <f t="shared" si="213"/>
        <v>1.7095011171931649</v>
      </c>
      <c r="Q276" s="65">
        <f t="shared" si="213"/>
        <v>1.7095011171931649</v>
      </c>
      <c r="R276" s="65">
        <f t="shared" si="213"/>
        <v>1.7095011171931649</v>
      </c>
      <c r="S276" s="65">
        <f t="shared" si="213"/>
        <v>1.7095011171931649</v>
      </c>
      <c r="T276" s="65">
        <f t="shared" si="213"/>
        <v>1.7095011171931649</v>
      </c>
      <c r="U276" s="65">
        <f t="shared" si="213"/>
        <v>1.7095011171931649</v>
      </c>
      <c r="V276" s="65">
        <f t="shared" si="213"/>
        <v>1.7095011171931649</v>
      </c>
      <c r="W276" s="65">
        <f t="shared" si="213"/>
        <v>1.7095011171931649</v>
      </c>
      <c r="X276" s="65">
        <f t="shared" si="213"/>
        <v>1.7095011171931649</v>
      </c>
      <c r="Y276" s="65">
        <f t="shared" si="213"/>
        <v>1.7095011171931649</v>
      </c>
      <c r="Z276" s="65">
        <f t="shared" si="213"/>
        <v>1.7095011171931649</v>
      </c>
      <c r="AA276" s="65">
        <f t="shared" si="213"/>
        <v>1.7095011171931649</v>
      </c>
      <c r="AB276" s="65">
        <f t="shared" si="213"/>
        <v>1.7095011171931649</v>
      </c>
      <c r="AC276" s="65">
        <f t="shared" si="213"/>
        <v>1.7095011171931649</v>
      </c>
    </row>
    <row r="277" spans="1:29" x14ac:dyDescent="0.25">
      <c r="A277" s="30" t="str">
        <f t="shared" si="212"/>
        <v>Residual value (vehicle)</v>
      </c>
      <c r="B277" s="66">
        <f>((1+B249)^B256)*B249/(((1+B249)^B256)-1)*(B246)/B261</f>
        <v>-0.25416826054025926</v>
      </c>
      <c r="C277" s="66">
        <f t="shared" ref="C277:AC277" si="214">((1+C249)^C256)*C249/(((1+C249)^C256)-1)*(C246)/C261</f>
        <v>-0.2532019199121241</v>
      </c>
      <c r="D277" s="66">
        <f t="shared" si="214"/>
        <v>-0.25182985474682912</v>
      </c>
      <c r="E277" s="66">
        <f t="shared" si="214"/>
        <v>-0.24989057248272897</v>
      </c>
      <c r="F277" s="66">
        <f t="shared" si="214"/>
        <v>-0.24716785517148263</v>
      </c>
      <c r="G277" s="66">
        <f t="shared" si="214"/>
        <v>-0.2433822897318601</v>
      </c>
      <c r="H277" s="66">
        <f t="shared" si="214"/>
        <v>-0.23819242113242242</v>
      </c>
      <c r="I277" s="66">
        <f t="shared" si="214"/>
        <v>-0.23121779385861393</v>
      </c>
      <c r="J277" s="66">
        <f t="shared" si="214"/>
        <v>-0.22210060861284955</v>
      </c>
      <c r="K277" s="66">
        <f t="shared" si="214"/>
        <v>-0.21061905480012771</v>
      </c>
      <c r="L277" s="66">
        <f t="shared" si="214"/>
        <v>-0.19684151980291528</v>
      </c>
      <c r="M277" s="66">
        <f t="shared" si="214"/>
        <v>-0.18126224621081494</v>
      </c>
      <c r="N277" s="66">
        <f t="shared" si="214"/>
        <v>-0.16481527099978574</v>
      </c>
      <c r="O277" s="66">
        <f t="shared" si="214"/>
        <v>-0.14869194149770532</v>
      </c>
      <c r="P277" s="66">
        <f t="shared" si="214"/>
        <v>-0.13401454277653033</v>
      </c>
      <c r="Q277" s="66">
        <f t="shared" si="214"/>
        <v>-0.12154084396530274</v>
      </c>
      <c r="R277" s="66">
        <f t="shared" si="214"/>
        <v>-0.11155164513039878</v>
      </c>
      <c r="S277" s="66">
        <f t="shared" si="214"/>
        <v>-0.10392944306708454</v>
      </c>
      <c r="T277" s="66">
        <f t="shared" si="214"/>
        <v>-9.8326513249059416E-2</v>
      </c>
      <c r="U277" s="66">
        <f t="shared" si="214"/>
        <v>-9.4320499484876544E-2</v>
      </c>
      <c r="V277" s="66">
        <f t="shared" si="214"/>
        <v>-9.1512875442896963E-2</v>
      </c>
      <c r="W277" s="66">
        <f t="shared" si="214"/>
        <v>-8.9572634659828843E-2</v>
      </c>
      <c r="X277" s="66">
        <f t="shared" si="214"/>
        <v>-8.8244831206068547E-2</v>
      </c>
      <c r="Y277" s="66">
        <f t="shared" si="214"/>
        <v>-8.734221410431782E-2</v>
      </c>
      <c r="Z277" s="66">
        <f t="shared" si="214"/>
        <v>-8.6731423155348999E-2</v>
      </c>
      <c r="AA277" s="66">
        <f t="shared" si="214"/>
        <v>-8.631938294349642E-2</v>
      </c>
      <c r="AB277" s="66">
        <f t="shared" si="214"/>
        <v>-8.6041999519719331E-2</v>
      </c>
      <c r="AC277" s="66">
        <f t="shared" si="214"/>
        <v>-8.5855528619202287E-2</v>
      </c>
    </row>
    <row r="278" spans="1:29" x14ac:dyDescent="0.25">
      <c r="A278" s="30" t="str">
        <f t="shared" si="212"/>
        <v>Capex costumization</v>
      </c>
      <c r="B278" s="66">
        <f>((1+B249)^B257)*B249/(((1+B249)^B257)-1)*(B247)/B261</f>
        <v>1.1395907684713287</v>
      </c>
      <c r="C278" s="66">
        <f t="shared" ref="C278:AC278" si="215">((1+C249)^C257)*C249/(((1+C249)^C257)-1)*(C247)/C261</f>
        <v>1.1395907684713287</v>
      </c>
      <c r="D278" s="66">
        <f t="shared" si="215"/>
        <v>1.1395907684713287</v>
      </c>
      <c r="E278" s="66">
        <f t="shared" si="215"/>
        <v>1.1395907684713287</v>
      </c>
      <c r="F278" s="66">
        <f t="shared" si="215"/>
        <v>1.1395907684713287</v>
      </c>
      <c r="G278" s="66">
        <f t="shared" si="215"/>
        <v>1.1395907684713287</v>
      </c>
      <c r="H278" s="66">
        <f t="shared" si="215"/>
        <v>1.1395907684713287</v>
      </c>
      <c r="I278" s="66">
        <f t="shared" si="215"/>
        <v>1.1395907684713287</v>
      </c>
      <c r="J278" s="66">
        <f t="shared" si="215"/>
        <v>1.1395907684713287</v>
      </c>
      <c r="K278" s="66">
        <f t="shared" si="215"/>
        <v>1.1395907684713287</v>
      </c>
      <c r="L278" s="66">
        <f t="shared" si="215"/>
        <v>1.1395907684713287</v>
      </c>
      <c r="M278" s="66">
        <f t="shared" si="215"/>
        <v>1.1395907684713287</v>
      </c>
      <c r="N278" s="66">
        <f t="shared" si="215"/>
        <v>1.1395907684713287</v>
      </c>
      <c r="O278" s="66">
        <f t="shared" si="215"/>
        <v>1.1395907684713287</v>
      </c>
      <c r="P278" s="66">
        <f t="shared" si="215"/>
        <v>1.1395907684713287</v>
      </c>
      <c r="Q278" s="66">
        <f t="shared" si="215"/>
        <v>1.1395907684713287</v>
      </c>
      <c r="R278" s="66">
        <f t="shared" si="215"/>
        <v>1.1395907684713287</v>
      </c>
      <c r="S278" s="66">
        <f t="shared" si="215"/>
        <v>1.1395907684713287</v>
      </c>
      <c r="T278" s="66">
        <f t="shared" si="215"/>
        <v>1.1395907684713287</v>
      </c>
      <c r="U278" s="66">
        <f t="shared" si="215"/>
        <v>1.1395907684713287</v>
      </c>
      <c r="V278" s="66">
        <f t="shared" si="215"/>
        <v>1.1395907684713287</v>
      </c>
      <c r="W278" s="66">
        <f t="shared" si="215"/>
        <v>1.1395907684713287</v>
      </c>
      <c r="X278" s="66">
        <f t="shared" si="215"/>
        <v>1.1395907684713287</v>
      </c>
      <c r="Y278" s="66">
        <f t="shared" si="215"/>
        <v>1.1395907684713287</v>
      </c>
      <c r="Z278" s="66">
        <f t="shared" si="215"/>
        <v>1.1395907684713287</v>
      </c>
      <c r="AA278" s="66">
        <f t="shared" si="215"/>
        <v>1.1395907684713287</v>
      </c>
      <c r="AB278" s="66">
        <f t="shared" si="215"/>
        <v>1.1395907684713287</v>
      </c>
      <c r="AC278" s="66">
        <f t="shared" si="215"/>
        <v>1.1395907684713287</v>
      </c>
    </row>
    <row r="279" spans="1:29" x14ac:dyDescent="0.25">
      <c r="A279" s="30" t="str">
        <f t="shared" si="212"/>
        <v>Residual value (costumization)</v>
      </c>
      <c r="B279" s="66">
        <f>((1+B249)^B257)*B249/(((1+B249)^B257)-1)*(B248)/B261</f>
        <v>-5.6979538423566428E-2</v>
      </c>
      <c r="C279" s="66">
        <f t="shared" ref="C279:AC279" si="216">((1+C249)^C257)*C249/(((1+C249)^C257)-1)*(C248)/C261</f>
        <v>-5.6979538423566428E-2</v>
      </c>
      <c r="D279" s="66">
        <f t="shared" si="216"/>
        <v>-5.6979538423566428E-2</v>
      </c>
      <c r="E279" s="66">
        <f t="shared" si="216"/>
        <v>-5.6979538423566428E-2</v>
      </c>
      <c r="F279" s="66">
        <f t="shared" si="216"/>
        <v>-5.6979538423566428E-2</v>
      </c>
      <c r="G279" s="66">
        <f t="shared" si="216"/>
        <v>-5.6979538423566428E-2</v>
      </c>
      <c r="H279" s="66">
        <f t="shared" si="216"/>
        <v>-5.6979538423566428E-2</v>
      </c>
      <c r="I279" s="66">
        <f t="shared" si="216"/>
        <v>-5.6979538423566428E-2</v>
      </c>
      <c r="J279" s="66">
        <f t="shared" si="216"/>
        <v>-5.6979538423566428E-2</v>
      </c>
      <c r="K279" s="66">
        <f t="shared" si="216"/>
        <v>-5.6979538423566428E-2</v>
      </c>
      <c r="L279" s="66">
        <f t="shared" si="216"/>
        <v>-5.6979538423566428E-2</v>
      </c>
      <c r="M279" s="66">
        <f t="shared" si="216"/>
        <v>-5.6979538423566428E-2</v>
      </c>
      <c r="N279" s="66">
        <f t="shared" si="216"/>
        <v>-5.6979538423566428E-2</v>
      </c>
      <c r="O279" s="66">
        <f t="shared" si="216"/>
        <v>-5.6979538423566428E-2</v>
      </c>
      <c r="P279" s="66">
        <f t="shared" si="216"/>
        <v>-5.6979538423566428E-2</v>
      </c>
      <c r="Q279" s="66">
        <f t="shared" si="216"/>
        <v>-5.6979538423566428E-2</v>
      </c>
      <c r="R279" s="66">
        <f t="shared" si="216"/>
        <v>-5.6979538423566428E-2</v>
      </c>
      <c r="S279" s="66">
        <f t="shared" si="216"/>
        <v>-5.6979538423566428E-2</v>
      </c>
      <c r="T279" s="66">
        <f t="shared" si="216"/>
        <v>-5.6979538423566428E-2</v>
      </c>
      <c r="U279" s="66">
        <f t="shared" si="216"/>
        <v>-5.6979538423566428E-2</v>
      </c>
      <c r="V279" s="66">
        <f t="shared" si="216"/>
        <v>-5.6979538423566428E-2</v>
      </c>
      <c r="W279" s="66">
        <f t="shared" si="216"/>
        <v>-5.6979538423566428E-2</v>
      </c>
      <c r="X279" s="66">
        <f t="shared" si="216"/>
        <v>-5.6979538423566428E-2</v>
      </c>
      <c r="Y279" s="66">
        <f t="shared" si="216"/>
        <v>-5.6979538423566428E-2</v>
      </c>
      <c r="Z279" s="66">
        <f t="shared" si="216"/>
        <v>-5.6979538423566428E-2</v>
      </c>
      <c r="AA279" s="66">
        <f t="shared" si="216"/>
        <v>-5.6979538423566428E-2</v>
      </c>
      <c r="AB279" s="66">
        <f t="shared" si="216"/>
        <v>-5.6979538423566428E-2</v>
      </c>
      <c r="AC279" s="66">
        <f t="shared" si="216"/>
        <v>-5.6979538423566428E-2</v>
      </c>
    </row>
    <row r="280" spans="1:29" x14ac:dyDescent="0.25">
      <c r="A280" s="30" t="str">
        <f t="shared" si="212"/>
        <v>Opex fix (admin, crew, insurance)</v>
      </c>
      <c r="B280" s="66">
        <f>B250/B261</f>
        <v>3.4173669467787113</v>
      </c>
      <c r="C280" s="66">
        <f t="shared" ref="C280:AC280" si="217">C250/C261</f>
        <v>3.4173669467787113</v>
      </c>
      <c r="D280" s="66">
        <f t="shared" si="217"/>
        <v>3.4173669467787113</v>
      </c>
      <c r="E280" s="66">
        <f t="shared" si="217"/>
        <v>3.4173669467787113</v>
      </c>
      <c r="F280" s="66">
        <f t="shared" si="217"/>
        <v>3.4173669467787113</v>
      </c>
      <c r="G280" s="66">
        <f t="shared" si="217"/>
        <v>3.4173669467787113</v>
      </c>
      <c r="H280" s="66">
        <f t="shared" si="217"/>
        <v>3.4173669467787113</v>
      </c>
      <c r="I280" s="66">
        <f t="shared" si="217"/>
        <v>3.4173669467787113</v>
      </c>
      <c r="J280" s="66">
        <f t="shared" si="217"/>
        <v>3.4173669467787113</v>
      </c>
      <c r="K280" s="66">
        <f t="shared" si="217"/>
        <v>3.4173669467787113</v>
      </c>
      <c r="L280" s="66">
        <f t="shared" si="217"/>
        <v>3.4173669467787113</v>
      </c>
      <c r="M280" s="66">
        <f t="shared" si="217"/>
        <v>3.4173669467787113</v>
      </c>
      <c r="N280" s="66">
        <f t="shared" si="217"/>
        <v>3.4173669467787113</v>
      </c>
      <c r="O280" s="66">
        <f t="shared" si="217"/>
        <v>3.4173669467787113</v>
      </c>
      <c r="P280" s="66">
        <f t="shared" si="217"/>
        <v>3.4173669467787113</v>
      </c>
      <c r="Q280" s="66">
        <f t="shared" si="217"/>
        <v>3.4173669467787113</v>
      </c>
      <c r="R280" s="66">
        <f t="shared" si="217"/>
        <v>3.4173669467787113</v>
      </c>
      <c r="S280" s="66">
        <f t="shared" si="217"/>
        <v>3.4173669467787113</v>
      </c>
      <c r="T280" s="66">
        <f t="shared" si="217"/>
        <v>3.4173669467787113</v>
      </c>
      <c r="U280" s="66">
        <f t="shared" si="217"/>
        <v>3.4173669467787113</v>
      </c>
      <c r="V280" s="66">
        <f t="shared" si="217"/>
        <v>3.4173669467787113</v>
      </c>
      <c r="W280" s="66">
        <f t="shared" si="217"/>
        <v>3.4173669467787113</v>
      </c>
      <c r="X280" s="66">
        <f t="shared" si="217"/>
        <v>3.4173669467787113</v>
      </c>
      <c r="Y280" s="66">
        <f t="shared" si="217"/>
        <v>3.4173669467787113</v>
      </c>
      <c r="Z280" s="66">
        <f t="shared" si="217"/>
        <v>3.4173669467787113</v>
      </c>
      <c r="AA280" s="66">
        <f t="shared" si="217"/>
        <v>3.4173669467787113</v>
      </c>
      <c r="AB280" s="66">
        <f t="shared" si="217"/>
        <v>3.4173669467787113</v>
      </c>
      <c r="AC280" s="66">
        <f t="shared" si="217"/>
        <v>3.4173669467787113</v>
      </c>
    </row>
    <row r="281" spans="1:29" x14ac:dyDescent="0.25">
      <c r="A281" s="30" t="str">
        <f t="shared" si="212"/>
        <v>Opex maintenance &amp; repair</v>
      </c>
      <c r="B281" s="66">
        <f>B251/B261</f>
        <v>5.882352941176471</v>
      </c>
      <c r="C281" s="66">
        <f t="shared" ref="C281:AC281" si="218">C251/C261</f>
        <v>5.882352941176471</v>
      </c>
      <c r="D281" s="66">
        <f t="shared" si="218"/>
        <v>5.882352941176471</v>
      </c>
      <c r="E281" s="66">
        <f t="shared" si="218"/>
        <v>5.882352941176471</v>
      </c>
      <c r="F281" s="66">
        <f t="shared" si="218"/>
        <v>5.882352941176471</v>
      </c>
      <c r="G281" s="66">
        <f t="shared" si="218"/>
        <v>5.882352941176471</v>
      </c>
      <c r="H281" s="66">
        <f t="shared" si="218"/>
        <v>5.882352941176471</v>
      </c>
      <c r="I281" s="66">
        <f t="shared" si="218"/>
        <v>5.882352941176471</v>
      </c>
      <c r="J281" s="66">
        <f t="shared" si="218"/>
        <v>5.882352941176471</v>
      </c>
      <c r="K281" s="66">
        <f t="shared" si="218"/>
        <v>5.882352941176471</v>
      </c>
      <c r="L281" s="66">
        <f t="shared" si="218"/>
        <v>5.882352941176471</v>
      </c>
      <c r="M281" s="66">
        <f t="shared" si="218"/>
        <v>5.882352941176471</v>
      </c>
      <c r="N281" s="66">
        <f t="shared" si="218"/>
        <v>5.882352941176471</v>
      </c>
      <c r="O281" s="66">
        <f t="shared" si="218"/>
        <v>5.882352941176471</v>
      </c>
      <c r="P281" s="66">
        <f t="shared" si="218"/>
        <v>5.882352941176471</v>
      </c>
      <c r="Q281" s="66">
        <f t="shared" si="218"/>
        <v>5.882352941176471</v>
      </c>
      <c r="R281" s="66">
        <f t="shared" si="218"/>
        <v>5.882352941176471</v>
      </c>
      <c r="S281" s="66">
        <f t="shared" si="218"/>
        <v>5.882352941176471</v>
      </c>
      <c r="T281" s="66">
        <f t="shared" si="218"/>
        <v>5.882352941176471</v>
      </c>
      <c r="U281" s="66">
        <f t="shared" si="218"/>
        <v>5.882352941176471</v>
      </c>
      <c r="V281" s="66">
        <f t="shared" si="218"/>
        <v>5.882352941176471</v>
      </c>
      <c r="W281" s="66">
        <f t="shared" si="218"/>
        <v>5.882352941176471</v>
      </c>
      <c r="X281" s="66">
        <f t="shared" si="218"/>
        <v>5.882352941176471</v>
      </c>
      <c r="Y281" s="66">
        <f t="shared" si="218"/>
        <v>5.882352941176471</v>
      </c>
      <c r="Z281" s="66">
        <f t="shared" si="218"/>
        <v>5.882352941176471</v>
      </c>
      <c r="AA281" s="66">
        <f t="shared" si="218"/>
        <v>5.882352941176471</v>
      </c>
      <c r="AB281" s="66">
        <f t="shared" si="218"/>
        <v>5.882352941176471</v>
      </c>
      <c r="AC281" s="66">
        <f t="shared" si="218"/>
        <v>5.882352941176471</v>
      </c>
    </row>
    <row r="282" spans="1:29" x14ac:dyDescent="0.25">
      <c r="A282" s="30" t="str">
        <f t="shared" si="212"/>
        <v>Opex var (mode-fees, shunting)</v>
      </c>
      <c r="B282" s="66">
        <f>B252*B261/B261</f>
        <v>3.6414565826330532</v>
      </c>
      <c r="C282" s="66">
        <f t="shared" ref="C282:AC282" si="219">C252*C261/C261</f>
        <v>3.6414565826330532</v>
      </c>
      <c r="D282" s="66">
        <f t="shared" si="219"/>
        <v>3.6414565826330532</v>
      </c>
      <c r="E282" s="66">
        <f t="shared" si="219"/>
        <v>3.6414565826330532</v>
      </c>
      <c r="F282" s="66">
        <f t="shared" si="219"/>
        <v>3.6414565826330532</v>
      </c>
      <c r="G282" s="66">
        <f t="shared" si="219"/>
        <v>3.6414565826330532</v>
      </c>
      <c r="H282" s="66">
        <f t="shared" si="219"/>
        <v>3.6414565826330532</v>
      </c>
      <c r="I282" s="66">
        <f t="shared" si="219"/>
        <v>3.6414565826330532</v>
      </c>
      <c r="J282" s="66">
        <f t="shared" si="219"/>
        <v>3.6414565826330532</v>
      </c>
      <c r="K282" s="66">
        <f t="shared" si="219"/>
        <v>3.6414565826330532</v>
      </c>
      <c r="L282" s="66">
        <f t="shared" si="219"/>
        <v>3.6414565826330532</v>
      </c>
      <c r="M282" s="66">
        <f t="shared" si="219"/>
        <v>3.6414565826330532</v>
      </c>
      <c r="N282" s="66">
        <f t="shared" si="219"/>
        <v>3.6414565826330532</v>
      </c>
      <c r="O282" s="66">
        <f t="shared" si="219"/>
        <v>3.6414565826330532</v>
      </c>
      <c r="P282" s="66">
        <f t="shared" si="219"/>
        <v>3.6414565826330532</v>
      </c>
      <c r="Q282" s="66">
        <f t="shared" si="219"/>
        <v>3.6414565826330532</v>
      </c>
      <c r="R282" s="66">
        <f t="shared" si="219"/>
        <v>3.6414565826330532</v>
      </c>
      <c r="S282" s="66">
        <f t="shared" si="219"/>
        <v>3.6414565826330532</v>
      </c>
      <c r="T282" s="66">
        <f t="shared" si="219"/>
        <v>3.6414565826330532</v>
      </c>
      <c r="U282" s="66">
        <f t="shared" si="219"/>
        <v>3.6414565826330532</v>
      </c>
      <c r="V282" s="66">
        <f t="shared" si="219"/>
        <v>3.6414565826330532</v>
      </c>
      <c r="W282" s="66">
        <f t="shared" si="219"/>
        <v>3.6414565826330532</v>
      </c>
      <c r="X282" s="66">
        <f t="shared" si="219"/>
        <v>3.6414565826330532</v>
      </c>
      <c r="Y282" s="66">
        <f t="shared" si="219"/>
        <v>3.6414565826330532</v>
      </c>
      <c r="Z282" s="66">
        <f t="shared" si="219"/>
        <v>3.6414565826330532</v>
      </c>
      <c r="AA282" s="66">
        <f t="shared" si="219"/>
        <v>3.6414565826330532</v>
      </c>
      <c r="AB282" s="66">
        <f t="shared" si="219"/>
        <v>3.6414565826330532</v>
      </c>
      <c r="AC282" s="66">
        <f t="shared" si="219"/>
        <v>3.6414565826330532</v>
      </c>
    </row>
    <row r="283" spans="1:29" x14ac:dyDescent="0.25">
      <c r="A283" s="30" t="str">
        <f t="shared" si="212"/>
        <v>Fuel Cost</v>
      </c>
      <c r="B283" s="66">
        <f>B253*B254*B261/B261</f>
        <v>7.6777599999999993</v>
      </c>
      <c r="C283" s="66">
        <f t="shared" ref="C283:AC283" si="220">C253*C254*C261/C261</f>
        <v>7.6777599999999993</v>
      </c>
      <c r="D283" s="66">
        <f t="shared" si="220"/>
        <v>7.6777599999999993</v>
      </c>
      <c r="E283" s="66">
        <f t="shared" si="220"/>
        <v>7.6777599999999993</v>
      </c>
      <c r="F283" s="66">
        <f t="shared" si="220"/>
        <v>7.6777599999999993</v>
      </c>
      <c r="G283" s="66">
        <f t="shared" si="220"/>
        <v>7.6777599999999993</v>
      </c>
      <c r="H283" s="66">
        <f t="shared" si="220"/>
        <v>7.6777599999999993</v>
      </c>
      <c r="I283" s="66">
        <f t="shared" si="220"/>
        <v>7.6777599999999993</v>
      </c>
      <c r="J283" s="66">
        <f t="shared" si="220"/>
        <v>7.6777599999999993</v>
      </c>
      <c r="K283" s="66">
        <f t="shared" si="220"/>
        <v>7.6777599999999993</v>
      </c>
      <c r="L283" s="66">
        <f t="shared" si="220"/>
        <v>7.6777599999999993</v>
      </c>
      <c r="M283" s="66">
        <f t="shared" si="220"/>
        <v>7.6777599999999993</v>
      </c>
      <c r="N283" s="66">
        <f t="shared" si="220"/>
        <v>7.6777599999999993</v>
      </c>
      <c r="O283" s="66">
        <f t="shared" si="220"/>
        <v>7.6777599999999993</v>
      </c>
      <c r="P283" s="66">
        <f t="shared" si="220"/>
        <v>7.6777599999999993</v>
      </c>
      <c r="Q283" s="66">
        <f t="shared" si="220"/>
        <v>7.6777599999999993</v>
      </c>
      <c r="R283" s="66">
        <f t="shared" si="220"/>
        <v>7.6777599999999993</v>
      </c>
      <c r="S283" s="66">
        <f t="shared" si="220"/>
        <v>7.6777599999999993</v>
      </c>
      <c r="T283" s="66">
        <f t="shared" si="220"/>
        <v>7.6777599999999993</v>
      </c>
      <c r="U283" s="66">
        <f t="shared" si="220"/>
        <v>7.6777599999999993</v>
      </c>
      <c r="V283" s="66">
        <f t="shared" si="220"/>
        <v>7.6777599999999993</v>
      </c>
      <c r="W283" s="66">
        <f t="shared" si="220"/>
        <v>7.6777599999999993</v>
      </c>
      <c r="X283" s="66">
        <f t="shared" si="220"/>
        <v>7.6777599999999993</v>
      </c>
      <c r="Y283" s="66">
        <f t="shared" si="220"/>
        <v>7.6777599999999993</v>
      </c>
      <c r="Z283" s="66">
        <f t="shared" si="220"/>
        <v>7.6777599999999993</v>
      </c>
      <c r="AA283" s="66">
        <f t="shared" si="220"/>
        <v>7.6777599999999993</v>
      </c>
      <c r="AB283" s="66">
        <f t="shared" si="220"/>
        <v>7.6777599999999993</v>
      </c>
      <c r="AC283" s="66">
        <f t="shared" si="220"/>
        <v>7.6777599999999993</v>
      </c>
    </row>
    <row r="284" spans="1:29" ht="15.75" thickBot="1" x14ac:dyDescent="0.3">
      <c r="A284" s="59" t="str">
        <f>A235</f>
        <v>Emission Cost</v>
      </c>
      <c r="B284" s="66">
        <f>B255</f>
        <v>2.0582113582797463</v>
      </c>
      <c r="C284" s="66">
        <f t="shared" ref="C284:AC284" si="221">C255</f>
        <v>2.0630736964968874</v>
      </c>
      <c r="D284" s="66">
        <f t="shared" si="221"/>
        <v>2.0700340253548735</v>
      </c>
      <c r="E284" s="66">
        <f t="shared" si="221"/>
        <v>2.0799912652584287</v>
      </c>
      <c r="F284" s="66">
        <f t="shared" si="221"/>
        <v>2.0942223582546799</v>
      </c>
      <c r="G284" s="66">
        <f t="shared" si="221"/>
        <v>2.1145332034270625</v>
      </c>
      <c r="H284" s="66">
        <f t="shared" si="221"/>
        <v>2.1434608297482804</v>
      </c>
      <c r="I284" s="66">
        <f t="shared" si="221"/>
        <v>2.1845339122974496</v>
      </c>
      <c r="J284" s="66">
        <f t="shared" si="221"/>
        <v>2.2425867676094651</v>
      </c>
      <c r="K284" s="66">
        <f t="shared" si="221"/>
        <v>2.3240919291072673</v>
      </c>
      <c r="L284" s="66">
        <f t="shared" si="221"/>
        <v>2.4374136908790356</v>
      </c>
      <c r="M284" s="66">
        <f t="shared" si="221"/>
        <v>2.5927735868925894</v>
      </c>
      <c r="N284" s="66">
        <f t="shared" si="221"/>
        <v>2.8015606394413943</v>
      </c>
      <c r="O284" s="66">
        <f t="shared" si="221"/>
        <v>3.0744856518148742</v>
      </c>
      <c r="P284" s="66">
        <f t="shared" si="221"/>
        <v>3.4181885745847813</v>
      </c>
      <c r="Q284" s="66">
        <f t="shared" si="221"/>
        <v>3.8306222159147274</v>
      </c>
      <c r="R284" s="66">
        <f t="shared" si="221"/>
        <v>4.2969913115595899</v>
      </c>
      <c r="S284" s="66">
        <f t="shared" si="221"/>
        <v>4.7893352523676196</v>
      </c>
      <c r="T284" s="66">
        <f t="shared" si="221"/>
        <v>5.2719907853240588</v>
      </c>
      <c r="U284" s="66">
        <f t="shared" si="221"/>
        <v>5.7113620517407639</v>
      </c>
      <c r="V284" s="66">
        <f t="shared" si="221"/>
        <v>6.0847650605234298</v>
      </c>
      <c r="W284" s="66">
        <f t="shared" si="221"/>
        <v>6.383793997868306</v>
      </c>
      <c r="X284" s="66">
        <f t="shared" si="221"/>
        <v>6.6119663489137848</v>
      </c>
      <c r="Y284" s="66">
        <f t="shared" si="221"/>
        <v>6.7796913263812186</v>
      </c>
      <c r="Z284" s="66">
        <f t="shared" si="221"/>
        <v>6.8996122588494808</v>
      </c>
      <c r="AA284" s="66">
        <f t="shared" si="221"/>
        <v>6.9836591226283362</v>
      </c>
      <c r="AB284" s="66">
        <f t="shared" si="221"/>
        <v>7.0417406714234989</v>
      </c>
      <c r="AC284" s="66">
        <f t="shared" si="221"/>
        <v>7.0814887695786215</v>
      </c>
    </row>
    <row r="285" spans="1:29" ht="15.75" thickBot="1" x14ac:dyDescent="0.3">
      <c r="A285" s="31" t="s">
        <v>63</v>
      </c>
      <c r="B285" s="76">
        <f>B276+B277+B278-B279+B280+B281+B282+B283+B284</f>
        <v>25.32905099241578</v>
      </c>
      <c r="C285" s="76">
        <f t="shared" ref="C285:AC285" si="222">C276+C277+C278-C279+C280+C281+C282+C283+C284</f>
        <v>25.334879671261056</v>
      </c>
      <c r="D285" s="76">
        <f t="shared" si="222"/>
        <v>25.343212065284341</v>
      </c>
      <c r="E285" s="76">
        <f t="shared" si="222"/>
        <v>25.355108587451994</v>
      </c>
      <c r="F285" s="76">
        <f t="shared" si="222"/>
        <v>25.372062397759489</v>
      </c>
      <c r="G285" s="76">
        <f t="shared" si="222"/>
        <v>25.396158808371496</v>
      </c>
      <c r="H285" s="76">
        <f t="shared" si="222"/>
        <v>25.430276303292153</v>
      </c>
      <c r="I285" s="76">
        <f t="shared" si="222"/>
        <v>25.478324013115131</v>
      </c>
      <c r="J285" s="76">
        <f t="shared" si="222"/>
        <v>25.545494053672911</v>
      </c>
      <c r="K285" s="76">
        <f t="shared" si="222"/>
        <v>25.638480768983435</v>
      </c>
      <c r="L285" s="76">
        <f t="shared" si="222"/>
        <v>25.765580065752413</v>
      </c>
      <c r="M285" s="76">
        <f t="shared" si="222"/>
        <v>25.93651923535807</v>
      </c>
      <c r="N285" s="76">
        <f t="shared" si="222"/>
        <v>26.161753263117905</v>
      </c>
      <c r="O285" s="76">
        <f t="shared" si="222"/>
        <v>26.450801604993465</v>
      </c>
      <c r="P285" s="76">
        <f t="shared" si="222"/>
        <v>26.809181926484548</v>
      </c>
      <c r="Q285" s="76">
        <f t="shared" si="222"/>
        <v>27.23408926662572</v>
      </c>
      <c r="R285" s="76">
        <f t="shared" si="222"/>
        <v>27.710447561105486</v>
      </c>
      <c r="S285" s="76">
        <f t="shared" si="222"/>
        <v>28.210413703976833</v>
      </c>
      <c r="T285" s="76">
        <f t="shared" si="222"/>
        <v>28.698672166751294</v>
      </c>
      <c r="U285" s="76">
        <f t="shared" si="222"/>
        <v>29.142049446932184</v>
      </c>
      <c r="V285" s="76">
        <f t="shared" si="222"/>
        <v>29.518260079756828</v>
      </c>
      <c r="W285" s="76">
        <f t="shared" si="222"/>
        <v>29.819229257884771</v>
      </c>
      <c r="X285" s="76">
        <f t="shared" si="222"/>
        <v>30.048729412384009</v>
      </c>
      <c r="Y285" s="76">
        <f t="shared" si="222"/>
        <v>30.217357006953193</v>
      </c>
      <c r="Z285" s="76">
        <f t="shared" si="222"/>
        <v>30.337888730370423</v>
      </c>
      <c r="AA285" s="76">
        <f t="shared" si="222"/>
        <v>30.422347634361135</v>
      </c>
      <c r="AB285" s="76">
        <f t="shared" si="222"/>
        <v>30.480706566580075</v>
      </c>
      <c r="AC285" s="76">
        <f t="shared" si="222"/>
        <v>30.520641135635714</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23">A264</f>
        <v>Capex vehicle</v>
      </c>
      <c r="B288" s="65">
        <f>((1+B249)^B256)*B249/(((1+B249)^B256)-1)*(B245)/B261/(B258)</f>
        <v>7.6317014160409149E-4</v>
      </c>
      <c r="C288" s="65">
        <f t="shared" ref="C288:AC288" si="224">((1+C249)^C256)*C249/(((1+C249)^C256)-1)*(C245)/C261/(C258)</f>
        <v>7.6317014160409149E-4</v>
      </c>
      <c r="D288" s="65">
        <f t="shared" si="224"/>
        <v>7.6317014160409149E-4</v>
      </c>
      <c r="E288" s="65">
        <f t="shared" si="224"/>
        <v>7.6317014160409149E-4</v>
      </c>
      <c r="F288" s="65">
        <f t="shared" si="224"/>
        <v>7.6317014160409149E-4</v>
      </c>
      <c r="G288" s="65">
        <f t="shared" si="224"/>
        <v>7.6317014160409149E-4</v>
      </c>
      <c r="H288" s="65">
        <f t="shared" si="224"/>
        <v>7.6317014160409149E-4</v>
      </c>
      <c r="I288" s="65">
        <f t="shared" si="224"/>
        <v>7.6317014160409149E-4</v>
      </c>
      <c r="J288" s="65">
        <f t="shared" si="224"/>
        <v>7.6317014160409149E-4</v>
      </c>
      <c r="K288" s="65">
        <f t="shared" si="224"/>
        <v>7.6317014160409149E-4</v>
      </c>
      <c r="L288" s="65">
        <f t="shared" si="224"/>
        <v>7.6317014160409149E-4</v>
      </c>
      <c r="M288" s="65">
        <f t="shared" si="224"/>
        <v>7.6317014160409149E-4</v>
      </c>
      <c r="N288" s="65">
        <f t="shared" si="224"/>
        <v>7.6317014160409149E-4</v>
      </c>
      <c r="O288" s="65">
        <f t="shared" si="224"/>
        <v>7.6317014160409149E-4</v>
      </c>
      <c r="P288" s="65">
        <f t="shared" si="224"/>
        <v>7.6317014160409149E-4</v>
      </c>
      <c r="Q288" s="65">
        <f t="shared" si="224"/>
        <v>7.6317014160409149E-4</v>
      </c>
      <c r="R288" s="65">
        <f t="shared" si="224"/>
        <v>7.6317014160409149E-4</v>
      </c>
      <c r="S288" s="65">
        <f t="shared" si="224"/>
        <v>7.6317014160409149E-4</v>
      </c>
      <c r="T288" s="65">
        <f t="shared" si="224"/>
        <v>7.6317014160409149E-4</v>
      </c>
      <c r="U288" s="65">
        <f t="shared" si="224"/>
        <v>7.6317014160409149E-4</v>
      </c>
      <c r="V288" s="65">
        <f t="shared" si="224"/>
        <v>7.6317014160409149E-4</v>
      </c>
      <c r="W288" s="65">
        <f t="shared" si="224"/>
        <v>7.6317014160409149E-4</v>
      </c>
      <c r="X288" s="65">
        <f t="shared" si="224"/>
        <v>7.6317014160409149E-4</v>
      </c>
      <c r="Y288" s="65">
        <f t="shared" si="224"/>
        <v>7.6317014160409149E-4</v>
      </c>
      <c r="Z288" s="65">
        <f t="shared" si="224"/>
        <v>7.6317014160409149E-4</v>
      </c>
      <c r="AA288" s="65">
        <f t="shared" si="224"/>
        <v>7.6317014160409149E-4</v>
      </c>
      <c r="AB288" s="65">
        <f t="shared" si="224"/>
        <v>7.6317014160409149E-4</v>
      </c>
      <c r="AC288" s="65">
        <f t="shared" si="224"/>
        <v>7.6317014160409149E-4</v>
      </c>
    </row>
    <row r="289" spans="1:29" x14ac:dyDescent="0.25">
      <c r="A289" s="30" t="str">
        <f t="shared" si="223"/>
        <v>Residual value (vehicle)</v>
      </c>
      <c r="B289" s="68">
        <f>((1+B249)^B256)*B249/(((1+B249)^B256)-1)*(B246)/B261/(B258)</f>
        <v>-1.1346797345547289E-4</v>
      </c>
      <c r="C289" s="68">
        <f t="shared" ref="C289:AC289" si="225">((1+C249)^C256)*C249/(((1+C249)^C256)-1)*(C246)/C261/(C258)</f>
        <v>-1.1303657138934111E-4</v>
      </c>
      <c r="D289" s="68">
        <f t="shared" si="225"/>
        <v>-1.1242404229769157E-4</v>
      </c>
      <c r="E289" s="68">
        <f t="shared" si="225"/>
        <v>-1.1155829128693258E-4</v>
      </c>
      <c r="F289" s="68">
        <f t="shared" si="225"/>
        <v>-1.1034279248726903E-4</v>
      </c>
      <c r="G289" s="68">
        <f t="shared" si="225"/>
        <v>-1.0865280791600897E-4</v>
      </c>
      <c r="H289" s="68">
        <f t="shared" si="225"/>
        <v>-1.0633590229126001E-4</v>
      </c>
      <c r="I289" s="68">
        <f t="shared" si="225"/>
        <v>-1.0322222940116694E-4</v>
      </c>
      <c r="J289" s="68">
        <f t="shared" si="225"/>
        <v>-9.9152057416450692E-5</v>
      </c>
      <c r="K289" s="68">
        <f t="shared" si="225"/>
        <v>-9.4026363750057009E-5</v>
      </c>
      <c r="L289" s="68">
        <f t="shared" si="225"/>
        <v>-8.7875678483444322E-5</v>
      </c>
      <c r="M289" s="68">
        <f t="shared" si="225"/>
        <v>-8.0920645629828101E-5</v>
      </c>
      <c r="N289" s="68">
        <f t="shared" si="225"/>
        <v>-7.357824598204721E-5</v>
      </c>
      <c r="O289" s="68">
        <f t="shared" si="225"/>
        <v>-6.6380331025761298E-5</v>
      </c>
      <c r="P289" s="68">
        <f t="shared" si="225"/>
        <v>-5.982792088237961E-5</v>
      </c>
      <c r="Q289" s="68">
        <f t="shared" si="225"/>
        <v>-5.4259305341653007E-5</v>
      </c>
      <c r="R289" s="68">
        <f t="shared" si="225"/>
        <v>-4.9799841576070884E-5</v>
      </c>
      <c r="S289" s="68">
        <f t="shared" si="225"/>
        <v>-4.6397072797805602E-5</v>
      </c>
      <c r="T289" s="68">
        <f t="shared" si="225"/>
        <v>-4.3895764843330094E-5</v>
      </c>
      <c r="U289" s="68">
        <f t="shared" si="225"/>
        <v>-4.2107365841462744E-5</v>
      </c>
      <c r="V289" s="68">
        <f t="shared" si="225"/>
        <v>-4.0853962251293284E-5</v>
      </c>
      <c r="W289" s="68">
        <f t="shared" si="225"/>
        <v>-3.9987783330280735E-5</v>
      </c>
      <c r="X289" s="68">
        <f t="shared" si="225"/>
        <v>-3.93950139312806E-5</v>
      </c>
      <c r="Y289" s="68">
        <f t="shared" si="225"/>
        <v>-3.8992059867999029E-5</v>
      </c>
      <c r="Z289" s="68">
        <f t="shared" si="225"/>
        <v>-3.8719385337209372E-5</v>
      </c>
      <c r="AA289" s="68">
        <f t="shared" si="225"/>
        <v>-3.8535438814060903E-5</v>
      </c>
      <c r="AB289" s="68">
        <f t="shared" si="225"/>
        <v>-3.8411606928446129E-5</v>
      </c>
      <c r="AC289" s="68">
        <f t="shared" si="225"/>
        <v>-3.832836099071531E-5</v>
      </c>
    </row>
    <row r="290" spans="1:29" x14ac:dyDescent="0.25">
      <c r="A290" s="30" t="str">
        <f t="shared" si="223"/>
        <v>Capex costumization</v>
      </c>
      <c r="B290" s="66">
        <f>((1+B249)^B257)*B249/(((1+B249)^B257)-1)*(B247)/B261/(B258)</f>
        <v>5.087458787818432E-4</v>
      </c>
      <c r="C290" s="66">
        <f t="shared" ref="C290:AC290" si="226">((1+C249)^C257)*C249/(((1+C249)^C257)-1)*(C247)/C261/(C258)</f>
        <v>5.087458787818432E-4</v>
      </c>
      <c r="D290" s="66">
        <f t="shared" si="226"/>
        <v>5.087458787818432E-4</v>
      </c>
      <c r="E290" s="66">
        <f t="shared" si="226"/>
        <v>5.087458787818432E-4</v>
      </c>
      <c r="F290" s="66">
        <f t="shared" si="226"/>
        <v>5.087458787818432E-4</v>
      </c>
      <c r="G290" s="66">
        <f t="shared" si="226"/>
        <v>5.087458787818432E-4</v>
      </c>
      <c r="H290" s="66">
        <f t="shared" si="226"/>
        <v>5.087458787818432E-4</v>
      </c>
      <c r="I290" s="66">
        <f t="shared" si="226"/>
        <v>5.087458787818432E-4</v>
      </c>
      <c r="J290" s="66">
        <f t="shared" si="226"/>
        <v>5.087458787818432E-4</v>
      </c>
      <c r="K290" s="66">
        <f t="shared" si="226"/>
        <v>5.087458787818432E-4</v>
      </c>
      <c r="L290" s="66">
        <f t="shared" si="226"/>
        <v>5.087458787818432E-4</v>
      </c>
      <c r="M290" s="66">
        <f t="shared" si="226"/>
        <v>5.087458787818432E-4</v>
      </c>
      <c r="N290" s="66">
        <f t="shared" si="226"/>
        <v>5.087458787818432E-4</v>
      </c>
      <c r="O290" s="66">
        <f t="shared" si="226"/>
        <v>5.087458787818432E-4</v>
      </c>
      <c r="P290" s="66">
        <f t="shared" si="226"/>
        <v>5.087458787818432E-4</v>
      </c>
      <c r="Q290" s="66">
        <f t="shared" si="226"/>
        <v>5.087458787818432E-4</v>
      </c>
      <c r="R290" s="66">
        <f t="shared" si="226"/>
        <v>5.087458787818432E-4</v>
      </c>
      <c r="S290" s="66">
        <f t="shared" si="226"/>
        <v>5.087458787818432E-4</v>
      </c>
      <c r="T290" s="66">
        <f t="shared" si="226"/>
        <v>5.087458787818432E-4</v>
      </c>
      <c r="U290" s="66">
        <f t="shared" si="226"/>
        <v>5.087458787818432E-4</v>
      </c>
      <c r="V290" s="66">
        <f t="shared" si="226"/>
        <v>5.087458787818432E-4</v>
      </c>
      <c r="W290" s="66">
        <f t="shared" si="226"/>
        <v>5.087458787818432E-4</v>
      </c>
      <c r="X290" s="66">
        <f t="shared" si="226"/>
        <v>5.087458787818432E-4</v>
      </c>
      <c r="Y290" s="66">
        <f t="shared" si="226"/>
        <v>5.087458787818432E-4</v>
      </c>
      <c r="Z290" s="66">
        <f t="shared" si="226"/>
        <v>5.087458787818432E-4</v>
      </c>
      <c r="AA290" s="66">
        <f t="shared" si="226"/>
        <v>5.087458787818432E-4</v>
      </c>
      <c r="AB290" s="66">
        <f t="shared" si="226"/>
        <v>5.087458787818432E-4</v>
      </c>
      <c r="AC290" s="66">
        <f t="shared" si="226"/>
        <v>5.087458787818432E-4</v>
      </c>
    </row>
    <row r="291" spans="1:29" x14ac:dyDescent="0.25">
      <c r="A291" s="30" t="str">
        <f t="shared" si="223"/>
        <v>Residual value (costumization)</v>
      </c>
      <c r="B291" s="69">
        <f>((1+B249)^B257)*B249/(((1+B249)^B257)-1)*(B248)/B261/(B258)</f>
        <v>-2.5437293939092156E-5</v>
      </c>
      <c r="C291" s="69">
        <f t="shared" ref="C291:AC291" si="227">((1+C249)^C257)*C249/(((1+C249)^C257)-1)*(C248)/C261/(C258)</f>
        <v>-2.5437293939092156E-5</v>
      </c>
      <c r="D291" s="69">
        <f t="shared" si="227"/>
        <v>-2.5437293939092156E-5</v>
      </c>
      <c r="E291" s="69">
        <f t="shared" si="227"/>
        <v>-2.5437293939092156E-5</v>
      </c>
      <c r="F291" s="69">
        <f t="shared" si="227"/>
        <v>-2.5437293939092156E-5</v>
      </c>
      <c r="G291" s="69">
        <f t="shared" si="227"/>
        <v>-2.5437293939092156E-5</v>
      </c>
      <c r="H291" s="69">
        <f t="shared" si="227"/>
        <v>-2.5437293939092156E-5</v>
      </c>
      <c r="I291" s="69">
        <f t="shared" si="227"/>
        <v>-2.5437293939092156E-5</v>
      </c>
      <c r="J291" s="69">
        <f t="shared" si="227"/>
        <v>-2.5437293939092156E-5</v>
      </c>
      <c r="K291" s="69">
        <f t="shared" si="227"/>
        <v>-2.5437293939092156E-5</v>
      </c>
      <c r="L291" s="69">
        <f t="shared" si="227"/>
        <v>-2.5437293939092156E-5</v>
      </c>
      <c r="M291" s="69">
        <f t="shared" si="227"/>
        <v>-2.5437293939092156E-5</v>
      </c>
      <c r="N291" s="69">
        <f t="shared" si="227"/>
        <v>-2.5437293939092156E-5</v>
      </c>
      <c r="O291" s="69">
        <f t="shared" si="227"/>
        <v>-2.5437293939092156E-5</v>
      </c>
      <c r="P291" s="69">
        <f t="shared" si="227"/>
        <v>-2.5437293939092156E-5</v>
      </c>
      <c r="Q291" s="69">
        <f t="shared" si="227"/>
        <v>-2.5437293939092156E-5</v>
      </c>
      <c r="R291" s="69">
        <f t="shared" si="227"/>
        <v>-2.5437293939092156E-5</v>
      </c>
      <c r="S291" s="69">
        <f t="shared" si="227"/>
        <v>-2.5437293939092156E-5</v>
      </c>
      <c r="T291" s="69">
        <f t="shared" si="227"/>
        <v>-2.5437293939092156E-5</v>
      </c>
      <c r="U291" s="69">
        <f t="shared" si="227"/>
        <v>-2.5437293939092156E-5</v>
      </c>
      <c r="V291" s="69">
        <f t="shared" si="227"/>
        <v>-2.5437293939092156E-5</v>
      </c>
      <c r="W291" s="69">
        <f t="shared" si="227"/>
        <v>-2.5437293939092156E-5</v>
      </c>
      <c r="X291" s="69">
        <f t="shared" si="227"/>
        <v>-2.5437293939092156E-5</v>
      </c>
      <c r="Y291" s="69">
        <f t="shared" si="227"/>
        <v>-2.5437293939092156E-5</v>
      </c>
      <c r="Z291" s="69">
        <f t="shared" si="227"/>
        <v>-2.5437293939092156E-5</v>
      </c>
      <c r="AA291" s="69">
        <f t="shared" si="227"/>
        <v>-2.5437293939092156E-5</v>
      </c>
      <c r="AB291" s="69">
        <f t="shared" si="227"/>
        <v>-2.5437293939092156E-5</v>
      </c>
      <c r="AC291" s="69">
        <f t="shared" si="227"/>
        <v>-2.5437293939092156E-5</v>
      </c>
    </row>
    <row r="292" spans="1:29" x14ac:dyDescent="0.25">
      <c r="A292" s="30" t="str">
        <f t="shared" si="223"/>
        <v>Opex fix (admin, crew, insurance)</v>
      </c>
      <c r="B292" s="66">
        <f>B250/B261/(B258)</f>
        <v>1.525610244097639E-3</v>
      </c>
      <c r="C292" s="66">
        <f t="shared" ref="C292:AC292" si="228">C250/C261/(C258)</f>
        <v>1.525610244097639E-3</v>
      </c>
      <c r="D292" s="66">
        <f t="shared" si="228"/>
        <v>1.525610244097639E-3</v>
      </c>
      <c r="E292" s="66">
        <f t="shared" si="228"/>
        <v>1.525610244097639E-3</v>
      </c>
      <c r="F292" s="66">
        <f t="shared" si="228"/>
        <v>1.525610244097639E-3</v>
      </c>
      <c r="G292" s="66">
        <f t="shared" si="228"/>
        <v>1.525610244097639E-3</v>
      </c>
      <c r="H292" s="66">
        <f t="shared" si="228"/>
        <v>1.525610244097639E-3</v>
      </c>
      <c r="I292" s="66">
        <f t="shared" si="228"/>
        <v>1.525610244097639E-3</v>
      </c>
      <c r="J292" s="66">
        <f t="shared" si="228"/>
        <v>1.525610244097639E-3</v>
      </c>
      <c r="K292" s="66">
        <f t="shared" si="228"/>
        <v>1.525610244097639E-3</v>
      </c>
      <c r="L292" s="66">
        <f t="shared" si="228"/>
        <v>1.525610244097639E-3</v>
      </c>
      <c r="M292" s="66">
        <f t="shared" si="228"/>
        <v>1.525610244097639E-3</v>
      </c>
      <c r="N292" s="66">
        <f t="shared" si="228"/>
        <v>1.525610244097639E-3</v>
      </c>
      <c r="O292" s="66">
        <f t="shared" si="228"/>
        <v>1.525610244097639E-3</v>
      </c>
      <c r="P292" s="66">
        <f t="shared" si="228"/>
        <v>1.525610244097639E-3</v>
      </c>
      <c r="Q292" s="66">
        <f t="shared" si="228"/>
        <v>1.525610244097639E-3</v>
      </c>
      <c r="R292" s="66">
        <f t="shared" si="228"/>
        <v>1.525610244097639E-3</v>
      </c>
      <c r="S292" s="66">
        <f t="shared" si="228"/>
        <v>1.525610244097639E-3</v>
      </c>
      <c r="T292" s="66">
        <f t="shared" si="228"/>
        <v>1.525610244097639E-3</v>
      </c>
      <c r="U292" s="66">
        <f t="shared" si="228"/>
        <v>1.525610244097639E-3</v>
      </c>
      <c r="V292" s="66">
        <f t="shared" si="228"/>
        <v>1.525610244097639E-3</v>
      </c>
      <c r="W292" s="66">
        <f t="shared" si="228"/>
        <v>1.525610244097639E-3</v>
      </c>
      <c r="X292" s="66">
        <f t="shared" si="228"/>
        <v>1.525610244097639E-3</v>
      </c>
      <c r="Y292" s="66">
        <f t="shared" si="228"/>
        <v>1.525610244097639E-3</v>
      </c>
      <c r="Z292" s="66">
        <f t="shared" si="228"/>
        <v>1.525610244097639E-3</v>
      </c>
      <c r="AA292" s="66">
        <f t="shared" si="228"/>
        <v>1.525610244097639E-3</v>
      </c>
      <c r="AB292" s="66">
        <f t="shared" si="228"/>
        <v>1.525610244097639E-3</v>
      </c>
      <c r="AC292" s="66">
        <f t="shared" si="228"/>
        <v>1.525610244097639E-3</v>
      </c>
    </row>
    <row r="293" spans="1:29" x14ac:dyDescent="0.25">
      <c r="A293" s="30" t="str">
        <f t="shared" si="223"/>
        <v>Opex maintenance &amp; repair</v>
      </c>
      <c r="B293" s="66">
        <f>B251/B261/(B258)</f>
        <v>2.6260504201680674E-3</v>
      </c>
      <c r="C293" s="66">
        <f t="shared" ref="C293:AC293" si="229">C251/C261/(C258)</f>
        <v>2.6260504201680674E-3</v>
      </c>
      <c r="D293" s="66">
        <f t="shared" si="229"/>
        <v>2.6260504201680674E-3</v>
      </c>
      <c r="E293" s="66">
        <f t="shared" si="229"/>
        <v>2.6260504201680674E-3</v>
      </c>
      <c r="F293" s="66">
        <f t="shared" si="229"/>
        <v>2.6260504201680674E-3</v>
      </c>
      <c r="G293" s="66">
        <f t="shared" si="229"/>
        <v>2.6260504201680674E-3</v>
      </c>
      <c r="H293" s="66">
        <f t="shared" si="229"/>
        <v>2.6260504201680674E-3</v>
      </c>
      <c r="I293" s="66">
        <f t="shared" si="229"/>
        <v>2.6260504201680674E-3</v>
      </c>
      <c r="J293" s="66">
        <f t="shared" si="229"/>
        <v>2.6260504201680674E-3</v>
      </c>
      <c r="K293" s="66">
        <f t="shared" si="229"/>
        <v>2.6260504201680674E-3</v>
      </c>
      <c r="L293" s="66">
        <f t="shared" si="229"/>
        <v>2.6260504201680674E-3</v>
      </c>
      <c r="M293" s="66">
        <f t="shared" si="229"/>
        <v>2.6260504201680674E-3</v>
      </c>
      <c r="N293" s="66">
        <f t="shared" si="229"/>
        <v>2.6260504201680674E-3</v>
      </c>
      <c r="O293" s="66">
        <f t="shared" si="229"/>
        <v>2.6260504201680674E-3</v>
      </c>
      <c r="P293" s="66">
        <f t="shared" si="229"/>
        <v>2.6260504201680674E-3</v>
      </c>
      <c r="Q293" s="66">
        <f t="shared" si="229"/>
        <v>2.6260504201680674E-3</v>
      </c>
      <c r="R293" s="66">
        <f t="shared" si="229"/>
        <v>2.6260504201680674E-3</v>
      </c>
      <c r="S293" s="66">
        <f t="shared" si="229"/>
        <v>2.6260504201680674E-3</v>
      </c>
      <c r="T293" s="66">
        <f t="shared" si="229"/>
        <v>2.6260504201680674E-3</v>
      </c>
      <c r="U293" s="66">
        <f t="shared" si="229"/>
        <v>2.6260504201680674E-3</v>
      </c>
      <c r="V293" s="66">
        <f t="shared" si="229"/>
        <v>2.6260504201680674E-3</v>
      </c>
      <c r="W293" s="66">
        <f t="shared" si="229"/>
        <v>2.6260504201680674E-3</v>
      </c>
      <c r="X293" s="66">
        <f t="shared" si="229"/>
        <v>2.6260504201680674E-3</v>
      </c>
      <c r="Y293" s="66">
        <f t="shared" si="229"/>
        <v>2.6260504201680674E-3</v>
      </c>
      <c r="Z293" s="66">
        <f t="shared" si="229"/>
        <v>2.6260504201680674E-3</v>
      </c>
      <c r="AA293" s="66">
        <f t="shared" si="229"/>
        <v>2.6260504201680674E-3</v>
      </c>
      <c r="AB293" s="66">
        <f t="shared" si="229"/>
        <v>2.6260504201680674E-3</v>
      </c>
      <c r="AC293" s="66">
        <f t="shared" si="229"/>
        <v>2.6260504201680674E-3</v>
      </c>
    </row>
    <row r="294" spans="1:29" x14ac:dyDescent="0.25">
      <c r="A294" s="30" t="str">
        <f t="shared" si="223"/>
        <v>Opex var (mode-fees, shunting)</v>
      </c>
      <c r="B294" s="66">
        <f>B252*B261/B261/(B258)</f>
        <v>1.6256502601040416E-3</v>
      </c>
      <c r="C294" s="66">
        <f t="shared" ref="C294:AC294" si="230">C252*C261/C261/(C258)</f>
        <v>1.6256502601040416E-3</v>
      </c>
      <c r="D294" s="66">
        <f t="shared" si="230"/>
        <v>1.6256502601040416E-3</v>
      </c>
      <c r="E294" s="66">
        <f t="shared" si="230"/>
        <v>1.6256502601040416E-3</v>
      </c>
      <c r="F294" s="66">
        <f t="shared" si="230"/>
        <v>1.6256502601040416E-3</v>
      </c>
      <c r="G294" s="66">
        <f t="shared" si="230"/>
        <v>1.6256502601040416E-3</v>
      </c>
      <c r="H294" s="66">
        <f t="shared" si="230"/>
        <v>1.6256502601040416E-3</v>
      </c>
      <c r="I294" s="66">
        <f t="shared" si="230"/>
        <v>1.6256502601040416E-3</v>
      </c>
      <c r="J294" s="66">
        <f t="shared" si="230"/>
        <v>1.6256502601040416E-3</v>
      </c>
      <c r="K294" s="66">
        <f t="shared" si="230"/>
        <v>1.6256502601040416E-3</v>
      </c>
      <c r="L294" s="66">
        <f t="shared" si="230"/>
        <v>1.6256502601040416E-3</v>
      </c>
      <c r="M294" s="66">
        <f t="shared" si="230"/>
        <v>1.6256502601040416E-3</v>
      </c>
      <c r="N294" s="66">
        <f t="shared" si="230"/>
        <v>1.6256502601040416E-3</v>
      </c>
      <c r="O294" s="66">
        <f t="shared" si="230"/>
        <v>1.6256502601040416E-3</v>
      </c>
      <c r="P294" s="66">
        <f t="shared" si="230"/>
        <v>1.6256502601040416E-3</v>
      </c>
      <c r="Q294" s="66">
        <f t="shared" si="230"/>
        <v>1.6256502601040416E-3</v>
      </c>
      <c r="R294" s="66">
        <f t="shared" si="230"/>
        <v>1.6256502601040416E-3</v>
      </c>
      <c r="S294" s="66">
        <f t="shared" si="230"/>
        <v>1.6256502601040416E-3</v>
      </c>
      <c r="T294" s="66">
        <f t="shared" si="230"/>
        <v>1.6256502601040416E-3</v>
      </c>
      <c r="U294" s="66">
        <f t="shared" si="230"/>
        <v>1.6256502601040416E-3</v>
      </c>
      <c r="V294" s="66">
        <f t="shared" si="230"/>
        <v>1.6256502601040416E-3</v>
      </c>
      <c r="W294" s="66">
        <f t="shared" si="230"/>
        <v>1.6256502601040416E-3</v>
      </c>
      <c r="X294" s="66">
        <f t="shared" si="230"/>
        <v>1.6256502601040416E-3</v>
      </c>
      <c r="Y294" s="66">
        <f t="shared" si="230"/>
        <v>1.6256502601040416E-3</v>
      </c>
      <c r="Z294" s="66">
        <f t="shared" si="230"/>
        <v>1.6256502601040416E-3</v>
      </c>
      <c r="AA294" s="66">
        <f t="shared" si="230"/>
        <v>1.6256502601040416E-3</v>
      </c>
      <c r="AB294" s="66">
        <f t="shared" si="230"/>
        <v>1.6256502601040416E-3</v>
      </c>
      <c r="AC294" s="66">
        <f t="shared" si="230"/>
        <v>1.6256502601040416E-3</v>
      </c>
    </row>
    <row r="295" spans="1:29" x14ac:dyDescent="0.25">
      <c r="A295" s="30" t="str">
        <f t="shared" si="223"/>
        <v>Fuel Cost</v>
      </c>
      <c r="B295" s="66">
        <f>B253*B254*B261/B261/(B258)</f>
        <v>3.4275714285714283E-3</v>
      </c>
      <c r="C295" s="66">
        <f t="shared" ref="C295:AC295" si="231">C253*C254*C261/C261/(C258)</f>
        <v>3.4275714285714283E-3</v>
      </c>
      <c r="D295" s="66">
        <f t="shared" si="231"/>
        <v>3.4275714285714283E-3</v>
      </c>
      <c r="E295" s="66">
        <f t="shared" si="231"/>
        <v>3.4275714285714283E-3</v>
      </c>
      <c r="F295" s="66">
        <f t="shared" si="231"/>
        <v>3.4275714285714283E-3</v>
      </c>
      <c r="G295" s="66">
        <f t="shared" si="231"/>
        <v>3.4275714285714283E-3</v>
      </c>
      <c r="H295" s="66">
        <f t="shared" si="231"/>
        <v>3.4275714285714283E-3</v>
      </c>
      <c r="I295" s="66">
        <f t="shared" si="231"/>
        <v>3.4275714285714283E-3</v>
      </c>
      <c r="J295" s="66">
        <f t="shared" si="231"/>
        <v>3.4275714285714283E-3</v>
      </c>
      <c r="K295" s="66">
        <f t="shared" si="231"/>
        <v>3.4275714285714283E-3</v>
      </c>
      <c r="L295" s="66">
        <f t="shared" si="231"/>
        <v>3.4275714285714283E-3</v>
      </c>
      <c r="M295" s="66">
        <f t="shared" si="231"/>
        <v>3.4275714285714283E-3</v>
      </c>
      <c r="N295" s="66">
        <f t="shared" si="231"/>
        <v>3.4275714285714283E-3</v>
      </c>
      <c r="O295" s="66">
        <f t="shared" si="231"/>
        <v>3.4275714285714283E-3</v>
      </c>
      <c r="P295" s="66">
        <f t="shared" si="231"/>
        <v>3.4275714285714283E-3</v>
      </c>
      <c r="Q295" s="66">
        <f t="shared" si="231"/>
        <v>3.4275714285714283E-3</v>
      </c>
      <c r="R295" s="66">
        <f t="shared" si="231"/>
        <v>3.4275714285714283E-3</v>
      </c>
      <c r="S295" s="66">
        <f t="shared" si="231"/>
        <v>3.4275714285714283E-3</v>
      </c>
      <c r="T295" s="66">
        <f t="shared" si="231"/>
        <v>3.4275714285714283E-3</v>
      </c>
      <c r="U295" s="66">
        <f t="shared" si="231"/>
        <v>3.4275714285714283E-3</v>
      </c>
      <c r="V295" s="66">
        <f t="shared" si="231"/>
        <v>3.4275714285714283E-3</v>
      </c>
      <c r="W295" s="66">
        <f t="shared" si="231"/>
        <v>3.4275714285714283E-3</v>
      </c>
      <c r="X295" s="66">
        <f t="shared" si="231"/>
        <v>3.4275714285714283E-3</v>
      </c>
      <c r="Y295" s="66">
        <f t="shared" si="231"/>
        <v>3.4275714285714283E-3</v>
      </c>
      <c r="Z295" s="66">
        <f t="shared" si="231"/>
        <v>3.4275714285714283E-3</v>
      </c>
      <c r="AA295" s="66">
        <f t="shared" si="231"/>
        <v>3.4275714285714283E-3</v>
      </c>
      <c r="AB295" s="66">
        <f t="shared" si="231"/>
        <v>3.4275714285714283E-3</v>
      </c>
      <c r="AC295" s="66">
        <f t="shared" si="231"/>
        <v>3.4275714285714283E-3</v>
      </c>
    </row>
    <row r="296" spans="1:29" x14ac:dyDescent="0.25">
      <c r="A296" s="59" t="str">
        <f>A259</f>
        <v>Market failure (av. utilization)</v>
      </c>
      <c r="B296" s="66">
        <f t="shared" ref="B296:AC296" si="232">B285/B259-B285/B258</f>
        <v>1.5194603692436923E-2</v>
      </c>
      <c r="C296" s="66">
        <f t="shared" si="232"/>
        <v>1.5198100249221896E-2</v>
      </c>
      <c r="D296" s="66">
        <f t="shared" si="232"/>
        <v>1.5203098755681176E-2</v>
      </c>
      <c r="E296" s="66">
        <f t="shared" si="232"/>
        <v>1.5210235341244917E-2</v>
      </c>
      <c r="F296" s="66">
        <f t="shared" si="232"/>
        <v>1.5220405735263088E-2</v>
      </c>
      <c r="G296" s="66">
        <f t="shared" si="232"/>
        <v>1.5234860892298748E-2</v>
      </c>
      <c r="H296" s="66">
        <f t="shared" si="232"/>
        <v>1.5255327581495013E-2</v>
      </c>
      <c r="I296" s="66">
        <f t="shared" si="232"/>
        <v>1.5284150844921187E-2</v>
      </c>
      <c r="J296" s="66">
        <f t="shared" si="232"/>
        <v>1.5324445372599541E-2</v>
      </c>
      <c r="K296" s="66">
        <f t="shared" si="232"/>
        <v>1.5380227023804238E-2</v>
      </c>
      <c r="L296" s="66">
        <f t="shared" si="232"/>
        <v>1.5456472416676251E-2</v>
      </c>
      <c r="M296" s="66">
        <f t="shared" si="232"/>
        <v>1.5559016840407324E-2</v>
      </c>
      <c r="N296" s="66">
        <f t="shared" si="232"/>
        <v>1.5694132119336911E-2</v>
      </c>
      <c r="O296" s="66">
        <f t="shared" si="232"/>
        <v>1.5867528864602666E-2</v>
      </c>
      <c r="P296" s="66">
        <f t="shared" si="232"/>
        <v>1.6082517059693578E-2</v>
      </c>
      <c r="Q296" s="66">
        <f t="shared" si="232"/>
        <v>1.6337414041084068E-2</v>
      </c>
      <c r="R296" s="66">
        <f t="shared" si="232"/>
        <v>1.6623175852783702E-2</v>
      </c>
      <c r="S296" s="66">
        <f t="shared" si="232"/>
        <v>1.6923099738713782E-2</v>
      </c>
      <c r="T296" s="66">
        <f t="shared" si="232"/>
        <v>1.7216000323246453E-2</v>
      </c>
      <c r="U296" s="66">
        <f t="shared" si="232"/>
        <v>1.7481977207283537E-2</v>
      </c>
      <c r="V296" s="66">
        <f t="shared" si="232"/>
        <v>1.7707661599184479E-2</v>
      </c>
      <c r="W296" s="66">
        <f t="shared" si="232"/>
        <v>1.7888209515751187E-2</v>
      </c>
      <c r="X296" s="66">
        <f t="shared" si="232"/>
        <v>1.8025883994594205E-2</v>
      </c>
      <c r="Y296" s="66">
        <f t="shared" si="232"/>
        <v>1.8127041731291673E-2</v>
      </c>
      <c r="Z296" s="66">
        <f t="shared" si="232"/>
        <v>1.8199347313140737E-2</v>
      </c>
      <c r="AA296" s="66">
        <f t="shared" si="232"/>
        <v>1.8250013229318206E-2</v>
      </c>
      <c r="AB296" s="66">
        <f t="shared" si="232"/>
        <v>1.8285022075375877E-2</v>
      </c>
      <c r="AC296" s="66">
        <f t="shared" si="232"/>
        <v>1.830897835982611E-2</v>
      </c>
    </row>
    <row r="297" spans="1:29" x14ac:dyDescent="0.25">
      <c r="A297" s="59" t="str">
        <f>A260</f>
        <v>Payload loss (fuel)</v>
      </c>
      <c r="B297" s="66">
        <f>B285/(B258-B260)-B285/B258</f>
        <v>0</v>
      </c>
      <c r="C297" s="66">
        <f t="shared" ref="C297:AC297" si="233">C285/(C258-C260)-C285/C258</f>
        <v>0</v>
      </c>
      <c r="D297" s="66">
        <f t="shared" si="233"/>
        <v>0</v>
      </c>
      <c r="E297" s="66">
        <f t="shared" si="233"/>
        <v>0</v>
      </c>
      <c r="F297" s="66">
        <f t="shared" si="233"/>
        <v>0</v>
      </c>
      <c r="G297" s="66">
        <f t="shared" si="233"/>
        <v>0</v>
      </c>
      <c r="H297" s="66">
        <f t="shared" si="233"/>
        <v>0</v>
      </c>
      <c r="I297" s="66">
        <f t="shared" si="233"/>
        <v>0</v>
      </c>
      <c r="J297" s="66">
        <f t="shared" si="233"/>
        <v>0</v>
      </c>
      <c r="K297" s="66">
        <f t="shared" si="233"/>
        <v>0</v>
      </c>
      <c r="L297" s="66">
        <f t="shared" si="233"/>
        <v>0</v>
      </c>
      <c r="M297" s="66">
        <f t="shared" si="233"/>
        <v>0</v>
      </c>
      <c r="N297" s="66">
        <f t="shared" si="233"/>
        <v>0</v>
      </c>
      <c r="O297" s="66">
        <f t="shared" si="233"/>
        <v>0</v>
      </c>
      <c r="P297" s="66">
        <f t="shared" si="233"/>
        <v>0</v>
      </c>
      <c r="Q297" s="66">
        <f t="shared" si="233"/>
        <v>0</v>
      </c>
      <c r="R297" s="66">
        <f t="shared" si="233"/>
        <v>0</v>
      </c>
      <c r="S297" s="66">
        <f t="shared" si="233"/>
        <v>0</v>
      </c>
      <c r="T297" s="66">
        <f t="shared" si="233"/>
        <v>0</v>
      </c>
      <c r="U297" s="66">
        <f t="shared" si="233"/>
        <v>0</v>
      </c>
      <c r="V297" s="66">
        <f t="shared" si="233"/>
        <v>0</v>
      </c>
      <c r="W297" s="66">
        <f t="shared" si="233"/>
        <v>0</v>
      </c>
      <c r="X297" s="66">
        <f t="shared" si="233"/>
        <v>0</v>
      </c>
      <c r="Y297" s="66">
        <f t="shared" si="233"/>
        <v>0</v>
      </c>
      <c r="Z297" s="66">
        <f t="shared" si="233"/>
        <v>0</v>
      </c>
      <c r="AA297" s="66">
        <f t="shared" si="233"/>
        <v>0</v>
      </c>
      <c r="AB297" s="66">
        <f t="shared" si="233"/>
        <v>0</v>
      </c>
      <c r="AC297" s="66">
        <f t="shared" si="233"/>
        <v>0</v>
      </c>
    </row>
    <row r="298" spans="1:29" ht="15.75" thickBot="1" x14ac:dyDescent="0.3">
      <c r="A298" s="59" t="str">
        <f>A235</f>
        <v>Emission Cost</v>
      </c>
      <c r="B298" s="66">
        <f>B255*B261/B261/(B258)</f>
        <v>9.1884435637488678E-4</v>
      </c>
      <c r="C298" s="66">
        <f t="shared" ref="C298:AC298" si="234">C255*C261/C261/(C258)</f>
        <v>9.2101504307896766E-4</v>
      </c>
      <c r="D298" s="66">
        <f t="shared" si="234"/>
        <v>9.2412233274771132E-4</v>
      </c>
      <c r="E298" s="66">
        <f t="shared" si="234"/>
        <v>9.2856752913322708E-4</v>
      </c>
      <c r="F298" s="66">
        <f t="shared" si="234"/>
        <v>9.3492069564941069E-4</v>
      </c>
      <c r="G298" s="66">
        <f t="shared" si="234"/>
        <v>9.4398803724422429E-4</v>
      </c>
      <c r="H298" s="66">
        <f t="shared" si="234"/>
        <v>9.5690215613762522E-4</v>
      </c>
      <c r="I298" s="66">
        <f t="shared" si="234"/>
        <v>9.752383537042186E-4</v>
      </c>
      <c r="J298" s="66">
        <f t="shared" si="234"/>
        <v>1.0011548069685111E-3</v>
      </c>
      <c r="K298" s="66">
        <f t="shared" si="234"/>
        <v>1.0375410397800301E-3</v>
      </c>
      <c r="L298" s="66">
        <f t="shared" si="234"/>
        <v>1.0881311119995696E-3</v>
      </c>
      <c r="M298" s="66">
        <f t="shared" si="234"/>
        <v>1.1574882084341917E-3</v>
      </c>
      <c r="N298" s="66">
        <f t="shared" si="234"/>
        <v>1.2506967140363367E-3</v>
      </c>
      <c r="O298" s="66">
        <f t="shared" si="234"/>
        <v>1.3725382374173548E-3</v>
      </c>
      <c r="P298" s="66">
        <f t="shared" si="234"/>
        <v>1.5259770422253488E-3</v>
      </c>
      <c r="Q298" s="66">
        <f t="shared" si="234"/>
        <v>1.7100992035333602E-3</v>
      </c>
      <c r="R298" s="66">
        <f t="shared" si="234"/>
        <v>1.9182996926605312E-3</v>
      </c>
      <c r="S298" s="66">
        <f t="shared" si="234"/>
        <v>2.138096094806973E-3</v>
      </c>
      <c r="T298" s="66">
        <f t="shared" si="234"/>
        <v>2.3535673148768121E-3</v>
      </c>
      <c r="U298" s="66">
        <f t="shared" si="234"/>
        <v>2.5497152016699838E-3</v>
      </c>
      <c r="V298" s="66">
        <f t="shared" si="234"/>
        <v>2.7164129734479599E-3</v>
      </c>
      <c r="W298" s="66">
        <f t="shared" si="234"/>
        <v>2.8499080347626367E-3</v>
      </c>
      <c r="X298" s="66">
        <f t="shared" si="234"/>
        <v>2.9517706914793684E-3</v>
      </c>
      <c r="Y298" s="66">
        <f t="shared" si="234"/>
        <v>3.0266479135630442E-3</v>
      </c>
      <c r="Z298" s="66">
        <f t="shared" si="234"/>
        <v>3.0801840441292321E-3</v>
      </c>
      <c r="AA298" s="66">
        <f t="shared" si="234"/>
        <v>3.1177049654590788E-3</v>
      </c>
      <c r="AB298" s="66">
        <f t="shared" si="234"/>
        <v>3.1436342283140619E-3</v>
      </c>
      <c r="AC298" s="66">
        <f t="shared" si="234"/>
        <v>3.1613789149904556E-3</v>
      </c>
    </row>
    <row r="299" spans="1:29" ht="15.75" thickBot="1" x14ac:dyDescent="0.3">
      <c r="A299" s="31" t="s">
        <v>210</v>
      </c>
      <c r="B299" s="67">
        <f>B288+B289+B290+B291+B292+B293+B294+B295+B296+B297+B298</f>
        <v>2.6451341154744356E-2</v>
      </c>
      <c r="C299" s="67">
        <f t="shared" ref="C299:AC299" si="235">C288+C289+C290+C291+C292+C293+C294+C295+C296+C297+C298</f>
        <v>2.6457439800299541E-2</v>
      </c>
      <c r="D299" s="67">
        <f t="shared" si="235"/>
        <v>2.6466158125519213E-2</v>
      </c>
      <c r="E299" s="67">
        <f t="shared" si="235"/>
        <v>2.6478605658479232E-2</v>
      </c>
      <c r="F299" s="67">
        <f t="shared" si="235"/>
        <v>2.6496344717813251E-2</v>
      </c>
      <c r="G299" s="67">
        <f t="shared" si="235"/>
        <v>2.6521557201014984E-2</v>
      </c>
      <c r="H299" s="67">
        <f t="shared" si="235"/>
        <v>2.6557254914729399E-2</v>
      </c>
      <c r="I299" s="67">
        <f t="shared" si="235"/>
        <v>2.6607528048612255E-2</v>
      </c>
      <c r="J299" s="67">
        <f t="shared" si="235"/>
        <v>2.6677809201539619E-2</v>
      </c>
      <c r="K299" s="67">
        <f t="shared" si="235"/>
        <v>2.677510277922223E-2</v>
      </c>
      <c r="L299" s="67">
        <f t="shared" si="235"/>
        <v>2.6908088929580395E-2</v>
      </c>
      <c r="M299" s="67">
        <f t="shared" si="235"/>
        <v>2.7086945482599704E-2</v>
      </c>
      <c r="N299" s="67">
        <f t="shared" si="235"/>
        <v>2.7322611666779219E-2</v>
      </c>
      <c r="O299" s="67">
        <f t="shared" si="235"/>
        <v>2.7625047850382278E-2</v>
      </c>
      <c r="P299" s="67">
        <f t="shared" si="235"/>
        <v>2.8000027260424568E-2</v>
      </c>
      <c r="Q299" s="67">
        <f t="shared" si="235"/>
        <v>2.8444615018663796E-2</v>
      </c>
      <c r="R299" s="67">
        <f t="shared" si="235"/>
        <v>2.8943036783256181E-2</v>
      </c>
      <c r="S299" s="67">
        <f t="shared" si="235"/>
        <v>2.9466159840110969E-2</v>
      </c>
      <c r="T299" s="67">
        <f t="shared" si="235"/>
        <v>2.9977032952667956E-2</v>
      </c>
      <c r="U299" s="67">
        <f t="shared" si="235"/>
        <v>3.0440946122500076E-2</v>
      </c>
      <c r="V299" s="67">
        <f t="shared" si="235"/>
        <v>3.0834581689769165E-2</v>
      </c>
      <c r="W299" s="67">
        <f t="shared" si="235"/>
        <v>3.1149490846571561E-2</v>
      </c>
      <c r="X299" s="67">
        <f t="shared" si="235"/>
        <v>3.138962075153031E-2</v>
      </c>
      <c r="Y299" s="67">
        <f t="shared" si="235"/>
        <v>3.1566058664374737E-2</v>
      </c>
      <c r="Z299" s="67">
        <f t="shared" si="235"/>
        <v>3.1692173051320778E-2</v>
      </c>
      <c r="AA299" s="67">
        <f t="shared" si="235"/>
        <v>3.1780543835351241E-2</v>
      </c>
      <c r="AB299" s="67">
        <f t="shared" si="235"/>
        <v>3.1841605776149515E-2</v>
      </c>
      <c r="AC299" s="67">
        <f t="shared" si="235"/>
        <v>3.188338999321387E-2</v>
      </c>
    </row>
    <row r="301" spans="1:29" x14ac:dyDescent="0.25">
      <c r="B301" s="40"/>
    </row>
    <row r="324" spans="1:44" s="3" customFormat="1" ht="21" x14ac:dyDescent="0.35">
      <c r="A324" s="2" t="str">
        <f>'Parameter Input'!A126</f>
        <v>Railway long-haul: Break bulk</v>
      </c>
    </row>
    <row r="325" spans="1:44" s="3" customFormat="1" ht="21" x14ac:dyDescent="0.35">
      <c r="A325" s="2" t="s">
        <v>11</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Input'!$L$91</f>
        <v>3500000</v>
      </c>
      <c r="C334" s="42">
        <f>'Parameter Input'!$M$91</f>
        <v>3500000</v>
      </c>
      <c r="D334" s="1" t="s">
        <v>15</v>
      </c>
      <c r="L334" s="51">
        <f>'Parameter Input'!$O$91</f>
        <v>12</v>
      </c>
      <c r="M334" s="52">
        <v>0</v>
      </c>
      <c r="N334" s="52">
        <v>1</v>
      </c>
      <c r="O334" s="52">
        <f>'Parameter Input'!$P$91</f>
        <v>0.9</v>
      </c>
      <c r="P334" s="53">
        <f>'Parameter Input'!$Q$91</f>
        <v>0.4</v>
      </c>
      <c r="Q334" s="4">
        <f t="shared" ref="Q334:AR343" si="236">$N334+($M334-$N334)*((1/(1+EXP(-$P334*(Q$9-$L334)))^$O334))</f>
        <v>0.9867978615748374</v>
      </c>
      <c r="R334" s="4">
        <f t="shared" si="236"/>
        <v>0.98114509762858249</v>
      </c>
      <c r="S334" s="4">
        <f t="shared" si="236"/>
        <v>0.97311898315872036</v>
      </c>
      <c r="T334" s="4">
        <f t="shared" si="236"/>
        <v>0.96177484161592774</v>
      </c>
      <c r="U334" s="4">
        <f t="shared" si="236"/>
        <v>0.94584787155511363</v>
      </c>
      <c r="V334" s="4">
        <f t="shared" si="236"/>
        <v>0.92370360150141495</v>
      </c>
      <c r="W334" s="4">
        <f t="shared" si="236"/>
        <v>0.89334463567658451</v>
      </c>
      <c r="X334" s="4">
        <f t="shared" si="236"/>
        <v>0.85254543874327005</v>
      </c>
      <c r="Y334" s="4">
        <f t="shared" si="236"/>
        <v>0.79921300652623883</v>
      </c>
      <c r="Z334" s="4">
        <f t="shared" si="236"/>
        <v>0.73204982249993378</v>
      </c>
      <c r="AA334" s="4">
        <f t="shared" si="236"/>
        <v>0.65145592958786691</v>
      </c>
      <c r="AB334" s="4">
        <f t="shared" si="236"/>
        <v>0.56032247880849573</v>
      </c>
      <c r="AC334" s="4">
        <f t="shared" si="236"/>
        <v>0.46411326873185343</v>
      </c>
      <c r="AD334" s="4">
        <f t="shared" si="236"/>
        <v>0.36979727595523937</v>
      </c>
      <c r="AE334" s="4">
        <f t="shared" si="236"/>
        <v>0.28393948637231203</v>
      </c>
      <c r="AF334" s="4">
        <f t="shared" si="236"/>
        <v>0.21097259161117732</v>
      </c>
      <c r="AG334" s="4">
        <f t="shared" si="236"/>
        <v>0.15253917653798199</v>
      </c>
      <c r="AH334" s="4">
        <f t="shared" si="236"/>
        <v>0.10795188737709993</v>
      </c>
      <c r="AI334" s="4">
        <f t="shared" si="236"/>
        <v>7.5176653938091809E-2</v>
      </c>
      <c r="AJ334" s="4">
        <f t="shared" si="236"/>
        <v>5.1742836177502194E-2</v>
      </c>
      <c r="AK334" s="4">
        <f t="shared" si="236"/>
        <v>3.5319190625345942E-2</v>
      </c>
      <c r="AL334" s="4">
        <f t="shared" si="236"/>
        <v>2.3969442072658165E-2</v>
      </c>
      <c r="AM334" s="4">
        <f t="shared" si="236"/>
        <v>1.6202243558389728E-2</v>
      </c>
      <c r="AN334" s="4">
        <f t="shared" si="236"/>
        <v>1.0922240564108399E-2</v>
      </c>
      <c r="AO334" s="4">
        <f t="shared" si="236"/>
        <v>7.3493212906090566E-3</v>
      </c>
      <c r="AP334" s="4">
        <f t="shared" si="236"/>
        <v>4.9390262185057265E-3</v>
      </c>
      <c r="AQ334" s="4">
        <f t="shared" si="236"/>
        <v>3.3164275492956197E-3</v>
      </c>
      <c r="AR334" s="4">
        <f t="shared" si="236"/>
        <v>2.2256362146679809E-3</v>
      </c>
    </row>
    <row r="335" spans="1:44" x14ac:dyDescent="0.25">
      <c r="A335" s="24" t="s">
        <v>28</v>
      </c>
      <c r="B335" s="60">
        <f>'Parameter Input'!$L$92</f>
        <v>-525000</v>
      </c>
      <c r="C335" s="61">
        <f>'Parameter Input'!$M$92</f>
        <v>-175000</v>
      </c>
      <c r="D335" s="1" t="s">
        <v>15</v>
      </c>
      <c r="L335" s="54">
        <f>'Parameter Input'!$O$92</f>
        <v>12</v>
      </c>
      <c r="M335" s="37">
        <v>0</v>
      </c>
      <c r="N335" s="37">
        <v>1</v>
      </c>
      <c r="O335" s="37">
        <f>'Parameter Input'!$P$92</f>
        <v>0.9</v>
      </c>
      <c r="P335" s="55">
        <f>'Parameter Input'!$Q$92</f>
        <v>0.4</v>
      </c>
      <c r="Q335" s="4">
        <f t="shared" si="236"/>
        <v>0.9867978615748374</v>
      </c>
      <c r="R335" s="4">
        <f t="shared" si="236"/>
        <v>0.98114509762858249</v>
      </c>
      <c r="S335" s="4">
        <f t="shared" si="236"/>
        <v>0.97311898315872036</v>
      </c>
      <c r="T335" s="4">
        <f t="shared" si="236"/>
        <v>0.96177484161592774</v>
      </c>
      <c r="U335" s="4">
        <f t="shared" si="236"/>
        <v>0.94584787155511363</v>
      </c>
      <c r="V335" s="4">
        <f t="shared" si="236"/>
        <v>0.92370360150141495</v>
      </c>
      <c r="W335" s="4">
        <f t="shared" si="236"/>
        <v>0.89334463567658451</v>
      </c>
      <c r="X335" s="4">
        <f t="shared" si="236"/>
        <v>0.85254543874327005</v>
      </c>
      <c r="Y335" s="4">
        <f t="shared" si="236"/>
        <v>0.79921300652623883</v>
      </c>
      <c r="Z335" s="4">
        <f t="shared" si="236"/>
        <v>0.73204982249993378</v>
      </c>
      <c r="AA335" s="4">
        <f t="shared" si="236"/>
        <v>0.65145592958786691</v>
      </c>
      <c r="AB335" s="4">
        <f t="shared" si="236"/>
        <v>0.56032247880849573</v>
      </c>
      <c r="AC335" s="4">
        <f t="shared" si="236"/>
        <v>0.46411326873185343</v>
      </c>
      <c r="AD335" s="4">
        <f t="shared" si="236"/>
        <v>0.36979727595523937</v>
      </c>
      <c r="AE335" s="4">
        <f t="shared" si="236"/>
        <v>0.28393948637231203</v>
      </c>
      <c r="AF335" s="4">
        <f t="shared" si="236"/>
        <v>0.21097259161117732</v>
      </c>
      <c r="AG335" s="4">
        <f t="shared" si="236"/>
        <v>0.15253917653798199</v>
      </c>
      <c r="AH335" s="4">
        <f t="shared" si="236"/>
        <v>0.10795188737709993</v>
      </c>
      <c r="AI335" s="4">
        <f t="shared" si="236"/>
        <v>7.5176653938091809E-2</v>
      </c>
      <c r="AJ335" s="4">
        <f t="shared" si="236"/>
        <v>5.1742836177502194E-2</v>
      </c>
      <c r="AK335" s="4">
        <f t="shared" si="236"/>
        <v>3.5319190625345942E-2</v>
      </c>
      <c r="AL335" s="4">
        <f t="shared" si="236"/>
        <v>2.3969442072658165E-2</v>
      </c>
      <c r="AM335" s="4">
        <f t="shared" si="236"/>
        <v>1.6202243558389728E-2</v>
      </c>
      <c r="AN335" s="4">
        <f t="shared" si="236"/>
        <v>1.0922240564108399E-2</v>
      </c>
      <c r="AO335" s="4">
        <f t="shared" si="236"/>
        <v>7.3493212906090566E-3</v>
      </c>
      <c r="AP335" s="4">
        <f t="shared" si="236"/>
        <v>4.9390262185057265E-3</v>
      </c>
      <c r="AQ335" s="4">
        <f t="shared" si="236"/>
        <v>3.3164275492956197E-3</v>
      </c>
      <c r="AR335" s="4">
        <f t="shared" si="236"/>
        <v>2.2256362146679809E-3</v>
      </c>
    </row>
    <row r="336" spans="1:44" x14ac:dyDescent="0.25">
      <c r="A336" s="24" t="s">
        <v>14</v>
      </c>
      <c r="B336" s="43">
        <f>'Parameter Input'!B127</f>
        <v>4200000</v>
      </c>
      <c r="C336" s="44">
        <f>'Parameter Input'!C127</f>
        <v>4200000</v>
      </c>
      <c r="D336" s="1" t="s">
        <v>15</v>
      </c>
      <c r="L336" s="54">
        <f>'Parameter Input'!E127</f>
        <v>12</v>
      </c>
      <c r="M336" s="37">
        <v>0</v>
      </c>
      <c r="N336" s="37">
        <v>1</v>
      </c>
      <c r="O336" s="37">
        <f>'Parameter Input'!F127</f>
        <v>0.9</v>
      </c>
      <c r="P336" s="55">
        <f>'Parameter Input'!G127</f>
        <v>0.4</v>
      </c>
      <c r="Q336" s="4">
        <f t="shared" si="236"/>
        <v>0.9867978615748374</v>
      </c>
      <c r="R336" s="4">
        <f t="shared" si="236"/>
        <v>0.98114509762858249</v>
      </c>
      <c r="S336" s="4">
        <f t="shared" si="236"/>
        <v>0.97311898315872036</v>
      </c>
      <c r="T336" s="4">
        <f t="shared" si="236"/>
        <v>0.96177484161592774</v>
      </c>
      <c r="U336" s="4">
        <f t="shared" si="236"/>
        <v>0.94584787155511363</v>
      </c>
      <c r="V336" s="4">
        <f t="shared" si="236"/>
        <v>0.92370360150141495</v>
      </c>
      <c r="W336" s="4">
        <f t="shared" si="236"/>
        <v>0.89334463567658451</v>
      </c>
      <c r="X336" s="4">
        <f t="shared" si="236"/>
        <v>0.85254543874327005</v>
      </c>
      <c r="Y336" s="4">
        <f t="shared" si="236"/>
        <v>0.79921300652623883</v>
      </c>
      <c r="Z336" s="4">
        <f t="shared" si="236"/>
        <v>0.73204982249993378</v>
      </c>
      <c r="AA336" s="4">
        <f t="shared" si="236"/>
        <v>0.65145592958786691</v>
      </c>
      <c r="AB336" s="4">
        <f t="shared" si="236"/>
        <v>0.56032247880849573</v>
      </c>
      <c r="AC336" s="4">
        <f t="shared" si="236"/>
        <v>0.46411326873185343</v>
      </c>
      <c r="AD336" s="4">
        <f t="shared" si="236"/>
        <v>0.36979727595523937</v>
      </c>
      <c r="AE336" s="4">
        <f t="shared" si="236"/>
        <v>0.28393948637231203</v>
      </c>
      <c r="AF336" s="4">
        <f t="shared" si="236"/>
        <v>0.21097259161117732</v>
      </c>
      <c r="AG336" s="4">
        <f t="shared" si="236"/>
        <v>0.15253917653798199</v>
      </c>
      <c r="AH336" s="4">
        <f t="shared" si="236"/>
        <v>0.10795188737709993</v>
      </c>
      <c r="AI336" s="4">
        <f t="shared" si="236"/>
        <v>7.5176653938091809E-2</v>
      </c>
      <c r="AJ336" s="4">
        <f t="shared" si="236"/>
        <v>5.1742836177502194E-2</v>
      </c>
      <c r="AK336" s="4">
        <f t="shared" si="236"/>
        <v>3.5319190625345942E-2</v>
      </c>
      <c r="AL336" s="4">
        <f t="shared" si="236"/>
        <v>2.3969442072658165E-2</v>
      </c>
      <c r="AM336" s="4">
        <f t="shared" si="236"/>
        <v>1.6202243558389728E-2</v>
      </c>
      <c r="AN336" s="4">
        <f t="shared" si="236"/>
        <v>1.0922240564108399E-2</v>
      </c>
      <c r="AO336" s="4">
        <f t="shared" si="236"/>
        <v>7.3493212906090566E-3</v>
      </c>
      <c r="AP336" s="4">
        <f t="shared" si="236"/>
        <v>4.9390262185057265E-3</v>
      </c>
      <c r="AQ336" s="4">
        <f t="shared" si="236"/>
        <v>3.3164275492956197E-3</v>
      </c>
      <c r="AR336" s="4">
        <f t="shared" si="236"/>
        <v>2.2256362146679809E-3</v>
      </c>
    </row>
    <row r="337" spans="1:44" x14ac:dyDescent="0.25">
      <c r="A337" s="24" t="s">
        <v>25</v>
      </c>
      <c r="B337" s="60">
        <f>'Parameter Input'!B128</f>
        <v>-210000</v>
      </c>
      <c r="C337" s="61">
        <f>'Parameter Input'!C128</f>
        <v>-210000</v>
      </c>
      <c r="D337" s="1" t="s">
        <v>15</v>
      </c>
      <c r="L337" s="54">
        <f>'Parameter Input'!E128</f>
        <v>12</v>
      </c>
      <c r="M337" s="37">
        <v>0</v>
      </c>
      <c r="N337" s="37">
        <v>1</v>
      </c>
      <c r="O337" s="37">
        <f>'Parameter Input'!F128</f>
        <v>0.9</v>
      </c>
      <c r="P337" s="55">
        <f>'Parameter Input'!G128</f>
        <v>0.4</v>
      </c>
      <c r="Q337" s="4">
        <f t="shared" si="236"/>
        <v>0.9867978615748374</v>
      </c>
      <c r="R337" s="4">
        <f t="shared" si="236"/>
        <v>0.98114509762858249</v>
      </c>
      <c r="S337" s="4">
        <f t="shared" si="236"/>
        <v>0.97311898315872036</v>
      </c>
      <c r="T337" s="4">
        <f t="shared" si="236"/>
        <v>0.96177484161592774</v>
      </c>
      <c r="U337" s="4">
        <f t="shared" si="236"/>
        <v>0.94584787155511363</v>
      </c>
      <c r="V337" s="4">
        <f t="shared" si="236"/>
        <v>0.92370360150141495</v>
      </c>
      <c r="W337" s="4">
        <f t="shared" si="236"/>
        <v>0.89334463567658451</v>
      </c>
      <c r="X337" s="4">
        <f t="shared" si="236"/>
        <v>0.85254543874327005</v>
      </c>
      <c r="Y337" s="4">
        <f t="shared" si="236"/>
        <v>0.79921300652623883</v>
      </c>
      <c r="Z337" s="4">
        <f t="shared" si="236"/>
        <v>0.73204982249993378</v>
      </c>
      <c r="AA337" s="4">
        <f t="shared" si="236"/>
        <v>0.65145592958786691</v>
      </c>
      <c r="AB337" s="4">
        <f t="shared" si="236"/>
        <v>0.56032247880849573</v>
      </c>
      <c r="AC337" s="4">
        <f t="shared" si="236"/>
        <v>0.46411326873185343</v>
      </c>
      <c r="AD337" s="4">
        <f t="shared" si="236"/>
        <v>0.36979727595523937</v>
      </c>
      <c r="AE337" s="4">
        <f t="shared" si="236"/>
        <v>0.28393948637231203</v>
      </c>
      <c r="AF337" s="4">
        <f t="shared" si="236"/>
        <v>0.21097259161117732</v>
      </c>
      <c r="AG337" s="4">
        <f t="shared" si="236"/>
        <v>0.15253917653798199</v>
      </c>
      <c r="AH337" s="4">
        <f t="shared" si="236"/>
        <v>0.10795188737709993</v>
      </c>
      <c r="AI337" s="4">
        <f t="shared" si="236"/>
        <v>7.5176653938091809E-2</v>
      </c>
      <c r="AJ337" s="4">
        <f t="shared" si="236"/>
        <v>5.1742836177502194E-2</v>
      </c>
      <c r="AK337" s="4">
        <f t="shared" si="236"/>
        <v>3.5319190625345942E-2</v>
      </c>
      <c r="AL337" s="4">
        <f t="shared" si="236"/>
        <v>2.3969442072658165E-2</v>
      </c>
      <c r="AM337" s="4">
        <f t="shared" si="236"/>
        <v>1.6202243558389728E-2</v>
      </c>
      <c r="AN337" s="4">
        <f t="shared" si="236"/>
        <v>1.0922240564108399E-2</v>
      </c>
      <c r="AO337" s="4">
        <f t="shared" si="236"/>
        <v>7.3493212906090566E-3</v>
      </c>
      <c r="AP337" s="4">
        <f t="shared" si="236"/>
        <v>4.9390262185057265E-3</v>
      </c>
      <c r="AQ337" s="4">
        <f t="shared" si="236"/>
        <v>3.3164275492956197E-3</v>
      </c>
      <c r="AR337" s="4">
        <f t="shared" si="236"/>
        <v>2.2256362146679809E-3</v>
      </c>
    </row>
    <row r="338" spans="1:44" x14ac:dyDescent="0.25">
      <c r="A338" s="24" t="s">
        <v>79</v>
      </c>
      <c r="B338" s="45">
        <f>'Parameter Input'!$L$98</f>
        <v>0.06</v>
      </c>
      <c r="C338" s="46">
        <f>'Parameter Input'!$M$98</f>
        <v>0.06</v>
      </c>
      <c r="D338" s="1" t="s">
        <v>57</v>
      </c>
      <c r="L338" s="54">
        <f>'Parameter Input'!$O$98</f>
        <v>12</v>
      </c>
      <c r="M338" s="37">
        <v>0</v>
      </c>
      <c r="N338" s="37">
        <v>1</v>
      </c>
      <c r="O338" s="37">
        <f>'Parameter Input'!$P$98</f>
        <v>0.9</v>
      </c>
      <c r="P338" s="55">
        <f>'Parameter Input'!$Q$98</f>
        <v>0.4</v>
      </c>
      <c r="Q338" s="4">
        <f t="shared" si="236"/>
        <v>0.9867978615748374</v>
      </c>
      <c r="R338" s="4">
        <f t="shared" si="236"/>
        <v>0.98114509762858249</v>
      </c>
      <c r="S338" s="4">
        <f t="shared" si="236"/>
        <v>0.97311898315872036</v>
      </c>
      <c r="T338" s="4">
        <f t="shared" si="236"/>
        <v>0.96177484161592774</v>
      </c>
      <c r="U338" s="4">
        <f t="shared" si="236"/>
        <v>0.94584787155511363</v>
      </c>
      <c r="V338" s="4">
        <f t="shared" si="236"/>
        <v>0.92370360150141495</v>
      </c>
      <c r="W338" s="4">
        <f t="shared" si="236"/>
        <v>0.89334463567658451</v>
      </c>
      <c r="X338" s="4">
        <f t="shared" si="236"/>
        <v>0.85254543874327005</v>
      </c>
      <c r="Y338" s="4">
        <f t="shared" si="236"/>
        <v>0.79921300652623883</v>
      </c>
      <c r="Z338" s="4">
        <f t="shared" si="236"/>
        <v>0.73204982249993378</v>
      </c>
      <c r="AA338" s="4">
        <f t="shared" si="236"/>
        <v>0.65145592958786691</v>
      </c>
      <c r="AB338" s="4">
        <f t="shared" si="236"/>
        <v>0.56032247880849573</v>
      </c>
      <c r="AC338" s="4">
        <f t="shared" si="236"/>
        <v>0.46411326873185343</v>
      </c>
      <c r="AD338" s="4">
        <f t="shared" si="236"/>
        <v>0.36979727595523937</v>
      </c>
      <c r="AE338" s="4">
        <f t="shared" si="236"/>
        <v>0.28393948637231203</v>
      </c>
      <c r="AF338" s="4">
        <f t="shared" si="236"/>
        <v>0.21097259161117732</v>
      </c>
      <c r="AG338" s="4">
        <f t="shared" si="236"/>
        <v>0.15253917653798199</v>
      </c>
      <c r="AH338" s="4">
        <f t="shared" si="236"/>
        <v>0.10795188737709993</v>
      </c>
      <c r="AI338" s="4">
        <f t="shared" si="236"/>
        <v>7.5176653938091809E-2</v>
      </c>
      <c r="AJ338" s="4">
        <f t="shared" si="236"/>
        <v>5.1742836177502194E-2</v>
      </c>
      <c r="AK338" s="4">
        <f t="shared" si="236"/>
        <v>3.5319190625345942E-2</v>
      </c>
      <c r="AL338" s="4">
        <f t="shared" si="236"/>
        <v>2.3969442072658165E-2</v>
      </c>
      <c r="AM338" s="4">
        <f t="shared" si="236"/>
        <v>1.6202243558389728E-2</v>
      </c>
      <c r="AN338" s="4">
        <f t="shared" si="236"/>
        <v>1.0922240564108399E-2</v>
      </c>
      <c r="AO338" s="4">
        <f t="shared" si="236"/>
        <v>7.3493212906090566E-3</v>
      </c>
      <c r="AP338" s="4">
        <f t="shared" si="236"/>
        <v>4.9390262185057265E-3</v>
      </c>
      <c r="AQ338" s="4">
        <f t="shared" si="236"/>
        <v>3.3164275492956197E-3</v>
      </c>
      <c r="AR338" s="4">
        <f t="shared" si="236"/>
        <v>2.2256362146679809E-3</v>
      </c>
    </row>
    <row r="339" spans="1:44" x14ac:dyDescent="0.25">
      <c r="A339" s="24" t="s">
        <v>37</v>
      </c>
      <c r="B339" s="43">
        <f>'Parameter Input'!B129</f>
        <v>1450000</v>
      </c>
      <c r="C339" s="44">
        <f>'Parameter Input'!C129</f>
        <v>1450000</v>
      </c>
      <c r="D339" s="1" t="s">
        <v>38</v>
      </c>
      <c r="L339" s="54">
        <f>'Parameter Input'!E129</f>
        <v>12</v>
      </c>
      <c r="M339" s="37">
        <v>0</v>
      </c>
      <c r="N339" s="37">
        <v>1</v>
      </c>
      <c r="O339" s="37">
        <f>'Parameter Input'!F129</f>
        <v>0.9</v>
      </c>
      <c r="P339" s="55">
        <f>'Parameter Input'!G129</f>
        <v>0.4</v>
      </c>
      <c r="Q339" s="4">
        <f t="shared" si="236"/>
        <v>0.9867978615748374</v>
      </c>
      <c r="R339" s="4">
        <f t="shared" si="236"/>
        <v>0.98114509762858249</v>
      </c>
      <c r="S339" s="4">
        <f t="shared" si="236"/>
        <v>0.97311898315872036</v>
      </c>
      <c r="T339" s="4">
        <f t="shared" si="236"/>
        <v>0.96177484161592774</v>
      </c>
      <c r="U339" s="4">
        <f t="shared" si="236"/>
        <v>0.94584787155511363</v>
      </c>
      <c r="V339" s="4">
        <f t="shared" si="236"/>
        <v>0.92370360150141495</v>
      </c>
      <c r="W339" s="4">
        <f t="shared" si="236"/>
        <v>0.89334463567658451</v>
      </c>
      <c r="X339" s="4">
        <f t="shared" si="236"/>
        <v>0.85254543874327005</v>
      </c>
      <c r="Y339" s="4">
        <f t="shared" si="236"/>
        <v>0.79921300652623883</v>
      </c>
      <c r="Z339" s="4">
        <f t="shared" si="236"/>
        <v>0.73204982249993378</v>
      </c>
      <c r="AA339" s="4">
        <f t="shared" si="236"/>
        <v>0.65145592958786691</v>
      </c>
      <c r="AB339" s="4">
        <f t="shared" si="236"/>
        <v>0.56032247880849573</v>
      </c>
      <c r="AC339" s="4">
        <f t="shared" si="236"/>
        <v>0.46411326873185343</v>
      </c>
      <c r="AD339" s="4">
        <f t="shared" si="236"/>
        <v>0.36979727595523937</v>
      </c>
      <c r="AE339" s="4">
        <f t="shared" si="236"/>
        <v>0.28393948637231203</v>
      </c>
      <c r="AF339" s="4">
        <f t="shared" si="236"/>
        <v>0.21097259161117732</v>
      </c>
      <c r="AG339" s="4">
        <f t="shared" si="236"/>
        <v>0.15253917653798199</v>
      </c>
      <c r="AH339" s="4">
        <f t="shared" si="236"/>
        <v>0.10795188737709993</v>
      </c>
      <c r="AI339" s="4">
        <f t="shared" si="236"/>
        <v>7.5176653938091809E-2</v>
      </c>
      <c r="AJ339" s="4">
        <f t="shared" si="236"/>
        <v>5.1742836177502194E-2</v>
      </c>
      <c r="AK339" s="4">
        <f t="shared" si="236"/>
        <v>3.5319190625345942E-2</v>
      </c>
      <c r="AL339" s="4">
        <f t="shared" si="236"/>
        <v>2.3969442072658165E-2</v>
      </c>
      <c r="AM339" s="4">
        <f t="shared" si="236"/>
        <v>1.6202243558389728E-2</v>
      </c>
      <c r="AN339" s="4">
        <f t="shared" si="236"/>
        <v>1.0922240564108399E-2</v>
      </c>
      <c r="AO339" s="4">
        <f t="shared" si="236"/>
        <v>7.3493212906090566E-3</v>
      </c>
      <c r="AP339" s="4">
        <f t="shared" si="236"/>
        <v>4.9390262185057265E-3</v>
      </c>
      <c r="AQ339" s="4">
        <f t="shared" si="236"/>
        <v>3.3164275492956197E-3</v>
      </c>
      <c r="AR339" s="4">
        <f t="shared" si="236"/>
        <v>2.2256362146679809E-3</v>
      </c>
    </row>
    <row r="340" spans="1:44" x14ac:dyDescent="0.25">
      <c r="A340" s="24" t="s">
        <v>52</v>
      </c>
      <c r="B340" s="43">
        <f>'Parameter Input'!$L$94</f>
        <v>1050000</v>
      </c>
      <c r="C340" s="44">
        <f>'Parameter Input'!$M$94</f>
        <v>1050000</v>
      </c>
      <c r="D340" s="1" t="s">
        <v>38</v>
      </c>
      <c r="L340" s="54">
        <f>'Parameter Input'!$O$94</f>
        <v>12</v>
      </c>
      <c r="M340" s="37">
        <v>0</v>
      </c>
      <c r="N340" s="37">
        <v>1</v>
      </c>
      <c r="O340" s="37">
        <f>'Parameter Input'!$P$94</f>
        <v>0.9</v>
      </c>
      <c r="P340" s="55">
        <f>'Parameter Input'!$Q$94</f>
        <v>0.4</v>
      </c>
      <c r="Q340" s="4">
        <f t="shared" si="236"/>
        <v>0.9867978615748374</v>
      </c>
      <c r="R340" s="4">
        <f t="shared" si="236"/>
        <v>0.98114509762858249</v>
      </c>
      <c r="S340" s="4">
        <f t="shared" si="236"/>
        <v>0.97311898315872036</v>
      </c>
      <c r="T340" s="4">
        <f t="shared" si="236"/>
        <v>0.96177484161592774</v>
      </c>
      <c r="U340" s="4">
        <f t="shared" si="236"/>
        <v>0.94584787155511363</v>
      </c>
      <c r="V340" s="4">
        <f t="shared" si="236"/>
        <v>0.92370360150141495</v>
      </c>
      <c r="W340" s="4">
        <f t="shared" si="236"/>
        <v>0.89334463567658451</v>
      </c>
      <c r="X340" s="4">
        <f t="shared" si="236"/>
        <v>0.85254543874327005</v>
      </c>
      <c r="Y340" s="4">
        <f t="shared" si="236"/>
        <v>0.79921300652623883</v>
      </c>
      <c r="Z340" s="4">
        <f t="shared" si="236"/>
        <v>0.73204982249993378</v>
      </c>
      <c r="AA340" s="4">
        <f t="shared" si="236"/>
        <v>0.65145592958786691</v>
      </c>
      <c r="AB340" s="4">
        <f t="shared" si="236"/>
        <v>0.56032247880849573</v>
      </c>
      <c r="AC340" s="4">
        <f t="shared" si="236"/>
        <v>0.46411326873185343</v>
      </c>
      <c r="AD340" s="4">
        <f t="shared" si="236"/>
        <v>0.36979727595523937</v>
      </c>
      <c r="AE340" s="4">
        <f t="shared" si="236"/>
        <v>0.28393948637231203</v>
      </c>
      <c r="AF340" s="4">
        <f t="shared" si="236"/>
        <v>0.21097259161117732</v>
      </c>
      <c r="AG340" s="4">
        <f t="shared" si="236"/>
        <v>0.15253917653798199</v>
      </c>
      <c r="AH340" s="4">
        <f t="shared" si="236"/>
        <v>0.10795188737709993</v>
      </c>
      <c r="AI340" s="4">
        <f t="shared" si="236"/>
        <v>7.5176653938091809E-2</v>
      </c>
      <c r="AJ340" s="4">
        <f t="shared" si="236"/>
        <v>5.1742836177502194E-2</v>
      </c>
      <c r="AK340" s="4">
        <f t="shared" si="236"/>
        <v>3.5319190625345942E-2</v>
      </c>
      <c r="AL340" s="4">
        <f t="shared" si="236"/>
        <v>2.3969442072658165E-2</v>
      </c>
      <c r="AM340" s="4">
        <f t="shared" si="236"/>
        <v>1.6202243558389728E-2</v>
      </c>
      <c r="AN340" s="4">
        <f t="shared" si="236"/>
        <v>1.0922240564108399E-2</v>
      </c>
      <c r="AO340" s="4">
        <f t="shared" si="236"/>
        <v>7.3493212906090566E-3</v>
      </c>
      <c r="AP340" s="4">
        <f t="shared" si="236"/>
        <v>4.9390262185057265E-3</v>
      </c>
      <c r="AQ340" s="4">
        <f t="shared" si="236"/>
        <v>3.3164275492956197E-3</v>
      </c>
      <c r="AR340" s="4">
        <f t="shared" si="236"/>
        <v>2.2256362146679809E-3</v>
      </c>
    </row>
    <row r="341" spans="1:44" x14ac:dyDescent="0.25">
      <c r="A341" s="24" t="s">
        <v>287</v>
      </c>
      <c r="B341" s="45">
        <f>'Parameter Input'!B134</f>
        <v>8.9635854341736696</v>
      </c>
      <c r="C341" s="46">
        <f>'Parameter Input'!C134</f>
        <v>8.9635854341736696</v>
      </c>
      <c r="D341" s="1" t="s">
        <v>76</v>
      </c>
      <c r="L341" s="54">
        <f>'Parameter Input'!E134</f>
        <v>12</v>
      </c>
      <c r="M341" s="37">
        <v>0</v>
      </c>
      <c r="N341" s="37">
        <v>1</v>
      </c>
      <c r="O341" s="37">
        <f>'Parameter Input'!F134</f>
        <v>0.9</v>
      </c>
      <c r="P341" s="55">
        <f>'Parameter Input'!G134</f>
        <v>0.4</v>
      </c>
      <c r="Q341" s="4">
        <f t="shared" si="236"/>
        <v>0.9867978615748374</v>
      </c>
      <c r="R341" s="4">
        <f t="shared" si="236"/>
        <v>0.98114509762858249</v>
      </c>
      <c r="S341" s="4">
        <f t="shared" si="236"/>
        <v>0.97311898315872036</v>
      </c>
      <c r="T341" s="4">
        <f t="shared" si="236"/>
        <v>0.96177484161592774</v>
      </c>
      <c r="U341" s="4">
        <f t="shared" si="236"/>
        <v>0.94584787155511363</v>
      </c>
      <c r="V341" s="4">
        <f t="shared" si="236"/>
        <v>0.92370360150141495</v>
      </c>
      <c r="W341" s="4">
        <f t="shared" si="236"/>
        <v>0.89334463567658451</v>
      </c>
      <c r="X341" s="4">
        <f t="shared" si="236"/>
        <v>0.85254543874327005</v>
      </c>
      <c r="Y341" s="4">
        <f t="shared" si="236"/>
        <v>0.79921300652623883</v>
      </c>
      <c r="Z341" s="4">
        <f t="shared" si="236"/>
        <v>0.73204982249993378</v>
      </c>
      <c r="AA341" s="4">
        <f t="shared" si="236"/>
        <v>0.65145592958786691</v>
      </c>
      <c r="AB341" s="4">
        <f t="shared" si="236"/>
        <v>0.56032247880849573</v>
      </c>
      <c r="AC341" s="4">
        <f t="shared" si="236"/>
        <v>0.46411326873185343</v>
      </c>
      <c r="AD341" s="4">
        <f t="shared" si="236"/>
        <v>0.36979727595523937</v>
      </c>
      <c r="AE341" s="4">
        <f t="shared" si="236"/>
        <v>0.28393948637231203</v>
      </c>
      <c r="AF341" s="4">
        <f t="shared" si="236"/>
        <v>0.21097259161117732</v>
      </c>
      <c r="AG341" s="4">
        <f t="shared" si="236"/>
        <v>0.15253917653798199</v>
      </c>
      <c r="AH341" s="4">
        <f t="shared" si="236"/>
        <v>0.10795188737709993</v>
      </c>
      <c r="AI341" s="4">
        <f t="shared" si="236"/>
        <v>7.5176653938091809E-2</v>
      </c>
      <c r="AJ341" s="4">
        <f t="shared" si="236"/>
        <v>5.1742836177502194E-2</v>
      </c>
      <c r="AK341" s="4">
        <f t="shared" si="236"/>
        <v>3.5319190625345942E-2</v>
      </c>
      <c r="AL341" s="4">
        <f t="shared" si="236"/>
        <v>2.3969442072658165E-2</v>
      </c>
      <c r="AM341" s="4">
        <f t="shared" si="236"/>
        <v>1.6202243558389728E-2</v>
      </c>
      <c r="AN341" s="4">
        <f t="shared" si="236"/>
        <v>1.0922240564108399E-2</v>
      </c>
      <c r="AO341" s="4">
        <f t="shared" si="236"/>
        <v>7.3493212906090566E-3</v>
      </c>
      <c r="AP341" s="4">
        <f t="shared" si="236"/>
        <v>4.9390262185057265E-3</v>
      </c>
      <c r="AQ341" s="4">
        <f t="shared" si="236"/>
        <v>3.3164275492956197E-3</v>
      </c>
      <c r="AR341" s="4">
        <f t="shared" si="236"/>
        <v>2.2256362146679809E-3</v>
      </c>
    </row>
    <row r="342" spans="1:44" x14ac:dyDescent="0.25">
      <c r="A342" s="24" t="s">
        <v>59</v>
      </c>
      <c r="B342" s="47">
        <f>'Parameter Input'!$L$95</f>
        <v>76.777599999999993</v>
      </c>
      <c r="C342" s="48">
        <f>'Parameter Input'!$M$95</f>
        <v>76.777599999999993</v>
      </c>
      <c r="D342" s="1" t="s">
        <v>60</v>
      </c>
      <c r="L342" s="54">
        <f>'Parameter Input'!$O$95</f>
        <v>12</v>
      </c>
      <c r="M342" s="37">
        <v>0</v>
      </c>
      <c r="N342" s="37">
        <v>1</v>
      </c>
      <c r="O342" s="37">
        <f>'Parameter Input'!$P$95</f>
        <v>0.9</v>
      </c>
      <c r="P342" s="55">
        <f>'Parameter Input'!$Q$95</f>
        <v>0.4</v>
      </c>
      <c r="Q342" s="4">
        <f t="shared" si="236"/>
        <v>0.9867978615748374</v>
      </c>
      <c r="R342" s="4">
        <f t="shared" si="236"/>
        <v>0.98114509762858249</v>
      </c>
      <c r="S342" s="4">
        <f t="shared" si="236"/>
        <v>0.97311898315872036</v>
      </c>
      <c r="T342" s="4">
        <f t="shared" si="236"/>
        <v>0.96177484161592774</v>
      </c>
      <c r="U342" s="4">
        <f t="shared" si="236"/>
        <v>0.94584787155511363</v>
      </c>
      <c r="V342" s="4">
        <f t="shared" si="236"/>
        <v>0.92370360150141495</v>
      </c>
      <c r="W342" s="4">
        <f t="shared" si="236"/>
        <v>0.89334463567658451</v>
      </c>
      <c r="X342" s="4">
        <f t="shared" si="236"/>
        <v>0.85254543874327005</v>
      </c>
      <c r="Y342" s="4">
        <f t="shared" si="236"/>
        <v>0.79921300652623883</v>
      </c>
      <c r="Z342" s="4">
        <f t="shared" si="236"/>
        <v>0.73204982249993378</v>
      </c>
      <c r="AA342" s="4">
        <f t="shared" si="236"/>
        <v>0.65145592958786691</v>
      </c>
      <c r="AB342" s="4">
        <f t="shared" si="236"/>
        <v>0.56032247880849573</v>
      </c>
      <c r="AC342" s="4">
        <f t="shared" si="236"/>
        <v>0.46411326873185343</v>
      </c>
      <c r="AD342" s="4">
        <f t="shared" si="236"/>
        <v>0.36979727595523937</v>
      </c>
      <c r="AE342" s="4">
        <f t="shared" si="236"/>
        <v>0.28393948637231203</v>
      </c>
      <c r="AF342" s="4">
        <f t="shared" si="236"/>
        <v>0.21097259161117732</v>
      </c>
      <c r="AG342" s="4">
        <f t="shared" si="236"/>
        <v>0.15253917653798199</v>
      </c>
      <c r="AH342" s="4">
        <f t="shared" si="236"/>
        <v>0.10795188737709993</v>
      </c>
      <c r="AI342" s="4">
        <f t="shared" si="236"/>
        <v>7.5176653938091809E-2</v>
      </c>
      <c r="AJ342" s="4">
        <f t="shared" si="236"/>
        <v>5.1742836177502194E-2</v>
      </c>
      <c r="AK342" s="4">
        <f t="shared" si="236"/>
        <v>3.5319190625345942E-2</v>
      </c>
      <c r="AL342" s="4">
        <f t="shared" si="236"/>
        <v>2.3969442072658165E-2</v>
      </c>
      <c r="AM342" s="4">
        <f t="shared" si="236"/>
        <v>1.6202243558389728E-2</v>
      </c>
      <c r="AN342" s="4">
        <f t="shared" si="236"/>
        <v>1.0922240564108399E-2</v>
      </c>
      <c r="AO342" s="4">
        <f t="shared" si="236"/>
        <v>7.3493212906090566E-3</v>
      </c>
      <c r="AP342" s="4">
        <f t="shared" si="236"/>
        <v>4.9390262185057265E-3</v>
      </c>
      <c r="AQ342" s="4">
        <f t="shared" si="236"/>
        <v>3.3164275492956197E-3</v>
      </c>
      <c r="AR342" s="4">
        <f t="shared" si="236"/>
        <v>2.2256362146679809E-3</v>
      </c>
    </row>
    <row r="343" spans="1:44" x14ac:dyDescent="0.25">
      <c r="A343" s="24" t="s">
        <v>67</v>
      </c>
      <c r="B343" s="45">
        <f>'Parameter Input'!$L$96</f>
        <v>0.1</v>
      </c>
      <c r="C343" s="46">
        <f>'Parameter Input'!$M$96</f>
        <v>0.1</v>
      </c>
      <c r="D343" s="1" t="s">
        <v>68</v>
      </c>
      <c r="L343" s="54">
        <f>'Parameter Input'!$O$96</f>
        <v>12</v>
      </c>
      <c r="M343" s="37">
        <v>0</v>
      </c>
      <c r="N343" s="37">
        <v>1</v>
      </c>
      <c r="O343" s="37">
        <f>'Parameter Input'!$P$96</f>
        <v>0.9</v>
      </c>
      <c r="P343" s="55">
        <f>'Parameter Input'!$Q$96</f>
        <v>0.4</v>
      </c>
      <c r="Q343" s="4">
        <f t="shared" si="236"/>
        <v>0.9867978615748374</v>
      </c>
      <c r="R343" s="4">
        <f t="shared" ref="R343:AR343" si="237">$N343+($M343-$N343)*((1/(1+EXP(-$P343*(R$9-$L343)))^$O343))</f>
        <v>0.98114509762858249</v>
      </c>
      <c r="S343" s="4">
        <f t="shared" si="237"/>
        <v>0.97311898315872036</v>
      </c>
      <c r="T343" s="4">
        <f t="shared" si="237"/>
        <v>0.96177484161592774</v>
      </c>
      <c r="U343" s="4">
        <f t="shared" si="237"/>
        <v>0.94584787155511363</v>
      </c>
      <c r="V343" s="4">
        <f t="shared" si="237"/>
        <v>0.92370360150141495</v>
      </c>
      <c r="W343" s="4">
        <f t="shared" si="237"/>
        <v>0.89334463567658451</v>
      </c>
      <c r="X343" s="4">
        <f t="shared" si="237"/>
        <v>0.85254543874327005</v>
      </c>
      <c r="Y343" s="4">
        <f t="shared" si="237"/>
        <v>0.79921300652623883</v>
      </c>
      <c r="Z343" s="4">
        <f t="shared" si="237"/>
        <v>0.73204982249993378</v>
      </c>
      <c r="AA343" s="4">
        <f t="shared" si="237"/>
        <v>0.65145592958786691</v>
      </c>
      <c r="AB343" s="4">
        <f t="shared" si="237"/>
        <v>0.56032247880849573</v>
      </c>
      <c r="AC343" s="4">
        <f t="shared" si="237"/>
        <v>0.46411326873185343</v>
      </c>
      <c r="AD343" s="4">
        <f t="shared" si="237"/>
        <v>0.36979727595523937</v>
      </c>
      <c r="AE343" s="4">
        <f t="shared" si="237"/>
        <v>0.28393948637231203</v>
      </c>
      <c r="AF343" s="4">
        <f t="shared" si="237"/>
        <v>0.21097259161117732</v>
      </c>
      <c r="AG343" s="4">
        <f t="shared" si="237"/>
        <v>0.15253917653798199</v>
      </c>
      <c r="AH343" s="4">
        <f t="shared" si="237"/>
        <v>0.10795188737709993</v>
      </c>
      <c r="AI343" s="4">
        <f t="shared" si="237"/>
        <v>7.5176653938091809E-2</v>
      </c>
      <c r="AJ343" s="4">
        <f t="shared" si="237"/>
        <v>5.1742836177502194E-2</v>
      </c>
      <c r="AK343" s="4">
        <f t="shared" si="237"/>
        <v>3.5319190625345942E-2</v>
      </c>
      <c r="AL343" s="4">
        <f t="shared" si="237"/>
        <v>2.3969442072658165E-2</v>
      </c>
      <c r="AM343" s="4">
        <f t="shared" si="237"/>
        <v>1.6202243558389728E-2</v>
      </c>
      <c r="AN343" s="4">
        <f t="shared" si="237"/>
        <v>1.0922240564108399E-2</v>
      </c>
      <c r="AO343" s="4">
        <f t="shared" si="237"/>
        <v>7.3493212906090566E-3</v>
      </c>
      <c r="AP343" s="4">
        <f t="shared" si="237"/>
        <v>4.9390262185057265E-3</v>
      </c>
      <c r="AQ343" s="4">
        <f t="shared" si="237"/>
        <v>3.3164275492956197E-3</v>
      </c>
      <c r="AR343" s="4">
        <f t="shared" si="237"/>
        <v>2.2256362146679809E-3</v>
      </c>
    </row>
    <row r="344" spans="1:44" x14ac:dyDescent="0.25">
      <c r="A344" s="24" t="s">
        <v>206</v>
      </c>
      <c r="B344" s="45">
        <f>'Parameter Input'!L99</f>
        <v>2.0469721783010932</v>
      </c>
      <c r="C344" s="46">
        <f>'Parameter Input'!M99</f>
        <v>7.1644026240538263</v>
      </c>
      <c r="D344" s="1"/>
      <c r="L344" s="54">
        <f>'Parameter Input'!O99</f>
        <v>17</v>
      </c>
      <c r="M344" s="37">
        <v>0</v>
      </c>
      <c r="N344" s="37">
        <v>1</v>
      </c>
      <c r="O344" s="37">
        <f>'Parameter Input'!P99</f>
        <v>0.9</v>
      </c>
      <c r="P344" s="55">
        <f>'Parameter Input'!Q99</f>
        <v>0.4</v>
      </c>
      <c r="Q344" s="4">
        <f t="shared" ref="Q344:AR344" si="238">$N344+($M344-$N344)*((1/(1+EXP(-$P344*(Q$9-$L344)))^$O344))</f>
        <v>0.99780374543478534</v>
      </c>
      <c r="R344" s="4">
        <f t="shared" si="238"/>
        <v>0.99685359315256394</v>
      </c>
      <c r="S344" s="4">
        <f t="shared" si="238"/>
        <v>0.99549347132349975</v>
      </c>
      <c r="T344" s="4">
        <f t="shared" si="238"/>
        <v>0.99354772139898062</v>
      </c>
      <c r="U344" s="4">
        <f t="shared" si="238"/>
        <v>0.99076681540580536</v>
      </c>
      <c r="V344" s="4">
        <f t="shared" si="238"/>
        <v>0.9867978615748374</v>
      </c>
      <c r="W344" s="4">
        <f t="shared" si="238"/>
        <v>0.98114509762858249</v>
      </c>
      <c r="X344" s="4">
        <f t="shared" si="238"/>
        <v>0.97311898315872036</v>
      </c>
      <c r="Y344" s="4">
        <f t="shared" si="238"/>
        <v>0.96177484161592774</v>
      </c>
      <c r="Z344" s="4">
        <f t="shared" si="238"/>
        <v>0.94584787155511363</v>
      </c>
      <c r="AA344" s="4">
        <f t="shared" si="238"/>
        <v>0.92370360150141495</v>
      </c>
      <c r="AB344" s="4">
        <f t="shared" si="238"/>
        <v>0.89334463567658451</v>
      </c>
      <c r="AC344" s="4">
        <f t="shared" si="238"/>
        <v>0.85254543874327005</v>
      </c>
      <c r="AD344" s="4">
        <f t="shared" si="238"/>
        <v>0.79921300652623883</v>
      </c>
      <c r="AE344" s="4">
        <f t="shared" si="238"/>
        <v>0.73204982249993378</v>
      </c>
      <c r="AF344" s="4">
        <f t="shared" si="238"/>
        <v>0.65145592958786691</v>
      </c>
      <c r="AG344" s="4">
        <f t="shared" si="238"/>
        <v>0.56032247880849573</v>
      </c>
      <c r="AH344" s="4">
        <f t="shared" si="238"/>
        <v>0.46411326873185343</v>
      </c>
      <c r="AI344" s="4">
        <f t="shared" si="238"/>
        <v>0.36979727595523937</v>
      </c>
      <c r="AJ344" s="4">
        <f t="shared" si="238"/>
        <v>0.28393948637231203</v>
      </c>
      <c r="AK344" s="4">
        <f t="shared" si="238"/>
        <v>0.21097259161117732</v>
      </c>
      <c r="AL344" s="4">
        <f t="shared" si="238"/>
        <v>0.15253917653798199</v>
      </c>
      <c r="AM344" s="4">
        <f t="shared" si="238"/>
        <v>0.10795188737709993</v>
      </c>
      <c r="AN344" s="4">
        <f t="shared" si="238"/>
        <v>7.5176653938091809E-2</v>
      </c>
      <c r="AO344" s="4">
        <f t="shared" si="238"/>
        <v>5.1742836177502194E-2</v>
      </c>
      <c r="AP344" s="4">
        <f t="shared" si="238"/>
        <v>3.5319190625345942E-2</v>
      </c>
      <c r="AQ344" s="4">
        <f t="shared" si="238"/>
        <v>2.3969442072658165E-2</v>
      </c>
      <c r="AR344" s="4">
        <f t="shared" si="238"/>
        <v>1.6202243558389728E-2</v>
      </c>
    </row>
    <row r="345" spans="1:44" x14ac:dyDescent="0.25">
      <c r="A345" s="24" t="s">
        <v>41</v>
      </c>
      <c r="B345" s="43">
        <f>'Parameter Input'!$L$93</f>
        <v>20</v>
      </c>
      <c r="C345" s="44">
        <f>'Parameter Input'!$M$93</f>
        <v>20</v>
      </c>
      <c r="D345" s="1" t="s">
        <v>42</v>
      </c>
      <c r="L345" s="54">
        <f>'Parameter Input'!$O$93</f>
        <v>12</v>
      </c>
      <c r="M345" s="37">
        <v>0</v>
      </c>
      <c r="N345" s="37">
        <v>1</v>
      </c>
      <c r="O345" s="37">
        <f>'Parameter Input'!$P$93</f>
        <v>0.9</v>
      </c>
      <c r="P345" s="55">
        <f>'Parameter Input'!$Q$93</f>
        <v>0.4</v>
      </c>
      <c r="Q345" s="4">
        <f t="shared" ref="Q345:AF350" si="239">$N345+($M345-$N345)*((1/(1+EXP(-$P345*(Q$9-$L345)))^$O345))</f>
        <v>0.9867978615748374</v>
      </c>
      <c r="R345" s="4">
        <f t="shared" si="239"/>
        <v>0.98114509762858249</v>
      </c>
      <c r="S345" s="4">
        <f t="shared" si="239"/>
        <v>0.97311898315872036</v>
      </c>
      <c r="T345" s="4">
        <f t="shared" si="239"/>
        <v>0.96177484161592774</v>
      </c>
      <c r="U345" s="4">
        <f t="shared" si="239"/>
        <v>0.94584787155511363</v>
      </c>
      <c r="V345" s="4">
        <f t="shared" si="239"/>
        <v>0.92370360150141495</v>
      </c>
      <c r="W345" s="4">
        <f t="shared" si="239"/>
        <v>0.89334463567658451</v>
      </c>
      <c r="X345" s="4">
        <f t="shared" si="239"/>
        <v>0.85254543874327005</v>
      </c>
      <c r="Y345" s="4">
        <f t="shared" si="239"/>
        <v>0.79921300652623883</v>
      </c>
      <c r="Z345" s="4">
        <f t="shared" si="239"/>
        <v>0.73204982249993378</v>
      </c>
      <c r="AA345" s="4">
        <f t="shared" si="239"/>
        <v>0.65145592958786691</v>
      </c>
      <c r="AB345" s="4">
        <f t="shared" si="239"/>
        <v>0.56032247880849573</v>
      </c>
      <c r="AC345" s="4">
        <f t="shared" si="239"/>
        <v>0.46411326873185343</v>
      </c>
      <c r="AD345" s="4">
        <f t="shared" si="239"/>
        <v>0.36979727595523937</v>
      </c>
      <c r="AE345" s="4">
        <f t="shared" si="239"/>
        <v>0.28393948637231203</v>
      </c>
      <c r="AF345" s="4">
        <f t="shared" si="239"/>
        <v>0.21097259161117732</v>
      </c>
      <c r="AG345" s="4">
        <f t="shared" ref="AG345:AI350" si="240">$N345+($M345-$N345)*((1/(1+EXP(-$P345*(AG$9-$L345)))^$O345))</f>
        <v>0.15253917653798199</v>
      </c>
      <c r="AH345" s="4">
        <f t="shared" si="240"/>
        <v>0.10795188737709993</v>
      </c>
      <c r="AI345" s="4">
        <f t="shared" si="240"/>
        <v>7.5176653938091809E-2</v>
      </c>
      <c r="AJ345" s="4">
        <f t="shared" ref="AJ345:AR350" si="241">$N345+($M345-$N345)*((1/(1+EXP(-$P345*(AJ$9-$L345)))^$O345))</f>
        <v>5.1742836177502194E-2</v>
      </c>
      <c r="AK345" s="4">
        <f t="shared" si="241"/>
        <v>3.5319190625345942E-2</v>
      </c>
      <c r="AL345" s="4">
        <f t="shared" si="241"/>
        <v>2.3969442072658165E-2</v>
      </c>
      <c r="AM345" s="4">
        <f t="shared" si="241"/>
        <v>1.6202243558389728E-2</v>
      </c>
      <c r="AN345" s="4">
        <f t="shared" si="241"/>
        <v>1.0922240564108399E-2</v>
      </c>
      <c r="AO345" s="4">
        <f t="shared" si="241"/>
        <v>7.3493212906090566E-3</v>
      </c>
      <c r="AP345" s="4">
        <f t="shared" si="241"/>
        <v>4.9390262185057265E-3</v>
      </c>
      <c r="AQ345" s="4">
        <f t="shared" si="241"/>
        <v>3.3164275492956197E-3</v>
      </c>
      <c r="AR345" s="4">
        <f t="shared" si="241"/>
        <v>2.2256362146679809E-3</v>
      </c>
    </row>
    <row r="346" spans="1:44" x14ac:dyDescent="0.25">
      <c r="A346" s="24" t="s">
        <v>70</v>
      </c>
      <c r="B346" s="43">
        <f>'Parameter Input'!B133</f>
        <v>30</v>
      </c>
      <c r="C346" s="44">
        <f>'Parameter Input'!C133</f>
        <v>30</v>
      </c>
      <c r="D346" s="1" t="s">
        <v>42</v>
      </c>
      <c r="L346" s="54">
        <f>'Parameter Input'!E133</f>
        <v>12</v>
      </c>
      <c r="M346" s="37">
        <v>0</v>
      </c>
      <c r="N346" s="37">
        <v>1</v>
      </c>
      <c r="O346" s="37">
        <f>'Parameter Input'!F133</f>
        <v>0.9</v>
      </c>
      <c r="P346" s="55">
        <f>'Parameter Input'!G133</f>
        <v>0.4</v>
      </c>
      <c r="Q346" s="4">
        <f t="shared" si="239"/>
        <v>0.9867978615748374</v>
      </c>
      <c r="R346" s="4">
        <f t="shared" si="239"/>
        <v>0.98114509762858249</v>
      </c>
      <c r="S346" s="4">
        <f t="shared" si="239"/>
        <v>0.97311898315872036</v>
      </c>
      <c r="T346" s="4">
        <f t="shared" si="239"/>
        <v>0.96177484161592774</v>
      </c>
      <c r="U346" s="4">
        <f t="shared" si="239"/>
        <v>0.94584787155511363</v>
      </c>
      <c r="V346" s="4">
        <f t="shared" si="239"/>
        <v>0.92370360150141495</v>
      </c>
      <c r="W346" s="4">
        <f t="shared" si="239"/>
        <v>0.89334463567658451</v>
      </c>
      <c r="X346" s="4">
        <f t="shared" si="239"/>
        <v>0.85254543874327005</v>
      </c>
      <c r="Y346" s="4">
        <f t="shared" si="239"/>
        <v>0.79921300652623883</v>
      </c>
      <c r="Z346" s="4">
        <f t="shared" si="239"/>
        <v>0.73204982249993378</v>
      </c>
      <c r="AA346" s="4">
        <f t="shared" si="239"/>
        <v>0.65145592958786691</v>
      </c>
      <c r="AB346" s="4">
        <f t="shared" si="239"/>
        <v>0.56032247880849573</v>
      </c>
      <c r="AC346" s="4">
        <f t="shared" si="239"/>
        <v>0.46411326873185343</v>
      </c>
      <c r="AD346" s="4">
        <f t="shared" si="239"/>
        <v>0.36979727595523937</v>
      </c>
      <c r="AE346" s="4">
        <f t="shared" si="239"/>
        <v>0.28393948637231203</v>
      </c>
      <c r="AF346" s="4">
        <f t="shared" si="239"/>
        <v>0.21097259161117732</v>
      </c>
      <c r="AG346" s="4">
        <f t="shared" si="240"/>
        <v>0.15253917653798199</v>
      </c>
      <c r="AH346" s="4">
        <f t="shared" si="240"/>
        <v>0.10795188737709993</v>
      </c>
      <c r="AI346" s="4">
        <f t="shared" si="240"/>
        <v>7.5176653938091809E-2</v>
      </c>
      <c r="AJ346" s="4">
        <f t="shared" si="241"/>
        <v>5.1742836177502194E-2</v>
      </c>
      <c r="AK346" s="4">
        <f t="shared" si="241"/>
        <v>3.5319190625345942E-2</v>
      </c>
      <c r="AL346" s="4">
        <f t="shared" si="241"/>
        <v>2.3969442072658165E-2</v>
      </c>
      <c r="AM346" s="4">
        <f t="shared" si="241"/>
        <v>1.6202243558389728E-2</v>
      </c>
      <c r="AN346" s="4">
        <f t="shared" si="241"/>
        <v>1.0922240564108399E-2</v>
      </c>
      <c r="AO346" s="4">
        <f t="shared" si="241"/>
        <v>7.3493212906090566E-3</v>
      </c>
      <c r="AP346" s="4">
        <f t="shared" si="241"/>
        <v>4.9390262185057265E-3</v>
      </c>
      <c r="AQ346" s="4">
        <f t="shared" si="241"/>
        <v>3.3164275492956197E-3</v>
      </c>
      <c r="AR346" s="4">
        <f t="shared" si="241"/>
        <v>2.2256362146679809E-3</v>
      </c>
    </row>
    <row r="347" spans="1:44" x14ac:dyDescent="0.25">
      <c r="A347" s="24" t="s">
        <v>207</v>
      </c>
      <c r="B347" s="70">
        <f>'Parameter Input'!B130</f>
        <v>2240</v>
      </c>
      <c r="C347" s="71">
        <f>'Parameter Input'!C130</f>
        <v>2240</v>
      </c>
      <c r="D347" s="1" t="s">
        <v>49</v>
      </c>
      <c r="L347" s="54">
        <f>'Parameter Input'!E130</f>
        <v>12</v>
      </c>
      <c r="M347" s="37">
        <v>0</v>
      </c>
      <c r="N347" s="37">
        <v>1</v>
      </c>
      <c r="O347" s="37">
        <f>'Parameter Input'!F130</f>
        <v>0.9</v>
      </c>
      <c r="P347" s="55">
        <f>'Parameter Input'!G130</f>
        <v>0.4</v>
      </c>
      <c r="Q347" s="4">
        <f t="shared" si="239"/>
        <v>0.9867978615748374</v>
      </c>
      <c r="R347" s="4">
        <f t="shared" si="239"/>
        <v>0.98114509762858249</v>
      </c>
      <c r="S347" s="4">
        <f t="shared" si="239"/>
        <v>0.97311898315872036</v>
      </c>
      <c r="T347" s="4">
        <f t="shared" si="239"/>
        <v>0.96177484161592774</v>
      </c>
      <c r="U347" s="4">
        <f t="shared" si="239"/>
        <v>0.94584787155511363</v>
      </c>
      <c r="V347" s="4">
        <f t="shared" si="239"/>
        <v>0.92370360150141495</v>
      </c>
      <c r="W347" s="4">
        <f t="shared" si="239"/>
        <v>0.89334463567658451</v>
      </c>
      <c r="X347" s="4">
        <f t="shared" si="239"/>
        <v>0.85254543874327005</v>
      </c>
      <c r="Y347" s="4">
        <f t="shared" si="239"/>
        <v>0.79921300652623883</v>
      </c>
      <c r="Z347" s="4">
        <f t="shared" si="239"/>
        <v>0.73204982249993378</v>
      </c>
      <c r="AA347" s="4">
        <f t="shared" si="239"/>
        <v>0.65145592958786691</v>
      </c>
      <c r="AB347" s="4">
        <f t="shared" si="239"/>
        <v>0.56032247880849573</v>
      </c>
      <c r="AC347" s="4">
        <f t="shared" si="239"/>
        <v>0.46411326873185343</v>
      </c>
      <c r="AD347" s="4">
        <f t="shared" si="239"/>
        <v>0.36979727595523937</v>
      </c>
      <c r="AE347" s="4">
        <f t="shared" si="239"/>
        <v>0.28393948637231203</v>
      </c>
      <c r="AF347" s="4">
        <f t="shared" si="239"/>
        <v>0.21097259161117732</v>
      </c>
      <c r="AG347" s="4">
        <f t="shared" si="240"/>
        <v>0.15253917653798199</v>
      </c>
      <c r="AH347" s="4">
        <f t="shared" si="240"/>
        <v>0.10795188737709993</v>
      </c>
      <c r="AI347" s="4">
        <f t="shared" si="240"/>
        <v>7.5176653938091809E-2</v>
      </c>
      <c r="AJ347" s="4">
        <f t="shared" si="241"/>
        <v>5.1742836177502194E-2</v>
      </c>
      <c r="AK347" s="4">
        <f t="shared" si="241"/>
        <v>3.5319190625345942E-2</v>
      </c>
      <c r="AL347" s="4">
        <f t="shared" si="241"/>
        <v>2.3969442072658165E-2</v>
      </c>
      <c r="AM347" s="4">
        <f t="shared" si="241"/>
        <v>1.6202243558389728E-2</v>
      </c>
      <c r="AN347" s="4">
        <f t="shared" si="241"/>
        <v>1.0922240564108399E-2</v>
      </c>
      <c r="AO347" s="4">
        <f t="shared" si="241"/>
        <v>7.3493212906090566E-3</v>
      </c>
      <c r="AP347" s="4">
        <f t="shared" si="241"/>
        <v>4.9390262185057265E-3</v>
      </c>
      <c r="AQ347" s="4">
        <f t="shared" si="241"/>
        <v>3.3164275492956197E-3</v>
      </c>
      <c r="AR347" s="4">
        <f t="shared" si="241"/>
        <v>2.2256362146679809E-3</v>
      </c>
    </row>
    <row r="348" spans="1:44" x14ac:dyDescent="0.25">
      <c r="A348" s="24" t="s">
        <v>56</v>
      </c>
      <c r="B348" s="72">
        <f>'Parameter Input'!B131</f>
        <v>0.72000000000000008</v>
      </c>
      <c r="C348" s="73">
        <f>'Parameter Input'!C131</f>
        <v>0.72000000000000008</v>
      </c>
      <c r="D348" s="1" t="s">
        <v>57</v>
      </c>
      <c r="L348" s="54">
        <f>'Parameter Input'!E131</f>
        <v>12</v>
      </c>
      <c r="M348" s="37">
        <v>0</v>
      </c>
      <c r="N348" s="37">
        <v>1</v>
      </c>
      <c r="O348" s="37">
        <f>'Parameter Input'!F131</f>
        <v>0.9</v>
      </c>
      <c r="P348" s="55">
        <f>'Parameter Input'!G131</f>
        <v>0.4</v>
      </c>
      <c r="Q348" s="4">
        <f t="shared" si="239"/>
        <v>0.9867978615748374</v>
      </c>
      <c r="R348" s="4">
        <f t="shared" si="239"/>
        <v>0.98114509762858249</v>
      </c>
      <c r="S348" s="4">
        <f t="shared" si="239"/>
        <v>0.97311898315872036</v>
      </c>
      <c r="T348" s="4">
        <f t="shared" si="239"/>
        <v>0.96177484161592774</v>
      </c>
      <c r="U348" s="4">
        <f t="shared" si="239"/>
        <v>0.94584787155511363</v>
      </c>
      <c r="V348" s="4">
        <f t="shared" si="239"/>
        <v>0.92370360150141495</v>
      </c>
      <c r="W348" s="4">
        <f t="shared" si="239"/>
        <v>0.89334463567658451</v>
      </c>
      <c r="X348" s="4">
        <f t="shared" si="239"/>
        <v>0.85254543874327005</v>
      </c>
      <c r="Y348" s="4">
        <f t="shared" si="239"/>
        <v>0.79921300652623883</v>
      </c>
      <c r="Z348" s="4">
        <f t="shared" si="239"/>
        <v>0.73204982249993378</v>
      </c>
      <c r="AA348" s="4">
        <f t="shared" si="239"/>
        <v>0.65145592958786691</v>
      </c>
      <c r="AB348" s="4">
        <f t="shared" si="239"/>
        <v>0.56032247880849573</v>
      </c>
      <c r="AC348" s="4">
        <f t="shared" si="239"/>
        <v>0.46411326873185343</v>
      </c>
      <c r="AD348" s="4">
        <f t="shared" si="239"/>
        <v>0.36979727595523937</v>
      </c>
      <c r="AE348" s="4">
        <f t="shared" si="239"/>
        <v>0.28393948637231203</v>
      </c>
      <c r="AF348" s="4">
        <f t="shared" si="239"/>
        <v>0.21097259161117732</v>
      </c>
      <c r="AG348" s="4">
        <f t="shared" si="240"/>
        <v>0.15253917653798199</v>
      </c>
      <c r="AH348" s="4">
        <f t="shared" si="240"/>
        <v>0.10795188737709993</v>
      </c>
      <c r="AI348" s="4">
        <f t="shared" si="240"/>
        <v>7.5176653938091809E-2</v>
      </c>
      <c r="AJ348" s="4">
        <f t="shared" si="241"/>
        <v>5.1742836177502194E-2</v>
      </c>
      <c r="AK348" s="4">
        <f t="shared" si="241"/>
        <v>3.5319190625345942E-2</v>
      </c>
      <c r="AL348" s="4">
        <f t="shared" si="241"/>
        <v>2.3969442072658165E-2</v>
      </c>
      <c r="AM348" s="4">
        <f t="shared" si="241"/>
        <v>1.6202243558389728E-2</v>
      </c>
      <c r="AN348" s="4">
        <f t="shared" si="241"/>
        <v>1.0922240564108399E-2</v>
      </c>
      <c r="AO348" s="4">
        <f t="shared" si="241"/>
        <v>7.3493212906090566E-3</v>
      </c>
      <c r="AP348" s="4">
        <f t="shared" si="241"/>
        <v>4.9390262185057265E-3</v>
      </c>
      <c r="AQ348" s="4">
        <f t="shared" si="241"/>
        <v>3.3164275492956197E-3</v>
      </c>
      <c r="AR348" s="4">
        <f t="shared" si="241"/>
        <v>2.2256362146679809E-3</v>
      </c>
    </row>
    <row r="349" spans="1:44" x14ac:dyDescent="0.25">
      <c r="A349" s="24" t="s">
        <v>73</v>
      </c>
      <c r="B349" s="72">
        <f>'Parameter Input'!$L$97</f>
        <v>0</v>
      </c>
      <c r="C349" s="73">
        <f>'Parameter Input'!$M$97</f>
        <v>0</v>
      </c>
      <c r="D349" s="1" t="s">
        <v>57</v>
      </c>
      <c r="L349" s="54">
        <f>'Parameter Input'!$O$97</f>
        <v>12</v>
      </c>
      <c r="M349" s="37">
        <v>0</v>
      </c>
      <c r="N349" s="37">
        <v>1</v>
      </c>
      <c r="O349" s="37">
        <f>'Parameter Input'!$P$97</f>
        <v>0.9</v>
      </c>
      <c r="P349" s="55">
        <f>'Parameter Input'!$Q$97</f>
        <v>0.4</v>
      </c>
      <c r="Q349" s="4">
        <f t="shared" si="239"/>
        <v>0.9867978615748374</v>
      </c>
      <c r="R349" s="4">
        <f t="shared" si="239"/>
        <v>0.98114509762858249</v>
      </c>
      <c r="S349" s="4">
        <f t="shared" si="239"/>
        <v>0.97311898315872036</v>
      </c>
      <c r="T349" s="4">
        <f t="shared" si="239"/>
        <v>0.96177484161592774</v>
      </c>
      <c r="U349" s="4">
        <f t="shared" si="239"/>
        <v>0.94584787155511363</v>
      </c>
      <c r="V349" s="4">
        <f t="shared" si="239"/>
        <v>0.92370360150141495</v>
      </c>
      <c r="W349" s="4">
        <f t="shared" si="239"/>
        <v>0.89334463567658451</v>
      </c>
      <c r="X349" s="4">
        <f t="shared" si="239"/>
        <v>0.85254543874327005</v>
      </c>
      <c r="Y349" s="4">
        <f t="shared" si="239"/>
        <v>0.79921300652623883</v>
      </c>
      <c r="Z349" s="4">
        <f t="shared" si="239"/>
        <v>0.73204982249993378</v>
      </c>
      <c r="AA349" s="4">
        <f t="shared" si="239"/>
        <v>0.65145592958786691</v>
      </c>
      <c r="AB349" s="4">
        <f t="shared" si="239"/>
        <v>0.56032247880849573</v>
      </c>
      <c r="AC349" s="4">
        <f t="shared" si="239"/>
        <v>0.46411326873185343</v>
      </c>
      <c r="AD349" s="4">
        <f t="shared" si="239"/>
        <v>0.36979727595523937</v>
      </c>
      <c r="AE349" s="4">
        <f t="shared" si="239"/>
        <v>0.28393948637231203</v>
      </c>
      <c r="AF349" s="4">
        <f t="shared" si="239"/>
        <v>0.21097259161117732</v>
      </c>
      <c r="AG349" s="4">
        <f t="shared" si="240"/>
        <v>0.15253917653798199</v>
      </c>
      <c r="AH349" s="4">
        <f t="shared" si="240"/>
        <v>0.10795188737709993</v>
      </c>
      <c r="AI349" s="4">
        <f t="shared" si="240"/>
        <v>7.5176653938091809E-2</v>
      </c>
      <c r="AJ349" s="4">
        <f t="shared" si="241"/>
        <v>5.1742836177502194E-2</v>
      </c>
      <c r="AK349" s="4">
        <f t="shared" si="241"/>
        <v>3.5319190625345942E-2</v>
      </c>
      <c r="AL349" s="4">
        <f t="shared" si="241"/>
        <v>2.3969442072658165E-2</v>
      </c>
      <c r="AM349" s="4">
        <f t="shared" si="241"/>
        <v>1.6202243558389728E-2</v>
      </c>
      <c r="AN349" s="4">
        <f t="shared" si="241"/>
        <v>1.0922240564108399E-2</v>
      </c>
      <c r="AO349" s="4">
        <f t="shared" si="241"/>
        <v>7.3493212906090566E-3</v>
      </c>
      <c r="AP349" s="4">
        <f t="shared" si="241"/>
        <v>4.9390262185057265E-3</v>
      </c>
      <c r="AQ349" s="4">
        <f t="shared" si="241"/>
        <v>3.3164275492956197E-3</v>
      </c>
      <c r="AR349" s="4">
        <f t="shared" si="241"/>
        <v>2.2256362146679809E-3</v>
      </c>
    </row>
    <row r="350" spans="1:44" ht="15.75" thickBot="1" x14ac:dyDescent="0.3">
      <c r="A350" s="24" t="s">
        <v>64</v>
      </c>
      <c r="B350" s="74">
        <f>'Parameter Input'!B132</f>
        <v>178500</v>
      </c>
      <c r="C350" s="75">
        <f>'Parameter Input'!C132</f>
        <v>178500</v>
      </c>
      <c r="D350" s="1" t="s">
        <v>65</v>
      </c>
      <c r="L350" s="56">
        <f>'Parameter Input'!E132</f>
        <v>12</v>
      </c>
      <c r="M350" s="57">
        <v>0</v>
      </c>
      <c r="N350" s="57">
        <v>1</v>
      </c>
      <c r="O350" s="57">
        <f>'Parameter Input'!F132</f>
        <v>0.9</v>
      </c>
      <c r="P350" s="58">
        <f>'Parameter Input'!G132</f>
        <v>0.4</v>
      </c>
      <c r="Q350" s="4">
        <f t="shared" si="239"/>
        <v>0.9867978615748374</v>
      </c>
      <c r="R350" s="4">
        <f t="shared" si="239"/>
        <v>0.98114509762858249</v>
      </c>
      <c r="S350" s="4">
        <f t="shared" si="239"/>
        <v>0.97311898315872036</v>
      </c>
      <c r="T350" s="4">
        <f t="shared" si="239"/>
        <v>0.96177484161592774</v>
      </c>
      <c r="U350" s="4">
        <f t="shared" si="239"/>
        <v>0.94584787155511363</v>
      </c>
      <c r="V350" s="4">
        <f t="shared" si="239"/>
        <v>0.92370360150141495</v>
      </c>
      <c r="W350" s="4">
        <f t="shared" si="239"/>
        <v>0.89334463567658451</v>
      </c>
      <c r="X350" s="4">
        <f t="shared" si="239"/>
        <v>0.85254543874327005</v>
      </c>
      <c r="Y350" s="4">
        <f t="shared" si="239"/>
        <v>0.79921300652623883</v>
      </c>
      <c r="Z350" s="4">
        <f t="shared" si="239"/>
        <v>0.73204982249993378</v>
      </c>
      <c r="AA350" s="4">
        <f t="shared" si="239"/>
        <v>0.65145592958786691</v>
      </c>
      <c r="AB350" s="4">
        <f t="shared" si="239"/>
        <v>0.56032247880849573</v>
      </c>
      <c r="AC350" s="4">
        <f t="shared" si="239"/>
        <v>0.46411326873185343</v>
      </c>
      <c r="AD350" s="4">
        <f t="shared" si="239"/>
        <v>0.36979727595523937</v>
      </c>
      <c r="AE350" s="4">
        <f t="shared" si="239"/>
        <v>0.28393948637231203</v>
      </c>
      <c r="AF350" s="4">
        <f t="shared" si="239"/>
        <v>0.21097259161117732</v>
      </c>
      <c r="AG350" s="4">
        <f t="shared" si="240"/>
        <v>0.15253917653798199</v>
      </c>
      <c r="AH350" s="4">
        <f t="shared" si="240"/>
        <v>0.10795188737709993</v>
      </c>
      <c r="AI350" s="4">
        <f t="shared" si="240"/>
        <v>7.5176653938091809E-2</v>
      </c>
      <c r="AJ350" s="4">
        <f t="shared" si="241"/>
        <v>5.1742836177502194E-2</v>
      </c>
      <c r="AK350" s="4">
        <f t="shared" si="241"/>
        <v>3.5319190625345942E-2</v>
      </c>
      <c r="AL350" s="4">
        <f t="shared" si="241"/>
        <v>2.3969442072658165E-2</v>
      </c>
      <c r="AM350" s="4">
        <f t="shared" si="241"/>
        <v>1.6202243558389728E-2</v>
      </c>
      <c r="AN350" s="4">
        <f t="shared" si="241"/>
        <v>1.0922240564108399E-2</v>
      </c>
      <c r="AO350" s="4">
        <f t="shared" si="241"/>
        <v>7.3493212906090566E-3</v>
      </c>
      <c r="AP350" s="4">
        <f t="shared" si="241"/>
        <v>4.9390262185057265E-3</v>
      </c>
      <c r="AQ350" s="4">
        <f t="shared" si="241"/>
        <v>3.3164275492956197E-3</v>
      </c>
      <c r="AR350" s="4">
        <f t="shared" si="241"/>
        <v>2.2256362146679809E-3</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8" si="242">A334</f>
        <v>Capex vehicle</v>
      </c>
      <c r="B354" s="62">
        <f t="shared" ref="B354:B363" si="243">$B334+($C334-$B334)*(1-Q334)</f>
        <v>3500000</v>
      </c>
      <c r="C354" s="62">
        <f t="shared" ref="C354:C363" si="244">$B334+($C334-$B334)*(1-R334)</f>
        <v>3500000</v>
      </c>
      <c r="D354" s="62">
        <f t="shared" ref="D354:D363" si="245">$B334+($C334-$B334)*(1-S334)</f>
        <v>3500000</v>
      </c>
      <c r="E354" s="62">
        <f t="shared" ref="E354:E363" si="246">$B334+($C334-$B334)*(1-T334)</f>
        <v>3500000</v>
      </c>
      <c r="F354" s="62">
        <f t="shared" ref="F354:F363" si="247">$B334+($C334-$B334)*(1-U334)</f>
        <v>3500000</v>
      </c>
      <c r="G354" s="62">
        <f t="shared" ref="G354:G363" si="248">$B334+($C334-$B334)*(1-V334)</f>
        <v>3500000</v>
      </c>
      <c r="H354" s="62">
        <f t="shared" ref="H354:H363" si="249">$B334+($C334-$B334)*(1-W334)</f>
        <v>3500000</v>
      </c>
      <c r="I354" s="62">
        <f t="shared" ref="I354:I363" si="250">$B334+($C334-$B334)*(1-X334)</f>
        <v>3500000</v>
      </c>
      <c r="J354" s="62">
        <f t="shared" ref="J354:J363" si="251">$B334+($C334-$B334)*(1-Y334)</f>
        <v>3500000</v>
      </c>
      <c r="K354" s="62">
        <f t="shared" ref="K354:K363" si="252">$B334+($C334-$B334)*(1-Z334)</f>
        <v>3500000</v>
      </c>
      <c r="L354" s="62">
        <f t="shared" ref="L354:L363" si="253">$B334+($C334-$B334)*(1-AA334)</f>
        <v>3500000</v>
      </c>
      <c r="M354" s="62">
        <f t="shared" ref="M354:M363" si="254">$B334+($C334-$B334)*(1-AB334)</f>
        <v>3500000</v>
      </c>
      <c r="N354" s="62">
        <f t="shared" ref="N354:N363" si="255">$B334+($C334-$B334)*(1-AC334)</f>
        <v>3500000</v>
      </c>
      <c r="O354" s="62">
        <f t="shared" ref="O354:O363" si="256">$B334+($C334-$B334)*(1-AD334)</f>
        <v>3500000</v>
      </c>
      <c r="P354" s="62">
        <f t="shared" ref="P354:P363" si="257">$B334+($C334-$B334)*(1-AE334)</f>
        <v>3500000</v>
      </c>
      <c r="Q354" s="62">
        <f t="shared" ref="Q354:Q363" si="258">$B334+($C334-$B334)*(1-AF334)</f>
        <v>3500000</v>
      </c>
      <c r="R354" s="62">
        <f t="shared" ref="R354:R363" si="259">$B334+($C334-$B334)*(1-AG334)</f>
        <v>3500000</v>
      </c>
      <c r="S354" s="62">
        <f t="shared" ref="S354:S363" si="260">$B334+($C334-$B334)*(1-AH334)</f>
        <v>3500000</v>
      </c>
      <c r="T354" s="62">
        <f t="shared" ref="T354:T363" si="261">$B334+($C334-$B334)*(1-AI334)</f>
        <v>3500000</v>
      </c>
      <c r="U354" s="62">
        <f t="shared" ref="U354:U363" si="262">$B334+($C334-$B334)*(1-AJ334)</f>
        <v>3500000</v>
      </c>
      <c r="V354" s="62">
        <f t="shared" ref="V354:V363" si="263">$B334+($C334-$B334)*(1-AK334)</f>
        <v>3500000</v>
      </c>
      <c r="W354" s="62">
        <f t="shared" ref="W354:W363" si="264">$B334+($C334-$B334)*(1-AL334)</f>
        <v>3500000</v>
      </c>
      <c r="X354" s="62">
        <f t="shared" ref="X354:X363" si="265">$B334+($C334-$B334)*(1-AM334)</f>
        <v>3500000</v>
      </c>
      <c r="Y354" s="62">
        <f t="shared" ref="Y354:Y363" si="266">$B334+($C334-$B334)*(1-AN334)</f>
        <v>3500000</v>
      </c>
      <c r="Z354" s="62">
        <f t="shared" ref="Z354:Z363" si="267">$B334+($C334-$B334)*(1-AO334)</f>
        <v>3500000</v>
      </c>
      <c r="AA354" s="62">
        <f t="shared" ref="AA354:AA363" si="268">$B334+($C334-$B334)*(1-AP334)</f>
        <v>3500000</v>
      </c>
      <c r="AB354" s="62">
        <f t="shared" ref="AB354:AB363" si="269">$B334+($C334-$B334)*(1-AQ334)</f>
        <v>3500000</v>
      </c>
      <c r="AC354" s="62">
        <f t="shared" ref="AC354:AC363" si="270">$B334+($C334-$B334)*(1-AR334)</f>
        <v>3500000</v>
      </c>
    </row>
    <row r="355" spans="1:29" x14ac:dyDescent="0.25">
      <c r="A355" s="30" t="str">
        <f t="shared" si="242"/>
        <v>Residual value (vehicle)</v>
      </c>
      <c r="B355" s="62">
        <f t="shared" si="243"/>
        <v>-520379.25155119307</v>
      </c>
      <c r="C355" s="62">
        <f t="shared" si="244"/>
        <v>-518400.78417000384</v>
      </c>
      <c r="D355" s="62">
        <f t="shared" si="245"/>
        <v>-515591.64410555211</v>
      </c>
      <c r="E355" s="62">
        <f t="shared" si="246"/>
        <v>-511621.1945655747</v>
      </c>
      <c r="F355" s="62">
        <f t="shared" si="247"/>
        <v>-506046.75504428975</v>
      </c>
      <c r="G355" s="62">
        <f t="shared" si="248"/>
        <v>-498296.26052549522</v>
      </c>
      <c r="H355" s="62">
        <f t="shared" si="249"/>
        <v>-487670.62248680455</v>
      </c>
      <c r="I355" s="62">
        <f t="shared" si="250"/>
        <v>-473390.90356014454</v>
      </c>
      <c r="J355" s="62">
        <f t="shared" si="251"/>
        <v>-454724.55228418356</v>
      </c>
      <c r="K355" s="62">
        <f t="shared" si="252"/>
        <v>-431217.43787497684</v>
      </c>
      <c r="L355" s="62">
        <f t="shared" si="253"/>
        <v>-403009.57535575342</v>
      </c>
      <c r="M355" s="62">
        <f t="shared" si="254"/>
        <v>-371112.8675829735</v>
      </c>
      <c r="N355" s="62">
        <f t="shared" si="255"/>
        <v>-337439.64405614871</v>
      </c>
      <c r="O355" s="62">
        <f t="shared" si="256"/>
        <v>-304429.04658433376</v>
      </c>
      <c r="P355" s="62">
        <f t="shared" si="257"/>
        <v>-274378.82023030921</v>
      </c>
      <c r="Q355" s="62">
        <f t="shared" si="258"/>
        <v>-248840.40706391208</v>
      </c>
      <c r="R355" s="62">
        <f t="shared" si="259"/>
        <v>-228388.71178829367</v>
      </c>
      <c r="S355" s="62">
        <f t="shared" si="260"/>
        <v>-212783.16058198496</v>
      </c>
      <c r="T355" s="62">
        <f t="shared" si="261"/>
        <v>-201311.8288783321</v>
      </c>
      <c r="U355" s="62">
        <f t="shared" si="262"/>
        <v>-193109.99266212579</v>
      </c>
      <c r="V355" s="62">
        <f t="shared" si="263"/>
        <v>-187361.71671887109</v>
      </c>
      <c r="W355" s="62">
        <f t="shared" si="264"/>
        <v>-183389.30472543038</v>
      </c>
      <c r="X355" s="62">
        <f t="shared" si="265"/>
        <v>-180670.78524543642</v>
      </c>
      <c r="Y355" s="62">
        <f t="shared" si="266"/>
        <v>-178822.78419743793</v>
      </c>
      <c r="Z355" s="62">
        <f t="shared" si="267"/>
        <v>-177572.26245171315</v>
      </c>
      <c r="AA355" s="62">
        <f t="shared" si="268"/>
        <v>-176728.659176477</v>
      </c>
      <c r="AB355" s="62">
        <f t="shared" si="269"/>
        <v>-176160.74964225345</v>
      </c>
      <c r="AC355" s="62">
        <f t="shared" si="270"/>
        <v>-175778.97267513379</v>
      </c>
    </row>
    <row r="356" spans="1:29" x14ac:dyDescent="0.25">
      <c r="A356" s="30" t="str">
        <f t="shared" si="242"/>
        <v>Capex costumization</v>
      </c>
      <c r="B356" s="62">
        <f t="shared" si="243"/>
        <v>4200000</v>
      </c>
      <c r="C356" s="62">
        <f t="shared" si="244"/>
        <v>4200000</v>
      </c>
      <c r="D356" s="62">
        <f t="shared" si="245"/>
        <v>4200000</v>
      </c>
      <c r="E356" s="62">
        <f t="shared" si="246"/>
        <v>4200000</v>
      </c>
      <c r="F356" s="62">
        <f t="shared" si="247"/>
        <v>4200000</v>
      </c>
      <c r="G356" s="62">
        <f t="shared" si="248"/>
        <v>4200000</v>
      </c>
      <c r="H356" s="62">
        <f t="shared" si="249"/>
        <v>4200000</v>
      </c>
      <c r="I356" s="62">
        <f t="shared" si="250"/>
        <v>4200000</v>
      </c>
      <c r="J356" s="62">
        <f t="shared" si="251"/>
        <v>4200000</v>
      </c>
      <c r="K356" s="62">
        <f t="shared" si="252"/>
        <v>4200000</v>
      </c>
      <c r="L356" s="62">
        <f t="shared" si="253"/>
        <v>4200000</v>
      </c>
      <c r="M356" s="62">
        <f t="shared" si="254"/>
        <v>4200000</v>
      </c>
      <c r="N356" s="62">
        <f t="shared" si="255"/>
        <v>4200000</v>
      </c>
      <c r="O356" s="62">
        <f t="shared" si="256"/>
        <v>4200000</v>
      </c>
      <c r="P356" s="62">
        <f t="shared" si="257"/>
        <v>4200000</v>
      </c>
      <c r="Q356" s="62">
        <f t="shared" si="258"/>
        <v>4200000</v>
      </c>
      <c r="R356" s="62">
        <f t="shared" si="259"/>
        <v>4200000</v>
      </c>
      <c r="S356" s="62">
        <f t="shared" si="260"/>
        <v>4200000</v>
      </c>
      <c r="T356" s="62">
        <f t="shared" si="261"/>
        <v>4200000</v>
      </c>
      <c r="U356" s="62">
        <f t="shared" si="262"/>
        <v>4200000</v>
      </c>
      <c r="V356" s="62">
        <f t="shared" si="263"/>
        <v>4200000</v>
      </c>
      <c r="W356" s="62">
        <f t="shared" si="264"/>
        <v>4200000</v>
      </c>
      <c r="X356" s="62">
        <f t="shared" si="265"/>
        <v>4200000</v>
      </c>
      <c r="Y356" s="62">
        <f t="shared" si="266"/>
        <v>4200000</v>
      </c>
      <c r="Z356" s="62">
        <f t="shared" si="267"/>
        <v>4200000</v>
      </c>
      <c r="AA356" s="62">
        <f t="shared" si="268"/>
        <v>4200000</v>
      </c>
      <c r="AB356" s="62">
        <f t="shared" si="269"/>
        <v>4200000</v>
      </c>
      <c r="AC356" s="62">
        <f t="shared" si="270"/>
        <v>4200000</v>
      </c>
    </row>
    <row r="357" spans="1:29" x14ac:dyDescent="0.25">
      <c r="A357" s="30" t="str">
        <f t="shared" si="242"/>
        <v>Residual value (costumization)</v>
      </c>
      <c r="B357" s="62">
        <f t="shared" si="243"/>
        <v>-210000</v>
      </c>
      <c r="C357" s="62">
        <f t="shared" si="244"/>
        <v>-210000</v>
      </c>
      <c r="D357" s="62">
        <f t="shared" si="245"/>
        <v>-210000</v>
      </c>
      <c r="E357" s="62">
        <f t="shared" si="246"/>
        <v>-210000</v>
      </c>
      <c r="F357" s="62">
        <f t="shared" si="247"/>
        <v>-210000</v>
      </c>
      <c r="G357" s="62">
        <f t="shared" si="248"/>
        <v>-210000</v>
      </c>
      <c r="H357" s="62">
        <f t="shared" si="249"/>
        <v>-210000</v>
      </c>
      <c r="I357" s="62">
        <f t="shared" si="250"/>
        <v>-210000</v>
      </c>
      <c r="J357" s="62">
        <f t="shared" si="251"/>
        <v>-210000</v>
      </c>
      <c r="K357" s="62">
        <f t="shared" si="252"/>
        <v>-210000</v>
      </c>
      <c r="L357" s="62">
        <f t="shared" si="253"/>
        <v>-210000</v>
      </c>
      <c r="M357" s="62">
        <f t="shared" si="254"/>
        <v>-210000</v>
      </c>
      <c r="N357" s="62">
        <f t="shared" si="255"/>
        <v>-210000</v>
      </c>
      <c r="O357" s="62">
        <f t="shared" si="256"/>
        <v>-210000</v>
      </c>
      <c r="P357" s="62">
        <f t="shared" si="257"/>
        <v>-210000</v>
      </c>
      <c r="Q357" s="62">
        <f t="shared" si="258"/>
        <v>-210000</v>
      </c>
      <c r="R357" s="62">
        <f t="shared" si="259"/>
        <v>-210000</v>
      </c>
      <c r="S357" s="62">
        <f t="shared" si="260"/>
        <v>-210000</v>
      </c>
      <c r="T357" s="62">
        <f t="shared" si="261"/>
        <v>-210000</v>
      </c>
      <c r="U357" s="62">
        <f t="shared" si="262"/>
        <v>-210000</v>
      </c>
      <c r="V357" s="62">
        <f t="shared" si="263"/>
        <v>-210000</v>
      </c>
      <c r="W357" s="62">
        <f t="shared" si="264"/>
        <v>-210000</v>
      </c>
      <c r="X357" s="62">
        <f t="shared" si="265"/>
        <v>-210000</v>
      </c>
      <c r="Y357" s="62">
        <f t="shared" si="266"/>
        <v>-210000</v>
      </c>
      <c r="Z357" s="62">
        <f t="shared" si="267"/>
        <v>-210000</v>
      </c>
      <c r="AA357" s="62">
        <f t="shared" si="268"/>
        <v>-210000</v>
      </c>
      <c r="AB357" s="62">
        <f t="shared" si="269"/>
        <v>-210000</v>
      </c>
      <c r="AC357" s="62">
        <f t="shared" si="270"/>
        <v>-210000</v>
      </c>
    </row>
    <row r="358" spans="1:29" x14ac:dyDescent="0.25">
      <c r="A358" s="30" t="str">
        <f t="shared" si="242"/>
        <v>WACC</v>
      </c>
      <c r="B358" s="62">
        <f t="shared" si="243"/>
        <v>0.06</v>
      </c>
      <c r="C358" s="62">
        <f t="shared" si="244"/>
        <v>0.06</v>
      </c>
      <c r="D358" s="62">
        <f t="shared" si="245"/>
        <v>0.06</v>
      </c>
      <c r="E358" s="62">
        <f t="shared" si="246"/>
        <v>0.06</v>
      </c>
      <c r="F358" s="62">
        <f t="shared" si="247"/>
        <v>0.06</v>
      </c>
      <c r="G358" s="62">
        <f t="shared" si="248"/>
        <v>0.06</v>
      </c>
      <c r="H358" s="62">
        <f t="shared" si="249"/>
        <v>0.06</v>
      </c>
      <c r="I358" s="62">
        <f t="shared" si="250"/>
        <v>0.06</v>
      </c>
      <c r="J358" s="62">
        <f t="shared" si="251"/>
        <v>0.06</v>
      </c>
      <c r="K358" s="62">
        <f t="shared" si="252"/>
        <v>0.06</v>
      </c>
      <c r="L358" s="62">
        <f t="shared" si="253"/>
        <v>0.06</v>
      </c>
      <c r="M358" s="62">
        <f t="shared" si="254"/>
        <v>0.06</v>
      </c>
      <c r="N358" s="62">
        <f t="shared" si="255"/>
        <v>0.06</v>
      </c>
      <c r="O358" s="62">
        <f t="shared" si="256"/>
        <v>0.06</v>
      </c>
      <c r="P358" s="62">
        <f t="shared" si="257"/>
        <v>0.06</v>
      </c>
      <c r="Q358" s="62">
        <f t="shared" si="258"/>
        <v>0.06</v>
      </c>
      <c r="R358" s="62">
        <f t="shared" si="259"/>
        <v>0.06</v>
      </c>
      <c r="S358" s="62">
        <f t="shared" si="260"/>
        <v>0.06</v>
      </c>
      <c r="T358" s="62">
        <f t="shared" si="261"/>
        <v>0.06</v>
      </c>
      <c r="U358" s="62">
        <f t="shared" si="262"/>
        <v>0.06</v>
      </c>
      <c r="V358" s="62">
        <f t="shared" si="263"/>
        <v>0.06</v>
      </c>
      <c r="W358" s="62">
        <f t="shared" si="264"/>
        <v>0.06</v>
      </c>
      <c r="X358" s="62">
        <f t="shared" si="265"/>
        <v>0.06</v>
      </c>
      <c r="Y358" s="62">
        <f t="shared" si="266"/>
        <v>0.06</v>
      </c>
      <c r="Z358" s="62">
        <f t="shared" si="267"/>
        <v>0.06</v>
      </c>
      <c r="AA358" s="62">
        <f t="shared" si="268"/>
        <v>0.06</v>
      </c>
      <c r="AB358" s="62">
        <f t="shared" si="269"/>
        <v>0.06</v>
      </c>
      <c r="AC358" s="62">
        <f t="shared" si="270"/>
        <v>0.06</v>
      </c>
    </row>
    <row r="359" spans="1:29" x14ac:dyDescent="0.25">
      <c r="A359" s="30" t="str">
        <f t="shared" si="242"/>
        <v>Opex fix (admin, crew, insurance)</v>
      </c>
      <c r="B359" s="62">
        <f t="shared" si="243"/>
        <v>1450000</v>
      </c>
      <c r="C359" s="62">
        <f t="shared" si="244"/>
        <v>1450000</v>
      </c>
      <c r="D359" s="62">
        <f t="shared" si="245"/>
        <v>1450000</v>
      </c>
      <c r="E359" s="62">
        <f t="shared" si="246"/>
        <v>1450000</v>
      </c>
      <c r="F359" s="62">
        <f t="shared" si="247"/>
        <v>1450000</v>
      </c>
      <c r="G359" s="62">
        <f t="shared" si="248"/>
        <v>1450000</v>
      </c>
      <c r="H359" s="62">
        <f t="shared" si="249"/>
        <v>1450000</v>
      </c>
      <c r="I359" s="62">
        <f t="shared" si="250"/>
        <v>1450000</v>
      </c>
      <c r="J359" s="62">
        <f t="shared" si="251"/>
        <v>1450000</v>
      </c>
      <c r="K359" s="62">
        <f t="shared" si="252"/>
        <v>1450000</v>
      </c>
      <c r="L359" s="62">
        <f t="shared" si="253"/>
        <v>1450000</v>
      </c>
      <c r="M359" s="62">
        <f t="shared" si="254"/>
        <v>1450000</v>
      </c>
      <c r="N359" s="62">
        <f t="shared" si="255"/>
        <v>1450000</v>
      </c>
      <c r="O359" s="62">
        <f t="shared" si="256"/>
        <v>1450000</v>
      </c>
      <c r="P359" s="62">
        <f t="shared" si="257"/>
        <v>1450000</v>
      </c>
      <c r="Q359" s="62">
        <f t="shared" si="258"/>
        <v>1450000</v>
      </c>
      <c r="R359" s="62">
        <f t="shared" si="259"/>
        <v>1450000</v>
      </c>
      <c r="S359" s="62">
        <f t="shared" si="260"/>
        <v>1450000</v>
      </c>
      <c r="T359" s="62">
        <f t="shared" si="261"/>
        <v>1450000</v>
      </c>
      <c r="U359" s="62">
        <f t="shared" si="262"/>
        <v>1450000</v>
      </c>
      <c r="V359" s="62">
        <f t="shared" si="263"/>
        <v>1450000</v>
      </c>
      <c r="W359" s="62">
        <f t="shared" si="264"/>
        <v>1450000</v>
      </c>
      <c r="X359" s="62">
        <f t="shared" si="265"/>
        <v>1450000</v>
      </c>
      <c r="Y359" s="62">
        <f t="shared" si="266"/>
        <v>1450000</v>
      </c>
      <c r="Z359" s="62">
        <f t="shared" si="267"/>
        <v>1450000</v>
      </c>
      <c r="AA359" s="62">
        <f t="shared" si="268"/>
        <v>1450000</v>
      </c>
      <c r="AB359" s="62">
        <f t="shared" si="269"/>
        <v>1450000</v>
      </c>
      <c r="AC359" s="62">
        <f t="shared" si="270"/>
        <v>1450000</v>
      </c>
    </row>
    <row r="360" spans="1:29" x14ac:dyDescent="0.25">
      <c r="A360" s="30" t="str">
        <f t="shared" si="242"/>
        <v>Opex maintenance &amp; repair</v>
      </c>
      <c r="B360" s="62">
        <f t="shared" si="243"/>
        <v>1050000</v>
      </c>
      <c r="C360" s="62">
        <f t="shared" si="244"/>
        <v>1050000</v>
      </c>
      <c r="D360" s="62">
        <f t="shared" si="245"/>
        <v>1050000</v>
      </c>
      <c r="E360" s="62">
        <f t="shared" si="246"/>
        <v>1050000</v>
      </c>
      <c r="F360" s="62">
        <f t="shared" si="247"/>
        <v>1050000</v>
      </c>
      <c r="G360" s="62">
        <f t="shared" si="248"/>
        <v>1050000</v>
      </c>
      <c r="H360" s="62">
        <f t="shared" si="249"/>
        <v>1050000</v>
      </c>
      <c r="I360" s="62">
        <f t="shared" si="250"/>
        <v>1050000</v>
      </c>
      <c r="J360" s="62">
        <f t="shared" si="251"/>
        <v>1050000</v>
      </c>
      <c r="K360" s="62">
        <f t="shared" si="252"/>
        <v>1050000</v>
      </c>
      <c r="L360" s="62">
        <f t="shared" si="253"/>
        <v>1050000</v>
      </c>
      <c r="M360" s="62">
        <f t="shared" si="254"/>
        <v>1050000</v>
      </c>
      <c r="N360" s="62">
        <f t="shared" si="255"/>
        <v>1050000</v>
      </c>
      <c r="O360" s="62">
        <f t="shared" si="256"/>
        <v>1050000</v>
      </c>
      <c r="P360" s="62">
        <f t="shared" si="257"/>
        <v>1050000</v>
      </c>
      <c r="Q360" s="62">
        <f t="shared" si="258"/>
        <v>1050000</v>
      </c>
      <c r="R360" s="62">
        <f t="shared" si="259"/>
        <v>1050000</v>
      </c>
      <c r="S360" s="62">
        <f t="shared" si="260"/>
        <v>1050000</v>
      </c>
      <c r="T360" s="62">
        <f t="shared" si="261"/>
        <v>1050000</v>
      </c>
      <c r="U360" s="62">
        <f t="shared" si="262"/>
        <v>1050000</v>
      </c>
      <c r="V360" s="62">
        <f t="shared" si="263"/>
        <v>1050000</v>
      </c>
      <c r="W360" s="62">
        <f t="shared" si="264"/>
        <v>1050000</v>
      </c>
      <c r="X360" s="62">
        <f t="shared" si="265"/>
        <v>1050000</v>
      </c>
      <c r="Y360" s="62">
        <f t="shared" si="266"/>
        <v>1050000</v>
      </c>
      <c r="Z360" s="62">
        <f t="shared" si="267"/>
        <v>1050000</v>
      </c>
      <c r="AA360" s="62">
        <f t="shared" si="268"/>
        <v>1050000</v>
      </c>
      <c r="AB360" s="62">
        <f t="shared" si="269"/>
        <v>1050000</v>
      </c>
      <c r="AC360" s="62">
        <f t="shared" si="270"/>
        <v>1050000</v>
      </c>
    </row>
    <row r="361" spans="1:29" x14ac:dyDescent="0.25">
      <c r="A361" s="30" t="str">
        <f t="shared" si="242"/>
        <v>Opex var (mode-fees, shunting)</v>
      </c>
      <c r="B361" s="62">
        <f t="shared" si="243"/>
        <v>8.9635854341736696</v>
      </c>
      <c r="C361" s="62">
        <f t="shared" si="244"/>
        <v>8.9635854341736696</v>
      </c>
      <c r="D361" s="62">
        <f t="shared" si="245"/>
        <v>8.9635854341736696</v>
      </c>
      <c r="E361" s="62">
        <f t="shared" si="246"/>
        <v>8.9635854341736696</v>
      </c>
      <c r="F361" s="62">
        <f t="shared" si="247"/>
        <v>8.9635854341736696</v>
      </c>
      <c r="G361" s="62">
        <f t="shared" si="248"/>
        <v>8.9635854341736696</v>
      </c>
      <c r="H361" s="62">
        <f t="shared" si="249"/>
        <v>8.9635854341736696</v>
      </c>
      <c r="I361" s="62">
        <f t="shared" si="250"/>
        <v>8.9635854341736696</v>
      </c>
      <c r="J361" s="62">
        <f t="shared" si="251"/>
        <v>8.9635854341736696</v>
      </c>
      <c r="K361" s="62">
        <f t="shared" si="252"/>
        <v>8.9635854341736696</v>
      </c>
      <c r="L361" s="62">
        <f t="shared" si="253"/>
        <v>8.9635854341736696</v>
      </c>
      <c r="M361" s="62">
        <f t="shared" si="254"/>
        <v>8.9635854341736696</v>
      </c>
      <c r="N361" s="62">
        <f t="shared" si="255"/>
        <v>8.9635854341736696</v>
      </c>
      <c r="O361" s="62">
        <f t="shared" si="256"/>
        <v>8.9635854341736696</v>
      </c>
      <c r="P361" s="62">
        <f t="shared" si="257"/>
        <v>8.9635854341736696</v>
      </c>
      <c r="Q361" s="62">
        <f t="shared" si="258"/>
        <v>8.9635854341736696</v>
      </c>
      <c r="R361" s="62">
        <f t="shared" si="259"/>
        <v>8.9635854341736696</v>
      </c>
      <c r="S361" s="62">
        <f t="shared" si="260"/>
        <v>8.9635854341736696</v>
      </c>
      <c r="T361" s="62">
        <f t="shared" si="261"/>
        <v>8.9635854341736696</v>
      </c>
      <c r="U361" s="62">
        <f t="shared" si="262"/>
        <v>8.9635854341736696</v>
      </c>
      <c r="V361" s="62">
        <f t="shared" si="263"/>
        <v>8.9635854341736696</v>
      </c>
      <c r="W361" s="62">
        <f t="shared" si="264"/>
        <v>8.9635854341736696</v>
      </c>
      <c r="X361" s="62">
        <f t="shared" si="265"/>
        <v>8.9635854341736696</v>
      </c>
      <c r="Y361" s="62">
        <f t="shared" si="266"/>
        <v>8.9635854341736696</v>
      </c>
      <c r="Z361" s="62">
        <f t="shared" si="267"/>
        <v>8.9635854341736696</v>
      </c>
      <c r="AA361" s="62">
        <f t="shared" si="268"/>
        <v>8.9635854341736696</v>
      </c>
      <c r="AB361" s="62">
        <f t="shared" si="269"/>
        <v>8.9635854341736696</v>
      </c>
      <c r="AC361" s="62">
        <f t="shared" si="270"/>
        <v>8.9635854341736696</v>
      </c>
    </row>
    <row r="362" spans="1:29" x14ac:dyDescent="0.25">
      <c r="A362" s="30" t="str">
        <f t="shared" si="242"/>
        <v>Fuel Economy</v>
      </c>
      <c r="B362" s="62">
        <f t="shared" si="243"/>
        <v>76.777599999999993</v>
      </c>
      <c r="C362" s="62">
        <f t="shared" si="244"/>
        <v>76.777599999999993</v>
      </c>
      <c r="D362" s="62">
        <f t="shared" si="245"/>
        <v>76.777599999999993</v>
      </c>
      <c r="E362" s="62">
        <f t="shared" si="246"/>
        <v>76.777599999999993</v>
      </c>
      <c r="F362" s="62">
        <f t="shared" si="247"/>
        <v>76.777599999999993</v>
      </c>
      <c r="G362" s="62">
        <f t="shared" si="248"/>
        <v>76.777599999999993</v>
      </c>
      <c r="H362" s="62">
        <f t="shared" si="249"/>
        <v>76.777599999999993</v>
      </c>
      <c r="I362" s="62">
        <f t="shared" si="250"/>
        <v>76.777599999999993</v>
      </c>
      <c r="J362" s="62">
        <f t="shared" si="251"/>
        <v>76.777599999999993</v>
      </c>
      <c r="K362" s="62">
        <f t="shared" si="252"/>
        <v>76.777599999999993</v>
      </c>
      <c r="L362" s="62">
        <f t="shared" si="253"/>
        <v>76.777599999999993</v>
      </c>
      <c r="M362" s="62">
        <f t="shared" si="254"/>
        <v>76.777599999999993</v>
      </c>
      <c r="N362" s="62">
        <f t="shared" si="255"/>
        <v>76.777599999999993</v>
      </c>
      <c r="O362" s="62">
        <f t="shared" si="256"/>
        <v>76.777599999999993</v>
      </c>
      <c r="P362" s="62">
        <f t="shared" si="257"/>
        <v>76.777599999999993</v>
      </c>
      <c r="Q362" s="62">
        <f t="shared" si="258"/>
        <v>76.777599999999993</v>
      </c>
      <c r="R362" s="62">
        <f t="shared" si="259"/>
        <v>76.777599999999993</v>
      </c>
      <c r="S362" s="62">
        <f t="shared" si="260"/>
        <v>76.777599999999993</v>
      </c>
      <c r="T362" s="62">
        <f t="shared" si="261"/>
        <v>76.777599999999993</v>
      </c>
      <c r="U362" s="62">
        <f t="shared" si="262"/>
        <v>76.777599999999993</v>
      </c>
      <c r="V362" s="62">
        <f t="shared" si="263"/>
        <v>76.777599999999993</v>
      </c>
      <c r="W362" s="62">
        <f t="shared" si="264"/>
        <v>76.777599999999993</v>
      </c>
      <c r="X362" s="62">
        <f t="shared" si="265"/>
        <v>76.777599999999993</v>
      </c>
      <c r="Y362" s="62">
        <f t="shared" si="266"/>
        <v>76.777599999999993</v>
      </c>
      <c r="Z362" s="62">
        <f t="shared" si="267"/>
        <v>76.777599999999993</v>
      </c>
      <c r="AA362" s="62">
        <f t="shared" si="268"/>
        <v>76.777599999999993</v>
      </c>
      <c r="AB362" s="62">
        <f t="shared" si="269"/>
        <v>76.777599999999993</v>
      </c>
      <c r="AC362" s="62">
        <f t="shared" si="270"/>
        <v>76.777599999999993</v>
      </c>
    </row>
    <row r="363" spans="1:29" x14ac:dyDescent="0.25">
      <c r="A363" s="30" t="str">
        <f t="shared" si="242"/>
        <v>Fuel Cost</v>
      </c>
      <c r="B363" s="62">
        <f t="shared" si="243"/>
        <v>0.1</v>
      </c>
      <c r="C363" s="62">
        <f t="shared" si="244"/>
        <v>0.1</v>
      </c>
      <c r="D363" s="62">
        <f t="shared" si="245"/>
        <v>0.1</v>
      </c>
      <c r="E363" s="62">
        <f t="shared" si="246"/>
        <v>0.1</v>
      </c>
      <c r="F363" s="62">
        <f t="shared" si="247"/>
        <v>0.1</v>
      </c>
      <c r="G363" s="62">
        <f t="shared" si="248"/>
        <v>0.1</v>
      </c>
      <c r="H363" s="62">
        <f t="shared" si="249"/>
        <v>0.1</v>
      </c>
      <c r="I363" s="62">
        <f t="shared" si="250"/>
        <v>0.1</v>
      </c>
      <c r="J363" s="62">
        <f t="shared" si="251"/>
        <v>0.1</v>
      </c>
      <c r="K363" s="62">
        <f t="shared" si="252"/>
        <v>0.1</v>
      </c>
      <c r="L363" s="62">
        <f t="shared" si="253"/>
        <v>0.1</v>
      </c>
      <c r="M363" s="62">
        <f t="shared" si="254"/>
        <v>0.1</v>
      </c>
      <c r="N363" s="62">
        <f t="shared" si="255"/>
        <v>0.1</v>
      </c>
      <c r="O363" s="62">
        <f t="shared" si="256"/>
        <v>0.1</v>
      </c>
      <c r="P363" s="62">
        <f t="shared" si="257"/>
        <v>0.1</v>
      </c>
      <c r="Q363" s="62">
        <f t="shared" si="258"/>
        <v>0.1</v>
      </c>
      <c r="R363" s="62">
        <f t="shared" si="259"/>
        <v>0.1</v>
      </c>
      <c r="S363" s="62">
        <f t="shared" si="260"/>
        <v>0.1</v>
      </c>
      <c r="T363" s="62">
        <f t="shared" si="261"/>
        <v>0.1</v>
      </c>
      <c r="U363" s="62">
        <f t="shared" si="262"/>
        <v>0.1</v>
      </c>
      <c r="V363" s="62">
        <f t="shared" si="263"/>
        <v>0.1</v>
      </c>
      <c r="W363" s="62">
        <f t="shared" si="264"/>
        <v>0.1</v>
      </c>
      <c r="X363" s="62">
        <f t="shared" si="265"/>
        <v>0.1</v>
      </c>
      <c r="Y363" s="62">
        <f t="shared" si="266"/>
        <v>0.1</v>
      </c>
      <c r="Z363" s="62">
        <f t="shared" si="267"/>
        <v>0.1</v>
      </c>
      <c r="AA363" s="62">
        <f t="shared" si="268"/>
        <v>0.1</v>
      </c>
      <c r="AB363" s="62">
        <f t="shared" si="269"/>
        <v>0.1</v>
      </c>
      <c r="AC363" s="62">
        <f t="shared" si="270"/>
        <v>0.1</v>
      </c>
    </row>
    <row r="364" spans="1:29" x14ac:dyDescent="0.25">
      <c r="A364" s="30" t="str">
        <f t="shared" si="242"/>
        <v>Emission Cost</v>
      </c>
      <c r="B364" s="66">
        <f>$B344+($C344-$B344)*(1-Q344)</f>
        <v>2.0582113582797463</v>
      </c>
      <c r="C364" s="66">
        <f t="shared" ref="C364:AC364" si="271">$B344+($C344-$B344)*(1-R344)</f>
        <v>2.0630736964968874</v>
      </c>
      <c r="D364" s="66">
        <f t="shared" si="271"/>
        <v>2.0700340253548735</v>
      </c>
      <c r="E364" s="66">
        <f t="shared" si="271"/>
        <v>2.0799912652584287</v>
      </c>
      <c r="F364" s="66">
        <f t="shared" si="271"/>
        <v>2.0942223582546799</v>
      </c>
      <c r="G364" s="66">
        <f t="shared" si="271"/>
        <v>2.1145332034270625</v>
      </c>
      <c r="H364" s="66">
        <f t="shared" si="271"/>
        <v>2.1434608297482804</v>
      </c>
      <c r="I364" s="66">
        <f t="shared" si="271"/>
        <v>2.1845339122974496</v>
      </c>
      <c r="J364" s="66">
        <f t="shared" si="271"/>
        <v>2.2425867676094651</v>
      </c>
      <c r="K364" s="66">
        <f t="shared" si="271"/>
        <v>2.3240919291072673</v>
      </c>
      <c r="L364" s="66">
        <f t="shared" si="271"/>
        <v>2.4374136908790356</v>
      </c>
      <c r="M364" s="66">
        <f t="shared" si="271"/>
        <v>2.5927735868925894</v>
      </c>
      <c r="N364" s="66">
        <f t="shared" si="271"/>
        <v>2.8015606394413943</v>
      </c>
      <c r="O364" s="66">
        <f t="shared" si="271"/>
        <v>3.0744856518148742</v>
      </c>
      <c r="P364" s="66">
        <f t="shared" si="271"/>
        <v>3.4181885745847813</v>
      </c>
      <c r="Q364" s="66">
        <f t="shared" si="271"/>
        <v>3.8306222159147274</v>
      </c>
      <c r="R364" s="66">
        <f t="shared" si="271"/>
        <v>4.2969913115595899</v>
      </c>
      <c r="S364" s="66">
        <f t="shared" si="271"/>
        <v>4.7893352523676196</v>
      </c>
      <c r="T364" s="66">
        <f t="shared" si="271"/>
        <v>5.2719907853240588</v>
      </c>
      <c r="U364" s="66">
        <f t="shared" si="271"/>
        <v>5.7113620517407639</v>
      </c>
      <c r="V364" s="66">
        <f t="shared" si="271"/>
        <v>6.0847650605234298</v>
      </c>
      <c r="W364" s="66">
        <f t="shared" si="271"/>
        <v>6.383793997868306</v>
      </c>
      <c r="X364" s="66">
        <f t="shared" si="271"/>
        <v>6.6119663489137848</v>
      </c>
      <c r="Y364" s="66">
        <f t="shared" si="271"/>
        <v>6.7796913263812186</v>
      </c>
      <c r="Z364" s="66">
        <f t="shared" si="271"/>
        <v>6.8996122588494808</v>
      </c>
      <c r="AA364" s="66">
        <f t="shared" si="271"/>
        <v>6.9836591226283362</v>
      </c>
      <c r="AB364" s="66">
        <f t="shared" si="271"/>
        <v>7.0417406714234989</v>
      </c>
      <c r="AC364" s="66">
        <f t="shared" si="271"/>
        <v>7.0814887695786215</v>
      </c>
    </row>
    <row r="365" spans="1:29" x14ac:dyDescent="0.25">
      <c r="A365" s="30" t="str">
        <f t="shared" si="242"/>
        <v>Lifetime vehicle</v>
      </c>
      <c r="B365" s="62">
        <f>$B345+($C345-$B345)*(1-Q345)</f>
        <v>20</v>
      </c>
      <c r="C365" s="62">
        <f t="shared" ref="C365:L367" si="272">$B345+($C345-$B345)*(1-R345)</f>
        <v>20</v>
      </c>
      <c r="D365" s="62">
        <f t="shared" si="272"/>
        <v>20</v>
      </c>
      <c r="E365" s="62">
        <f t="shared" si="272"/>
        <v>20</v>
      </c>
      <c r="F365" s="62">
        <f t="shared" si="272"/>
        <v>20</v>
      </c>
      <c r="G365" s="62">
        <f t="shared" si="272"/>
        <v>20</v>
      </c>
      <c r="H365" s="62">
        <f t="shared" si="272"/>
        <v>20</v>
      </c>
      <c r="I365" s="62">
        <f t="shared" si="272"/>
        <v>20</v>
      </c>
      <c r="J365" s="62">
        <f t="shared" si="272"/>
        <v>20</v>
      </c>
      <c r="K365" s="62">
        <f t="shared" si="272"/>
        <v>20</v>
      </c>
      <c r="L365" s="62">
        <f t="shared" si="272"/>
        <v>20</v>
      </c>
      <c r="M365" s="62">
        <f t="shared" ref="M365:V367" si="273">$B345+($C345-$B345)*(1-AB345)</f>
        <v>20</v>
      </c>
      <c r="N365" s="62">
        <f t="shared" si="273"/>
        <v>20</v>
      </c>
      <c r="O365" s="62">
        <f t="shared" si="273"/>
        <v>20</v>
      </c>
      <c r="P365" s="62">
        <f t="shared" si="273"/>
        <v>20</v>
      </c>
      <c r="Q365" s="62">
        <f t="shared" si="273"/>
        <v>20</v>
      </c>
      <c r="R365" s="62">
        <f t="shared" si="273"/>
        <v>20</v>
      </c>
      <c r="S365" s="62">
        <f t="shared" si="273"/>
        <v>20</v>
      </c>
      <c r="T365" s="62">
        <f t="shared" si="273"/>
        <v>20</v>
      </c>
      <c r="U365" s="62">
        <f t="shared" si="273"/>
        <v>20</v>
      </c>
      <c r="V365" s="62">
        <f t="shared" si="273"/>
        <v>20</v>
      </c>
      <c r="W365" s="62">
        <f t="shared" ref="W365:AC367" si="274">$B345+($C345-$B345)*(1-AL345)</f>
        <v>20</v>
      </c>
      <c r="X365" s="62">
        <f t="shared" si="274"/>
        <v>20</v>
      </c>
      <c r="Y365" s="62">
        <f t="shared" si="274"/>
        <v>20</v>
      </c>
      <c r="Z365" s="62">
        <f t="shared" si="274"/>
        <v>20</v>
      </c>
      <c r="AA365" s="62">
        <f t="shared" si="274"/>
        <v>20</v>
      </c>
      <c r="AB365" s="62">
        <f t="shared" si="274"/>
        <v>20</v>
      </c>
      <c r="AC365" s="62">
        <f t="shared" si="274"/>
        <v>20</v>
      </c>
    </row>
    <row r="366" spans="1:29" x14ac:dyDescent="0.25">
      <c r="A366" s="30" t="str">
        <f t="shared" si="242"/>
        <v>Lifetime costumization</v>
      </c>
      <c r="B366" s="62">
        <f>$B346+($C346-$B346)*(1-Q346)</f>
        <v>30</v>
      </c>
      <c r="C366" s="62">
        <f t="shared" si="272"/>
        <v>30</v>
      </c>
      <c r="D366" s="62">
        <f t="shared" si="272"/>
        <v>30</v>
      </c>
      <c r="E366" s="62">
        <f t="shared" si="272"/>
        <v>30</v>
      </c>
      <c r="F366" s="62">
        <f t="shared" si="272"/>
        <v>30</v>
      </c>
      <c r="G366" s="62">
        <f t="shared" si="272"/>
        <v>30</v>
      </c>
      <c r="H366" s="62">
        <f t="shared" si="272"/>
        <v>30</v>
      </c>
      <c r="I366" s="62">
        <f t="shared" si="272"/>
        <v>30</v>
      </c>
      <c r="J366" s="62">
        <f t="shared" si="272"/>
        <v>30</v>
      </c>
      <c r="K366" s="62">
        <f t="shared" si="272"/>
        <v>30</v>
      </c>
      <c r="L366" s="62">
        <f t="shared" si="272"/>
        <v>30</v>
      </c>
      <c r="M366" s="62">
        <f t="shared" si="273"/>
        <v>30</v>
      </c>
      <c r="N366" s="62">
        <f t="shared" si="273"/>
        <v>30</v>
      </c>
      <c r="O366" s="62">
        <f t="shared" si="273"/>
        <v>30</v>
      </c>
      <c r="P366" s="62">
        <f t="shared" si="273"/>
        <v>30</v>
      </c>
      <c r="Q366" s="62">
        <f t="shared" si="273"/>
        <v>30</v>
      </c>
      <c r="R366" s="62">
        <f t="shared" si="273"/>
        <v>30</v>
      </c>
      <c r="S366" s="62">
        <f t="shared" si="273"/>
        <v>30</v>
      </c>
      <c r="T366" s="62">
        <f t="shared" si="273"/>
        <v>30</v>
      </c>
      <c r="U366" s="62">
        <f t="shared" si="273"/>
        <v>30</v>
      </c>
      <c r="V366" s="62">
        <f t="shared" si="273"/>
        <v>30</v>
      </c>
      <c r="W366" s="62">
        <f t="shared" si="274"/>
        <v>30</v>
      </c>
      <c r="X366" s="62">
        <f t="shared" si="274"/>
        <v>30</v>
      </c>
      <c r="Y366" s="62">
        <f t="shared" si="274"/>
        <v>30</v>
      </c>
      <c r="Z366" s="62">
        <f t="shared" si="274"/>
        <v>30</v>
      </c>
      <c r="AA366" s="62">
        <f t="shared" si="274"/>
        <v>30</v>
      </c>
      <c r="AB366" s="62">
        <f t="shared" si="274"/>
        <v>30</v>
      </c>
      <c r="AC366" s="62">
        <f t="shared" si="274"/>
        <v>30</v>
      </c>
    </row>
    <row r="367" spans="1:29" x14ac:dyDescent="0.25">
      <c r="A367" s="30" t="str">
        <f t="shared" si="242"/>
        <v>Tonnage .</v>
      </c>
      <c r="B367" s="62">
        <f>$B347+($C347-$B347)*(1-Q347)</f>
        <v>2240</v>
      </c>
      <c r="C367" s="62">
        <f t="shared" si="272"/>
        <v>2240</v>
      </c>
      <c r="D367" s="62">
        <f t="shared" si="272"/>
        <v>2240</v>
      </c>
      <c r="E367" s="62">
        <f t="shared" si="272"/>
        <v>2240</v>
      </c>
      <c r="F367" s="62">
        <f t="shared" si="272"/>
        <v>2240</v>
      </c>
      <c r="G367" s="62">
        <f t="shared" si="272"/>
        <v>2240</v>
      </c>
      <c r="H367" s="62">
        <f t="shared" si="272"/>
        <v>2240</v>
      </c>
      <c r="I367" s="62">
        <f t="shared" si="272"/>
        <v>2240</v>
      </c>
      <c r="J367" s="62">
        <f t="shared" si="272"/>
        <v>2240</v>
      </c>
      <c r="K367" s="62">
        <f t="shared" si="272"/>
        <v>2240</v>
      </c>
      <c r="L367" s="62">
        <f t="shared" si="272"/>
        <v>2240</v>
      </c>
      <c r="M367" s="62">
        <f t="shared" si="273"/>
        <v>2240</v>
      </c>
      <c r="N367" s="62">
        <f t="shared" si="273"/>
        <v>2240</v>
      </c>
      <c r="O367" s="62">
        <f t="shared" si="273"/>
        <v>2240</v>
      </c>
      <c r="P367" s="62">
        <f t="shared" si="273"/>
        <v>2240</v>
      </c>
      <c r="Q367" s="62">
        <f t="shared" si="273"/>
        <v>2240</v>
      </c>
      <c r="R367" s="62">
        <f t="shared" si="273"/>
        <v>2240</v>
      </c>
      <c r="S367" s="62">
        <f t="shared" si="273"/>
        <v>2240</v>
      </c>
      <c r="T367" s="62">
        <f t="shared" si="273"/>
        <v>2240</v>
      </c>
      <c r="U367" s="62">
        <f t="shared" si="273"/>
        <v>2240</v>
      </c>
      <c r="V367" s="62">
        <f t="shared" si="273"/>
        <v>2240</v>
      </c>
      <c r="W367" s="62">
        <f t="shared" si="274"/>
        <v>2240</v>
      </c>
      <c r="X367" s="62">
        <f t="shared" si="274"/>
        <v>2240</v>
      </c>
      <c r="Y367" s="62">
        <f t="shared" si="274"/>
        <v>2240</v>
      </c>
      <c r="Z367" s="62">
        <f t="shared" si="274"/>
        <v>2240</v>
      </c>
      <c r="AA367" s="62">
        <f t="shared" si="274"/>
        <v>2240</v>
      </c>
      <c r="AB367" s="62">
        <f t="shared" si="274"/>
        <v>2240</v>
      </c>
      <c r="AC367" s="62">
        <f t="shared" si="274"/>
        <v>2240</v>
      </c>
    </row>
    <row r="368" spans="1:29" x14ac:dyDescent="0.25">
      <c r="A368" s="30" t="str">
        <f t="shared" si="242"/>
        <v>Market failure (av. utilization)</v>
      </c>
      <c r="B368" s="62">
        <f t="shared" ref="B368:K369" si="275">($B348+($C348-$B348)*(1-Q348))*B$44</f>
        <v>1612.8000000000002</v>
      </c>
      <c r="C368" s="62">
        <f t="shared" si="275"/>
        <v>1612.8000000000002</v>
      </c>
      <c r="D368" s="62">
        <f t="shared" si="275"/>
        <v>1612.8000000000002</v>
      </c>
      <c r="E368" s="62">
        <f t="shared" si="275"/>
        <v>1612.8000000000002</v>
      </c>
      <c r="F368" s="62">
        <f t="shared" si="275"/>
        <v>1612.8000000000002</v>
      </c>
      <c r="G368" s="62">
        <f t="shared" si="275"/>
        <v>1612.8000000000002</v>
      </c>
      <c r="H368" s="62">
        <f t="shared" si="275"/>
        <v>1612.8000000000002</v>
      </c>
      <c r="I368" s="62">
        <f t="shared" si="275"/>
        <v>1612.8000000000002</v>
      </c>
      <c r="J368" s="62">
        <f t="shared" si="275"/>
        <v>1612.8000000000002</v>
      </c>
      <c r="K368" s="62">
        <f t="shared" si="275"/>
        <v>1612.8000000000002</v>
      </c>
      <c r="L368" s="62">
        <f t="shared" ref="L368:U369" si="276">($B348+($C348-$B348)*(1-AA348))*L$44</f>
        <v>1612.8000000000002</v>
      </c>
      <c r="M368" s="62">
        <f t="shared" si="276"/>
        <v>1612.8000000000002</v>
      </c>
      <c r="N368" s="62">
        <f t="shared" si="276"/>
        <v>1612.8000000000002</v>
      </c>
      <c r="O368" s="62">
        <f t="shared" si="276"/>
        <v>1612.8000000000002</v>
      </c>
      <c r="P368" s="62">
        <f t="shared" si="276"/>
        <v>1612.8000000000002</v>
      </c>
      <c r="Q368" s="62">
        <f t="shared" si="276"/>
        <v>1612.8000000000002</v>
      </c>
      <c r="R368" s="62">
        <f t="shared" si="276"/>
        <v>1612.8000000000002</v>
      </c>
      <c r="S368" s="62">
        <f t="shared" si="276"/>
        <v>1612.8000000000002</v>
      </c>
      <c r="T368" s="62">
        <f t="shared" si="276"/>
        <v>1612.8000000000002</v>
      </c>
      <c r="U368" s="62">
        <f t="shared" si="276"/>
        <v>1612.8000000000002</v>
      </c>
      <c r="V368" s="62">
        <f t="shared" ref="V368:AC369" si="277">($B348+($C348-$B348)*(1-AK348))*V$44</f>
        <v>1612.8000000000002</v>
      </c>
      <c r="W368" s="62">
        <f t="shared" si="277"/>
        <v>1612.8000000000002</v>
      </c>
      <c r="X368" s="62">
        <f t="shared" si="277"/>
        <v>1612.8000000000002</v>
      </c>
      <c r="Y368" s="62">
        <f t="shared" si="277"/>
        <v>1612.8000000000002</v>
      </c>
      <c r="Z368" s="62">
        <f t="shared" si="277"/>
        <v>1612.8000000000002</v>
      </c>
      <c r="AA368" s="62">
        <f t="shared" si="277"/>
        <v>1612.8000000000002</v>
      </c>
      <c r="AB368" s="62">
        <f t="shared" si="277"/>
        <v>1612.8000000000002</v>
      </c>
      <c r="AC368" s="62">
        <f t="shared" si="277"/>
        <v>1612.8000000000002</v>
      </c>
    </row>
    <row r="369" spans="1:29" x14ac:dyDescent="0.25">
      <c r="A369" s="30" t="s">
        <v>73</v>
      </c>
      <c r="B369" s="62">
        <f t="shared" si="275"/>
        <v>0</v>
      </c>
      <c r="C369" s="62">
        <f t="shared" si="275"/>
        <v>0</v>
      </c>
      <c r="D369" s="62">
        <f t="shared" si="275"/>
        <v>0</v>
      </c>
      <c r="E369" s="62">
        <f t="shared" si="275"/>
        <v>0</v>
      </c>
      <c r="F369" s="62">
        <f t="shared" si="275"/>
        <v>0</v>
      </c>
      <c r="G369" s="62">
        <f t="shared" si="275"/>
        <v>0</v>
      </c>
      <c r="H369" s="62">
        <f t="shared" si="275"/>
        <v>0</v>
      </c>
      <c r="I369" s="62">
        <f t="shared" si="275"/>
        <v>0</v>
      </c>
      <c r="J369" s="62">
        <f t="shared" si="275"/>
        <v>0</v>
      </c>
      <c r="K369" s="62">
        <f t="shared" si="275"/>
        <v>0</v>
      </c>
      <c r="L369" s="62">
        <f t="shared" si="276"/>
        <v>0</v>
      </c>
      <c r="M369" s="62">
        <f t="shared" si="276"/>
        <v>0</v>
      </c>
      <c r="N369" s="62">
        <f t="shared" si="276"/>
        <v>0</v>
      </c>
      <c r="O369" s="62">
        <f t="shared" si="276"/>
        <v>0</v>
      </c>
      <c r="P369" s="62">
        <f t="shared" si="276"/>
        <v>0</v>
      </c>
      <c r="Q369" s="62">
        <f t="shared" si="276"/>
        <v>0</v>
      </c>
      <c r="R369" s="62">
        <f t="shared" si="276"/>
        <v>0</v>
      </c>
      <c r="S369" s="62">
        <f t="shared" si="276"/>
        <v>0</v>
      </c>
      <c r="T369" s="62">
        <f t="shared" si="276"/>
        <v>0</v>
      </c>
      <c r="U369" s="62">
        <f t="shared" si="276"/>
        <v>0</v>
      </c>
      <c r="V369" s="62">
        <f t="shared" si="277"/>
        <v>0</v>
      </c>
      <c r="W369" s="62">
        <f t="shared" si="277"/>
        <v>0</v>
      </c>
      <c r="X369" s="62">
        <f t="shared" si="277"/>
        <v>0</v>
      </c>
      <c r="Y369" s="62">
        <f t="shared" si="277"/>
        <v>0</v>
      </c>
      <c r="Z369" s="62">
        <f t="shared" si="277"/>
        <v>0</v>
      </c>
      <c r="AA369" s="62">
        <f t="shared" si="277"/>
        <v>0</v>
      </c>
      <c r="AB369" s="62">
        <f t="shared" si="277"/>
        <v>0</v>
      </c>
      <c r="AC369" s="62">
        <f t="shared" si="277"/>
        <v>0</v>
      </c>
    </row>
    <row r="370" spans="1:29" x14ac:dyDescent="0.25">
      <c r="A370" s="30" t="str">
        <f>A350</f>
        <v>Annual Mileage</v>
      </c>
      <c r="B370" s="62">
        <f t="shared" ref="B370:AC370" si="278">$B350+($C350-$B350)*(1-Q350)</f>
        <v>178500</v>
      </c>
      <c r="C370" s="62">
        <f t="shared" si="278"/>
        <v>178500</v>
      </c>
      <c r="D370" s="62">
        <f t="shared" si="278"/>
        <v>178500</v>
      </c>
      <c r="E370" s="62">
        <f t="shared" si="278"/>
        <v>178500</v>
      </c>
      <c r="F370" s="62">
        <f t="shared" si="278"/>
        <v>178500</v>
      </c>
      <c r="G370" s="62">
        <f t="shared" si="278"/>
        <v>178500</v>
      </c>
      <c r="H370" s="62">
        <f t="shared" si="278"/>
        <v>178500</v>
      </c>
      <c r="I370" s="62">
        <f t="shared" si="278"/>
        <v>178500</v>
      </c>
      <c r="J370" s="62">
        <f t="shared" si="278"/>
        <v>178500</v>
      </c>
      <c r="K370" s="62">
        <f t="shared" si="278"/>
        <v>178500</v>
      </c>
      <c r="L370" s="62">
        <f t="shared" si="278"/>
        <v>178500</v>
      </c>
      <c r="M370" s="62">
        <f t="shared" si="278"/>
        <v>178500</v>
      </c>
      <c r="N370" s="62">
        <f t="shared" si="278"/>
        <v>178500</v>
      </c>
      <c r="O370" s="62">
        <f t="shared" si="278"/>
        <v>178500</v>
      </c>
      <c r="P370" s="62">
        <f t="shared" si="278"/>
        <v>178500</v>
      </c>
      <c r="Q370" s="62">
        <f t="shared" si="278"/>
        <v>178500</v>
      </c>
      <c r="R370" s="62">
        <f t="shared" si="278"/>
        <v>178500</v>
      </c>
      <c r="S370" s="62">
        <f t="shared" si="278"/>
        <v>178500</v>
      </c>
      <c r="T370" s="62">
        <f t="shared" si="278"/>
        <v>178500</v>
      </c>
      <c r="U370" s="62">
        <f t="shared" si="278"/>
        <v>178500</v>
      </c>
      <c r="V370" s="62">
        <f t="shared" si="278"/>
        <v>178500</v>
      </c>
      <c r="W370" s="62">
        <f t="shared" si="278"/>
        <v>178500</v>
      </c>
      <c r="X370" s="62">
        <f t="shared" si="278"/>
        <v>178500</v>
      </c>
      <c r="Y370" s="62">
        <f t="shared" si="278"/>
        <v>178500</v>
      </c>
      <c r="Z370" s="62">
        <f t="shared" si="278"/>
        <v>178500</v>
      </c>
      <c r="AA370" s="62">
        <f t="shared" si="278"/>
        <v>178500</v>
      </c>
      <c r="AB370" s="62">
        <f t="shared" si="278"/>
        <v>178500</v>
      </c>
      <c r="AC370" s="62">
        <f t="shared" si="278"/>
        <v>178500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305145.94941897993</v>
      </c>
      <c r="C373" s="63">
        <f t="shared" ref="C373:AC373" si="279">((1+C358)^C365)*C358/(((1+C358)^C365)-1)*(C354)</f>
        <v>305145.94941897993</v>
      </c>
      <c r="D373" s="63">
        <f t="shared" si="279"/>
        <v>305145.94941897993</v>
      </c>
      <c r="E373" s="63">
        <f t="shared" si="279"/>
        <v>305145.94941897993</v>
      </c>
      <c r="F373" s="63">
        <f t="shared" si="279"/>
        <v>305145.94941897993</v>
      </c>
      <c r="G373" s="63">
        <f t="shared" si="279"/>
        <v>305145.94941897993</v>
      </c>
      <c r="H373" s="63">
        <f t="shared" si="279"/>
        <v>305145.94941897993</v>
      </c>
      <c r="I373" s="63">
        <f t="shared" si="279"/>
        <v>305145.94941897993</v>
      </c>
      <c r="J373" s="63">
        <f t="shared" si="279"/>
        <v>305145.94941897993</v>
      </c>
      <c r="K373" s="63">
        <f t="shared" si="279"/>
        <v>305145.94941897993</v>
      </c>
      <c r="L373" s="63">
        <f t="shared" si="279"/>
        <v>305145.94941897993</v>
      </c>
      <c r="M373" s="63">
        <f t="shared" si="279"/>
        <v>305145.94941897993</v>
      </c>
      <c r="N373" s="63">
        <f t="shared" si="279"/>
        <v>305145.94941897993</v>
      </c>
      <c r="O373" s="63">
        <f t="shared" si="279"/>
        <v>305145.94941897993</v>
      </c>
      <c r="P373" s="63">
        <f t="shared" si="279"/>
        <v>305145.94941897993</v>
      </c>
      <c r="Q373" s="63">
        <f t="shared" si="279"/>
        <v>305145.94941897993</v>
      </c>
      <c r="R373" s="63">
        <f t="shared" si="279"/>
        <v>305145.94941897993</v>
      </c>
      <c r="S373" s="63">
        <f t="shared" si="279"/>
        <v>305145.94941897993</v>
      </c>
      <c r="T373" s="63">
        <f t="shared" si="279"/>
        <v>305145.94941897993</v>
      </c>
      <c r="U373" s="63">
        <f t="shared" si="279"/>
        <v>305145.94941897993</v>
      </c>
      <c r="V373" s="63">
        <f t="shared" si="279"/>
        <v>305145.94941897993</v>
      </c>
      <c r="W373" s="63">
        <f t="shared" si="279"/>
        <v>305145.94941897993</v>
      </c>
      <c r="X373" s="63">
        <f t="shared" si="279"/>
        <v>305145.94941897993</v>
      </c>
      <c r="Y373" s="63">
        <f t="shared" si="279"/>
        <v>305145.94941897993</v>
      </c>
      <c r="Z373" s="63">
        <f t="shared" si="279"/>
        <v>305145.94941897993</v>
      </c>
      <c r="AA373" s="63">
        <f t="shared" si="279"/>
        <v>305145.94941897993</v>
      </c>
      <c r="AB373" s="63">
        <f t="shared" si="279"/>
        <v>305145.94941897993</v>
      </c>
      <c r="AC373" s="63">
        <f t="shared" si="279"/>
        <v>305145.94941897993</v>
      </c>
    </row>
    <row r="374" spans="1:29" x14ac:dyDescent="0.25">
      <c r="A374" s="30" t="str">
        <f>A355</f>
        <v>Residual value (vehicle)</v>
      </c>
      <c r="B374" s="62">
        <f>((1+B358)^B365)*B358/(((1+B358)^B365)-1)*(B355)</f>
        <v>-45369.034506436277</v>
      </c>
      <c r="C374" s="62">
        <f t="shared" ref="C374:AC374" si="280">((1+C358)^C365)*C358/(((1+C358)^C365)-1)*(C355)</f>
        <v>-45196.542704314146</v>
      </c>
      <c r="D374" s="62">
        <f t="shared" si="280"/>
        <v>-44951.629072308999</v>
      </c>
      <c r="E374" s="62">
        <f t="shared" si="280"/>
        <v>-44605.467188167124</v>
      </c>
      <c r="F374" s="62">
        <f t="shared" si="280"/>
        <v>-44119.462148109647</v>
      </c>
      <c r="G374" s="62">
        <f t="shared" si="280"/>
        <v>-43443.738717137028</v>
      </c>
      <c r="H374" s="62">
        <f t="shared" si="280"/>
        <v>-42517.347172137401</v>
      </c>
      <c r="I374" s="62">
        <f t="shared" si="280"/>
        <v>-41272.376203762586</v>
      </c>
      <c r="J374" s="62">
        <f t="shared" si="280"/>
        <v>-39644.958637393647</v>
      </c>
      <c r="K374" s="62">
        <f t="shared" si="280"/>
        <v>-37595.501281822799</v>
      </c>
      <c r="L374" s="62">
        <f t="shared" si="280"/>
        <v>-35136.211284820376</v>
      </c>
      <c r="M374" s="62">
        <f t="shared" si="280"/>
        <v>-32355.310948630464</v>
      </c>
      <c r="N374" s="62">
        <f t="shared" si="280"/>
        <v>-29419.525873461753</v>
      </c>
      <c r="O374" s="62">
        <f t="shared" si="280"/>
        <v>-26541.511557340396</v>
      </c>
      <c r="P374" s="62">
        <f t="shared" si="280"/>
        <v>-23921.595885610663</v>
      </c>
      <c r="Q374" s="62">
        <f t="shared" si="280"/>
        <v>-21695.040647806538</v>
      </c>
      <c r="R374" s="62">
        <f t="shared" si="280"/>
        <v>-19911.968655776182</v>
      </c>
      <c r="S374" s="62">
        <f t="shared" si="280"/>
        <v>-18551.40558747459</v>
      </c>
      <c r="T374" s="62">
        <f t="shared" si="280"/>
        <v>-17551.282614957105</v>
      </c>
      <c r="U374" s="62">
        <f t="shared" si="280"/>
        <v>-16836.209158050464</v>
      </c>
      <c r="V374" s="62">
        <f t="shared" si="280"/>
        <v>-16335.048266557109</v>
      </c>
      <c r="W374" s="62">
        <f t="shared" si="280"/>
        <v>-15988.715286779448</v>
      </c>
      <c r="X374" s="62">
        <f t="shared" si="280"/>
        <v>-15751.702370283236</v>
      </c>
      <c r="Y374" s="62">
        <f t="shared" si="280"/>
        <v>-15590.58521762073</v>
      </c>
      <c r="Z374" s="62">
        <f t="shared" si="280"/>
        <v>-15481.559033229796</v>
      </c>
      <c r="AA374" s="62">
        <f t="shared" si="280"/>
        <v>-15408.009855414111</v>
      </c>
      <c r="AB374" s="62">
        <f t="shared" si="280"/>
        <v>-15358.496914269901</v>
      </c>
      <c r="AC374" s="62">
        <f t="shared" si="280"/>
        <v>-15325.211858527608</v>
      </c>
    </row>
    <row r="375" spans="1:29" x14ac:dyDescent="0.25">
      <c r="A375" s="30" t="str">
        <f>A356</f>
        <v>Capex costumization</v>
      </c>
      <c r="B375" s="62">
        <f>((1+B358)^B366)*B358/(((1+B358)^B366)-1)*(B356)</f>
        <v>305125.4282581982</v>
      </c>
      <c r="C375" s="62">
        <f t="shared" ref="C375:AC375" si="281">((1+C358)^C366)*C358/(((1+C358)^C366)-1)*(C356)</f>
        <v>305125.4282581982</v>
      </c>
      <c r="D375" s="62">
        <f t="shared" si="281"/>
        <v>305125.4282581982</v>
      </c>
      <c r="E375" s="62">
        <f t="shared" si="281"/>
        <v>305125.4282581982</v>
      </c>
      <c r="F375" s="62">
        <f t="shared" si="281"/>
        <v>305125.4282581982</v>
      </c>
      <c r="G375" s="62">
        <f t="shared" si="281"/>
        <v>305125.4282581982</v>
      </c>
      <c r="H375" s="62">
        <f t="shared" si="281"/>
        <v>305125.4282581982</v>
      </c>
      <c r="I375" s="62">
        <f t="shared" si="281"/>
        <v>305125.4282581982</v>
      </c>
      <c r="J375" s="62">
        <f t="shared" si="281"/>
        <v>305125.4282581982</v>
      </c>
      <c r="K375" s="62">
        <f t="shared" si="281"/>
        <v>305125.4282581982</v>
      </c>
      <c r="L375" s="62">
        <f t="shared" si="281"/>
        <v>305125.4282581982</v>
      </c>
      <c r="M375" s="62">
        <f t="shared" si="281"/>
        <v>305125.4282581982</v>
      </c>
      <c r="N375" s="62">
        <f t="shared" si="281"/>
        <v>305125.4282581982</v>
      </c>
      <c r="O375" s="62">
        <f t="shared" si="281"/>
        <v>305125.4282581982</v>
      </c>
      <c r="P375" s="62">
        <f t="shared" si="281"/>
        <v>305125.4282581982</v>
      </c>
      <c r="Q375" s="62">
        <f t="shared" si="281"/>
        <v>305125.4282581982</v>
      </c>
      <c r="R375" s="62">
        <f t="shared" si="281"/>
        <v>305125.4282581982</v>
      </c>
      <c r="S375" s="62">
        <f t="shared" si="281"/>
        <v>305125.4282581982</v>
      </c>
      <c r="T375" s="62">
        <f t="shared" si="281"/>
        <v>305125.4282581982</v>
      </c>
      <c r="U375" s="62">
        <f t="shared" si="281"/>
        <v>305125.4282581982</v>
      </c>
      <c r="V375" s="62">
        <f t="shared" si="281"/>
        <v>305125.4282581982</v>
      </c>
      <c r="W375" s="62">
        <f t="shared" si="281"/>
        <v>305125.4282581982</v>
      </c>
      <c r="X375" s="62">
        <f t="shared" si="281"/>
        <v>305125.4282581982</v>
      </c>
      <c r="Y375" s="62">
        <f t="shared" si="281"/>
        <v>305125.4282581982</v>
      </c>
      <c r="Z375" s="62">
        <f t="shared" si="281"/>
        <v>305125.4282581982</v>
      </c>
      <c r="AA375" s="62">
        <f t="shared" si="281"/>
        <v>305125.4282581982</v>
      </c>
      <c r="AB375" s="62">
        <f t="shared" si="281"/>
        <v>305125.4282581982</v>
      </c>
      <c r="AC375" s="62">
        <f t="shared" si="281"/>
        <v>305125.4282581982</v>
      </c>
    </row>
    <row r="376" spans="1:29" x14ac:dyDescent="0.25">
      <c r="A376" s="30" t="str">
        <f>A357</f>
        <v>Residual value (costumization)</v>
      </c>
      <c r="B376" s="62">
        <f>((1+B358)^B366)*B358/(((1+B358)^B366)-1)*(B357)</f>
        <v>-15256.271412909911</v>
      </c>
      <c r="C376" s="62">
        <f t="shared" ref="C376:AC376" si="282">((1+C358)^C366)*C358/(((1+C358)^C366)-1)*(C357)</f>
        <v>-15256.271412909911</v>
      </c>
      <c r="D376" s="62">
        <f t="shared" si="282"/>
        <v>-15256.271412909911</v>
      </c>
      <c r="E376" s="62">
        <f t="shared" si="282"/>
        <v>-15256.271412909911</v>
      </c>
      <c r="F376" s="62">
        <f t="shared" si="282"/>
        <v>-15256.271412909911</v>
      </c>
      <c r="G376" s="62">
        <f t="shared" si="282"/>
        <v>-15256.271412909911</v>
      </c>
      <c r="H376" s="62">
        <f t="shared" si="282"/>
        <v>-15256.271412909911</v>
      </c>
      <c r="I376" s="62">
        <f t="shared" si="282"/>
        <v>-15256.271412909911</v>
      </c>
      <c r="J376" s="62">
        <f t="shared" si="282"/>
        <v>-15256.271412909911</v>
      </c>
      <c r="K376" s="62">
        <f t="shared" si="282"/>
        <v>-15256.271412909911</v>
      </c>
      <c r="L376" s="62">
        <f t="shared" si="282"/>
        <v>-15256.271412909911</v>
      </c>
      <c r="M376" s="62">
        <f t="shared" si="282"/>
        <v>-15256.271412909911</v>
      </c>
      <c r="N376" s="62">
        <f t="shared" si="282"/>
        <v>-15256.271412909911</v>
      </c>
      <c r="O376" s="62">
        <f t="shared" si="282"/>
        <v>-15256.271412909911</v>
      </c>
      <c r="P376" s="62">
        <f t="shared" si="282"/>
        <v>-15256.271412909911</v>
      </c>
      <c r="Q376" s="62">
        <f t="shared" si="282"/>
        <v>-15256.271412909911</v>
      </c>
      <c r="R376" s="62">
        <f t="shared" si="282"/>
        <v>-15256.271412909911</v>
      </c>
      <c r="S376" s="62">
        <f t="shared" si="282"/>
        <v>-15256.271412909911</v>
      </c>
      <c r="T376" s="62">
        <f t="shared" si="282"/>
        <v>-15256.271412909911</v>
      </c>
      <c r="U376" s="62">
        <f t="shared" si="282"/>
        <v>-15256.271412909911</v>
      </c>
      <c r="V376" s="62">
        <f t="shared" si="282"/>
        <v>-15256.271412909911</v>
      </c>
      <c r="W376" s="62">
        <f t="shared" si="282"/>
        <v>-15256.271412909911</v>
      </c>
      <c r="X376" s="62">
        <f t="shared" si="282"/>
        <v>-15256.271412909911</v>
      </c>
      <c r="Y376" s="62">
        <f t="shared" si="282"/>
        <v>-15256.271412909911</v>
      </c>
      <c r="Z376" s="62">
        <f t="shared" si="282"/>
        <v>-15256.271412909911</v>
      </c>
      <c r="AA376" s="62">
        <f t="shared" si="282"/>
        <v>-15256.271412909911</v>
      </c>
      <c r="AB376" s="62">
        <f t="shared" si="282"/>
        <v>-15256.271412909911</v>
      </c>
      <c r="AC376" s="62">
        <f t="shared" si="282"/>
        <v>-15256.271412909911</v>
      </c>
    </row>
    <row r="377" spans="1:29" x14ac:dyDescent="0.25">
      <c r="A377" s="30" t="str">
        <f t="shared" ref="A377:AC377" si="283">A359</f>
        <v>Opex fix (admin, crew, insurance)</v>
      </c>
      <c r="B377" s="62">
        <f t="shared" si="283"/>
        <v>1450000</v>
      </c>
      <c r="C377" s="62">
        <f t="shared" si="283"/>
        <v>1450000</v>
      </c>
      <c r="D377" s="62">
        <f t="shared" si="283"/>
        <v>1450000</v>
      </c>
      <c r="E377" s="62">
        <f t="shared" si="283"/>
        <v>1450000</v>
      </c>
      <c r="F377" s="62">
        <f t="shared" si="283"/>
        <v>1450000</v>
      </c>
      <c r="G377" s="62">
        <f t="shared" si="283"/>
        <v>1450000</v>
      </c>
      <c r="H377" s="62">
        <f t="shared" si="283"/>
        <v>1450000</v>
      </c>
      <c r="I377" s="62">
        <f t="shared" si="283"/>
        <v>1450000</v>
      </c>
      <c r="J377" s="62">
        <f t="shared" si="283"/>
        <v>1450000</v>
      </c>
      <c r="K377" s="62">
        <f t="shared" si="283"/>
        <v>1450000</v>
      </c>
      <c r="L377" s="62">
        <f t="shared" si="283"/>
        <v>1450000</v>
      </c>
      <c r="M377" s="62">
        <f t="shared" si="283"/>
        <v>1450000</v>
      </c>
      <c r="N377" s="62">
        <f t="shared" si="283"/>
        <v>1450000</v>
      </c>
      <c r="O377" s="62">
        <f t="shared" si="283"/>
        <v>1450000</v>
      </c>
      <c r="P377" s="62">
        <f t="shared" si="283"/>
        <v>1450000</v>
      </c>
      <c r="Q377" s="62">
        <f t="shared" si="283"/>
        <v>1450000</v>
      </c>
      <c r="R377" s="62">
        <f t="shared" si="283"/>
        <v>1450000</v>
      </c>
      <c r="S377" s="62">
        <f t="shared" si="283"/>
        <v>1450000</v>
      </c>
      <c r="T377" s="62">
        <f t="shared" si="283"/>
        <v>1450000</v>
      </c>
      <c r="U377" s="62">
        <f t="shared" si="283"/>
        <v>1450000</v>
      </c>
      <c r="V377" s="62">
        <f t="shared" si="283"/>
        <v>1450000</v>
      </c>
      <c r="W377" s="62">
        <f t="shared" si="283"/>
        <v>1450000</v>
      </c>
      <c r="X377" s="62">
        <f t="shared" si="283"/>
        <v>1450000</v>
      </c>
      <c r="Y377" s="62">
        <f t="shared" si="283"/>
        <v>1450000</v>
      </c>
      <c r="Z377" s="62">
        <f t="shared" si="283"/>
        <v>1450000</v>
      </c>
      <c r="AA377" s="62">
        <f t="shared" si="283"/>
        <v>1450000</v>
      </c>
      <c r="AB377" s="62">
        <f t="shared" si="283"/>
        <v>1450000</v>
      </c>
      <c r="AC377" s="62">
        <f t="shared" si="283"/>
        <v>1450000</v>
      </c>
    </row>
    <row r="378" spans="1:29" x14ac:dyDescent="0.25">
      <c r="A378" s="30" t="str">
        <f t="shared" ref="A378:AC378" si="284">A360</f>
        <v>Opex maintenance &amp; repair</v>
      </c>
      <c r="B378" s="62">
        <f t="shared" si="284"/>
        <v>1050000</v>
      </c>
      <c r="C378" s="62">
        <f t="shared" si="284"/>
        <v>1050000</v>
      </c>
      <c r="D378" s="62">
        <f t="shared" si="284"/>
        <v>1050000</v>
      </c>
      <c r="E378" s="62">
        <f t="shared" si="284"/>
        <v>1050000</v>
      </c>
      <c r="F378" s="62">
        <f t="shared" si="284"/>
        <v>1050000</v>
      </c>
      <c r="G378" s="62">
        <f t="shared" si="284"/>
        <v>1050000</v>
      </c>
      <c r="H378" s="62">
        <f t="shared" si="284"/>
        <v>1050000</v>
      </c>
      <c r="I378" s="62">
        <f t="shared" si="284"/>
        <v>1050000</v>
      </c>
      <c r="J378" s="62">
        <f t="shared" si="284"/>
        <v>1050000</v>
      </c>
      <c r="K378" s="62">
        <f t="shared" si="284"/>
        <v>1050000</v>
      </c>
      <c r="L378" s="62">
        <f t="shared" si="284"/>
        <v>1050000</v>
      </c>
      <c r="M378" s="62">
        <f t="shared" si="284"/>
        <v>1050000</v>
      </c>
      <c r="N378" s="62">
        <f t="shared" si="284"/>
        <v>1050000</v>
      </c>
      <c r="O378" s="62">
        <f t="shared" si="284"/>
        <v>1050000</v>
      </c>
      <c r="P378" s="62">
        <f t="shared" si="284"/>
        <v>1050000</v>
      </c>
      <c r="Q378" s="62">
        <f t="shared" si="284"/>
        <v>1050000</v>
      </c>
      <c r="R378" s="62">
        <f t="shared" si="284"/>
        <v>1050000</v>
      </c>
      <c r="S378" s="62">
        <f t="shared" si="284"/>
        <v>1050000</v>
      </c>
      <c r="T378" s="62">
        <f t="shared" si="284"/>
        <v>1050000</v>
      </c>
      <c r="U378" s="62">
        <f t="shared" si="284"/>
        <v>1050000</v>
      </c>
      <c r="V378" s="62">
        <f t="shared" si="284"/>
        <v>1050000</v>
      </c>
      <c r="W378" s="62">
        <f t="shared" si="284"/>
        <v>1050000</v>
      </c>
      <c r="X378" s="62">
        <f t="shared" si="284"/>
        <v>1050000</v>
      </c>
      <c r="Y378" s="62">
        <f t="shared" si="284"/>
        <v>1050000</v>
      </c>
      <c r="Z378" s="62">
        <f t="shared" si="284"/>
        <v>1050000</v>
      </c>
      <c r="AA378" s="62">
        <f t="shared" si="284"/>
        <v>1050000</v>
      </c>
      <c r="AB378" s="62">
        <f t="shared" si="284"/>
        <v>1050000</v>
      </c>
      <c r="AC378" s="62">
        <f t="shared" si="284"/>
        <v>1050000</v>
      </c>
    </row>
    <row r="379" spans="1:29" x14ac:dyDescent="0.25">
      <c r="A379" s="30" t="str">
        <f>A361</f>
        <v>Opex var (mode-fees, shunting)</v>
      </c>
      <c r="B379" s="62">
        <f>B361*B370</f>
        <v>1600000</v>
      </c>
      <c r="C379" s="62">
        <f t="shared" ref="C379:AC379" si="285">C361*C370</f>
        <v>1600000</v>
      </c>
      <c r="D379" s="62">
        <f t="shared" si="285"/>
        <v>1600000</v>
      </c>
      <c r="E379" s="62">
        <f t="shared" si="285"/>
        <v>1600000</v>
      </c>
      <c r="F379" s="62">
        <f t="shared" si="285"/>
        <v>1600000</v>
      </c>
      <c r="G379" s="62">
        <f t="shared" si="285"/>
        <v>1600000</v>
      </c>
      <c r="H379" s="62">
        <f t="shared" si="285"/>
        <v>1600000</v>
      </c>
      <c r="I379" s="62">
        <f t="shared" si="285"/>
        <v>1600000</v>
      </c>
      <c r="J379" s="62">
        <f t="shared" si="285"/>
        <v>1600000</v>
      </c>
      <c r="K379" s="62">
        <f t="shared" si="285"/>
        <v>1600000</v>
      </c>
      <c r="L379" s="62">
        <f t="shared" si="285"/>
        <v>1600000</v>
      </c>
      <c r="M379" s="62">
        <f t="shared" si="285"/>
        <v>1600000</v>
      </c>
      <c r="N379" s="62">
        <f t="shared" si="285"/>
        <v>1600000</v>
      </c>
      <c r="O379" s="62">
        <f t="shared" si="285"/>
        <v>1600000</v>
      </c>
      <c r="P379" s="62">
        <f t="shared" si="285"/>
        <v>1600000</v>
      </c>
      <c r="Q379" s="62">
        <f t="shared" si="285"/>
        <v>1600000</v>
      </c>
      <c r="R379" s="62">
        <f t="shared" si="285"/>
        <v>1600000</v>
      </c>
      <c r="S379" s="62">
        <f t="shared" si="285"/>
        <v>1600000</v>
      </c>
      <c r="T379" s="62">
        <f t="shared" si="285"/>
        <v>1600000</v>
      </c>
      <c r="U379" s="62">
        <f t="shared" si="285"/>
        <v>1600000</v>
      </c>
      <c r="V379" s="62">
        <f t="shared" si="285"/>
        <v>1600000</v>
      </c>
      <c r="W379" s="62">
        <f t="shared" si="285"/>
        <v>1600000</v>
      </c>
      <c r="X379" s="62">
        <f t="shared" si="285"/>
        <v>1600000</v>
      </c>
      <c r="Y379" s="62">
        <f t="shared" si="285"/>
        <v>1600000</v>
      </c>
      <c r="Z379" s="62">
        <f t="shared" si="285"/>
        <v>1600000</v>
      </c>
      <c r="AA379" s="62">
        <f t="shared" si="285"/>
        <v>1600000</v>
      </c>
      <c r="AB379" s="62">
        <f t="shared" si="285"/>
        <v>1600000</v>
      </c>
      <c r="AC379" s="62">
        <f t="shared" si="285"/>
        <v>1600000</v>
      </c>
    </row>
    <row r="380" spans="1:29" x14ac:dyDescent="0.25">
      <c r="A380" s="30" t="str">
        <f>A363</f>
        <v>Fuel Cost</v>
      </c>
      <c r="B380" s="62">
        <f>B362*B363*B370</f>
        <v>1370480.16</v>
      </c>
      <c r="C380" s="62">
        <f t="shared" ref="C380:AC380" si="286">C362*C363*C370</f>
        <v>1370480.16</v>
      </c>
      <c r="D380" s="62">
        <f t="shared" si="286"/>
        <v>1370480.16</v>
      </c>
      <c r="E380" s="62">
        <f t="shared" si="286"/>
        <v>1370480.16</v>
      </c>
      <c r="F380" s="62">
        <f t="shared" si="286"/>
        <v>1370480.16</v>
      </c>
      <c r="G380" s="62">
        <f t="shared" si="286"/>
        <v>1370480.16</v>
      </c>
      <c r="H380" s="62">
        <f t="shared" si="286"/>
        <v>1370480.16</v>
      </c>
      <c r="I380" s="62">
        <f t="shared" si="286"/>
        <v>1370480.16</v>
      </c>
      <c r="J380" s="62">
        <f t="shared" si="286"/>
        <v>1370480.16</v>
      </c>
      <c r="K380" s="62">
        <f t="shared" si="286"/>
        <v>1370480.16</v>
      </c>
      <c r="L380" s="62">
        <f t="shared" si="286"/>
        <v>1370480.16</v>
      </c>
      <c r="M380" s="62">
        <f t="shared" si="286"/>
        <v>1370480.16</v>
      </c>
      <c r="N380" s="62">
        <f t="shared" si="286"/>
        <v>1370480.16</v>
      </c>
      <c r="O380" s="62">
        <f t="shared" si="286"/>
        <v>1370480.16</v>
      </c>
      <c r="P380" s="62">
        <f t="shared" si="286"/>
        <v>1370480.16</v>
      </c>
      <c r="Q380" s="62">
        <f t="shared" si="286"/>
        <v>1370480.16</v>
      </c>
      <c r="R380" s="62">
        <f t="shared" si="286"/>
        <v>1370480.16</v>
      </c>
      <c r="S380" s="62">
        <f t="shared" si="286"/>
        <v>1370480.16</v>
      </c>
      <c r="T380" s="62">
        <f t="shared" si="286"/>
        <v>1370480.16</v>
      </c>
      <c r="U380" s="62">
        <f t="shared" si="286"/>
        <v>1370480.16</v>
      </c>
      <c r="V380" s="62">
        <f t="shared" si="286"/>
        <v>1370480.16</v>
      </c>
      <c r="W380" s="62">
        <f t="shared" si="286"/>
        <v>1370480.16</v>
      </c>
      <c r="X380" s="62">
        <f t="shared" si="286"/>
        <v>1370480.16</v>
      </c>
      <c r="Y380" s="62">
        <f t="shared" si="286"/>
        <v>1370480.16</v>
      </c>
      <c r="Z380" s="62">
        <f t="shared" si="286"/>
        <v>1370480.16</v>
      </c>
      <c r="AA380" s="62">
        <f t="shared" si="286"/>
        <v>1370480.16</v>
      </c>
      <c r="AB380" s="62">
        <f t="shared" si="286"/>
        <v>1370480.16</v>
      </c>
      <c r="AC380" s="62">
        <f t="shared" si="286"/>
        <v>1370480.16</v>
      </c>
    </row>
    <row r="381" spans="1:29" ht="15.75" thickBot="1" x14ac:dyDescent="0.3">
      <c r="A381" s="59" t="str">
        <f>A344</f>
        <v>Emission Cost</v>
      </c>
      <c r="B381" s="62">
        <f>B364*B370</f>
        <v>367390.72745293472</v>
      </c>
      <c r="C381" s="62">
        <f t="shared" ref="C381:AC381" si="287">C364*C370</f>
        <v>368258.65482469439</v>
      </c>
      <c r="D381" s="62">
        <f t="shared" si="287"/>
        <v>369501.0735258449</v>
      </c>
      <c r="E381" s="62">
        <f t="shared" si="287"/>
        <v>371278.44084862951</v>
      </c>
      <c r="F381" s="62">
        <f t="shared" si="287"/>
        <v>373818.69094846037</v>
      </c>
      <c r="G381" s="62">
        <f t="shared" si="287"/>
        <v>377444.17681173066</v>
      </c>
      <c r="H381" s="62">
        <f t="shared" si="287"/>
        <v>382607.75811006804</v>
      </c>
      <c r="I381" s="62">
        <f t="shared" si="287"/>
        <v>389939.30334509478</v>
      </c>
      <c r="J381" s="62">
        <f t="shared" si="287"/>
        <v>400301.7380182895</v>
      </c>
      <c r="K381" s="62">
        <f t="shared" si="287"/>
        <v>414850.4093456472</v>
      </c>
      <c r="L381" s="62">
        <f t="shared" si="287"/>
        <v>435078.34382190782</v>
      </c>
      <c r="M381" s="62">
        <f t="shared" si="287"/>
        <v>462810.08526032721</v>
      </c>
      <c r="N381" s="62">
        <f t="shared" si="287"/>
        <v>500078.57414028887</v>
      </c>
      <c r="O381" s="62">
        <f t="shared" si="287"/>
        <v>548795.68884895509</v>
      </c>
      <c r="P381" s="62">
        <f t="shared" si="287"/>
        <v>610146.66056338348</v>
      </c>
      <c r="Q381" s="62">
        <f t="shared" si="287"/>
        <v>683766.0655407788</v>
      </c>
      <c r="R381" s="62">
        <f t="shared" si="287"/>
        <v>767012.9491133868</v>
      </c>
      <c r="S381" s="62">
        <f t="shared" si="287"/>
        <v>854896.34254762006</v>
      </c>
      <c r="T381" s="62">
        <f t="shared" si="287"/>
        <v>941050.35518034454</v>
      </c>
      <c r="U381" s="62">
        <f t="shared" si="287"/>
        <v>1019478.1262357264</v>
      </c>
      <c r="V381" s="62">
        <f t="shared" si="287"/>
        <v>1086130.5633034322</v>
      </c>
      <c r="W381" s="62">
        <f t="shared" si="287"/>
        <v>1139507.2286194926</v>
      </c>
      <c r="X381" s="62">
        <f t="shared" si="287"/>
        <v>1180235.9932811107</v>
      </c>
      <c r="Y381" s="62">
        <f t="shared" si="287"/>
        <v>1210174.9017590475</v>
      </c>
      <c r="Z381" s="62">
        <f t="shared" si="287"/>
        <v>1231580.7882046322</v>
      </c>
      <c r="AA381" s="62">
        <f t="shared" si="287"/>
        <v>1246583.153389158</v>
      </c>
      <c r="AB381" s="62">
        <f t="shared" si="287"/>
        <v>1256950.7098490945</v>
      </c>
      <c r="AC381" s="62">
        <f t="shared" si="287"/>
        <v>1264045.7453697838</v>
      </c>
    </row>
    <row r="382" spans="1:29" ht="15.75" thickBot="1" x14ac:dyDescent="0.3">
      <c r="A382" s="31" t="s">
        <v>209</v>
      </c>
      <c r="B382" s="64">
        <f>B373+B374+B375+B376+B377+B378+B379+B380+B381</f>
        <v>6387516.9592107665</v>
      </c>
      <c r="C382" s="64">
        <f t="shared" ref="C382:AC382" si="288">C373+C374+C375+C376+C377+C378+C379+C380+C381</f>
        <v>6388557.3783846488</v>
      </c>
      <c r="D382" s="64">
        <f t="shared" si="288"/>
        <v>6390044.7107178038</v>
      </c>
      <c r="E382" s="64">
        <f t="shared" si="288"/>
        <v>6392168.2399247307</v>
      </c>
      <c r="F382" s="64">
        <f t="shared" si="288"/>
        <v>6395194.495064619</v>
      </c>
      <c r="G382" s="64">
        <f t="shared" si="288"/>
        <v>6399495.7043588618</v>
      </c>
      <c r="H382" s="64">
        <f t="shared" si="288"/>
        <v>6405585.6772021987</v>
      </c>
      <c r="I382" s="64">
        <f t="shared" si="288"/>
        <v>6414162.1934056003</v>
      </c>
      <c r="J382" s="64">
        <f t="shared" si="288"/>
        <v>6426152.0456451643</v>
      </c>
      <c r="K382" s="64">
        <f t="shared" si="288"/>
        <v>6442750.1743280925</v>
      </c>
      <c r="L382" s="64">
        <f t="shared" si="288"/>
        <v>6465437.3988013556</v>
      </c>
      <c r="M382" s="64">
        <f t="shared" si="288"/>
        <v>6495950.0405759653</v>
      </c>
      <c r="N382" s="64">
        <f t="shared" si="288"/>
        <v>6536154.3145310953</v>
      </c>
      <c r="O382" s="64">
        <f t="shared" si="288"/>
        <v>6587749.4435558841</v>
      </c>
      <c r="P382" s="64">
        <f t="shared" si="288"/>
        <v>6651720.3309420403</v>
      </c>
      <c r="Q382" s="64">
        <f t="shared" si="288"/>
        <v>6727566.29115724</v>
      </c>
      <c r="R382" s="64">
        <f t="shared" si="288"/>
        <v>6812596.2467218786</v>
      </c>
      <c r="S382" s="64">
        <f t="shared" si="288"/>
        <v>6901840.2032244131</v>
      </c>
      <c r="T382" s="64">
        <f t="shared" si="288"/>
        <v>6988994.3388296561</v>
      </c>
      <c r="U382" s="64">
        <f t="shared" si="288"/>
        <v>7068137.1833419437</v>
      </c>
      <c r="V382" s="64">
        <f t="shared" si="288"/>
        <v>7135290.7813011436</v>
      </c>
      <c r="W382" s="64">
        <f t="shared" si="288"/>
        <v>7189013.7795969816</v>
      </c>
      <c r="X382" s="64">
        <f t="shared" si="288"/>
        <v>7229979.5571750961</v>
      </c>
      <c r="Y382" s="64">
        <f t="shared" si="288"/>
        <v>7260079.582805695</v>
      </c>
      <c r="Z382" s="64">
        <f t="shared" si="288"/>
        <v>7281594.49543567</v>
      </c>
      <c r="AA382" s="64">
        <f t="shared" si="288"/>
        <v>7296670.4097980121</v>
      </c>
      <c r="AB382" s="64">
        <f t="shared" si="288"/>
        <v>7307087.4791990928</v>
      </c>
      <c r="AC382" s="64">
        <f t="shared" si="288"/>
        <v>7314215.7997755241</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289">A373</f>
        <v>Capex vehicle</v>
      </c>
      <c r="B385" s="65">
        <f>((1+B358)^B365)*B358/(((1+B358)^B365)-1)*(B354)/B370</f>
        <v>1.7095011171931649</v>
      </c>
      <c r="C385" s="65">
        <f t="shared" ref="C385:AC385" si="290">((1+C358)^C365)*C358/(((1+C358)^C365)-1)*(C354)/C370</f>
        <v>1.7095011171931649</v>
      </c>
      <c r="D385" s="65">
        <f t="shared" si="290"/>
        <v>1.7095011171931649</v>
      </c>
      <c r="E385" s="65">
        <f t="shared" si="290"/>
        <v>1.7095011171931649</v>
      </c>
      <c r="F385" s="65">
        <f t="shared" si="290"/>
        <v>1.7095011171931649</v>
      </c>
      <c r="G385" s="65">
        <f t="shared" si="290"/>
        <v>1.7095011171931649</v>
      </c>
      <c r="H385" s="65">
        <f t="shared" si="290"/>
        <v>1.7095011171931649</v>
      </c>
      <c r="I385" s="65">
        <f t="shared" si="290"/>
        <v>1.7095011171931649</v>
      </c>
      <c r="J385" s="65">
        <f t="shared" si="290"/>
        <v>1.7095011171931649</v>
      </c>
      <c r="K385" s="65">
        <f t="shared" si="290"/>
        <v>1.7095011171931649</v>
      </c>
      <c r="L385" s="65">
        <f t="shared" si="290"/>
        <v>1.7095011171931649</v>
      </c>
      <c r="M385" s="65">
        <f t="shared" si="290"/>
        <v>1.7095011171931649</v>
      </c>
      <c r="N385" s="65">
        <f t="shared" si="290"/>
        <v>1.7095011171931649</v>
      </c>
      <c r="O385" s="65">
        <f t="shared" si="290"/>
        <v>1.7095011171931649</v>
      </c>
      <c r="P385" s="65">
        <f t="shared" si="290"/>
        <v>1.7095011171931649</v>
      </c>
      <c r="Q385" s="65">
        <f t="shared" si="290"/>
        <v>1.7095011171931649</v>
      </c>
      <c r="R385" s="65">
        <f t="shared" si="290"/>
        <v>1.7095011171931649</v>
      </c>
      <c r="S385" s="65">
        <f t="shared" si="290"/>
        <v>1.7095011171931649</v>
      </c>
      <c r="T385" s="65">
        <f t="shared" si="290"/>
        <v>1.7095011171931649</v>
      </c>
      <c r="U385" s="65">
        <f t="shared" si="290"/>
        <v>1.7095011171931649</v>
      </c>
      <c r="V385" s="65">
        <f t="shared" si="290"/>
        <v>1.7095011171931649</v>
      </c>
      <c r="W385" s="65">
        <f t="shared" si="290"/>
        <v>1.7095011171931649</v>
      </c>
      <c r="X385" s="65">
        <f t="shared" si="290"/>
        <v>1.7095011171931649</v>
      </c>
      <c r="Y385" s="65">
        <f t="shared" si="290"/>
        <v>1.7095011171931649</v>
      </c>
      <c r="Z385" s="65">
        <f t="shared" si="290"/>
        <v>1.7095011171931649</v>
      </c>
      <c r="AA385" s="65">
        <f t="shared" si="290"/>
        <v>1.7095011171931649</v>
      </c>
      <c r="AB385" s="65">
        <f t="shared" si="290"/>
        <v>1.7095011171931649</v>
      </c>
      <c r="AC385" s="65">
        <f t="shared" si="290"/>
        <v>1.7095011171931649</v>
      </c>
    </row>
    <row r="386" spans="1:29" x14ac:dyDescent="0.25">
      <c r="A386" s="30" t="str">
        <f t="shared" si="289"/>
        <v>Residual value (vehicle)</v>
      </c>
      <c r="B386" s="66">
        <f>((1+B358)^B365)*B358/(((1+B358)^B365)-1)*(B355)/B370</f>
        <v>-0.25416826054025926</v>
      </c>
      <c r="C386" s="66">
        <f t="shared" ref="C386:AC386" si="291">((1+C358)^C365)*C358/(((1+C358)^C365)-1)*(C355)/C370</f>
        <v>-0.2532019199121241</v>
      </c>
      <c r="D386" s="66">
        <f t="shared" si="291"/>
        <v>-0.25182985474682912</v>
      </c>
      <c r="E386" s="66">
        <f t="shared" si="291"/>
        <v>-0.24989057248272897</v>
      </c>
      <c r="F386" s="66">
        <f t="shared" si="291"/>
        <v>-0.24716785517148263</v>
      </c>
      <c r="G386" s="66">
        <f t="shared" si="291"/>
        <v>-0.2433822897318601</v>
      </c>
      <c r="H386" s="66">
        <f t="shared" si="291"/>
        <v>-0.23819242113242242</v>
      </c>
      <c r="I386" s="66">
        <f t="shared" si="291"/>
        <v>-0.23121779385861393</v>
      </c>
      <c r="J386" s="66">
        <f t="shared" si="291"/>
        <v>-0.22210060861284955</v>
      </c>
      <c r="K386" s="66">
        <f t="shared" si="291"/>
        <v>-0.21061905480012771</v>
      </c>
      <c r="L386" s="66">
        <f t="shared" si="291"/>
        <v>-0.19684151980291528</v>
      </c>
      <c r="M386" s="66">
        <f t="shared" si="291"/>
        <v>-0.18126224621081494</v>
      </c>
      <c r="N386" s="66">
        <f t="shared" si="291"/>
        <v>-0.16481527099978574</v>
      </c>
      <c r="O386" s="66">
        <f t="shared" si="291"/>
        <v>-0.14869194149770532</v>
      </c>
      <c r="P386" s="66">
        <f t="shared" si="291"/>
        <v>-0.13401454277653033</v>
      </c>
      <c r="Q386" s="66">
        <f t="shared" si="291"/>
        <v>-0.12154084396530274</v>
      </c>
      <c r="R386" s="66">
        <f t="shared" si="291"/>
        <v>-0.11155164513039878</v>
      </c>
      <c r="S386" s="66">
        <f t="shared" si="291"/>
        <v>-0.10392944306708454</v>
      </c>
      <c r="T386" s="66">
        <f t="shared" si="291"/>
        <v>-9.8326513249059416E-2</v>
      </c>
      <c r="U386" s="66">
        <f t="shared" si="291"/>
        <v>-9.4320499484876544E-2</v>
      </c>
      <c r="V386" s="66">
        <f t="shared" si="291"/>
        <v>-9.1512875442896963E-2</v>
      </c>
      <c r="W386" s="66">
        <f t="shared" si="291"/>
        <v>-8.9572634659828843E-2</v>
      </c>
      <c r="X386" s="66">
        <f t="shared" si="291"/>
        <v>-8.8244831206068547E-2</v>
      </c>
      <c r="Y386" s="66">
        <f t="shared" si="291"/>
        <v>-8.734221410431782E-2</v>
      </c>
      <c r="Z386" s="66">
        <f t="shared" si="291"/>
        <v>-8.6731423155348999E-2</v>
      </c>
      <c r="AA386" s="66">
        <f t="shared" si="291"/>
        <v>-8.631938294349642E-2</v>
      </c>
      <c r="AB386" s="66">
        <f t="shared" si="291"/>
        <v>-8.6041999519719331E-2</v>
      </c>
      <c r="AC386" s="66">
        <f t="shared" si="291"/>
        <v>-8.5855528619202287E-2</v>
      </c>
    </row>
    <row r="387" spans="1:29" x14ac:dyDescent="0.25">
      <c r="A387" s="30" t="str">
        <f t="shared" si="289"/>
        <v>Capex costumization</v>
      </c>
      <c r="B387" s="66">
        <f>((1+B358)^B366)*B358/(((1+B358)^B366)-1)*(B356)/B370</f>
        <v>1.7093861527069927</v>
      </c>
      <c r="C387" s="66">
        <f t="shared" ref="C387:AC387" si="292">((1+C358)^C366)*C358/(((1+C358)^C366)-1)*(C356)/C370</f>
        <v>1.7093861527069927</v>
      </c>
      <c r="D387" s="66">
        <f t="shared" si="292"/>
        <v>1.7093861527069927</v>
      </c>
      <c r="E387" s="66">
        <f t="shared" si="292"/>
        <v>1.7093861527069927</v>
      </c>
      <c r="F387" s="66">
        <f t="shared" si="292"/>
        <v>1.7093861527069927</v>
      </c>
      <c r="G387" s="66">
        <f t="shared" si="292"/>
        <v>1.7093861527069927</v>
      </c>
      <c r="H387" s="66">
        <f t="shared" si="292"/>
        <v>1.7093861527069927</v>
      </c>
      <c r="I387" s="66">
        <f t="shared" si="292"/>
        <v>1.7093861527069927</v>
      </c>
      <c r="J387" s="66">
        <f t="shared" si="292"/>
        <v>1.7093861527069927</v>
      </c>
      <c r="K387" s="66">
        <f t="shared" si="292"/>
        <v>1.7093861527069927</v>
      </c>
      <c r="L387" s="66">
        <f t="shared" si="292"/>
        <v>1.7093861527069927</v>
      </c>
      <c r="M387" s="66">
        <f t="shared" si="292"/>
        <v>1.7093861527069927</v>
      </c>
      <c r="N387" s="66">
        <f t="shared" si="292"/>
        <v>1.7093861527069927</v>
      </c>
      <c r="O387" s="66">
        <f t="shared" si="292"/>
        <v>1.7093861527069927</v>
      </c>
      <c r="P387" s="66">
        <f t="shared" si="292"/>
        <v>1.7093861527069927</v>
      </c>
      <c r="Q387" s="66">
        <f t="shared" si="292"/>
        <v>1.7093861527069927</v>
      </c>
      <c r="R387" s="66">
        <f t="shared" si="292"/>
        <v>1.7093861527069927</v>
      </c>
      <c r="S387" s="66">
        <f t="shared" si="292"/>
        <v>1.7093861527069927</v>
      </c>
      <c r="T387" s="66">
        <f t="shared" si="292"/>
        <v>1.7093861527069927</v>
      </c>
      <c r="U387" s="66">
        <f t="shared" si="292"/>
        <v>1.7093861527069927</v>
      </c>
      <c r="V387" s="66">
        <f t="shared" si="292"/>
        <v>1.7093861527069927</v>
      </c>
      <c r="W387" s="66">
        <f t="shared" si="292"/>
        <v>1.7093861527069927</v>
      </c>
      <c r="X387" s="66">
        <f t="shared" si="292"/>
        <v>1.7093861527069927</v>
      </c>
      <c r="Y387" s="66">
        <f t="shared" si="292"/>
        <v>1.7093861527069927</v>
      </c>
      <c r="Z387" s="66">
        <f t="shared" si="292"/>
        <v>1.7093861527069927</v>
      </c>
      <c r="AA387" s="66">
        <f t="shared" si="292"/>
        <v>1.7093861527069927</v>
      </c>
      <c r="AB387" s="66">
        <f t="shared" si="292"/>
        <v>1.7093861527069927</v>
      </c>
      <c r="AC387" s="66">
        <f t="shared" si="292"/>
        <v>1.7093861527069927</v>
      </c>
    </row>
    <row r="388" spans="1:29" x14ac:dyDescent="0.25">
      <c r="A388" s="30" t="str">
        <f t="shared" si="289"/>
        <v>Residual value (costumization)</v>
      </c>
      <c r="B388" s="66">
        <f>((1+B358)^B366)*B358/(((1+B358)^B366)-1)*(B357)/B370</f>
        <v>-8.5469307635349642E-2</v>
      </c>
      <c r="C388" s="66">
        <f t="shared" ref="C388:AC388" si="293">((1+C358)^C366)*C358/(((1+C358)^C366)-1)*(C357)/C370</f>
        <v>-8.5469307635349642E-2</v>
      </c>
      <c r="D388" s="66">
        <f t="shared" si="293"/>
        <v>-8.5469307635349642E-2</v>
      </c>
      <c r="E388" s="66">
        <f t="shared" si="293"/>
        <v>-8.5469307635349642E-2</v>
      </c>
      <c r="F388" s="66">
        <f t="shared" si="293"/>
        <v>-8.5469307635349642E-2</v>
      </c>
      <c r="G388" s="66">
        <f t="shared" si="293"/>
        <v>-8.5469307635349642E-2</v>
      </c>
      <c r="H388" s="66">
        <f t="shared" si="293"/>
        <v>-8.5469307635349642E-2</v>
      </c>
      <c r="I388" s="66">
        <f t="shared" si="293"/>
        <v>-8.5469307635349642E-2</v>
      </c>
      <c r="J388" s="66">
        <f t="shared" si="293"/>
        <v>-8.5469307635349642E-2</v>
      </c>
      <c r="K388" s="66">
        <f t="shared" si="293"/>
        <v>-8.5469307635349642E-2</v>
      </c>
      <c r="L388" s="66">
        <f t="shared" si="293"/>
        <v>-8.5469307635349642E-2</v>
      </c>
      <c r="M388" s="66">
        <f t="shared" si="293"/>
        <v>-8.5469307635349642E-2</v>
      </c>
      <c r="N388" s="66">
        <f t="shared" si="293"/>
        <v>-8.5469307635349642E-2</v>
      </c>
      <c r="O388" s="66">
        <f t="shared" si="293"/>
        <v>-8.5469307635349642E-2</v>
      </c>
      <c r="P388" s="66">
        <f t="shared" si="293"/>
        <v>-8.5469307635349642E-2</v>
      </c>
      <c r="Q388" s="66">
        <f t="shared" si="293"/>
        <v>-8.5469307635349642E-2</v>
      </c>
      <c r="R388" s="66">
        <f t="shared" si="293"/>
        <v>-8.5469307635349642E-2</v>
      </c>
      <c r="S388" s="66">
        <f t="shared" si="293"/>
        <v>-8.5469307635349642E-2</v>
      </c>
      <c r="T388" s="66">
        <f t="shared" si="293"/>
        <v>-8.5469307635349642E-2</v>
      </c>
      <c r="U388" s="66">
        <f t="shared" si="293"/>
        <v>-8.5469307635349642E-2</v>
      </c>
      <c r="V388" s="66">
        <f t="shared" si="293"/>
        <v>-8.5469307635349642E-2</v>
      </c>
      <c r="W388" s="66">
        <f t="shared" si="293"/>
        <v>-8.5469307635349642E-2</v>
      </c>
      <c r="X388" s="66">
        <f t="shared" si="293"/>
        <v>-8.5469307635349642E-2</v>
      </c>
      <c r="Y388" s="66">
        <f t="shared" si="293"/>
        <v>-8.5469307635349642E-2</v>
      </c>
      <c r="Z388" s="66">
        <f t="shared" si="293"/>
        <v>-8.5469307635349642E-2</v>
      </c>
      <c r="AA388" s="66">
        <f t="shared" si="293"/>
        <v>-8.5469307635349642E-2</v>
      </c>
      <c r="AB388" s="66">
        <f t="shared" si="293"/>
        <v>-8.5469307635349642E-2</v>
      </c>
      <c r="AC388" s="66">
        <f t="shared" si="293"/>
        <v>-8.5469307635349642E-2</v>
      </c>
    </row>
    <row r="389" spans="1:29" x14ac:dyDescent="0.25">
      <c r="A389" s="30" t="str">
        <f t="shared" si="289"/>
        <v>Opex fix (admin, crew, insurance)</v>
      </c>
      <c r="B389" s="66">
        <f>B359/B370</f>
        <v>8.1232492997198875</v>
      </c>
      <c r="C389" s="66">
        <f t="shared" ref="C389:AC389" si="294">C359/C370</f>
        <v>8.1232492997198875</v>
      </c>
      <c r="D389" s="66">
        <f t="shared" si="294"/>
        <v>8.1232492997198875</v>
      </c>
      <c r="E389" s="66">
        <f t="shared" si="294"/>
        <v>8.1232492997198875</v>
      </c>
      <c r="F389" s="66">
        <f t="shared" si="294"/>
        <v>8.1232492997198875</v>
      </c>
      <c r="G389" s="66">
        <f t="shared" si="294"/>
        <v>8.1232492997198875</v>
      </c>
      <c r="H389" s="66">
        <f t="shared" si="294"/>
        <v>8.1232492997198875</v>
      </c>
      <c r="I389" s="66">
        <f t="shared" si="294"/>
        <v>8.1232492997198875</v>
      </c>
      <c r="J389" s="66">
        <f t="shared" si="294"/>
        <v>8.1232492997198875</v>
      </c>
      <c r="K389" s="66">
        <f t="shared" si="294"/>
        <v>8.1232492997198875</v>
      </c>
      <c r="L389" s="66">
        <f t="shared" si="294"/>
        <v>8.1232492997198875</v>
      </c>
      <c r="M389" s="66">
        <f t="shared" si="294"/>
        <v>8.1232492997198875</v>
      </c>
      <c r="N389" s="66">
        <f t="shared" si="294"/>
        <v>8.1232492997198875</v>
      </c>
      <c r="O389" s="66">
        <f t="shared" si="294"/>
        <v>8.1232492997198875</v>
      </c>
      <c r="P389" s="66">
        <f t="shared" si="294"/>
        <v>8.1232492997198875</v>
      </c>
      <c r="Q389" s="66">
        <f t="shared" si="294"/>
        <v>8.1232492997198875</v>
      </c>
      <c r="R389" s="66">
        <f t="shared" si="294"/>
        <v>8.1232492997198875</v>
      </c>
      <c r="S389" s="66">
        <f t="shared" si="294"/>
        <v>8.1232492997198875</v>
      </c>
      <c r="T389" s="66">
        <f t="shared" si="294"/>
        <v>8.1232492997198875</v>
      </c>
      <c r="U389" s="66">
        <f t="shared" si="294"/>
        <v>8.1232492997198875</v>
      </c>
      <c r="V389" s="66">
        <f t="shared" si="294"/>
        <v>8.1232492997198875</v>
      </c>
      <c r="W389" s="66">
        <f t="shared" si="294"/>
        <v>8.1232492997198875</v>
      </c>
      <c r="X389" s="66">
        <f t="shared" si="294"/>
        <v>8.1232492997198875</v>
      </c>
      <c r="Y389" s="66">
        <f t="shared" si="294"/>
        <v>8.1232492997198875</v>
      </c>
      <c r="Z389" s="66">
        <f t="shared" si="294"/>
        <v>8.1232492997198875</v>
      </c>
      <c r="AA389" s="66">
        <f t="shared" si="294"/>
        <v>8.1232492997198875</v>
      </c>
      <c r="AB389" s="66">
        <f t="shared" si="294"/>
        <v>8.1232492997198875</v>
      </c>
      <c r="AC389" s="66">
        <f t="shared" si="294"/>
        <v>8.1232492997198875</v>
      </c>
    </row>
    <row r="390" spans="1:29" x14ac:dyDescent="0.25">
      <c r="A390" s="30" t="str">
        <f t="shared" si="289"/>
        <v>Opex maintenance &amp; repair</v>
      </c>
      <c r="B390" s="66">
        <f>B360/B370</f>
        <v>5.882352941176471</v>
      </c>
      <c r="C390" s="66">
        <f t="shared" ref="C390:AC390" si="295">C360/C370</f>
        <v>5.882352941176471</v>
      </c>
      <c r="D390" s="66">
        <f t="shared" si="295"/>
        <v>5.882352941176471</v>
      </c>
      <c r="E390" s="66">
        <f t="shared" si="295"/>
        <v>5.882352941176471</v>
      </c>
      <c r="F390" s="66">
        <f t="shared" si="295"/>
        <v>5.882352941176471</v>
      </c>
      <c r="G390" s="66">
        <f t="shared" si="295"/>
        <v>5.882352941176471</v>
      </c>
      <c r="H390" s="66">
        <f t="shared" si="295"/>
        <v>5.882352941176471</v>
      </c>
      <c r="I390" s="66">
        <f t="shared" si="295"/>
        <v>5.882352941176471</v>
      </c>
      <c r="J390" s="66">
        <f t="shared" si="295"/>
        <v>5.882352941176471</v>
      </c>
      <c r="K390" s="66">
        <f t="shared" si="295"/>
        <v>5.882352941176471</v>
      </c>
      <c r="L390" s="66">
        <f t="shared" si="295"/>
        <v>5.882352941176471</v>
      </c>
      <c r="M390" s="66">
        <f t="shared" si="295"/>
        <v>5.882352941176471</v>
      </c>
      <c r="N390" s="66">
        <f t="shared" si="295"/>
        <v>5.882352941176471</v>
      </c>
      <c r="O390" s="66">
        <f t="shared" si="295"/>
        <v>5.882352941176471</v>
      </c>
      <c r="P390" s="66">
        <f t="shared" si="295"/>
        <v>5.882352941176471</v>
      </c>
      <c r="Q390" s="66">
        <f t="shared" si="295"/>
        <v>5.882352941176471</v>
      </c>
      <c r="R390" s="66">
        <f t="shared" si="295"/>
        <v>5.882352941176471</v>
      </c>
      <c r="S390" s="66">
        <f t="shared" si="295"/>
        <v>5.882352941176471</v>
      </c>
      <c r="T390" s="66">
        <f t="shared" si="295"/>
        <v>5.882352941176471</v>
      </c>
      <c r="U390" s="66">
        <f t="shared" si="295"/>
        <v>5.882352941176471</v>
      </c>
      <c r="V390" s="66">
        <f t="shared" si="295"/>
        <v>5.882352941176471</v>
      </c>
      <c r="W390" s="66">
        <f t="shared" si="295"/>
        <v>5.882352941176471</v>
      </c>
      <c r="X390" s="66">
        <f t="shared" si="295"/>
        <v>5.882352941176471</v>
      </c>
      <c r="Y390" s="66">
        <f t="shared" si="295"/>
        <v>5.882352941176471</v>
      </c>
      <c r="Z390" s="66">
        <f t="shared" si="295"/>
        <v>5.882352941176471</v>
      </c>
      <c r="AA390" s="66">
        <f t="shared" si="295"/>
        <v>5.882352941176471</v>
      </c>
      <c r="AB390" s="66">
        <f t="shared" si="295"/>
        <v>5.882352941176471</v>
      </c>
      <c r="AC390" s="66">
        <f t="shared" si="295"/>
        <v>5.882352941176471</v>
      </c>
    </row>
    <row r="391" spans="1:29" x14ac:dyDescent="0.25">
      <c r="A391" s="30" t="str">
        <f t="shared" si="289"/>
        <v>Opex var (mode-fees, shunting)</v>
      </c>
      <c r="B391" s="66">
        <f>B361*B370/B370</f>
        <v>8.9635854341736696</v>
      </c>
      <c r="C391" s="66">
        <f t="shared" ref="C391:AC391" si="296">C361*C370/C370</f>
        <v>8.9635854341736696</v>
      </c>
      <c r="D391" s="66">
        <f t="shared" si="296"/>
        <v>8.9635854341736696</v>
      </c>
      <c r="E391" s="66">
        <f t="shared" si="296"/>
        <v>8.9635854341736696</v>
      </c>
      <c r="F391" s="66">
        <f t="shared" si="296"/>
        <v>8.9635854341736696</v>
      </c>
      <c r="G391" s="66">
        <f t="shared" si="296"/>
        <v>8.9635854341736696</v>
      </c>
      <c r="H391" s="66">
        <f t="shared" si="296"/>
        <v>8.9635854341736696</v>
      </c>
      <c r="I391" s="66">
        <f t="shared" si="296"/>
        <v>8.9635854341736696</v>
      </c>
      <c r="J391" s="66">
        <f t="shared" si="296"/>
        <v>8.9635854341736696</v>
      </c>
      <c r="K391" s="66">
        <f t="shared" si="296"/>
        <v>8.9635854341736696</v>
      </c>
      <c r="L391" s="66">
        <f t="shared" si="296"/>
        <v>8.9635854341736696</v>
      </c>
      <c r="M391" s="66">
        <f t="shared" si="296"/>
        <v>8.9635854341736696</v>
      </c>
      <c r="N391" s="66">
        <f t="shared" si="296"/>
        <v>8.9635854341736696</v>
      </c>
      <c r="O391" s="66">
        <f t="shared" si="296"/>
        <v>8.9635854341736696</v>
      </c>
      <c r="P391" s="66">
        <f t="shared" si="296"/>
        <v>8.9635854341736696</v>
      </c>
      <c r="Q391" s="66">
        <f t="shared" si="296"/>
        <v>8.9635854341736696</v>
      </c>
      <c r="R391" s="66">
        <f t="shared" si="296"/>
        <v>8.9635854341736696</v>
      </c>
      <c r="S391" s="66">
        <f t="shared" si="296"/>
        <v>8.9635854341736696</v>
      </c>
      <c r="T391" s="66">
        <f t="shared" si="296"/>
        <v>8.9635854341736696</v>
      </c>
      <c r="U391" s="66">
        <f t="shared" si="296"/>
        <v>8.9635854341736696</v>
      </c>
      <c r="V391" s="66">
        <f t="shared" si="296"/>
        <v>8.9635854341736696</v>
      </c>
      <c r="W391" s="66">
        <f t="shared" si="296"/>
        <v>8.9635854341736696</v>
      </c>
      <c r="X391" s="66">
        <f t="shared" si="296"/>
        <v>8.9635854341736696</v>
      </c>
      <c r="Y391" s="66">
        <f t="shared" si="296"/>
        <v>8.9635854341736696</v>
      </c>
      <c r="Z391" s="66">
        <f t="shared" si="296"/>
        <v>8.9635854341736696</v>
      </c>
      <c r="AA391" s="66">
        <f t="shared" si="296"/>
        <v>8.9635854341736696</v>
      </c>
      <c r="AB391" s="66">
        <f t="shared" si="296"/>
        <v>8.9635854341736696</v>
      </c>
      <c r="AC391" s="66">
        <f t="shared" si="296"/>
        <v>8.9635854341736696</v>
      </c>
    </row>
    <row r="392" spans="1:29" x14ac:dyDescent="0.25">
      <c r="A392" s="30" t="str">
        <f t="shared" si="289"/>
        <v>Fuel Cost</v>
      </c>
      <c r="B392" s="66">
        <f>B362*B363*B370/B370</f>
        <v>7.6777599999999993</v>
      </c>
      <c r="C392" s="66">
        <f t="shared" ref="C392:AC392" si="297">C362*C363*C370/C370</f>
        <v>7.6777599999999993</v>
      </c>
      <c r="D392" s="66">
        <f t="shared" si="297"/>
        <v>7.6777599999999993</v>
      </c>
      <c r="E392" s="66">
        <f t="shared" si="297"/>
        <v>7.6777599999999993</v>
      </c>
      <c r="F392" s="66">
        <f t="shared" si="297"/>
        <v>7.6777599999999993</v>
      </c>
      <c r="G392" s="66">
        <f t="shared" si="297"/>
        <v>7.6777599999999993</v>
      </c>
      <c r="H392" s="66">
        <f t="shared" si="297"/>
        <v>7.6777599999999993</v>
      </c>
      <c r="I392" s="66">
        <f t="shared" si="297"/>
        <v>7.6777599999999993</v>
      </c>
      <c r="J392" s="66">
        <f t="shared" si="297"/>
        <v>7.6777599999999993</v>
      </c>
      <c r="K392" s="66">
        <f t="shared" si="297"/>
        <v>7.6777599999999993</v>
      </c>
      <c r="L392" s="66">
        <f t="shared" si="297"/>
        <v>7.6777599999999993</v>
      </c>
      <c r="M392" s="66">
        <f t="shared" si="297"/>
        <v>7.6777599999999993</v>
      </c>
      <c r="N392" s="66">
        <f t="shared" si="297"/>
        <v>7.6777599999999993</v>
      </c>
      <c r="O392" s="66">
        <f t="shared" si="297"/>
        <v>7.6777599999999993</v>
      </c>
      <c r="P392" s="66">
        <f t="shared" si="297"/>
        <v>7.6777599999999993</v>
      </c>
      <c r="Q392" s="66">
        <f t="shared" si="297"/>
        <v>7.6777599999999993</v>
      </c>
      <c r="R392" s="66">
        <f t="shared" si="297"/>
        <v>7.6777599999999993</v>
      </c>
      <c r="S392" s="66">
        <f t="shared" si="297"/>
        <v>7.6777599999999993</v>
      </c>
      <c r="T392" s="66">
        <f t="shared" si="297"/>
        <v>7.6777599999999993</v>
      </c>
      <c r="U392" s="66">
        <f t="shared" si="297"/>
        <v>7.6777599999999993</v>
      </c>
      <c r="V392" s="66">
        <f t="shared" si="297"/>
        <v>7.6777599999999993</v>
      </c>
      <c r="W392" s="66">
        <f t="shared" si="297"/>
        <v>7.6777599999999993</v>
      </c>
      <c r="X392" s="66">
        <f t="shared" si="297"/>
        <v>7.6777599999999993</v>
      </c>
      <c r="Y392" s="66">
        <f t="shared" si="297"/>
        <v>7.6777599999999993</v>
      </c>
      <c r="Z392" s="66">
        <f t="shared" si="297"/>
        <v>7.6777599999999993</v>
      </c>
      <c r="AA392" s="66">
        <f t="shared" si="297"/>
        <v>7.6777599999999993</v>
      </c>
      <c r="AB392" s="66">
        <f t="shared" si="297"/>
        <v>7.6777599999999993</v>
      </c>
      <c r="AC392" s="66">
        <f t="shared" si="297"/>
        <v>7.6777599999999993</v>
      </c>
    </row>
    <row r="393" spans="1:29" ht="15.75" thickBot="1" x14ac:dyDescent="0.3">
      <c r="A393" s="59" t="str">
        <f>A344</f>
        <v>Emission Cost</v>
      </c>
      <c r="B393" s="66">
        <f>B364</f>
        <v>2.0582113582797463</v>
      </c>
      <c r="C393" s="66">
        <f t="shared" ref="C393:AC393" si="298">C364</f>
        <v>2.0630736964968874</v>
      </c>
      <c r="D393" s="66">
        <f t="shared" si="298"/>
        <v>2.0700340253548735</v>
      </c>
      <c r="E393" s="66">
        <f t="shared" si="298"/>
        <v>2.0799912652584287</v>
      </c>
      <c r="F393" s="66">
        <f t="shared" si="298"/>
        <v>2.0942223582546799</v>
      </c>
      <c r="G393" s="66">
        <f t="shared" si="298"/>
        <v>2.1145332034270625</v>
      </c>
      <c r="H393" s="66">
        <f t="shared" si="298"/>
        <v>2.1434608297482804</v>
      </c>
      <c r="I393" s="66">
        <f t="shared" si="298"/>
        <v>2.1845339122974496</v>
      </c>
      <c r="J393" s="66">
        <f t="shared" si="298"/>
        <v>2.2425867676094651</v>
      </c>
      <c r="K393" s="66">
        <f t="shared" si="298"/>
        <v>2.3240919291072673</v>
      </c>
      <c r="L393" s="66">
        <f t="shared" si="298"/>
        <v>2.4374136908790356</v>
      </c>
      <c r="M393" s="66">
        <f t="shared" si="298"/>
        <v>2.5927735868925894</v>
      </c>
      <c r="N393" s="66">
        <f t="shared" si="298"/>
        <v>2.8015606394413943</v>
      </c>
      <c r="O393" s="66">
        <f t="shared" si="298"/>
        <v>3.0744856518148742</v>
      </c>
      <c r="P393" s="66">
        <f t="shared" si="298"/>
        <v>3.4181885745847813</v>
      </c>
      <c r="Q393" s="66">
        <f t="shared" si="298"/>
        <v>3.8306222159147274</v>
      </c>
      <c r="R393" s="66">
        <f t="shared" si="298"/>
        <v>4.2969913115595899</v>
      </c>
      <c r="S393" s="66">
        <f t="shared" si="298"/>
        <v>4.7893352523676196</v>
      </c>
      <c r="T393" s="66">
        <f t="shared" si="298"/>
        <v>5.2719907853240588</v>
      </c>
      <c r="U393" s="66">
        <f t="shared" si="298"/>
        <v>5.7113620517407639</v>
      </c>
      <c r="V393" s="66">
        <f t="shared" si="298"/>
        <v>6.0847650605234298</v>
      </c>
      <c r="W393" s="66">
        <f t="shared" si="298"/>
        <v>6.383793997868306</v>
      </c>
      <c r="X393" s="66">
        <f t="shared" si="298"/>
        <v>6.6119663489137848</v>
      </c>
      <c r="Y393" s="66">
        <f t="shared" si="298"/>
        <v>6.7796913263812186</v>
      </c>
      <c r="Z393" s="66">
        <f t="shared" si="298"/>
        <v>6.8996122588494808</v>
      </c>
      <c r="AA393" s="66">
        <f t="shared" si="298"/>
        <v>6.9836591226283362</v>
      </c>
      <c r="AB393" s="66">
        <f t="shared" si="298"/>
        <v>7.0417406714234989</v>
      </c>
      <c r="AC393" s="66">
        <f t="shared" si="298"/>
        <v>7.0814887695786215</v>
      </c>
    </row>
    <row r="394" spans="1:29" ht="15.75" thickBot="1" x14ac:dyDescent="0.3">
      <c r="A394" s="31" t="s">
        <v>63</v>
      </c>
      <c r="B394" s="76">
        <f>B385+B386+B387-B388+B389+B390+B391+B392+B393</f>
        <v>35.955347350345022</v>
      </c>
      <c r="C394" s="76">
        <f t="shared" ref="C394:AC394" si="299">C385+C386+C387-C388+C389+C390+C391+C392+C393</f>
        <v>35.961176029190298</v>
      </c>
      <c r="D394" s="76">
        <f t="shared" si="299"/>
        <v>35.969508423213583</v>
      </c>
      <c r="E394" s="76">
        <f t="shared" si="299"/>
        <v>35.981404945381229</v>
      </c>
      <c r="F394" s="76">
        <f t="shared" si="299"/>
        <v>35.998358755688734</v>
      </c>
      <c r="G394" s="76">
        <f t="shared" si="299"/>
        <v>36.022455166300738</v>
      </c>
      <c r="H394" s="76">
        <f t="shared" si="299"/>
        <v>36.056572661221395</v>
      </c>
      <c r="I394" s="76">
        <f t="shared" si="299"/>
        <v>36.104620371044369</v>
      </c>
      <c r="J394" s="76">
        <f t="shared" si="299"/>
        <v>36.171790411602146</v>
      </c>
      <c r="K394" s="76">
        <f t="shared" si="299"/>
        <v>36.264777126912676</v>
      </c>
      <c r="L394" s="76">
        <f t="shared" si="299"/>
        <v>36.391876423681659</v>
      </c>
      <c r="M394" s="76">
        <f t="shared" si="299"/>
        <v>36.562815593287311</v>
      </c>
      <c r="N394" s="76">
        <f t="shared" si="299"/>
        <v>36.788049621047136</v>
      </c>
      <c r="O394" s="76">
        <f t="shared" si="299"/>
        <v>37.0770979629227</v>
      </c>
      <c r="P394" s="76">
        <f t="shared" si="299"/>
        <v>37.435478284413783</v>
      </c>
      <c r="Q394" s="76">
        <f t="shared" si="299"/>
        <v>37.860385624554965</v>
      </c>
      <c r="R394" s="76">
        <f t="shared" si="299"/>
        <v>38.336743919034724</v>
      </c>
      <c r="S394" s="76">
        <f t="shared" si="299"/>
        <v>38.836710061906075</v>
      </c>
      <c r="T394" s="76">
        <f t="shared" si="299"/>
        <v>39.324968524680536</v>
      </c>
      <c r="U394" s="76">
        <f t="shared" si="299"/>
        <v>39.768345804861426</v>
      </c>
      <c r="V394" s="76">
        <f t="shared" si="299"/>
        <v>40.14455643768607</v>
      </c>
      <c r="W394" s="76">
        <f t="shared" si="299"/>
        <v>40.44552561581402</v>
      </c>
      <c r="X394" s="76">
        <f t="shared" si="299"/>
        <v>40.675025770313248</v>
      </c>
      <c r="Y394" s="76">
        <f t="shared" si="299"/>
        <v>40.843653364882435</v>
      </c>
      <c r="Z394" s="76">
        <f t="shared" si="299"/>
        <v>40.964185088299665</v>
      </c>
      <c r="AA394" s="76">
        <f t="shared" si="299"/>
        <v>41.04864399229038</v>
      </c>
      <c r="AB394" s="76">
        <f t="shared" si="299"/>
        <v>41.107002924509317</v>
      </c>
      <c r="AC394" s="76">
        <f t="shared" si="299"/>
        <v>41.146937493564955</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300">A373</f>
        <v>Capex vehicle</v>
      </c>
      <c r="B397" s="65">
        <f>((1+B358)^B365)*B358/(((1+B358)^B365)-1)*(B354)/B370/(B367)</f>
        <v>7.6317014160409149E-4</v>
      </c>
      <c r="C397" s="65">
        <f t="shared" ref="C397:AC397" si="301">((1+C358)^C365)*C358/(((1+C358)^C365)-1)*(C354)/C370/(C367)</f>
        <v>7.6317014160409149E-4</v>
      </c>
      <c r="D397" s="65">
        <f t="shared" si="301"/>
        <v>7.6317014160409149E-4</v>
      </c>
      <c r="E397" s="65">
        <f t="shared" si="301"/>
        <v>7.6317014160409149E-4</v>
      </c>
      <c r="F397" s="65">
        <f t="shared" si="301"/>
        <v>7.6317014160409149E-4</v>
      </c>
      <c r="G397" s="65">
        <f t="shared" si="301"/>
        <v>7.6317014160409149E-4</v>
      </c>
      <c r="H397" s="65">
        <f t="shared" si="301"/>
        <v>7.6317014160409149E-4</v>
      </c>
      <c r="I397" s="65">
        <f t="shared" si="301"/>
        <v>7.6317014160409149E-4</v>
      </c>
      <c r="J397" s="65">
        <f t="shared" si="301"/>
        <v>7.6317014160409149E-4</v>
      </c>
      <c r="K397" s="65">
        <f t="shared" si="301"/>
        <v>7.6317014160409149E-4</v>
      </c>
      <c r="L397" s="65">
        <f t="shared" si="301"/>
        <v>7.6317014160409149E-4</v>
      </c>
      <c r="M397" s="65">
        <f t="shared" si="301"/>
        <v>7.6317014160409149E-4</v>
      </c>
      <c r="N397" s="65">
        <f t="shared" si="301"/>
        <v>7.6317014160409149E-4</v>
      </c>
      <c r="O397" s="65">
        <f t="shared" si="301"/>
        <v>7.6317014160409149E-4</v>
      </c>
      <c r="P397" s="65">
        <f t="shared" si="301"/>
        <v>7.6317014160409149E-4</v>
      </c>
      <c r="Q397" s="65">
        <f t="shared" si="301"/>
        <v>7.6317014160409149E-4</v>
      </c>
      <c r="R397" s="65">
        <f t="shared" si="301"/>
        <v>7.6317014160409149E-4</v>
      </c>
      <c r="S397" s="65">
        <f t="shared" si="301"/>
        <v>7.6317014160409149E-4</v>
      </c>
      <c r="T397" s="65">
        <f t="shared" si="301"/>
        <v>7.6317014160409149E-4</v>
      </c>
      <c r="U397" s="65">
        <f t="shared" si="301"/>
        <v>7.6317014160409149E-4</v>
      </c>
      <c r="V397" s="65">
        <f t="shared" si="301"/>
        <v>7.6317014160409149E-4</v>
      </c>
      <c r="W397" s="65">
        <f t="shared" si="301"/>
        <v>7.6317014160409149E-4</v>
      </c>
      <c r="X397" s="65">
        <f t="shared" si="301"/>
        <v>7.6317014160409149E-4</v>
      </c>
      <c r="Y397" s="65">
        <f t="shared" si="301"/>
        <v>7.6317014160409149E-4</v>
      </c>
      <c r="Z397" s="65">
        <f t="shared" si="301"/>
        <v>7.6317014160409149E-4</v>
      </c>
      <c r="AA397" s="65">
        <f t="shared" si="301"/>
        <v>7.6317014160409149E-4</v>
      </c>
      <c r="AB397" s="65">
        <f t="shared" si="301"/>
        <v>7.6317014160409149E-4</v>
      </c>
      <c r="AC397" s="65">
        <f t="shared" si="301"/>
        <v>7.6317014160409149E-4</v>
      </c>
    </row>
    <row r="398" spans="1:29" x14ac:dyDescent="0.25">
      <c r="A398" s="30" t="str">
        <f t="shared" si="300"/>
        <v>Residual value (vehicle)</v>
      </c>
      <c r="B398" s="68">
        <f>((1+B358)^B365)*B358/(((1+B358)^B365)-1)*(B355)/B370/(B367)</f>
        <v>-1.1346797345547289E-4</v>
      </c>
      <c r="C398" s="68">
        <f t="shared" ref="C398:AC398" si="302">((1+C358)^C365)*C358/(((1+C358)^C365)-1)*(C355)/C370/(C367)</f>
        <v>-1.1303657138934111E-4</v>
      </c>
      <c r="D398" s="68">
        <f t="shared" si="302"/>
        <v>-1.1242404229769157E-4</v>
      </c>
      <c r="E398" s="68">
        <f t="shared" si="302"/>
        <v>-1.1155829128693258E-4</v>
      </c>
      <c r="F398" s="68">
        <f t="shared" si="302"/>
        <v>-1.1034279248726903E-4</v>
      </c>
      <c r="G398" s="68">
        <f t="shared" si="302"/>
        <v>-1.0865280791600897E-4</v>
      </c>
      <c r="H398" s="68">
        <f t="shared" si="302"/>
        <v>-1.0633590229126001E-4</v>
      </c>
      <c r="I398" s="68">
        <f t="shared" si="302"/>
        <v>-1.0322222940116694E-4</v>
      </c>
      <c r="J398" s="68">
        <f t="shared" si="302"/>
        <v>-9.9152057416450692E-5</v>
      </c>
      <c r="K398" s="68">
        <f t="shared" si="302"/>
        <v>-9.4026363750057009E-5</v>
      </c>
      <c r="L398" s="68">
        <f t="shared" si="302"/>
        <v>-8.7875678483444322E-5</v>
      </c>
      <c r="M398" s="68">
        <f t="shared" si="302"/>
        <v>-8.0920645629828101E-5</v>
      </c>
      <c r="N398" s="68">
        <f t="shared" si="302"/>
        <v>-7.357824598204721E-5</v>
      </c>
      <c r="O398" s="68">
        <f t="shared" si="302"/>
        <v>-6.6380331025761298E-5</v>
      </c>
      <c r="P398" s="68">
        <f t="shared" si="302"/>
        <v>-5.982792088237961E-5</v>
      </c>
      <c r="Q398" s="68">
        <f t="shared" si="302"/>
        <v>-5.4259305341653007E-5</v>
      </c>
      <c r="R398" s="68">
        <f t="shared" si="302"/>
        <v>-4.9799841576070884E-5</v>
      </c>
      <c r="S398" s="68">
        <f t="shared" si="302"/>
        <v>-4.6397072797805602E-5</v>
      </c>
      <c r="T398" s="68">
        <f t="shared" si="302"/>
        <v>-4.3895764843330094E-5</v>
      </c>
      <c r="U398" s="68">
        <f t="shared" si="302"/>
        <v>-4.2107365841462744E-5</v>
      </c>
      <c r="V398" s="68">
        <f t="shared" si="302"/>
        <v>-4.0853962251293284E-5</v>
      </c>
      <c r="W398" s="68">
        <f t="shared" si="302"/>
        <v>-3.9987783330280735E-5</v>
      </c>
      <c r="X398" s="68">
        <f t="shared" si="302"/>
        <v>-3.93950139312806E-5</v>
      </c>
      <c r="Y398" s="68">
        <f t="shared" si="302"/>
        <v>-3.8992059867999029E-5</v>
      </c>
      <c r="Z398" s="68">
        <f t="shared" si="302"/>
        <v>-3.8719385337209372E-5</v>
      </c>
      <c r="AA398" s="68">
        <f t="shared" si="302"/>
        <v>-3.8535438814060903E-5</v>
      </c>
      <c r="AB398" s="68">
        <f t="shared" si="302"/>
        <v>-3.8411606928446129E-5</v>
      </c>
      <c r="AC398" s="68">
        <f t="shared" si="302"/>
        <v>-3.832836099071531E-5</v>
      </c>
    </row>
    <row r="399" spans="1:29" x14ac:dyDescent="0.25">
      <c r="A399" s="30" t="str">
        <f t="shared" si="300"/>
        <v>Capex costumization</v>
      </c>
      <c r="B399" s="66">
        <f>((1+B358)^B366)*B358/(((1+B358)^B366)-1)*(B356)/B370/(B367)</f>
        <v>7.6311881817276459E-4</v>
      </c>
      <c r="C399" s="66">
        <f t="shared" ref="C399:AC399" si="303">((1+C358)^C366)*C358/(((1+C358)^C366)-1)*(C356)/C370/(C367)</f>
        <v>7.6311881817276459E-4</v>
      </c>
      <c r="D399" s="66">
        <f t="shared" si="303"/>
        <v>7.6311881817276459E-4</v>
      </c>
      <c r="E399" s="66">
        <f t="shared" si="303"/>
        <v>7.6311881817276459E-4</v>
      </c>
      <c r="F399" s="66">
        <f t="shared" si="303"/>
        <v>7.6311881817276459E-4</v>
      </c>
      <c r="G399" s="66">
        <f t="shared" si="303"/>
        <v>7.6311881817276459E-4</v>
      </c>
      <c r="H399" s="66">
        <f t="shared" si="303"/>
        <v>7.6311881817276459E-4</v>
      </c>
      <c r="I399" s="66">
        <f t="shared" si="303"/>
        <v>7.6311881817276459E-4</v>
      </c>
      <c r="J399" s="66">
        <f t="shared" si="303"/>
        <v>7.6311881817276459E-4</v>
      </c>
      <c r="K399" s="66">
        <f t="shared" si="303"/>
        <v>7.6311881817276459E-4</v>
      </c>
      <c r="L399" s="66">
        <f t="shared" si="303"/>
        <v>7.6311881817276459E-4</v>
      </c>
      <c r="M399" s="66">
        <f t="shared" si="303"/>
        <v>7.6311881817276459E-4</v>
      </c>
      <c r="N399" s="66">
        <f t="shared" si="303"/>
        <v>7.6311881817276459E-4</v>
      </c>
      <c r="O399" s="66">
        <f t="shared" si="303"/>
        <v>7.6311881817276459E-4</v>
      </c>
      <c r="P399" s="66">
        <f t="shared" si="303"/>
        <v>7.6311881817276459E-4</v>
      </c>
      <c r="Q399" s="66">
        <f t="shared" si="303"/>
        <v>7.6311881817276459E-4</v>
      </c>
      <c r="R399" s="66">
        <f t="shared" si="303"/>
        <v>7.6311881817276459E-4</v>
      </c>
      <c r="S399" s="66">
        <f t="shared" si="303"/>
        <v>7.6311881817276459E-4</v>
      </c>
      <c r="T399" s="66">
        <f t="shared" si="303"/>
        <v>7.6311881817276459E-4</v>
      </c>
      <c r="U399" s="66">
        <f t="shared" si="303"/>
        <v>7.6311881817276459E-4</v>
      </c>
      <c r="V399" s="66">
        <f t="shared" si="303"/>
        <v>7.6311881817276459E-4</v>
      </c>
      <c r="W399" s="66">
        <f t="shared" si="303"/>
        <v>7.6311881817276459E-4</v>
      </c>
      <c r="X399" s="66">
        <f t="shared" si="303"/>
        <v>7.6311881817276459E-4</v>
      </c>
      <c r="Y399" s="66">
        <f t="shared" si="303"/>
        <v>7.6311881817276459E-4</v>
      </c>
      <c r="Z399" s="66">
        <f t="shared" si="303"/>
        <v>7.6311881817276459E-4</v>
      </c>
      <c r="AA399" s="66">
        <f t="shared" si="303"/>
        <v>7.6311881817276459E-4</v>
      </c>
      <c r="AB399" s="66">
        <f t="shared" si="303"/>
        <v>7.6311881817276459E-4</v>
      </c>
      <c r="AC399" s="66">
        <f t="shared" si="303"/>
        <v>7.6311881817276459E-4</v>
      </c>
    </row>
    <row r="400" spans="1:29" x14ac:dyDescent="0.25">
      <c r="A400" s="30" t="str">
        <f t="shared" si="300"/>
        <v>Residual value (costumization)</v>
      </c>
      <c r="B400" s="69">
        <f>((1+B358)^B366)*B358/(((1+B358)^B366)-1)*(B357)/B370/(B367)</f>
        <v>-3.8155940908638231E-5</v>
      </c>
      <c r="C400" s="69">
        <f t="shared" ref="C400:AC400" si="304">((1+C358)^C366)*C358/(((1+C358)^C366)-1)*(C357)/C370/(C367)</f>
        <v>-3.8155940908638231E-5</v>
      </c>
      <c r="D400" s="69">
        <f t="shared" si="304"/>
        <v>-3.8155940908638231E-5</v>
      </c>
      <c r="E400" s="69">
        <f t="shared" si="304"/>
        <v>-3.8155940908638231E-5</v>
      </c>
      <c r="F400" s="69">
        <f t="shared" si="304"/>
        <v>-3.8155940908638231E-5</v>
      </c>
      <c r="G400" s="69">
        <f t="shared" si="304"/>
        <v>-3.8155940908638231E-5</v>
      </c>
      <c r="H400" s="69">
        <f t="shared" si="304"/>
        <v>-3.8155940908638231E-5</v>
      </c>
      <c r="I400" s="69">
        <f t="shared" si="304"/>
        <v>-3.8155940908638231E-5</v>
      </c>
      <c r="J400" s="69">
        <f t="shared" si="304"/>
        <v>-3.8155940908638231E-5</v>
      </c>
      <c r="K400" s="69">
        <f t="shared" si="304"/>
        <v>-3.8155940908638231E-5</v>
      </c>
      <c r="L400" s="69">
        <f t="shared" si="304"/>
        <v>-3.8155940908638231E-5</v>
      </c>
      <c r="M400" s="69">
        <f t="shared" si="304"/>
        <v>-3.8155940908638231E-5</v>
      </c>
      <c r="N400" s="69">
        <f t="shared" si="304"/>
        <v>-3.8155940908638231E-5</v>
      </c>
      <c r="O400" s="69">
        <f t="shared" si="304"/>
        <v>-3.8155940908638231E-5</v>
      </c>
      <c r="P400" s="69">
        <f t="shared" si="304"/>
        <v>-3.8155940908638231E-5</v>
      </c>
      <c r="Q400" s="69">
        <f t="shared" si="304"/>
        <v>-3.8155940908638231E-5</v>
      </c>
      <c r="R400" s="69">
        <f t="shared" si="304"/>
        <v>-3.8155940908638231E-5</v>
      </c>
      <c r="S400" s="69">
        <f t="shared" si="304"/>
        <v>-3.8155940908638231E-5</v>
      </c>
      <c r="T400" s="69">
        <f t="shared" si="304"/>
        <v>-3.8155940908638231E-5</v>
      </c>
      <c r="U400" s="69">
        <f t="shared" si="304"/>
        <v>-3.8155940908638231E-5</v>
      </c>
      <c r="V400" s="69">
        <f t="shared" si="304"/>
        <v>-3.8155940908638231E-5</v>
      </c>
      <c r="W400" s="69">
        <f t="shared" si="304"/>
        <v>-3.8155940908638231E-5</v>
      </c>
      <c r="X400" s="69">
        <f t="shared" si="304"/>
        <v>-3.8155940908638231E-5</v>
      </c>
      <c r="Y400" s="69">
        <f t="shared" si="304"/>
        <v>-3.8155940908638231E-5</v>
      </c>
      <c r="Z400" s="69">
        <f t="shared" si="304"/>
        <v>-3.8155940908638231E-5</v>
      </c>
      <c r="AA400" s="69">
        <f t="shared" si="304"/>
        <v>-3.8155940908638231E-5</v>
      </c>
      <c r="AB400" s="69">
        <f t="shared" si="304"/>
        <v>-3.8155940908638231E-5</v>
      </c>
      <c r="AC400" s="69">
        <f t="shared" si="304"/>
        <v>-3.8155940908638231E-5</v>
      </c>
    </row>
    <row r="401" spans="1:29" x14ac:dyDescent="0.25">
      <c r="A401" s="30" t="str">
        <f t="shared" si="300"/>
        <v>Opex fix (admin, crew, insurance)</v>
      </c>
      <c r="B401" s="66">
        <f>B359/B370/(B367)</f>
        <v>3.6264505802320927E-3</v>
      </c>
      <c r="C401" s="66">
        <f t="shared" ref="C401:AC401" si="305">C359/C370/(C367)</f>
        <v>3.6264505802320927E-3</v>
      </c>
      <c r="D401" s="66">
        <f t="shared" si="305"/>
        <v>3.6264505802320927E-3</v>
      </c>
      <c r="E401" s="66">
        <f t="shared" si="305"/>
        <v>3.6264505802320927E-3</v>
      </c>
      <c r="F401" s="66">
        <f t="shared" si="305"/>
        <v>3.6264505802320927E-3</v>
      </c>
      <c r="G401" s="66">
        <f t="shared" si="305"/>
        <v>3.6264505802320927E-3</v>
      </c>
      <c r="H401" s="66">
        <f t="shared" si="305"/>
        <v>3.6264505802320927E-3</v>
      </c>
      <c r="I401" s="66">
        <f t="shared" si="305"/>
        <v>3.6264505802320927E-3</v>
      </c>
      <c r="J401" s="66">
        <f t="shared" si="305"/>
        <v>3.6264505802320927E-3</v>
      </c>
      <c r="K401" s="66">
        <f t="shared" si="305"/>
        <v>3.6264505802320927E-3</v>
      </c>
      <c r="L401" s="66">
        <f t="shared" si="305"/>
        <v>3.6264505802320927E-3</v>
      </c>
      <c r="M401" s="66">
        <f t="shared" si="305"/>
        <v>3.6264505802320927E-3</v>
      </c>
      <c r="N401" s="66">
        <f t="shared" si="305"/>
        <v>3.6264505802320927E-3</v>
      </c>
      <c r="O401" s="66">
        <f t="shared" si="305"/>
        <v>3.6264505802320927E-3</v>
      </c>
      <c r="P401" s="66">
        <f t="shared" si="305"/>
        <v>3.6264505802320927E-3</v>
      </c>
      <c r="Q401" s="66">
        <f t="shared" si="305"/>
        <v>3.6264505802320927E-3</v>
      </c>
      <c r="R401" s="66">
        <f t="shared" si="305"/>
        <v>3.6264505802320927E-3</v>
      </c>
      <c r="S401" s="66">
        <f t="shared" si="305"/>
        <v>3.6264505802320927E-3</v>
      </c>
      <c r="T401" s="66">
        <f t="shared" si="305"/>
        <v>3.6264505802320927E-3</v>
      </c>
      <c r="U401" s="66">
        <f t="shared" si="305"/>
        <v>3.6264505802320927E-3</v>
      </c>
      <c r="V401" s="66">
        <f t="shared" si="305"/>
        <v>3.6264505802320927E-3</v>
      </c>
      <c r="W401" s="66">
        <f t="shared" si="305"/>
        <v>3.6264505802320927E-3</v>
      </c>
      <c r="X401" s="66">
        <f t="shared" si="305"/>
        <v>3.6264505802320927E-3</v>
      </c>
      <c r="Y401" s="66">
        <f t="shared" si="305"/>
        <v>3.6264505802320927E-3</v>
      </c>
      <c r="Z401" s="66">
        <f t="shared" si="305"/>
        <v>3.6264505802320927E-3</v>
      </c>
      <c r="AA401" s="66">
        <f t="shared" si="305"/>
        <v>3.6264505802320927E-3</v>
      </c>
      <c r="AB401" s="66">
        <f t="shared" si="305"/>
        <v>3.6264505802320927E-3</v>
      </c>
      <c r="AC401" s="66">
        <f t="shared" si="305"/>
        <v>3.6264505802320927E-3</v>
      </c>
    </row>
    <row r="402" spans="1:29" x14ac:dyDescent="0.25">
      <c r="A402" s="30" t="str">
        <f t="shared" si="300"/>
        <v>Opex maintenance &amp; repair</v>
      </c>
      <c r="B402" s="66">
        <f>B360/B370/(B367)</f>
        <v>2.6260504201680674E-3</v>
      </c>
      <c r="C402" s="66">
        <f t="shared" ref="C402:AC402" si="306">C360/C370/(C367)</f>
        <v>2.6260504201680674E-3</v>
      </c>
      <c r="D402" s="66">
        <f t="shared" si="306"/>
        <v>2.6260504201680674E-3</v>
      </c>
      <c r="E402" s="66">
        <f t="shared" si="306"/>
        <v>2.6260504201680674E-3</v>
      </c>
      <c r="F402" s="66">
        <f t="shared" si="306"/>
        <v>2.6260504201680674E-3</v>
      </c>
      <c r="G402" s="66">
        <f t="shared" si="306"/>
        <v>2.6260504201680674E-3</v>
      </c>
      <c r="H402" s="66">
        <f t="shared" si="306"/>
        <v>2.6260504201680674E-3</v>
      </c>
      <c r="I402" s="66">
        <f t="shared" si="306"/>
        <v>2.6260504201680674E-3</v>
      </c>
      <c r="J402" s="66">
        <f t="shared" si="306"/>
        <v>2.6260504201680674E-3</v>
      </c>
      <c r="K402" s="66">
        <f t="shared" si="306"/>
        <v>2.6260504201680674E-3</v>
      </c>
      <c r="L402" s="66">
        <f t="shared" si="306"/>
        <v>2.6260504201680674E-3</v>
      </c>
      <c r="M402" s="66">
        <f t="shared" si="306"/>
        <v>2.6260504201680674E-3</v>
      </c>
      <c r="N402" s="66">
        <f t="shared" si="306"/>
        <v>2.6260504201680674E-3</v>
      </c>
      <c r="O402" s="66">
        <f t="shared" si="306"/>
        <v>2.6260504201680674E-3</v>
      </c>
      <c r="P402" s="66">
        <f t="shared" si="306"/>
        <v>2.6260504201680674E-3</v>
      </c>
      <c r="Q402" s="66">
        <f t="shared" si="306"/>
        <v>2.6260504201680674E-3</v>
      </c>
      <c r="R402" s="66">
        <f t="shared" si="306"/>
        <v>2.6260504201680674E-3</v>
      </c>
      <c r="S402" s="66">
        <f t="shared" si="306"/>
        <v>2.6260504201680674E-3</v>
      </c>
      <c r="T402" s="66">
        <f t="shared" si="306"/>
        <v>2.6260504201680674E-3</v>
      </c>
      <c r="U402" s="66">
        <f t="shared" si="306"/>
        <v>2.6260504201680674E-3</v>
      </c>
      <c r="V402" s="66">
        <f t="shared" si="306"/>
        <v>2.6260504201680674E-3</v>
      </c>
      <c r="W402" s="66">
        <f t="shared" si="306"/>
        <v>2.6260504201680674E-3</v>
      </c>
      <c r="X402" s="66">
        <f t="shared" si="306"/>
        <v>2.6260504201680674E-3</v>
      </c>
      <c r="Y402" s="66">
        <f t="shared" si="306"/>
        <v>2.6260504201680674E-3</v>
      </c>
      <c r="Z402" s="66">
        <f t="shared" si="306"/>
        <v>2.6260504201680674E-3</v>
      </c>
      <c r="AA402" s="66">
        <f t="shared" si="306"/>
        <v>2.6260504201680674E-3</v>
      </c>
      <c r="AB402" s="66">
        <f t="shared" si="306"/>
        <v>2.6260504201680674E-3</v>
      </c>
      <c r="AC402" s="66">
        <f t="shared" si="306"/>
        <v>2.6260504201680674E-3</v>
      </c>
    </row>
    <row r="403" spans="1:29" x14ac:dyDescent="0.25">
      <c r="A403" s="30" t="str">
        <f t="shared" si="300"/>
        <v>Opex var (mode-fees, shunting)</v>
      </c>
      <c r="B403" s="66">
        <f>B361*B370/B370/(B367)</f>
        <v>4.0016006402561026E-3</v>
      </c>
      <c r="C403" s="66">
        <f t="shared" ref="C403:AC403" si="307">C361*C370/C370/(C367)</f>
        <v>4.0016006402561026E-3</v>
      </c>
      <c r="D403" s="66">
        <f t="shared" si="307"/>
        <v>4.0016006402561026E-3</v>
      </c>
      <c r="E403" s="66">
        <f t="shared" si="307"/>
        <v>4.0016006402561026E-3</v>
      </c>
      <c r="F403" s="66">
        <f t="shared" si="307"/>
        <v>4.0016006402561026E-3</v>
      </c>
      <c r="G403" s="66">
        <f t="shared" si="307"/>
        <v>4.0016006402561026E-3</v>
      </c>
      <c r="H403" s="66">
        <f t="shared" si="307"/>
        <v>4.0016006402561026E-3</v>
      </c>
      <c r="I403" s="66">
        <f t="shared" si="307"/>
        <v>4.0016006402561026E-3</v>
      </c>
      <c r="J403" s="66">
        <f t="shared" si="307"/>
        <v>4.0016006402561026E-3</v>
      </c>
      <c r="K403" s="66">
        <f t="shared" si="307"/>
        <v>4.0016006402561026E-3</v>
      </c>
      <c r="L403" s="66">
        <f t="shared" si="307"/>
        <v>4.0016006402561026E-3</v>
      </c>
      <c r="M403" s="66">
        <f t="shared" si="307"/>
        <v>4.0016006402561026E-3</v>
      </c>
      <c r="N403" s="66">
        <f t="shared" si="307"/>
        <v>4.0016006402561026E-3</v>
      </c>
      <c r="O403" s="66">
        <f t="shared" si="307"/>
        <v>4.0016006402561026E-3</v>
      </c>
      <c r="P403" s="66">
        <f t="shared" si="307"/>
        <v>4.0016006402561026E-3</v>
      </c>
      <c r="Q403" s="66">
        <f t="shared" si="307"/>
        <v>4.0016006402561026E-3</v>
      </c>
      <c r="R403" s="66">
        <f t="shared" si="307"/>
        <v>4.0016006402561026E-3</v>
      </c>
      <c r="S403" s="66">
        <f t="shared" si="307"/>
        <v>4.0016006402561026E-3</v>
      </c>
      <c r="T403" s="66">
        <f t="shared" si="307"/>
        <v>4.0016006402561026E-3</v>
      </c>
      <c r="U403" s="66">
        <f t="shared" si="307"/>
        <v>4.0016006402561026E-3</v>
      </c>
      <c r="V403" s="66">
        <f t="shared" si="307"/>
        <v>4.0016006402561026E-3</v>
      </c>
      <c r="W403" s="66">
        <f t="shared" si="307"/>
        <v>4.0016006402561026E-3</v>
      </c>
      <c r="X403" s="66">
        <f t="shared" si="307"/>
        <v>4.0016006402561026E-3</v>
      </c>
      <c r="Y403" s="66">
        <f t="shared" si="307"/>
        <v>4.0016006402561026E-3</v>
      </c>
      <c r="Z403" s="66">
        <f t="shared" si="307"/>
        <v>4.0016006402561026E-3</v>
      </c>
      <c r="AA403" s="66">
        <f t="shared" si="307"/>
        <v>4.0016006402561026E-3</v>
      </c>
      <c r="AB403" s="66">
        <f t="shared" si="307"/>
        <v>4.0016006402561026E-3</v>
      </c>
      <c r="AC403" s="66">
        <f t="shared" si="307"/>
        <v>4.0016006402561026E-3</v>
      </c>
    </row>
    <row r="404" spans="1:29" x14ac:dyDescent="0.25">
      <c r="A404" s="30" t="str">
        <f t="shared" si="300"/>
        <v>Fuel Cost</v>
      </c>
      <c r="B404" s="66">
        <f>B362*B363*B370/B370/(B367)</f>
        <v>3.4275714285714283E-3</v>
      </c>
      <c r="C404" s="66">
        <f t="shared" ref="C404:AC404" si="308">C362*C363*C370/C370/(C367)</f>
        <v>3.4275714285714283E-3</v>
      </c>
      <c r="D404" s="66">
        <f t="shared" si="308"/>
        <v>3.4275714285714283E-3</v>
      </c>
      <c r="E404" s="66">
        <f t="shared" si="308"/>
        <v>3.4275714285714283E-3</v>
      </c>
      <c r="F404" s="66">
        <f t="shared" si="308"/>
        <v>3.4275714285714283E-3</v>
      </c>
      <c r="G404" s="66">
        <f t="shared" si="308"/>
        <v>3.4275714285714283E-3</v>
      </c>
      <c r="H404" s="66">
        <f t="shared" si="308"/>
        <v>3.4275714285714283E-3</v>
      </c>
      <c r="I404" s="66">
        <f t="shared" si="308"/>
        <v>3.4275714285714283E-3</v>
      </c>
      <c r="J404" s="66">
        <f t="shared" si="308"/>
        <v>3.4275714285714283E-3</v>
      </c>
      <c r="K404" s="66">
        <f t="shared" si="308"/>
        <v>3.4275714285714283E-3</v>
      </c>
      <c r="L404" s="66">
        <f t="shared" si="308"/>
        <v>3.4275714285714283E-3</v>
      </c>
      <c r="M404" s="66">
        <f t="shared" si="308"/>
        <v>3.4275714285714283E-3</v>
      </c>
      <c r="N404" s="66">
        <f t="shared" si="308"/>
        <v>3.4275714285714283E-3</v>
      </c>
      <c r="O404" s="66">
        <f t="shared" si="308"/>
        <v>3.4275714285714283E-3</v>
      </c>
      <c r="P404" s="66">
        <f t="shared" si="308"/>
        <v>3.4275714285714283E-3</v>
      </c>
      <c r="Q404" s="66">
        <f t="shared" si="308"/>
        <v>3.4275714285714283E-3</v>
      </c>
      <c r="R404" s="66">
        <f t="shared" si="308"/>
        <v>3.4275714285714283E-3</v>
      </c>
      <c r="S404" s="66">
        <f t="shared" si="308"/>
        <v>3.4275714285714283E-3</v>
      </c>
      <c r="T404" s="66">
        <f t="shared" si="308"/>
        <v>3.4275714285714283E-3</v>
      </c>
      <c r="U404" s="66">
        <f t="shared" si="308"/>
        <v>3.4275714285714283E-3</v>
      </c>
      <c r="V404" s="66">
        <f t="shared" si="308"/>
        <v>3.4275714285714283E-3</v>
      </c>
      <c r="W404" s="66">
        <f t="shared" si="308"/>
        <v>3.4275714285714283E-3</v>
      </c>
      <c r="X404" s="66">
        <f t="shared" si="308"/>
        <v>3.4275714285714283E-3</v>
      </c>
      <c r="Y404" s="66">
        <f t="shared" si="308"/>
        <v>3.4275714285714283E-3</v>
      </c>
      <c r="Z404" s="66">
        <f t="shared" si="308"/>
        <v>3.4275714285714283E-3</v>
      </c>
      <c r="AA404" s="66">
        <f t="shared" si="308"/>
        <v>3.4275714285714283E-3</v>
      </c>
      <c r="AB404" s="66">
        <f t="shared" si="308"/>
        <v>3.4275714285714283E-3</v>
      </c>
      <c r="AC404" s="66">
        <f t="shared" si="308"/>
        <v>3.4275714285714283E-3</v>
      </c>
    </row>
    <row r="405" spans="1:29" x14ac:dyDescent="0.25">
      <c r="A405" s="59" t="str">
        <f>A368</f>
        <v>Market failure (av. utilization)</v>
      </c>
      <c r="B405" s="66">
        <f t="shared" ref="B405:AC405" si="309">B394/B368-B394/B367</f>
        <v>6.2422478038793409E-3</v>
      </c>
      <c r="C405" s="66">
        <f t="shared" si="309"/>
        <v>6.2432597272899827E-3</v>
      </c>
      <c r="D405" s="66">
        <f t="shared" si="309"/>
        <v>6.2447063234745796E-3</v>
      </c>
      <c r="E405" s="66">
        <f t="shared" si="309"/>
        <v>6.2467716919064609E-3</v>
      </c>
      <c r="F405" s="66">
        <f t="shared" si="309"/>
        <v>6.2497150617515165E-3</v>
      </c>
      <c r="G405" s="66">
        <f t="shared" si="309"/>
        <v>6.2538984663716539E-3</v>
      </c>
      <c r="H405" s="66">
        <f t="shared" si="309"/>
        <v>6.2598216425731566E-3</v>
      </c>
      <c r="I405" s="66">
        <f t="shared" si="309"/>
        <v>6.2681632588618696E-3</v>
      </c>
      <c r="J405" s="66">
        <f t="shared" si="309"/>
        <v>6.2798247242364831E-3</v>
      </c>
      <c r="K405" s="66">
        <f t="shared" si="309"/>
        <v>6.2959682512001153E-3</v>
      </c>
      <c r="L405" s="66">
        <f t="shared" si="309"/>
        <v>6.3180341013336187E-3</v>
      </c>
      <c r="M405" s="66">
        <f t="shared" si="309"/>
        <v>6.3477110405012645E-3</v>
      </c>
      <c r="N405" s="66">
        <f t="shared" si="309"/>
        <v>6.3868141703206788E-3</v>
      </c>
      <c r="O405" s="66">
        <f t="shared" si="309"/>
        <v>6.4369961741185221E-3</v>
      </c>
      <c r="P405" s="66">
        <f t="shared" si="309"/>
        <v>6.4992149799329435E-3</v>
      </c>
      <c r="Q405" s="66">
        <f t="shared" si="309"/>
        <v>6.5729836153741242E-3</v>
      </c>
      <c r="R405" s="66">
        <f t="shared" si="309"/>
        <v>6.6556847081657503E-3</v>
      </c>
      <c r="S405" s="66">
        <f t="shared" si="309"/>
        <v>6.7424843857475797E-3</v>
      </c>
      <c r="T405" s="66">
        <f t="shared" si="309"/>
        <v>6.8272514799792572E-3</v>
      </c>
      <c r="U405" s="66">
        <f t="shared" si="309"/>
        <v>6.9042267022328824E-3</v>
      </c>
      <c r="V405" s="66">
        <f t="shared" si="309"/>
        <v>6.9695410482093836E-3</v>
      </c>
      <c r="W405" s="66">
        <f t="shared" si="309"/>
        <v>7.021792641634373E-3</v>
      </c>
      <c r="X405" s="66">
        <f t="shared" si="309"/>
        <v>7.0616364184571609E-3</v>
      </c>
      <c r="Y405" s="66">
        <f t="shared" si="309"/>
        <v>7.0909120425143093E-3</v>
      </c>
      <c r="Z405" s="66">
        <f t="shared" si="309"/>
        <v>7.1118376889409141E-3</v>
      </c>
      <c r="AA405" s="66">
        <f t="shared" si="309"/>
        <v>7.1265006931059659E-3</v>
      </c>
      <c r="AB405" s="66">
        <f t="shared" si="309"/>
        <v>7.1366324521717518E-3</v>
      </c>
      <c r="AC405" s="66">
        <f t="shared" si="309"/>
        <v>7.1435655370772483E-3</v>
      </c>
    </row>
    <row r="406" spans="1:29" x14ac:dyDescent="0.25">
      <c r="A406" s="59" t="str">
        <f>A369</f>
        <v>Payload loss (fuel)</v>
      </c>
      <c r="B406" s="66">
        <f>B394/(B367-B369)-B394/B367</f>
        <v>0</v>
      </c>
      <c r="C406" s="66">
        <f t="shared" ref="C406:AC406" si="310">C394/(C367-C369)-C394/C367</f>
        <v>0</v>
      </c>
      <c r="D406" s="66">
        <f t="shared" si="310"/>
        <v>0</v>
      </c>
      <c r="E406" s="66">
        <f t="shared" si="310"/>
        <v>0</v>
      </c>
      <c r="F406" s="66">
        <f t="shared" si="310"/>
        <v>0</v>
      </c>
      <c r="G406" s="66">
        <f t="shared" si="310"/>
        <v>0</v>
      </c>
      <c r="H406" s="66">
        <f t="shared" si="310"/>
        <v>0</v>
      </c>
      <c r="I406" s="66">
        <f t="shared" si="310"/>
        <v>0</v>
      </c>
      <c r="J406" s="66">
        <f t="shared" si="310"/>
        <v>0</v>
      </c>
      <c r="K406" s="66">
        <f t="shared" si="310"/>
        <v>0</v>
      </c>
      <c r="L406" s="66">
        <f t="shared" si="310"/>
        <v>0</v>
      </c>
      <c r="M406" s="66">
        <f t="shared" si="310"/>
        <v>0</v>
      </c>
      <c r="N406" s="66">
        <f t="shared" si="310"/>
        <v>0</v>
      </c>
      <c r="O406" s="66">
        <f t="shared" si="310"/>
        <v>0</v>
      </c>
      <c r="P406" s="66">
        <f t="shared" si="310"/>
        <v>0</v>
      </c>
      <c r="Q406" s="66">
        <f t="shared" si="310"/>
        <v>0</v>
      </c>
      <c r="R406" s="66">
        <f t="shared" si="310"/>
        <v>0</v>
      </c>
      <c r="S406" s="66">
        <f t="shared" si="310"/>
        <v>0</v>
      </c>
      <c r="T406" s="66">
        <f t="shared" si="310"/>
        <v>0</v>
      </c>
      <c r="U406" s="66">
        <f t="shared" si="310"/>
        <v>0</v>
      </c>
      <c r="V406" s="66">
        <f t="shared" si="310"/>
        <v>0</v>
      </c>
      <c r="W406" s="66">
        <f t="shared" si="310"/>
        <v>0</v>
      </c>
      <c r="X406" s="66">
        <f t="shared" si="310"/>
        <v>0</v>
      </c>
      <c r="Y406" s="66">
        <f t="shared" si="310"/>
        <v>0</v>
      </c>
      <c r="Z406" s="66">
        <f t="shared" si="310"/>
        <v>0</v>
      </c>
      <c r="AA406" s="66">
        <f t="shared" si="310"/>
        <v>0</v>
      </c>
      <c r="AB406" s="66">
        <f t="shared" si="310"/>
        <v>0</v>
      </c>
      <c r="AC406" s="66">
        <f t="shared" si="310"/>
        <v>0</v>
      </c>
    </row>
    <row r="407" spans="1:29" ht="15.75" thickBot="1" x14ac:dyDescent="0.3">
      <c r="A407" s="59" t="str">
        <f>A344</f>
        <v>Emission Cost</v>
      </c>
      <c r="B407" s="66">
        <f>B364*B370/B370/(B367)</f>
        <v>9.1884435637488678E-4</v>
      </c>
      <c r="C407" s="66">
        <f t="shared" ref="C407:AC407" si="311">C364*C370/C370/(C367)</f>
        <v>9.2101504307896766E-4</v>
      </c>
      <c r="D407" s="66">
        <f t="shared" si="311"/>
        <v>9.2412233274771132E-4</v>
      </c>
      <c r="E407" s="66">
        <f t="shared" si="311"/>
        <v>9.2856752913322708E-4</v>
      </c>
      <c r="F407" s="66">
        <f t="shared" si="311"/>
        <v>9.3492069564941069E-4</v>
      </c>
      <c r="G407" s="66">
        <f t="shared" si="311"/>
        <v>9.4398803724422429E-4</v>
      </c>
      <c r="H407" s="66">
        <f t="shared" si="311"/>
        <v>9.5690215613762522E-4</v>
      </c>
      <c r="I407" s="66">
        <f t="shared" si="311"/>
        <v>9.752383537042186E-4</v>
      </c>
      <c r="J407" s="66">
        <f t="shared" si="311"/>
        <v>1.0011548069685111E-3</v>
      </c>
      <c r="K407" s="66">
        <f t="shared" si="311"/>
        <v>1.0375410397800301E-3</v>
      </c>
      <c r="L407" s="66">
        <f t="shared" si="311"/>
        <v>1.0881311119995696E-3</v>
      </c>
      <c r="M407" s="66">
        <f t="shared" si="311"/>
        <v>1.1574882084341917E-3</v>
      </c>
      <c r="N407" s="66">
        <f t="shared" si="311"/>
        <v>1.2506967140363367E-3</v>
      </c>
      <c r="O407" s="66">
        <f t="shared" si="311"/>
        <v>1.3725382374173548E-3</v>
      </c>
      <c r="P407" s="66">
        <f t="shared" si="311"/>
        <v>1.5259770422253488E-3</v>
      </c>
      <c r="Q407" s="66">
        <f t="shared" si="311"/>
        <v>1.7100992035333602E-3</v>
      </c>
      <c r="R407" s="66">
        <f t="shared" si="311"/>
        <v>1.9182996926605312E-3</v>
      </c>
      <c r="S407" s="66">
        <f t="shared" si="311"/>
        <v>2.138096094806973E-3</v>
      </c>
      <c r="T407" s="66">
        <f t="shared" si="311"/>
        <v>2.3535673148768121E-3</v>
      </c>
      <c r="U407" s="66">
        <f t="shared" si="311"/>
        <v>2.5497152016699838E-3</v>
      </c>
      <c r="V407" s="66">
        <f t="shared" si="311"/>
        <v>2.7164129734479599E-3</v>
      </c>
      <c r="W407" s="66">
        <f t="shared" si="311"/>
        <v>2.8499080347626367E-3</v>
      </c>
      <c r="X407" s="66">
        <f t="shared" si="311"/>
        <v>2.9517706914793684E-3</v>
      </c>
      <c r="Y407" s="66">
        <f t="shared" si="311"/>
        <v>3.0266479135630442E-3</v>
      </c>
      <c r="Z407" s="66">
        <f t="shared" si="311"/>
        <v>3.0801840441292321E-3</v>
      </c>
      <c r="AA407" s="66">
        <f t="shared" si="311"/>
        <v>3.1177049654590788E-3</v>
      </c>
      <c r="AB407" s="66">
        <f t="shared" si="311"/>
        <v>3.1436342283140619E-3</v>
      </c>
      <c r="AC407" s="66">
        <f t="shared" si="311"/>
        <v>3.1613789149904556E-3</v>
      </c>
    </row>
    <row r="408" spans="1:29" ht="15.75" thickBot="1" x14ac:dyDescent="0.3">
      <c r="A408" s="31" t="s">
        <v>210</v>
      </c>
      <c r="B408" s="67">
        <f>B397+B398+B399+B400+B401+B402+B403+B404+B405+B406+B407</f>
        <v>2.2217430274894662E-2</v>
      </c>
      <c r="C408" s="67">
        <f t="shared" ref="C408:AC408" si="312">C397+C398+C399+C400+C401+C402+C403+C404+C405+C406+C407</f>
        <v>2.2221044287075518E-2</v>
      </c>
      <c r="D408" s="67">
        <f t="shared" si="312"/>
        <v>2.2226210702020507E-2</v>
      </c>
      <c r="E408" s="67">
        <f t="shared" si="312"/>
        <v>2.2233587017848666E-2</v>
      </c>
      <c r="F408" s="67">
        <f t="shared" si="312"/>
        <v>2.2244099053009569E-2</v>
      </c>
      <c r="G408" s="67">
        <f t="shared" si="312"/>
        <v>2.225903978379578E-2</v>
      </c>
      <c r="H408" s="67">
        <f t="shared" si="312"/>
        <v>2.2280193984515431E-2</v>
      </c>
      <c r="I408" s="67">
        <f t="shared" si="312"/>
        <v>2.230998547126083E-2</v>
      </c>
      <c r="J408" s="67">
        <f t="shared" si="312"/>
        <v>2.2351633561884451E-2</v>
      </c>
      <c r="K408" s="67">
        <f t="shared" si="312"/>
        <v>2.2409289015325996E-2</v>
      </c>
      <c r="L408" s="67">
        <f t="shared" si="312"/>
        <v>2.2488095622945653E-2</v>
      </c>
      <c r="M408" s="67">
        <f t="shared" si="312"/>
        <v>2.2594084691401537E-2</v>
      </c>
      <c r="N408" s="67">
        <f t="shared" si="312"/>
        <v>2.2733738726470876E-2</v>
      </c>
      <c r="O408" s="67">
        <f t="shared" si="312"/>
        <v>2.2912960168606025E-2</v>
      </c>
      <c r="P408" s="67">
        <f t="shared" si="312"/>
        <v>2.3135170189371824E-2</v>
      </c>
      <c r="Q408" s="67">
        <f t="shared" si="312"/>
        <v>2.3398629601661742E-2</v>
      </c>
      <c r="R408" s="67">
        <f t="shared" si="312"/>
        <v>2.3693990647346119E-2</v>
      </c>
      <c r="S408" s="67">
        <f t="shared" si="312"/>
        <v>2.4003989495852657E-2</v>
      </c>
      <c r="T408" s="67">
        <f t="shared" si="312"/>
        <v>2.430672911810865E-2</v>
      </c>
      <c r="U408" s="67">
        <f t="shared" si="312"/>
        <v>2.4581640626157312E-2</v>
      </c>
      <c r="V408" s="67">
        <f t="shared" si="312"/>
        <v>2.481490614750196E-2</v>
      </c>
      <c r="W408" s="67">
        <f t="shared" si="312"/>
        <v>2.5001518981162638E-2</v>
      </c>
      <c r="X408" s="67">
        <f t="shared" si="312"/>
        <v>2.514381818410116E-2</v>
      </c>
      <c r="Y408" s="67">
        <f t="shared" si="312"/>
        <v>2.5248373984305263E-2</v>
      </c>
      <c r="Z408" s="67">
        <f t="shared" si="312"/>
        <v>2.5323108435828846E-2</v>
      </c>
      <c r="AA408" s="67">
        <f t="shared" si="312"/>
        <v>2.5375476307846895E-2</v>
      </c>
      <c r="AB408" s="67">
        <f t="shared" si="312"/>
        <v>2.5411661161653276E-2</v>
      </c>
      <c r="AC408" s="67">
        <f t="shared" si="312"/>
        <v>2.5436422179172895E-2</v>
      </c>
    </row>
    <row r="410" spans="1:29" x14ac:dyDescent="0.25">
      <c r="B410" s="40"/>
    </row>
    <row r="429" spans="1:1" s="3" customFormat="1" ht="21" x14ac:dyDescent="0.35">
      <c r="A429" s="2" t="str">
        <f>'Parameter Input'!A137</f>
        <v>Railway long-haul:  Neo bulk</v>
      </c>
    </row>
    <row r="430" spans="1:1" s="3" customFormat="1" ht="21" x14ac:dyDescent="0.35">
      <c r="A430" s="2" t="s">
        <v>11</v>
      </c>
    </row>
    <row r="431" spans="1:1" x14ac:dyDescent="0.25">
      <c r="A431" s="33" t="s">
        <v>195</v>
      </c>
    </row>
    <row r="432" spans="1:1" x14ac:dyDescent="0.25">
      <c r="A432" s="33" t="s">
        <v>196</v>
      </c>
    </row>
    <row r="433" spans="1:44" ht="15.75" thickBot="1" x14ac:dyDescent="0.3">
      <c r="A433" s="34" t="s">
        <v>197</v>
      </c>
      <c r="B433" s="34"/>
    </row>
    <row r="434" spans="1:44" ht="15.75" thickBot="1" x14ac:dyDescent="0.3">
      <c r="A434" s="39" t="s">
        <v>198</v>
      </c>
      <c r="B434" s="35"/>
    </row>
    <row r="435" spans="1:44" ht="15.75" thickBot="1" x14ac:dyDescent="0.3">
      <c r="A435" s="38" t="s">
        <v>199</v>
      </c>
      <c r="B435" s="36"/>
    </row>
    <row r="436" spans="1:44" ht="15.75" thickBot="1" x14ac:dyDescent="0.3"/>
    <row r="437" spans="1:44" x14ac:dyDescent="0.25">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18</v>
      </c>
      <c r="B439" s="41">
        <f>'Parameter Input'!$L$91</f>
        <v>3500000</v>
      </c>
      <c r="C439" s="42">
        <f>'Parameter Input'!$M$91</f>
        <v>3500000</v>
      </c>
      <c r="D439" s="1" t="s">
        <v>15</v>
      </c>
      <c r="L439" s="51">
        <f>'Parameter Input'!$O$91</f>
        <v>12</v>
      </c>
      <c r="M439" s="52">
        <v>0</v>
      </c>
      <c r="N439" s="52">
        <v>1</v>
      </c>
      <c r="O439" s="52">
        <f>'Parameter Input'!$P$91</f>
        <v>0.9</v>
      </c>
      <c r="P439" s="53">
        <f>'Parameter Input'!$Q$91</f>
        <v>0.4</v>
      </c>
      <c r="Q439" s="4">
        <f t="shared" ref="Q439:AR448" si="313">$N439+($M439-$N439)*((1/(1+EXP(-$P439*(Q$9-$L439)))^$O439))</f>
        <v>0.9867978615748374</v>
      </c>
      <c r="R439" s="4">
        <f t="shared" si="313"/>
        <v>0.98114509762858249</v>
      </c>
      <c r="S439" s="4">
        <f t="shared" si="313"/>
        <v>0.97311898315872036</v>
      </c>
      <c r="T439" s="4">
        <f t="shared" si="313"/>
        <v>0.96177484161592774</v>
      </c>
      <c r="U439" s="4">
        <f t="shared" si="313"/>
        <v>0.94584787155511363</v>
      </c>
      <c r="V439" s="4">
        <f t="shared" si="313"/>
        <v>0.92370360150141495</v>
      </c>
      <c r="W439" s="4">
        <f t="shared" si="313"/>
        <v>0.89334463567658451</v>
      </c>
      <c r="X439" s="4">
        <f t="shared" si="313"/>
        <v>0.85254543874327005</v>
      </c>
      <c r="Y439" s="4">
        <f t="shared" si="313"/>
        <v>0.79921300652623883</v>
      </c>
      <c r="Z439" s="4">
        <f t="shared" si="313"/>
        <v>0.73204982249993378</v>
      </c>
      <c r="AA439" s="4">
        <f t="shared" si="313"/>
        <v>0.65145592958786691</v>
      </c>
      <c r="AB439" s="4">
        <f t="shared" si="313"/>
        <v>0.56032247880849573</v>
      </c>
      <c r="AC439" s="4">
        <f t="shared" si="313"/>
        <v>0.46411326873185343</v>
      </c>
      <c r="AD439" s="4">
        <f t="shared" si="313"/>
        <v>0.36979727595523937</v>
      </c>
      <c r="AE439" s="4">
        <f t="shared" si="313"/>
        <v>0.28393948637231203</v>
      </c>
      <c r="AF439" s="4">
        <f t="shared" si="313"/>
        <v>0.21097259161117732</v>
      </c>
      <c r="AG439" s="4">
        <f t="shared" si="313"/>
        <v>0.15253917653798199</v>
      </c>
      <c r="AH439" s="4">
        <f t="shared" si="313"/>
        <v>0.10795188737709993</v>
      </c>
      <c r="AI439" s="4">
        <f t="shared" si="313"/>
        <v>7.5176653938091809E-2</v>
      </c>
      <c r="AJ439" s="4">
        <f t="shared" si="313"/>
        <v>5.1742836177502194E-2</v>
      </c>
      <c r="AK439" s="4">
        <f t="shared" si="313"/>
        <v>3.5319190625345942E-2</v>
      </c>
      <c r="AL439" s="4">
        <f t="shared" si="313"/>
        <v>2.3969442072658165E-2</v>
      </c>
      <c r="AM439" s="4">
        <f t="shared" si="313"/>
        <v>1.6202243558389728E-2</v>
      </c>
      <c r="AN439" s="4">
        <f t="shared" si="313"/>
        <v>1.0922240564108399E-2</v>
      </c>
      <c r="AO439" s="4">
        <f t="shared" si="313"/>
        <v>7.3493212906090566E-3</v>
      </c>
      <c r="AP439" s="4">
        <f t="shared" si="313"/>
        <v>4.9390262185057265E-3</v>
      </c>
      <c r="AQ439" s="4">
        <f t="shared" si="313"/>
        <v>3.3164275492956197E-3</v>
      </c>
      <c r="AR439" s="4">
        <f t="shared" si="313"/>
        <v>2.2256362146679809E-3</v>
      </c>
    </row>
    <row r="440" spans="1:44" x14ac:dyDescent="0.25">
      <c r="A440" s="24" t="s">
        <v>28</v>
      </c>
      <c r="B440" s="60">
        <f>'Parameter Input'!$L$92</f>
        <v>-525000</v>
      </c>
      <c r="C440" s="61">
        <f>'Parameter Input'!$M$92</f>
        <v>-175000</v>
      </c>
      <c r="D440" s="1" t="s">
        <v>15</v>
      </c>
      <c r="L440" s="54">
        <f>'Parameter Input'!$O$92</f>
        <v>12</v>
      </c>
      <c r="M440" s="37">
        <v>0</v>
      </c>
      <c r="N440" s="37">
        <v>1</v>
      </c>
      <c r="O440" s="37">
        <f>'Parameter Input'!$P$92</f>
        <v>0.9</v>
      </c>
      <c r="P440" s="55">
        <f>'Parameter Input'!$Q$92</f>
        <v>0.4</v>
      </c>
      <c r="Q440" s="4">
        <f t="shared" si="313"/>
        <v>0.9867978615748374</v>
      </c>
      <c r="R440" s="4">
        <f t="shared" si="313"/>
        <v>0.98114509762858249</v>
      </c>
      <c r="S440" s="4">
        <f t="shared" si="313"/>
        <v>0.97311898315872036</v>
      </c>
      <c r="T440" s="4">
        <f t="shared" si="313"/>
        <v>0.96177484161592774</v>
      </c>
      <c r="U440" s="4">
        <f t="shared" si="313"/>
        <v>0.94584787155511363</v>
      </c>
      <c r="V440" s="4">
        <f t="shared" si="313"/>
        <v>0.92370360150141495</v>
      </c>
      <c r="W440" s="4">
        <f t="shared" si="313"/>
        <v>0.89334463567658451</v>
      </c>
      <c r="X440" s="4">
        <f t="shared" si="313"/>
        <v>0.85254543874327005</v>
      </c>
      <c r="Y440" s="4">
        <f t="shared" si="313"/>
        <v>0.79921300652623883</v>
      </c>
      <c r="Z440" s="4">
        <f t="shared" si="313"/>
        <v>0.73204982249993378</v>
      </c>
      <c r="AA440" s="4">
        <f t="shared" si="313"/>
        <v>0.65145592958786691</v>
      </c>
      <c r="AB440" s="4">
        <f t="shared" si="313"/>
        <v>0.56032247880849573</v>
      </c>
      <c r="AC440" s="4">
        <f t="shared" si="313"/>
        <v>0.46411326873185343</v>
      </c>
      <c r="AD440" s="4">
        <f t="shared" si="313"/>
        <v>0.36979727595523937</v>
      </c>
      <c r="AE440" s="4">
        <f t="shared" si="313"/>
        <v>0.28393948637231203</v>
      </c>
      <c r="AF440" s="4">
        <f t="shared" si="313"/>
        <v>0.21097259161117732</v>
      </c>
      <c r="AG440" s="4">
        <f t="shared" si="313"/>
        <v>0.15253917653798199</v>
      </c>
      <c r="AH440" s="4">
        <f t="shared" si="313"/>
        <v>0.10795188737709993</v>
      </c>
      <c r="AI440" s="4">
        <f t="shared" si="313"/>
        <v>7.5176653938091809E-2</v>
      </c>
      <c r="AJ440" s="4">
        <f t="shared" si="313"/>
        <v>5.1742836177502194E-2</v>
      </c>
      <c r="AK440" s="4">
        <f t="shared" si="313"/>
        <v>3.5319190625345942E-2</v>
      </c>
      <c r="AL440" s="4">
        <f t="shared" si="313"/>
        <v>2.3969442072658165E-2</v>
      </c>
      <c r="AM440" s="4">
        <f t="shared" si="313"/>
        <v>1.6202243558389728E-2</v>
      </c>
      <c r="AN440" s="4">
        <f t="shared" si="313"/>
        <v>1.0922240564108399E-2</v>
      </c>
      <c r="AO440" s="4">
        <f t="shared" si="313"/>
        <v>7.3493212906090566E-3</v>
      </c>
      <c r="AP440" s="4">
        <f t="shared" si="313"/>
        <v>4.9390262185057265E-3</v>
      </c>
      <c r="AQ440" s="4">
        <f t="shared" si="313"/>
        <v>3.3164275492956197E-3</v>
      </c>
      <c r="AR440" s="4">
        <f t="shared" si="313"/>
        <v>2.2256362146679809E-3</v>
      </c>
    </row>
    <row r="441" spans="1:44" x14ac:dyDescent="0.25">
      <c r="A441" s="24" t="s">
        <v>14</v>
      </c>
      <c r="B441" s="43">
        <f>'Parameter Input'!B138</f>
        <v>3500000</v>
      </c>
      <c r="C441" s="44">
        <f>'Parameter Input'!C138</f>
        <v>3500000</v>
      </c>
      <c r="D441" s="1" t="s">
        <v>15</v>
      </c>
      <c r="L441" s="54">
        <f>'Parameter Input'!E138</f>
        <v>12</v>
      </c>
      <c r="M441" s="37">
        <v>0</v>
      </c>
      <c r="N441" s="37">
        <v>1</v>
      </c>
      <c r="O441" s="37">
        <f>'Parameter Input'!F138</f>
        <v>0.9</v>
      </c>
      <c r="P441" s="55">
        <f>'Parameter Input'!G138</f>
        <v>0.4</v>
      </c>
      <c r="Q441" s="4">
        <f t="shared" si="313"/>
        <v>0.9867978615748374</v>
      </c>
      <c r="R441" s="4">
        <f t="shared" si="313"/>
        <v>0.98114509762858249</v>
      </c>
      <c r="S441" s="4">
        <f t="shared" si="313"/>
        <v>0.97311898315872036</v>
      </c>
      <c r="T441" s="4">
        <f t="shared" si="313"/>
        <v>0.96177484161592774</v>
      </c>
      <c r="U441" s="4">
        <f t="shared" si="313"/>
        <v>0.94584787155511363</v>
      </c>
      <c r="V441" s="4">
        <f t="shared" si="313"/>
        <v>0.92370360150141495</v>
      </c>
      <c r="W441" s="4">
        <f t="shared" si="313"/>
        <v>0.89334463567658451</v>
      </c>
      <c r="X441" s="4">
        <f t="shared" si="313"/>
        <v>0.85254543874327005</v>
      </c>
      <c r="Y441" s="4">
        <f t="shared" si="313"/>
        <v>0.79921300652623883</v>
      </c>
      <c r="Z441" s="4">
        <f t="shared" si="313"/>
        <v>0.73204982249993378</v>
      </c>
      <c r="AA441" s="4">
        <f t="shared" si="313"/>
        <v>0.65145592958786691</v>
      </c>
      <c r="AB441" s="4">
        <f t="shared" si="313"/>
        <v>0.56032247880849573</v>
      </c>
      <c r="AC441" s="4">
        <f t="shared" si="313"/>
        <v>0.46411326873185343</v>
      </c>
      <c r="AD441" s="4">
        <f t="shared" si="313"/>
        <v>0.36979727595523937</v>
      </c>
      <c r="AE441" s="4">
        <f t="shared" si="313"/>
        <v>0.28393948637231203</v>
      </c>
      <c r="AF441" s="4">
        <f t="shared" si="313"/>
        <v>0.21097259161117732</v>
      </c>
      <c r="AG441" s="4">
        <f t="shared" si="313"/>
        <v>0.15253917653798199</v>
      </c>
      <c r="AH441" s="4">
        <f t="shared" si="313"/>
        <v>0.10795188737709993</v>
      </c>
      <c r="AI441" s="4">
        <f t="shared" si="313"/>
        <v>7.5176653938091809E-2</v>
      </c>
      <c r="AJ441" s="4">
        <f t="shared" si="313"/>
        <v>5.1742836177502194E-2</v>
      </c>
      <c r="AK441" s="4">
        <f t="shared" si="313"/>
        <v>3.5319190625345942E-2</v>
      </c>
      <c r="AL441" s="4">
        <f t="shared" si="313"/>
        <v>2.3969442072658165E-2</v>
      </c>
      <c r="AM441" s="4">
        <f t="shared" si="313"/>
        <v>1.6202243558389728E-2</v>
      </c>
      <c r="AN441" s="4">
        <f t="shared" si="313"/>
        <v>1.0922240564108399E-2</v>
      </c>
      <c r="AO441" s="4">
        <f t="shared" si="313"/>
        <v>7.3493212906090566E-3</v>
      </c>
      <c r="AP441" s="4">
        <f t="shared" si="313"/>
        <v>4.9390262185057265E-3</v>
      </c>
      <c r="AQ441" s="4">
        <f t="shared" si="313"/>
        <v>3.3164275492956197E-3</v>
      </c>
      <c r="AR441" s="4">
        <f t="shared" si="313"/>
        <v>2.2256362146679809E-3</v>
      </c>
    </row>
    <row r="442" spans="1:44" x14ac:dyDescent="0.25">
      <c r="A442" s="24" t="s">
        <v>25</v>
      </c>
      <c r="B442" s="60">
        <f>'Parameter Input'!B139</f>
        <v>-175000</v>
      </c>
      <c r="C442" s="61">
        <f>'Parameter Input'!C139</f>
        <v>-175000</v>
      </c>
      <c r="D442" s="1" t="s">
        <v>15</v>
      </c>
      <c r="L442" s="54">
        <f>'Parameter Input'!E139</f>
        <v>12</v>
      </c>
      <c r="M442" s="37">
        <v>0</v>
      </c>
      <c r="N442" s="37">
        <v>1</v>
      </c>
      <c r="O442" s="37">
        <f>'Parameter Input'!F139</f>
        <v>0.9</v>
      </c>
      <c r="P442" s="55">
        <f>'Parameter Input'!G139</f>
        <v>0.4</v>
      </c>
      <c r="Q442" s="4">
        <f t="shared" si="313"/>
        <v>0.9867978615748374</v>
      </c>
      <c r="R442" s="4">
        <f t="shared" si="313"/>
        <v>0.98114509762858249</v>
      </c>
      <c r="S442" s="4">
        <f t="shared" si="313"/>
        <v>0.97311898315872036</v>
      </c>
      <c r="T442" s="4">
        <f t="shared" si="313"/>
        <v>0.96177484161592774</v>
      </c>
      <c r="U442" s="4">
        <f t="shared" si="313"/>
        <v>0.94584787155511363</v>
      </c>
      <c r="V442" s="4">
        <f t="shared" si="313"/>
        <v>0.92370360150141495</v>
      </c>
      <c r="W442" s="4">
        <f t="shared" si="313"/>
        <v>0.89334463567658451</v>
      </c>
      <c r="X442" s="4">
        <f t="shared" si="313"/>
        <v>0.85254543874327005</v>
      </c>
      <c r="Y442" s="4">
        <f t="shared" si="313"/>
        <v>0.79921300652623883</v>
      </c>
      <c r="Z442" s="4">
        <f t="shared" si="313"/>
        <v>0.73204982249993378</v>
      </c>
      <c r="AA442" s="4">
        <f t="shared" si="313"/>
        <v>0.65145592958786691</v>
      </c>
      <c r="AB442" s="4">
        <f t="shared" si="313"/>
        <v>0.56032247880849573</v>
      </c>
      <c r="AC442" s="4">
        <f t="shared" si="313"/>
        <v>0.46411326873185343</v>
      </c>
      <c r="AD442" s="4">
        <f t="shared" si="313"/>
        <v>0.36979727595523937</v>
      </c>
      <c r="AE442" s="4">
        <f t="shared" si="313"/>
        <v>0.28393948637231203</v>
      </c>
      <c r="AF442" s="4">
        <f t="shared" si="313"/>
        <v>0.21097259161117732</v>
      </c>
      <c r="AG442" s="4">
        <f t="shared" si="313"/>
        <v>0.15253917653798199</v>
      </c>
      <c r="AH442" s="4">
        <f t="shared" si="313"/>
        <v>0.10795188737709993</v>
      </c>
      <c r="AI442" s="4">
        <f t="shared" si="313"/>
        <v>7.5176653938091809E-2</v>
      </c>
      <c r="AJ442" s="4">
        <f t="shared" si="313"/>
        <v>5.1742836177502194E-2</v>
      </c>
      <c r="AK442" s="4">
        <f t="shared" si="313"/>
        <v>3.5319190625345942E-2</v>
      </c>
      <c r="AL442" s="4">
        <f t="shared" si="313"/>
        <v>2.3969442072658165E-2</v>
      </c>
      <c r="AM442" s="4">
        <f t="shared" si="313"/>
        <v>1.6202243558389728E-2</v>
      </c>
      <c r="AN442" s="4">
        <f t="shared" si="313"/>
        <v>1.0922240564108399E-2</v>
      </c>
      <c r="AO442" s="4">
        <f t="shared" si="313"/>
        <v>7.3493212906090566E-3</v>
      </c>
      <c r="AP442" s="4">
        <f t="shared" si="313"/>
        <v>4.9390262185057265E-3</v>
      </c>
      <c r="AQ442" s="4">
        <f t="shared" si="313"/>
        <v>3.3164275492956197E-3</v>
      </c>
      <c r="AR442" s="4">
        <f t="shared" si="313"/>
        <v>2.2256362146679809E-3</v>
      </c>
    </row>
    <row r="443" spans="1:44" x14ac:dyDescent="0.25">
      <c r="A443" s="24" t="s">
        <v>79</v>
      </c>
      <c r="B443" s="45">
        <f>'Parameter Input'!$L$98</f>
        <v>0.06</v>
      </c>
      <c r="C443" s="46">
        <f>'Parameter Input'!$M$98</f>
        <v>0.06</v>
      </c>
      <c r="D443" s="1" t="s">
        <v>57</v>
      </c>
      <c r="L443" s="54">
        <f>'Parameter Input'!$O$98</f>
        <v>12</v>
      </c>
      <c r="M443" s="37">
        <v>0</v>
      </c>
      <c r="N443" s="37">
        <v>1</v>
      </c>
      <c r="O443" s="37">
        <f>'Parameter Input'!$P$98</f>
        <v>0.9</v>
      </c>
      <c r="P443" s="55">
        <f>'Parameter Input'!$Q$98</f>
        <v>0.4</v>
      </c>
      <c r="Q443" s="4">
        <f t="shared" si="313"/>
        <v>0.9867978615748374</v>
      </c>
      <c r="R443" s="4">
        <f t="shared" si="313"/>
        <v>0.98114509762858249</v>
      </c>
      <c r="S443" s="4">
        <f t="shared" si="313"/>
        <v>0.97311898315872036</v>
      </c>
      <c r="T443" s="4">
        <f t="shared" si="313"/>
        <v>0.96177484161592774</v>
      </c>
      <c r="U443" s="4">
        <f t="shared" si="313"/>
        <v>0.94584787155511363</v>
      </c>
      <c r="V443" s="4">
        <f t="shared" si="313"/>
        <v>0.92370360150141495</v>
      </c>
      <c r="W443" s="4">
        <f t="shared" si="313"/>
        <v>0.89334463567658451</v>
      </c>
      <c r="X443" s="4">
        <f t="shared" si="313"/>
        <v>0.85254543874327005</v>
      </c>
      <c r="Y443" s="4">
        <f t="shared" si="313"/>
        <v>0.79921300652623883</v>
      </c>
      <c r="Z443" s="4">
        <f t="shared" si="313"/>
        <v>0.73204982249993378</v>
      </c>
      <c r="AA443" s="4">
        <f t="shared" si="313"/>
        <v>0.65145592958786691</v>
      </c>
      <c r="AB443" s="4">
        <f t="shared" si="313"/>
        <v>0.56032247880849573</v>
      </c>
      <c r="AC443" s="4">
        <f t="shared" si="313"/>
        <v>0.46411326873185343</v>
      </c>
      <c r="AD443" s="4">
        <f t="shared" si="313"/>
        <v>0.36979727595523937</v>
      </c>
      <c r="AE443" s="4">
        <f t="shared" si="313"/>
        <v>0.28393948637231203</v>
      </c>
      <c r="AF443" s="4">
        <f t="shared" si="313"/>
        <v>0.21097259161117732</v>
      </c>
      <c r="AG443" s="4">
        <f t="shared" si="313"/>
        <v>0.15253917653798199</v>
      </c>
      <c r="AH443" s="4">
        <f t="shared" si="313"/>
        <v>0.10795188737709993</v>
      </c>
      <c r="AI443" s="4">
        <f t="shared" si="313"/>
        <v>7.5176653938091809E-2</v>
      </c>
      <c r="AJ443" s="4">
        <f t="shared" si="313"/>
        <v>5.1742836177502194E-2</v>
      </c>
      <c r="AK443" s="4">
        <f t="shared" si="313"/>
        <v>3.5319190625345942E-2</v>
      </c>
      <c r="AL443" s="4">
        <f t="shared" si="313"/>
        <v>2.3969442072658165E-2</v>
      </c>
      <c r="AM443" s="4">
        <f t="shared" si="313"/>
        <v>1.6202243558389728E-2</v>
      </c>
      <c r="AN443" s="4">
        <f t="shared" si="313"/>
        <v>1.0922240564108399E-2</v>
      </c>
      <c r="AO443" s="4">
        <f t="shared" si="313"/>
        <v>7.3493212906090566E-3</v>
      </c>
      <c r="AP443" s="4">
        <f t="shared" si="313"/>
        <v>4.9390262185057265E-3</v>
      </c>
      <c r="AQ443" s="4">
        <f t="shared" si="313"/>
        <v>3.3164275492956197E-3</v>
      </c>
      <c r="AR443" s="4">
        <f t="shared" si="313"/>
        <v>2.2256362146679809E-3</v>
      </c>
    </row>
    <row r="444" spans="1:44" x14ac:dyDescent="0.25">
      <c r="A444" s="24" t="s">
        <v>37</v>
      </c>
      <c r="B444" s="43">
        <f>'Parameter Input'!B140</f>
        <v>650000</v>
      </c>
      <c r="C444" s="44">
        <f>'Parameter Input'!C140</f>
        <v>650000</v>
      </c>
      <c r="D444" s="1" t="s">
        <v>38</v>
      </c>
      <c r="L444" s="54">
        <f>'Parameter Input'!E140</f>
        <v>12</v>
      </c>
      <c r="M444" s="37">
        <v>0</v>
      </c>
      <c r="N444" s="37">
        <v>1</v>
      </c>
      <c r="O444" s="37">
        <f>'Parameter Input'!F140</f>
        <v>0.9</v>
      </c>
      <c r="P444" s="55">
        <f>'Parameter Input'!G140</f>
        <v>0.4</v>
      </c>
      <c r="Q444" s="4">
        <f t="shared" si="313"/>
        <v>0.9867978615748374</v>
      </c>
      <c r="R444" s="4">
        <f t="shared" si="313"/>
        <v>0.98114509762858249</v>
      </c>
      <c r="S444" s="4">
        <f t="shared" si="313"/>
        <v>0.97311898315872036</v>
      </c>
      <c r="T444" s="4">
        <f t="shared" si="313"/>
        <v>0.96177484161592774</v>
      </c>
      <c r="U444" s="4">
        <f t="shared" si="313"/>
        <v>0.94584787155511363</v>
      </c>
      <c r="V444" s="4">
        <f t="shared" si="313"/>
        <v>0.92370360150141495</v>
      </c>
      <c r="W444" s="4">
        <f t="shared" si="313"/>
        <v>0.89334463567658451</v>
      </c>
      <c r="X444" s="4">
        <f t="shared" si="313"/>
        <v>0.85254543874327005</v>
      </c>
      <c r="Y444" s="4">
        <f t="shared" si="313"/>
        <v>0.79921300652623883</v>
      </c>
      <c r="Z444" s="4">
        <f t="shared" si="313"/>
        <v>0.73204982249993378</v>
      </c>
      <c r="AA444" s="4">
        <f t="shared" si="313"/>
        <v>0.65145592958786691</v>
      </c>
      <c r="AB444" s="4">
        <f t="shared" si="313"/>
        <v>0.56032247880849573</v>
      </c>
      <c r="AC444" s="4">
        <f t="shared" si="313"/>
        <v>0.46411326873185343</v>
      </c>
      <c r="AD444" s="4">
        <f t="shared" si="313"/>
        <v>0.36979727595523937</v>
      </c>
      <c r="AE444" s="4">
        <f t="shared" si="313"/>
        <v>0.28393948637231203</v>
      </c>
      <c r="AF444" s="4">
        <f t="shared" si="313"/>
        <v>0.21097259161117732</v>
      </c>
      <c r="AG444" s="4">
        <f t="shared" si="313"/>
        <v>0.15253917653798199</v>
      </c>
      <c r="AH444" s="4">
        <f t="shared" si="313"/>
        <v>0.10795188737709993</v>
      </c>
      <c r="AI444" s="4">
        <f t="shared" si="313"/>
        <v>7.5176653938091809E-2</v>
      </c>
      <c r="AJ444" s="4">
        <f t="shared" si="313"/>
        <v>5.1742836177502194E-2</v>
      </c>
      <c r="AK444" s="4">
        <f t="shared" si="313"/>
        <v>3.5319190625345942E-2</v>
      </c>
      <c r="AL444" s="4">
        <f t="shared" si="313"/>
        <v>2.3969442072658165E-2</v>
      </c>
      <c r="AM444" s="4">
        <f t="shared" si="313"/>
        <v>1.6202243558389728E-2</v>
      </c>
      <c r="AN444" s="4">
        <f t="shared" si="313"/>
        <v>1.0922240564108399E-2</v>
      </c>
      <c r="AO444" s="4">
        <f t="shared" si="313"/>
        <v>7.3493212906090566E-3</v>
      </c>
      <c r="AP444" s="4">
        <f t="shared" si="313"/>
        <v>4.9390262185057265E-3</v>
      </c>
      <c r="AQ444" s="4">
        <f t="shared" si="313"/>
        <v>3.3164275492956197E-3</v>
      </c>
      <c r="AR444" s="4">
        <f t="shared" si="313"/>
        <v>2.2256362146679809E-3</v>
      </c>
    </row>
    <row r="445" spans="1:44" x14ac:dyDescent="0.25">
      <c r="A445" s="24" t="s">
        <v>52</v>
      </c>
      <c r="B445" s="43">
        <f>'Parameter Input'!$L$94</f>
        <v>1050000</v>
      </c>
      <c r="C445" s="44">
        <f>'Parameter Input'!$M$94</f>
        <v>1050000</v>
      </c>
      <c r="D445" s="1" t="s">
        <v>38</v>
      </c>
      <c r="L445" s="54">
        <f>'Parameter Input'!$O$94</f>
        <v>12</v>
      </c>
      <c r="M445" s="37">
        <v>0</v>
      </c>
      <c r="N445" s="37">
        <v>1</v>
      </c>
      <c r="O445" s="37">
        <f>'Parameter Input'!$P$94</f>
        <v>0.9</v>
      </c>
      <c r="P445" s="55">
        <f>'Parameter Input'!$Q$94</f>
        <v>0.4</v>
      </c>
      <c r="Q445" s="4">
        <f t="shared" si="313"/>
        <v>0.9867978615748374</v>
      </c>
      <c r="R445" s="4">
        <f t="shared" si="313"/>
        <v>0.98114509762858249</v>
      </c>
      <c r="S445" s="4">
        <f t="shared" si="313"/>
        <v>0.97311898315872036</v>
      </c>
      <c r="T445" s="4">
        <f t="shared" si="313"/>
        <v>0.96177484161592774</v>
      </c>
      <c r="U445" s="4">
        <f t="shared" si="313"/>
        <v>0.94584787155511363</v>
      </c>
      <c r="V445" s="4">
        <f t="shared" si="313"/>
        <v>0.92370360150141495</v>
      </c>
      <c r="W445" s="4">
        <f t="shared" si="313"/>
        <v>0.89334463567658451</v>
      </c>
      <c r="X445" s="4">
        <f t="shared" si="313"/>
        <v>0.85254543874327005</v>
      </c>
      <c r="Y445" s="4">
        <f t="shared" si="313"/>
        <v>0.79921300652623883</v>
      </c>
      <c r="Z445" s="4">
        <f t="shared" si="313"/>
        <v>0.73204982249993378</v>
      </c>
      <c r="AA445" s="4">
        <f t="shared" si="313"/>
        <v>0.65145592958786691</v>
      </c>
      <c r="AB445" s="4">
        <f t="shared" si="313"/>
        <v>0.56032247880849573</v>
      </c>
      <c r="AC445" s="4">
        <f t="shared" si="313"/>
        <v>0.46411326873185343</v>
      </c>
      <c r="AD445" s="4">
        <f t="shared" si="313"/>
        <v>0.36979727595523937</v>
      </c>
      <c r="AE445" s="4">
        <f t="shared" si="313"/>
        <v>0.28393948637231203</v>
      </c>
      <c r="AF445" s="4">
        <f t="shared" si="313"/>
        <v>0.21097259161117732</v>
      </c>
      <c r="AG445" s="4">
        <f t="shared" si="313"/>
        <v>0.15253917653798199</v>
      </c>
      <c r="AH445" s="4">
        <f t="shared" si="313"/>
        <v>0.10795188737709993</v>
      </c>
      <c r="AI445" s="4">
        <f t="shared" si="313"/>
        <v>7.5176653938091809E-2</v>
      </c>
      <c r="AJ445" s="4">
        <f t="shared" si="313"/>
        <v>5.1742836177502194E-2</v>
      </c>
      <c r="AK445" s="4">
        <f t="shared" si="313"/>
        <v>3.5319190625345942E-2</v>
      </c>
      <c r="AL445" s="4">
        <f t="shared" si="313"/>
        <v>2.3969442072658165E-2</v>
      </c>
      <c r="AM445" s="4">
        <f t="shared" si="313"/>
        <v>1.6202243558389728E-2</v>
      </c>
      <c r="AN445" s="4">
        <f t="shared" si="313"/>
        <v>1.0922240564108399E-2</v>
      </c>
      <c r="AO445" s="4">
        <f t="shared" si="313"/>
        <v>7.3493212906090566E-3</v>
      </c>
      <c r="AP445" s="4">
        <f t="shared" si="313"/>
        <v>4.9390262185057265E-3</v>
      </c>
      <c r="AQ445" s="4">
        <f t="shared" si="313"/>
        <v>3.3164275492956197E-3</v>
      </c>
      <c r="AR445" s="4">
        <f t="shared" si="313"/>
        <v>2.2256362146679809E-3</v>
      </c>
    </row>
    <row r="446" spans="1:44" x14ac:dyDescent="0.25">
      <c r="A446" s="24" t="s">
        <v>287</v>
      </c>
      <c r="B446" s="45">
        <f>'Parameter Input'!B145</f>
        <v>3.9215686274509802</v>
      </c>
      <c r="C446" s="46">
        <f>'Parameter Input'!C145</f>
        <v>3.9215686274509802</v>
      </c>
      <c r="D446" s="1" t="s">
        <v>76</v>
      </c>
      <c r="L446" s="54">
        <f>'Parameter Input'!E145</f>
        <v>12</v>
      </c>
      <c r="M446" s="37">
        <v>0</v>
      </c>
      <c r="N446" s="37">
        <v>1</v>
      </c>
      <c r="O446" s="37">
        <f>'Parameter Input'!F145</f>
        <v>0.9</v>
      </c>
      <c r="P446" s="55">
        <f>'Parameter Input'!G145</f>
        <v>0.4</v>
      </c>
      <c r="Q446" s="4">
        <f t="shared" si="313"/>
        <v>0.9867978615748374</v>
      </c>
      <c r="R446" s="4">
        <f t="shared" si="313"/>
        <v>0.98114509762858249</v>
      </c>
      <c r="S446" s="4">
        <f t="shared" si="313"/>
        <v>0.97311898315872036</v>
      </c>
      <c r="T446" s="4">
        <f t="shared" si="313"/>
        <v>0.96177484161592774</v>
      </c>
      <c r="U446" s="4">
        <f t="shared" si="313"/>
        <v>0.94584787155511363</v>
      </c>
      <c r="V446" s="4">
        <f t="shared" si="313"/>
        <v>0.92370360150141495</v>
      </c>
      <c r="W446" s="4">
        <f t="shared" si="313"/>
        <v>0.89334463567658451</v>
      </c>
      <c r="X446" s="4">
        <f t="shared" si="313"/>
        <v>0.85254543874327005</v>
      </c>
      <c r="Y446" s="4">
        <f t="shared" si="313"/>
        <v>0.79921300652623883</v>
      </c>
      <c r="Z446" s="4">
        <f t="shared" si="313"/>
        <v>0.73204982249993378</v>
      </c>
      <c r="AA446" s="4">
        <f t="shared" si="313"/>
        <v>0.65145592958786691</v>
      </c>
      <c r="AB446" s="4">
        <f t="shared" si="313"/>
        <v>0.56032247880849573</v>
      </c>
      <c r="AC446" s="4">
        <f t="shared" si="313"/>
        <v>0.46411326873185343</v>
      </c>
      <c r="AD446" s="4">
        <f t="shared" si="313"/>
        <v>0.36979727595523937</v>
      </c>
      <c r="AE446" s="4">
        <f t="shared" si="313"/>
        <v>0.28393948637231203</v>
      </c>
      <c r="AF446" s="4">
        <f t="shared" si="313"/>
        <v>0.21097259161117732</v>
      </c>
      <c r="AG446" s="4">
        <f t="shared" si="313"/>
        <v>0.15253917653798199</v>
      </c>
      <c r="AH446" s="4">
        <f t="shared" si="313"/>
        <v>0.10795188737709993</v>
      </c>
      <c r="AI446" s="4">
        <f t="shared" si="313"/>
        <v>7.5176653938091809E-2</v>
      </c>
      <c r="AJ446" s="4">
        <f t="shared" si="313"/>
        <v>5.1742836177502194E-2</v>
      </c>
      <c r="AK446" s="4">
        <f t="shared" si="313"/>
        <v>3.5319190625345942E-2</v>
      </c>
      <c r="AL446" s="4">
        <f t="shared" si="313"/>
        <v>2.3969442072658165E-2</v>
      </c>
      <c r="AM446" s="4">
        <f t="shared" si="313"/>
        <v>1.6202243558389728E-2</v>
      </c>
      <c r="AN446" s="4">
        <f t="shared" si="313"/>
        <v>1.0922240564108399E-2</v>
      </c>
      <c r="AO446" s="4">
        <f t="shared" si="313"/>
        <v>7.3493212906090566E-3</v>
      </c>
      <c r="AP446" s="4">
        <f t="shared" si="313"/>
        <v>4.9390262185057265E-3</v>
      </c>
      <c r="AQ446" s="4">
        <f t="shared" si="313"/>
        <v>3.3164275492956197E-3</v>
      </c>
      <c r="AR446" s="4">
        <f t="shared" si="313"/>
        <v>2.2256362146679809E-3</v>
      </c>
    </row>
    <row r="447" spans="1:44" x14ac:dyDescent="0.25">
      <c r="A447" s="24" t="s">
        <v>59</v>
      </c>
      <c r="B447" s="47">
        <f>'Parameter Input'!$L$95</f>
        <v>76.777599999999993</v>
      </c>
      <c r="C447" s="48">
        <f>'Parameter Input'!$M$95</f>
        <v>76.777599999999993</v>
      </c>
      <c r="D447" s="1" t="s">
        <v>60</v>
      </c>
      <c r="L447" s="54">
        <f>'Parameter Input'!$O$95</f>
        <v>12</v>
      </c>
      <c r="M447" s="37">
        <v>0</v>
      </c>
      <c r="N447" s="37">
        <v>1</v>
      </c>
      <c r="O447" s="37">
        <f>'Parameter Input'!$P$95</f>
        <v>0.9</v>
      </c>
      <c r="P447" s="55">
        <f>'Parameter Input'!$Q$95</f>
        <v>0.4</v>
      </c>
      <c r="Q447" s="4">
        <f t="shared" si="313"/>
        <v>0.9867978615748374</v>
      </c>
      <c r="R447" s="4">
        <f t="shared" si="313"/>
        <v>0.98114509762858249</v>
      </c>
      <c r="S447" s="4">
        <f t="shared" si="313"/>
        <v>0.97311898315872036</v>
      </c>
      <c r="T447" s="4">
        <f t="shared" si="313"/>
        <v>0.96177484161592774</v>
      </c>
      <c r="U447" s="4">
        <f t="shared" si="313"/>
        <v>0.94584787155511363</v>
      </c>
      <c r="V447" s="4">
        <f t="shared" si="313"/>
        <v>0.92370360150141495</v>
      </c>
      <c r="W447" s="4">
        <f t="shared" si="313"/>
        <v>0.89334463567658451</v>
      </c>
      <c r="X447" s="4">
        <f t="shared" si="313"/>
        <v>0.85254543874327005</v>
      </c>
      <c r="Y447" s="4">
        <f t="shared" si="313"/>
        <v>0.79921300652623883</v>
      </c>
      <c r="Z447" s="4">
        <f t="shared" si="313"/>
        <v>0.73204982249993378</v>
      </c>
      <c r="AA447" s="4">
        <f t="shared" si="313"/>
        <v>0.65145592958786691</v>
      </c>
      <c r="AB447" s="4">
        <f t="shared" si="313"/>
        <v>0.56032247880849573</v>
      </c>
      <c r="AC447" s="4">
        <f t="shared" si="313"/>
        <v>0.46411326873185343</v>
      </c>
      <c r="AD447" s="4">
        <f t="shared" si="313"/>
        <v>0.36979727595523937</v>
      </c>
      <c r="AE447" s="4">
        <f t="shared" si="313"/>
        <v>0.28393948637231203</v>
      </c>
      <c r="AF447" s="4">
        <f t="shared" si="313"/>
        <v>0.21097259161117732</v>
      </c>
      <c r="AG447" s="4">
        <f t="shared" si="313"/>
        <v>0.15253917653798199</v>
      </c>
      <c r="AH447" s="4">
        <f t="shared" si="313"/>
        <v>0.10795188737709993</v>
      </c>
      <c r="AI447" s="4">
        <f t="shared" si="313"/>
        <v>7.5176653938091809E-2</v>
      </c>
      <c r="AJ447" s="4">
        <f t="shared" si="313"/>
        <v>5.1742836177502194E-2</v>
      </c>
      <c r="AK447" s="4">
        <f t="shared" si="313"/>
        <v>3.5319190625345942E-2</v>
      </c>
      <c r="AL447" s="4">
        <f t="shared" si="313"/>
        <v>2.3969442072658165E-2</v>
      </c>
      <c r="AM447" s="4">
        <f t="shared" si="313"/>
        <v>1.6202243558389728E-2</v>
      </c>
      <c r="AN447" s="4">
        <f t="shared" si="313"/>
        <v>1.0922240564108399E-2</v>
      </c>
      <c r="AO447" s="4">
        <f t="shared" si="313"/>
        <v>7.3493212906090566E-3</v>
      </c>
      <c r="AP447" s="4">
        <f t="shared" si="313"/>
        <v>4.9390262185057265E-3</v>
      </c>
      <c r="AQ447" s="4">
        <f t="shared" si="313"/>
        <v>3.3164275492956197E-3</v>
      </c>
      <c r="AR447" s="4">
        <f t="shared" si="313"/>
        <v>2.2256362146679809E-3</v>
      </c>
    </row>
    <row r="448" spans="1:44" x14ac:dyDescent="0.25">
      <c r="A448" s="24" t="s">
        <v>67</v>
      </c>
      <c r="B448" s="45">
        <f>'Parameter Input'!$L$96</f>
        <v>0.1</v>
      </c>
      <c r="C448" s="46">
        <f>'Parameter Input'!$M$96</f>
        <v>0.1</v>
      </c>
      <c r="D448" s="1" t="s">
        <v>68</v>
      </c>
      <c r="L448" s="54">
        <f>'Parameter Input'!$O$96</f>
        <v>12</v>
      </c>
      <c r="M448" s="37">
        <v>0</v>
      </c>
      <c r="N448" s="37">
        <v>1</v>
      </c>
      <c r="O448" s="37">
        <f>'Parameter Input'!$P$96</f>
        <v>0.9</v>
      </c>
      <c r="P448" s="55">
        <f>'Parameter Input'!$Q$96</f>
        <v>0.4</v>
      </c>
      <c r="Q448" s="4">
        <f t="shared" si="313"/>
        <v>0.9867978615748374</v>
      </c>
      <c r="R448" s="4">
        <f t="shared" si="313"/>
        <v>0.98114509762858249</v>
      </c>
      <c r="S448" s="4">
        <f t="shared" si="313"/>
        <v>0.97311898315872036</v>
      </c>
      <c r="T448" s="4">
        <f t="shared" ref="T448:AI455" si="314">$N448+($M448-$N448)*((1/(1+EXP(-$P448*(T$9-$L448)))^$O448))</f>
        <v>0.96177484161592774</v>
      </c>
      <c r="U448" s="4">
        <f t="shared" si="314"/>
        <v>0.94584787155511363</v>
      </c>
      <c r="V448" s="4">
        <f t="shared" si="314"/>
        <v>0.92370360150141495</v>
      </c>
      <c r="W448" s="4">
        <f t="shared" si="314"/>
        <v>0.89334463567658451</v>
      </c>
      <c r="X448" s="4">
        <f t="shared" si="314"/>
        <v>0.85254543874327005</v>
      </c>
      <c r="Y448" s="4">
        <f t="shared" si="314"/>
        <v>0.79921300652623883</v>
      </c>
      <c r="Z448" s="4">
        <f t="shared" si="314"/>
        <v>0.73204982249993378</v>
      </c>
      <c r="AA448" s="4">
        <f t="shared" si="314"/>
        <v>0.65145592958786691</v>
      </c>
      <c r="AB448" s="4">
        <f t="shared" si="314"/>
        <v>0.56032247880849573</v>
      </c>
      <c r="AC448" s="4">
        <f t="shared" si="314"/>
        <v>0.46411326873185343</v>
      </c>
      <c r="AD448" s="4">
        <f t="shared" si="314"/>
        <v>0.36979727595523937</v>
      </c>
      <c r="AE448" s="4">
        <f t="shared" si="314"/>
        <v>0.28393948637231203</v>
      </c>
      <c r="AF448" s="4">
        <f t="shared" si="314"/>
        <v>0.21097259161117732</v>
      </c>
      <c r="AG448" s="4">
        <f t="shared" si="314"/>
        <v>0.15253917653798199</v>
      </c>
      <c r="AH448" s="4">
        <f t="shared" si="314"/>
        <v>0.10795188737709993</v>
      </c>
      <c r="AI448" s="4">
        <f t="shared" si="314"/>
        <v>7.5176653938091809E-2</v>
      </c>
      <c r="AJ448" s="4">
        <f t="shared" ref="AJ448:AR455" si="315">$N448+($M448-$N448)*((1/(1+EXP(-$P448*(AJ$9-$L448)))^$O448))</f>
        <v>5.1742836177502194E-2</v>
      </c>
      <c r="AK448" s="4">
        <f t="shared" si="315"/>
        <v>3.5319190625345942E-2</v>
      </c>
      <c r="AL448" s="4">
        <f t="shared" si="315"/>
        <v>2.3969442072658165E-2</v>
      </c>
      <c r="AM448" s="4">
        <f t="shared" si="315"/>
        <v>1.6202243558389728E-2</v>
      </c>
      <c r="AN448" s="4">
        <f t="shared" si="315"/>
        <v>1.0922240564108399E-2</v>
      </c>
      <c r="AO448" s="4">
        <f t="shared" si="315"/>
        <v>7.3493212906090566E-3</v>
      </c>
      <c r="AP448" s="4">
        <f t="shared" si="315"/>
        <v>4.9390262185057265E-3</v>
      </c>
      <c r="AQ448" s="4">
        <f t="shared" si="315"/>
        <v>3.3164275492956197E-3</v>
      </c>
      <c r="AR448" s="4">
        <f t="shared" si="315"/>
        <v>2.2256362146679809E-3</v>
      </c>
    </row>
    <row r="449" spans="1:44" x14ac:dyDescent="0.25">
      <c r="A449" s="24" t="s">
        <v>206</v>
      </c>
      <c r="B449" s="45">
        <f>'Parameter Input'!L99</f>
        <v>2.0469721783010932</v>
      </c>
      <c r="C449" s="46">
        <f>'Parameter Input'!M99</f>
        <v>7.1644026240538263</v>
      </c>
      <c r="D449" s="1"/>
      <c r="L449" s="54">
        <f>'Parameter Input'!O99</f>
        <v>17</v>
      </c>
      <c r="M449" s="37">
        <v>0</v>
      </c>
      <c r="N449" s="37">
        <v>1</v>
      </c>
      <c r="O449" s="37">
        <f>'Parameter Input'!P99</f>
        <v>0.9</v>
      </c>
      <c r="P449" s="55">
        <f>'Parameter Input'!Q99</f>
        <v>0.4</v>
      </c>
      <c r="Q449" s="4">
        <f t="shared" ref="Q449:AR449" si="316">$N449+($M449-$N449)*((1/(1+EXP(-$P449*(Q$9-$L449)))^$O449))</f>
        <v>0.99780374543478534</v>
      </c>
      <c r="R449" s="4">
        <f t="shared" si="316"/>
        <v>0.99685359315256394</v>
      </c>
      <c r="S449" s="4">
        <f t="shared" si="316"/>
        <v>0.99549347132349975</v>
      </c>
      <c r="T449" s="4">
        <f t="shared" si="316"/>
        <v>0.99354772139898062</v>
      </c>
      <c r="U449" s="4">
        <f t="shared" si="316"/>
        <v>0.99076681540580536</v>
      </c>
      <c r="V449" s="4">
        <f t="shared" si="316"/>
        <v>0.9867978615748374</v>
      </c>
      <c r="W449" s="4">
        <f t="shared" si="316"/>
        <v>0.98114509762858249</v>
      </c>
      <c r="X449" s="4">
        <f t="shared" si="316"/>
        <v>0.97311898315872036</v>
      </c>
      <c r="Y449" s="4">
        <f t="shared" si="316"/>
        <v>0.96177484161592774</v>
      </c>
      <c r="Z449" s="4">
        <f t="shared" si="316"/>
        <v>0.94584787155511363</v>
      </c>
      <c r="AA449" s="4">
        <f t="shared" si="316"/>
        <v>0.92370360150141495</v>
      </c>
      <c r="AB449" s="4">
        <f t="shared" si="316"/>
        <v>0.89334463567658451</v>
      </c>
      <c r="AC449" s="4">
        <f t="shared" si="316"/>
        <v>0.85254543874327005</v>
      </c>
      <c r="AD449" s="4">
        <f t="shared" si="316"/>
        <v>0.79921300652623883</v>
      </c>
      <c r="AE449" s="4">
        <f t="shared" si="316"/>
        <v>0.73204982249993378</v>
      </c>
      <c r="AF449" s="4">
        <f t="shared" si="316"/>
        <v>0.65145592958786691</v>
      </c>
      <c r="AG449" s="4">
        <f t="shared" si="316"/>
        <v>0.56032247880849573</v>
      </c>
      <c r="AH449" s="4">
        <f t="shared" si="316"/>
        <v>0.46411326873185343</v>
      </c>
      <c r="AI449" s="4">
        <f t="shared" si="316"/>
        <v>0.36979727595523937</v>
      </c>
      <c r="AJ449" s="4">
        <f t="shared" si="316"/>
        <v>0.28393948637231203</v>
      </c>
      <c r="AK449" s="4">
        <f t="shared" si="316"/>
        <v>0.21097259161117732</v>
      </c>
      <c r="AL449" s="4">
        <f t="shared" si="316"/>
        <v>0.15253917653798199</v>
      </c>
      <c r="AM449" s="4">
        <f t="shared" si="316"/>
        <v>0.10795188737709993</v>
      </c>
      <c r="AN449" s="4">
        <f t="shared" si="316"/>
        <v>7.5176653938091809E-2</v>
      </c>
      <c r="AO449" s="4">
        <f t="shared" si="316"/>
        <v>5.1742836177502194E-2</v>
      </c>
      <c r="AP449" s="4">
        <f t="shared" si="316"/>
        <v>3.5319190625345942E-2</v>
      </c>
      <c r="AQ449" s="4">
        <f t="shared" si="316"/>
        <v>2.3969442072658165E-2</v>
      </c>
      <c r="AR449" s="4">
        <f t="shared" si="316"/>
        <v>1.6202243558389728E-2</v>
      </c>
    </row>
    <row r="450" spans="1:44" x14ac:dyDescent="0.25">
      <c r="A450" s="24" t="s">
        <v>41</v>
      </c>
      <c r="B450" s="43">
        <f>'Parameter Input'!$L$93</f>
        <v>20</v>
      </c>
      <c r="C450" s="44">
        <f>'Parameter Input'!$M$93</f>
        <v>20</v>
      </c>
      <c r="D450" s="1" t="s">
        <v>42</v>
      </c>
      <c r="L450" s="54">
        <f>'Parameter Input'!$O$93</f>
        <v>12</v>
      </c>
      <c r="M450" s="37">
        <v>0</v>
      </c>
      <c r="N450" s="37">
        <v>1</v>
      </c>
      <c r="O450" s="37">
        <f>'Parameter Input'!$P$93</f>
        <v>0.9</v>
      </c>
      <c r="P450" s="55">
        <f>'Parameter Input'!$Q$93</f>
        <v>0.4</v>
      </c>
      <c r="Q450" s="4">
        <f t="shared" ref="Q450:AF455" si="317">$N450+($M450-$N450)*((1/(1+EXP(-$P450*(Q$9-$L450)))^$O450))</f>
        <v>0.9867978615748374</v>
      </c>
      <c r="R450" s="4">
        <f t="shared" si="317"/>
        <v>0.98114509762858249</v>
      </c>
      <c r="S450" s="4">
        <f t="shared" si="317"/>
        <v>0.97311898315872036</v>
      </c>
      <c r="T450" s="4">
        <f t="shared" si="317"/>
        <v>0.96177484161592774</v>
      </c>
      <c r="U450" s="4">
        <f t="shared" si="317"/>
        <v>0.94584787155511363</v>
      </c>
      <c r="V450" s="4">
        <f t="shared" si="317"/>
        <v>0.92370360150141495</v>
      </c>
      <c r="W450" s="4">
        <f t="shared" si="317"/>
        <v>0.89334463567658451</v>
      </c>
      <c r="X450" s="4">
        <f t="shared" si="317"/>
        <v>0.85254543874327005</v>
      </c>
      <c r="Y450" s="4">
        <f t="shared" si="317"/>
        <v>0.79921300652623883</v>
      </c>
      <c r="Z450" s="4">
        <f t="shared" si="317"/>
        <v>0.73204982249993378</v>
      </c>
      <c r="AA450" s="4">
        <f t="shared" si="317"/>
        <v>0.65145592958786691</v>
      </c>
      <c r="AB450" s="4">
        <f t="shared" si="317"/>
        <v>0.56032247880849573</v>
      </c>
      <c r="AC450" s="4">
        <f t="shared" si="317"/>
        <v>0.46411326873185343</v>
      </c>
      <c r="AD450" s="4">
        <f t="shared" si="317"/>
        <v>0.36979727595523937</v>
      </c>
      <c r="AE450" s="4">
        <f t="shared" si="317"/>
        <v>0.28393948637231203</v>
      </c>
      <c r="AF450" s="4">
        <f t="shared" si="317"/>
        <v>0.21097259161117732</v>
      </c>
      <c r="AG450" s="4">
        <f t="shared" si="314"/>
        <v>0.15253917653798199</v>
      </c>
      <c r="AH450" s="4">
        <f t="shared" si="314"/>
        <v>0.10795188737709993</v>
      </c>
      <c r="AI450" s="4">
        <f t="shared" si="314"/>
        <v>7.5176653938091809E-2</v>
      </c>
      <c r="AJ450" s="4">
        <f t="shared" si="315"/>
        <v>5.1742836177502194E-2</v>
      </c>
      <c r="AK450" s="4">
        <f t="shared" si="315"/>
        <v>3.5319190625345942E-2</v>
      </c>
      <c r="AL450" s="4">
        <f t="shared" si="315"/>
        <v>2.3969442072658165E-2</v>
      </c>
      <c r="AM450" s="4">
        <f t="shared" si="315"/>
        <v>1.6202243558389728E-2</v>
      </c>
      <c r="AN450" s="4">
        <f t="shared" si="315"/>
        <v>1.0922240564108399E-2</v>
      </c>
      <c r="AO450" s="4">
        <f t="shared" si="315"/>
        <v>7.3493212906090566E-3</v>
      </c>
      <c r="AP450" s="4">
        <f t="shared" si="315"/>
        <v>4.9390262185057265E-3</v>
      </c>
      <c r="AQ450" s="4">
        <f t="shared" si="315"/>
        <v>3.3164275492956197E-3</v>
      </c>
      <c r="AR450" s="4">
        <f t="shared" si="315"/>
        <v>2.2256362146679809E-3</v>
      </c>
    </row>
    <row r="451" spans="1:44" x14ac:dyDescent="0.25">
      <c r="A451" s="24" t="s">
        <v>70</v>
      </c>
      <c r="B451" s="43">
        <f>'Parameter Input'!B144</f>
        <v>30</v>
      </c>
      <c r="C451" s="44">
        <f>'Parameter Input'!C144</f>
        <v>30</v>
      </c>
      <c r="D451" s="1" t="s">
        <v>42</v>
      </c>
      <c r="L451" s="54">
        <f>'Parameter Input'!E144</f>
        <v>12</v>
      </c>
      <c r="M451" s="37">
        <v>0</v>
      </c>
      <c r="N451" s="37">
        <v>1</v>
      </c>
      <c r="O451" s="37">
        <f>'Parameter Input'!F144</f>
        <v>0.9</v>
      </c>
      <c r="P451" s="55">
        <f>'Parameter Input'!G144</f>
        <v>0.4</v>
      </c>
      <c r="Q451" s="4">
        <f t="shared" si="317"/>
        <v>0.9867978615748374</v>
      </c>
      <c r="R451" s="4">
        <f t="shared" si="317"/>
        <v>0.98114509762858249</v>
      </c>
      <c r="S451" s="4">
        <f t="shared" si="317"/>
        <v>0.97311898315872036</v>
      </c>
      <c r="T451" s="4">
        <f t="shared" si="317"/>
        <v>0.96177484161592774</v>
      </c>
      <c r="U451" s="4">
        <f t="shared" si="317"/>
        <v>0.94584787155511363</v>
      </c>
      <c r="V451" s="4">
        <f t="shared" si="317"/>
        <v>0.92370360150141495</v>
      </c>
      <c r="W451" s="4">
        <f t="shared" si="317"/>
        <v>0.89334463567658451</v>
      </c>
      <c r="X451" s="4">
        <f t="shared" si="317"/>
        <v>0.85254543874327005</v>
      </c>
      <c r="Y451" s="4">
        <f t="shared" si="317"/>
        <v>0.79921300652623883</v>
      </c>
      <c r="Z451" s="4">
        <f t="shared" si="317"/>
        <v>0.73204982249993378</v>
      </c>
      <c r="AA451" s="4">
        <f t="shared" si="317"/>
        <v>0.65145592958786691</v>
      </c>
      <c r="AB451" s="4">
        <f t="shared" si="317"/>
        <v>0.56032247880849573</v>
      </c>
      <c r="AC451" s="4">
        <f t="shared" si="317"/>
        <v>0.46411326873185343</v>
      </c>
      <c r="AD451" s="4">
        <f t="shared" si="317"/>
        <v>0.36979727595523937</v>
      </c>
      <c r="AE451" s="4">
        <f t="shared" si="317"/>
        <v>0.28393948637231203</v>
      </c>
      <c r="AF451" s="4">
        <f t="shared" si="317"/>
        <v>0.21097259161117732</v>
      </c>
      <c r="AG451" s="4">
        <f t="shared" si="314"/>
        <v>0.15253917653798199</v>
      </c>
      <c r="AH451" s="4">
        <f t="shared" si="314"/>
        <v>0.10795188737709993</v>
      </c>
      <c r="AI451" s="4">
        <f t="shared" si="314"/>
        <v>7.5176653938091809E-2</v>
      </c>
      <c r="AJ451" s="4">
        <f t="shared" si="315"/>
        <v>5.1742836177502194E-2</v>
      </c>
      <c r="AK451" s="4">
        <f t="shared" si="315"/>
        <v>3.5319190625345942E-2</v>
      </c>
      <c r="AL451" s="4">
        <f t="shared" si="315"/>
        <v>2.3969442072658165E-2</v>
      </c>
      <c r="AM451" s="4">
        <f t="shared" si="315"/>
        <v>1.6202243558389728E-2</v>
      </c>
      <c r="AN451" s="4">
        <f t="shared" si="315"/>
        <v>1.0922240564108399E-2</v>
      </c>
      <c r="AO451" s="4">
        <f t="shared" si="315"/>
        <v>7.3493212906090566E-3</v>
      </c>
      <c r="AP451" s="4">
        <f t="shared" si="315"/>
        <v>4.9390262185057265E-3</v>
      </c>
      <c r="AQ451" s="4">
        <f t="shared" si="315"/>
        <v>3.3164275492956197E-3</v>
      </c>
      <c r="AR451" s="4">
        <f t="shared" si="315"/>
        <v>2.2256362146679809E-3</v>
      </c>
    </row>
    <row r="452" spans="1:44" x14ac:dyDescent="0.25">
      <c r="A452" s="24" t="s">
        <v>207</v>
      </c>
      <c r="B452" s="70">
        <f>'Parameter Input'!B141</f>
        <v>2800</v>
      </c>
      <c r="C452" s="71">
        <f>'Parameter Input'!C141</f>
        <v>2800</v>
      </c>
      <c r="D452" s="1" t="s">
        <v>49</v>
      </c>
      <c r="L452" s="54">
        <f>'Parameter Input'!E141</f>
        <v>12</v>
      </c>
      <c r="M452" s="37">
        <v>0</v>
      </c>
      <c r="N452" s="37">
        <v>1</v>
      </c>
      <c r="O452" s="37">
        <f>'Parameter Input'!F141</f>
        <v>0.9</v>
      </c>
      <c r="P452" s="55">
        <f>'Parameter Input'!G141</f>
        <v>0.4</v>
      </c>
      <c r="Q452" s="4">
        <f t="shared" si="317"/>
        <v>0.9867978615748374</v>
      </c>
      <c r="R452" s="4">
        <f t="shared" si="317"/>
        <v>0.98114509762858249</v>
      </c>
      <c r="S452" s="4">
        <f t="shared" si="317"/>
        <v>0.97311898315872036</v>
      </c>
      <c r="T452" s="4">
        <f t="shared" si="317"/>
        <v>0.96177484161592774</v>
      </c>
      <c r="U452" s="4">
        <f t="shared" si="317"/>
        <v>0.94584787155511363</v>
      </c>
      <c r="V452" s="4">
        <f t="shared" si="317"/>
        <v>0.92370360150141495</v>
      </c>
      <c r="W452" s="4">
        <f t="shared" si="317"/>
        <v>0.89334463567658451</v>
      </c>
      <c r="X452" s="4">
        <f t="shared" si="317"/>
        <v>0.85254543874327005</v>
      </c>
      <c r="Y452" s="4">
        <f t="shared" si="317"/>
        <v>0.79921300652623883</v>
      </c>
      <c r="Z452" s="4">
        <f t="shared" si="317"/>
        <v>0.73204982249993378</v>
      </c>
      <c r="AA452" s="4">
        <f t="shared" si="317"/>
        <v>0.65145592958786691</v>
      </c>
      <c r="AB452" s="4">
        <f t="shared" si="317"/>
        <v>0.56032247880849573</v>
      </c>
      <c r="AC452" s="4">
        <f t="shared" si="317"/>
        <v>0.46411326873185343</v>
      </c>
      <c r="AD452" s="4">
        <f t="shared" si="317"/>
        <v>0.36979727595523937</v>
      </c>
      <c r="AE452" s="4">
        <f t="shared" si="317"/>
        <v>0.28393948637231203</v>
      </c>
      <c r="AF452" s="4">
        <f t="shared" si="317"/>
        <v>0.21097259161117732</v>
      </c>
      <c r="AG452" s="4">
        <f t="shared" si="314"/>
        <v>0.15253917653798199</v>
      </c>
      <c r="AH452" s="4">
        <f t="shared" si="314"/>
        <v>0.10795188737709993</v>
      </c>
      <c r="AI452" s="4">
        <f t="shared" si="314"/>
        <v>7.5176653938091809E-2</v>
      </c>
      <c r="AJ452" s="4">
        <f t="shared" si="315"/>
        <v>5.1742836177502194E-2</v>
      </c>
      <c r="AK452" s="4">
        <f t="shared" si="315"/>
        <v>3.5319190625345942E-2</v>
      </c>
      <c r="AL452" s="4">
        <f t="shared" si="315"/>
        <v>2.3969442072658165E-2</v>
      </c>
      <c r="AM452" s="4">
        <f t="shared" si="315"/>
        <v>1.6202243558389728E-2</v>
      </c>
      <c r="AN452" s="4">
        <f t="shared" si="315"/>
        <v>1.0922240564108399E-2</v>
      </c>
      <c r="AO452" s="4">
        <f t="shared" si="315"/>
        <v>7.3493212906090566E-3</v>
      </c>
      <c r="AP452" s="4">
        <f t="shared" si="315"/>
        <v>4.9390262185057265E-3</v>
      </c>
      <c r="AQ452" s="4">
        <f t="shared" si="315"/>
        <v>3.3164275492956197E-3</v>
      </c>
      <c r="AR452" s="4">
        <f t="shared" si="315"/>
        <v>2.2256362146679809E-3</v>
      </c>
    </row>
    <row r="453" spans="1:44" x14ac:dyDescent="0.25">
      <c r="A453" s="24" t="s">
        <v>56</v>
      </c>
      <c r="B453" s="72">
        <f>'Parameter Input'!B142</f>
        <v>0.42666666666666669</v>
      </c>
      <c r="C453" s="73">
        <f>'Parameter Input'!C142</f>
        <v>0.42666666666666669</v>
      </c>
      <c r="D453" s="1" t="s">
        <v>57</v>
      </c>
      <c r="L453" s="54">
        <f>'Parameter Input'!E142</f>
        <v>12</v>
      </c>
      <c r="M453" s="37">
        <v>0</v>
      </c>
      <c r="N453" s="37">
        <v>1</v>
      </c>
      <c r="O453" s="37">
        <f>'Parameter Input'!F142</f>
        <v>0.9</v>
      </c>
      <c r="P453" s="55">
        <f>'Parameter Input'!G142</f>
        <v>0.4</v>
      </c>
      <c r="Q453" s="4">
        <f t="shared" si="317"/>
        <v>0.9867978615748374</v>
      </c>
      <c r="R453" s="4">
        <f t="shared" si="317"/>
        <v>0.98114509762858249</v>
      </c>
      <c r="S453" s="4">
        <f t="shared" si="317"/>
        <v>0.97311898315872036</v>
      </c>
      <c r="T453" s="4">
        <f t="shared" si="317"/>
        <v>0.96177484161592774</v>
      </c>
      <c r="U453" s="4">
        <f t="shared" si="317"/>
        <v>0.94584787155511363</v>
      </c>
      <c r="V453" s="4">
        <f t="shared" si="317"/>
        <v>0.92370360150141495</v>
      </c>
      <c r="W453" s="4">
        <f t="shared" si="317"/>
        <v>0.89334463567658451</v>
      </c>
      <c r="X453" s="4">
        <f t="shared" si="317"/>
        <v>0.85254543874327005</v>
      </c>
      <c r="Y453" s="4">
        <f t="shared" si="317"/>
        <v>0.79921300652623883</v>
      </c>
      <c r="Z453" s="4">
        <f t="shared" si="317"/>
        <v>0.73204982249993378</v>
      </c>
      <c r="AA453" s="4">
        <f t="shared" si="317"/>
        <v>0.65145592958786691</v>
      </c>
      <c r="AB453" s="4">
        <f t="shared" si="317"/>
        <v>0.56032247880849573</v>
      </c>
      <c r="AC453" s="4">
        <f t="shared" si="317"/>
        <v>0.46411326873185343</v>
      </c>
      <c r="AD453" s="4">
        <f t="shared" si="317"/>
        <v>0.36979727595523937</v>
      </c>
      <c r="AE453" s="4">
        <f t="shared" si="317"/>
        <v>0.28393948637231203</v>
      </c>
      <c r="AF453" s="4">
        <f t="shared" si="317"/>
        <v>0.21097259161117732</v>
      </c>
      <c r="AG453" s="4">
        <f t="shared" si="314"/>
        <v>0.15253917653798199</v>
      </c>
      <c r="AH453" s="4">
        <f t="shared" si="314"/>
        <v>0.10795188737709993</v>
      </c>
      <c r="AI453" s="4">
        <f t="shared" si="314"/>
        <v>7.5176653938091809E-2</v>
      </c>
      <c r="AJ453" s="4">
        <f t="shared" si="315"/>
        <v>5.1742836177502194E-2</v>
      </c>
      <c r="AK453" s="4">
        <f t="shared" si="315"/>
        <v>3.5319190625345942E-2</v>
      </c>
      <c r="AL453" s="4">
        <f t="shared" si="315"/>
        <v>2.3969442072658165E-2</v>
      </c>
      <c r="AM453" s="4">
        <f t="shared" si="315"/>
        <v>1.6202243558389728E-2</v>
      </c>
      <c r="AN453" s="4">
        <f t="shared" si="315"/>
        <v>1.0922240564108399E-2</v>
      </c>
      <c r="AO453" s="4">
        <f t="shared" si="315"/>
        <v>7.3493212906090566E-3</v>
      </c>
      <c r="AP453" s="4">
        <f t="shared" si="315"/>
        <v>4.9390262185057265E-3</v>
      </c>
      <c r="AQ453" s="4">
        <f t="shared" si="315"/>
        <v>3.3164275492956197E-3</v>
      </c>
      <c r="AR453" s="4">
        <f t="shared" si="315"/>
        <v>2.2256362146679809E-3</v>
      </c>
    </row>
    <row r="454" spans="1:44" x14ac:dyDescent="0.25">
      <c r="A454" s="24" t="s">
        <v>73</v>
      </c>
      <c r="B454" s="72">
        <f>'Parameter Input'!$L$97</f>
        <v>0</v>
      </c>
      <c r="C454" s="73">
        <f>'Parameter Input'!$M$97</f>
        <v>0</v>
      </c>
      <c r="D454" s="1" t="s">
        <v>57</v>
      </c>
      <c r="L454" s="54">
        <f>'Parameter Input'!$O$97</f>
        <v>12</v>
      </c>
      <c r="M454" s="37">
        <v>0</v>
      </c>
      <c r="N454" s="37">
        <v>1</v>
      </c>
      <c r="O454" s="37">
        <f>'Parameter Input'!$P$97</f>
        <v>0.9</v>
      </c>
      <c r="P454" s="55">
        <f>'Parameter Input'!$Q$97</f>
        <v>0.4</v>
      </c>
      <c r="Q454" s="4">
        <f t="shared" si="317"/>
        <v>0.9867978615748374</v>
      </c>
      <c r="R454" s="4">
        <f t="shared" si="317"/>
        <v>0.98114509762858249</v>
      </c>
      <c r="S454" s="4">
        <f t="shared" si="317"/>
        <v>0.97311898315872036</v>
      </c>
      <c r="T454" s="4">
        <f t="shared" si="317"/>
        <v>0.96177484161592774</v>
      </c>
      <c r="U454" s="4">
        <f t="shared" si="317"/>
        <v>0.94584787155511363</v>
      </c>
      <c r="V454" s="4">
        <f t="shared" si="317"/>
        <v>0.92370360150141495</v>
      </c>
      <c r="W454" s="4">
        <f t="shared" si="317"/>
        <v>0.89334463567658451</v>
      </c>
      <c r="X454" s="4">
        <f t="shared" si="317"/>
        <v>0.85254543874327005</v>
      </c>
      <c r="Y454" s="4">
        <f t="shared" si="317"/>
        <v>0.79921300652623883</v>
      </c>
      <c r="Z454" s="4">
        <f t="shared" si="317"/>
        <v>0.73204982249993378</v>
      </c>
      <c r="AA454" s="4">
        <f t="shared" si="317"/>
        <v>0.65145592958786691</v>
      </c>
      <c r="AB454" s="4">
        <f t="shared" si="317"/>
        <v>0.56032247880849573</v>
      </c>
      <c r="AC454" s="4">
        <f t="shared" si="317"/>
        <v>0.46411326873185343</v>
      </c>
      <c r="AD454" s="4">
        <f t="shared" si="317"/>
        <v>0.36979727595523937</v>
      </c>
      <c r="AE454" s="4">
        <f t="shared" si="317"/>
        <v>0.28393948637231203</v>
      </c>
      <c r="AF454" s="4">
        <f t="shared" si="317"/>
        <v>0.21097259161117732</v>
      </c>
      <c r="AG454" s="4">
        <f t="shared" si="314"/>
        <v>0.15253917653798199</v>
      </c>
      <c r="AH454" s="4">
        <f t="shared" si="314"/>
        <v>0.10795188737709993</v>
      </c>
      <c r="AI454" s="4">
        <f t="shared" si="314"/>
        <v>7.5176653938091809E-2</v>
      </c>
      <c r="AJ454" s="4">
        <f t="shared" si="315"/>
        <v>5.1742836177502194E-2</v>
      </c>
      <c r="AK454" s="4">
        <f t="shared" si="315"/>
        <v>3.5319190625345942E-2</v>
      </c>
      <c r="AL454" s="4">
        <f t="shared" si="315"/>
        <v>2.3969442072658165E-2</v>
      </c>
      <c r="AM454" s="4">
        <f t="shared" si="315"/>
        <v>1.6202243558389728E-2</v>
      </c>
      <c r="AN454" s="4">
        <f t="shared" si="315"/>
        <v>1.0922240564108399E-2</v>
      </c>
      <c r="AO454" s="4">
        <f t="shared" si="315"/>
        <v>7.3493212906090566E-3</v>
      </c>
      <c r="AP454" s="4">
        <f t="shared" si="315"/>
        <v>4.9390262185057265E-3</v>
      </c>
      <c r="AQ454" s="4">
        <f t="shared" si="315"/>
        <v>3.3164275492956197E-3</v>
      </c>
      <c r="AR454" s="4">
        <f t="shared" si="315"/>
        <v>2.2256362146679809E-3</v>
      </c>
    </row>
    <row r="455" spans="1:44" ht="15.75" thickBot="1" x14ac:dyDescent="0.3">
      <c r="A455" s="24" t="s">
        <v>64</v>
      </c>
      <c r="B455" s="74">
        <f>'Parameter Input'!B143</f>
        <v>178500</v>
      </c>
      <c r="C455" s="75">
        <f>'Parameter Input'!C143</f>
        <v>178500</v>
      </c>
      <c r="D455" s="1" t="s">
        <v>65</v>
      </c>
      <c r="L455" s="56">
        <f>'Parameter Input'!E143</f>
        <v>12</v>
      </c>
      <c r="M455" s="57">
        <v>0</v>
      </c>
      <c r="N455" s="57">
        <v>1</v>
      </c>
      <c r="O455" s="57">
        <f>'Parameter Input'!F143</f>
        <v>0.9</v>
      </c>
      <c r="P455" s="58">
        <f>'Parameter Input'!G143</f>
        <v>0.4</v>
      </c>
      <c r="Q455" s="4">
        <f t="shared" si="317"/>
        <v>0.9867978615748374</v>
      </c>
      <c r="R455" s="4">
        <f t="shared" si="317"/>
        <v>0.98114509762858249</v>
      </c>
      <c r="S455" s="4">
        <f t="shared" si="317"/>
        <v>0.97311898315872036</v>
      </c>
      <c r="T455" s="4">
        <f t="shared" si="317"/>
        <v>0.96177484161592774</v>
      </c>
      <c r="U455" s="4">
        <f t="shared" si="317"/>
        <v>0.94584787155511363</v>
      </c>
      <c r="V455" s="4">
        <f t="shared" si="317"/>
        <v>0.92370360150141495</v>
      </c>
      <c r="W455" s="4">
        <f t="shared" si="317"/>
        <v>0.89334463567658451</v>
      </c>
      <c r="X455" s="4">
        <f t="shared" si="317"/>
        <v>0.85254543874327005</v>
      </c>
      <c r="Y455" s="4">
        <f t="shared" si="317"/>
        <v>0.79921300652623883</v>
      </c>
      <c r="Z455" s="4">
        <f t="shared" si="317"/>
        <v>0.73204982249993378</v>
      </c>
      <c r="AA455" s="4">
        <f t="shared" si="317"/>
        <v>0.65145592958786691</v>
      </c>
      <c r="AB455" s="4">
        <f t="shared" si="317"/>
        <v>0.56032247880849573</v>
      </c>
      <c r="AC455" s="4">
        <f t="shared" si="317"/>
        <v>0.46411326873185343</v>
      </c>
      <c r="AD455" s="4">
        <f t="shared" si="317"/>
        <v>0.36979727595523937</v>
      </c>
      <c r="AE455" s="4">
        <f t="shared" si="317"/>
        <v>0.28393948637231203</v>
      </c>
      <c r="AF455" s="4">
        <f t="shared" si="317"/>
        <v>0.21097259161117732</v>
      </c>
      <c r="AG455" s="4">
        <f t="shared" si="314"/>
        <v>0.15253917653798199</v>
      </c>
      <c r="AH455" s="4">
        <f t="shared" si="314"/>
        <v>0.10795188737709993</v>
      </c>
      <c r="AI455" s="4">
        <f t="shared" si="314"/>
        <v>7.5176653938091809E-2</v>
      </c>
      <c r="AJ455" s="4">
        <f t="shared" si="315"/>
        <v>5.1742836177502194E-2</v>
      </c>
      <c r="AK455" s="4">
        <f t="shared" si="315"/>
        <v>3.5319190625345942E-2</v>
      </c>
      <c r="AL455" s="4">
        <f t="shared" si="315"/>
        <v>2.3969442072658165E-2</v>
      </c>
      <c r="AM455" s="4">
        <f t="shared" si="315"/>
        <v>1.6202243558389728E-2</v>
      </c>
      <c r="AN455" s="4">
        <f t="shared" si="315"/>
        <v>1.0922240564108399E-2</v>
      </c>
      <c r="AO455" s="4">
        <f t="shared" si="315"/>
        <v>7.3493212906090566E-3</v>
      </c>
      <c r="AP455" s="4">
        <f t="shared" si="315"/>
        <v>4.9390262185057265E-3</v>
      </c>
      <c r="AQ455" s="4">
        <f t="shared" si="315"/>
        <v>3.3164275492956197E-3</v>
      </c>
      <c r="AR455" s="4">
        <f t="shared" si="315"/>
        <v>2.2256362146679809E-3</v>
      </c>
    </row>
    <row r="456" spans="1:44" x14ac:dyDescent="0.25">
      <c r="A456" s="25"/>
      <c r="B456" s="40"/>
    </row>
    <row r="457" spans="1:44" ht="15.75" thickBot="1" x14ac:dyDescent="0.3"/>
    <row r="458" spans="1:44" ht="15.75" thickBot="1" x14ac:dyDescent="0.3">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73" si="318">A439</f>
        <v>Capex vehicle</v>
      </c>
      <c r="B459" s="62">
        <f t="shared" ref="B459:B468" si="319">$B439+($C439-$B439)*(1-Q439)</f>
        <v>3500000</v>
      </c>
      <c r="C459" s="62">
        <f t="shared" ref="C459:C468" si="320">$B439+($C439-$B439)*(1-R439)</f>
        <v>3500000</v>
      </c>
      <c r="D459" s="62">
        <f t="shared" ref="D459:D468" si="321">$B439+($C439-$B439)*(1-S439)</f>
        <v>3500000</v>
      </c>
      <c r="E459" s="62">
        <f t="shared" ref="E459:E468" si="322">$B439+($C439-$B439)*(1-T439)</f>
        <v>3500000</v>
      </c>
      <c r="F459" s="62">
        <f t="shared" ref="F459:F468" si="323">$B439+($C439-$B439)*(1-U439)</f>
        <v>3500000</v>
      </c>
      <c r="G459" s="62">
        <f t="shared" ref="G459:G468" si="324">$B439+($C439-$B439)*(1-V439)</f>
        <v>3500000</v>
      </c>
      <c r="H459" s="62">
        <f t="shared" ref="H459:H468" si="325">$B439+($C439-$B439)*(1-W439)</f>
        <v>3500000</v>
      </c>
      <c r="I459" s="62">
        <f t="shared" ref="I459:I468" si="326">$B439+($C439-$B439)*(1-X439)</f>
        <v>3500000</v>
      </c>
      <c r="J459" s="62">
        <f t="shared" ref="J459:J468" si="327">$B439+($C439-$B439)*(1-Y439)</f>
        <v>3500000</v>
      </c>
      <c r="K459" s="62">
        <f t="shared" ref="K459:K468" si="328">$B439+($C439-$B439)*(1-Z439)</f>
        <v>3500000</v>
      </c>
      <c r="L459" s="62">
        <f t="shared" ref="L459:L468" si="329">$B439+($C439-$B439)*(1-AA439)</f>
        <v>3500000</v>
      </c>
      <c r="M459" s="62">
        <f t="shared" ref="M459:M468" si="330">$B439+($C439-$B439)*(1-AB439)</f>
        <v>3500000</v>
      </c>
      <c r="N459" s="62">
        <f t="shared" ref="N459:N468" si="331">$B439+($C439-$B439)*(1-AC439)</f>
        <v>3500000</v>
      </c>
      <c r="O459" s="62">
        <f t="shared" ref="O459:O468" si="332">$B439+($C439-$B439)*(1-AD439)</f>
        <v>3500000</v>
      </c>
      <c r="P459" s="62">
        <f t="shared" ref="P459:P468" si="333">$B439+($C439-$B439)*(1-AE439)</f>
        <v>3500000</v>
      </c>
      <c r="Q459" s="62">
        <f t="shared" ref="Q459:Q468" si="334">$B439+($C439-$B439)*(1-AF439)</f>
        <v>3500000</v>
      </c>
      <c r="R459" s="62">
        <f t="shared" ref="R459:R468" si="335">$B439+($C439-$B439)*(1-AG439)</f>
        <v>3500000</v>
      </c>
      <c r="S459" s="62">
        <f t="shared" ref="S459:S468" si="336">$B439+($C439-$B439)*(1-AH439)</f>
        <v>3500000</v>
      </c>
      <c r="T459" s="62">
        <f t="shared" ref="T459:T468" si="337">$B439+($C439-$B439)*(1-AI439)</f>
        <v>3500000</v>
      </c>
      <c r="U459" s="62">
        <f t="shared" ref="U459:U468" si="338">$B439+($C439-$B439)*(1-AJ439)</f>
        <v>3500000</v>
      </c>
      <c r="V459" s="62">
        <f t="shared" ref="V459:V468" si="339">$B439+($C439-$B439)*(1-AK439)</f>
        <v>3500000</v>
      </c>
      <c r="W459" s="62">
        <f t="shared" ref="W459:W468" si="340">$B439+($C439-$B439)*(1-AL439)</f>
        <v>3500000</v>
      </c>
      <c r="X459" s="62">
        <f t="shared" ref="X459:X468" si="341">$B439+($C439-$B439)*(1-AM439)</f>
        <v>3500000</v>
      </c>
      <c r="Y459" s="62">
        <f t="shared" ref="Y459:Y468" si="342">$B439+($C439-$B439)*(1-AN439)</f>
        <v>3500000</v>
      </c>
      <c r="Z459" s="62">
        <f t="shared" ref="Z459:Z468" si="343">$B439+($C439-$B439)*(1-AO439)</f>
        <v>3500000</v>
      </c>
      <c r="AA459" s="62">
        <f t="shared" ref="AA459:AA468" si="344">$B439+($C439-$B439)*(1-AP439)</f>
        <v>3500000</v>
      </c>
      <c r="AB459" s="62">
        <f t="shared" ref="AB459:AB468" si="345">$B439+($C439-$B439)*(1-AQ439)</f>
        <v>3500000</v>
      </c>
      <c r="AC459" s="62">
        <f t="shared" ref="AC459:AC468" si="346">$B439+($C439-$B439)*(1-AR439)</f>
        <v>3500000</v>
      </c>
    </row>
    <row r="460" spans="1:44" x14ac:dyDescent="0.25">
      <c r="A460" s="30" t="str">
        <f t="shared" si="318"/>
        <v>Residual value (vehicle)</v>
      </c>
      <c r="B460" s="62">
        <f t="shared" si="319"/>
        <v>-520379.25155119307</v>
      </c>
      <c r="C460" s="62">
        <f t="shared" si="320"/>
        <v>-518400.78417000384</v>
      </c>
      <c r="D460" s="62">
        <f t="shared" si="321"/>
        <v>-515591.64410555211</v>
      </c>
      <c r="E460" s="62">
        <f t="shared" si="322"/>
        <v>-511621.1945655747</v>
      </c>
      <c r="F460" s="62">
        <f t="shared" si="323"/>
        <v>-506046.75504428975</v>
      </c>
      <c r="G460" s="62">
        <f t="shared" si="324"/>
        <v>-498296.26052549522</v>
      </c>
      <c r="H460" s="62">
        <f t="shared" si="325"/>
        <v>-487670.62248680455</v>
      </c>
      <c r="I460" s="62">
        <f t="shared" si="326"/>
        <v>-473390.90356014454</v>
      </c>
      <c r="J460" s="62">
        <f t="shared" si="327"/>
        <v>-454724.55228418356</v>
      </c>
      <c r="K460" s="62">
        <f t="shared" si="328"/>
        <v>-431217.43787497684</v>
      </c>
      <c r="L460" s="62">
        <f t="shared" si="329"/>
        <v>-403009.57535575342</v>
      </c>
      <c r="M460" s="62">
        <f t="shared" si="330"/>
        <v>-371112.8675829735</v>
      </c>
      <c r="N460" s="62">
        <f t="shared" si="331"/>
        <v>-337439.64405614871</v>
      </c>
      <c r="O460" s="62">
        <f t="shared" si="332"/>
        <v>-304429.04658433376</v>
      </c>
      <c r="P460" s="62">
        <f t="shared" si="333"/>
        <v>-274378.82023030921</v>
      </c>
      <c r="Q460" s="62">
        <f t="shared" si="334"/>
        <v>-248840.40706391208</v>
      </c>
      <c r="R460" s="62">
        <f t="shared" si="335"/>
        <v>-228388.71178829367</v>
      </c>
      <c r="S460" s="62">
        <f t="shared" si="336"/>
        <v>-212783.16058198496</v>
      </c>
      <c r="T460" s="62">
        <f t="shared" si="337"/>
        <v>-201311.8288783321</v>
      </c>
      <c r="U460" s="62">
        <f t="shared" si="338"/>
        <v>-193109.99266212579</v>
      </c>
      <c r="V460" s="62">
        <f t="shared" si="339"/>
        <v>-187361.71671887109</v>
      </c>
      <c r="W460" s="62">
        <f t="shared" si="340"/>
        <v>-183389.30472543038</v>
      </c>
      <c r="X460" s="62">
        <f t="shared" si="341"/>
        <v>-180670.78524543642</v>
      </c>
      <c r="Y460" s="62">
        <f t="shared" si="342"/>
        <v>-178822.78419743793</v>
      </c>
      <c r="Z460" s="62">
        <f t="shared" si="343"/>
        <v>-177572.26245171315</v>
      </c>
      <c r="AA460" s="62">
        <f t="shared" si="344"/>
        <v>-176728.659176477</v>
      </c>
      <c r="AB460" s="62">
        <f t="shared" si="345"/>
        <v>-176160.74964225345</v>
      </c>
      <c r="AC460" s="62">
        <f t="shared" si="346"/>
        <v>-175778.97267513379</v>
      </c>
    </row>
    <row r="461" spans="1:44" x14ac:dyDescent="0.25">
      <c r="A461" s="30" t="str">
        <f t="shared" si="318"/>
        <v>Capex costumization</v>
      </c>
      <c r="B461" s="62">
        <f t="shared" si="319"/>
        <v>3500000</v>
      </c>
      <c r="C461" s="62">
        <f t="shared" si="320"/>
        <v>3500000</v>
      </c>
      <c r="D461" s="62">
        <f t="shared" si="321"/>
        <v>3500000</v>
      </c>
      <c r="E461" s="62">
        <f t="shared" si="322"/>
        <v>3500000</v>
      </c>
      <c r="F461" s="62">
        <f t="shared" si="323"/>
        <v>3500000</v>
      </c>
      <c r="G461" s="62">
        <f t="shared" si="324"/>
        <v>3500000</v>
      </c>
      <c r="H461" s="62">
        <f t="shared" si="325"/>
        <v>3500000</v>
      </c>
      <c r="I461" s="62">
        <f t="shared" si="326"/>
        <v>3500000</v>
      </c>
      <c r="J461" s="62">
        <f t="shared" si="327"/>
        <v>3500000</v>
      </c>
      <c r="K461" s="62">
        <f t="shared" si="328"/>
        <v>3500000</v>
      </c>
      <c r="L461" s="62">
        <f t="shared" si="329"/>
        <v>3500000</v>
      </c>
      <c r="M461" s="62">
        <f t="shared" si="330"/>
        <v>3500000</v>
      </c>
      <c r="N461" s="62">
        <f t="shared" si="331"/>
        <v>3500000</v>
      </c>
      <c r="O461" s="62">
        <f t="shared" si="332"/>
        <v>3500000</v>
      </c>
      <c r="P461" s="62">
        <f t="shared" si="333"/>
        <v>3500000</v>
      </c>
      <c r="Q461" s="62">
        <f t="shared" si="334"/>
        <v>3500000</v>
      </c>
      <c r="R461" s="62">
        <f t="shared" si="335"/>
        <v>3500000</v>
      </c>
      <c r="S461" s="62">
        <f t="shared" si="336"/>
        <v>3500000</v>
      </c>
      <c r="T461" s="62">
        <f t="shared" si="337"/>
        <v>3500000</v>
      </c>
      <c r="U461" s="62">
        <f t="shared" si="338"/>
        <v>3500000</v>
      </c>
      <c r="V461" s="62">
        <f t="shared" si="339"/>
        <v>3500000</v>
      </c>
      <c r="W461" s="62">
        <f t="shared" si="340"/>
        <v>3500000</v>
      </c>
      <c r="X461" s="62">
        <f t="shared" si="341"/>
        <v>3500000</v>
      </c>
      <c r="Y461" s="62">
        <f t="shared" si="342"/>
        <v>3500000</v>
      </c>
      <c r="Z461" s="62">
        <f t="shared" si="343"/>
        <v>3500000</v>
      </c>
      <c r="AA461" s="62">
        <f t="shared" si="344"/>
        <v>3500000</v>
      </c>
      <c r="AB461" s="62">
        <f t="shared" si="345"/>
        <v>3500000</v>
      </c>
      <c r="AC461" s="62">
        <f t="shared" si="346"/>
        <v>3500000</v>
      </c>
    </row>
    <row r="462" spans="1:44" x14ac:dyDescent="0.25">
      <c r="A462" s="30" t="str">
        <f t="shared" si="318"/>
        <v>Residual value (costumization)</v>
      </c>
      <c r="B462" s="62">
        <f t="shared" si="319"/>
        <v>-175000</v>
      </c>
      <c r="C462" s="62">
        <f t="shared" si="320"/>
        <v>-175000</v>
      </c>
      <c r="D462" s="62">
        <f t="shared" si="321"/>
        <v>-175000</v>
      </c>
      <c r="E462" s="62">
        <f t="shared" si="322"/>
        <v>-175000</v>
      </c>
      <c r="F462" s="62">
        <f t="shared" si="323"/>
        <v>-175000</v>
      </c>
      <c r="G462" s="62">
        <f t="shared" si="324"/>
        <v>-175000</v>
      </c>
      <c r="H462" s="62">
        <f t="shared" si="325"/>
        <v>-175000</v>
      </c>
      <c r="I462" s="62">
        <f t="shared" si="326"/>
        <v>-175000</v>
      </c>
      <c r="J462" s="62">
        <f t="shared" si="327"/>
        <v>-175000</v>
      </c>
      <c r="K462" s="62">
        <f t="shared" si="328"/>
        <v>-175000</v>
      </c>
      <c r="L462" s="62">
        <f t="shared" si="329"/>
        <v>-175000</v>
      </c>
      <c r="M462" s="62">
        <f t="shared" si="330"/>
        <v>-175000</v>
      </c>
      <c r="N462" s="62">
        <f t="shared" si="331"/>
        <v>-175000</v>
      </c>
      <c r="O462" s="62">
        <f t="shared" si="332"/>
        <v>-175000</v>
      </c>
      <c r="P462" s="62">
        <f t="shared" si="333"/>
        <v>-175000</v>
      </c>
      <c r="Q462" s="62">
        <f t="shared" si="334"/>
        <v>-175000</v>
      </c>
      <c r="R462" s="62">
        <f t="shared" si="335"/>
        <v>-175000</v>
      </c>
      <c r="S462" s="62">
        <f t="shared" si="336"/>
        <v>-175000</v>
      </c>
      <c r="T462" s="62">
        <f t="shared" si="337"/>
        <v>-175000</v>
      </c>
      <c r="U462" s="62">
        <f t="shared" si="338"/>
        <v>-175000</v>
      </c>
      <c r="V462" s="62">
        <f t="shared" si="339"/>
        <v>-175000</v>
      </c>
      <c r="W462" s="62">
        <f t="shared" si="340"/>
        <v>-175000</v>
      </c>
      <c r="X462" s="62">
        <f t="shared" si="341"/>
        <v>-175000</v>
      </c>
      <c r="Y462" s="62">
        <f t="shared" si="342"/>
        <v>-175000</v>
      </c>
      <c r="Z462" s="62">
        <f t="shared" si="343"/>
        <v>-175000</v>
      </c>
      <c r="AA462" s="62">
        <f t="shared" si="344"/>
        <v>-175000</v>
      </c>
      <c r="AB462" s="62">
        <f t="shared" si="345"/>
        <v>-175000</v>
      </c>
      <c r="AC462" s="62">
        <f t="shared" si="346"/>
        <v>-175000</v>
      </c>
    </row>
    <row r="463" spans="1:44" x14ac:dyDescent="0.25">
      <c r="A463" s="30" t="str">
        <f t="shared" si="318"/>
        <v>WACC</v>
      </c>
      <c r="B463" s="62">
        <f t="shared" si="319"/>
        <v>0.06</v>
      </c>
      <c r="C463" s="62">
        <f t="shared" si="320"/>
        <v>0.06</v>
      </c>
      <c r="D463" s="62">
        <f t="shared" si="321"/>
        <v>0.06</v>
      </c>
      <c r="E463" s="62">
        <f t="shared" si="322"/>
        <v>0.06</v>
      </c>
      <c r="F463" s="62">
        <f t="shared" si="323"/>
        <v>0.06</v>
      </c>
      <c r="G463" s="62">
        <f t="shared" si="324"/>
        <v>0.06</v>
      </c>
      <c r="H463" s="62">
        <f t="shared" si="325"/>
        <v>0.06</v>
      </c>
      <c r="I463" s="62">
        <f t="shared" si="326"/>
        <v>0.06</v>
      </c>
      <c r="J463" s="62">
        <f t="shared" si="327"/>
        <v>0.06</v>
      </c>
      <c r="K463" s="62">
        <f t="shared" si="328"/>
        <v>0.06</v>
      </c>
      <c r="L463" s="62">
        <f t="shared" si="329"/>
        <v>0.06</v>
      </c>
      <c r="M463" s="62">
        <f t="shared" si="330"/>
        <v>0.06</v>
      </c>
      <c r="N463" s="62">
        <f t="shared" si="331"/>
        <v>0.06</v>
      </c>
      <c r="O463" s="62">
        <f t="shared" si="332"/>
        <v>0.06</v>
      </c>
      <c r="P463" s="62">
        <f t="shared" si="333"/>
        <v>0.06</v>
      </c>
      <c r="Q463" s="62">
        <f t="shared" si="334"/>
        <v>0.06</v>
      </c>
      <c r="R463" s="62">
        <f t="shared" si="335"/>
        <v>0.06</v>
      </c>
      <c r="S463" s="62">
        <f t="shared" si="336"/>
        <v>0.06</v>
      </c>
      <c r="T463" s="62">
        <f t="shared" si="337"/>
        <v>0.06</v>
      </c>
      <c r="U463" s="62">
        <f t="shared" si="338"/>
        <v>0.06</v>
      </c>
      <c r="V463" s="62">
        <f t="shared" si="339"/>
        <v>0.06</v>
      </c>
      <c r="W463" s="62">
        <f t="shared" si="340"/>
        <v>0.06</v>
      </c>
      <c r="X463" s="62">
        <f t="shared" si="341"/>
        <v>0.06</v>
      </c>
      <c r="Y463" s="62">
        <f t="shared" si="342"/>
        <v>0.06</v>
      </c>
      <c r="Z463" s="62">
        <f t="shared" si="343"/>
        <v>0.06</v>
      </c>
      <c r="AA463" s="62">
        <f t="shared" si="344"/>
        <v>0.06</v>
      </c>
      <c r="AB463" s="62">
        <f t="shared" si="345"/>
        <v>0.06</v>
      </c>
      <c r="AC463" s="62">
        <f t="shared" si="346"/>
        <v>0.06</v>
      </c>
    </row>
    <row r="464" spans="1:44" x14ac:dyDescent="0.25">
      <c r="A464" s="30" t="str">
        <f t="shared" si="318"/>
        <v>Opex fix (admin, crew, insurance)</v>
      </c>
      <c r="B464" s="62">
        <f t="shared" si="319"/>
        <v>650000</v>
      </c>
      <c r="C464" s="62">
        <f t="shared" si="320"/>
        <v>650000</v>
      </c>
      <c r="D464" s="62">
        <f t="shared" si="321"/>
        <v>650000</v>
      </c>
      <c r="E464" s="62">
        <f t="shared" si="322"/>
        <v>650000</v>
      </c>
      <c r="F464" s="62">
        <f t="shared" si="323"/>
        <v>650000</v>
      </c>
      <c r="G464" s="62">
        <f t="shared" si="324"/>
        <v>650000</v>
      </c>
      <c r="H464" s="62">
        <f t="shared" si="325"/>
        <v>650000</v>
      </c>
      <c r="I464" s="62">
        <f t="shared" si="326"/>
        <v>650000</v>
      </c>
      <c r="J464" s="62">
        <f t="shared" si="327"/>
        <v>650000</v>
      </c>
      <c r="K464" s="62">
        <f t="shared" si="328"/>
        <v>650000</v>
      </c>
      <c r="L464" s="62">
        <f t="shared" si="329"/>
        <v>650000</v>
      </c>
      <c r="M464" s="62">
        <f t="shared" si="330"/>
        <v>650000</v>
      </c>
      <c r="N464" s="62">
        <f t="shared" si="331"/>
        <v>650000</v>
      </c>
      <c r="O464" s="62">
        <f t="shared" si="332"/>
        <v>650000</v>
      </c>
      <c r="P464" s="62">
        <f t="shared" si="333"/>
        <v>650000</v>
      </c>
      <c r="Q464" s="62">
        <f t="shared" si="334"/>
        <v>650000</v>
      </c>
      <c r="R464" s="62">
        <f t="shared" si="335"/>
        <v>650000</v>
      </c>
      <c r="S464" s="62">
        <f t="shared" si="336"/>
        <v>650000</v>
      </c>
      <c r="T464" s="62">
        <f t="shared" si="337"/>
        <v>650000</v>
      </c>
      <c r="U464" s="62">
        <f t="shared" si="338"/>
        <v>650000</v>
      </c>
      <c r="V464" s="62">
        <f t="shared" si="339"/>
        <v>650000</v>
      </c>
      <c r="W464" s="62">
        <f t="shared" si="340"/>
        <v>650000</v>
      </c>
      <c r="X464" s="62">
        <f t="shared" si="341"/>
        <v>650000</v>
      </c>
      <c r="Y464" s="62">
        <f t="shared" si="342"/>
        <v>650000</v>
      </c>
      <c r="Z464" s="62">
        <f t="shared" si="343"/>
        <v>650000</v>
      </c>
      <c r="AA464" s="62">
        <f t="shared" si="344"/>
        <v>650000</v>
      </c>
      <c r="AB464" s="62">
        <f t="shared" si="345"/>
        <v>650000</v>
      </c>
      <c r="AC464" s="62">
        <f t="shared" si="346"/>
        <v>650000</v>
      </c>
    </row>
    <row r="465" spans="1:29" x14ac:dyDescent="0.25">
      <c r="A465" s="30" t="str">
        <f t="shared" si="318"/>
        <v>Opex maintenance &amp; repair</v>
      </c>
      <c r="B465" s="62">
        <f t="shared" si="319"/>
        <v>1050000</v>
      </c>
      <c r="C465" s="62">
        <f t="shared" si="320"/>
        <v>1050000</v>
      </c>
      <c r="D465" s="62">
        <f t="shared" si="321"/>
        <v>1050000</v>
      </c>
      <c r="E465" s="62">
        <f t="shared" si="322"/>
        <v>1050000</v>
      </c>
      <c r="F465" s="62">
        <f t="shared" si="323"/>
        <v>1050000</v>
      </c>
      <c r="G465" s="62">
        <f t="shared" si="324"/>
        <v>1050000</v>
      </c>
      <c r="H465" s="62">
        <f t="shared" si="325"/>
        <v>1050000</v>
      </c>
      <c r="I465" s="62">
        <f t="shared" si="326"/>
        <v>1050000</v>
      </c>
      <c r="J465" s="62">
        <f t="shared" si="327"/>
        <v>1050000</v>
      </c>
      <c r="K465" s="62">
        <f t="shared" si="328"/>
        <v>1050000</v>
      </c>
      <c r="L465" s="62">
        <f t="shared" si="329"/>
        <v>1050000</v>
      </c>
      <c r="M465" s="62">
        <f t="shared" si="330"/>
        <v>1050000</v>
      </c>
      <c r="N465" s="62">
        <f t="shared" si="331"/>
        <v>1050000</v>
      </c>
      <c r="O465" s="62">
        <f t="shared" si="332"/>
        <v>1050000</v>
      </c>
      <c r="P465" s="62">
        <f t="shared" si="333"/>
        <v>1050000</v>
      </c>
      <c r="Q465" s="62">
        <f t="shared" si="334"/>
        <v>1050000</v>
      </c>
      <c r="R465" s="62">
        <f t="shared" si="335"/>
        <v>1050000</v>
      </c>
      <c r="S465" s="62">
        <f t="shared" si="336"/>
        <v>1050000</v>
      </c>
      <c r="T465" s="62">
        <f t="shared" si="337"/>
        <v>1050000</v>
      </c>
      <c r="U465" s="62">
        <f t="shared" si="338"/>
        <v>1050000</v>
      </c>
      <c r="V465" s="62">
        <f t="shared" si="339"/>
        <v>1050000</v>
      </c>
      <c r="W465" s="62">
        <f t="shared" si="340"/>
        <v>1050000</v>
      </c>
      <c r="X465" s="62">
        <f t="shared" si="341"/>
        <v>1050000</v>
      </c>
      <c r="Y465" s="62">
        <f t="shared" si="342"/>
        <v>1050000</v>
      </c>
      <c r="Z465" s="62">
        <f t="shared" si="343"/>
        <v>1050000</v>
      </c>
      <c r="AA465" s="62">
        <f t="shared" si="344"/>
        <v>1050000</v>
      </c>
      <c r="AB465" s="62">
        <f t="shared" si="345"/>
        <v>1050000</v>
      </c>
      <c r="AC465" s="62">
        <f t="shared" si="346"/>
        <v>1050000</v>
      </c>
    </row>
    <row r="466" spans="1:29" x14ac:dyDescent="0.25">
      <c r="A466" s="30" t="str">
        <f t="shared" si="318"/>
        <v>Opex var (mode-fees, shunting)</v>
      </c>
      <c r="B466" s="62">
        <f t="shared" si="319"/>
        <v>3.9215686274509802</v>
      </c>
      <c r="C466" s="62">
        <f t="shared" si="320"/>
        <v>3.9215686274509802</v>
      </c>
      <c r="D466" s="62">
        <f t="shared" si="321"/>
        <v>3.9215686274509802</v>
      </c>
      <c r="E466" s="62">
        <f t="shared" si="322"/>
        <v>3.9215686274509802</v>
      </c>
      <c r="F466" s="62">
        <f t="shared" si="323"/>
        <v>3.9215686274509802</v>
      </c>
      <c r="G466" s="62">
        <f t="shared" si="324"/>
        <v>3.9215686274509802</v>
      </c>
      <c r="H466" s="62">
        <f t="shared" si="325"/>
        <v>3.9215686274509802</v>
      </c>
      <c r="I466" s="62">
        <f t="shared" si="326"/>
        <v>3.9215686274509802</v>
      </c>
      <c r="J466" s="62">
        <f t="shared" si="327"/>
        <v>3.9215686274509802</v>
      </c>
      <c r="K466" s="62">
        <f t="shared" si="328"/>
        <v>3.9215686274509802</v>
      </c>
      <c r="L466" s="62">
        <f t="shared" si="329"/>
        <v>3.9215686274509802</v>
      </c>
      <c r="M466" s="62">
        <f t="shared" si="330"/>
        <v>3.9215686274509802</v>
      </c>
      <c r="N466" s="62">
        <f t="shared" si="331"/>
        <v>3.9215686274509802</v>
      </c>
      <c r="O466" s="62">
        <f t="shared" si="332"/>
        <v>3.9215686274509802</v>
      </c>
      <c r="P466" s="62">
        <f t="shared" si="333"/>
        <v>3.9215686274509802</v>
      </c>
      <c r="Q466" s="62">
        <f t="shared" si="334"/>
        <v>3.9215686274509802</v>
      </c>
      <c r="R466" s="62">
        <f t="shared" si="335"/>
        <v>3.9215686274509802</v>
      </c>
      <c r="S466" s="62">
        <f t="shared" si="336"/>
        <v>3.9215686274509802</v>
      </c>
      <c r="T466" s="62">
        <f t="shared" si="337"/>
        <v>3.9215686274509802</v>
      </c>
      <c r="U466" s="62">
        <f t="shared" si="338"/>
        <v>3.9215686274509802</v>
      </c>
      <c r="V466" s="62">
        <f t="shared" si="339"/>
        <v>3.9215686274509802</v>
      </c>
      <c r="W466" s="62">
        <f t="shared" si="340"/>
        <v>3.9215686274509802</v>
      </c>
      <c r="X466" s="62">
        <f t="shared" si="341"/>
        <v>3.9215686274509802</v>
      </c>
      <c r="Y466" s="62">
        <f t="shared" si="342"/>
        <v>3.9215686274509802</v>
      </c>
      <c r="Z466" s="62">
        <f t="shared" si="343"/>
        <v>3.9215686274509802</v>
      </c>
      <c r="AA466" s="62">
        <f t="shared" si="344"/>
        <v>3.9215686274509802</v>
      </c>
      <c r="AB466" s="62">
        <f t="shared" si="345"/>
        <v>3.9215686274509802</v>
      </c>
      <c r="AC466" s="62">
        <f t="shared" si="346"/>
        <v>3.9215686274509802</v>
      </c>
    </row>
    <row r="467" spans="1:29" x14ac:dyDescent="0.25">
      <c r="A467" s="30" t="str">
        <f t="shared" si="318"/>
        <v>Fuel Economy</v>
      </c>
      <c r="B467" s="62">
        <f t="shared" si="319"/>
        <v>76.777599999999993</v>
      </c>
      <c r="C467" s="62">
        <f t="shared" si="320"/>
        <v>76.777599999999993</v>
      </c>
      <c r="D467" s="62">
        <f t="shared" si="321"/>
        <v>76.777599999999993</v>
      </c>
      <c r="E467" s="62">
        <f t="shared" si="322"/>
        <v>76.777599999999993</v>
      </c>
      <c r="F467" s="62">
        <f t="shared" si="323"/>
        <v>76.777599999999993</v>
      </c>
      <c r="G467" s="62">
        <f t="shared" si="324"/>
        <v>76.777599999999993</v>
      </c>
      <c r="H467" s="62">
        <f t="shared" si="325"/>
        <v>76.777599999999993</v>
      </c>
      <c r="I467" s="62">
        <f t="shared" si="326"/>
        <v>76.777599999999993</v>
      </c>
      <c r="J467" s="62">
        <f t="shared" si="327"/>
        <v>76.777599999999993</v>
      </c>
      <c r="K467" s="62">
        <f t="shared" si="328"/>
        <v>76.777599999999993</v>
      </c>
      <c r="L467" s="62">
        <f t="shared" si="329"/>
        <v>76.777599999999993</v>
      </c>
      <c r="M467" s="62">
        <f t="shared" si="330"/>
        <v>76.777599999999993</v>
      </c>
      <c r="N467" s="62">
        <f t="shared" si="331"/>
        <v>76.777599999999993</v>
      </c>
      <c r="O467" s="62">
        <f t="shared" si="332"/>
        <v>76.777599999999993</v>
      </c>
      <c r="P467" s="62">
        <f t="shared" si="333"/>
        <v>76.777599999999993</v>
      </c>
      <c r="Q467" s="62">
        <f t="shared" si="334"/>
        <v>76.777599999999993</v>
      </c>
      <c r="R467" s="62">
        <f t="shared" si="335"/>
        <v>76.777599999999993</v>
      </c>
      <c r="S467" s="62">
        <f t="shared" si="336"/>
        <v>76.777599999999993</v>
      </c>
      <c r="T467" s="62">
        <f t="shared" si="337"/>
        <v>76.777599999999993</v>
      </c>
      <c r="U467" s="62">
        <f t="shared" si="338"/>
        <v>76.777599999999993</v>
      </c>
      <c r="V467" s="62">
        <f t="shared" si="339"/>
        <v>76.777599999999993</v>
      </c>
      <c r="W467" s="62">
        <f t="shared" si="340"/>
        <v>76.777599999999993</v>
      </c>
      <c r="X467" s="62">
        <f t="shared" si="341"/>
        <v>76.777599999999993</v>
      </c>
      <c r="Y467" s="62">
        <f t="shared" si="342"/>
        <v>76.777599999999993</v>
      </c>
      <c r="Z467" s="62">
        <f t="shared" si="343"/>
        <v>76.777599999999993</v>
      </c>
      <c r="AA467" s="62">
        <f t="shared" si="344"/>
        <v>76.777599999999993</v>
      </c>
      <c r="AB467" s="62">
        <f t="shared" si="345"/>
        <v>76.777599999999993</v>
      </c>
      <c r="AC467" s="62">
        <f t="shared" si="346"/>
        <v>76.777599999999993</v>
      </c>
    </row>
    <row r="468" spans="1:29" x14ac:dyDescent="0.25">
      <c r="A468" s="30" t="str">
        <f t="shared" si="318"/>
        <v>Fuel Cost</v>
      </c>
      <c r="B468" s="62">
        <f t="shared" si="319"/>
        <v>0.1</v>
      </c>
      <c r="C468" s="62">
        <f t="shared" si="320"/>
        <v>0.1</v>
      </c>
      <c r="D468" s="62">
        <f t="shared" si="321"/>
        <v>0.1</v>
      </c>
      <c r="E468" s="62">
        <f t="shared" si="322"/>
        <v>0.1</v>
      </c>
      <c r="F468" s="62">
        <f t="shared" si="323"/>
        <v>0.1</v>
      </c>
      <c r="G468" s="62">
        <f t="shared" si="324"/>
        <v>0.1</v>
      </c>
      <c r="H468" s="62">
        <f t="shared" si="325"/>
        <v>0.1</v>
      </c>
      <c r="I468" s="62">
        <f t="shared" si="326"/>
        <v>0.1</v>
      </c>
      <c r="J468" s="62">
        <f t="shared" si="327"/>
        <v>0.1</v>
      </c>
      <c r="K468" s="62">
        <f t="shared" si="328"/>
        <v>0.1</v>
      </c>
      <c r="L468" s="62">
        <f t="shared" si="329"/>
        <v>0.1</v>
      </c>
      <c r="M468" s="62">
        <f t="shared" si="330"/>
        <v>0.1</v>
      </c>
      <c r="N468" s="62">
        <f t="shared" si="331"/>
        <v>0.1</v>
      </c>
      <c r="O468" s="62">
        <f t="shared" si="332"/>
        <v>0.1</v>
      </c>
      <c r="P468" s="62">
        <f t="shared" si="333"/>
        <v>0.1</v>
      </c>
      <c r="Q468" s="62">
        <f t="shared" si="334"/>
        <v>0.1</v>
      </c>
      <c r="R468" s="62">
        <f t="shared" si="335"/>
        <v>0.1</v>
      </c>
      <c r="S468" s="62">
        <f t="shared" si="336"/>
        <v>0.1</v>
      </c>
      <c r="T468" s="62">
        <f t="shared" si="337"/>
        <v>0.1</v>
      </c>
      <c r="U468" s="62">
        <f t="shared" si="338"/>
        <v>0.1</v>
      </c>
      <c r="V468" s="62">
        <f t="shared" si="339"/>
        <v>0.1</v>
      </c>
      <c r="W468" s="62">
        <f t="shared" si="340"/>
        <v>0.1</v>
      </c>
      <c r="X468" s="62">
        <f t="shared" si="341"/>
        <v>0.1</v>
      </c>
      <c r="Y468" s="62">
        <f t="shared" si="342"/>
        <v>0.1</v>
      </c>
      <c r="Z468" s="62">
        <f t="shared" si="343"/>
        <v>0.1</v>
      </c>
      <c r="AA468" s="62">
        <f t="shared" si="344"/>
        <v>0.1</v>
      </c>
      <c r="AB468" s="62">
        <f t="shared" si="345"/>
        <v>0.1</v>
      </c>
      <c r="AC468" s="62">
        <f t="shared" si="346"/>
        <v>0.1</v>
      </c>
    </row>
    <row r="469" spans="1:29" x14ac:dyDescent="0.25">
      <c r="A469" s="30" t="str">
        <f t="shared" si="318"/>
        <v>Emission Cost</v>
      </c>
      <c r="B469" s="66">
        <f>$B449+($C449-$B449)*(1-Q449)</f>
        <v>2.0582113582797463</v>
      </c>
      <c r="C469" s="66">
        <f t="shared" ref="C469:AC469" si="347">$B449+($C449-$B449)*(1-R449)</f>
        <v>2.0630736964968874</v>
      </c>
      <c r="D469" s="66">
        <f t="shared" si="347"/>
        <v>2.0700340253548735</v>
      </c>
      <c r="E469" s="66">
        <f t="shared" si="347"/>
        <v>2.0799912652584287</v>
      </c>
      <c r="F469" s="66">
        <f t="shared" si="347"/>
        <v>2.0942223582546799</v>
      </c>
      <c r="G469" s="66">
        <f t="shared" si="347"/>
        <v>2.1145332034270625</v>
      </c>
      <c r="H469" s="66">
        <f t="shared" si="347"/>
        <v>2.1434608297482804</v>
      </c>
      <c r="I469" s="66">
        <f t="shared" si="347"/>
        <v>2.1845339122974496</v>
      </c>
      <c r="J469" s="66">
        <f t="shared" si="347"/>
        <v>2.2425867676094651</v>
      </c>
      <c r="K469" s="66">
        <f t="shared" si="347"/>
        <v>2.3240919291072673</v>
      </c>
      <c r="L469" s="66">
        <f t="shared" si="347"/>
        <v>2.4374136908790356</v>
      </c>
      <c r="M469" s="66">
        <f t="shared" si="347"/>
        <v>2.5927735868925894</v>
      </c>
      <c r="N469" s="66">
        <f t="shared" si="347"/>
        <v>2.8015606394413943</v>
      </c>
      <c r="O469" s="66">
        <f t="shared" si="347"/>
        <v>3.0744856518148742</v>
      </c>
      <c r="P469" s="66">
        <f t="shared" si="347"/>
        <v>3.4181885745847813</v>
      </c>
      <c r="Q469" s="66">
        <f t="shared" si="347"/>
        <v>3.8306222159147274</v>
      </c>
      <c r="R469" s="66">
        <f t="shared" si="347"/>
        <v>4.2969913115595899</v>
      </c>
      <c r="S469" s="66">
        <f t="shared" si="347"/>
        <v>4.7893352523676196</v>
      </c>
      <c r="T469" s="66">
        <f t="shared" si="347"/>
        <v>5.2719907853240588</v>
      </c>
      <c r="U469" s="66">
        <f t="shared" si="347"/>
        <v>5.7113620517407639</v>
      </c>
      <c r="V469" s="66">
        <f t="shared" si="347"/>
        <v>6.0847650605234298</v>
      </c>
      <c r="W469" s="66">
        <f t="shared" si="347"/>
        <v>6.383793997868306</v>
      </c>
      <c r="X469" s="66">
        <f t="shared" si="347"/>
        <v>6.6119663489137848</v>
      </c>
      <c r="Y469" s="66">
        <f t="shared" si="347"/>
        <v>6.7796913263812186</v>
      </c>
      <c r="Z469" s="66">
        <f t="shared" si="347"/>
        <v>6.8996122588494808</v>
      </c>
      <c r="AA469" s="66">
        <f t="shared" si="347"/>
        <v>6.9836591226283362</v>
      </c>
      <c r="AB469" s="66">
        <f t="shared" si="347"/>
        <v>7.0417406714234989</v>
      </c>
      <c r="AC469" s="66">
        <f t="shared" si="347"/>
        <v>7.0814887695786215</v>
      </c>
    </row>
    <row r="470" spans="1:29" x14ac:dyDescent="0.25">
      <c r="A470" s="30" t="str">
        <f t="shared" si="318"/>
        <v>Lifetime vehicle</v>
      </c>
      <c r="B470" s="62">
        <f>$B450+($C450-$B450)*(1-Q450)</f>
        <v>20</v>
      </c>
      <c r="C470" s="62">
        <f t="shared" ref="C470:L472" si="348">$B450+($C450-$B450)*(1-R450)</f>
        <v>20</v>
      </c>
      <c r="D470" s="62">
        <f t="shared" si="348"/>
        <v>20</v>
      </c>
      <c r="E470" s="62">
        <f t="shared" si="348"/>
        <v>20</v>
      </c>
      <c r="F470" s="62">
        <f t="shared" si="348"/>
        <v>20</v>
      </c>
      <c r="G470" s="62">
        <f t="shared" si="348"/>
        <v>20</v>
      </c>
      <c r="H470" s="62">
        <f t="shared" si="348"/>
        <v>20</v>
      </c>
      <c r="I470" s="62">
        <f t="shared" si="348"/>
        <v>20</v>
      </c>
      <c r="J470" s="62">
        <f t="shared" si="348"/>
        <v>20</v>
      </c>
      <c r="K470" s="62">
        <f t="shared" si="348"/>
        <v>20</v>
      </c>
      <c r="L470" s="62">
        <f t="shared" si="348"/>
        <v>20</v>
      </c>
      <c r="M470" s="62">
        <f t="shared" ref="M470:V472" si="349">$B450+($C450-$B450)*(1-AB450)</f>
        <v>20</v>
      </c>
      <c r="N470" s="62">
        <f t="shared" si="349"/>
        <v>20</v>
      </c>
      <c r="O470" s="62">
        <f t="shared" si="349"/>
        <v>20</v>
      </c>
      <c r="P470" s="62">
        <f t="shared" si="349"/>
        <v>20</v>
      </c>
      <c r="Q470" s="62">
        <f t="shared" si="349"/>
        <v>20</v>
      </c>
      <c r="R470" s="62">
        <f t="shared" si="349"/>
        <v>20</v>
      </c>
      <c r="S470" s="62">
        <f t="shared" si="349"/>
        <v>20</v>
      </c>
      <c r="T470" s="62">
        <f t="shared" si="349"/>
        <v>20</v>
      </c>
      <c r="U470" s="62">
        <f t="shared" si="349"/>
        <v>20</v>
      </c>
      <c r="V470" s="62">
        <f t="shared" si="349"/>
        <v>20</v>
      </c>
      <c r="W470" s="62">
        <f t="shared" ref="W470:AC472" si="350">$B450+($C450-$B450)*(1-AL450)</f>
        <v>20</v>
      </c>
      <c r="X470" s="62">
        <f t="shared" si="350"/>
        <v>20</v>
      </c>
      <c r="Y470" s="62">
        <f t="shared" si="350"/>
        <v>20</v>
      </c>
      <c r="Z470" s="62">
        <f t="shared" si="350"/>
        <v>20</v>
      </c>
      <c r="AA470" s="62">
        <f t="shared" si="350"/>
        <v>20</v>
      </c>
      <c r="AB470" s="62">
        <f t="shared" si="350"/>
        <v>20</v>
      </c>
      <c r="AC470" s="62">
        <f t="shared" si="350"/>
        <v>20</v>
      </c>
    </row>
    <row r="471" spans="1:29" x14ac:dyDescent="0.25">
      <c r="A471" s="30" t="str">
        <f t="shared" si="318"/>
        <v>Lifetime costumization</v>
      </c>
      <c r="B471" s="62">
        <f>$B451+($C451-$B451)*(1-Q451)</f>
        <v>30</v>
      </c>
      <c r="C471" s="62">
        <f t="shared" si="348"/>
        <v>30</v>
      </c>
      <c r="D471" s="62">
        <f t="shared" si="348"/>
        <v>30</v>
      </c>
      <c r="E471" s="62">
        <f t="shared" si="348"/>
        <v>30</v>
      </c>
      <c r="F471" s="62">
        <f t="shared" si="348"/>
        <v>30</v>
      </c>
      <c r="G471" s="62">
        <f t="shared" si="348"/>
        <v>30</v>
      </c>
      <c r="H471" s="62">
        <f t="shared" si="348"/>
        <v>30</v>
      </c>
      <c r="I471" s="62">
        <f t="shared" si="348"/>
        <v>30</v>
      </c>
      <c r="J471" s="62">
        <f t="shared" si="348"/>
        <v>30</v>
      </c>
      <c r="K471" s="62">
        <f t="shared" si="348"/>
        <v>30</v>
      </c>
      <c r="L471" s="62">
        <f t="shared" si="348"/>
        <v>30</v>
      </c>
      <c r="M471" s="62">
        <f t="shared" si="349"/>
        <v>30</v>
      </c>
      <c r="N471" s="62">
        <f t="shared" si="349"/>
        <v>30</v>
      </c>
      <c r="O471" s="62">
        <f t="shared" si="349"/>
        <v>30</v>
      </c>
      <c r="P471" s="62">
        <f t="shared" si="349"/>
        <v>30</v>
      </c>
      <c r="Q471" s="62">
        <f t="shared" si="349"/>
        <v>30</v>
      </c>
      <c r="R471" s="62">
        <f t="shared" si="349"/>
        <v>30</v>
      </c>
      <c r="S471" s="62">
        <f t="shared" si="349"/>
        <v>30</v>
      </c>
      <c r="T471" s="62">
        <f t="shared" si="349"/>
        <v>30</v>
      </c>
      <c r="U471" s="62">
        <f t="shared" si="349"/>
        <v>30</v>
      </c>
      <c r="V471" s="62">
        <f t="shared" si="349"/>
        <v>30</v>
      </c>
      <c r="W471" s="62">
        <f t="shared" si="350"/>
        <v>30</v>
      </c>
      <c r="X471" s="62">
        <f t="shared" si="350"/>
        <v>30</v>
      </c>
      <c r="Y471" s="62">
        <f t="shared" si="350"/>
        <v>30</v>
      </c>
      <c r="Z471" s="62">
        <f t="shared" si="350"/>
        <v>30</v>
      </c>
      <c r="AA471" s="62">
        <f t="shared" si="350"/>
        <v>30</v>
      </c>
      <c r="AB471" s="62">
        <f t="shared" si="350"/>
        <v>30</v>
      </c>
      <c r="AC471" s="62">
        <f t="shared" si="350"/>
        <v>30</v>
      </c>
    </row>
    <row r="472" spans="1:29" x14ac:dyDescent="0.25">
      <c r="A472" s="30" t="str">
        <f t="shared" si="318"/>
        <v>Tonnage .</v>
      </c>
      <c r="B472" s="62">
        <f>$B452+($C452-$B452)*(1-Q452)</f>
        <v>2800</v>
      </c>
      <c r="C472" s="62">
        <f t="shared" si="348"/>
        <v>2800</v>
      </c>
      <c r="D472" s="62">
        <f t="shared" si="348"/>
        <v>2800</v>
      </c>
      <c r="E472" s="62">
        <f t="shared" si="348"/>
        <v>2800</v>
      </c>
      <c r="F472" s="62">
        <f t="shared" si="348"/>
        <v>2800</v>
      </c>
      <c r="G472" s="62">
        <f t="shared" si="348"/>
        <v>2800</v>
      </c>
      <c r="H472" s="62">
        <f t="shared" si="348"/>
        <v>2800</v>
      </c>
      <c r="I472" s="62">
        <f t="shared" si="348"/>
        <v>2800</v>
      </c>
      <c r="J472" s="62">
        <f t="shared" si="348"/>
        <v>2800</v>
      </c>
      <c r="K472" s="62">
        <f t="shared" si="348"/>
        <v>2800</v>
      </c>
      <c r="L472" s="62">
        <f t="shared" si="348"/>
        <v>2800</v>
      </c>
      <c r="M472" s="62">
        <f t="shared" si="349"/>
        <v>2800</v>
      </c>
      <c r="N472" s="62">
        <f t="shared" si="349"/>
        <v>2800</v>
      </c>
      <c r="O472" s="62">
        <f t="shared" si="349"/>
        <v>2800</v>
      </c>
      <c r="P472" s="62">
        <f t="shared" si="349"/>
        <v>2800</v>
      </c>
      <c r="Q472" s="62">
        <f t="shared" si="349"/>
        <v>2800</v>
      </c>
      <c r="R472" s="62">
        <f t="shared" si="349"/>
        <v>2800</v>
      </c>
      <c r="S472" s="62">
        <f t="shared" si="349"/>
        <v>2800</v>
      </c>
      <c r="T472" s="62">
        <f t="shared" si="349"/>
        <v>2800</v>
      </c>
      <c r="U472" s="62">
        <f t="shared" si="349"/>
        <v>2800</v>
      </c>
      <c r="V472" s="62">
        <f t="shared" si="349"/>
        <v>2800</v>
      </c>
      <c r="W472" s="62">
        <f t="shared" si="350"/>
        <v>2800</v>
      </c>
      <c r="X472" s="62">
        <f t="shared" si="350"/>
        <v>2800</v>
      </c>
      <c r="Y472" s="62">
        <f t="shared" si="350"/>
        <v>2800</v>
      </c>
      <c r="Z472" s="62">
        <f t="shared" si="350"/>
        <v>2800</v>
      </c>
      <c r="AA472" s="62">
        <f t="shared" si="350"/>
        <v>2800</v>
      </c>
      <c r="AB472" s="62">
        <f t="shared" si="350"/>
        <v>2800</v>
      </c>
      <c r="AC472" s="62">
        <f t="shared" si="350"/>
        <v>2800</v>
      </c>
    </row>
    <row r="473" spans="1:29" x14ac:dyDescent="0.25">
      <c r="A473" s="30" t="str">
        <f t="shared" si="318"/>
        <v>Market failure (av. utilization)</v>
      </c>
      <c r="B473" s="62">
        <f t="shared" ref="B473:K474" si="351">($B453+($C453-$B453)*(1-Q453))*B$44</f>
        <v>955.73333333333335</v>
      </c>
      <c r="C473" s="62">
        <f t="shared" si="351"/>
        <v>955.73333333333335</v>
      </c>
      <c r="D473" s="62">
        <f t="shared" si="351"/>
        <v>955.73333333333335</v>
      </c>
      <c r="E473" s="62">
        <f t="shared" si="351"/>
        <v>955.73333333333335</v>
      </c>
      <c r="F473" s="62">
        <f t="shared" si="351"/>
        <v>955.73333333333335</v>
      </c>
      <c r="G473" s="62">
        <f t="shared" si="351"/>
        <v>955.73333333333335</v>
      </c>
      <c r="H473" s="62">
        <f t="shared" si="351"/>
        <v>955.73333333333335</v>
      </c>
      <c r="I473" s="62">
        <f t="shared" si="351"/>
        <v>955.73333333333335</v>
      </c>
      <c r="J473" s="62">
        <f t="shared" si="351"/>
        <v>955.73333333333335</v>
      </c>
      <c r="K473" s="62">
        <f t="shared" si="351"/>
        <v>955.73333333333335</v>
      </c>
      <c r="L473" s="62">
        <f t="shared" ref="L473:U474" si="352">($B453+($C453-$B453)*(1-AA453))*L$44</f>
        <v>955.73333333333335</v>
      </c>
      <c r="M473" s="62">
        <f t="shared" si="352"/>
        <v>955.73333333333335</v>
      </c>
      <c r="N473" s="62">
        <f t="shared" si="352"/>
        <v>955.73333333333335</v>
      </c>
      <c r="O473" s="62">
        <f t="shared" si="352"/>
        <v>955.73333333333335</v>
      </c>
      <c r="P473" s="62">
        <f t="shared" si="352"/>
        <v>955.73333333333335</v>
      </c>
      <c r="Q473" s="62">
        <f t="shared" si="352"/>
        <v>955.73333333333335</v>
      </c>
      <c r="R473" s="62">
        <f t="shared" si="352"/>
        <v>955.73333333333335</v>
      </c>
      <c r="S473" s="62">
        <f t="shared" si="352"/>
        <v>955.73333333333335</v>
      </c>
      <c r="T473" s="62">
        <f t="shared" si="352"/>
        <v>955.73333333333335</v>
      </c>
      <c r="U473" s="62">
        <f t="shared" si="352"/>
        <v>955.73333333333335</v>
      </c>
      <c r="V473" s="62">
        <f t="shared" ref="V473:AC474" si="353">($B453+($C453-$B453)*(1-AK453))*V$44</f>
        <v>955.73333333333335</v>
      </c>
      <c r="W473" s="62">
        <f t="shared" si="353"/>
        <v>955.73333333333335</v>
      </c>
      <c r="X473" s="62">
        <f t="shared" si="353"/>
        <v>955.73333333333335</v>
      </c>
      <c r="Y473" s="62">
        <f t="shared" si="353"/>
        <v>955.73333333333335</v>
      </c>
      <c r="Z473" s="62">
        <f t="shared" si="353"/>
        <v>955.73333333333335</v>
      </c>
      <c r="AA473" s="62">
        <f t="shared" si="353"/>
        <v>955.73333333333335</v>
      </c>
      <c r="AB473" s="62">
        <f t="shared" si="353"/>
        <v>955.73333333333335</v>
      </c>
      <c r="AC473" s="62">
        <f t="shared" si="353"/>
        <v>955.73333333333335</v>
      </c>
    </row>
    <row r="474" spans="1:29" x14ac:dyDescent="0.25">
      <c r="A474" s="30" t="s">
        <v>73</v>
      </c>
      <c r="B474" s="62">
        <f t="shared" si="351"/>
        <v>0</v>
      </c>
      <c r="C474" s="62">
        <f t="shared" si="351"/>
        <v>0</v>
      </c>
      <c r="D474" s="62">
        <f t="shared" si="351"/>
        <v>0</v>
      </c>
      <c r="E474" s="62">
        <f t="shared" si="351"/>
        <v>0</v>
      </c>
      <c r="F474" s="62">
        <f t="shared" si="351"/>
        <v>0</v>
      </c>
      <c r="G474" s="62">
        <f t="shared" si="351"/>
        <v>0</v>
      </c>
      <c r="H474" s="62">
        <f t="shared" si="351"/>
        <v>0</v>
      </c>
      <c r="I474" s="62">
        <f t="shared" si="351"/>
        <v>0</v>
      </c>
      <c r="J474" s="62">
        <f t="shared" si="351"/>
        <v>0</v>
      </c>
      <c r="K474" s="62">
        <f t="shared" si="351"/>
        <v>0</v>
      </c>
      <c r="L474" s="62">
        <f t="shared" si="352"/>
        <v>0</v>
      </c>
      <c r="M474" s="62">
        <f t="shared" si="352"/>
        <v>0</v>
      </c>
      <c r="N474" s="62">
        <f t="shared" si="352"/>
        <v>0</v>
      </c>
      <c r="O474" s="62">
        <f t="shared" si="352"/>
        <v>0</v>
      </c>
      <c r="P474" s="62">
        <f t="shared" si="352"/>
        <v>0</v>
      </c>
      <c r="Q474" s="62">
        <f t="shared" si="352"/>
        <v>0</v>
      </c>
      <c r="R474" s="62">
        <f t="shared" si="352"/>
        <v>0</v>
      </c>
      <c r="S474" s="62">
        <f t="shared" si="352"/>
        <v>0</v>
      </c>
      <c r="T474" s="62">
        <f t="shared" si="352"/>
        <v>0</v>
      </c>
      <c r="U474" s="62">
        <f t="shared" si="352"/>
        <v>0</v>
      </c>
      <c r="V474" s="62">
        <f t="shared" si="353"/>
        <v>0</v>
      </c>
      <c r="W474" s="62">
        <f t="shared" si="353"/>
        <v>0</v>
      </c>
      <c r="X474" s="62">
        <f t="shared" si="353"/>
        <v>0</v>
      </c>
      <c r="Y474" s="62">
        <f t="shared" si="353"/>
        <v>0</v>
      </c>
      <c r="Z474" s="62">
        <f t="shared" si="353"/>
        <v>0</v>
      </c>
      <c r="AA474" s="62">
        <f t="shared" si="353"/>
        <v>0</v>
      </c>
      <c r="AB474" s="62">
        <f t="shared" si="353"/>
        <v>0</v>
      </c>
      <c r="AC474" s="62">
        <f t="shared" si="353"/>
        <v>0</v>
      </c>
    </row>
    <row r="475" spans="1:29" x14ac:dyDescent="0.25">
      <c r="A475" s="30" t="str">
        <f>A455</f>
        <v>Annual Mileage</v>
      </c>
      <c r="B475" s="62">
        <f t="shared" ref="B475:AC475" si="354">$B455+($C455-$B455)*(1-Q455)</f>
        <v>178500</v>
      </c>
      <c r="C475" s="62">
        <f t="shared" si="354"/>
        <v>178500</v>
      </c>
      <c r="D475" s="62">
        <f t="shared" si="354"/>
        <v>178500</v>
      </c>
      <c r="E475" s="62">
        <f t="shared" si="354"/>
        <v>178500</v>
      </c>
      <c r="F475" s="62">
        <f t="shared" si="354"/>
        <v>178500</v>
      </c>
      <c r="G475" s="62">
        <f t="shared" si="354"/>
        <v>178500</v>
      </c>
      <c r="H475" s="62">
        <f t="shared" si="354"/>
        <v>178500</v>
      </c>
      <c r="I475" s="62">
        <f t="shared" si="354"/>
        <v>178500</v>
      </c>
      <c r="J475" s="62">
        <f t="shared" si="354"/>
        <v>178500</v>
      </c>
      <c r="K475" s="62">
        <f t="shared" si="354"/>
        <v>178500</v>
      </c>
      <c r="L475" s="62">
        <f t="shared" si="354"/>
        <v>178500</v>
      </c>
      <c r="M475" s="62">
        <f t="shared" si="354"/>
        <v>178500</v>
      </c>
      <c r="N475" s="62">
        <f t="shared" si="354"/>
        <v>178500</v>
      </c>
      <c r="O475" s="62">
        <f t="shared" si="354"/>
        <v>178500</v>
      </c>
      <c r="P475" s="62">
        <f t="shared" si="354"/>
        <v>178500</v>
      </c>
      <c r="Q475" s="62">
        <f t="shared" si="354"/>
        <v>178500</v>
      </c>
      <c r="R475" s="62">
        <f t="shared" si="354"/>
        <v>178500</v>
      </c>
      <c r="S475" s="62">
        <f t="shared" si="354"/>
        <v>178500</v>
      </c>
      <c r="T475" s="62">
        <f t="shared" si="354"/>
        <v>178500</v>
      </c>
      <c r="U475" s="62">
        <f t="shared" si="354"/>
        <v>178500</v>
      </c>
      <c r="V475" s="62">
        <f t="shared" si="354"/>
        <v>178500</v>
      </c>
      <c r="W475" s="62">
        <f t="shared" si="354"/>
        <v>178500</v>
      </c>
      <c r="X475" s="62">
        <f t="shared" si="354"/>
        <v>178500</v>
      </c>
      <c r="Y475" s="62">
        <f t="shared" si="354"/>
        <v>178500</v>
      </c>
      <c r="Z475" s="62">
        <f t="shared" si="354"/>
        <v>178500</v>
      </c>
      <c r="AA475" s="62">
        <f t="shared" si="354"/>
        <v>178500</v>
      </c>
      <c r="AB475" s="62">
        <f t="shared" si="354"/>
        <v>178500</v>
      </c>
      <c r="AC475" s="62">
        <f t="shared" si="354"/>
        <v>178500</v>
      </c>
    </row>
    <row r="476" spans="1:29" ht="15.75" thickBot="1" x14ac:dyDescent="0.3">
      <c r="AC476" s="32"/>
    </row>
    <row r="477" spans="1:29" ht="15.75" thickBot="1" x14ac:dyDescent="0.3">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305145.94941897993</v>
      </c>
      <c r="C478" s="63">
        <f t="shared" ref="C478:AC478" si="355">((1+C463)^C470)*C463/(((1+C463)^C470)-1)*(C459)</f>
        <v>305145.94941897993</v>
      </c>
      <c r="D478" s="63">
        <f t="shared" si="355"/>
        <v>305145.94941897993</v>
      </c>
      <c r="E478" s="63">
        <f t="shared" si="355"/>
        <v>305145.94941897993</v>
      </c>
      <c r="F478" s="63">
        <f t="shared" si="355"/>
        <v>305145.94941897993</v>
      </c>
      <c r="G478" s="63">
        <f t="shared" si="355"/>
        <v>305145.94941897993</v>
      </c>
      <c r="H478" s="63">
        <f t="shared" si="355"/>
        <v>305145.94941897993</v>
      </c>
      <c r="I478" s="63">
        <f t="shared" si="355"/>
        <v>305145.94941897993</v>
      </c>
      <c r="J478" s="63">
        <f t="shared" si="355"/>
        <v>305145.94941897993</v>
      </c>
      <c r="K478" s="63">
        <f t="shared" si="355"/>
        <v>305145.94941897993</v>
      </c>
      <c r="L478" s="63">
        <f t="shared" si="355"/>
        <v>305145.94941897993</v>
      </c>
      <c r="M478" s="63">
        <f t="shared" si="355"/>
        <v>305145.94941897993</v>
      </c>
      <c r="N478" s="63">
        <f t="shared" si="355"/>
        <v>305145.94941897993</v>
      </c>
      <c r="O478" s="63">
        <f t="shared" si="355"/>
        <v>305145.94941897993</v>
      </c>
      <c r="P478" s="63">
        <f t="shared" si="355"/>
        <v>305145.94941897993</v>
      </c>
      <c r="Q478" s="63">
        <f t="shared" si="355"/>
        <v>305145.94941897993</v>
      </c>
      <c r="R478" s="63">
        <f t="shared" si="355"/>
        <v>305145.94941897993</v>
      </c>
      <c r="S478" s="63">
        <f t="shared" si="355"/>
        <v>305145.94941897993</v>
      </c>
      <c r="T478" s="63">
        <f t="shared" si="355"/>
        <v>305145.94941897993</v>
      </c>
      <c r="U478" s="63">
        <f t="shared" si="355"/>
        <v>305145.94941897993</v>
      </c>
      <c r="V478" s="63">
        <f t="shared" si="355"/>
        <v>305145.94941897993</v>
      </c>
      <c r="W478" s="63">
        <f t="shared" si="355"/>
        <v>305145.94941897993</v>
      </c>
      <c r="X478" s="63">
        <f t="shared" si="355"/>
        <v>305145.94941897993</v>
      </c>
      <c r="Y478" s="63">
        <f t="shared" si="355"/>
        <v>305145.94941897993</v>
      </c>
      <c r="Z478" s="63">
        <f t="shared" si="355"/>
        <v>305145.94941897993</v>
      </c>
      <c r="AA478" s="63">
        <f t="shared" si="355"/>
        <v>305145.94941897993</v>
      </c>
      <c r="AB478" s="63">
        <f t="shared" si="355"/>
        <v>305145.94941897993</v>
      </c>
      <c r="AC478" s="63">
        <f t="shared" si="355"/>
        <v>305145.94941897993</v>
      </c>
    </row>
    <row r="479" spans="1:29" x14ac:dyDescent="0.25">
      <c r="A479" s="30" t="str">
        <f>A460</f>
        <v>Residual value (vehicle)</v>
      </c>
      <c r="B479" s="62">
        <f>((1+B463)^B470)*B463/(((1+B463)^B470)-1)*(B460)</f>
        <v>-45369.034506436277</v>
      </c>
      <c r="C479" s="62">
        <f t="shared" ref="C479:AC479" si="356">((1+C463)^C470)*C463/(((1+C463)^C470)-1)*(C460)</f>
        <v>-45196.542704314146</v>
      </c>
      <c r="D479" s="62">
        <f t="shared" si="356"/>
        <v>-44951.629072308999</v>
      </c>
      <c r="E479" s="62">
        <f t="shared" si="356"/>
        <v>-44605.467188167124</v>
      </c>
      <c r="F479" s="62">
        <f t="shared" si="356"/>
        <v>-44119.462148109647</v>
      </c>
      <c r="G479" s="62">
        <f t="shared" si="356"/>
        <v>-43443.738717137028</v>
      </c>
      <c r="H479" s="62">
        <f t="shared" si="356"/>
        <v>-42517.347172137401</v>
      </c>
      <c r="I479" s="62">
        <f t="shared" si="356"/>
        <v>-41272.376203762586</v>
      </c>
      <c r="J479" s="62">
        <f t="shared" si="356"/>
        <v>-39644.958637393647</v>
      </c>
      <c r="K479" s="62">
        <f t="shared" si="356"/>
        <v>-37595.501281822799</v>
      </c>
      <c r="L479" s="62">
        <f t="shared" si="356"/>
        <v>-35136.211284820376</v>
      </c>
      <c r="M479" s="62">
        <f t="shared" si="356"/>
        <v>-32355.310948630464</v>
      </c>
      <c r="N479" s="62">
        <f t="shared" si="356"/>
        <v>-29419.525873461753</v>
      </c>
      <c r="O479" s="62">
        <f t="shared" si="356"/>
        <v>-26541.511557340396</v>
      </c>
      <c r="P479" s="62">
        <f t="shared" si="356"/>
        <v>-23921.595885610663</v>
      </c>
      <c r="Q479" s="62">
        <f t="shared" si="356"/>
        <v>-21695.040647806538</v>
      </c>
      <c r="R479" s="62">
        <f t="shared" si="356"/>
        <v>-19911.968655776182</v>
      </c>
      <c r="S479" s="62">
        <f t="shared" si="356"/>
        <v>-18551.40558747459</v>
      </c>
      <c r="T479" s="62">
        <f t="shared" si="356"/>
        <v>-17551.282614957105</v>
      </c>
      <c r="U479" s="62">
        <f t="shared" si="356"/>
        <v>-16836.209158050464</v>
      </c>
      <c r="V479" s="62">
        <f t="shared" si="356"/>
        <v>-16335.048266557109</v>
      </c>
      <c r="W479" s="62">
        <f t="shared" si="356"/>
        <v>-15988.715286779448</v>
      </c>
      <c r="X479" s="62">
        <f t="shared" si="356"/>
        <v>-15751.702370283236</v>
      </c>
      <c r="Y479" s="62">
        <f t="shared" si="356"/>
        <v>-15590.58521762073</v>
      </c>
      <c r="Z479" s="62">
        <f t="shared" si="356"/>
        <v>-15481.559033229796</v>
      </c>
      <c r="AA479" s="62">
        <f t="shared" si="356"/>
        <v>-15408.009855414111</v>
      </c>
      <c r="AB479" s="62">
        <f t="shared" si="356"/>
        <v>-15358.496914269901</v>
      </c>
      <c r="AC479" s="62">
        <f t="shared" si="356"/>
        <v>-15325.211858527608</v>
      </c>
    </row>
    <row r="480" spans="1:29" x14ac:dyDescent="0.25">
      <c r="A480" s="30" t="str">
        <f>A461</f>
        <v>Capex costumization</v>
      </c>
      <c r="B480" s="62">
        <f>((1+B463)^B471)*B463/(((1+B463)^B471)-1)*(B461)</f>
        <v>254271.19021516517</v>
      </c>
      <c r="C480" s="62">
        <f t="shared" ref="C480:AC480" si="357">((1+C463)^C471)*C463/(((1+C463)^C471)-1)*(C461)</f>
        <v>254271.19021516517</v>
      </c>
      <c r="D480" s="62">
        <f t="shared" si="357"/>
        <v>254271.19021516517</v>
      </c>
      <c r="E480" s="62">
        <f t="shared" si="357"/>
        <v>254271.19021516517</v>
      </c>
      <c r="F480" s="62">
        <f t="shared" si="357"/>
        <v>254271.19021516517</v>
      </c>
      <c r="G480" s="62">
        <f t="shared" si="357"/>
        <v>254271.19021516517</v>
      </c>
      <c r="H480" s="62">
        <f t="shared" si="357"/>
        <v>254271.19021516517</v>
      </c>
      <c r="I480" s="62">
        <f t="shared" si="357"/>
        <v>254271.19021516517</v>
      </c>
      <c r="J480" s="62">
        <f t="shared" si="357"/>
        <v>254271.19021516517</v>
      </c>
      <c r="K480" s="62">
        <f t="shared" si="357"/>
        <v>254271.19021516517</v>
      </c>
      <c r="L480" s="62">
        <f t="shared" si="357"/>
        <v>254271.19021516517</v>
      </c>
      <c r="M480" s="62">
        <f t="shared" si="357"/>
        <v>254271.19021516517</v>
      </c>
      <c r="N480" s="62">
        <f t="shared" si="357"/>
        <v>254271.19021516517</v>
      </c>
      <c r="O480" s="62">
        <f t="shared" si="357"/>
        <v>254271.19021516517</v>
      </c>
      <c r="P480" s="62">
        <f t="shared" si="357"/>
        <v>254271.19021516517</v>
      </c>
      <c r="Q480" s="62">
        <f t="shared" si="357"/>
        <v>254271.19021516517</v>
      </c>
      <c r="R480" s="62">
        <f t="shared" si="357"/>
        <v>254271.19021516517</v>
      </c>
      <c r="S480" s="62">
        <f t="shared" si="357"/>
        <v>254271.19021516517</v>
      </c>
      <c r="T480" s="62">
        <f t="shared" si="357"/>
        <v>254271.19021516517</v>
      </c>
      <c r="U480" s="62">
        <f t="shared" si="357"/>
        <v>254271.19021516517</v>
      </c>
      <c r="V480" s="62">
        <f t="shared" si="357"/>
        <v>254271.19021516517</v>
      </c>
      <c r="W480" s="62">
        <f t="shared" si="357"/>
        <v>254271.19021516517</v>
      </c>
      <c r="X480" s="62">
        <f t="shared" si="357"/>
        <v>254271.19021516517</v>
      </c>
      <c r="Y480" s="62">
        <f t="shared" si="357"/>
        <v>254271.19021516517</v>
      </c>
      <c r="Z480" s="62">
        <f t="shared" si="357"/>
        <v>254271.19021516517</v>
      </c>
      <c r="AA480" s="62">
        <f t="shared" si="357"/>
        <v>254271.19021516517</v>
      </c>
      <c r="AB480" s="62">
        <f t="shared" si="357"/>
        <v>254271.19021516517</v>
      </c>
      <c r="AC480" s="62">
        <f t="shared" si="357"/>
        <v>254271.19021516517</v>
      </c>
    </row>
    <row r="481" spans="1:29" x14ac:dyDescent="0.25">
      <c r="A481" s="30" t="str">
        <f>A462</f>
        <v>Residual value (costumization)</v>
      </c>
      <c r="B481" s="62">
        <f>((1+B463)^B471)*B463/(((1+B463)^B471)-1)*(B462)</f>
        <v>-12713.559510758259</v>
      </c>
      <c r="C481" s="62">
        <f t="shared" ref="C481:AC481" si="358">((1+C463)^C471)*C463/(((1+C463)^C471)-1)*(C462)</f>
        <v>-12713.559510758259</v>
      </c>
      <c r="D481" s="62">
        <f t="shared" si="358"/>
        <v>-12713.559510758259</v>
      </c>
      <c r="E481" s="62">
        <f t="shared" si="358"/>
        <v>-12713.559510758259</v>
      </c>
      <c r="F481" s="62">
        <f t="shared" si="358"/>
        <v>-12713.559510758259</v>
      </c>
      <c r="G481" s="62">
        <f t="shared" si="358"/>
        <v>-12713.559510758259</v>
      </c>
      <c r="H481" s="62">
        <f t="shared" si="358"/>
        <v>-12713.559510758259</v>
      </c>
      <c r="I481" s="62">
        <f t="shared" si="358"/>
        <v>-12713.559510758259</v>
      </c>
      <c r="J481" s="62">
        <f t="shared" si="358"/>
        <v>-12713.559510758259</v>
      </c>
      <c r="K481" s="62">
        <f t="shared" si="358"/>
        <v>-12713.559510758259</v>
      </c>
      <c r="L481" s="62">
        <f t="shared" si="358"/>
        <v>-12713.559510758259</v>
      </c>
      <c r="M481" s="62">
        <f t="shared" si="358"/>
        <v>-12713.559510758259</v>
      </c>
      <c r="N481" s="62">
        <f t="shared" si="358"/>
        <v>-12713.559510758259</v>
      </c>
      <c r="O481" s="62">
        <f t="shared" si="358"/>
        <v>-12713.559510758259</v>
      </c>
      <c r="P481" s="62">
        <f t="shared" si="358"/>
        <v>-12713.559510758259</v>
      </c>
      <c r="Q481" s="62">
        <f t="shared" si="358"/>
        <v>-12713.559510758259</v>
      </c>
      <c r="R481" s="62">
        <f t="shared" si="358"/>
        <v>-12713.559510758259</v>
      </c>
      <c r="S481" s="62">
        <f t="shared" si="358"/>
        <v>-12713.559510758259</v>
      </c>
      <c r="T481" s="62">
        <f t="shared" si="358"/>
        <v>-12713.559510758259</v>
      </c>
      <c r="U481" s="62">
        <f t="shared" si="358"/>
        <v>-12713.559510758259</v>
      </c>
      <c r="V481" s="62">
        <f t="shared" si="358"/>
        <v>-12713.559510758259</v>
      </c>
      <c r="W481" s="62">
        <f t="shared" si="358"/>
        <v>-12713.559510758259</v>
      </c>
      <c r="X481" s="62">
        <f t="shared" si="358"/>
        <v>-12713.559510758259</v>
      </c>
      <c r="Y481" s="62">
        <f t="shared" si="358"/>
        <v>-12713.559510758259</v>
      </c>
      <c r="Z481" s="62">
        <f t="shared" si="358"/>
        <v>-12713.559510758259</v>
      </c>
      <c r="AA481" s="62">
        <f t="shared" si="358"/>
        <v>-12713.559510758259</v>
      </c>
      <c r="AB481" s="62">
        <f t="shared" si="358"/>
        <v>-12713.559510758259</v>
      </c>
      <c r="AC481" s="62">
        <f t="shared" si="358"/>
        <v>-12713.559510758259</v>
      </c>
    </row>
    <row r="482" spans="1:29" x14ac:dyDescent="0.25">
      <c r="A482" s="30" t="str">
        <f t="shared" ref="A482:AC482" si="359">A464</f>
        <v>Opex fix (admin, crew, insurance)</v>
      </c>
      <c r="B482" s="62">
        <f t="shared" si="359"/>
        <v>650000</v>
      </c>
      <c r="C482" s="62">
        <f t="shared" si="359"/>
        <v>650000</v>
      </c>
      <c r="D482" s="62">
        <f t="shared" si="359"/>
        <v>650000</v>
      </c>
      <c r="E482" s="62">
        <f t="shared" si="359"/>
        <v>650000</v>
      </c>
      <c r="F482" s="62">
        <f t="shared" si="359"/>
        <v>650000</v>
      </c>
      <c r="G482" s="62">
        <f t="shared" si="359"/>
        <v>650000</v>
      </c>
      <c r="H482" s="62">
        <f t="shared" si="359"/>
        <v>650000</v>
      </c>
      <c r="I482" s="62">
        <f t="shared" si="359"/>
        <v>650000</v>
      </c>
      <c r="J482" s="62">
        <f t="shared" si="359"/>
        <v>650000</v>
      </c>
      <c r="K482" s="62">
        <f t="shared" si="359"/>
        <v>650000</v>
      </c>
      <c r="L482" s="62">
        <f t="shared" si="359"/>
        <v>650000</v>
      </c>
      <c r="M482" s="62">
        <f t="shared" si="359"/>
        <v>650000</v>
      </c>
      <c r="N482" s="62">
        <f t="shared" si="359"/>
        <v>650000</v>
      </c>
      <c r="O482" s="62">
        <f t="shared" si="359"/>
        <v>650000</v>
      </c>
      <c r="P482" s="62">
        <f t="shared" si="359"/>
        <v>650000</v>
      </c>
      <c r="Q482" s="62">
        <f t="shared" si="359"/>
        <v>650000</v>
      </c>
      <c r="R482" s="62">
        <f t="shared" si="359"/>
        <v>650000</v>
      </c>
      <c r="S482" s="62">
        <f t="shared" si="359"/>
        <v>650000</v>
      </c>
      <c r="T482" s="62">
        <f t="shared" si="359"/>
        <v>650000</v>
      </c>
      <c r="U482" s="62">
        <f t="shared" si="359"/>
        <v>650000</v>
      </c>
      <c r="V482" s="62">
        <f t="shared" si="359"/>
        <v>650000</v>
      </c>
      <c r="W482" s="62">
        <f t="shared" si="359"/>
        <v>650000</v>
      </c>
      <c r="X482" s="62">
        <f t="shared" si="359"/>
        <v>650000</v>
      </c>
      <c r="Y482" s="62">
        <f t="shared" si="359"/>
        <v>650000</v>
      </c>
      <c r="Z482" s="62">
        <f t="shared" si="359"/>
        <v>650000</v>
      </c>
      <c r="AA482" s="62">
        <f t="shared" si="359"/>
        <v>650000</v>
      </c>
      <c r="AB482" s="62">
        <f t="shared" si="359"/>
        <v>650000</v>
      </c>
      <c r="AC482" s="62">
        <f t="shared" si="359"/>
        <v>650000</v>
      </c>
    </row>
    <row r="483" spans="1:29" x14ac:dyDescent="0.25">
      <c r="A483" s="30" t="str">
        <f t="shared" ref="A483:AC483" si="360">A465</f>
        <v>Opex maintenance &amp; repair</v>
      </c>
      <c r="B483" s="62">
        <f t="shared" si="360"/>
        <v>1050000</v>
      </c>
      <c r="C483" s="62">
        <f t="shared" si="360"/>
        <v>1050000</v>
      </c>
      <c r="D483" s="62">
        <f t="shared" si="360"/>
        <v>1050000</v>
      </c>
      <c r="E483" s="62">
        <f t="shared" si="360"/>
        <v>1050000</v>
      </c>
      <c r="F483" s="62">
        <f t="shared" si="360"/>
        <v>1050000</v>
      </c>
      <c r="G483" s="62">
        <f t="shared" si="360"/>
        <v>1050000</v>
      </c>
      <c r="H483" s="62">
        <f t="shared" si="360"/>
        <v>1050000</v>
      </c>
      <c r="I483" s="62">
        <f t="shared" si="360"/>
        <v>1050000</v>
      </c>
      <c r="J483" s="62">
        <f t="shared" si="360"/>
        <v>1050000</v>
      </c>
      <c r="K483" s="62">
        <f t="shared" si="360"/>
        <v>1050000</v>
      </c>
      <c r="L483" s="62">
        <f t="shared" si="360"/>
        <v>1050000</v>
      </c>
      <c r="M483" s="62">
        <f t="shared" si="360"/>
        <v>1050000</v>
      </c>
      <c r="N483" s="62">
        <f t="shared" si="360"/>
        <v>1050000</v>
      </c>
      <c r="O483" s="62">
        <f t="shared" si="360"/>
        <v>1050000</v>
      </c>
      <c r="P483" s="62">
        <f t="shared" si="360"/>
        <v>1050000</v>
      </c>
      <c r="Q483" s="62">
        <f t="shared" si="360"/>
        <v>1050000</v>
      </c>
      <c r="R483" s="62">
        <f t="shared" si="360"/>
        <v>1050000</v>
      </c>
      <c r="S483" s="62">
        <f t="shared" si="360"/>
        <v>1050000</v>
      </c>
      <c r="T483" s="62">
        <f t="shared" si="360"/>
        <v>1050000</v>
      </c>
      <c r="U483" s="62">
        <f t="shared" si="360"/>
        <v>1050000</v>
      </c>
      <c r="V483" s="62">
        <f t="shared" si="360"/>
        <v>1050000</v>
      </c>
      <c r="W483" s="62">
        <f t="shared" si="360"/>
        <v>1050000</v>
      </c>
      <c r="X483" s="62">
        <f t="shared" si="360"/>
        <v>1050000</v>
      </c>
      <c r="Y483" s="62">
        <f t="shared" si="360"/>
        <v>1050000</v>
      </c>
      <c r="Z483" s="62">
        <f t="shared" si="360"/>
        <v>1050000</v>
      </c>
      <c r="AA483" s="62">
        <f t="shared" si="360"/>
        <v>1050000</v>
      </c>
      <c r="AB483" s="62">
        <f t="shared" si="360"/>
        <v>1050000</v>
      </c>
      <c r="AC483" s="62">
        <f t="shared" si="360"/>
        <v>1050000</v>
      </c>
    </row>
    <row r="484" spans="1:29" x14ac:dyDescent="0.25">
      <c r="A484" s="30" t="str">
        <f>A466</f>
        <v>Opex var (mode-fees, shunting)</v>
      </c>
      <c r="B484" s="62">
        <f>B466*B475</f>
        <v>700000</v>
      </c>
      <c r="C484" s="62">
        <f t="shared" ref="C484:AC484" si="361">C466*C475</f>
        <v>700000</v>
      </c>
      <c r="D484" s="62">
        <f t="shared" si="361"/>
        <v>700000</v>
      </c>
      <c r="E484" s="62">
        <f t="shared" si="361"/>
        <v>700000</v>
      </c>
      <c r="F484" s="62">
        <f t="shared" si="361"/>
        <v>700000</v>
      </c>
      <c r="G484" s="62">
        <f t="shared" si="361"/>
        <v>700000</v>
      </c>
      <c r="H484" s="62">
        <f t="shared" si="361"/>
        <v>700000</v>
      </c>
      <c r="I484" s="62">
        <f t="shared" si="361"/>
        <v>700000</v>
      </c>
      <c r="J484" s="62">
        <f t="shared" si="361"/>
        <v>700000</v>
      </c>
      <c r="K484" s="62">
        <f t="shared" si="361"/>
        <v>700000</v>
      </c>
      <c r="L484" s="62">
        <f t="shared" si="361"/>
        <v>700000</v>
      </c>
      <c r="M484" s="62">
        <f t="shared" si="361"/>
        <v>700000</v>
      </c>
      <c r="N484" s="62">
        <f t="shared" si="361"/>
        <v>700000</v>
      </c>
      <c r="O484" s="62">
        <f t="shared" si="361"/>
        <v>700000</v>
      </c>
      <c r="P484" s="62">
        <f t="shared" si="361"/>
        <v>700000</v>
      </c>
      <c r="Q484" s="62">
        <f t="shared" si="361"/>
        <v>700000</v>
      </c>
      <c r="R484" s="62">
        <f t="shared" si="361"/>
        <v>700000</v>
      </c>
      <c r="S484" s="62">
        <f t="shared" si="361"/>
        <v>700000</v>
      </c>
      <c r="T484" s="62">
        <f t="shared" si="361"/>
        <v>700000</v>
      </c>
      <c r="U484" s="62">
        <f t="shared" si="361"/>
        <v>700000</v>
      </c>
      <c r="V484" s="62">
        <f t="shared" si="361"/>
        <v>700000</v>
      </c>
      <c r="W484" s="62">
        <f t="shared" si="361"/>
        <v>700000</v>
      </c>
      <c r="X484" s="62">
        <f t="shared" si="361"/>
        <v>700000</v>
      </c>
      <c r="Y484" s="62">
        <f t="shared" si="361"/>
        <v>700000</v>
      </c>
      <c r="Z484" s="62">
        <f t="shared" si="361"/>
        <v>700000</v>
      </c>
      <c r="AA484" s="62">
        <f t="shared" si="361"/>
        <v>700000</v>
      </c>
      <c r="AB484" s="62">
        <f t="shared" si="361"/>
        <v>700000</v>
      </c>
      <c r="AC484" s="62">
        <f t="shared" si="361"/>
        <v>700000</v>
      </c>
    </row>
    <row r="485" spans="1:29" x14ac:dyDescent="0.25">
      <c r="A485" s="30" t="str">
        <f>A468</f>
        <v>Fuel Cost</v>
      </c>
      <c r="B485" s="62">
        <f>B467*B468*B475</f>
        <v>1370480.16</v>
      </c>
      <c r="C485" s="62">
        <f t="shared" ref="C485:AC485" si="362">C467*C468*C475</f>
        <v>1370480.16</v>
      </c>
      <c r="D485" s="62">
        <f t="shared" si="362"/>
        <v>1370480.16</v>
      </c>
      <c r="E485" s="62">
        <f t="shared" si="362"/>
        <v>1370480.16</v>
      </c>
      <c r="F485" s="62">
        <f t="shared" si="362"/>
        <v>1370480.16</v>
      </c>
      <c r="G485" s="62">
        <f t="shared" si="362"/>
        <v>1370480.16</v>
      </c>
      <c r="H485" s="62">
        <f t="shared" si="362"/>
        <v>1370480.16</v>
      </c>
      <c r="I485" s="62">
        <f t="shared" si="362"/>
        <v>1370480.16</v>
      </c>
      <c r="J485" s="62">
        <f t="shared" si="362"/>
        <v>1370480.16</v>
      </c>
      <c r="K485" s="62">
        <f t="shared" si="362"/>
        <v>1370480.16</v>
      </c>
      <c r="L485" s="62">
        <f t="shared" si="362"/>
        <v>1370480.16</v>
      </c>
      <c r="M485" s="62">
        <f t="shared" si="362"/>
        <v>1370480.16</v>
      </c>
      <c r="N485" s="62">
        <f t="shared" si="362"/>
        <v>1370480.16</v>
      </c>
      <c r="O485" s="62">
        <f t="shared" si="362"/>
        <v>1370480.16</v>
      </c>
      <c r="P485" s="62">
        <f t="shared" si="362"/>
        <v>1370480.16</v>
      </c>
      <c r="Q485" s="62">
        <f t="shared" si="362"/>
        <v>1370480.16</v>
      </c>
      <c r="R485" s="62">
        <f t="shared" si="362"/>
        <v>1370480.16</v>
      </c>
      <c r="S485" s="62">
        <f t="shared" si="362"/>
        <v>1370480.16</v>
      </c>
      <c r="T485" s="62">
        <f t="shared" si="362"/>
        <v>1370480.16</v>
      </c>
      <c r="U485" s="62">
        <f t="shared" si="362"/>
        <v>1370480.16</v>
      </c>
      <c r="V485" s="62">
        <f t="shared" si="362"/>
        <v>1370480.16</v>
      </c>
      <c r="W485" s="62">
        <f t="shared" si="362"/>
        <v>1370480.16</v>
      </c>
      <c r="X485" s="62">
        <f t="shared" si="362"/>
        <v>1370480.16</v>
      </c>
      <c r="Y485" s="62">
        <f t="shared" si="362"/>
        <v>1370480.16</v>
      </c>
      <c r="Z485" s="62">
        <f t="shared" si="362"/>
        <v>1370480.16</v>
      </c>
      <c r="AA485" s="62">
        <f t="shared" si="362"/>
        <v>1370480.16</v>
      </c>
      <c r="AB485" s="62">
        <f t="shared" si="362"/>
        <v>1370480.16</v>
      </c>
      <c r="AC485" s="62">
        <f t="shared" si="362"/>
        <v>1370480.16</v>
      </c>
    </row>
    <row r="486" spans="1:29" ht="15.75" thickBot="1" x14ac:dyDescent="0.3">
      <c r="A486" s="59" t="str">
        <f>A449</f>
        <v>Emission Cost</v>
      </c>
      <c r="B486" s="62">
        <f>B469*B475</f>
        <v>367390.72745293472</v>
      </c>
      <c r="C486" s="62">
        <f t="shared" ref="C486:AC486" si="363">C469*C475</f>
        <v>368258.65482469439</v>
      </c>
      <c r="D486" s="62">
        <f t="shared" si="363"/>
        <v>369501.0735258449</v>
      </c>
      <c r="E486" s="62">
        <f t="shared" si="363"/>
        <v>371278.44084862951</v>
      </c>
      <c r="F486" s="62">
        <f t="shared" si="363"/>
        <v>373818.69094846037</v>
      </c>
      <c r="G486" s="62">
        <f t="shared" si="363"/>
        <v>377444.17681173066</v>
      </c>
      <c r="H486" s="62">
        <f t="shared" si="363"/>
        <v>382607.75811006804</v>
      </c>
      <c r="I486" s="62">
        <f t="shared" si="363"/>
        <v>389939.30334509478</v>
      </c>
      <c r="J486" s="62">
        <f t="shared" si="363"/>
        <v>400301.7380182895</v>
      </c>
      <c r="K486" s="62">
        <f t="shared" si="363"/>
        <v>414850.4093456472</v>
      </c>
      <c r="L486" s="62">
        <f t="shared" si="363"/>
        <v>435078.34382190782</v>
      </c>
      <c r="M486" s="62">
        <f t="shared" si="363"/>
        <v>462810.08526032721</v>
      </c>
      <c r="N486" s="62">
        <f t="shared" si="363"/>
        <v>500078.57414028887</v>
      </c>
      <c r="O486" s="62">
        <f t="shared" si="363"/>
        <v>548795.68884895509</v>
      </c>
      <c r="P486" s="62">
        <f t="shared" si="363"/>
        <v>610146.66056338348</v>
      </c>
      <c r="Q486" s="62">
        <f t="shared" si="363"/>
        <v>683766.0655407788</v>
      </c>
      <c r="R486" s="62">
        <f t="shared" si="363"/>
        <v>767012.9491133868</v>
      </c>
      <c r="S486" s="62">
        <f t="shared" si="363"/>
        <v>854896.34254762006</v>
      </c>
      <c r="T486" s="62">
        <f t="shared" si="363"/>
        <v>941050.35518034454</v>
      </c>
      <c r="U486" s="62">
        <f t="shared" si="363"/>
        <v>1019478.1262357264</v>
      </c>
      <c r="V486" s="62">
        <f t="shared" si="363"/>
        <v>1086130.5633034322</v>
      </c>
      <c r="W486" s="62">
        <f t="shared" si="363"/>
        <v>1139507.2286194926</v>
      </c>
      <c r="X486" s="62">
        <f t="shared" si="363"/>
        <v>1180235.9932811107</v>
      </c>
      <c r="Y486" s="62">
        <f t="shared" si="363"/>
        <v>1210174.9017590475</v>
      </c>
      <c r="Z486" s="62">
        <f t="shared" si="363"/>
        <v>1231580.7882046322</v>
      </c>
      <c r="AA486" s="62">
        <f t="shared" si="363"/>
        <v>1246583.153389158</v>
      </c>
      <c r="AB486" s="62">
        <f t="shared" si="363"/>
        <v>1256950.7098490945</v>
      </c>
      <c r="AC486" s="62">
        <f t="shared" si="363"/>
        <v>1264045.7453697838</v>
      </c>
    </row>
    <row r="487" spans="1:29" ht="15.75" thickBot="1" x14ac:dyDescent="0.3">
      <c r="A487" s="31" t="s">
        <v>209</v>
      </c>
      <c r="B487" s="64">
        <f>B478+B479+B480+B481+B482+B483+B484+B485+B486</f>
        <v>4639205.4330698857</v>
      </c>
      <c r="C487" s="64">
        <f t="shared" ref="C487:AC487" si="364">C478+C479+C480+C481+C482+C483+C484+C485+C486</f>
        <v>4640245.8522437671</v>
      </c>
      <c r="D487" s="64">
        <f t="shared" si="364"/>
        <v>4641733.184576923</v>
      </c>
      <c r="E487" s="64">
        <f t="shared" si="364"/>
        <v>4643856.71378385</v>
      </c>
      <c r="F487" s="64">
        <f t="shared" si="364"/>
        <v>4646882.9689237373</v>
      </c>
      <c r="G487" s="64">
        <f t="shared" si="364"/>
        <v>4651184.1782179801</v>
      </c>
      <c r="H487" s="64">
        <f t="shared" si="364"/>
        <v>4657274.151061317</v>
      </c>
      <c r="I487" s="64">
        <f t="shared" si="364"/>
        <v>4665850.6672647186</v>
      </c>
      <c r="J487" s="64">
        <f t="shared" si="364"/>
        <v>4677840.5195042826</v>
      </c>
      <c r="K487" s="64">
        <f t="shared" si="364"/>
        <v>4694438.6481872117</v>
      </c>
      <c r="L487" s="64">
        <f t="shared" si="364"/>
        <v>4717125.8726604739</v>
      </c>
      <c r="M487" s="64">
        <f t="shared" si="364"/>
        <v>4747638.5144350836</v>
      </c>
      <c r="N487" s="64">
        <f t="shared" si="364"/>
        <v>4787842.7883902136</v>
      </c>
      <c r="O487" s="64">
        <f t="shared" si="364"/>
        <v>4839437.9174150024</v>
      </c>
      <c r="P487" s="64">
        <f t="shared" si="364"/>
        <v>4903408.8048011595</v>
      </c>
      <c r="Q487" s="64">
        <f t="shared" si="364"/>
        <v>4979254.7650163583</v>
      </c>
      <c r="R487" s="64">
        <f t="shared" si="364"/>
        <v>5064284.7205809969</v>
      </c>
      <c r="S487" s="64">
        <f t="shared" si="364"/>
        <v>5153528.6770835323</v>
      </c>
      <c r="T487" s="64">
        <f t="shared" si="364"/>
        <v>5240682.8126887744</v>
      </c>
      <c r="U487" s="64">
        <f t="shared" si="364"/>
        <v>5319825.6572010629</v>
      </c>
      <c r="V487" s="64">
        <f t="shared" si="364"/>
        <v>5386979.2551602619</v>
      </c>
      <c r="W487" s="64">
        <f t="shared" si="364"/>
        <v>5440702.2534560999</v>
      </c>
      <c r="X487" s="64">
        <f t="shared" si="364"/>
        <v>5481668.0310342144</v>
      </c>
      <c r="Y487" s="64">
        <f t="shared" si="364"/>
        <v>5511768.0566648133</v>
      </c>
      <c r="Z487" s="64">
        <f t="shared" si="364"/>
        <v>5533282.9692947902</v>
      </c>
      <c r="AA487" s="64">
        <f t="shared" si="364"/>
        <v>5548358.8836571304</v>
      </c>
      <c r="AB487" s="64">
        <f t="shared" si="364"/>
        <v>5558775.9530582111</v>
      </c>
      <c r="AC487" s="64">
        <f t="shared" si="364"/>
        <v>5565904.2736346424</v>
      </c>
    </row>
    <row r="488" spans="1:29" ht="15.75" thickBot="1" x14ac:dyDescent="0.3">
      <c r="AC488" s="32"/>
    </row>
    <row r="489" spans="1:29" ht="15.75" thickBot="1" x14ac:dyDescent="0.3">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365">A478</f>
        <v>Capex vehicle</v>
      </c>
      <c r="B490" s="65">
        <f>((1+B463)^B470)*B463/(((1+B463)^B470)-1)*(B459)/B475</f>
        <v>1.7095011171931649</v>
      </c>
      <c r="C490" s="65">
        <f t="shared" ref="C490:AC490" si="366">((1+C463)^C470)*C463/(((1+C463)^C470)-1)*(C459)/C475</f>
        <v>1.7095011171931649</v>
      </c>
      <c r="D490" s="65">
        <f t="shared" si="366"/>
        <v>1.7095011171931649</v>
      </c>
      <c r="E490" s="65">
        <f t="shared" si="366"/>
        <v>1.7095011171931649</v>
      </c>
      <c r="F490" s="65">
        <f t="shared" si="366"/>
        <v>1.7095011171931649</v>
      </c>
      <c r="G490" s="65">
        <f t="shared" si="366"/>
        <v>1.7095011171931649</v>
      </c>
      <c r="H490" s="65">
        <f t="shared" si="366"/>
        <v>1.7095011171931649</v>
      </c>
      <c r="I490" s="65">
        <f t="shared" si="366"/>
        <v>1.7095011171931649</v>
      </c>
      <c r="J490" s="65">
        <f t="shared" si="366"/>
        <v>1.7095011171931649</v>
      </c>
      <c r="K490" s="65">
        <f t="shared" si="366"/>
        <v>1.7095011171931649</v>
      </c>
      <c r="L490" s="65">
        <f t="shared" si="366"/>
        <v>1.7095011171931649</v>
      </c>
      <c r="M490" s="65">
        <f t="shared" si="366"/>
        <v>1.7095011171931649</v>
      </c>
      <c r="N490" s="65">
        <f t="shared" si="366"/>
        <v>1.7095011171931649</v>
      </c>
      <c r="O490" s="65">
        <f t="shared" si="366"/>
        <v>1.7095011171931649</v>
      </c>
      <c r="P490" s="65">
        <f t="shared" si="366"/>
        <v>1.7095011171931649</v>
      </c>
      <c r="Q490" s="65">
        <f t="shared" si="366"/>
        <v>1.7095011171931649</v>
      </c>
      <c r="R490" s="65">
        <f t="shared" si="366"/>
        <v>1.7095011171931649</v>
      </c>
      <c r="S490" s="65">
        <f t="shared" si="366"/>
        <v>1.7095011171931649</v>
      </c>
      <c r="T490" s="65">
        <f t="shared" si="366"/>
        <v>1.7095011171931649</v>
      </c>
      <c r="U490" s="65">
        <f t="shared" si="366"/>
        <v>1.7095011171931649</v>
      </c>
      <c r="V490" s="65">
        <f t="shared" si="366"/>
        <v>1.7095011171931649</v>
      </c>
      <c r="W490" s="65">
        <f t="shared" si="366"/>
        <v>1.7095011171931649</v>
      </c>
      <c r="X490" s="65">
        <f t="shared" si="366"/>
        <v>1.7095011171931649</v>
      </c>
      <c r="Y490" s="65">
        <f t="shared" si="366"/>
        <v>1.7095011171931649</v>
      </c>
      <c r="Z490" s="65">
        <f t="shared" si="366"/>
        <v>1.7095011171931649</v>
      </c>
      <c r="AA490" s="65">
        <f t="shared" si="366"/>
        <v>1.7095011171931649</v>
      </c>
      <c r="AB490" s="65">
        <f t="shared" si="366"/>
        <v>1.7095011171931649</v>
      </c>
      <c r="AC490" s="65">
        <f t="shared" si="366"/>
        <v>1.7095011171931649</v>
      </c>
    </row>
    <row r="491" spans="1:29" x14ac:dyDescent="0.25">
      <c r="A491" s="30" t="str">
        <f t="shared" si="365"/>
        <v>Residual value (vehicle)</v>
      </c>
      <c r="B491" s="66">
        <f>((1+B463)^B470)*B463/(((1+B463)^B470)-1)*(B460)/B475</f>
        <v>-0.25416826054025926</v>
      </c>
      <c r="C491" s="66">
        <f t="shared" ref="C491:AC491" si="367">((1+C463)^C470)*C463/(((1+C463)^C470)-1)*(C460)/C475</f>
        <v>-0.2532019199121241</v>
      </c>
      <c r="D491" s="66">
        <f t="shared" si="367"/>
        <v>-0.25182985474682912</v>
      </c>
      <c r="E491" s="66">
        <f t="shared" si="367"/>
        <v>-0.24989057248272897</v>
      </c>
      <c r="F491" s="66">
        <f t="shared" si="367"/>
        <v>-0.24716785517148263</v>
      </c>
      <c r="G491" s="66">
        <f t="shared" si="367"/>
        <v>-0.2433822897318601</v>
      </c>
      <c r="H491" s="66">
        <f t="shared" si="367"/>
        <v>-0.23819242113242242</v>
      </c>
      <c r="I491" s="66">
        <f t="shared" si="367"/>
        <v>-0.23121779385861393</v>
      </c>
      <c r="J491" s="66">
        <f t="shared" si="367"/>
        <v>-0.22210060861284955</v>
      </c>
      <c r="K491" s="66">
        <f t="shared" si="367"/>
        <v>-0.21061905480012771</v>
      </c>
      <c r="L491" s="66">
        <f t="shared" si="367"/>
        <v>-0.19684151980291528</v>
      </c>
      <c r="M491" s="66">
        <f t="shared" si="367"/>
        <v>-0.18126224621081494</v>
      </c>
      <c r="N491" s="66">
        <f t="shared" si="367"/>
        <v>-0.16481527099978574</v>
      </c>
      <c r="O491" s="66">
        <f t="shared" si="367"/>
        <v>-0.14869194149770532</v>
      </c>
      <c r="P491" s="66">
        <f t="shared" si="367"/>
        <v>-0.13401454277653033</v>
      </c>
      <c r="Q491" s="66">
        <f t="shared" si="367"/>
        <v>-0.12154084396530274</v>
      </c>
      <c r="R491" s="66">
        <f t="shared" si="367"/>
        <v>-0.11155164513039878</v>
      </c>
      <c r="S491" s="66">
        <f t="shared" si="367"/>
        <v>-0.10392944306708454</v>
      </c>
      <c r="T491" s="66">
        <f t="shared" si="367"/>
        <v>-9.8326513249059416E-2</v>
      </c>
      <c r="U491" s="66">
        <f t="shared" si="367"/>
        <v>-9.4320499484876544E-2</v>
      </c>
      <c r="V491" s="66">
        <f t="shared" si="367"/>
        <v>-9.1512875442896963E-2</v>
      </c>
      <c r="W491" s="66">
        <f t="shared" si="367"/>
        <v>-8.9572634659828843E-2</v>
      </c>
      <c r="X491" s="66">
        <f t="shared" si="367"/>
        <v>-8.8244831206068547E-2</v>
      </c>
      <c r="Y491" s="66">
        <f t="shared" si="367"/>
        <v>-8.734221410431782E-2</v>
      </c>
      <c r="Z491" s="66">
        <f t="shared" si="367"/>
        <v>-8.6731423155348999E-2</v>
      </c>
      <c r="AA491" s="66">
        <f t="shared" si="367"/>
        <v>-8.631938294349642E-2</v>
      </c>
      <c r="AB491" s="66">
        <f t="shared" si="367"/>
        <v>-8.6041999519719331E-2</v>
      </c>
      <c r="AC491" s="66">
        <f t="shared" si="367"/>
        <v>-8.5855528619202287E-2</v>
      </c>
    </row>
    <row r="492" spans="1:29" x14ac:dyDescent="0.25">
      <c r="A492" s="30" t="str">
        <f t="shared" si="365"/>
        <v>Capex costumization</v>
      </c>
      <c r="B492" s="66">
        <f>((1+B463)^B471)*B463/(((1+B463)^B471)-1)*(B461)/B475</f>
        <v>1.4244884605891606</v>
      </c>
      <c r="C492" s="66">
        <f t="shared" ref="C492:AC492" si="368">((1+C463)^C471)*C463/(((1+C463)^C471)-1)*(C461)/C475</f>
        <v>1.4244884605891606</v>
      </c>
      <c r="D492" s="66">
        <f t="shared" si="368"/>
        <v>1.4244884605891606</v>
      </c>
      <c r="E492" s="66">
        <f t="shared" si="368"/>
        <v>1.4244884605891606</v>
      </c>
      <c r="F492" s="66">
        <f t="shared" si="368"/>
        <v>1.4244884605891606</v>
      </c>
      <c r="G492" s="66">
        <f t="shared" si="368"/>
        <v>1.4244884605891606</v>
      </c>
      <c r="H492" s="66">
        <f t="shared" si="368"/>
        <v>1.4244884605891606</v>
      </c>
      <c r="I492" s="66">
        <f t="shared" si="368"/>
        <v>1.4244884605891606</v>
      </c>
      <c r="J492" s="66">
        <f t="shared" si="368"/>
        <v>1.4244884605891606</v>
      </c>
      <c r="K492" s="66">
        <f t="shared" si="368"/>
        <v>1.4244884605891606</v>
      </c>
      <c r="L492" s="66">
        <f t="shared" si="368"/>
        <v>1.4244884605891606</v>
      </c>
      <c r="M492" s="66">
        <f t="shared" si="368"/>
        <v>1.4244884605891606</v>
      </c>
      <c r="N492" s="66">
        <f t="shared" si="368"/>
        <v>1.4244884605891606</v>
      </c>
      <c r="O492" s="66">
        <f t="shared" si="368"/>
        <v>1.4244884605891606</v>
      </c>
      <c r="P492" s="66">
        <f t="shared" si="368"/>
        <v>1.4244884605891606</v>
      </c>
      <c r="Q492" s="66">
        <f t="shared" si="368"/>
        <v>1.4244884605891606</v>
      </c>
      <c r="R492" s="66">
        <f t="shared" si="368"/>
        <v>1.4244884605891606</v>
      </c>
      <c r="S492" s="66">
        <f t="shared" si="368"/>
        <v>1.4244884605891606</v>
      </c>
      <c r="T492" s="66">
        <f t="shared" si="368"/>
        <v>1.4244884605891606</v>
      </c>
      <c r="U492" s="66">
        <f t="shared" si="368"/>
        <v>1.4244884605891606</v>
      </c>
      <c r="V492" s="66">
        <f t="shared" si="368"/>
        <v>1.4244884605891606</v>
      </c>
      <c r="W492" s="66">
        <f t="shared" si="368"/>
        <v>1.4244884605891606</v>
      </c>
      <c r="X492" s="66">
        <f t="shared" si="368"/>
        <v>1.4244884605891606</v>
      </c>
      <c r="Y492" s="66">
        <f t="shared" si="368"/>
        <v>1.4244884605891606</v>
      </c>
      <c r="Z492" s="66">
        <f t="shared" si="368"/>
        <v>1.4244884605891606</v>
      </c>
      <c r="AA492" s="66">
        <f t="shared" si="368"/>
        <v>1.4244884605891606</v>
      </c>
      <c r="AB492" s="66">
        <f t="shared" si="368"/>
        <v>1.4244884605891606</v>
      </c>
      <c r="AC492" s="66">
        <f t="shared" si="368"/>
        <v>1.4244884605891606</v>
      </c>
    </row>
    <row r="493" spans="1:29" x14ac:dyDescent="0.25">
      <c r="A493" s="30" t="str">
        <f t="shared" si="365"/>
        <v>Residual value (costumization)</v>
      </c>
      <c r="B493" s="66">
        <f>((1+B463)^B471)*B463/(((1+B463)^B471)-1)*(B462)/B475</f>
        <v>-7.1224423029458042E-2</v>
      </c>
      <c r="C493" s="66">
        <f t="shared" ref="C493:AC493" si="369">((1+C463)^C471)*C463/(((1+C463)^C471)-1)*(C462)/C475</f>
        <v>-7.1224423029458042E-2</v>
      </c>
      <c r="D493" s="66">
        <f t="shared" si="369"/>
        <v>-7.1224423029458042E-2</v>
      </c>
      <c r="E493" s="66">
        <f t="shared" si="369"/>
        <v>-7.1224423029458042E-2</v>
      </c>
      <c r="F493" s="66">
        <f t="shared" si="369"/>
        <v>-7.1224423029458042E-2</v>
      </c>
      <c r="G493" s="66">
        <f t="shared" si="369"/>
        <v>-7.1224423029458042E-2</v>
      </c>
      <c r="H493" s="66">
        <f t="shared" si="369"/>
        <v>-7.1224423029458042E-2</v>
      </c>
      <c r="I493" s="66">
        <f t="shared" si="369"/>
        <v>-7.1224423029458042E-2</v>
      </c>
      <c r="J493" s="66">
        <f t="shared" si="369"/>
        <v>-7.1224423029458042E-2</v>
      </c>
      <c r="K493" s="66">
        <f t="shared" si="369"/>
        <v>-7.1224423029458042E-2</v>
      </c>
      <c r="L493" s="66">
        <f t="shared" si="369"/>
        <v>-7.1224423029458042E-2</v>
      </c>
      <c r="M493" s="66">
        <f t="shared" si="369"/>
        <v>-7.1224423029458042E-2</v>
      </c>
      <c r="N493" s="66">
        <f t="shared" si="369"/>
        <v>-7.1224423029458042E-2</v>
      </c>
      <c r="O493" s="66">
        <f t="shared" si="369"/>
        <v>-7.1224423029458042E-2</v>
      </c>
      <c r="P493" s="66">
        <f t="shared" si="369"/>
        <v>-7.1224423029458042E-2</v>
      </c>
      <c r="Q493" s="66">
        <f t="shared" si="369"/>
        <v>-7.1224423029458042E-2</v>
      </c>
      <c r="R493" s="66">
        <f t="shared" si="369"/>
        <v>-7.1224423029458042E-2</v>
      </c>
      <c r="S493" s="66">
        <f t="shared" si="369"/>
        <v>-7.1224423029458042E-2</v>
      </c>
      <c r="T493" s="66">
        <f t="shared" si="369"/>
        <v>-7.1224423029458042E-2</v>
      </c>
      <c r="U493" s="66">
        <f t="shared" si="369"/>
        <v>-7.1224423029458042E-2</v>
      </c>
      <c r="V493" s="66">
        <f t="shared" si="369"/>
        <v>-7.1224423029458042E-2</v>
      </c>
      <c r="W493" s="66">
        <f t="shared" si="369"/>
        <v>-7.1224423029458042E-2</v>
      </c>
      <c r="X493" s="66">
        <f t="shared" si="369"/>
        <v>-7.1224423029458042E-2</v>
      </c>
      <c r="Y493" s="66">
        <f t="shared" si="369"/>
        <v>-7.1224423029458042E-2</v>
      </c>
      <c r="Z493" s="66">
        <f t="shared" si="369"/>
        <v>-7.1224423029458042E-2</v>
      </c>
      <c r="AA493" s="66">
        <f t="shared" si="369"/>
        <v>-7.1224423029458042E-2</v>
      </c>
      <c r="AB493" s="66">
        <f t="shared" si="369"/>
        <v>-7.1224423029458042E-2</v>
      </c>
      <c r="AC493" s="66">
        <f t="shared" si="369"/>
        <v>-7.1224423029458042E-2</v>
      </c>
    </row>
    <row r="494" spans="1:29" x14ac:dyDescent="0.25">
      <c r="A494" s="30" t="str">
        <f t="shared" si="365"/>
        <v>Opex fix (admin, crew, insurance)</v>
      </c>
      <c r="B494" s="66">
        <f>B464/B475</f>
        <v>3.6414565826330532</v>
      </c>
      <c r="C494" s="66">
        <f t="shared" ref="C494:AC494" si="370">C464/C475</f>
        <v>3.6414565826330532</v>
      </c>
      <c r="D494" s="66">
        <f t="shared" si="370"/>
        <v>3.6414565826330532</v>
      </c>
      <c r="E494" s="66">
        <f t="shared" si="370"/>
        <v>3.6414565826330532</v>
      </c>
      <c r="F494" s="66">
        <f t="shared" si="370"/>
        <v>3.6414565826330532</v>
      </c>
      <c r="G494" s="66">
        <f t="shared" si="370"/>
        <v>3.6414565826330532</v>
      </c>
      <c r="H494" s="66">
        <f t="shared" si="370"/>
        <v>3.6414565826330532</v>
      </c>
      <c r="I494" s="66">
        <f t="shared" si="370"/>
        <v>3.6414565826330532</v>
      </c>
      <c r="J494" s="66">
        <f t="shared" si="370"/>
        <v>3.6414565826330532</v>
      </c>
      <c r="K494" s="66">
        <f t="shared" si="370"/>
        <v>3.6414565826330532</v>
      </c>
      <c r="L494" s="66">
        <f t="shared" si="370"/>
        <v>3.6414565826330532</v>
      </c>
      <c r="M494" s="66">
        <f t="shared" si="370"/>
        <v>3.6414565826330532</v>
      </c>
      <c r="N494" s="66">
        <f t="shared" si="370"/>
        <v>3.6414565826330532</v>
      </c>
      <c r="O494" s="66">
        <f t="shared" si="370"/>
        <v>3.6414565826330532</v>
      </c>
      <c r="P494" s="66">
        <f t="shared" si="370"/>
        <v>3.6414565826330532</v>
      </c>
      <c r="Q494" s="66">
        <f t="shared" si="370"/>
        <v>3.6414565826330532</v>
      </c>
      <c r="R494" s="66">
        <f t="shared" si="370"/>
        <v>3.6414565826330532</v>
      </c>
      <c r="S494" s="66">
        <f t="shared" si="370"/>
        <v>3.6414565826330532</v>
      </c>
      <c r="T494" s="66">
        <f t="shared" si="370"/>
        <v>3.6414565826330532</v>
      </c>
      <c r="U494" s="66">
        <f t="shared" si="370"/>
        <v>3.6414565826330532</v>
      </c>
      <c r="V494" s="66">
        <f t="shared" si="370"/>
        <v>3.6414565826330532</v>
      </c>
      <c r="W494" s="66">
        <f t="shared" si="370"/>
        <v>3.6414565826330532</v>
      </c>
      <c r="X494" s="66">
        <f t="shared" si="370"/>
        <v>3.6414565826330532</v>
      </c>
      <c r="Y494" s="66">
        <f t="shared" si="370"/>
        <v>3.6414565826330532</v>
      </c>
      <c r="Z494" s="66">
        <f t="shared" si="370"/>
        <v>3.6414565826330532</v>
      </c>
      <c r="AA494" s="66">
        <f t="shared" si="370"/>
        <v>3.6414565826330532</v>
      </c>
      <c r="AB494" s="66">
        <f t="shared" si="370"/>
        <v>3.6414565826330532</v>
      </c>
      <c r="AC494" s="66">
        <f t="shared" si="370"/>
        <v>3.6414565826330532</v>
      </c>
    </row>
    <row r="495" spans="1:29" x14ac:dyDescent="0.25">
      <c r="A495" s="30" t="str">
        <f t="shared" si="365"/>
        <v>Opex maintenance &amp; repair</v>
      </c>
      <c r="B495" s="66">
        <f>B465/B475</f>
        <v>5.882352941176471</v>
      </c>
      <c r="C495" s="66">
        <f t="shared" ref="C495:AC495" si="371">C465/C475</f>
        <v>5.882352941176471</v>
      </c>
      <c r="D495" s="66">
        <f t="shared" si="371"/>
        <v>5.882352941176471</v>
      </c>
      <c r="E495" s="66">
        <f t="shared" si="371"/>
        <v>5.882352941176471</v>
      </c>
      <c r="F495" s="66">
        <f t="shared" si="371"/>
        <v>5.882352941176471</v>
      </c>
      <c r="G495" s="66">
        <f t="shared" si="371"/>
        <v>5.882352941176471</v>
      </c>
      <c r="H495" s="66">
        <f t="shared" si="371"/>
        <v>5.882352941176471</v>
      </c>
      <c r="I495" s="66">
        <f t="shared" si="371"/>
        <v>5.882352941176471</v>
      </c>
      <c r="J495" s="66">
        <f t="shared" si="371"/>
        <v>5.882352941176471</v>
      </c>
      <c r="K495" s="66">
        <f t="shared" si="371"/>
        <v>5.882352941176471</v>
      </c>
      <c r="L495" s="66">
        <f t="shared" si="371"/>
        <v>5.882352941176471</v>
      </c>
      <c r="M495" s="66">
        <f t="shared" si="371"/>
        <v>5.882352941176471</v>
      </c>
      <c r="N495" s="66">
        <f t="shared" si="371"/>
        <v>5.882352941176471</v>
      </c>
      <c r="O495" s="66">
        <f t="shared" si="371"/>
        <v>5.882352941176471</v>
      </c>
      <c r="P495" s="66">
        <f t="shared" si="371"/>
        <v>5.882352941176471</v>
      </c>
      <c r="Q495" s="66">
        <f t="shared" si="371"/>
        <v>5.882352941176471</v>
      </c>
      <c r="R495" s="66">
        <f t="shared" si="371"/>
        <v>5.882352941176471</v>
      </c>
      <c r="S495" s="66">
        <f t="shared" si="371"/>
        <v>5.882352941176471</v>
      </c>
      <c r="T495" s="66">
        <f t="shared" si="371"/>
        <v>5.882352941176471</v>
      </c>
      <c r="U495" s="66">
        <f t="shared" si="371"/>
        <v>5.882352941176471</v>
      </c>
      <c r="V495" s="66">
        <f t="shared" si="371"/>
        <v>5.882352941176471</v>
      </c>
      <c r="W495" s="66">
        <f t="shared" si="371"/>
        <v>5.882352941176471</v>
      </c>
      <c r="X495" s="66">
        <f t="shared" si="371"/>
        <v>5.882352941176471</v>
      </c>
      <c r="Y495" s="66">
        <f t="shared" si="371"/>
        <v>5.882352941176471</v>
      </c>
      <c r="Z495" s="66">
        <f t="shared" si="371"/>
        <v>5.882352941176471</v>
      </c>
      <c r="AA495" s="66">
        <f t="shared" si="371"/>
        <v>5.882352941176471</v>
      </c>
      <c r="AB495" s="66">
        <f t="shared" si="371"/>
        <v>5.882352941176471</v>
      </c>
      <c r="AC495" s="66">
        <f t="shared" si="371"/>
        <v>5.882352941176471</v>
      </c>
    </row>
    <row r="496" spans="1:29" x14ac:dyDescent="0.25">
      <c r="A496" s="30" t="str">
        <f t="shared" si="365"/>
        <v>Opex var (mode-fees, shunting)</v>
      </c>
      <c r="B496" s="66">
        <f>B466*B475/B475</f>
        <v>3.9215686274509802</v>
      </c>
      <c r="C496" s="66">
        <f t="shared" ref="C496:AC496" si="372">C466*C475/C475</f>
        <v>3.9215686274509802</v>
      </c>
      <c r="D496" s="66">
        <f t="shared" si="372"/>
        <v>3.9215686274509802</v>
      </c>
      <c r="E496" s="66">
        <f t="shared" si="372"/>
        <v>3.9215686274509802</v>
      </c>
      <c r="F496" s="66">
        <f t="shared" si="372"/>
        <v>3.9215686274509802</v>
      </c>
      <c r="G496" s="66">
        <f t="shared" si="372"/>
        <v>3.9215686274509802</v>
      </c>
      <c r="H496" s="66">
        <f t="shared" si="372"/>
        <v>3.9215686274509802</v>
      </c>
      <c r="I496" s="66">
        <f t="shared" si="372"/>
        <v>3.9215686274509802</v>
      </c>
      <c r="J496" s="66">
        <f t="shared" si="372"/>
        <v>3.9215686274509802</v>
      </c>
      <c r="K496" s="66">
        <f t="shared" si="372"/>
        <v>3.9215686274509802</v>
      </c>
      <c r="L496" s="66">
        <f t="shared" si="372"/>
        <v>3.9215686274509802</v>
      </c>
      <c r="M496" s="66">
        <f t="shared" si="372"/>
        <v>3.9215686274509802</v>
      </c>
      <c r="N496" s="66">
        <f t="shared" si="372"/>
        <v>3.9215686274509802</v>
      </c>
      <c r="O496" s="66">
        <f t="shared" si="372"/>
        <v>3.9215686274509802</v>
      </c>
      <c r="P496" s="66">
        <f t="shared" si="372"/>
        <v>3.9215686274509802</v>
      </c>
      <c r="Q496" s="66">
        <f t="shared" si="372"/>
        <v>3.9215686274509802</v>
      </c>
      <c r="R496" s="66">
        <f t="shared" si="372"/>
        <v>3.9215686274509802</v>
      </c>
      <c r="S496" s="66">
        <f t="shared" si="372"/>
        <v>3.9215686274509802</v>
      </c>
      <c r="T496" s="66">
        <f t="shared" si="372"/>
        <v>3.9215686274509802</v>
      </c>
      <c r="U496" s="66">
        <f t="shared" si="372"/>
        <v>3.9215686274509802</v>
      </c>
      <c r="V496" s="66">
        <f t="shared" si="372"/>
        <v>3.9215686274509802</v>
      </c>
      <c r="W496" s="66">
        <f t="shared" si="372"/>
        <v>3.9215686274509802</v>
      </c>
      <c r="X496" s="66">
        <f t="shared" si="372"/>
        <v>3.9215686274509802</v>
      </c>
      <c r="Y496" s="66">
        <f t="shared" si="372"/>
        <v>3.9215686274509802</v>
      </c>
      <c r="Z496" s="66">
        <f t="shared" si="372"/>
        <v>3.9215686274509802</v>
      </c>
      <c r="AA496" s="66">
        <f t="shared" si="372"/>
        <v>3.9215686274509802</v>
      </c>
      <c r="AB496" s="66">
        <f t="shared" si="372"/>
        <v>3.9215686274509802</v>
      </c>
      <c r="AC496" s="66">
        <f t="shared" si="372"/>
        <v>3.9215686274509802</v>
      </c>
    </row>
    <row r="497" spans="1:29" x14ac:dyDescent="0.25">
      <c r="A497" s="30" t="str">
        <f t="shared" si="365"/>
        <v>Fuel Cost</v>
      </c>
      <c r="B497" s="66">
        <f>B467*B468*B475/B475</f>
        <v>7.6777599999999993</v>
      </c>
      <c r="C497" s="66">
        <f t="shared" ref="C497:AC497" si="373">C467*C468*C475/C475</f>
        <v>7.6777599999999993</v>
      </c>
      <c r="D497" s="66">
        <f t="shared" si="373"/>
        <v>7.6777599999999993</v>
      </c>
      <c r="E497" s="66">
        <f t="shared" si="373"/>
        <v>7.6777599999999993</v>
      </c>
      <c r="F497" s="66">
        <f t="shared" si="373"/>
        <v>7.6777599999999993</v>
      </c>
      <c r="G497" s="66">
        <f t="shared" si="373"/>
        <v>7.6777599999999993</v>
      </c>
      <c r="H497" s="66">
        <f t="shared" si="373"/>
        <v>7.6777599999999993</v>
      </c>
      <c r="I497" s="66">
        <f t="shared" si="373"/>
        <v>7.6777599999999993</v>
      </c>
      <c r="J497" s="66">
        <f t="shared" si="373"/>
        <v>7.6777599999999993</v>
      </c>
      <c r="K497" s="66">
        <f t="shared" si="373"/>
        <v>7.6777599999999993</v>
      </c>
      <c r="L497" s="66">
        <f t="shared" si="373"/>
        <v>7.6777599999999993</v>
      </c>
      <c r="M497" s="66">
        <f t="shared" si="373"/>
        <v>7.6777599999999993</v>
      </c>
      <c r="N497" s="66">
        <f t="shared" si="373"/>
        <v>7.6777599999999993</v>
      </c>
      <c r="O497" s="66">
        <f t="shared" si="373"/>
        <v>7.6777599999999993</v>
      </c>
      <c r="P497" s="66">
        <f t="shared" si="373"/>
        <v>7.6777599999999993</v>
      </c>
      <c r="Q497" s="66">
        <f t="shared" si="373"/>
        <v>7.6777599999999993</v>
      </c>
      <c r="R497" s="66">
        <f t="shared" si="373"/>
        <v>7.6777599999999993</v>
      </c>
      <c r="S497" s="66">
        <f t="shared" si="373"/>
        <v>7.6777599999999993</v>
      </c>
      <c r="T497" s="66">
        <f t="shared" si="373"/>
        <v>7.6777599999999993</v>
      </c>
      <c r="U497" s="66">
        <f t="shared" si="373"/>
        <v>7.6777599999999993</v>
      </c>
      <c r="V497" s="66">
        <f t="shared" si="373"/>
        <v>7.6777599999999993</v>
      </c>
      <c r="W497" s="66">
        <f t="shared" si="373"/>
        <v>7.6777599999999993</v>
      </c>
      <c r="X497" s="66">
        <f t="shared" si="373"/>
        <v>7.6777599999999993</v>
      </c>
      <c r="Y497" s="66">
        <f t="shared" si="373"/>
        <v>7.6777599999999993</v>
      </c>
      <c r="Z497" s="66">
        <f t="shared" si="373"/>
        <v>7.6777599999999993</v>
      </c>
      <c r="AA497" s="66">
        <f t="shared" si="373"/>
        <v>7.6777599999999993</v>
      </c>
      <c r="AB497" s="66">
        <f t="shared" si="373"/>
        <v>7.6777599999999993</v>
      </c>
      <c r="AC497" s="66">
        <f t="shared" si="373"/>
        <v>7.6777599999999993</v>
      </c>
    </row>
    <row r="498" spans="1:29" ht="15.75" thickBot="1" x14ac:dyDescent="0.3">
      <c r="A498" s="59" t="str">
        <f>A449</f>
        <v>Emission Cost</v>
      </c>
      <c r="B498" s="66">
        <f>B469</f>
        <v>2.0582113582797463</v>
      </c>
      <c r="C498" s="66">
        <f t="shared" ref="C498:AC498" si="374">C469</f>
        <v>2.0630736964968874</v>
      </c>
      <c r="D498" s="66">
        <f t="shared" si="374"/>
        <v>2.0700340253548735</v>
      </c>
      <c r="E498" s="66">
        <f t="shared" si="374"/>
        <v>2.0799912652584287</v>
      </c>
      <c r="F498" s="66">
        <f t="shared" si="374"/>
        <v>2.0942223582546799</v>
      </c>
      <c r="G498" s="66">
        <f t="shared" si="374"/>
        <v>2.1145332034270625</v>
      </c>
      <c r="H498" s="66">
        <f t="shared" si="374"/>
        <v>2.1434608297482804</v>
      </c>
      <c r="I498" s="66">
        <f t="shared" si="374"/>
        <v>2.1845339122974496</v>
      </c>
      <c r="J498" s="66">
        <f t="shared" si="374"/>
        <v>2.2425867676094651</v>
      </c>
      <c r="K498" s="66">
        <f t="shared" si="374"/>
        <v>2.3240919291072673</v>
      </c>
      <c r="L498" s="66">
        <f t="shared" si="374"/>
        <v>2.4374136908790356</v>
      </c>
      <c r="M498" s="66">
        <f t="shared" si="374"/>
        <v>2.5927735868925894</v>
      </c>
      <c r="N498" s="66">
        <f t="shared" si="374"/>
        <v>2.8015606394413943</v>
      </c>
      <c r="O498" s="66">
        <f t="shared" si="374"/>
        <v>3.0744856518148742</v>
      </c>
      <c r="P498" s="66">
        <f t="shared" si="374"/>
        <v>3.4181885745847813</v>
      </c>
      <c r="Q498" s="66">
        <f t="shared" si="374"/>
        <v>3.8306222159147274</v>
      </c>
      <c r="R498" s="66">
        <f t="shared" si="374"/>
        <v>4.2969913115595899</v>
      </c>
      <c r="S498" s="66">
        <f t="shared" si="374"/>
        <v>4.7893352523676196</v>
      </c>
      <c r="T498" s="66">
        <f t="shared" si="374"/>
        <v>5.2719907853240588</v>
      </c>
      <c r="U498" s="66">
        <f t="shared" si="374"/>
        <v>5.7113620517407639</v>
      </c>
      <c r="V498" s="66">
        <f t="shared" si="374"/>
        <v>6.0847650605234298</v>
      </c>
      <c r="W498" s="66">
        <f t="shared" si="374"/>
        <v>6.383793997868306</v>
      </c>
      <c r="X498" s="66">
        <f t="shared" si="374"/>
        <v>6.6119663489137848</v>
      </c>
      <c r="Y498" s="66">
        <f t="shared" si="374"/>
        <v>6.7796913263812186</v>
      </c>
      <c r="Z498" s="66">
        <f t="shared" si="374"/>
        <v>6.8996122588494808</v>
      </c>
      <c r="AA498" s="66">
        <f t="shared" si="374"/>
        <v>6.9836591226283362</v>
      </c>
      <c r="AB498" s="66">
        <f t="shared" si="374"/>
        <v>7.0417406714234989</v>
      </c>
      <c r="AC498" s="66">
        <f t="shared" si="374"/>
        <v>7.0814887695786215</v>
      </c>
    </row>
    <row r="499" spans="1:29" ht="15.75" thickBot="1" x14ac:dyDescent="0.3">
      <c r="A499" s="31" t="s">
        <v>63</v>
      </c>
      <c r="B499" s="76">
        <f>B490+B491+B492-B493+B494+B495+B496+B497+B498</f>
        <v>26.132395249811772</v>
      </c>
      <c r="C499" s="76">
        <f t="shared" ref="C499:AC499" si="375">C490+C491+C492-C493+C494+C495+C496+C497+C498</f>
        <v>26.138223928657048</v>
      </c>
      <c r="D499" s="76">
        <f t="shared" si="375"/>
        <v>26.146556322680333</v>
      </c>
      <c r="E499" s="76">
        <f t="shared" si="375"/>
        <v>26.158452844847986</v>
      </c>
      <c r="F499" s="76">
        <f t="shared" si="375"/>
        <v>26.175406655155484</v>
      </c>
      <c r="G499" s="76">
        <f t="shared" si="375"/>
        <v>26.199503065767487</v>
      </c>
      <c r="H499" s="76">
        <f t="shared" si="375"/>
        <v>26.233620560688145</v>
      </c>
      <c r="I499" s="76">
        <f t="shared" si="375"/>
        <v>26.281668270511123</v>
      </c>
      <c r="J499" s="76">
        <f t="shared" si="375"/>
        <v>26.348838311068903</v>
      </c>
      <c r="K499" s="76">
        <f t="shared" si="375"/>
        <v>26.441825026379426</v>
      </c>
      <c r="L499" s="76">
        <f t="shared" si="375"/>
        <v>26.568924323148408</v>
      </c>
      <c r="M499" s="76">
        <f t="shared" si="375"/>
        <v>26.739863492754061</v>
      </c>
      <c r="N499" s="76">
        <f t="shared" si="375"/>
        <v>26.965097520513897</v>
      </c>
      <c r="O499" s="76">
        <f t="shared" si="375"/>
        <v>27.254145862389457</v>
      </c>
      <c r="P499" s="76">
        <f t="shared" si="375"/>
        <v>27.61252618388054</v>
      </c>
      <c r="Q499" s="76">
        <f t="shared" si="375"/>
        <v>28.037433524021711</v>
      </c>
      <c r="R499" s="76">
        <f t="shared" si="375"/>
        <v>28.513791818501478</v>
      </c>
      <c r="S499" s="76">
        <f t="shared" si="375"/>
        <v>29.013757961372825</v>
      </c>
      <c r="T499" s="76">
        <f t="shared" si="375"/>
        <v>29.502016424147286</v>
      </c>
      <c r="U499" s="76">
        <f t="shared" si="375"/>
        <v>29.945393704328175</v>
      </c>
      <c r="V499" s="76">
        <f t="shared" si="375"/>
        <v>30.32160433715282</v>
      </c>
      <c r="W499" s="76">
        <f t="shared" si="375"/>
        <v>30.622573515280763</v>
      </c>
      <c r="X499" s="76">
        <f t="shared" si="375"/>
        <v>30.852073669780005</v>
      </c>
      <c r="Y499" s="76">
        <f t="shared" si="375"/>
        <v>31.020701264349189</v>
      </c>
      <c r="Z499" s="76">
        <f t="shared" si="375"/>
        <v>31.141232987766418</v>
      </c>
      <c r="AA499" s="76">
        <f t="shared" si="375"/>
        <v>31.225691891757126</v>
      </c>
      <c r="AB499" s="76">
        <f t="shared" si="375"/>
        <v>31.284050823976067</v>
      </c>
      <c r="AC499" s="76">
        <f t="shared" si="375"/>
        <v>31.323985393031705</v>
      </c>
    </row>
    <row r="500" spans="1:29" ht="15.75" thickBot="1" x14ac:dyDescent="0.3"/>
    <row r="501" spans="1:29" ht="15.75" thickBot="1" x14ac:dyDescent="0.3">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376">A478</f>
        <v>Capex vehicle</v>
      </c>
      <c r="B502" s="65">
        <f>((1+B463)^B470)*B463/(((1+B463)^B470)-1)*(B459)/B475/(B472)</f>
        <v>6.1053611328327313E-4</v>
      </c>
      <c r="C502" s="65">
        <f t="shared" ref="C502:AC502" si="377">((1+C463)^C470)*C463/(((1+C463)^C470)-1)*(C459)/C475/(C472)</f>
        <v>6.1053611328327313E-4</v>
      </c>
      <c r="D502" s="65">
        <f t="shared" si="377"/>
        <v>6.1053611328327313E-4</v>
      </c>
      <c r="E502" s="65">
        <f t="shared" si="377"/>
        <v>6.1053611328327313E-4</v>
      </c>
      <c r="F502" s="65">
        <f t="shared" si="377"/>
        <v>6.1053611328327313E-4</v>
      </c>
      <c r="G502" s="65">
        <f t="shared" si="377"/>
        <v>6.1053611328327313E-4</v>
      </c>
      <c r="H502" s="65">
        <f t="shared" si="377"/>
        <v>6.1053611328327313E-4</v>
      </c>
      <c r="I502" s="65">
        <f t="shared" si="377"/>
        <v>6.1053611328327313E-4</v>
      </c>
      <c r="J502" s="65">
        <f t="shared" si="377"/>
        <v>6.1053611328327313E-4</v>
      </c>
      <c r="K502" s="65">
        <f t="shared" si="377"/>
        <v>6.1053611328327313E-4</v>
      </c>
      <c r="L502" s="65">
        <f t="shared" si="377"/>
        <v>6.1053611328327313E-4</v>
      </c>
      <c r="M502" s="65">
        <f t="shared" si="377"/>
        <v>6.1053611328327313E-4</v>
      </c>
      <c r="N502" s="65">
        <f t="shared" si="377"/>
        <v>6.1053611328327313E-4</v>
      </c>
      <c r="O502" s="65">
        <f t="shared" si="377"/>
        <v>6.1053611328327313E-4</v>
      </c>
      <c r="P502" s="65">
        <f t="shared" si="377"/>
        <v>6.1053611328327313E-4</v>
      </c>
      <c r="Q502" s="65">
        <f t="shared" si="377"/>
        <v>6.1053611328327313E-4</v>
      </c>
      <c r="R502" s="65">
        <f t="shared" si="377"/>
        <v>6.1053611328327313E-4</v>
      </c>
      <c r="S502" s="65">
        <f t="shared" si="377"/>
        <v>6.1053611328327313E-4</v>
      </c>
      <c r="T502" s="65">
        <f t="shared" si="377"/>
        <v>6.1053611328327313E-4</v>
      </c>
      <c r="U502" s="65">
        <f t="shared" si="377"/>
        <v>6.1053611328327313E-4</v>
      </c>
      <c r="V502" s="65">
        <f t="shared" si="377"/>
        <v>6.1053611328327313E-4</v>
      </c>
      <c r="W502" s="65">
        <f t="shared" si="377"/>
        <v>6.1053611328327313E-4</v>
      </c>
      <c r="X502" s="65">
        <f t="shared" si="377"/>
        <v>6.1053611328327313E-4</v>
      </c>
      <c r="Y502" s="65">
        <f t="shared" si="377"/>
        <v>6.1053611328327313E-4</v>
      </c>
      <c r="Z502" s="65">
        <f t="shared" si="377"/>
        <v>6.1053611328327313E-4</v>
      </c>
      <c r="AA502" s="65">
        <f t="shared" si="377"/>
        <v>6.1053611328327313E-4</v>
      </c>
      <c r="AB502" s="65">
        <f t="shared" si="377"/>
        <v>6.1053611328327313E-4</v>
      </c>
      <c r="AC502" s="65">
        <f t="shared" si="377"/>
        <v>6.1053611328327313E-4</v>
      </c>
    </row>
    <row r="503" spans="1:29" x14ac:dyDescent="0.25">
      <c r="A503" s="30" t="str">
        <f t="shared" si="376"/>
        <v>Residual value (vehicle)</v>
      </c>
      <c r="B503" s="68">
        <f>((1+B463)^B470)*B463/(((1+B463)^B470)-1)*(B460)/B475/(B472)</f>
        <v>-9.0774378764378309E-5</v>
      </c>
      <c r="C503" s="68">
        <f t="shared" ref="C503:AC503" si="378">((1+C463)^C470)*C463/(((1+C463)^C470)-1)*(C460)/C475/(C472)</f>
        <v>-9.0429257111472898E-5</v>
      </c>
      <c r="D503" s="68">
        <f t="shared" si="378"/>
        <v>-8.9939233838153262E-5</v>
      </c>
      <c r="E503" s="68">
        <f t="shared" si="378"/>
        <v>-8.9246633029546065E-5</v>
      </c>
      <c r="F503" s="68">
        <f t="shared" si="378"/>
        <v>-8.8274233989815224E-5</v>
      </c>
      <c r="G503" s="68">
        <f t="shared" si="378"/>
        <v>-8.6922246332807185E-5</v>
      </c>
      <c r="H503" s="68">
        <f t="shared" si="378"/>
        <v>-8.5068721833008004E-5</v>
      </c>
      <c r="I503" s="68">
        <f t="shared" si="378"/>
        <v>-8.2577783520933551E-5</v>
      </c>
      <c r="J503" s="68">
        <f t="shared" si="378"/>
        <v>-7.9321645933160551E-5</v>
      </c>
      <c r="K503" s="68">
        <f t="shared" si="378"/>
        <v>-7.522109100004561E-5</v>
      </c>
      <c r="L503" s="68">
        <f t="shared" si="378"/>
        <v>-7.0300542786755457E-5</v>
      </c>
      <c r="M503" s="68">
        <f t="shared" si="378"/>
        <v>-6.4736516503862478E-5</v>
      </c>
      <c r="N503" s="68">
        <f t="shared" si="378"/>
        <v>-5.8862596785637767E-5</v>
      </c>
      <c r="O503" s="68">
        <f t="shared" si="378"/>
        <v>-5.3104264820609044E-5</v>
      </c>
      <c r="P503" s="68">
        <f t="shared" si="378"/>
        <v>-4.7862336705903688E-5</v>
      </c>
      <c r="Q503" s="68">
        <f t="shared" si="378"/>
        <v>-4.3407444273322408E-5</v>
      </c>
      <c r="R503" s="68">
        <f t="shared" si="378"/>
        <v>-3.9839873260856709E-5</v>
      </c>
      <c r="S503" s="68">
        <f t="shared" si="378"/>
        <v>-3.711765823824448E-5</v>
      </c>
      <c r="T503" s="68">
        <f t="shared" si="378"/>
        <v>-3.5116611874664075E-5</v>
      </c>
      <c r="U503" s="68">
        <f t="shared" si="378"/>
        <v>-3.3685892673170192E-5</v>
      </c>
      <c r="V503" s="68">
        <f t="shared" si="378"/>
        <v>-3.2683169801034627E-5</v>
      </c>
      <c r="W503" s="68">
        <f t="shared" si="378"/>
        <v>-3.1990226664224584E-5</v>
      </c>
      <c r="X503" s="68">
        <f t="shared" si="378"/>
        <v>-3.151601114502448E-5</v>
      </c>
      <c r="Y503" s="68">
        <f t="shared" si="378"/>
        <v>-3.119364789439922E-5</v>
      </c>
      <c r="Z503" s="68">
        <f t="shared" si="378"/>
        <v>-3.0975508269767502E-5</v>
      </c>
      <c r="AA503" s="68">
        <f t="shared" si="378"/>
        <v>-3.0828351051248723E-5</v>
      </c>
      <c r="AB503" s="68">
        <f t="shared" si="378"/>
        <v>-3.0729285542756903E-5</v>
      </c>
      <c r="AC503" s="68">
        <f t="shared" si="378"/>
        <v>-3.0662688792572247E-5</v>
      </c>
    </row>
    <row r="504" spans="1:29" x14ac:dyDescent="0.25">
      <c r="A504" s="30" t="str">
        <f t="shared" si="376"/>
        <v>Capex costumization</v>
      </c>
      <c r="B504" s="66">
        <f>((1+B463)^B471)*B463/(((1+B463)^B471)-1)*(B461)/B475/(B472)</f>
        <v>5.0874587878184309E-4</v>
      </c>
      <c r="C504" s="66">
        <f t="shared" ref="C504:AC504" si="379">((1+C463)^C471)*C463/(((1+C463)^C471)-1)*(C461)/C475/(C472)</f>
        <v>5.0874587878184309E-4</v>
      </c>
      <c r="D504" s="66">
        <f t="shared" si="379"/>
        <v>5.0874587878184309E-4</v>
      </c>
      <c r="E504" s="66">
        <f t="shared" si="379"/>
        <v>5.0874587878184309E-4</v>
      </c>
      <c r="F504" s="66">
        <f t="shared" si="379"/>
        <v>5.0874587878184309E-4</v>
      </c>
      <c r="G504" s="66">
        <f t="shared" si="379"/>
        <v>5.0874587878184309E-4</v>
      </c>
      <c r="H504" s="66">
        <f t="shared" si="379"/>
        <v>5.0874587878184309E-4</v>
      </c>
      <c r="I504" s="66">
        <f t="shared" si="379"/>
        <v>5.0874587878184309E-4</v>
      </c>
      <c r="J504" s="66">
        <f t="shared" si="379"/>
        <v>5.0874587878184309E-4</v>
      </c>
      <c r="K504" s="66">
        <f t="shared" si="379"/>
        <v>5.0874587878184309E-4</v>
      </c>
      <c r="L504" s="66">
        <f t="shared" si="379"/>
        <v>5.0874587878184309E-4</v>
      </c>
      <c r="M504" s="66">
        <f t="shared" si="379"/>
        <v>5.0874587878184309E-4</v>
      </c>
      <c r="N504" s="66">
        <f t="shared" si="379"/>
        <v>5.0874587878184309E-4</v>
      </c>
      <c r="O504" s="66">
        <f t="shared" si="379"/>
        <v>5.0874587878184309E-4</v>
      </c>
      <c r="P504" s="66">
        <f t="shared" si="379"/>
        <v>5.0874587878184309E-4</v>
      </c>
      <c r="Q504" s="66">
        <f t="shared" si="379"/>
        <v>5.0874587878184309E-4</v>
      </c>
      <c r="R504" s="66">
        <f t="shared" si="379"/>
        <v>5.0874587878184309E-4</v>
      </c>
      <c r="S504" s="66">
        <f t="shared" si="379"/>
        <v>5.0874587878184309E-4</v>
      </c>
      <c r="T504" s="66">
        <f t="shared" si="379"/>
        <v>5.0874587878184309E-4</v>
      </c>
      <c r="U504" s="66">
        <f t="shared" si="379"/>
        <v>5.0874587878184309E-4</v>
      </c>
      <c r="V504" s="66">
        <f t="shared" si="379"/>
        <v>5.0874587878184309E-4</v>
      </c>
      <c r="W504" s="66">
        <f t="shared" si="379"/>
        <v>5.0874587878184309E-4</v>
      </c>
      <c r="X504" s="66">
        <f t="shared" si="379"/>
        <v>5.0874587878184309E-4</v>
      </c>
      <c r="Y504" s="66">
        <f t="shared" si="379"/>
        <v>5.0874587878184309E-4</v>
      </c>
      <c r="Z504" s="66">
        <f t="shared" si="379"/>
        <v>5.0874587878184309E-4</v>
      </c>
      <c r="AA504" s="66">
        <f t="shared" si="379"/>
        <v>5.0874587878184309E-4</v>
      </c>
      <c r="AB504" s="66">
        <f t="shared" si="379"/>
        <v>5.0874587878184309E-4</v>
      </c>
      <c r="AC504" s="66">
        <f t="shared" si="379"/>
        <v>5.0874587878184309E-4</v>
      </c>
    </row>
    <row r="505" spans="1:29" x14ac:dyDescent="0.25">
      <c r="A505" s="30" t="str">
        <f t="shared" si="376"/>
        <v>Residual value (costumization)</v>
      </c>
      <c r="B505" s="69">
        <f>((1+B463)^B471)*B463/(((1+B463)^B471)-1)*(B462)/B475/(B472)</f>
        <v>-2.5437293939092159E-5</v>
      </c>
      <c r="C505" s="69">
        <f t="shared" ref="C505:AC505" si="380">((1+C463)^C471)*C463/(((1+C463)^C471)-1)*(C462)/C475/(C472)</f>
        <v>-2.5437293939092159E-5</v>
      </c>
      <c r="D505" s="69">
        <f t="shared" si="380"/>
        <v>-2.5437293939092159E-5</v>
      </c>
      <c r="E505" s="69">
        <f t="shared" si="380"/>
        <v>-2.5437293939092159E-5</v>
      </c>
      <c r="F505" s="69">
        <f t="shared" si="380"/>
        <v>-2.5437293939092159E-5</v>
      </c>
      <c r="G505" s="69">
        <f t="shared" si="380"/>
        <v>-2.5437293939092159E-5</v>
      </c>
      <c r="H505" s="69">
        <f t="shared" si="380"/>
        <v>-2.5437293939092159E-5</v>
      </c>
      <c r="I505" s="69">
        <f t="shared" si="380"/>
        <v>-2.5437293939092159E-5</v>
      </c>
      <c r="J505" s="69">
        <f t="shared" si="380"/>
        <v>-2.5437293939092159E-5</v>
      </c>
      <c r="K505" s="69">
        <f t="shared" si="380"/>
        <v>-2.5437293939092159E-5</v>
      </c>
      <c r="L505" s="69">
        <f t="shared" si="380"/>
        <v>-2.5437293939092159E-5</v>
      </c>
      <c r="M505" s="69">
        <f t="shared" si="380"/>
        <v>-2.5437293939092159E-5</v>
      </c>
      <c r="N505" s="69">
        <f t="shared" si="380"/>
        <v>-2.5437293939092159E-5</v>
      </c>
      <c r="O505" s="69">
        <f t="shared" si="380"/>
        <v>-2.5437293939092159E-5</v>
      </c>
      <c r="P505" s="69">
        <f t="shared" si="380"/>
        <v>-2.5437293939092159E-5</v>
      </c>
      <c r="Q505" s="69">
        <f t="shared" si="380"/>
        <v>-2.5437293939092159E-5</v>
      </c>
      <c r="R505" s="69">
        <f t="shared" si="380"/>
        <v>-2.5437293939092159E-5</v>
      </c>
      <c r="S505" s="69">
        <f t="shared" si="380"/>
        <v>-2.5437293939092159E-5</v>
      </c>
      <c r="T505" s="69">
        <f t="shared" si="380"/>
        <v>-2.5437293939092159E-5</v>
      </c>
      <c r="U505" s="69">
        <f t="shared" si="380"/>
        <v>-2.5437293939092159E-5</v>
      </c>
      <c r="V505" s="69">
        <f t="shared" si="380"/>
        <v>-2.5437293939092159E-5</v>
      </c>
      <c r="W505" s="69">
        <f t="shared" si="380"/>
        <v>-2.5437293939092159E-5</v>
      </c>
      <c r="X505" s="69">
        <f t="shared" si="380"/>
        <v>-2.5437293939092159E-5</v>
      </c>
      <c r="Y505" s="69">
        <f t="shared" si="380"/>
        <v>-2.5437293939092159E-5</v>
      </c>
      <c r="Z505" s="69">
        <f t="shared" si="380"/>
        <v>-2.5437293939092159E-5</v>
      </c>
      <c r="AA505" s="69">
        <f t="shared" si="380"/>
        <v>-2.5437293939092159E-5</v>
      </c>
      <c r="AB505" s="69">
        <f t="shared" si="380"/>
        <v>-2.5437293939092159E-5</v>
      </c>
      <c r="AC505" s="69">
        <f t="shared" si="380"/>
        <v>-2.5437293939092159E-5</v>
      </c>
    </row>
    <row r="506" spans="1:29" x14ac:dyDescent="0.25">
      <c r="A506" s="30" t="str">
        <f t="shared" si="376"/>
        <v>Opex fix (admin, crew, insurance)</v>
      </c>
      <c r="B506" s="66">
        <f>B464/B475/(B472)</f>
        <v>1.3005202080832333E-3</v>
      </c>
      <c r="C506" s="66">
        <f t="shared" ref="C506:AC506" si="381">C464/C475/(C472)</f>
        <v>1.3005202080832333E-3</v>
      </c>
      <c r="D506" s="66">
        <f t="shared" si="381"/>
        <v>1.3005202080832333E-3</v>
      </c>
      <c r="E506" s="66">
        <f t="shared" si="381"/>
        <v>1.3005202080832333E-3</v>
      </c>
      <c r="F506" s="66">
        <f t="shared" si="381"/>
        <v>1.3005202080832333E-3</v>
      </c>
      <c r="G506" s="66">
        <f t="shared" si="381"/>
        <v>1.3005202080832333E-3</v>
      </c>
      <c r="H506" s="66">
        <f t="shared" si="381"/>
        <v>1.3005202080832333E-3</v>
      </c>
      <c r="I506" s="66">
        <f t="shared" si="381"/>
        <v>1.3005202080832333E-3</v>
      </c>
      <c r="J506" s="66">
        <f t="shared" si="381"/>
        <v>1.3005202080832333E-3</v>
      </c>
      <c r="K506" s="66">
        <f t="shared" si="381"/>
        <v>1.3005202080832333E-3</v>
      </c>
      <c r="L506" s="66">
        <f t="shared" si="381"/>
        <v>1.3005202080832333E-3</v>
      </c>
      <c r="M506" s="66">
        <f t="shared" si="381"/>
        <v>1.3005202080832333E-3</v>
      </c>
      <c r="N506" s="66">
        <f t="shared" si="381"/>
        <v>1.3005202080832333E-3</v>
      </c>
      <c r="O506" s="66">
        <f t="shared" si="381"/>
        <v>1.3005202080832333E-3</v>
      </c>
      <c r="P506" s="66">
        <f t="shared" si="381"/>
        <v>1.3005202080832333E-3</v>
      </c>
      <c r="Q506" s="66">
        <f t="shared" si="381"/>
        <v>1.3005202080832333E-3</v>
      </c>
      <c r="R506" s="66">
        <f t="shared" si="381"/>
        <v>1.3005202080832333E-3</v>
      </c>
      <c r="S506" s="66">
        <f t="shared" si="381"/>
        <v>1.3005202080832333E-3</v>
      </c>
      <c r="T506" s="66">
        <f t="shared" si="381"/>
        <v>1.3005202080832333E-3</v>
      </c>
      <c r="U506" s="66">
        <f t="shared" si="381"/>
        <v>1.3005202080832333E-3</v>
      </c>
      <c r="V506" s="66">
        <f t="shared" si="381"/>
        <v>1.3005202080832333E-3</v>
      </c>
      <c r="W506" s="66">
        <f t="shared" si="381"/>
        <v>1.3005202080832333E-3</v>
      </c>
      <c r="X506" s="66">
        <f t="shared" si="381"/>
        <v>1.3005202080832333E-3</v>
      </c>
      <c r="Y506" s="66">
        <f t="shared" si="381"/>
        <v>1.3005202080832333E-3</v>
      </c>
      <c r="Z506" s="66">
        <f t="shared" si="381"/>
        <v>1.3005202080832333E-3</v>
      </c>
      <c r="AA506" s="66">
        <f t="shared" si="381"/>
        <v>1.3005202080832333E-3</v>
      </c>
      <c r="AB506" s="66">
        <f t="shared" si="381"/>
        <v>1.3005202080832333E-3</v>
      </c>
      <c r="AC506" s="66">
        <f t="shared" si="381"/>
        <v>1.3005202080832333E-3</v>
      </c>
    </row>
    <row r="507" spans="1:29" x14ac:dyDescent="0.25">
      <c r="A507" s="30" t="str">
        <f t="shared" si="376"/>
        <v>Opex maintenance &amp; repair</v>
      </c>
      <c r="B507" s="66">
        <f>B465/B475/(B472)</f>
        <v>2.1008403361344541E-3</v>
      </c>
      <c r="C507" s="66">
        <f t="shared" ref="C507:AC507" si="382">C465/C475/(C472)</f>
        <v>2.1008403361344541E-3</v>
      </c>
      <c r="D507" s="66">
        <f t="shared" si="382"/>
        <v>2.1008403361344541E-3</v>
      </c>
      <c r="E507" s="66">
        <f t="shared" si="382"/>
        <v>2.1008403361344541E-3</v>
      </c>
      <c r="F507" s="66">
        <f t="shared" si="382"/>
        <v>2.1008403361344541E-3</v>
      </c>
      <c r="G507" s="66">
        <f t="shared" si="382"/>
        <v>2.1008403361344541E-3</v>
      </c>
      <c r="H507" s="66">
        <f t="shared" si="382"/>
        <v>2.1008403361344541E-3</v>
      </c>
      <c r="I507" s="66">
        <f t="shared" si="382"/>
        <v>2.1008403361344541E-3</v>
      </c>
      <c r="J507" s="66">
        <f t="shared" si="382"/>
        <v>2.1008403361344541E-3</v>
      </c>
      <c r="K507" s="66">
        <f t="shared" si="382"/>
        <v>2.1008403361344541E-3</v>
      </c>
      <c r="L507" s="66">
        <f t="shared" si="382"/>
        <v>2.1008403361344541E-3</v>
      </c>
      <c r="M507" s="66">
        <f t="shared" si="382"/>
        <v>2.1008403361344541E-3</v>
      </c>
      <c r="N507" s="66">
        <f t="shared" si="382"/>
        <v>2.1008403361344541E-3</v>
      </c>
      <c r="O507" s="66">
        <f t="shared" si="382"/>
        <v>2.1008403361344541E-3</v>
      </c>
      <c r="P507" s="66">
        <f t="shared" si="382"/>
        <v>2.1008403361344541E-3</v>
      </c>
      <c r="Q507" s="66">
        <f t="shared" si="382"/>
        <v>2.1008403361344541E-3</v>
      </c>
      <c r="R507" s="66">
        <f t="shared" si="382"/>
        <v>2.1008403361344541E-3</v>
      </c>
      <c r="S507" s="66">
        <f t="shared" si="382"/>
        <v>2.1008403361344541E-3</v>
      </c>
      <c r="T507" s="66">
        <f t="shared" si="382"/>
        <v>2.1008403361344541E-3</v>
      </c>
      <c r="U507" s="66">
        <f t="shared" si="382"/>
        <v>2.1008403361344541E-3</v>
      </c>
      <c r="V507" s="66">
        <f t="shared" si="382"/>
        <v>2.1008403361344541E-3</v>
      </c>
      <c r="W507" s="66">
        <f t="shared" si="382"/>
        <v>2.1008403361344541E-3</v>
      </c>
      <c r="X507" s="66">
        <f t="shared" si="382"/>
        <v>2.1008403361344541E-3</v>
      </c>
      <c r="Y507" s="66">
        <f t="shared" si="382"/>
        <v>2.1008403361344541E-3</v>
      </c>
      <c r="Z507" s="66">
        <f t="shared" si="382"/>
        <v>2.1008403361344541E-3</v>
      </c>
      <c r="AA507" s="66">
        <f t="shared" si="382"/>
        <v>2.1008403361344541E-3</v>
      </c>
      <c r="AB507" s="66">
        <f t="shared" si="382"/>
        <v>2.1008403361344541E-3</v>
      </c>
      <c r="AC507" s="66">
        <f t="shared" si="382"/>
        <v>2.1008403361344541E-3</v>
      </c>
    </row>
    <row r="508" spans="1:29" x14ac:dyDescent="0.25">
      <c r="A508" s="30" t="str">
        <f t="shared" si="376"/>
        <v>Opex var (mode-fees, shunting)</v>
      </c>
      <c r="B508" s="66">
        <f>B466*B475/B475/(B472)</f>
        <v>1.4005602240896359E-3</v>
      </c>
      <c r="C508" s="66">
        <f t="shared" ref="C508:AC508" si="383">C466*C475/C475/(C472)</f>
        <v>1.4005602240896359E-3</v>
      </c>
      <c r="D508" s="66">
        <f t="shared" si="383"/>
        <v>1.4005602240896359E-3</v>
      </c>
      <c r="E508" s="66">
        <f t="shared" si="383"/>
        <v>1.4005602240896359E-3</v>
      </c>
      <c r="F508" s="66">
        <f t="shared" si="383"/>
        <v>1.4005602240896359E-3</v>
      </c>
      <c r="G508" s="66">
        <f t="shared" si="383"/>
        <v>1.4005602240896359E-3</v>
      </c>
      <c r="H508" s="66">
        <f t="shared" si="383"/>
        <v>1.4005602240896359E-3</v>
      </c>
      <c r="I508" s="66">
        <f t="shared" si="383"/>
        <v>1.4005602240896359E-3</v>
      </c>
      <c r="J508" s="66">
        <f t="shared" si="383"/>
        <v>1.4005602240896359E-3</v>
      </c>
      <c r="K508" s="66">
        <f t="shared" si="383"/>
        <v>1.4005602240896359E-3</v>
      </c>
      <c r="L508" s="66">
        <f t="shared" si="383"/>
        <v>1.4005602240896359E-3</v>
      </c>
      <c r="M508" s="66">
        <f t="shared" si="383"/>
        <v>1.4005602240896359E-3</v>
      </c>
      <c r="N508" s="66">
        <f t="shared" si="383"/>
        <v>1.4005602240896359E-3</v>
      </c>
      <c r="O508" s="66">
        <f t="shared" si="383"/>
        <v>1.4005602240896359E-3</v>
      </c>
      <c r="P508" s="66">
        <f t="shared" si="383"/>
        <v>1.4005602240896359E-3</v>
      </c>
      <c r="Q508" s="66">
        <f t="shared" si="383"/>
        <v>1.4005602240896359E-3</v>
      </c>
      <c r="R508" s="66">
        <f t="shared" si="383"/>
        <v>1.4005602240896359E-3</v>
      </c>
      <c r="S508" s="66">
        <f t="shared" si="383"/>
        <v>1.4005602240896359E-3</v>
      </c>
      <c r="T508" s="66">
        <f t="shared" si="383"/>
        <v>1.4005602240896359E-3</v>
      </c>
      <c r="U508" s="66">
        <f t="shared" si="383"/>
        <v>1.4005602240896359E-3</v>
      </c>
      <c r="V508" s="66">
        <f t="shared" si="383"/>
        <v>1.4005602240896359E-3</v>
      </c>
      <c r="W508" s="66">
        <f t="shared" si="383"/>
        <v>1.4005602240896359E-3</v>
      </c>
      <c r="X508" s="66">
        <f t="shared" si="383"/>
        <v>1.4005602240896359E-3</v>
      </c>
      <c r="Y508" s="66">
        <f t="shared" si="383"/>
        <v>1.4005602240896359E-3</v>
      </c>
      <c r="Z508" s="66">
        <f t="shared" si="383"/>
        <v>1.4005602240896359E-3</v>
      </c>
      <c r="AA508" s="66">
        <f t="shared" si="383"/>
        <v>1.4005602240896359E-3</v>
      </c>
      <c r="AB508" s="66">
        <f t="shared" si="383"/>
        <v>1.4005602240896359E-3</v>
      </c>
      <c r="AC508" s="66">
        <f t="shared" si="383"/>
        <v>1.4005602240896359E-3</v>
      </c>
    </row>
    <row r="509" spans="1:29" x14ac:dyDescent="0.25">
      <c r="A509" s="30" t="str">
        <f t="shared" si="376"/>
        <v>Fuel Cost</v>
      </c>
      <c r="B509" s="66">
        <f>B467*B468*B475/B475/(B472)</f>
        <v>2.7420571428571428E-3</v>
      </c>
      <c r="C509" s="66">
        <f t="shared" ref="C509:AC509" si="384">C467*C468*C475/C475/(C472)</f>
        <v>2.7420571428571428E-3</v>
      </c>
      <c r="D509" s="66">
        <f t="shared" si="384"/>
        <v>2.7420571428571428E-3</v>
      </c>
      <c r="E509" s="66">
        <f t="shared" si="384"/>
        <v>2.7420571428571428E-3</v>
      </c>
      <c r="F509" s="66">
        <f t="shared" si="384"/>
        <v>2.7420571428571428E-3</v>
      </c>
      <c r="G509" s="66">
        <f t="shared" si="384"/>
        <v>2.7420571428571428E-3</v>
      </c>
      <c r="H509" s="66">
        <f t="shared" si="384"/>
        <v>2.7420571428571428E-3</v>
      </c>
      <c r="I509" s="66">
        <f t="shared" si="384"/>
        <v>2.7420571428571428E-3</v>
      </c>
      <c r="J509" s="66">
        <f t="shared" si="384"/>
        <v>2.7420571428571428E-3</v>
      </c>
      <c r="K509" s="66">
        <f t="shared" si="384"/>
        <v>2.7420571428571428E-3</v>
      </c>
      <c r="L509" s="66">
        <f t="shared" si="384"/>
        <v>2.7420571428571428E-3</v>
      </c>
      <c r="M509" s="66">
        <f t="shared" si="384"/>
        <v>2.7420571428571428E-3</v>
      </c>
      <c r="N509" s="66">
        <f t="shared" si="384"/>
        <v>2.7420571428571428E-3</v>
      </c>
      <c r="O509" s="66">
        <f t="shared" si="384"/>
        <v>2.7420571428571428E-3</v>
      </c>
      <c r="P509" s="66">
        <f t="shared" si="384"/>
        <v>2.7420571428571428E-3</v>
      </c>
      <c r="Q509" s="66">
        <f t="shared" si="384"/>
        <v>2.7420571428571428E-3</v>
      </c>
      <c r="R509" s="66">
        <f t="shared" si="384"/>
        <v>2.7420571428571428E-3</v>
      </c>
      <c r="S509" s="66">
        <f t="shared" si="384"/>
        <v>2.7420571428571428E-3</v>
      </c>
      <c r="T509" s="66">
        <f t="shared" si="384"/>
        <v>2.7420571428571428E-3</v>
      </c>
      <c r="U509" s="66">
        <f t="shared" si="384"/>
        <v>2.7420571428571428E-3</v>
      </c>
      <c r="V509" s="66">
        <f t="shared" si="384"/>
        <v>2.7420571428571428E-3</v>
      </c>
      <c r="W509" s="66">
        <f t="shared" si="384"/>
        <v>2.7420571428571428E-3</v>
      </c>
      <c r="X509" s="66">
        <f t="shared" si="384"/>
        <v>2.7420571428571428E-3</v>
      </c>
      <c r="Y509" s="66">
        <f t="shared" si="384"/>
        <v>2.7420571428571428E-3</v>
      </c>
      <c r="Z509" s="66">
        <f t="shared" si="384"/>
        <v>2.7420571428571428E-3</v>
      </c>
      <c r="AA509" s="66">
        <f t="shared" si="384"/>
        <v>2.7420571428571428E-3</v>
      </c>
      <c r="AB509" s="66">
        <f t="shared" si="384"/>
        <v>2.7420571428571428E-3</v>
      </c>
      <c r="AC509" s="66">
        <f t="shared" si="384"/>
        <v>2.7420571428571428E-3</v>
      </c>
    </row>
    <row r="510" spans="1:29" x14ac:dyDescent="0.25">
      <c r="A510" s="59" t="str">
        <f>A473</f>
        <v>Market failure (av. utilization)</v>
      </c>
      <c r="B510" s="66">
        <f t="shared" ref="B510:AC510" si="385">B499/B473-B499/B472</f>
        <v>1.8009770163793265E-2</v>
      </c>
      <c r="C510" s="66">
        <f t="shared" si="385"/>
        <v>1.8013787138332286E-2</v>
      </c>
      <c r="D510" s="66">
        <f t="shared" si="385"/>
        <v>1.8019529608543645E-2</v>
      </c>
      <c r="E510" s="66">
        <f t="shared" si="385"/>
        <v>1.8027728383586641E-2</v>
      </c>
      <c r="F510" s="66">
        <f t="shared" si="385"/>
        <v>1.8039412510667978E-2</v>
      </c>
      <c r="G510" s="66">
        <f t="shared" si="385"/>
        <v>1.8056019132936856E-2</v>
      </c>
      <c r="H510" s="66">
        <f t="shared" si="385"/>
        <v>1.807953202703675E-2</v>
      </c>
      <c r="I510" s="66">
        <f t="shared" si="385"/>
        <v>1.8112645264554264E-2</v>
      </c>
      <c r="J510" s="66">
        <f t="shared" si="385"/>
        <v>1.815893711728242E-2</v>
      </c>
      <c r="K510" s="66">
        <f t="shared" si="385"/>
        <v>1.8223021153782697E-2</v>
      </c>
      <c r="L510" s="66">
        <f t="shared" si="385"/>
        <v>1.8310614698151942E-2</v>
      </c>
      <c r="M510" s="66">
        <f t="shared" si="385"/>
        <v>1.8428421547740662E-2</v>
      </c>
      <c r="N510" s="66">
        <f t="shared" si="385"/>
        <v>1.8583647007720236E-2</v>
      </c>
      <c r="O510" s="66">
        <f t="shared" si="385"/>
        <v>1.878285164065345E-2</v>
      </c>
      <c r="P510" s="66">
        <f t="shared" si="385"/>
        <v>1.9029838078734637E-2</v>
      </c>
      <c r="Q510" s="66">
        <f t="shared" si="385"/>
        <v>1.9322673215494877E-2</v>
      </c>
      <c r="R510" s="66">
        <f t="shared" si="385"/>
        <v>1.9650967017773059E-2</v>
      </c>
      <c r="S510" s="66">
        <f t="shared" si="385"/>
        <v>1.9995530737888081E-2</v>
      </c>
      <c r="T510" s="66">
        <f t="shared" si="385"/>
        <v>2.033202582802561E-2</v>
      </c>
      <c r="U510" s="66">
        <f t="shared" si="385"/>
        <v>2.0637589969221708E-2</v>
      </c>
      <c r="V510" s="66">
        <f t="shared" si="385"/>
        <v>2.0896864596196281E-2</v>
      </c>
      <c r="W510" s="66">
        <f t="shared" si="385"/>
        <v>2.1104284760810124E-2</v>
      </c>
      <c r="X510" s="66">
        <f t="shared" si="385"/>
        <v>2.1262450324876288E-2</v>
      </c>
      <c r="Y510" s="66">
        <f t="shared" si="385"/>
        <v>2.1378664096803147E-2</v>
      </c>
      <c r="Z510" s="66">
        <f t="shared" si="385"/>
        <v>2.1461731439671609E-2</v>
      </c>
      <c r="AA510" s="66">
        <f t="shared" si="385"/>
        <v>2.1519938329419667E-2</v>
      </c>
      <c r="AB510" s="66">
        <f t="shared" si="385"/>
        <v>2.156015779442547E-2</v>
      </c>
      <c r="AC510" s="66">
        <f t="shared" si="385"/>
        <v>2.1587679665398526E-2</v>
      </c>
    </row>
    <row r="511" spans="1:29" x14ac:dyDescent="0.25">
      <c r="A511" s="59" t="str">
        <f>A474</f>
        <v>Payload loss (fuel)</v>
      </c>
      <c r="B511" s="66">
        <f>B499/(B472-B474)-B499/B472</f>
        <v>0</v>
      </c>
      <c r="C511" s="66">
        <f t="shared" ref="C511:AC511" si="386">C499/(C472-C474)-C499/C472</f>
        <v>0</v>
      </c>
      <c r="D511" s="66">
        <f t="shared" si="386"/>
        <v>0</v>
      </c>
      <c r="E511" s="66">
        <f t="shared" si="386"/>
        <v>0</v>
      </c>
      <c r="F511" s="66">
        <f t="shared" si="386"/>
        <v>0</v>
      </c>
      <c r="G511" s="66">
        <f t="shared" si="386"/>
        <v>0</v>
      </c>
      <c r="H511" s="66">
        <f t="shared" si="386"/>
        <v>0</v>
      </c>
      <c r="I511" s="66">
        <f t="shared" si="386"/>
        <v>0</v>
      </c>
      <c r="J511" s="66">
        <f t="shared" si="386"/>
        <v>0</v>
      </c>
      <c r="K511" s="66">
        <f t="shared" si="386"/>
        <v>0</v>
      </c>
      <c r="L511" s="66">
        <f t="shared" si="386"/>
        <v>0</v>
      </c>
      <c r="M511" s="66">
        <f t="shared" si="386"/>
        <v>0</v>
      </c>
      <c r="N511" s="66">
        <f t="shared" si="386"/>
        <v>0</v>
      </c>
      <c r="O511" s="66">
        <f t="shared" si="386"/>
        <v>0</v>
      </c>
      <c r="P511" s="66">
        <f t="shared" si="386"/>
        <v>0</v>
      </c>
      <c r="Q511" s="66">
        <f t="shared" si="386"/>
        <v>0</v>
      </c>
      <c r="R511" s="66">
        <f t="shared" si="386"/>
        <v>0</v>
      </c>
      <c r="S511" s="66">
        <f t="shared" si="386"/>
        <v>0</v>
      </c>
      <c r="T511" s="66">
        <f t="shared" si="386"/>
        <v>0</v>
      </c>
      <c r="U511" s="66">
        <f t="shared" si="386"/>
        <v>0</v>
      </c>
      <c r="V511" s="66">
        <f t="shared" si="386"/>
        <v>0</v>
      </c>
      <c r="W511" s="66">
        <f t="shared" si="386"/>
        <v>0</v>
      </c>
      <c r="X511" s="66">
        <f t="shared" si="386"/>
        <v>0</v>
      </c>
      <c r="Y511" s="66">
        <f t="shared" si="386"/>
        <v>0</v>
      </c>
      <c r="Z511" s="66">
        <f t="shared" si="386"/>
        <v>0</v>
      </c>
      <c r="AA511" s="66">
        <f t="shared" si="386"/>
        <v>0</v>
      </c>
      <c r="AB511" s="66">
        <f t="shared" si="386"/>
        <v>0</v>
      </c>
      <c r="AC511" s="66">
        <f t="shared" si="386"/>
        <v>0</v>
      </c>
    </row>
    <row r="512" spans="1:29" ht="15.75" thickBot="1" x14ac:dyDescent="0.3">
      <c r="A512" s="59" t="str">
        <f>A449</f>
        <v>Emission Cost</v>
      </c>
      <c r="B512" s="69">
        <f>B469*B475/B475/(B472)</f>
        <v>7.3507548509990943E-4</v>
      </c>
      <c r="C512" s="69">
        <f t="shared" ref="C512:AC512" si="387">C469*C475/C475/(C472)</f>
        <v>7.3681203446317406E-4</v>
      </c>
      <c r="D512" s="69">
        <f t="shared" si="387"/>
        <v>7.3929786619816905E-4</v>
      </c>
      <c r="E512" s="69">
        <f t="shared" si="387"/>
        <v>7.4285402330658164E-4</v>
      </c>
      <c r="F512" s="69">
        <f t="shared" si="387"/>
        <v>7.4793655651952853E-4</v>
      </c>
      <c r="G512" s="69">
        <f t="shared" si="387"/>
        <v>7.551904297953795E-4</v>
      </c>
      <c r="H512" s="69">
        <f t="shared" si="387"/>
        <v>7.6552172491010017E-4</v>
      </c>
      <c r="I512" s="69">
        <f t="shared" si="387"/>
        <v>7.8019068296337492E-4</v>
      </c>
      <c r="J512" s="69">
        <f t="shared" si="387"/>
        <v>8.00923845574809E-4</v>
      </c>
      <c r="K512" s="69">
        <f t="shared" si="387"/>
        <v>8.3003283182402402E-4</v>
      </c>
      <c r="L512" s="69">
        <f t="shared" si="387"/>
        <v>8.7050488959965558E-4</v>
      </c>
      <c r="M512" s="69">
        <f t="shared" si="387"/>
        <v>9.2599056674735338E-4</v>
      </c>
      <c r="N512" s="69">
        <f t="shared" si="387"/>
        <v>1.0005573712290694E-3</v>
      </c>
      <c r="O512" s="69">
        <f t="shared" si="387"/>
        <v>1.0980305899338837E-3</v>
      </c>
      <c r="P512" s="69">
        <f t="shared" si="387"/>
        <v>1.2207816337802791E-3</v>
      </c>
      <c r="Q512" s="69">
        <f t="shared" si="387"/>
        <v>1.3680793628266881E-3</v>
      </c>
      <c r="R512" s="69">
        <f t="shared" si="387"/>
        <v>1.534639754128425E-3</v>
      </c>
      <c r="S512" s="69">
        <f t="shared" si="387"/>
        <v>1.7104768758455784E-3</v>
      </c>
      <c r="T512" s="69">
        <f t="shared" si="387"/>
        <v>1.8828538519014496E-3</v>
      </c>
      <c r="U512" s="69">
        <f t="shared" si="387"/>
        <v>2.0397721613359871E-3</v>
      </c>
      <c r="V512" s="69">
        <f t="shared" si="387"/>
        <v>2.1731303787583677E-3</v>
      </c>
      <c r="W512" s="69">
        <f t="shared" si="387"/>
        <v>2.2799264278101092E-3</v>
      </c>
      <c r="X512" s="69">
        <f t="shared" si="387"/>
        <v>2.3614165531834945E-3</v>
      </c>
      <c r="Y512" s="69">
        <f t="shared" si="387"/>
        <v>2.4213183308504352E-3</v>
      </c>
      <c r="Z512" s="69">
        <f t="shared" si="387"/>
        <v>2.4641472353033856E-3</v>
      </c>
      <c r="AA512" s="69">
        <f t="shared" si="387"/>
        <v>2.4941639723672629E-3</v>
      </c>
      <c r="AB512" s="69">
        <f t="shared" si="387"/>
        <v>2.5149073826512495E-3</v>
      </c>
      <c r="AC512" s="69">
        <f t="shared" si="387"/>
        <v>2.5291031319923645E-3</v>
      </c>
    </row>
    <row r="513" spans="1:29" ht="15.75" thickBot="1" x14ac:dyDescent="0.3">
      <c r="A513" s="31" t="s">
        <v>210</v>
      </c>
      <c r="B513" s="67">
        <f>B502+B503+B504+B505+B506+B507+B508+B509+B510+B511+B512</f>
        <v>2.7291893879419288E-2</v>
      </c>
      <c r="C513" s="67">
        <f t="shared" ref="C513:AC513" si="388">C502+C503+C504+C505+C506+C507+C508+C509+C510+C511+C512</f>
        <v>2.7297992524974477E-2</v>
      </c>
      <c r="D513" s="67">
        <f t="shared" si="388"/>
        <v>2.7306710850194149E-2</v>
      </c>
      <c r="E513" s="67">
        <f t="shared" si="388"/>
        <v>2.7319158383154164E-2</v>
      </c>
      <c r="F513" s="67">
        <f t="shared" si="388"/>
        <v>2.7336897442488184E-2</v>
      </c>
      <c r="G513" s="67">
        <f t="shared" si="388"/>
        <v>2.736210992568992E-2</v>
      </c>
      <c r="H513" s="67">
        <f t="shared" si="388"/>
        <v>2.7397807639404331E-2</v>
      </c>
      <c r="I513" s="67">
        <f t="shared" si="388"/>
        <v>2.7448080773287194E-2</v>
      </c>
      <c r="J513" s="67">
        <f t="shared" si="388"/>
        <v>2.7518361926214558E-2</v>
      </c>
      <c r="K513" s="67">
        <f t="shared" si="388"/>
        <v>2.7615655503897166E-2</v>
      </c>
      <c r="L513" s="67">
        <f t="shared" si="388"/>
        <v>2.7748641654255331E-2</v>
      </c>
      <c r="M513" s="67">
        <f t="shared" si="388"/>
        <v>2.7927498207274644E-2</v>
      </c>
      <c r="N513" s="67">
        <f t="shared" si="388"/>
        <v>2.8163164391454158E-2</v>
      </c>
      <c r="O513" s="67">
        <f t="shared" si="388"/>
        <v>2.8465600575057214E-2</v>
      </c>
      <c r="P513" s="67">
        <f t="shared" si="388"/>
        <v>2.8840579985099504E-2</v>
      </c>
      <c r="Q513" s="67">
        <f t="shared" si="388"/>
        <v>2.9285167743338732E-2</v>
      </c>
      <c r="R513" s="67">
        <f t="shared" si="388"/>
        <v>2.9783589507931117E-2</v>
      </c>
      <c r="S513" s="67">
        <f t="shared" si="388"/>
        <v>3.0306712564785905E-2</v>
      </c>
      <c r="T513" s="67">
        <f t="shared" si="388"/>
        <v>3.0817585677342885E-2</v>
      </c>
      <c r="U513" s="67">
        <f t="shared" si="388"/>
        <v>3.1281498847175015E-2</v>
      </c>
      <c r="V513" s="67">
        <f t="shared" si="388"/>
        <v>3.1675134414444105E-2</v>
      </c>
      <c r="W513" s="67">
        <f t="shared" si="388"/>
        <v>3.1990043571246497E-2</v>
      </c>
      <c r="X513" s="67">
        <f t="shared" si="388"/>
        <v>3.223017347620525E-2</v>
      </c>
      <c r="Y513" s="67">
        <f t="shared" si="388"/>
        <v>3.2406611389049676E-2</v>
      </c>
      <c r="Z513" s="67">
        <f t="shared" si="388"/>
        <v>3.2532725775995718E-2</v>
      </c>
      <c r="AA513" s="67">
        <f t="shared" si="388"/>
        <v>3.2621096560026173E-2</v>
      </c>
      <c r="AB513" s="67">
        <f t="shared" si="388"/>
        <v>3.2682158500824454E-2</v>
      </c>
      <c r="AC513" s="67">
        <f t="shared" si="388"/>
        <v>3.272394271788881E-2</v>
      </c>
    </row>
    <row r="515" spans="1:29" x14ac:dyDescent="0.25">
      <c r="B515" s="40"/>
    </row>
  </sheetData>
  <conditionalFormatting sqref="Q11:AR27">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33">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41">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50">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439:AR455">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5592F4-8B85-4C35-A61E-7ED29B09ED85}">
  <sheetPr>
    <tabColor rgb="FFC00000"/>
  </sheetPr>
  <dimension ref="A1:BA515"/>
  <sheetViews>
    <sheetView topLeftCell="A430" zoomScale="70" zoomScaleNormal="70" workbookViewId="0">
      <selection activeCell="A446" sqref="A446"/>
    </sheetView>
  </sheetViews>
  <sheetFormatPr defaultColWidth="9.140625" defaultRowHeight="15" x14ac:dyDescent="0.25"/>
  <cols>
    <col min="1" max="1" width="38.5703125" style="4" customWidth="1"/>
    <col min="2" max="4" width="14.85546875" style="4" bestFit="1" customWidth="1"/>
    <col min="5" max="5" width="28" style="4" bestFit="1" customWidth="1"/>
    <col min="6" max="11" width="14.85546875" style="4" bestFit="1" customWidth="1"/>
    <col min="12" max="12" width="24.42578125" style="4" bestFit="1" customWidth="1"/>
    <col min="13" max="29" width="14.85546875" style="4" bestFit="1" customWidth="1"/>
    <col min="30" max="44" width="13.5703125" style="4" bestFit="1" customWidth="1"/>
    <col min="45" max="45" width="9.140625" style="4"/>
    <col min="46" max="46" width="35.140625" style="4" bestFit="1" customWidth="1"/>
    <col min="47" max="48" width="11.42578125" style="4" bestFit="1" customWidth="1"/>
    <col min="49" max="49" width="8.5703125" style="4" bestFit="1" customWidth="1"/>
    <col min="50" max="50" width="21.42578125" style="4" bestFit="1" customWidth="1"/>
    <col min="51" max="52" width="4.42578125" style="4" bestFit="1" customWidth="1"/>
    <col min="53" max="53" width="7" style="4" bestFit="1" customWidth="1"/>
    <col min="54" max="54" width="9.140625" style="4"/>
    <col min="55" max="55" width="31.5703125" style="4" bestFit="1" customWidth="1"/>
    <col min="56" max="57" width="9.5703125" style="4" bestFit="1" customWidth="1"/>
    <col min="58" max="58" width="11.42578125" style="4" bestFit="1" customWidth="1"/>
    <col min="59" max="59" width="8" style="4" bestFit="1" customWidth="1"/>
    <col min="60" max="61" width="4.42578125" style="4" bestFit="1" customWidth="1"/>
    <col min="62" max="62" width="7" style="4" bestFit="1" customWidth="1"/>
    <col min="63" max="63" width="9.140625" style="4"/>
    <col min="64" max="64" width="31.5703125" style="4" bestFit="1" customWidth="1"/>
    <col min="65" max="66" width="9.5703125" style="4" bestFit="1" customWidth="1"/>
    <col min="67" max="67" width="8.5703125" style="4" bestFit="1" customWidth="1"/>
    <col min="68" max="68" width="3.42578125" style="4" bestFit="1" customWidth="1"/>
    <col min="69" max="70" width="4.42578125" style="4" bestFit="1" customWidth="1"/>
    <col min="71" max="16384" width="9.140625" style="4"/>
  </cols>
  <sheetData>
    <row r="1" spans="1:53" s="3" customFormat="1" ht="21" x14ac:dyDescent="0.35">
      <c r="A1" s="2" t="str">
        <f>'Parameter Input'!A90</f>
        <v>Railway long-haul: Dry bulk</v>
      </c>
    </row>
    <row r="2" spans="1:53" s="3" customFormat="1" ht="21" x14ac:dyDescent="0.35">
      <c r="A2" s="2" t="s">
        <v>136</v>
      </c>
    </row>
    <row r="3" spans="1:53" x14ac:dyDescent="0.25">
      <c r="A3" s="33" t="s">
        <v>195</v>
      </c>
    </row>
    <row r="4" spans="1:53" x14ac:dyDescent="0.25">
      <c r="A4" s="33" t="s">
        <v>196</v>
      </c>
    </row>
    <row r="5" spans="1:53" ht="15.75" thickBot="1" x14ac:dyDescent="0.3">
      <c r="A5" s="34" t="s">
        <v>197</v>
      </c>
      <c r="B5" s="34"/>
    </row>
    <row r="6" spans="1:53" ht="15.75" thickBot="1" x14ac:dyDescent="0.3">
      <c r="A6" s="39" t="s">
        <v>198</v>
      </c>
      <c r="B6" s="35"/>
    </row>
    <row r="7" spans="1:53" ht="15.75" thickBot="1" x14ac:dyDescent="0.3">
      <c r="A7" s="38" t="s">
        <v>199</v>
      </c>
      <c r="B7" s="36"/>
    </row>
    <row r="8" spans="1:53" ht="15.75" thickBot="1" x14ac:dyDescent="0.3"/>
    <row r="9" spans="1:53"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c r="AT9" s="82"/>
      <c r="AU9" s="83"/>
      <c r="AV9" s="83"/>
      <c r="AW9" s="83"/>
      <c r="AX9" s="83" t="str">
        <f>L9</f>
        <v>Input Sigmoid function</v>
      </c>
      <c r="AY9" s="83"/>
      <c r="AZ9" s="83"/>
      <c r="BA9" s="84" t="s">
        <v>3</v>
      </c>
    </row>
    <row r="10" spans="1:53"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c r="AT10" s="85"/>
      <c r="AU10" s="80">
        <f>B9</f>
        <v>2023</v>
      </c>
      <c r="AV10" s="80">
        <f>C9</f>
        <v>2050</v>
      </c>
      <c r="AW10" s="80" t="str">
        <f>D10</f>
        <v>Unit</v>
      </c>
      <c r="AX10" s="80" t="str">
        <f>L10</f>
        <v>midway</v>
      </c>
      <c r="AY10" s="80" t="str">
        <f t="shared" ref="AY10:AZ12" si="0">O10</f>
        <v>a</v>
      </c>
      <c r="AZ10" s="80" t="str">
        <f t="shared" si="0"/>
        <v>k</v>
      </c>
      <c r="BA10" s="86"/>
    </row>
    <row r="11" spans="1:53" x14ac:dyDescent="0.25">
      <c r="A11" s="24" t="s">
        <v>18</v>
      </c>
      <c r="B11" s="41">
        <f>'Parameter Input'!$L$103</f>
        <v>5000000</v>
      </c>
      <c r="C11" s="42">
        <f>'Parameter Input'!$M$103</f>
        <v>5000000</v>
      </c>
      <c r="D11" s="1" t="s">
        <v>15</v>
      </c>
      <c r="L11" s="51">
        <f>'Parameter Input'!$O$103</f>
        <v>12</v>
      </c>
      <c r="M11" s="52">
        <v>0</v>
      </c>
      <c r="N11" s="52">
        <v>1</v>
      </c>
      <c r="O11" s="52">
        <f>'Parameter Input'!$P$103</f>
        <v>0.9</v>
      </c>
      <c r="P11" s="53">
        <f>'Parameter Input'!$Q$103</f>
        <v>0.4</v>
      </c>
      <c r="Q11" s="4">
        <f t="shared" ref="Q11:AR20" si="1">$N11+($M11-$N11)*((1/(1+EXP(-$P11*(Q$9-$L11)))^$O11))</f>
        <v>0.9867978615748374</v>
      </c>
      <c r="R11" s="4">
        <f t="shared" si="1"/>
        <v>0.98114509762858249</v>
      </c>
      <c r="S11" s="4">
        <f t="shared" si="1"/>
        <v>0.97311898315872036</v>
      </c>
      <c r="T11" s="4">
        <f t="shared" si="1"/>
        <v>0.96177484161592774</v>
      </c>
      <c r="U11" s="4">
        <f t="shared" si="1"/>
        <v>0.94584787155511363</v>
      </c>
      <c r="V11" s="4">
        <f t="shared" si="1"/>
        <v>0.92370360150141495</v>
      </c>
      <c r="W11" s="4">
        <f t="shared" si="1"/>
        <v>0.89334463567658451</v>
      </c>
      <c r="X11" s="4">
        <f t="shared" si="1"/>
        <v>0.85254543874327005</v>
      </c>
      <c r="Y11" s="4">
        <f t="shared" si="1"/>
        <v>0.79921300652623883</v>
      </c>
      <c r="Z11" s="4">
        <f t="shared" si="1"/>
        <v>0.73204982249993378</v>
      </c>
      <c r="AA11" s="4">
        <f t="shared" si="1"/>
        <v>0.65145592958786691</v>
      </c>
      <c r="AB11" s="4">
        <f t="shared" si="1"/>
        <v>0.56032247880849573</v>
      </c>
      <c r="AC11" s="4">
        <f t="shared" si="1"/>
        <v>0.46411326873185343</v>
      </c>
      <c r="AD11" s="4">
        <f t="shared" si="1"/>
        <v>0.36979727595523937</v>
      </c>
      <c r="AE11" s="4">
        <f t="shared" si="1"/>
        <v>0.28393948637231203</v>
      </c>
      <c r="AF11" s="4">
        <f t="shared" si="1"/>
        <v>0.21097259161117732</v>
      </c>
      <c r="AG11" s="4">
        <f t="shared" si="1"/>
        <v>0.15253917653798199</v>
      </c>
      <c r="AH11" s="4">
        <f t="shared" si="1"/>
        <v>0.10795188737709993</v>
      </c>
      <c r="AI11" s="4">
        <f t="shared" si="1"/>
        <v>7.5176653938091809E-2</v>
      </c>
      <c r="AJ11" s="4">
        <f t="shared" si="1"/>
        <v>5.1742836177502194E-2</v>
      </c>
      <c r="AK11" s="4">
        <f t="shared" si="1"/>
        <v>3.5319190625345942E-2</v>
      </c>
      <c r="AL11" s="4">
        <f t="shared" si="1"/>
        <v>2.3969442072658165E-2</v>
      </c>
      <c r="AM11" s="4">
        <f t="shared" si="1"/>
        <v>1.6202243558389728E-2</v>
      </c>
      <c r="AN11" s="4">
        <f t="shared" si="1"/>
        <v>1.0922240564108399E-2</v>
      </c>
      <c r="AO11" s="4">
        <f t="shared" si="1"/>
        <v>7.3493212906090566E-3</v>
      </c>
      <c r="AP11" s="4">
        <f t="shared" si="1"/>
        <v>4.9390262185057265E-3</v>
      </c>
      <c r="AQ11" s="4">
        <f t="shared" si="1"/>
        <v>3.3164275492956197E-3</v>
      </c>
      <c r="AR11" s="4">
        <f t="shared" si="1"/>
        <v>2.2256362146679809E-3</v>
      </c>
      <c r="AT11" s="85" t="str">
        <f t="shared" ref="AT11:AV12" si="2">A11</f>
        <v>Capex vehicle</v>
      </c>
      <c r="AU11" s="81">
        <f t="shared" si="2"/>
        <v>5000000</v>
      </c>
      <c r="AV11" s="81">
        <f t="shared" si="2"/>
        <v>5000000</v>
      </c>
      <c r="AW11" s="81" t="str">
        <f>D11</f>
        <v>[€]</v>
      </c>
      <c r="AX11" s="80">
        <f>L11</f>
        <v>12</v>
      </c>
      <c r="AY11" s="80">
        <f t="shared" si="0"/>
        <v>0.9</v>
      </c>
      <c r="AZ11" s="80">
        <f t="shared" si="0"/>
        <v>0.4</v>
      </c>
      <c r="BA11" s="86"/>
    </row>
    <row r="12" spans="1:53" x14ac:dyDescent="0.25">
      <c r="A12" s="24" t="s">
        <v>28</v>
      </c>
      <c r="B12" s="60">
        <f>'Parameter Input'!$L$104</f>
        <v>-750000</v>
      </c>
      <c r="C12" s="61">
        <f>'Parameter Input'!$M$104</f>
        <v>-750000</v>
      </c>
      <c r="D12" s="1" t="s">
        <v>15</v>
      </c>
      <c r="L12" s="54">
        <f>'Parameter Input'!$O$104</f>
        <v>12</v>
      </c>
      <c r="M12" s="37">
        <v>0</v>
      </c>
      <c r="N12" s="37">
        <v>1</v>
      </c>
      <c r="O12" s="37">
        <f>'Parameter Input'!$P$104</f>
        <v>0.9</v>
      </c>
      <c r="P12" s="55">
        <f>'Parameter Input'!$Q$104</f>
        <v>0.4</v>
      </c>
      <c r="Q12" s="4">
        <f t="shared" si="1"/>
        <v>0.9867978615748374</v>
      </c>
      <c r="R12" s="4">
        <f t="shared" si="1"/>
        <v>0.98114509762858249</v>
      </c>
      <c r="S12" s="4">
        <f t="shared" si="1"/>
        <v>0.97311898315872036</v>
      </c>
      <c r="T12" s="4">
        <f t="shared" si="1"/>
        <v>0.96177484161592774</v>
      </c>
      <c r="U12" s="4">
        <f t="shared" si="1"/>
        <v>0.94584787155511363</v>
      </c>
      <c r="V12" s="4">
        <f t="shared" si="1"/>
        <v>0.92370360150141495</v>
      </c>
      <c r="W12" s="4">
        <f t="shared" si="1"/>
        <v>0.89334463567658451</v>
      </c>
      <c r="X12" s="4">
        <f t="shared" si="1"/>
        <v>0.85254543874327005</v>
      </c>
      <c r="Y12" s="4">
        <f t="shared" si="1"/>
        <v>0.79921300652623883</v>
      </c>
      <c r="Z12" s="4">
        <f t="shared" si="1"/>
        <v>0.73204982249993378</v>
      </c>
      <c r="AA12" s="4">
        <f t="shared" si="1"/>
        <v>0.65145592958786691</v>
      </c>
      <c r="AB12" s="4">
        <f t="shared" si="1"/>
        <v>0.56032247880849573</v>
      </c>
      <c r="AC12" s="4">
        <f t="shared" si="1"/>
        <v>0.46411326873185343</v>
      </c>
      <c r="AD12" s="4">
        <f t="shared" si="1"/>
        <v>0.36979727595523937</v>
      </c>
      <c r="AE12" s="4">
        <f t="shared" si="1"/>
        <v>0.28393948637231203</v>
      </c>
      <c r="AF12" s="4">
        <f t="shared" si="1"/>
        <v>0.21097259161117732</v>
      </c>
      <c r="AG12" s="4">
        <f t="shared" si="1"/>
        <v>0.15253917653798199</v>
      </c>
      <c r="AH12" s="4">
        <f t="shared" si="1"/>
        <v>0.10795188737709993</v>
      </c>
      <c r="AI12" s="4">
        <f t="shared" si="1"/>
        <v>7.5176653938091809E-2</v>
      </c>
      <c r="AJ12" s="4">
        <f t="shared" si="1"/>
        <v>5.1742836177502194E-2</v>
      </c>
      <c r="AK12" s="4">
        <f t="shared" si="1"/>
        <v>3.5319190625345942E-2</v>
      </c>
      <c r="AL12" s="4">
        <f t="shared" si="1"/>
        <v>2.3969442072658165E-2</v>
      </c>
      <c r="AM12" s="4">
        <f t="shared" si="1"/>
        <v>1.6202243558389728E-2</v>
      </c>
      <c r="AN12" s="4">
        <f t="shared" si="1"/>
        <v>1.0922240564108399E-2</v>
      </c>
      <c r="AO12" s="4">
        <f t="shared" si="1"/>
        <v>7.3493212906090566E-3</v>
      </c>
      <c r="AP12" s="4">
        <f t="shared" si="1"/>
        <v>4.9390262185057265E-3</v>
      </c>
      <c r="AQ12" s="4">
        <f t="shared" si="1"/>
        <v>3.3164275492956197E-3</v>
      </c>
      <c r="AR12" s="4">
        <f t="shared" si="1"/>
        <v>2.2256362146679809E-3</v>
      </c>
      <c r="AT12" s="85" t="str">
        <f t="shared" si="2"/>
        <v>Residual value (vehicle)</v>
      </c>
      <c r="AU12" s="81">
        <f t="shared" si="2"/>
        <v>-750000</v>
      </c>
      <c r="AV12" s="81">
        <f t="shared" si="2"/>
        <v>-750000</v>
      </c>
      <c r="AW12" s="81" t="str">
        <f>D12</f>
        <v>[€]</v>
      </c>
      <c r="AX12" s="80">
        <f>L12</f>
        <v>12</v>
      </c>
      <c r="AY12" s="80">
        <f t="shared" si="0"/>
        <v>0.9</v>
      </c>
      <c r="AZ12" s="80">
        <f t="shared" si="0"/>
        <v>0.4</v>
      </c>
      <c r="BA12" s="86"/>
    </row>
    <row r="13" spans="1:53" x14ac:dyDescent="0.25">
      <c r="A13" s="24" t="s">
        <v>14</v>
      </c>
      <c r="B13" s="43">
        <f>'Parameter Input'!B91</f>
        <v>4200000</v>
      </c>
      <c r="C13" s="44">
        <f>'Parameter Input'!C91</f>
        <v>4200000</v>
      </c>
      <c r="D13" s="1" t="s">
        <v>15</v>
      </c>
      <c r="L13" s="54">
        <f>'Parameter Input'!E91</f>
        <v>12</v>
      </c>
      <c r="M13" s="37">
        <v>0</v>
      </c>
      <c r="N13" s="37">
        <v>1</v>
      </c>
      <c r="O13" s="37">
        <f>'Parameter Input'!F91</f>
        <v>0.9</v>
      </c>
      <c r="P13" s="55">
        <f>'Parameter Input'!G91</f>
        <v>0.4</v>
      </c>
      <c r="Q13" s="4">
        <f t="shared" si="1"/>
        <v>0.9867978615748374</v>
      </c>
      <c r="R13" s="4">
        <f t="shared" si="1"/>
        <v>0.98114509762858249</v>
      </c>
      <c r="S13" s="4">
        <f t="shared" si="1"/>
        <v>0.97311898315872036</v>
      </c>
      <c r="T13" s="4">
        <f t="shared" si="1"/>
        <v>0.96177484161592774</v>
      </c>
      <c r="U13" s="4">
        <f t="shared" si="1"/>
        <v>0.94584787155511363</v>
      </c>
      <c r="V13" s="4">
        <f t="shared" si="1"/>
        <v>0.92370360150141495</v>
      </c>
      <c r="W13" s="4">
        <f t="shared" si="1"/>
        <v>0.89334463567658451</v>
      </c>
      <c r="X13" s="4">
        <f t="shared" si="1"/>
        <v>0.85254543874327005</v>
      </c>
      <c r="Y13" s="4">
        <f t="shared" si="1"/>
        <v>0.79921300652623883</v>
      </c>
      <c r="Z13" s="4">
        <f t="shared" si="1"/>
        <v>0.73204982249993378</v>
      </c>
      <c r="AA13" s="4">
        <f t="shared" si="1"/>
        <v>0.65145592958786691</v>
      </c>
      <c r="AB13" s="4">
        <f t="shared" si="1"/>
        <v>0.56032247880849573</v>
      </c>
      <c r="AC13" s="4">
        <f t="shared" si="1"/>
        <v>0.46411326873185343</v>
      </c>
      <c r="AD13" s="4">
        <f t="shared" si="1"/>
        <v>0.36979727595523937</v>
      </c>
      <c r="AE13" s="4">
        <f t="shared" si="1"/>
        <v>0.28393948637231203</v>
      </c>
      <c r="AF13" s="4">
        <f t="shared" si="1"/>
        <v>0.21097259161117732</v>
      </c>
      <c r="AG13" s="4">
        <f t="shared" si="1"/>
        <v>0.15253917653798199</v>
      </c>
      <c r="AH13" s="4">
        <f t="shared" si="1"/>
        <v>0.10795188737709993</v>
      </c>
      <c r="AI13" s="4">
        <f t="shared" si="1"/>
        <v>7.5176653938091809E-2</v>
      </c>
      <c r="AJ13" s="4">
        <f t="shared" si="1"/>
        <v>5.1742836177502194E-2</v>
      </c>
      <c r="AK13" s="4">
        <f t="shared" si="1"/>
        <v>3.5319190625345942E-2</v>
      </c>
      <c r="AL13" s="4">
        <f t="shared" si="1"/>
        <v>2.3969442072658165E-2</v>
      </c>
      <c r="AM13" s="4">
        <f t="shared" si="1"/>
        <v>1.6202243558389728E-2</v>
      </c>
      <c r="AN13" s="4">
        <f t="shared" si="1"/>
        <v>1.0922240564108399E-2</v>
      </c>
      <c r="AO13" s="4">
        <f t="shared" si="1"/>
        <v>7.3493212906090566E-3</v>
      </c>
      <c r="AP13" s="4">
        <f t="shared" si="1"/>
        <v>4.9390262185057265E-3</v>
      </c>
      <c r="AQ13" s="4">
        <f t="shared" si="1"/>
        <v>3.3164275492956197E-3</v>
      </c>
      <c r="AR13" s="4">
        <f t="shared" si="1"/>
        <v>2.2256362146679809E-3</v>
      </c>
      <c r="AT13" s="85" t="str">
        <f t="shared" ref="AT13:AW14" si="3">A15</f>
        <v>WACC</v>
      </c>
      <c r="AU13" s="81">
        <f t="shared" si="3"/>
        <v>0.06</v>
      </c>
      <c r="AV13" s="81">
        <f t="shared" si="3"/>
        <v>0.06</v>
      </c>
      <c r="AW13" s="81" t="str">
        <f t="shared" si="3"/>
        <v>[%]</v>
      </c>
      <c r="AX13" s="80">
        <f>L15</f>
        <v>12</v>
      </c>
      <c r="AY13" s="80">
        <f>O15</f>
        <v>0.9</v>
      </c>
      <c r="AZ13" s="80">
        <f>P15</f>
        <v>0.4</v>
      </c>
      <c r="BA13" s="86"/>
    </row>
    <row r="14" spans="1:53" x14ac:dyDescent="0.25">
      <c r="A14" s="24" t="s">
        <v>25</v>
      </c>
      <c r="B14" s="60">
        <f>'Parameter Input'!B92</f>
        <v>-210000</v>
      </c>
      <c r="C14" s="61">
        <f>'Parameter Input'!C92</f>
        <v>-210000</v>
      </c>
      <c r="D14" s="1" t="s">
        <v>15</v>
      </c>
      <c r="L14" s="54">
        <f>'Parameter Input'!E92</f>
        <v>12</v>
      </c>
      <c r="M14" s="37">
        <v>0</v>
      </c>
      <c r="N14" s="37">
        <v>1</v>
      </c>
      <c r="O14" s="37">
        <f>'Parameter Input'!F92</f>
        <v>0.9</v>
      </c>
      <c r="P14" s="55">
        <f>'Parameter Input'!G92</f>
        <v>0.4</v>
      </c>
      <c r="Q14" s="4">
        <f t="shared" si="1"/>
        <v>0.9867978615748374</v>
      </c>
      <c r="R14" s="4">
        <f t="shared" si="1"/>
        <v>0.98114509762858249</v>
      </c>
      <c r="S14" s="4">
        <f t="shared" si="1"/>
        <v>0.97311898315872036</v>
      </c>
      <c r="T14" s="4">
        <f t="shared" si="1"/>
        <v>0.96177484161592774</v>
      </c>
      <c r="U14" s="4">
        <f t="shared" si="1"/>
        <v>0.94584787155511363</v>
      </c>
      <c r="V14" s="4">
        <f t="shared" si="1"/>
        <v>0.92370360150141495</v>
      </c>
      <c r="W14" s="4">
        <f t="shared" si="1"/>
        <v>0.89334463567658451</v>
      </c>
      <c r="X14" s="4">
        <f t="shared" si="1"/>
        <v>0.85254543874327005</v>
      </c>
      <c r="Y14" s="4">
        <f t="shared" si="1"/>
        <v>0.79921300652623883</v>
      </c>
      <c r="Z14" s="4">
        <f t="shared" si="1"/>
        <v>0.73204982249993378</v>
      </c>
      <c r="AA14" s="4">
        <f t="shared" si="1"/>
        <v>0.65145592958786691</v>
      </c>
      <c r="AB14" s="4">
        <f t="shared" si="1"/>
        <v>0.56032247880849573</v>
      </c>
      <c r="AC14" s="4">
        <f t="shared" si="1"/>
        <v>0.46411326873185343</v>
      </c>
      <c r="AD14" s="4">
        <f t="shared" si="1"/>
        <v>0.36979727595523937</v>
      </c>
      <c r="AE14" s="4">
        <f t="shared" si="1"/>
        <v>0.28393948637231203</v>
      </c>
      <c r="AF14" s="4">
        <f t="shared" si="1"/>
        <v>0.21097259161117732</v>
      </c>
      <c r="AG14" s="4">
        <f t="shared" si="1"/>
        <v>0.15253917653798199</v>
      </c>
      <c r="AH14" s="4">
        <f t="shared" si="1"/>
        <v>0.10795188737709993</v>
      </c>
      <c r="AI14" s="4">
        <f t="shared" si="1"/>
        <v>7.5176653938091809E-2</v>
      </c>
      <c r="AJ14" s="4">
        <f t="shared" si="1"/>
        <v>5.1742836177502194E-2</v>
      </c>
      <c r="AK14" s="4">
        <f t="shared" si="1"/>
        <v>3.5319190625345942E-2</v>
      </c>
      <c r="AL14" s="4">
        <f t="shared" si="1"/>
        <v>2.3969442072658165E-2</v>
      </c>
      <c r="AM14" s="4">
        <f t="shared" si="1"/>
        <v>1.6202243558389728E-2</v>
      </c>
      <c r="AN14" s="4">
        <f t="shared" si="1"/>
        <v>1.0922240564108399E-2</v>
      </c>
      <c r="AO14" s="4">
        <f t="shared" si="1"/>
        <v>7.3493212906090566E-3</v>
      </c>
      <c r="AP14" s="4">
        <f t="shared" si="1"/>
        <v>4.9390262185057265E-3</v>
      </c>
      <c r="AQ14" s="4">
        <f t="shared" si="1"/>
        <v>3.3164275492956197E-3</v>
      </c>
      <c r="AR14" s="4">
        <f t="shared" si="1"/>
        <v>2.2256362146679809E-3</v>
      </c>
      <c r="AT14" s="85" t="str">
        <f t="shared" si="3"/>
        <v>Opex fix (admin, crew, insurance)</v>
      </c>
      <c r="AU14" s="81">
        <f t="shared" si="3"/>
        <v>650000</v>
      </c>
      <c r="AV14" s="81">
        <f t="shared" si="3"/>
        <v>650000</v>
      </c>
      <c r="AW14" s="81" t="str">
        <f t="shared" si="3"/>
        <v>[€/a]</v>
      </c>
      <c r="AX14" s="80">
        <f>L16</f>
        <v>12</v>
      </c>
      <c r="AY14" s="80">
        <f>O16</f>
        <v>0.9</v>
      </c>
      <c r="AZ14" s="80">
        <f>P16</f>
        <v>0.4</v>
      </c>
      <c r="BA14" s="86"/>
    </row>
    <row r="15" spans="1:53" x14ac:dyDescent="0.25">
      <c r="A15" s="24" t="s">
        <v>79</v>
      </c>
      <c r="B15" s="45">
        <f>'Parameter Input'!$L$110</f>
        <v>0.06</v>
      </c>
      <c r="C15" s="46">
        <f>'Parameter Input'!$M$110</f>
        <v>0.06</v>
      </c>
      <c r="D15" s="1" t="s">
        <v>57</v>
      </c>
      <c r="L15" s="54">
        <f>'Parameter Input'!$O$110</f>
        <v>12</v>
      </c>
      <c r="M15" s="37">
        <v>0</v>
      </c>
      <c r="N15" s="37">
        <v>1</v>
      </c>
      <c r="O15" s="37">
        <f>'Parameter Input'!$P$110</f>
        <v>0.9</v>
      </c>
      <c r="P15" s="55">
        <f>'Parameter Input'!$Q$110</f>
        <v>0.4</v>
      </c>
      <c r="Q15" s="4">
        <f t="shared" si="1"/>
        <v>0.9867978615748374</v>
      </c>
      <c r="R15" s="4">
        <f t="shared" si="1"/>
        <v>0.98114509762858249</v>
      </c>
      <c r="S15" s="4">
        <f t="shared" si="1"/>
        <v>0.97311898315872036</v>
      </c>
      <c r="T15" s="4">
        <f t="shared" si="1"/>
        <v>0.96177484161592774</v>
      </c>
      <c r="U15" s="4">
        <f t="shared" si="1"/>
        <v>0.94584787155511363</v>
      </c>
      <c r="V15" s="4">
        <f t="shared" si="1"/>
        <v>0.92370360150141495</v>
      </c>
      <c r="W15" s="4">
        <f t="shared" si="1"/>
        <v>0.89334463567658451</v>
      </c>
      <c r="X15" s="4">
        <f t="shared" si="1"/>
        <v>0.85254543874327005</v>
      </c>
      <c r="Y15" s="4">
        <f t="shared" si="1"/>
        <v>0.79921300652623883</v>
      </c>
      <c r="Z15" s="4">
        <f t="shared" si="1"/>
        <v>0.73204982249993378</v>
      </c>
      <c r="AA15" s="4">
        <f t="shared" si="1"/>
        <v>0.65145592958786691</v>
      </c>
      <c r="AB15" s="4">
        <f t="shared" si="1"/>
        <v>0.56032247880849573</v>
      </c>
      <c r="AC15" s="4">
        <f t="shared" si="1"/>
        <v>0.46411326873185343</v>
      </c>
      <c r="AD15" s="4">
        <f t="shared" si="1"/>
        <v>0.36979727595523937</v>
      </c>
      <c r="AE15" s="4">
        <f t="shared" si="1"/>
        <v>0.28393948637231203</v>
      </c>
      <c r="AF15" s="4">
        <f t="shared" si="1"/>
        <v>0.21097259161117732</v>
      </c>
      <c r="AG15" s="4">
        <f t="shared" si="1"/>
        <v>0.15253917653798199</v>
      </c>
      <c r="AH15" s="4">
        <f t="shared" si="1"/>
        <v>0.10795188737709993</v>
      </c>
      <c r="AI15" s="4">
        <f t="shared" si="1"/>
        <v>7.5176653938091809E-2</v>
      </c>
      <c r="AJ15" s="4">
        <f t="shared" si="1"/>
        <v>5.1742836177502194E-2</v>
      </c>
      <c r="AK15" s="4">
        <f t="shared" si="1"/>
        <v>3.5319190625345942E-2</v>
      </c>
      <c r="AL15" s="4">
        <f t="shared" si="1"/>
        <v>2.3969442072658165E-2</v>
      </c>
      <c r="AM15" s="4">
        <f t="shared" si="1"/>
        <v>1.6202243558389728E-2</v>
      </c>
      <c r="AN15" s="4">
        <f t="shared" si="1"/>
        <v>1.0922240564108399E-2</v>
      </c>
      <c r="AO15" s="4">
        <f t="shared" si="1"/>
        <v>7.3493212906090566E-3</v>
      </c>
      <c r="AP15" s="4">
        <f t="shared" si="1"/>
        <v>4.9390262185057265E-3</v>
      </c>
      <c r="AQ15" s="4">
        <f t="shared" si="1"/>
        <v>3.3164275492956197E-3</v>
      </c>
      <c r="AR15" s="4">
        <f t="shared" si="1"/>
        <v>2.2256362146679809E-3</v>
      </c>
      <c r="AT15" s="85" t="str">
        <f>A18</f>
        <v>Opex var (mode-fees, shunting)</v>
      </c>
      <c r="AU15" s="81">
        <f>B18</f>
        <v>3.9215686274509802</v>
      </c>
      <c r="AV15" s="81">
        <f>C18</f>
        <v>3.9215686274509802</v>
      </c>
      <c r="AW15" s="81" t="str">
        <f>D18</f>
        <v>[€/km]</v>
      </c>
      <c r="AX15" s="80">
        <f>L18</f>
        <v>12</v>
      </c>
      <c r="AY15" s="80">
        <f>O18</f>
        <v>0.9</v>
      </c>
      <c r="AZ15" s="80">
        <f>P18</f>
        <v>0.4</v>
      </c>
      <c r="BA15" s="86"/>
    </row>
    <row r="16" spans="1:53" x14ac:dyDescent="0.25">
      <c r="A16" s="24" t="s">
        <v>37</v>
      </c>
      <c r="B16" s="43">
        <f>'Parameter Input'!B93</f>
        <v>650000</v>
      </c>
      <c r="C16" s="44">
        <f>'Parameter Input'!C93</f>
        <v>650000</v>
      </c>
      <c r="D16" s="1" t="s">
        <v>38</v>
      </c>
      <c r="L16" s="54">
        <f>'Parameter Input'!E93</f>
        <v>12</v>
      </c>
      <c r="M16" s="37">
        <v>0</v>
      </c>
      <c r="N16" s="37">
        <v>1</v>
      </c>
      <c r="O16" s="37">
        <f>'Parameter Input'!F93</f>
        <v>0.9</v>
      </c>
      <c r="P16" s="55">
        <f>'Parameter Input'!G93</f>
        <v>0.4</v>
      </c>
      <c r="Q16" s="4">
        <f t="shared" si="1"/>
        <v>0.9867978615748374</v>
      </c>
      <c r="R16" s="4">
        <f t="shared" si="1"/>
        <v>0.98114509762858249</v>
      </c>
      <c r="S16" s="4">
        <f t="shared" si="1"/>
        <v>0.97311898315872036</v>
      </c>
      <c r="T16" s="4">
        <f t="shared" si="1"/>
        <v>0.96177484161592774</v>
      </c>
      <c r="U16" s="4">
        <f t="shared" si="1"/>
        <v>0.94584787155511363</v>
      </c>
      <c r="V16" s="4">
        <f t="shared" si="1"/>
        <v>0.92370360150141495</v>
      </c>
      <c r="W16" s="4">
        <f t="shared" si="1"/>
        <v>0.89334463567658451</v>
      </c>
      <c r="X16" s="4">
        <f t="shared" si="1"/>
        <v>0.85254543874327005</v>
      </c>
      <c r="Y16" s="4">
        <f t="shared" si="1"/>
        <v>0.79921300652623883</v>
      </c>
      <c r="Z16" s="4">
        <f t="shared" si="1"/>
        <v>0.73204982249993378</v>
      </c>
      <c r="AA16" s="4">
        <f t="shared" si="1"/>
        <v>0.65145592958786691</v>
      </c>
      <c r="AB16" s="4">
        <f t="shared" si="1"/>
        <v>0.56032247880849573</v>
      </c>
      <c r="AC16" s="4">
        <f t="shared" si="1"/>
        <v>0.46411326873185343</v>
      </c>
      <c r="AD16" s="4">
        <f t="shared" si="1"/>
        <v>0.36979727595523937</v>
      </c>
      <c r="AE16" s="4">
        <f t="shared" si="1"/>
        <v>0.28393948637231203</v>
      </c>
      <c r="AF16" s="4">
        <f t="shared" si="1"/>
        <v>0.21097259161117732</v>
      </c>
      <c r="AG16" s="4">
        <f t="shared" si="1"/>
        <v>0.15253917653798199</v>
      </c>
      <c r="AH16" s="4">
        <f t="shared" si="1"/>
        <v>0.10795188737709993</v>
      </c>
      <c r="AI16" s="4">
        <f t="shared" si="1"/>
        <v>7.5176653938091809E-2</v>
      </c>
      <c r="AJ16" s="4">
        <f t="shared" si="1"/>
        <v>5.1742836177502194E-2</v>
      </c>
      <c r="AK16" s="4">
        <f t="shared" si="1"/>
        <v>3.5319190625345942E-2</v>
      </c>
      <c r="AL16" s="4">
        <f t="shared" si="1"/>
        <v>2.3969442072658165E-2</v>
      </c>
      <c r="AM16" s="4">
        <f t="shared" si="1"/>
        <v>1.6202243558389728E-2</v>
      </c>
      <c r="AN16" s="4">
        <f t="shared" si="1"/>
        <v>1.0922240564108399E-2</v>
      </c>
      <c r="AO16" s="4">
        <f t="shared" si="1"/>
        <v>7.3493212906090566E-3</v>
      </c>
      <c r="AP16" s="4">
        <f t="shared" si="1"/>
        <v>4.9390262185057265E-3</v>
      </c>
      <c r="AQ16" s="4">
        <f t="shared" si="1"/>
        <v>3.3164275492956197E-3</v>
      </c>
      <c r="AR16" s="4">
        <f t="shared" si="1"/>
        <v>2.2256362146679809E-3</v>
      </c>
      <c r="AT16" s="85" t="str">
        <f t="shared" ref="AT16:AW17" si="4">A22</f>
        <v>Lifetime vehicle</v>
      </c>
      <c r="AU16" s="81">
        <f t="shared" si="4"/>
        <v>20</v>
      </c>
      <c r="AV16" s="81">
        <f t="shared" si="4"/>
        <v>20</v>
      </c>
      <c r="AW16" s="81" t="str">
        <f t="shared" si="4"/>
        <v>[a]</v>
      </c>
      <c r="AX16" s="80">
        <f>L22</f>
        <v>12</v>
      </c>
      <c r="AY16" s="80">
        <f>O22</f>
        <v>0.9</v>
      </c>
      <c r="AZ16" s="80">
        <f>P22</f>
        <v>0.4</v>
      </c>
      <c r="BA16" s="86"/>
    </row>
    <row r="17" spans="1:53" x14ac:dyDescent="0.25">
      <c r="A17" s="24" t="s">
        <v>52</v>
      </c>
      <c r="B17" s="43">
        <f>'Parameter Input'!$L$106</f>
        <v>650000</v>
      </c>
      <c r="C17" s="44">
        <f>'Parameter Input'!$M$106</f>
        <v>650000</v>
      </c>
      <c r="D17" s="1" t="s">
        <v>38</v>
      </c>
      <c r="L17" s="54">
        <f>'Parameter Input'!$O$106</f>
        <v>12</v>
      </c>
      <c r="M17" s="37">
        <v>0</v>
      </c>
      <c r="N17" s="37">
        <v>1</v>
      </c>
      <c r="O17" s="37">
        <f>'Parameter Input'!$P$106</f>
        <v>0.9</v>
      </c>
      <c r="P17" s="55">
        <f>'Parameter Input'!$Q$106</f>
        <v>0.4</v>
      </c>
      <c r="Q17" s="4">
        <f t="shared" si="1"/>
        <v>0.9867978615748374</v>
      </c>
      <c r="R17" s="4">
        <f t="shared" si="1"/>
        <v>0.98114509762858249</v>
      </c>
      <c r="S17" s="4">
        <f t="shared" si="1"/>
        <v>0.97311898315872036</v>
      </c>
      <c r="T17" s="4">
        <f t="shared" si="1"/>
        <v>0.96177484161592774</v>
      </c>
      <c r="U17" s="4">
        <f t="shared" si="1"/>
        <v>0.94584787155511363</v>
      </c>
      <c r="V17" s="4">
        <f t="shared" si="1"/>
        <v>0.92370360150141495</v>
      </c>
      <c r="W17" s="4">
        <f t="shared" si="1"/>
        <v>0.89334463567658451</v>
      </c>
      <c r="X17" s="4">
        <f t="shared" si="1"/>
        <v>0.85254543874327005</v>
      </c>
      <c r="Y17" s="4">
        <f t="shared" si="1"/>
        <v>0.79921300652623883</v>
      </c>
      <c r="Z17" s="4">
        <f t="shared" si="1"/>
        <v>0.73204982249993378</v>
      </c>
      <c r="AA17" s="4">
        <f t="shared" si="1"/>
        <v>0.65145592958786691</v>
      </c>
      <c r="AB17" s="4">
        <f t="shared" si="1"/>
        <v>0.56032247880849573</v>
      </c>
      <c r="AC17" s="4">
        <f t="shared" si="1"/>
        <v>0.46411326873185343</v>
      </c>
      <c r="AD17" s="4">
        <f t="shared" si="1"/>
        <v>0.36979727595523937</v>
      </c>
      <c r="AE17" s="4">
        <f t="shared" si="1"/>
        <v>0.28393948637231203</v>
      </c>
      <c r="AF17" s="4">
        <f t="shared" si="1"/>
        <v>0.21097259161117732</v>
      </c>
      <c r="AG17" s="4">
        <f t="shared" si="1"/>
        <v>0.15253917653798199</v>
      </c>
      <c r="AH17" s="4">
        <f t="shared" si="1"/>
        <v>0.10795188737709993</v>
      </c>
      <c r="AI17" s="4">
        <f t="shared" si="1"/>
        <v>7.5176653938091809E-2</v>
      </c>
      <c r="AJ17" s="4">
        <f t="shared" si="1"/>
        <v>5.1742836177502194E-2</v>
      </c>
      <c r="AK17" s="4">
        <f t="shared" si="1"/>
        <v>3.5319190625345942E-2</v>
      </c>
      <c r="AL17" s="4">
        <f t="shared" si="1"/>
        <v>2.3969442072658165E-2</v>
      </c>
      <c r="AM17" s="4">
        <f t="shared" si="1"/>
        <v>1.6202243558389728E-2</v>
      </c>
      <c r="AN17" s="4">
        <f t="shared" si="1"/>
        <v>1.0922240564108399E-2</v>
      </c>
      <c r="AO17" s="4">
        <f t="shared" si="1"/>
        <v>7.3493212906090566E-3</v>
      </c>
      <c r="AP17" s="4">
        <f t="shared" si="1"/>
        <v>4.9390262185057265E-3</v>
      </c>
      <c r="AQ17" s="4">
        <f t="shared" si="1"/>
        <v>3.3164275492956197E-3</v>
      </c>
      <c r="AR17" s="4">
        <f t="shared" si="1"/>
        <v>2.2256362146679809E-3</v>
      </c>
      <c r="AT17" s="85" t="str">
        <f t="shared" si="4"/>
        <v>Lifetime costumization</v>
      </c>
      <c r="AU17" s="81">
        <f t="shared" si="4"/>
        <v>30</v>
      </c>
      <c r="AV17" s="81">
        <f t="shared" si="4"/>
        <v>30</v>
      </c>
      <c r="AW17" s="81" t="str">
        <f t="shared" si="4"/>
        <v>[a]</v>
      </c>
      <c r="AX17" s="80">
        <f>L23</f>
        <v>12</v>
      </c>
      <c r="AY17" s="80">
        <f>O23</f>
        <v>0.9</v>
      </c>
      <c r="AZ17" s="80">
        <f>P23</f>
        <v>0.4</v>
      </c>
      <c r="BA17" s="86"/>
    </row>
    <row r="18" spans="1:53" ht="15.75" thickBot="1" x14ac:dyDescent="0.3">
      <c r="A18" s="24" t="s">
        <v>287</v>
      </c>
      <c r="B18" s="45">
        <f>'Parameter Input'!B98</f>
        <v>3.9215686274509802</v>
      </c>
      <c r="C18" s="46">
        <f>'Parameter Input'!C98</f>
        <v>3.9215686274509802</v>
      </c>
      <c r="D18" s="1" t="s">
        <v>76</v>
      </c>
      <c r="L18" s="54">
        <f>'Parameter Input'!E98</f>
        <v>12</v>
      </c>
      <c r="M18" s="37">
        <v>0</v>
      </c>
      <c r="N18" s="37">
        <v>1</v>
      </c>
      <c r="O18" s="37">
        <f>'Parameter Input'!F98</f>
        <v>0.9</v>
      </c>
      <c r="P18" s="55">
        <f>'Parameter Input'!G98</f>
        <v>0.4</v>
      </c>
      <c r="Q18" s="4">
        <f t="shared" si="1"/>
        <v>0.9867978615748374</v>
      </c>
      <c r="R18" s="4">
        <f t="shared" si="1"/>
        <v>0.98114509762858249</v>
      </c>
      <c r="S18" s="4">
        <f t="shared" si="1"/>
        <v>0.97311898315872036</v>
      </c>
      <c r="T18" s="4">
        <f t="shared" si="1"/>
        <v>0.96177484161592774</v>
      </c>
      <c r="U18" s="4">
        <f t="shared" si="1"/>
        <v>0.94584787155511363</v>
      </c>
      <c r="V18" s="4">
        <f t="shared" si="1"/>
        <v>0.92370360150141495</v>
      </c>
      <c r="W18" s="4">
        <f t="shared" si="1"/>
        <v>0.89334463567658451</v>
      </c>
      <c r="X18" s="4">
        <f t="shared" si="1"/>
        <v>0.85254543874327005</v>
      </c>
      <c r="Y18" s="4">
        <f t="shared" si="1"/>
        <v>0.79921300652623883</v>
      </c>
      <c r="Z18" s="4">
        <f t="shared" si="1"/>
        <v>0.73204982249993378</v>
      </c>
      <c r="AA18" s="4">
        <f t="shared" si="1"/>
        <v>0.65145592958786691</v>
      </c>
      <c r="AB18" s="4">
        <f t="shared" si="1"/>
        <v>0.56032247880849573</v>
      </c>
      <c r="AC18" s="4">
        <f t="shared" si="1"/>
        <v>0.46411326873185343</v>
      </c>
      <c r="AD18" s="4">
        <f t="shared" si="1"/>
        <v>0.36979727595523937</v>
      </c>
      <c r="AE18" s="4">
        <f t="shared" si="1"/>
        <v>0.28393948637231203</v>
      </c>
      <c r="AF18" s="4">
        <f t="shared" si="1"/>
        <v>0.21097259161117732</v>
      </c>
      <c r="AG18" s="4">
        <f t="shared" si="1"/>
        <v>0.15253917653798199</v>
      </c>
      <c r="AH18" s="4">
        <f t="shared" si="1"/>
        <v>0.10795188737709993</v>
      </c>
      <c r="AI18" s="4">
        <f t="shared" si="1"/>
        <v>7.5176653938091809E-2</v>
      </c>
      <c r="AJ18" s="4">
        <f t="shared" si="1"/>
        <v>5.1742836177502194E-2</v>
      </c>
      <c r="AK18" s="4">
        <f t="shared" si="1"/>
        <v>3.5319190625345942E-2</v>
      </c>
      <c r="AL18" s="4">
        <f t="shared" si="1"/>
        <v>2.3969442072658165E-2</v>
      </c>
      <c r="AM18" s="4">
        <f t="shared" si="1"/>
        <v>1.6202243558389728E-2</v>
      </c>
      <c r="AN18" s="4">
        <f t="shared" si="1"/>
        <v>1.0922240564108399E-2</v>
      </c>
      <c r="AO18" s="4">
        <f t="shared" si="1"/>
        <v>7.3493212906090566E-3</v>
      </c>
      <c r="AP18" s="4">
        <f t="shared" si="1"/>
        <v>4.9390262185057265E-3</v>
      </c>
      <c r="AQ18" s="4">
        <f t="shared" si="1"/>
        <v>3.3164275492956197E-3</v>
      </c>
      <c r="AR18" s="4">
        <f t="shared" si="1"/>
        <v>2.2256362146679809E-3</v>
      </c>
    </row>
    <row r="19" spans="1:53" x14ac:dyDescent="0.25">
      <c r="A19" s="24" t="s">
        <v>59</v>
      </c>
      <c r="B19" s="47">
        <f>'Parameter Input'!$L$107</f>
        <v>31.614305882352937</v>
      </c>
      <c r="C19" s="48">
        <f>'Parameter Input'!$M$107</f>
        <v>31.614305882352937</v>
      </c>
      <c r="D19" s="1" t="s">
        <v>60</v>
      </c>
      <c r="L19" s="54">
        <f>'Parameter Input'!$O$107</f>
        <v>12</v>
      </c>
      <c r="M19" s="37">
        <v>0</v>
      </c>
      <c r="N19" s="37">
        <v>1</v>
      </c>
      <c r="O19" s="37">
        <f>'Parameter Input'!$P$107</f>
        <v>0.9</v>
      </c>
      <c r="P19" s="55">
        <f>'Parameter Input'!$Q$107</f>
        <v>0.4</v>
      </c>
      <c r="Q19" s="4">
        <f t="shared" si="1"/>
        <v>0.9867978615748374</v>
      </c>
      <c r="R19" s="4">
        <f t="shared" si="1"/>
        <v>0.98114509762858249</v>
      </c>
      <c r="S19" s="4">
        <f t="shared" si="1"/>
        <v>0.97311898315872036</v>
      </c>
      <c r="T19" s="4">
        <f t="shared" si="1"/>
        <v>0.96177484161592774</v>
      </c>
      <c r="U19" s="4">
        <f t="shared" si="1"/>
        <v>0.94584787155511363</v>
      </c>
      <c r="V19" s="4">
        <f t="shared" si="1"/>
        <v>0.92370360150141495</v>
      </c>
      <c r="W19" s="4">
        <f t="shared" si="1"/>
        <v>0.89334463567658451</v>
      </c>
      <c r="X19" s="4">
        <f t="shared" si="1"/>
        <v>0.85254543874327005</v>
      </c>
      <c r="Y19" s="4">
        <f t="shared" si="1"/>
        <v>0.79921300652623883</v>
      </c>
      <c r="Z19" s="4">
        <f t="shared" si="1"/>
        <v>0.73204982249993378</v>
      </c>
      <c r="AA19" s="4">
        <f t="shared" si="1"/>
        <v>0.65145592958786691</v>
      </c>
      <c r="AB19" s="4">
        <f t="shared" si="1"/>
        <v>0.56032247880849573</v>
      </c>
      <c r="AC19" s="4">
        <f t="shared" si="1"/>
        <v>0.46411326873185343</v>
      </c>
      <c r="AD19" s="4">
        <f t="shared" si="1"/>
        <v>0.36979727595523937</v>
      </c>
      <c r="AE19" s="4">
        <f t="shared" si="1"/>
        <v>0.28393948637231203</v>
      </c>
      <c r="AF19" s="4">
        <f t="shared" si="1"/>
        <v>0.21097259161117732</v>
      </c>
      <c r="AG19" s="4">
        <f t="shared" si="1"/>
        <v>0.15253917653798199</v>
      </c>
      <c r="AH19" s="4">
        <f t="shared" si="1"/>
        <v>0.10795188737709993</v>
      </c>
      <c r="AI19" s="4">
        <f t="shared" si="1"/>
        <v>7.5176653938091809E-2</v>
      </c>
      <c r="AJ19" s="4">
        <f t="shared" si="1"/>
        <v>5.1742836177502194E-2</v>
      </c>
      <c r="AK19" s="4">
        <f t="shared" si="1"/>
        <v>3.5319190625345942E-2</v>
      </c>
      <c r="AL19" s="4">
        <f t="shared" si="1"/>
        <v>2.3969442072658165E-2</v>
      </c>
      <c r="AM19" s="4">
        <f t="shared" si="1"/>
        <v>1.6202243558389728E-2</v>
      </c>
      <c r="AN19" s="4">
        <f t="shared" si="1"/>
        <v>1.0922240564108399E-2</v>
      </c>
      <c r="AO19" s="4">
        <f t="shared" si="1"/>
        <v>7.3493212906090566E-3</v>
      </c>
      <c r="AP19" s="4">
        <f t="shared" si="1"/>
        <v>4.9390262185057265E-3</v>
      </c>
      <c r="AQ19" s="4">
        <f t="shared" si="1"/>
        <v>3.3164275492956197E-3</v>
      </c>
      <c r="AR19" s="4">
        <f t="shared" si="1"/>
        <v>2.2256362146679809E-3</v>
      </c>
      <c r="AT19" s="82" t="str">
        <f>A1</f>
        <v>Railway long-haul: Dry bulk</v>
      </c>
      <c r="AU19" s="83"/>
      <c r="AV19" s="83"/>
      <c r="AW19" s="83"/>
      <c r="AX19" s="83"/>
      <c r="AY19" s="83"/>
      <c r="AZ19" s="83"/>
      <c r="BA19" s="84"/>
    </row>
    <row r="20" spans="1:53" x14ac:dyDescent="0.25">
      <c r="A20" s="24" t="s">
        <v>67</v>
      </c>
      <c r="B20" s="45">
        <f>'Parameter Input'!$L$108</f>
        <v>0.13371034051801745</v>
      </c>
      <c r="C20" s="46">
        <f>'Parameter Input'!$M$108</f>
        <v>8.7585019329602734E-2</v>
      </c>
      <c r="D20" s="1" t="s">
        <v>68</v>
      </c>
      <c r="L20" s="54">
        <f>'Parameter Input'!$O$108</f>
        <v>12</v>
      </c>
      <c r="M20" s="37">
        <v>0</v>
      </c>
      <c r="N20" s="37">
        <v>1</v>
      </c>
      <c r="O20" s="37">
        <f>'Parameter Input'!$P$108</f>
        <v>0.9</v>
      </c>
      <c r="P20" s="55">
        <f>'Parameter Input'!$Q$108</f>
        <v>0.4</v>
      </c>
      <c r="Q20" s="4">
        <f t="shared" si="1"/>
        <v>0.9867978615748374</v>
      </c>
      <c r="R20" s="4">
        <f t="shared" si="1"/>
        <v>0.98114509762858249</v>
      </c>
      <c r="S20" s="4">
        <f t="shared" si="1"/>
        <v>0.97311898315872036</v>
      </c>
      <c r="T20" s="4">
        <f t="shared" ref="T20:AR27" si="5">$N20+($M20-$N20)*((1/(1+EXP(-$P20*(T$9-$L20)))^$O20))</f>
        <v>0.96177484161592774</v>
      </c>
      <c r="U20" s="4">
        <f t="shared" si="5"/>
        <v>0.94584787155511363</v>
      </c>
      <c r="V20" s="4">
        <f t="shared" si="5"/>
        <v>0.92370360150141495</v>
      </c>
      <c r="W20" s="4">
        <f t="shared" si="5"/>
        <v>0.89334463567658451</v>
      </c>
      <c r="X20" s="4">
        <f t="shared" si="5"/>
        <v>0.85254543874327005</v>
      </c>
      <c r="Y20" s="4">
        <f t="shared" si="5"/>
        <v>0.79921300652623883</v>
      </c>
      <c r="Z20" s="4">
        <f t="shared" si="5"/>
        <v>0.73204982249993378</v>
      </c>
      <c r="AA20" s="4">
        <f t="shared" si="5"/>
        <v>0.65145592958786691</v>
      </c>
      <c r="AB20" s="4">
        <f t="shared" si="5"/>
        <v>0.56032247880849573</v>
      </c>
      <c r="AC20" s="4">
        <f t="shared" si="5"/>
        <v>0.46411326873185343</v>
      </c>
      <c r="AD20" s="4">
        <f t="shared" si="5"/>
        <v>0.36979727595523937</v>
      </c>
      <c r="AE20" s="4">
        <f t="shared" si="5"/>
        <v>0.28393948637231203</v>
      </c>
      <c r="AF20" s="4">
        <f t="shared" si="5"/>
        <v>0.21097259161117732</v>
      </c>
      <c r="AG20" s="4">
        <f t="shared" si="5"/>
        <v>0.15253917653798199</v>
      </c>
      <c r="AH20" s="4">
        <f t="shared" si="5"/>
        <v>0.10795188737709993</v>
      </c>
      <c r="AI20" s="4">
        <f t="shared" si="5"/>
        <v>7.5176653938091809E-2</v>
      </c>
      <c r="AJ20" s="4">
        <f t="shared" si="5"/>
        <v>5.1742836177502194E-2</v>
      </c>
      <c r="AK20" s="4">
        <f t="shared" si="5"/>
        <v>3.5319190625345942E-2</v>
      </c>
      <c r="AL20" s="4">
        <f t="shared" si="5"/>
        <v>2.3969442072658165E-2</v>
      </c>
      <c r="AM20" s="4">
        <f t="shared" si="5"/>
        <v>1.6202243558389728E-2</v>
      </c>
      <c r="AN20" s="4">
        <f t="shared" si="5"/>
        <v>1.0922240564108399E-2</v>
      </c>
      <c r="AO20" s="4">
        <f t="shared" si="5"/>
        <v>7.3493212906090566E-3</v>
      </c>
      <c r="AP20" s="4">
        <f t="shared" si="5"/>
        <v>4.9390262185057265E-3</v>
      </c>
      <c r="AQ20" s="4">
        <f t="shared" si="5"/>
        <v>3.3164275492956197E-3</v>
      </c>
      <c r="AR20" s="4">
        <f t="shared" si="5"/>
        <v>2.2256362146679809E-3</v>
      </c>
      <c r="AT20" s="85" t="str">
        <f>A2</f>
        <v>Catenary</v>
      </c>
      <c r="AU20" s="80"/>
      <c r="AV20" s="80"/>
      <c r="AW20" s="80"/>
      <c r="AX20" s="80"/>
      <c r="AY20" s="80"/>
      <c r="AZ20" s="80"/>
      <c r="BA20" s="86"/>
    </row>
    <row r="21" spans="1:53" x14ac:dyDescent="0.25">
      <c r="A21" s="24" t="s">
        <v>206</v>
      </c>
      <c r="B21" s="115">
        <f>'Parameter Input'!$L$111</f>
        <v>7.321207678018575E-2</v>
      </c>
      <c r="C21" s="116">
        <f>'Parameter Input'!$M$111</f>
        <v>0</v>
      </c>
      <c r="D21" s="1" t="s">
        <v>76</v>
      </c>
      <c r="L21" s="54">
        <f>'Parameter Input'!$O$111</f>
        <v>17</v>
      </c>
      <c r="M21" s="37">
        <v>0</v>
      </c>
      <c r="N21" s="37">
        <v>1</v>
      </c>
      <c r="O21" s="37">
        <f>'Parameter Input'!$P$111</f>
        <v>0.9</v>
      </c>
      <c r="P21" s="55">
        <f>'Parameter Input'!$Q$111</f>
        <v>0.4</v>
      </c>
      <c r="Q21" s="4">
        <f t="shared" ref="Q21:AR21" si="6">$N21+($M21-$N21)*((1/(1+EXP(-$P21*(Q$9-$L21)))^$O21))</f>
        <v>0.99780374543478534</v>
      </c>
      <c r="R21" s="4">
        <f t="shared" si="6"/>
        <v>0.99685359315256394</v>
      </c>
      <c r="S21" s="4">
        <f t="shared" si="6"/>
        <v>0.99549347132349975</v>
      </c>
      <c r="T21" s="4">
        <f t="shared" si="6"/>
        <v>0.99354772139898062</v>
      </c>
      <c r="U21" s="4">
        <f t="shared" si="6"/>
        <v>0.99076681540580536</v>
      </c>
      <c r="V21" s="4">
        <f t="shared" si="6"/>
        <v>0.9867978615748374</v>
      </c>
      <c r="W21" s="4">
        <f t="shared" si="6"/>
        <v>0.98114509762858249</v>
      </c>
      <c r="X21" s="4">
        <f t="shared" si="6"/>
        <v>0.97311898315872036</v>
      </c>
      <c r="Y21" s="4">
        <f t="shared" si="6"/>
        <v>0.96177484161592774</v>
      </c>
      <c r="Z21" s="4">
        <f t="shared" si="6"/>
        <v>0.94584787155511363</v>
      </c>
      <c r="AA21" s="4">
        <f t="shared" si="6"/>
        <v>0.92370360150141495</v>
      </c>
      <c r="AB21" s="4">
        <f t="shared" si="6"/>
        <v>0.89334463567658451</v>
      </c>
      <c r="AC21" s="4">
        <f t="shared" si="6"/>
        <v>0.85254543874327005</v>
      </c>
      <c r="AD21" s="4">
        <f t="shared" si="6"/>
        <v>0.79921300652623883</v>
      </c>
      <c r="AE21" s="4">
        <f t="shared" si="6"/>
        <v>0.73204982249993378</v>
      </c>
      <c r="AF21" s="4">
        <f t="shared" si="6"/>
        <v>0.65145592958786691</v>
      </c>
      <c r="AG21" s="4">
        <f t="shared" si="6"/>
        <v>0.56032247880849573</v>
      </c>
      <c r="AH21" s="4">
        <f t="shared" si="6"/>
        <v>0.46411326873185343</v>
      </c>
      <c r="AI21" s="4">
        <f t="shared" si="6"/>
        <v>0.36979727595523937</v>
      </c>
      <c r="AJ21" s="4">
        <f t="shared" si="6"/>
        <v>0.28393948637231203</v>
      </c>
      <c r="AK21" s="4">
        <f t="shared" si="6"/>
        <v>0.21097259161117732</v>
      </c>
      <c r="AL21" s="4">
        <f t="shared" si="6"/>
        <v>0.15253917653798199</v>
      </c>
      <c r="AM21" s="4">
        <f t="shared" si="6"/>
        <v>0.10795188737709993</v>
      </c>
      <c r="AN21" s="4">
        <f t="shared" si="6"/>
        <v>7.5176653938091809E-2</v>
      </c>
      <c r="AO21" s="4">
        <f t="shared" si="6"/>
        <v>5.1742836177502194E-2</v>
      </c>
      <c r="AP21" s="4">
        <f t="shared" si="6"/>
        <v>3.5319190625345942E-2</v>
      </c>
      <c r="AQ21" s="4">
        <f t="shared" si="6"/>
        <v>2.3969442072658165E-2</v>
      </c>
      <c r="AR21" s="4">
        <f t="shared" si="6"/>
        <v>1.6202243558389728E-2</v>
      </c>
    </row>
    <row r="22" spans="1:53" x14ac:dyDescent="0.25">
      <c r="A22" s="24" t="s">
        <v>41</v>
      </c>
      <c r="B22" s="43">
        <f>'Parameter Input'!$L$105</f>
        <v>20</v>
      </c>
      <c r="C22" s="44">
        <f>'Parameter Input'!$M$105</f>
        <v>20</v>
      </c>
      <c r="D22" s="1" t="s">
        <v>42</v>
      </c>
      <c r="L22" s="54">
        <f>'Parameter Input'!$O$105</f>
        <v>12</v>
      </c>
      <c r="M22" s="37">
        <v>0</v>
      </c>
      <c r="N22" s="37">
        <v>1</v>
      </c>
      <c r="O22" s="37">
        <f>'Parameter Input'!$P$105</f>
        <v>0.9</v>
      </c>
      <c r="P22" s="55">
        <f>'Parameter Input'!$Q$105</f>
        <v>0.4</v>
      </c>
      <c r="Q22" s="4">
        <f t="shared" ref="Q22:AF27" si="7">$N22+($M22-$N22)*((1/(1+EXP(-$P22*(Q$9-$L22)))^$O22))</f>
        <v>0.9867978615748374</v>
      </c>
      <c r="R22" s="4">
        <f t="shared" si="7"/>
        <v>0.98114509762858249</v>
      </c>
      <c r="S22" s="4">
        <f t="shared" si="7"/>
        <v>0.97311898315872036</v>
      </c>
      <c r="T22" s="4">
        <f t="shared" si="7"/>
        <v>0.96177484161592774</v>
      </c>
      <c r="U22" s="4">
        <f t="shared" si="7"/>
        <v>0.94584787155511363</v>
      </c>
      <c r="V22" s="4">
        <f t="shared" si="7"/>
        <v>0.92370360150141495</v>
      </c>
      <c r="W22" s="4">
        <f t="shared" si="7"/>
        <v>0.89334463567658451</v>
      </c>
      <c r="X22" s="4">
        <f t="shared" si="7"/>
        <v>0.85254543874327005</v>
      </c>
      <c r="Y22" s="4">
        <f t="shared" si="7"/>
        <v>0.79921300652623883</v>
      </c>
      <c r="Z22" s="4">
        <f t="shared" si="7"/>
        <v>0.73204982249993378</v>
      </c>
      <c r="AA22" s="4">
        <f t="shared" si="7"/>
        <v>0.65145592958786691</v>
      </c>
      <c r="AB22" s="4">
        <f t="shared" si="7"/>
        <v>0.56032247880849573</v>
      </c>
      <c r="AC22" s="4">
        <f t="shared" si="7"/>
        <v>0.46411326873185343</v>
      </c>
      <c r="AD22" s="4">
        <f t="shared" si="7"/>
        <v>0.36979727595523937</v>
      </c>
      <c r="AE22" s="4">
        <f t="shared" si="7"/>
        <v>0.28393948637231203</v>
      </c>
      <c r="AF22" s="4">
        <f t="shared" si="7"/>
        <v>0.21097259161117732</v>
      </c>
      <c r="AG22" s="4">
        <f t="shared" si="5"/>
        <v>0.15253917653798199</v>
      </c>
      <c r="AH22" s="4">
        <f t="shared" si="5"/>
        <v>0.10795188737709993</v>
      </c>
      <c r="AI22" s="4">
        <f t="shared" si="5"/>
        <v>7.5176653938091809E-2</v>
      </c>
      <c r="AJ22" s="4">
        <f t="shared" si="5"/>
        <v>5.1742836177502194E-2</v>
      </c>
      <c r="AK22" s="4">
        <f t="shared" si="5"/>
        <v>3.5319190625345942E-2</v>
      </c>
      <c r="AL22" s="4">
        <f t="shared" si="5"/>
        <v>2.3969442072658165E-2</v>
      </c>
      <c r="AM22" s="4">
        <f t="shared" si="5"/>
        <v>1.6202243558389728E-2</v>
      </c>
      <c r="AN22" s="4">
        <f t="shared" si="5"/>
        <v>1.0922240564108399E-2</v>
      </c>
      <c r="AO22" s="4">
        <f t="shared" si="5"/>
        <v>7.3493212906090566E-3</v>
      </c>
      <c r="AP22" s="4">
        <f t="shared" si="5"/>
        <v>4.9390262185057265E-3</v>
      </c>
      <c r="AQ22" s="4">
        <f t="shared" si="5"/>
        <v>3.3164275492956197E-3</v>
      </c>
      <c r="AR22" s="4">
        <f t="shared" si="5"/>
        <v>2.2256362146679809E-3</v>
      </c>
      <c r="AT22" s="85" t="str">
        <f t="shared" ref="AT22:AW23" si="8">A13</f>
        <v>Capex costumization</v>
      </c>
      <c r="AU22" s="81">
        <f t="shared" si="8"/>
        <v>4200000</v>
      </c>
      <c r="AV22" s="81">
        <f t="shared" si="8"/>
        <v>4200000</v>
      </c>
      <c r="AW22" s="81" t="str">
        <f t="shared" si="8"/>
        <v>[€]</v>
      </c>
      <c r="AX22" s="80">
        <f>L13</f>
        <v>12</v>
      </c>
      <c r="AY22" s="80">
        <f>O13</f>
        <v>0.9</v>
      </c>
      <c r="AZ22" s="80">
        <f>P13</f>
        <v>0.4</v>
      </c>
      <c r="BA22" s="86"/>
    </row>
    <row r="23" spans="1:53" x14ac:dyDescent="0.25">
      <c r="A23" s="24" t="s">
        <v>70</v>
      </c>
      <c r="B23" s="43">
        <f>'Parameter Input'!B97</f>
        <v>30</v>
      </c>
      <c r="C23" s="44">
        <f>'Parameter Input'!C97</f>
        <v>30</v>
      </c>
      <c r="D23" s="1" t="s">
        <v>42</v>
      </c>
      <c r="L23" s="54">
        <f>'Parameter Input'!E97</f>
        <v>12</v>
      </c>
      <c r="M23" s="37">
        <v>0</v>
      </c>
      <c r="N23" s="37">
        <v>1</v>
      </c>
      <c r="O23" s="37">
        <f>'Parameter Input'!F97</f>
        <v>0.9</v>
      </c>
      <c r="P23" s="55">
        <f>'Parameter Input'!G97</f>
        <v>0.4</v>
      </c>
      <c r="Q23" s="4">
        <f t="shared" si="7"/>
        <v>0.9867978615748374</v>
      </c>
      <c r="R23" s="4">
        <f t="shared" si="7"/>
        <v>0.98114509762858249</v>
      </c>
      <c r="S23" s="4">
        <f t="shared" si="7"/>
        <v>0.97311898315872036</v>
      </c>
      <c r="T23" s="4">
        <f t="shared" si="7"/>
        <v>0.96177484161592774</v>
      </c>
      <c r="U23" s="4">
        <f t="shared" si="7"/>
        <v>0.94584787155511363</v>
      </c>
      <c r="V23" s="4">
        <f t="shared" si="7"/>
        <v>0.92370360150141495</v>
      </c>
      <c r="W23" s="4">
        <f t="shared" si="7"/>
        <v>0.89334463567658451</v>
      </c>
      <c r="X23" s="4">
        <f t="shared" si="7"/>
        <v>0.85254543874327005</v>
      </c>
      <c r="Y23" s="4">
        <f t="shared" si="7"/>
        <v>0.79921300652623883</v>
      </c>
      <c r="Z23" s="4">
        <f t="shared" si="7"/>
        <v>0.73204982249993378</v>
      </c>
      <c r="AA23" s="4">
        <f t="shared" si="7"/>
        <v>0.65145592958786691</v>
      </c>
      <c r="AB23" s="4">
        <f t="shared" si="7"/>
        <v>0.56032247880849573</v>
      </c>
      <c r="AC23" s="4">
        <f t="shared" si="7"/>
        <v>0.46411326873185343</v>
      </c>
      <c r="AD23" s="4">
        <f t="shared" si="7"/>
        <v>0.36979727595523937</v>
      </c>
      <c r="AE23" s="4">
        <f t="shared" si="7"/>
        <v>0.28393948637231203</v>
      </c>
      <c r="AF23" s="4">
        <f t="shared" si="7"/>
        <v>0.21097259161117732</v>
      </c>
      <c r="AG23" s="4">
        <f t="shared" si="5"/>
        <v>0.15253917653798199</v>
      </c>
      <c r="AH23" s="4">
        <f t="shared" si="5"/>
        <v>0.10795188737709993</v>
      </c>
      <c r="AI23" s="4">
        <f t="shared" si="5"/>
        <v>7.5176653938091809E-2</v>
      </c>
      <c r="AJ23" s="4">
        <f t="shared" si="5"/>
        <v>5.1742836177502194E-2</v>
      </c>
      <c r="AK23" s="4">
        <f t="shared" si="5"/>
        <v>3.5319190625345942E-2</v>
      </c>
      <c r="AL23" s="4">
        <f t="shared" si="5"/>
        <v>2.3969442072658165E-2</v>
      </c>
      <c r="AM23" s="4">
        <f t="shared" si="5"/>
        <v>1.6202243558389728E-2</v>
      </c>
      <c r="AN23" s="4">
        <f t="shared" si="5"/>
        <v>1.0922240564108399E-2</v>
      </c>
      <c r="AO23" s="4">
        <f t="shared" si="5"/>
        <v>7.3493212906090566E-3</v>
      </c>
      <c r="AP23" s="4">
        <f t="shared" si="5"/>
        <v>4.9390262185057265E-3</v>
      </c>
      <c r="AQ23" s="4">
        <f t="shared" si="5"/>
        <v>3.3164275492956197E-3</v>
      </c>
      <c r="AR23" s="4">
        <f t="shared" si="5"/>
        <v>2.2256362146679809E-3</v>
      </c>
      <c r="AT23" s="85" t="str">
        <f t="shared" si="8"/>
        <v>Residual value (costumization)</v>
      </c>
      <c r="AU23" s="81">
        <f t="shared" si="8"/>
        <v>-210000</v>
      </c>
      <c r="AV23" s="81">
        <f t="shared" si="8"/>
        <v>-210000</v>
      </c>
      <c r="AW23" s="81" t="str">
        <f t="shared" si="8"/>
        <v>[€]</v>
      </c>
      <c r="AX23" s="80">
        <f>L14</f>
        <v>12</v>
      </c>
      <c r="AY23" s="80">
        <f>O14</f>
        <v>0.9</v>
      </c>
      <c r="AZ23" s="80">
        <f>P14</f>
        <v>0.4</v>
      </c>
      <c r="BA23" s="86"/>
    </row>
    <row r="24" spans="1:53" x14ac:dyDescent="0.25">
      <c r="A24" s="24" t="s">
        <v>48</v>
      </c>
      <c r="B24" s="70">
        <f>'Parameter Input'!B94</f>
        <v>2240</v>
      </c>
      <c r="C24" s="71">
        <f>'Parameter Input'!C94</f>
        <v>2240</v>
      </c>
      <c r="D24" s="1" t="s">
        <v>49</v>
      </c>
      <c r="L24" s="54">
        <f>'Parameter Input'!E94</f>
        <v>12</v>
      </c>
      <c r="M24" s="37">
        <v>0</v>
      </c>
      <c r="N24" s="37">
        <v>1</v>
      </c>
      <c r="O24" s="37">
        <f>'Parameter Input'!F94</f>
        <v>0.9</v>
      </c>
      <c r="P24" s="55">
        <f>'Parameter Input'!G94</f>
        <v>0.4</v>
      </c>
      <c r="Q24" s="4">
        <f t="shared" si="7"/>
        <v>0.9867978615748374</v>
      </c>
      <c r="R24" s="4">
        <f t="shared" si="7"/>
        <v>0.98114509762858249</v>
      </c>
      <c r="S24" s="4">
        <f t="shared" si="7"/>
        <v>0.97311898315872036</v>
      </c>
      <c r="T24" s="4">
        <f t="shared" si="7"/>
        <v>0.96177484161592774</v>
      </c>
      <c r="U24" s="4">
        <f t="shared" si="7"/>
        <v>0.94584787155511363</v>
      </c>
      <c r="V24" s="4">
        <f t="shared" si="7"/>
        <v>0.92370360150141495</v>
      </c>
      <c r="W24" s="4">
        <f t="shared" si="7"/>
        <v>0.89334463567658451</v>
      </c>
      <c r="X24" s="4">
        <f t="shared" si="7"/>
        <v>0.85254543874327005</v>
      </c>
      <c r="Y24" s="4">
        <f t="shared" si="7"/>
        <v>0.79921300652623883</v>
      </c>
      <c r="Z24" s="4">
        <f t="shared" si="7"/>
        <v>0.73204982249993378</v>
      </c>
      <c r="AA24" s="4">
        <f t="shared" si="7"/>
        <v>0.65145592958786691</v>
      </c>
      <c r="AB24" s="4">
        <f t="shared" si="7"/>
        <v>0.56032247880849573</v>
      </c>
      <c r="AC24" s="4">
        <f t="shared" si="7"/>
        <v>0.46411326873185343</v>
      </c>
      <c r="AD24" s="4">
        <f t="shared" si="7"/>
        <v>0.36979727595523937</v>
      </c>
      <c r="AE24" s="4">
        <f t="shared" si="7"/>
        <v>0.28393948637231203</v>
      </c>
      <c r="AF24" s="4">
        <f t="shared" si="7"/>
        <v>0.21097259161117732</v>
      </c>
      <c r="AG24" s="4">
        <f t="shared" si="5"/>
        <v>0.15253917653798199</v>
      </c>
      <c r="AH24" s="4">
        <f t="shared" si="5"/>
        <v>0.10795188737709993</v>
      </c>
      <c r="AI24" s="4">
        <f t="shared" si="5"/>
        <v>7.5176653938091809E-2</v>
      </c>
      <c r="AJ24" s="4">
        <f t="shared" si="5"/>
        <v>5.1742836177502194E-2</v>
      </c>
      <c r="AK24" s="4">
        <f t="shared" si="5"/>
        <v>3.5319190625345942E-2</v>
      </c>
      <c r="AL24" s="4">
        <f t="shared" si="5"/>
        <v>2.3969442072658165E-2</v>
      </c>
      <c r="AM24" s="4">
        <f t="shared" si="5"/>
        <v>1.6202243558389728E-2</v>
      </c>
      <c r="AN24" s="4">
        <f t="shared" si="5"/>
        <v>1.0922240564108399E-2</v>
      </c>
      <c r="AO24" s="4">
        <f t="shared" si="5"/>
        <v>7.3493212906090566E-3</v>
      </c>
      <c r="AP24" s="4">
        <f t="shared" si="5"/>
        <v>4.9390262185057265E-3</v>
      </c>
      <c r="AQ24" s="4">
        <f t="shared" si="5"/>
        <v>3.3164275492956197E-3</v>
      </c>
      <c r="AR24" s="4">
        <f t="shared" si="5"/>
        <v>2.2256362146679809E-3</v>
      </c>
      <c r="AT24" s="85" t="str">
        <f t="shared" ref="AT24:AW27" si="9">A24</f>
        <v xml:space="preserve">Tonnage </v>
      </c>
      <c r="AU24" s="81">
        <f t="shared" si="9"/>
        <v>2240</v>
      </c>
      <c r="AV24" s="81">
        <f t="shared" si="9"/>
        <v>2240</v>
      </c>
      <c r="AW24" s="81" t="str">
        <f t="shared" si="9"/>
        <v>[t]</v>
      </c>
      <c r="AX24" s="80">
        <f>L24</f>
        <v>12</v>
      </c>
      <c r="AY24" s="80">
        <f t="shared" ref="AY24:AZ27" si="10">O24</f>
        <v>0.9</v>
      </c>
      <c r="AZ24" s="80">
        <f t="shared" si="10"/>
        <v>0.4</v>
      </c>
      <c r="BA24" s="86"/>
    </row>
    <row r="25" spans="1:53" x14ac:dyDescent="0.25">
      <c r="A25" s="24" t="s">
        <v>56</v>
      </c>
      <c r="B25" s="72">
        <f>'Parameter Input'!B95</f>
        <v>0.64</v>
      </c>
      <c r="C25" s="73">
        <f>'Parameter Input'!C95</f>
        <v>0.64</v>
      </c>
      <c r="D25" s="1" t="s">
        <v>57</v>
      </c>
      <c r="L25" s="54">
        <f>'Parameter Input'!E95</f>
        <v>12</v>
      </c>
      <c r="M25" s="37">
        <v>0</v>
      </c>
      <c r="N25" s="37">
        <v>1</v>
      </c>
      <c r="O25" s="37">
        <f>'Parameter Input'!F95</f>
        <v>0.9</v>
      </c>
      <c r="P25" s="55">
        <f>'Parameter Input'!G95</f>
        <v>0.4</v>
      </c>
      <c r="Q25" s="4">
        <f t="shared" si="7"/>
        <v>0.9867978615748374</v>
      </c>
      <c r="R25" s="4">
        <f t="shared" si="7"/>
        <v>0.98114509762858249</v>
      </c>
      <c r="S25" s="4">
        <f t="shared" si="7"/>
        <v>0.97311898315872036</v>
      </c>
      <c r="T25" s="4">
        <f t="shared" si="7"/>
        <v>0.96177484161592774</v>
      </c>
      <c r="U25" s="4">
        <f t="shared" si="7"/>
        <v>0.94584787155511363</v>
      </c>
      <c r="V25" s="4">
        <f t="shared" si="7"/>
        <v>0.92370360150141495</v>
      </c>
      <c r="W25" s="4">
        <f t="shared" si="7"/>
        <v>0.89334463567658451</v>
      </c>
      <c r="X25" s="4">
        <f t="shared" si="7"/>
        <v>0.85254543874327005</v>
      </c>
      <c r="Y25" s="4">
        <f t="shared" si="7"/>
        <v>0.79921300652623883</v>
      </c>
      <c r="Z25" s="4">
        <f t="shared" si="7"/>
        <v>0.73204982249993378</v>
      </c>
      <c r="AA25" s="4">
        <f t="shared" si="7"/>
        <v>0.65145592958786691</v>
      </c>
      <c r="AB25" s="4">
        <f t="shared" si="7"/>
        <v>0.56032247880849573</v>
      </c>
      <c r="AC25" s="4">
        <f t="shared" si="7"/>
        <v>0.46411326873185343</v>
      </c>
      <c r="AD25" s="4">
        <f t="shared" si="7"/>
        <v>0.36979727595523937</v>
      </c>
      <c r="AE25" s="4">
        <f t="shared" si="7"/>
        <v>0.28393948637231203</v>
      </c>
      <c r="AF25" s="4">
        <f t="shared" si="7"/>
        <v>0.21097259161117732</v>
      </c>
      <c r="AG25" s="4">
        <f t="shared" si="5"/>
        <v>0.15253917653798199</v>
      </c>
      <c r="AH25" s="4">
        <f t="shared" si="5"/>
        <v>0.10795188737709993</v>
      </c>
      <c r="AI25" s="4">
        <f t="shared" si="5"/>
        <v>7.5176653938091809E-2</v>
      </c>
      <c r="AJ25" s="4">
        <f t="shared" si="5"/>
        <v>5.1742836177502194E-2</v>
      </c>
      <c r="AK25" s="4">
        <f t="shared" si="5"/>
        <v>3.5319190625345942E-2</v>
      </c>
      <c r="AL25" s="4">
        <f t="shared" si="5"/>
        <v>2.3969442072658165E-2</v>
      </c>
      <c r="AM25" s="4">
        <f t="shared" si="5"/>
        <v>1.6202243558389728E-2</v>
      </c>
      <c r="AN25" s="4">
        <f t="shared" si="5"/>
        <v>1.0922240564108399E-2</v>
      </c>
      <c r="AO25" s="4">
        <f t="shared" si="5"/>
        <v>7.3493212906090566E-3</v>
      </c>
      <c r="AP25" s="4">
        <f t="shared" si="5"/>
        <v>4.9390262185057265E-3</v>
      </c>
      <c r="AQ25" s="4">
        <f t="shared" si="5"/>
        <v>3.3164275492956197E-3</v>
      </c>
      <c r="AR25" s="4">
        <f t="shared" si="5"/>
        <v>2.2256362146679809E-3</v>
      </c>
      <c r="AT25" s="85" t="str">
        <f t="shared" si="9"/>
        <v>Market failure (av. utilization)</v>
      </c>
      <c r="AU25" s="81">
        <f t="shared" si="9"/>
        <v>0.64</v>
      </c>
      <c r="AV25" s="81">
        <f t="shared" si="9"/>
        <v>0.64</v>
      </c>
      <c r="AW25" s="81" t="str">
        <f t="shared" si="9"/>
        <v>[%]</v>
      </c>
      <c r="AX25" s="80">
        <f>L25</f>
        <v>12</v>
      </c>
      <c r="AY25" s="80">
        <f t="shared" si="10"/>
        <v>0.9</v>
      </c>
      <c r="AZ25" s="80">
        <f t="shared" si="10"/>
        <v>0.4</v>
      </c>
      <c r="BA25" s="86"/>
    </row>
    <row r="26" spans="1:53" x14ac:dyDescent="0.25">
      <c r="A26" s="24" t="s">
        <v>73</v>
      </c>
      <c r="B26" s="72">
        <f>'Parameter Input'!$L$109</f>
        <v>0</v>
      </c>
      <c r="C26" s="73">
        <f>'Parameter Input'!$M$109</f>
        <v>0</v>
      </c>
      <c r="D26" s="1" t="s">
        <v>57</v>
      </c>
      <c r="L26" s="54">
        <f>'Parameter Input'!$O$109</f>
        <v>12</v>
      </c>
      <c r="M26" s="37">
        <v>0</v>
      </c>
      <c r="N26" s="37">
        <v>1</v>
      </c>
      <c r="O26" s="37">
        <f>'Parameter Input'!$P$109</f>
        <v>0.9</v>
      </c>
      <c r="P26" s="55">
        <f>'Parameter Input'!$Q$109</f>
        <v>0.4</v>
      </c>
      <c r="Q26" s="4">
        <f t="shared" si="7"/>
        <v>0.9867978615748374</v>
      </c>
      <c r="R26" s="4">
        <f t="shared" si="7"/>
        <v>0.98114509762858249</v>
      </c>
      <c r="S26" s="4">
        <f t="shared" si="7"/>
        <v>0.97311898315872036</v>
      </c>
      <c r="T26" s="4">
        <f t="shared" si="7"/>
        <v>0.96177484161592774</v>
      </c>
      <c r="U26" s="4">
        <f t="shared" si="7"/>
        <v>0.94584787155511363</v>
      </c>
      <c r="V26" s="4">
        <f t="shared" si="7"/>
        <v>0.92370360150141495</v>
      </c>
      <c r="W26" s="4">
        <f t="shared" si="7"/>
        <v>0.89334463567658451</v>
      </c>
      <c r="X26" s="4">
        <f t="shared" si="7"/>
        <v>0.85254543874327005</v>
      </c>
      <c r="Y26" s="4">
        <f t="shared" si="7"/>
        <v>0.79921300652623883</v>
      </c>
      <c r="Z26" s="4">
        <f t="shared" si="7"/>
        <v>0.73204982249993378</v>
      </c>
      <c r="AA26" s="4">
        <f t="shared" si="7"/>
        <v>0.65145592958786691</v>
      </c>
      <c r="AB26" s="4">
        <f t="shared" si="7"/>
        <v>0.56032247880849573</v>
      </c>
      <c r="AC26" s="4">
        <f t="shared" si="7"/>
        <v>0.46411326873185343</v>
      </c>
      <c r="AD26" s="4">
        <f t="shared" si="7"/>
        <v>0.36979727595523937</v>
      </c>
      <c r="AE26" s="4">
        <f t="shared" si="7"/>
        <v>0.28393948637231203</v>
      </c>
      <c r="AF26" s="4">
        <f t="shared" si="7"/>
        <v>0.21097259161117732</v>
      </c>
      <c r="AG26" s="4">
        <f t="shared" si="5"/>
        <v>0.15253917653798199</v>
      </c>
      <c r="AH26" s="4">
        <f t="shared" si="5"/>
        <v>0.10795188737709993</v>
      </c>
      <c r="AI26" s="4">
        <f t="shared" si="5"/>
        <v>7.5176653938091809E-2</v>
      </c>
      <c r="AJ26" s="4">
        <f t="shared" si="5"/>
        <v>5.1742836177502194E-2</v>
      </c>
      <c r="AK26" s="4">
        <f t="shared" si="5"/>
        <v>3.5319190625345942E-2</v>
      </c>
      <c r="AL26" s="4">
        <f t="shared" si="5"/>
        <v>2.3969442072658165E-2</v>
      </c>
      <c r="AM26" s="4">
        <f t="shared" si="5"/>
        <v>1.6202243558389728E-2</v>
      </c>
      <c r="AN26" s="4">
        <f t="shared" si="5"/>
        <v>1.0922240564108399E-2</v>
      </c>
      <c r="AO26" s="4">
        <f t="shared" si="5"/>
        <v>7.3493212906090566E-3</v>
      </c>
      <c r="AP26" s="4">
        <f t="shared" si="5"/>
        <v>4.9390262185057265E-3</v>
      </c>
      <c r="AQ26" s="4">
        <f t="shared" si="5"/>
        <v>3.3164275492956197E-3</v>
      </c>
      <c r="AR26" s="4">
        <f t="shared" si="5"/>
        <v>2.2256362146679809E-3</v>
      </c>
      <c r="AT26" s="85" t="str">
        <f t="shared" si="9"/>
        <v>Payload loss (fuel)</v>
      </c>
      <c r="AU26" s="81">
        <f t="shared" si="9"/>
        <v>0</v>
      </c>
      <c r="AV26" s="81">
        <f t="shared" si="9"/>
        <v>0</v>
      </c>
      <c r="AW26" s="81" t="str">
        <f t="shared" si="9"/>
        <v>[%]</v>
      </c>
      <c r="AX26" s="80">
        <f>L26</f>
        <v>12</v>
      </c>
      <c r="AY26" s="80">
        <f t="shared" si="10"/>
        <v>0.9</v>
      </c>
      <c r="AZ26" s="80">
        <f t="shared" si="10"/>
        <v>0.4</v>
      </c>
      <c r="BA26" s="86"/>
    </row>
    <row r="27" spans="1:53" ht="15.75" thickBot="1" x14ac:dyDescent="0.3">
      <c r="A27" s="24" t="s">
        <v>64</v>
      </c>
      <c r="B27" s="74">
        <f>'Parameter Input'!B96</f>
        <v>178500</v>
      </c>
      <c r="C27" s="75">
        <f>'Parameter Input'!C96</f>
        <v>178500</v>
      </c>
      <c r="D27" s="1" t="s">
        <v>65</v>
      </c>
      <c r="L27" s="56">
        <f>'Parameter Input'!E96</f>
        <v>12</v>
      </c>
      <c r="M27" s="57">
        <v>0</v>
      </c>
      <c r="N27" s="57">
        <v>1</v>
      </c>
      <c r="O27" s="57">
        <f>'Parameter Input'!F96</f>
        <v>0.9</v>
      </c>
      <c r="P27" s="58">
        <f>'Parameter Input'!G96</f>
        <v>0.4</v>
      </c>
      <c r="Q27" s="4">
        <f t="shared" si="7"/>
        <v>0.9867978615748374</v>
      </c>
      <c r="R27" s="4">
        <f t="shared" si="7"/>
        <v>0.98114509762858249</v>
      </c>
      <c r="S27" s="4">
        <f t="shared" si="7"/>
        <v>0.97311898315872036</v>
      </c>
      <c r="T27" s="4">
        <f t="shared" si="7"/>
        <v>0.96177484161592774</v>
      </c>
      <c r="U27" s="4">
        <f t="shared" si="7"/>
        <v>0.94584787155511363</v>
      </c>
      <c r="V27" s="4">
        <f t="shared" si="7"/>
        <v>0.92370360150141495</v>
      </c>
      <c r="W27" s="4">
        <f t="shared" si="7"/>
        <v>0.89334463567658451</v>
      </c>
      <c r="X27" s="4">
        <f t="shared" si="7"/>
        <v>0.85254543874327005</v>
      </c>
      <c r="Y27" s="4">
        <f t="shared" si="7"/>
        <v>0.79921300652623883</v>
      </c>
      <c r="Z27" s="4">
        <f t="shared" si="7"/>
        <v>0.73204982249993378</v>
      </c>
      <c r="AA27" s="4">
        <f t="shared" si="7"/>
        <v>0.65145592958786691</v>
      </c>
      <c r="AB27" s="4">
        <f t="shared" si="7"/>
        <v>0.56032247880849573</v>
      </c>
      <c r="AC27" s="4">
        <f t="shared" si="7"/>
        <v>0.46411326873185343</v>
      </c>
      <c r="AD27" s="4">
        <f t="shared" si="7"/>
        <v>0.36979727595523937</v>
      </c>
      <c r="AE27" s="4">
        <f t="shared" si="7"/>
        <v>0.28393948637231203</v>
      </c>
      <c r="AF27" s="4">
        <f t="shared" si="7"/>
        <v>0.21097259161117732</v>
      </c>
      <c r="AG27" s="4">
        <f t="shared" si="5"/>
        <v>0.15253917653798199</v>
      </c>
      <c r="AH27" s="4">
        <f t="shared" si="5"/>
        <v>0.10795188737709993</v>
      </c>
      <c r="AI27" s="4">
        <f t="shared" si="5"/>
        <v>7.5176653938091809E-2</v>
      </c>
      <c r="AJ27" s="4">
        <f t="shared" si="5"/>
        <v>5.1742836177502194E-2</v>
      </c>
      <c r="AK27" s="4">
        <f t="shared" si="5"/>
        <v>3.5319190625345942E-2</v>
      </c>
      <c r="AL27" s="4">
        <f t="shared" si="5"/>
        <v>2.3969442072658165E-2</v>
      </c>
      <c r="AM27" s="4">
        <f t="shared" si="5"/>
        <v>1.6202243558389728E-2</v>
      </c>
      <c r="AN27" s="4">
        <f t="shared" si="5"/>
        <v>1.0922240564108399E-2</v>
      </c>
      <c r="AO27" s="4">
        <f t="shared" si="5"/>
        <v>7.3493212906090566E-3</v>
      </c>
      <c r="AP27" s="4">
        <f t="shared" si="5"/>
        <v>4.9390262185057265E-3</v>
      </c>
      <c r="AQ27" s="4">
        <f t="shared" si="5"/>
        <v>3.3164275492956197E-3</v>
      </c>
      <c r="AR27" s="4">
        <f t="shared" si="5"/>
        <v>2.2256362146679809E-3</v>
      </c>
      <c r="AT27" s="87" t="str">
        <f t="shared" si="9"/>
        <v>Annual Mileage</v>
      </c>
      <c r="AU27" s="88">
        <f t="shared" si="9"/>
        <v>178500</v>
      </c>
      <c r="AV27" s="88">
        <f t="shared" si="9"/>
        <v>178500</v>
      </c>
      <c r="AW27" s="88" t="str">
        <f t="shared" si="9"/>
        <v>[km/a]</v>
      </c>
      <c r="AX27" s="89">
        <f>L27</f>
        <v>12</v>
      </c>
      <c r="AY27" s="89">
        <f t="shared" si="10"/>
        <v>0.9</v>
      </c>
      <c r="AZ27" s="89">
        <f t="shared" si="10"/>
        <v>0.4</v>
      </c>
      <c r="BA27" s="90"/>
    </row>
    <row r="28" spans="1:53" ht="15.75" thickBot="1" x14ac:dyDescent="0.3">
      <c r="A28" s="25"/>
      <c r="B28" s="40"/>
    </row>
    <row r="29" spans="1:53" ht="15.75" thickBot="1" x14ac:dyDescent="0.3">
      <c r="AT29" s="82" t="str">
        <f>A1</f>
        <v>Railway long-haul: Dry bulk</v>
      </c>
      <c r="AU29" s="83"/>
      <c r="AV29" s="83"/>
      <c r="AW29" s="83"/>
      <c r="AX29" s="83">
        <f>U9</f>
        <v>4</v>
      </c>
      <c r="AY29" s="83"/>
      <c r="AZ29" s="83"/>
      <c r="BA29" s="84" t="s">
        <v>3</v>
      </c>
    </row>
    <row r="30" spans="1:53"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c r="AT30" s="85" t="str">
        <f>A2</f>
        <v>Catenary</v>
      </c>
      <c r="AU30" s="80">
        <f>B9</f>
        <v>2023</v>
      </c>
      <c r="AV30" s="80">
        <f>C9</f>
        <v>2050</v>
      </c>
      <c r="AW30" s="80" t="str">
        <f>D10</f>
        <v>Unit</v>
      </c>
      <c r="AX30" s="80" t="str">
        <f>L10</f>
        <v>midway</v>
      </c>
      <c r="AY30" s="80" t="str">
        <f>O10</f>
        <v>a</v>
      </c>
      <c r="AZ30" s="80" t="str">
        <f>P10</f>
        <v>k</v>
      </c>
      <c r="BA30" s="86"/>
    </row>
    <row r="31" spans="1:53" x14ac:dyDescent="0.25">
      <c r="A31" s="29" t="str">
        <f t="shared" ref="A31:A40" si="11">A11</f>
        <v>Capex vehicle</v>
      </c>
      <c r="B31" s="62">
        <f t="shared" ref="B31:B39" si="12">$B11+($C11-$B11)*(1-Q11)</f>
        <v>5000000</v>
      </c>
      <c r="C31" s="62">
        <f t="shared" ref="C31:C39" si="13">$B11+($C11-$B11)*(1-R11)</f>
        <v>5000000</v>
      </c>
      <c r="D31" s="62">
        <f t="shared" ref="D31:D39" si="14">$B11+($C11-$B11)*(1-S11)</f>
        <v>5000000</v>
      </c>
      <c r="E31" s="62">
        <f t="shared" ref="E31:E39" si="15">$B11+($C11-$B11)*(1-T11)</f>
        <v>5000000</v>
      </c>
      <c r="F31" s="62">
        <f t="shared" ref="F31:F39" si="16">$B11+($C11-$B11)*(1-U11)</f>
        <v>5000000</v>
      </c>
      <c r="G31" s="62">
        <f t="shared" ref="G31:G39" si="17">$B11+($C11-$B11)*(1-V11)</f>
        <v>5000000</v>
      </c>
      <c r="H31" s="62">
        <f t="shared" ref="H31:H39" si="18">$B11+($C11-$B11)*(1-W11)</f>
        <v>5000000</v>
      </c>
      <c r="I31" s="62">
        <f t="shared" ref="I31:I39" si="19">$B11+($C11-$B11)*(1-X11)</f>
        <v>5000000</v>
      </c>
      <c r="J31" s="62">
        <f t="shared" ref="J31:J39" si="20">$B11+($C11-$B11)*(1-Y11)</f>
        <v>5000000</v>
      </c>
      <c r="K31" s="62">
        <f t="shared" ref="K31:K39" si="21">$B11+($C11-$B11)*(1-Z11)</f>
        <v>5000000</v>
      </c>
      <c r="L31" s="62">
        <f t="shared" ref="L31:L39" si="22">$B11+($C11-$B11)*(1-AA11)</f>
        <v>5000000</v>
      </c>
      <c r="M31" s="62">
        <f t="shared" ref="M31:M39" si="23">$B11+($C11-$B11)*(1-AB11)</f>
        <v>5000000</v>
      </c>
      <c r="N31" s="62">
        <f t="shared" ref="N31:N39" si="24">$B11+($C11-$B11)*(1-AC11)</f>
        <v>5000000</v>
      </c>
      <c r="O31" s="62">
        <f t="shared" ref="O31:O39" si="25">$B11+($C11-$B11)*(1-AD11)</f>
        <v>5000000</v>
      </c>
      <c r="P31" s="62">
        <f t="shared" ref="P31:P39" si="26">$B11+($C11-$B11)*(1-AE11)</f>
        <v>5000000</v>
      </c>
      <c r="Q31" s="62">
        <f t="shared" ref="Q31:Q39" si="27">$B11+($C11-$B11)*(1-AF11)</f>
        <v>5000000</v>
      </c>
      <c r="R31" s="62">
        <f t="shared" ref="R31:R39" si="28">$B11+($C11-$B11)*(1-AG11)</f>
        <v>5000000</v>
      </c>
      <c r="S31" s="62">
        <f t="shared" ref="S31:S39" si="29">$B11+($C11-$B11)*(1-AH11)</f>
        <v>5000000</v>
      </c>
      <c r="T31" s="62">
        <f t="shared" ref="T31:T39" si="30">$B11+($C11-$B11)*(1-AI11)</f>
        <v>5000000</v>
      </c>
      <c r="U31" s="62">
        <f t="shared" ref="U31:U39" si="31">$B11+($C11-$B11)*(1-AJ11)</f>
        <v>5000000</v>
      </c>
      <c r="V31" s="62">
        <f t="shared" ref="V31:V39" si="32">$B11+($C11-$B11)*(1-AK11)</f>
        <v>5000000</v>
      </c>
      <c r="W31" s="62">
        <f t="shared" ref="W31:W39" si="33">$B11+($C11-$B11)*(1-AL11)</f>
        <v>5000000</v>
      </c>
      <c r="X31" s="62">
        <f t="shared" ref="X31:X39" si="34">$B11+($C11-$B11)*(1-AM11)</f>
        <v>5000000</v>
      </c>
      <c r="Y31" s="62">
        <f t="shared" ref="Y31:Y39" si="35">$B11+($C11-$B11)*(1-AN11)</f>
        <v>5000000</v>
      </c>
      <c r="Z31" s="62">
        <f t="shared" ref="Z31:Z39" si="36">$B11+($C11-$B11)*(1-AO11)</f>
        <v>5000000</v>
      </c>
      <c r="AA31" s="62">
        <f t="shared" ref="AA31:AA39" si="37">$B11+($C11-$B11)*(1-AP11)</f>
        <v>5000000</v>
      </c>
      <c r="AB31" s="62">
        <f t="shared" ref="AB31:AB39" si="38">$B11+($C11-$B11)*(1-AQ11)</f>
        <v>5000000</v>
      </c>
      <c r="AC31" s="62">
        <f t="shared" ref="AC31:AC39" si="39">$B11+($C11-$B11)*(1-AR11)</f>
        <v>5000000</v>
      </c>
      <c r="AT31" s="85" t="str">
        <f>A17</f>
        <v>Opex maintenance &amp; repair</v>
      </c>
      <c r="AU31" s="81">
        <f>B17</f>
        <v>650000</v>
      </c>
      <c r="AV31" s="81">
        <f>C17</f>
        <v>650000</v>
      </c>
      <c r="AW31" s="81" t="str">
        <f>D17</f>
        <v>[€/a]</v>
      </c>
      <c r="AX31" s="80">
        <f>L17</f>
        <v>12</v>
      </c>
      <c r="AY31" s="80">
        <f>O17</f>
        <v>0.9</v>
      </c>
      <c r="AZ31" s="80">
        <f>P17</f>
        <v>0.4</v>
      </c>
      <c r="BA31" s="86"/>
    </row>
    <row r="32" spans="1:53" x14ac:dyDescent="0.25">
      <c r="A32" s="30" t="str">
        <f t="shared" si="11"/>
        <v>Residual value (vehicle)</v>
      </c>
      <c r="B32" s="62">
        <f t="shared" si="12"/>
        <v>-750000</v>
      </c>
      <c r="C32" s="62">
        <f t="shared" si="13"/>
        <v>-750000</v>
      </c>
      <c r="D32" s="62">
        <f t="shared" si="14"/>
        <v>-750000</v>
      </c>
      <c r="E32" s="62">
        <f t="shared" si="15"/>
        <v>-750000</v>
      </c>
      <c r="F32" s="62">
        <f t="shared" si="16"/>
        <v>-750000</v>
      </c>
      <c r="G32" s="62">
        <f t="shared" si="17"/>
        <v>-750000</v>
      </c>
      <c r="H32" s="62">
        <f t="shared" si="18"/>
        <v>-750000</v>
      </c>
      <c r="I32" s="62">
        <f t="shared" si="19"/>
        <v>-750000</v>
      </c>
      <c r="J32" s="62">
        <f t="shared" si="20"/>
        <v>-750000</v>
      </c>
      <c r="K32" s="62">
        <f t="shared" si="21"/>
        <v>-750000</v>
      </c>
      <c r="L32" s="62">
        <f t="shared" si="22"/>
        <v>-750000</v>
      </c>
      <c r="M32" s="62">
        <f t="shared" si="23"/>
        <v>-750000</v>
      </c>
      <c r="N32" s="62">
        <f t="shared" si="24"/>
        <v>-750000</v>
      </c>
      <c r="O32" s="62">
        <f t="shared" si="25"/>
        <v>-750000</v>
      </c>
      <c r="P32" s="62">
        <f t="shared" si="26"/>
        <v>-750000</v>
      </c>
      <c r="Q32" s="62">
        <f t="shared" si="27"/>
        <v>-750000</v>
      </c>
      <c r="R32" s="62">
        <f t="shared" si="28"/>
        <v>-750000</v>
      </c>
      <c r="S32" s="62">
        <f t="shared" si="29"/>
        <v>-750000</v>
      </c>
      <c r="T32" s="62">
        <f t="shared" si="30"/>
        <v>-750000</v>
      </c>
      <c r="U32" s="62">
        <f t="shared" si="31"/>
        <v>-750000</v>
      </c>
      <c r="V32" s="62">
        <f t="shared" si="32"/>
        <v>-750000</v>
      </c>
      <c r="W32" s="62">
        <f t="shared" si="33"/>
        <v>-750000</v>
      </c>
      <c r="X32" s="62">
        <f t="shared" si="34"/>
        <v>-750000</v>
      </c>
      <c r="Y32" s="62">
        <f t="shared" si="35"/>
        <v>-750000</v>
      </c>
      <c r="Z32" s="62">
        <f t="shared" si="36"/>
        <v>-750000</v>
      </c>
      <c r="AA32" s="62">
        <f t="shared" si="37"/>
        <v>-750000</v>
      </c>
      <c r="AB32" s="62">
        <f t="shared" si="38"/>
        <v>-750000</v>
      </c>
      <c r="AC32" s="62">
        <f t="shared" si="39"/>
        <v>-750000</v>
      </c>
      <c r="AT32" s="85" t="str">
        <f t="shared" ref="AT32:AW33" si="40">A19</f>
        <v>Fuel Economy</v>
      </c>
      <c r="AU32" s="81">
        <f t="shared" si="40"/>
        <v>31.614305882352937</v>
      </c>
      <c r="AV32" s="81">
        <f t="shared" si="40"/>
        <v>31.614305882352937</v>
      </c>
      <c r="AW32" s="81" t="str">
        <f t="shared" si="40"/>
        <v>[kWh/km]</v>
      </c>
      <c r="AX32" s="80">
        <f>L19</f>
        <v>12</v>
      </c>
      <c r="AY32" s="80">
        <f>O19</f>
        <v>0.9</v>
      </c>
      <c r="AZ32" s="80">
        <f>P19</f>
        <v>0.4</v>
      </c>
      <c r="BA32" s="86"/>
    </row>
    <row r="33" spans="1:53" x14ac:dyDescent="0.25">
      <c r="A33" s="30" t="str">
        <f t="shared" si="11"/>
        <v>Capex costumization</v>
      </c>
      <c r="B33" s="62">
        <f t="shared" si="12"/>
        <v>4200000</v>
      </c>
      <c r="C33" s="62">
        <f t="shared" si="13"/>
        <v>4200000</v>
      </c>
      <c r="D33" s="62">
        <f t="shared" si="14"/>
        <v>4200000</v>
      </c>
      <c r="E33" s="62">
        <f t="shared" si="15"/>
        <v>4200000</v>
      </c>
      <c r="F33" s="62">
        <f t="shared" si="16"/>
        <v>4200000</v>
      </c>
      <c r="G33" s="62">
        <f t="shared" si="17"/>
        <v>4200000</v>
      </c>
      <c r="H33" s="62">
        <f t="shared" si="18"/>
        <v>4200000</v>
      </c>
      <c r="I33" s="62">
        <f t="shared" si="19"/>
        <v>4200000</v>
      </c>
      <c r="J33" s="62">
        <f t="shared" si="20"/>
        <v>4200000</v>
      </c>
      <c r="K33" s="62">
        <f t="shared" si="21"/>
        <v>4200000</v>
      </c>
      <c r="L33" s="62">
        <f t="shared" si="22"/>
        <v>4200000</v>
      </c>
      <c r="M33" s="62">
        <f t="shared" si="23"/>
        <v>4200000</v>
      </c>
      <c r="N33" s="62">
        <f t="shared" si="24"/>
        <v>4200000</v>
      </c>
      <c r="O33" s="62">
        <f t="shared" si="25"/>
        <v>4200000</v>
      </c>
      <c r="P33" s="62">
        <f t="shared" si="26"/>
        <v>4200000</v>
      </c>
      <c r="Q33" s="62">
        <f t="shared" si="27"/>
        <v>4200000</v>
      </c>
      <c r="R33" s="62">
        <f t="shared" si="28"/>
        <v>4200000</v>
      </c>
      <c r="S33" s="62">
        <f t="shared" si="29"/>
        <v>4200000</v>
      </c>
      <c r="T33" s="62">
        <f t="shared" si="30"/>
        <v>4200000</v>
      </c>
      <c r="U33" s="62">
        <f t="shared" si="31"/>
        <v>4200000</v>
      </c>
      <c r="V33" s="62">
        <f t="shared" si="32"/>
        <v>4200000</v>
      </c>
      <c r="W33" s="62">
        <f t="shared" si="33"/>
        <v>4200000</v>
      </c>
      <c r="X33" s="62">
        <f t="shared" si="34"/>
        <v>4200000</v>
      </c>
      <c r="Y33" s="62">
        <f t="shared" si="35"/>
        <v>4200000</v>
      </c>
      <c r="Z33" s="62">
        <f t="shared" si="36"/>
        <v>4200000</v>
      </c>
      <c r="AA33" s="62">
        <f t="shared" si="37"/>
        <v>4200000</v>
      </c>
      <c r="AB33" s="62">
        <f t="shared" si="38"/>
        <v>4200000</v>
      </c>
      <c r="AC33" s="62">
        <f t="shared" si="39"/>
        <v>4200000</v>
      </c>
      <c r="AT33" s="85" t="str">
        <f t="shared" si="40"/>
        <v>Fuel Cost</v>
      </c>
      <c r="AU33" s="81">
        <f t="shared" si="40"/>
        <v>0.13371034051801745</v>
      </c>
      <c r="AV33" s="81">
        <f t="shared" si="40"/>
        <v>8.7585019329602734E-2</v>
      </c>
      <c r="AW33" s="81" t="str">
        <f t="shared" si="40"/>
        <v>[€/kWh]</v>
      </c>
      <c r="AX33" s="80">
        <f>L20</f>
        <v>12</v>
      </c>
      <c r="AY33" s="80">
        <f>O20</f>
        <v>0.9</v>
      </c>
      <c r="AZ33" s="80">
        <f>P20</f>
        <v>0.4</v>
      </c>
      <c r="BA33" s="86"/>
    </row>
    <row r="34" spans="1:53" x14ac:dyDescent="0.25">
      <c r="A34" s="30" t="str">
        <f t="shared" si="11"/>
        <v>Residual value (costumization)</v>
      </c>
      <c r="B34" s="62">
        <f t="shared" si="12"/>
        <v>-210000</v>
      </c>
      <c r="C34" s="62">
        <f t="shared" si="13"/>
        <v>-210000</v>
      </c>
      <c r="D34" s="62">
        <f t="shared" si="14"/>
        <v>-210000</v>
      </c>
      <c r="E34" s="62">
        <f t="shared" si="15"/>
        <v>-210000</v>
      </c>
      <c r="F34" s="62">
        <f t="shared" si="16"/>
        <v>-210000</v>
      </c>
      <c r="G34" s="62">
        <f t="shared" si="17"/>
        <v>-210000</v>
      </c>
      <c r="H34" s="62">
        <f t="shared" si="18"/>
        <v>-210000</v>
      </c>
      <c r="I34" s="62">
        <f t="shared" si="19"/>
        <v>-210000</v>
      </c>
      <c r="J34" s="62">
        <f t="shared" si="20"/>
        <v>-210000</v>
      </c>
      <c r="K34" s="62">
        <f t="shared" si="21"/>
        <v>-210000</v>
      </c>
      <c r="L34" s="62">
        <f t="shared" si="22"/>
        <v>-210000</v>
      </c>
      <c r="M34" s="62">
        <f t="shared" si="23"/>
        <v>-210000</v>
      </c>
      <c r="N34" s="62">
        <f t="shared" si="24"/>
        <v>-210000</v>
      </c>
      <c r="O34" s="62">
        <f t="shared" si="25"/>
        <v>-210000</v>
      </c>
      <c r="P34" s="62">
        <f t="shared" si="26"/>
        <v>-210000</v>
      </c>
      <c r="Q34" s="62">
        <f t="shared" si="27"/>
        <v>-210000</v>
      </c>
      <c r="R34" s="62">
        <f t="shared" si="28"/>
        <v>-210000</v>
      </c>
      <c r="S34" s="62">
        <f t="shared" si="29"/>
        <v>-210000</v>
      </c>
      <c r="T34" s="62">
        <f t="shared" si="30"/>
        <v>-210000</v>
      </c>
      <c r="U34" s="62">
        <f t="shared" si="31"/>
        <v>-210000</v>
      </c>
      <c r="V34" s="62">
        <f t="shared" si="32"/>
        <v>-210000</v>
      </c>
      <c r="W34" s="62">
        <f t="shared" si="33"/>
        <v>-210000</v>
      </c>
      <c r="X34" s="62">
        <f t="shared" si="34"/>
        <v>-210000</v>
      </c>
      <c r="Y34" s="62">
        <f t="shared" si="35"/>
        <v>-210000</v>
      </c>
      <c r="Z34" s="62">
        <f t="shared" si="36"/>
        <v>-210000</v>
      </c>
      <c r="AA34" s="62">
        <f t="shared" si="37"/>
        <v>-210000</v>
      </c>
      <c r="AB34" s="62">
        <f t="shared" si="38"/>
        <v>-210000</v>
      </c>
      <c r="AC34" s="62">
        <f t="shared" si="39"/>
        <v>-210000</v>
      </c>
    </row>
    <row r="35" spans="1:53" x14ac:dyDescent="0.25">
      <c r="A35" s="30" t="str">
        <f t="shared" si="11"/>
        <v>WACC</v>
      </c>
      <c r="B35" s="62">
        <f t="shared" si="12"/>
        <v>0.06</v>
      </c>
      <c r="C35" s="62">
        <f t="shared" si="13"/>
        <v>0.06</v>
      </c>
      <c r="D35" s="62">
        <f t="shared" si="14"/>
        <v>0.06</v>
      </c>
      <c r="E35" s="62">
        <f t="shared" si="15"/>
        <v>0.06</v>
      </c>
      <c r="F35" s="62">
        <f t="shared" si="16"/>
        <v>0.06</v>
      </c>
      <c r="G35" s="62">
        <f t="shared" si="17"/>
        <v>0.06</v>
      </c>
      <c r="H35" s="62">
        <f t="shared" si="18"/>
        <v>0.06</v>
      </c>
      <c r="I35" s="62">
        <f t="shared" si="19"/>
        <v>0.06</v>
      </c>
      <c r="J35" s="62">
        <f t="shared" si="20"/>
        <v>0.06</v>
      </c>
      <c r="K35" s="62">
        <f t="shared" si="21"/>
        <v>0.06</v>
      </c>
      <c r="L35" s="62">
        <f t="shared" si="22"/>
        <v>0.06</v>
      </c>
      <c r="M35" s="62">
        <f t="shared" si="23"/>
        <v>0.06</v>
      </c>
      <c r="N35" s="62">
        <f t="shared" si="24"/>
        <v>0.06</v>
      </c>
      <c r="O35" s="62">
        <f t="shared" si="25"/>
        <v>0.06</v>
      </c>
      <c r="P35" s="62">
        <f t="shared" si="26"/>
        <v>0.06</v>
      </c>
      <c r="Q35" s="62">
        <f t="shared" si="27"/>
        <v>0.06</v>
      </c>
      <c r="R35" s="62">
        <f t="shared" si="28"/>
        <v>0.06</v>
      </c>
      <c r="S35" s="62">
        <f t="shared" si="29"/>
        <v>0.06</v>
      </c>
      <c r="T35" s="62">
        <f t="shared" si="30"/>
        <v>0.06</v>
      </c>
      <c r="U35" s="62">
        <f t="shared" si="31"/>
        <v>0.06</v>
      </c>
      <c r="V35" s="62">
        <f t="shared" si="32"/>
        <v>0.06</v>
      </c>
      <c r="W35" s="62">
        <f t="shared" si="33"/>
        <v>0.06</v>
      </c>
      <c r="X35" s="62">
        <f t="shared" si="34"/>
        <v>0.06</v>
      </c>
      <c r="Y35" s="62">
        <f t="shared" si="35"/>
        <v>0.06</v>
      </c>
      <c r="Z35" s="62">
        <f t="shared" si="36"/>
        <v>0.06</v>
      </c>
      <c r="AA35" s="62">
        <f t="shared" si="37"/>
        <v>0.06</v>
      </c>
      <c r="AB35" s="62">
        <f t="shared" si="38"/>
        <v>0.06</v>
      </c>
      <c r="AC35" s="62">
        <f t="shared" si="39"/>
        <v>0.06</v>
      </c>
    </row>
    <row r="36" spans="1:53" x14ac:dyDescent="0.25">
      <c r="A36" s="30" t="str">
        <f t="shared" si="11"/>
        <v>Opex fix (admin, crew, insurance)</v>
      </c>
      <c r="B36" s="62">
        <f t="shared" si="12"/>
        <v>650000</v>
      </c>
      <c r="C36" s="62">
        <f t="shared" si="13"/>
        <v>650000</v>
      </c>
      <c r="D36" s="62">
        <f t="shared" si="14"/>
        <v>650000</v>
      </c>
      <c r="E36" s="62">
        <f t="shared" si="15"/>
        <v>650000</v>
      </c>
      <c r="F36" s="62">
        <f t="shared" si="16"/>
        <v>650000</v>
      </c>
      <c r="G36" s="62">
        <f t="shared" si="17"/>
        <v>650000</v>
      </c>
      <c r="H36" s="62">
        <f t="shared" si="18"/>
        <v>650000</v>
      </c>
      <c r="I36" s="62">
        <f t="shared" si="19"/>
        <v>650000</v>
      </c>
      <c r="J36" s="62">
        <f t="shared" si="20"/>
        <v>650000</v>
      </c>
      <c r="K36" s="62">
        <f t="shared" si="21"/>
        <v>650000</v>
      </c>
      <c r="L36" s="62">
        <f t="shared" si="22"/>
        <v>650000</v>
      </c>
      <c r="M36" s="62">
        <f t="shared" si="23"/>
        <v>650000</v>
      </c>
      <c r="N36" s="62">
        <f t="shared" si="24"/>
        <v>650000</v>
      </c>
      <c r="O36" s="62">
        <f t="shared" si="25"/>
        <v>650000</v>
      </c>
      <c r="P36" s="62">
        <f t="shared" si="26"/>
        <v>650000</v>
      </c>
      <c r="Q36" s="62">
        <f t="shared" si="27"/>
        <v>650000</v>
      </c>
      <c r="R36" s="62">
        <f t="shared" si="28"/>
        <v>650000</v>
      </c>
      <c r="S36" s="62">
        <f t="shared" si="29"/>
        <v>650000</v>
      </c>
      <c r="T36" s="62">
        <f t="shared" si="30"/>
        <v>650000</v>
      </c>
      <c r="U36" s="62">
        <f t="shared" si="31"/>
        <v>650000</v>
      </c>
      <c r="V36" s="62">
        <f t="shared" si="32"/>
        <v>650000</v>
      </c>
      <c r="W36" s="62">
        <f t="shared" si="33"/>
        <v>650000</v>
      </c>
      <c r="X36" s="62">
        <f t="shared" si="34"/>
        <v>650000</v>
      </c>
      <c r="Y36" s="62">
        <f t="shared" si="35"/>
        <v>650000</v>
      </c>
      <c r="Z36" s="62">
        <f t="shared" si="36"/>
        <v>650000</v>
      </c>
      <c r="AA36" s="62">
        <f t="shared" si="37"/>
        <v>650000</v>
      </c>
      <c r="AB36" s="62">
        <f t="shared" si="38"/>
        <v>650000</v>
      </c>
      <c r="AC36" s="62">
        <f t="shared" si="39"/>
        <v>650000</v>
      </c>
    </row>
    <row r="37" spans="1:53" x14ac:dyDescent="0.25">
      <c r="A37" s="30" t="str">
        <f t="shared" si="11"/>
        <v>Opex maintenance &amp; repair</v>
      </c>
      <c r="B37" s="62">
        <f t="shared" si="12"/>
        <v>650000</v>
      </c>
      <c r="C37" s="62">
        <f t="shared" si="13"/>
        <v>650000</v>
      </c>
      <c r="D37" s="62">
        <f t="shared" si="14"/>
        <v>650000</v>
      </c>
      <c r="E37" s="62">
        <f t="shared" si="15"/>
        <v>650000</v>
      </c>
      <c r="F37" s="62">
        <f t="shared" si="16"/>
        <v>650000</v>
      </c>
      <c r="G37" s="62">
        <f t="shared" si="17"/>
        <v>650000</v>
      </c>
      <c r="H37" s="62">
        <f t="shared" si="18"/>
        <v>650000</v>
      </c>
      <c r="I37" s="62">
        <f t="shared" si="19"/>
        <v>650000</v>
      </c>
      <c r="J37" s="62">
        <f t="shared" si="20"/>
        <v>650000</v>
      </c>
      <c r="K37" s="62">
        <f t="shared" si="21"/>
        <v>650000</v>
      </c>
      <c r="L37" s="62">
        <f t="shared" si="22"/>
        <v>650000</v>
      </c>
      <c r="M37" s="62">
        <f t="shared" si="23"/>
        <v>650000</v>
      </c>
      <c r="N37" s="62">
        <f t="shared" si="24"/>
        <v>650000</v>
      </c>
      <c r="O37" s="62">
        <f t="shared" si="25"/>
        <v>650000</v>
      </c>
      <c r="P37" s="62">
        <f t="shared" si="26"/>
        <v>650000</v>
      </c>
      <c r="Q37" s="62">
        <f t="shared" si="27"/>
        <v>650000</v>
      </c>
      <c r="R37" s="62">
        <f t="shared" si="28"/>
        <v>650000</v>
      </c>
      <c r="S37" s="62">
        <f t="shared" si="29"/>
        <v>650000</v>
      </c>
      <c r="T37" s="62">
        <f t="shared" si="30"/>
        <v>650000</v>
      </c>
      <c r="U37" s="62">
        <f t="shared" si="31"/>
        <v>650000</v>
      </c>
      <c r="V37" s="62">
        <f t="shared" si="32"/>
        <v>650000</v>
      </c>
      <c r="W37" s="62">
        <f t="shared" si="33"/>
        <v>650000</v>
      </c>
      <c r="X37" s="62">
        <f t="shared" si="34"/>
        <v>650000</v>
      </c>
      <c r="Y37" s="62">
        <f t="shared" si="35"/>
        <v>650000</v>
      </c>
      <c r="Z37" s="62">
        <f t="shared" si="36"/>
        <v>650000</v>
      </c>
      <c r="AA37" s="62">
        <f t="shared" si="37"/>
        <v>650000</v>
      </c>
      <c r="AB37" s="62">
        <f t="shared" si="38"/>
        <v>650000</v>
      </c>
      <c r="AC37" s="62">
        <f t="shared" si="39"/>
        <v>650000</v>
      </c>
    </row>
    <row r="38" spans="1:53" x14ac:dyDescent="0.25">
      <c r="A38" s="30" t="str">
        <f t="shared" si="11"/>
        <v>Opex var (mode-fees, shunting)</v>
      </c>
      <c r="B38" s="62">
        <f t="shared" si="12"/>
        <v>3.9215686274509802</v>
      </c>
      <c r="C38" s="62">
        <f t="shared" si="13"/>
        <v>3.9215686274509802</v>
      </c>
      <c r="D38" s="62">
        <f t="shared" si="14"/>
        <v>3.9215686274509802</v>
      </c>
      <c r="E38" s="62">
        <f t="shared" si="15"/>
        <v>3.9215686274509802</v>
      </c>
      <c r="F38" s="62">
        <f t="shared" si="16"/>
        <v>3.9215686274509802</v>
      </c>
      <c r="G38" s="62">
        <f t="shared" si="17"/>
        <v>3.9215686274509802</v>
      </c>
      <c r="H38" s="62">
        <f t="shared" si="18"/>
        <v>3.9215686274509802</v>
      </c>
      <c r="I38" s="62">
        <f t="shared" si="19"/>
        <v>3.9215686274509802</v>
      </c>
      <c r="J38" s="62">
        <f t="shared" si="20"/>
        <v>3.9215686274509802</v>
      </c>
      <c r="K38" s="62">
        <f t="shared" si="21"/>
        <v>3.9215686274509802</v>
      </c>
      <c r="L38" s="62">
        <f t="shared" si="22"/>
        <v>3.9215686274509802</v>
      </c>
      <c r="M38" s="62">
        <f t="shared" si="23"/>
        <v>3.9215686274509802</v>
      </c>
      <c r="N38" s="62">
        <f t="shared" si="24"/>
        <v>3.9215686274509802</v>
      </c>
      <c r="O38" s="62">
        <f t="shared" si="25"/>
        <v>3.9215686274509802</v>
      </c>
      <c r="P38" s="62">
        <f t="shared" si="26"/>
        <v>3.9215686274509802</v>
      </c>
      <c r="Q38" s="62">
        <f t="shared" si="27"/>
        <v>3.9215686274509802</v>
      </c>
      <c r="R38" s="62">
        <f t="shared" si="28"/>
        <v>3.9215686274509802</v>
      </c>
      <c r="S38" s="62">
        <f t="shared" si="29"/>
        <v>3.9215686274509802</v>
      </c>
      <c r="T38" s="62">
        <f t="shared" si="30"/>
        <v>3.9215686274509802</v>
      </c>
      <c r="U38" s="62">
        <f t="shared" si="31"/>
        <v>3.9215686274509802</v>
      </c>
      <c r="V38" s="62">
        <f t="shared" si="32"/>
        <v>3.9215686274509802</v>
      </c>
      <c r="W38" s="62">
        <f t="shared" si="33"/>
        <v>3.9215686274509802</v>
      </c>
      <c r="X38" s="62">
        <f t="shared" si="34"/>
        <v>3.9215686274509802</v>
      </c>
      <c r="Y38" s="62">
        <f t="shared" si="35"/>
        <v>3.9215686274509802</v>
      </c>
      <c r="Z38" s="62">
        <f t="shared" si="36"/>
        <v>3.9215686274509802</v>
      </c>
      <c r="AA38" s="62">
        <f t="shared" si="37"/>
        <v>3.9215686274509802</v>
      </c>
      <c r="AB38" s="62">
        <f t="shared" si="38"/>
        <v>3.9215686274509802</v>
      </c>
      <c r="AC38" s="62">
        <f t="shared" si="39"/>
        <v>3.9215686274509802</v>
      </c>
    </row>
    <row r="39" spans="1:53" x14ac:dyDescent="0.25">
      <c r="A39" s="30" t="str">
        <f t="shared" si="11"/>
        <v>Fuel Economy</v>
      </c>
      <c r="B39" s="62">
        <f t="shared" si="12"/>
        <v>31.614305882352937</v>
      </c>
      <c r="C39" s="62">
        <f t="shared" si="13"/>
        <v>31.614305882352937</v>
      </c>
      <c r="D39" s="62">
        <f t="shared" si="14"/>
        <v>31.614305882352937</v>
      </c>
      <c r="E39" s="62">
        <f t="shared" si="15"/>
        <v>31.614305882352937</v>
      </c>
      <c r="F39" s="62">
        <f t="shared" si="16"/>
        <v>31.614305882352937</v>
      </c>
      <c r="G39" s="62">
        <f t="shared" si="17"/>
        <v>31.614305882352937</v>
      </c>
      <c r="H39" s="62">
        <f t="shared" si="18"/>
        <v>31.614305882352937</v>
      </c>
      <c r="I39" s="62">
        <f t="shared" si="19"/>
        <v>31.614305882352937</v>
      </c>
      <c r="J39" s="62">
        <f t="shared" si="20"/>
        <v>31.614305882352937</v>
      </c>
      <c r="K39" s="62">
        <f t="shared" si="21"/>
        <v>31.614305882352937</v>
      </c>
      <c r="L39" s="62">
        <f t="shared" si="22"/>
        <v>31.614305882352937</v>
      </c>
      <c r="M39" s="62">
        <f t="shared" si="23"/>
        <v>31.614305882352937</v>
      </c>
      <c r="N39" s="62">
        <f t="shared" si="24"/>
        <v>31.614305882352937</v>
      </c>
      <c r="O39" s="62">
        <f t="shared" si="25"/>
        <v>31.614305882352937</v>
      </c>
      <c r="P39" s="62">
        <f t="shared" si="26"/>
        <v>31.614305882352937</v>
      </c>
      <c r="Q39" s="62">
        <f t="shared" si="27"/>
        <v>31.614305882352937</v>
      </c>
      <c r="R39" s="62">
        <f t="shared" si="28"/>
        <v>31.614305882352937</v>
      </c>
      <c r="S39" s="62">
        <f t="shared" si="29"/>
        <v>31.614305882352937</v>
      </c>
      <c r="T39" s="62">
        <f t="shared" si="30"/>
        <v>31.614305882352937</v>
      </c>
      <c r="U39" s="62">
        <f t="shared" si="31"/>
        <v>31.614305882352937</v>
      </c>
      <c r="V39" s="62">
        <f t="shared" si="32"/>
        <v>31.614305882352937</v>
      </c>
      <c r="W39" s="62">
        <f t="shared" si="33"/>
        <v>31.614305882352937</v>
      </c>
      <c r="X39" s="62">
        <f t="shared" si="34"/>
        <v>31.614305882352937</v>
      </c>
      <c r="Y39" s="62">
        <f t="shared" si="35"/>
        <v>31.614305882352937</v>
      </c>
      <c r="Z39" s="62">
        <f t="shared" si="36"/>
        <v>31.614305882352937</v>
      </c>
      <c r="AA39" s="62">
        <f t="shared" si="37"/>
        <v>31.614305882352937</v>
      </c>
      <c r="AB39" s="62">
        <f t="shared" si="38"/>
        <v>31.614305882352937</v>
      </c>
      <c r="AC39" s="62">
        <f t="shared" si="39"/>
        <v>31.614305882352937</v>
      </c>
    </row>
    <row r="40" spans="1:53" x14ac:dyDescent="0.25">
      <c r="A40" s="30" t="str">
        <f t="shared" si="11"/>
        <v>Fuel Cost</v>
      </c>
      <c r="B40" s="62">
        <f>$B20+($C20-$B20)*(1-Q20)</f>
        <v>0.1331013876427829</v>
      </c>
      <c r="C40" s="62">
        <f>$B20+($C20-$B20)*(1-R20)</f>
        <v>0.13284065209015961</v>
      </c>
      <c r="D40" s="62">
        <f>$B20+($C20-$B20)*(1-S20)</f>
        <v>0.13247044498234223</v>
      </c>
      <c r="E40" s="62">
        <f t="shared" ref="E40:AC40" si="41">$B20+($C20-$B20)*(1-T20)</f>
        <v>0.13194719281007408</v>
      </c>
      <c r="F40" s="62">
        <f t="shared" si="41"/>
        <v>0.13121255620046077</v>
      </c>
      <c r="G40" s="62">
        <f t="shared" si="41"/>
        <v>0.13019114463175094</v>
      </c>
      <c r="H40" s="62">
        <f t="shared" si="41"/>
        <v>0.12879082758213251</v>
      </c>
      <c r="I40" s="62">
        <f t="shared" si="41"/>
        <v>0.126908951519354</v>
      </c>
      <c r="J40" s="62">
        <f t="shared" si="41"/>
        <v>0.12444897595358409</v>
      </c>
      <c r="K40" s="62">
        <f t="shared" si="41"/>
        <v>0.12135105251833415</v>
      </c>
      <c r="L40" s="62">
        <f t="shared" si="41"/>
        <v>0.11763363332194038</v>
      </c>
      <c r="M40" s="62">
        <f t="shared" si="41"/>
        <v>0.11343007363373329</v>
      </c>
      <c r="N40" s="62">
        <f t="shared" si="41"/>
        <v>0.10899239291766451</v>
      </c>
      <c r="O40" s="62">
        <f t="shared" si="41"/>
        <v>0.10464203745763898</v>
      </c>
      <c r="P40" s="62">
        <f t="shared" si="41"/>
        <v>0.10068181933659913</v>
      </c>
      <c r="Q40" s="62">
        <f t="shared" si="41"/>
        <v>9.7316197879620536E-2</v>
      </c>
      <c r="R40" s="62">
        <f t="shared" si="41"/>
        <v>9.4620937841233446E-2</v>
      </c>
      <c r="S40" s="62">
        <f t="shared" si="41"/>
        <v>9.2564334807767046E-2</v>
      </c>
      <c r="T40" s="62">
        <f t="shared" si="41"/>
        <v>9.1052566638367527E-2</v>
      </c>
      <c r="U40" s="62">
        <f t="shared" si="41"/>
        <v>8.9971674267489546E-2</v>
      </c>
      <c r="V40" s="62">
        <f t="shared" si="41"/>
        <v>8.9214128341311663E-2</v>
      </c>
      <c r="W40" s="62">
        <f t="shared" si="41"/>
        <v>8.8690617543911193E-2</v>
      </c>
      <c r="X40" s="62">
        <f t="shared" si="41"/>
        <v>8.833235301770638E-2</v>
      </c>
      <c r="Y40" s="62">
        <f t="shared" si="41"/>
        <v>8.8088811183719362E-2</v>
      </c>
      <c r="Z40" s="62">
        <f t="shared" si="41"/>
        <v>8.7924009134648928E-2</v>
      </c>
      <c r="AA40" s="62">
        <f t="shared" si="41"/>
        <v>8.7812833500289317E-2</v>
      </c>
      <c r="AB40" s="62">
        <f t="shared" si="41"/>
        <v>8.7737990615512101E-2</v>
      </c>
      <c r="AC40" s="62">
        <f t="shared" si="41"/>
        <v>8.768767751485286E-2</v>
      </c>
    </row>
    <row r="41" spans="1:53" x14ac:dyDescent="0.25">
      <c r="A41" s="30" t="str">
        <f t="shared" ref="A41" si="42">A21</f>
        <v>Emission Cost</v>
      </c>
      <c r="B41" s="66">
        <f>$B21+($C21-$B21)*(1-Q21)</f>
        <v>7.3051284422328416E-2</v>
      </c>
      <c r="C41" s="66">
        <f t="shared" ref="C41:AC41" si="43">$B21+($C21-$B21)*(1-R21)</f>
        <v>7.2981721800489563E-2</v>
      </c>
      <c r="D41" s="66">
        <f t="shared" si="43"/>
        <v>7.2882144456709708E-2</v>
      </c>
      <c r="E41" s="66">
        <f t="shared" si="43"/>
        <v>7.2739692063840775E-2</v>
      </c>
      <c r="F41" s="66">
        <f t="shared" si="43"/>
        <v>7.2536096160749949E-2</v>
      </c>
      <c r="G41" s="66">
        <f t="shared" si="43"/>
        <v>7.2245520808140104E-2</v>
      </c>
      <c r="H41" s="66">
        <f t="shared" si="43"/>
        <v>7.183167022008663E-2</v>
      </c>
      <c r="I41" s="66">
        <f t="shared" si="43"/>
        <v>7.1244061711272524E-2</v>
      </c>
      <c r="J41" s="66">
        <f t="shared" si="43"/>
        <v>7.0413533549636295E-2</v>
      </c>
      <c r="K41" s="66">
        <f t="shared" si="43"/>
        <v>6.9247486994668248E-2</v>
      </c>
      <c r="L41" s="66">
        <f t="shared" si="43"/>
        <v>6.7626258995255692E-2</v>
      </c>
      <c r="M41" s="66">
        <f t="shared" si="43"/>
        <v>6.5403616058321165E-2</v>
      </c>
      <c r="N41" s="66">
        <f t="shared" si="43"/>
        <v>6.2416622119869432E-2</v>
      </c>
      <c r="O41" s="66">
        <f t="shared" si="43"/>
        <v>5.8512043997522092E-2</v>
      </c>
      <c r="P41" s="66">
        <f t="shared" si="43"/>
        <v>5.3594887811786507E-2</v>
      </c>
      <c r="Q41" s="66">
        <f t="shared" si="43"/>
        <v>4.7694441535894194E-2</v>
      </c>
      <c r="R41" s="66">
        <f t="shared" si="43"/>
        <v>4.1022372340191592E-2</v>
      </c>
      <c r="S41" s="66">
        <f t="shared" si="43"/>
        <v>3.3978696265099438E-2</v>
      </c>
      <c r="T41" s="66">
        <f t="shared" si="43"/>
        <v>2.7073626560338522E-2</v>
      </c>
      <c r="U41" s="66">
        <f t="shared" si="43"/>
        <v>2.0787799477216214E-2</v>
      </c>
      <c r="V41" s="66">
        <f t="shared" si="43"/>
        <v>1.5445741575552285E-2</v>
      </c>
      <c r="W41" s="66">
        <f t="shared" si="43"/>
        <v>1.1167709904685047E-2</v>
      </c>
      <c r="X41" s="66">
        <f t="shared" si="43"/>
        <v>7.903381867218201E-3</v>
      </c>
      <c r="Y41" s="66">
        <f t="shared" si="43"/>
        <v>5.5038389601930332E-3</v>
      </c>
      <c r="Z41" s="66">
        <f t="shared" si="43"/>
        <v>3.7882004950518661E-3</v>
      </c>
      <c r="AA41" s="66">
        <f t="shared" si="43"/>
        <v>2.5857912958768409E-3</v>
      </c>
      <c r="AB41" s="66">
        <f t="shared" si="43"/>
        <v>1.7548526334016656E-3</v>
      </c>
      <c r="AC41" s="66">
        <f t="shared" si="43"/>
        <v>1.1861998994081024E-3</v>
      </c>
    </row>
    <row r="42" spans="1:53" x14ac:dyDescent="0.25">
      <c r="A42" s="30" t="str">
        <f>A22</f>
        <v>Lifetime vehicle</v>
      </c>
      <c r="B42" s="62">
        <f>$B22+($C22-$B22)*(1-Q22)</f>
        <v>20</v>
      </c>
      <c r="C42" s="62">
        <f t="shared" ref="C42:L44" si="44">$B22+($C22-$B22)*(1-R22)</f>
        <v>20</v>
      </c>
      <c r="D42" s="62">
        <f t="shared" si="44"/>
        <v>20</v>
      </c>
      <c r="E42" s="62">
        <f t="shared" si="44"/>
        <v>20</v>
      </c>
      <c r="F42" s="62">
        <f t="shared" si="44"/>
        <v>20</v>
      </c>
      <c r="G42" s="62">
        <f t="shared" si="44"/>
        <v>20</v>
      </c>
      <c r="H42" s="62">
        <f t="shared" si="44"/>
        <v>20</v>
      </c>
      <c r="I42" s="62">
        <f t="shared" si="44"/>
        <v>20</v>
      </c>
      <c r="J42" s="62">
        <f t="shared" si="44"/>
        <v>20</v>
      </c>
      <c r="K42" s="62">
        <f t="shared" si="44"/>
        <v>20</v>
      </c>
      <c r="L42" s="62">
        <f t="shared" si="44"/>
        <v>20</v>
      </c>
      <c r="M42" s="62">
        <f t="shared" ref="M42:V44" si="45">$B22+($C22-$B22)*(1-AB22)</f>
        <v>20</v>
      </c>
      <c r="N42" s="62">
        <f t="shared" si="45"/>
        <v>20</v>
      </c>
      <c r="O42" s="62">
        <f t="shared" si="45"/>
        <v>20</v>
      </c>
      <c r="P42" s="62">
        <f t="shared" si="45"/>
        <v>20</v>
      </c>
      <c r="Q42" s="62">
        <f t="shared" si="45"/>
        <v>20</v>
      </c>
      <c r="R42" s="62">
        <f t="shared" si="45"/>
        <v>20</v>
      </c>
      <c r="S42" s="62">
        <f t="shared" si="45"/>
        <v>20</v>
      </c>
      <c r="T42" s="62">
        <f t="shared" si="45"/>
        <v>20</v>
      </c>
      <c r="U42" s="62">
        <f t="shared" si="45"/>
        <v>20</v>
      </c>
      <c r="V42" s="62">
        <f t="shared" si="45"/>
        <v>20</v>
      </c>
      <c r="W42" s="62">
        <f t="shared" ref="W42:AC44" si="46">$B22+($C22-$B22)*(1-AL22)</f>
        <v>20</v>
      </c>
      <c r="X42" s="62">
        <f t="shared" si="46"/>
        <v>20</v>
      </c>
      <c r="Y42" s="62">
        <f t="shared" si="46"/>
        <v>20</v>
      </c>
      <c r="Z42" s="62">
        <f t="shared" si="46"/>
        <v>20</v>
      </c>
      <c r="AA42" s="62">
        <f t="shared" si="46"/>
        <v>20</v>
      </c>
      <c r="AB42" s="62">
        <f t="shared" si="46"/>
        <v>20</v>
      </c>
      <c r="AC42" s="62">
        <f t="shared" si="46"/>
        <v>20</v>
      </c>
    </row>
    <row r="43" spans="1:53" x14ac:dyDescent="0.25">
      <c r="A43" s="30" t="str">
        <f>A23</f>
        <v>Lifetime costumization</v>
      </c>
      <c r="B43" s="62">
        <f>$B23+($C23-$B23)*(1-Q23)</f>
        <v>30</v>
      </c>
      <c r="C43" s="62">
        <f t="shared" si="44"/>
        <v>30</v>
      </c>
      <c r="D43" s="62">
        <f t="shared" si="44"/>
        <v>30</v>
      </c>
      <c r="E43" s="62">
        <f t="shared" si="44"/>
        <v>30</v>
      </c>
      <c r="F43" s="62">
        <f t="shared" si="44"/>
        <v>30</v>
      </c>
      <c r="G43" s="62">
        <f t="shared" si="44"/>
        <v>30</v>
      </c>
      <c r="H43" s="62">
        <f t="shared" si="44"/>
        <v>30</v>
      </c>
      <c r="I43" s="62">
        <f t="shared" si="44"/>
        <v>30</v>
      </c>
      <c r="J43" s="62">
        <f t="shared" si="44"/>
        <v>30</v>
      </c>
      <c r="K43" s="62">
        <f t="shared" si="44"/>
        <v>30</v>
      </c>
      <c r="L43" s="62">
        <f t="shared" si="44"/>
        <v>30</v>
      </c>
      <c r="M43" s="62">
        <f t="shared" si="45"/>
        <v>30</v>
      </c>
      <c r="N43" s="62">
        <f t="shared" si="45"/>
        <v>30</v>
      </c>
      <c r="O43" s="62">
        <f t="shared" si="45"/>
        <v>30</v>
      </c>
      <c r="P43" s="62">
        <f t="shared" si="45"/>
        <v>30</v>
      </c>
      <c r="Q43" s="62">
        <f t="shared" si="45"/>
        <v>30</v>
      </c>
      <c r="R43" s="62">
        <f t="shared" si="45"/>
        <v>30</v>
      </c>
      <c r="S43" s="62">
        <f t="shared" si="45"/>
        <v>30</v>
      </c>
      <c r="T43" s="62">
        <f t="shared" si="45"/>
        <v>30</v>
      </c>
      <c r="U43" s="62">
        <f t="shared" si="45"/>
        <v>30</v>
      </c>
      <c r="V43" s="62">
        <f t="shared" si="45"/>
        <v>30</v>
      </c>
      <c r="W43" s="62">
        <f t="shared" si="46"/>
        <v>30</v>
      </c>
      <c r="X43" s="62">
        <f t="shared" si="46"/>
        <v>30</v>
      </c>
      <c r="Y43" s="62">
        <f t="shared" si="46"/>
        <v>30</v>
      </c>
      <c r="Z43" s="62">
        <f t="shared" si="46"/>
        <v>30</v>
      </c>
      <c r="AA43" s="62">
        <f t="shared" si="46"/>
        <v>30</v>
      </c>
      <c r="AB43" s="62">
        <f t="shared" si="46"/>
        <v>30</v>
      </c>
      <c r="AC43" s="62">
        <f t="shared" si="46"/>
        <v>30</v>
      </c>
    </row>
    <row r="44" spans="1:53" x14ac:dyDescent="0.25">
      <c r="A44" s="30" t="str">
        <f>A24</f>
        <v xml:space="preserve">Tonnage </v>
      </c>
      <c r="B44" s="62">
        <f>$B24+($C24-$B24)*(1-Q24)</f>
        <v>2240</v>
      </c>
      <c r="C44" s="62">
        <f t="shared" si="44"/>
        <v>2240</v>
      </c>
      <c r="D44" s="62">
        <f t="shared" si="44"/>
        <v>2240</v>
      </c>
      <c r="E44" s="62">
        <f t="shared" si="44"/>
        <v>2240</v>
      </c>
      <c r="F44" s="62">
        <f t="shared" si="44"/>
        <v>2240</v>
      </c>
      <c r="G44" s="62">
        <f t="shared" si="44"/>
        <v>2240</v>
      </c>
      <c r="H44" s="62">
        <f t="shared" si="44"/>
        <v>2240</v>
      </c>
      <c r="I44" s="62">
        <f t="shared" si="44"/>
        <v>2240</v>
      </c>
      <c r="J44" s="62">
        <f t="shared" si="44"/>
        <v>2240</v>
      </c>
      <c r="K44" s="62">
        <f t="shared" si="44"/>
        <v>2240</v>
      </c>
      <c r="L44" s="62">
        <f t="shared" si="44"/>
        <v>2240</v>
      </c>
      <c r="M44" s="62">
        <f t="shared" si="45"/>
        <v>2240</v>
      </c>
      <c r="N44" s="62">
        <f t="shared" si="45"/>
        <v>2240</v>
      </c>
      <c r="O44" s="62">
        <f t="shared" si="45"/>
        <v>2240</v>
      </c>
      <c r="P44" s="62">
        <f t="shared" si="45"/>
        <v>2240</v>
      </c>
      <c r="Q44" s="62">
        <f t="shared" si="45"/>
        <v>2240</v>
      </c>
      <c r="R44" s="62">
        <f t="shared" si="45"/>
        <v>2240</v>
      </c>
      <c r="S44" s="62">
        <f t="shared" si="45"/>
        <v>2240</v>
      </c>
      <c r="T44" s="62">
        <f t="shared" si="45"/>
        <v>2240</v>
      </c>
      <c r="U44" s="62">
        <f t="shared" si="45"/>
        <v>2240</v>
      </c>
      <c r="V44" s="62">
        <f t="shared" si="45"/>
        <v>2240</v>
      </c>
      <c r="W44" s="62">
        <f t="shared" si="46"/>
        <v>2240</v>
      </c>
      <c r="X44" s="62">
        <f t="shared" si="46"/>
        <v>2240</v>
      </c>
      <c r="Y44" s="62">
        <f t="shared" si="46"/>
        <v>2240</v>
      </c>
      <c r="Z44" s="62">
        <f t="shared" si="46"/>
        <v>2240</v>
      </c>
      <c r="AA44" s="62">
        <f t="shared" si="46"/>
        <v>2240</v>
      </c>
      <c r="AB44" s="62">
        <f t="shared" si="46"/>
        <v>2240</v>
      </c>
      <c r="AC44" s="62">
        <f t="shared" si="46"/>
        <v>2240</v>
      </c>
    </row>
    <row r="45" spans="1:53" x14ac:dyDescent="0.25">
      <c r="A45" s="30" t="str">
        <f>A25</f>
        <v>Market failure (av. utilization)</v>
      </c>
      <c r="B45" s="62">
        <f t="shared" ref="B45:K46" si="47">($B25+($C25-$B25)*(1-Q25))*B$44</f>
        <v>1433.6000000000001</v>
      </c>
      <c r="C45" s="62">
        <f t="shared" si="47"/>
        <v>1433.6000000000001</v>
      </c>
      <c r="D45" s="62">
        <f t="shared" si="47"/>
        <v>1433.6000000000001</v>
      </c>
      <c r="E45" s="62">
        <f t="shared" si="47"/>
        <v>1433.6000000000001</v>
      </c>
      <c r="F45" s="62">
        <f t="shared" si="47"/>
        <v>1433.6000000000001</v>
      </c>
      <c r="G45" s="62">
        <f t="shared" si="47"/>
        <v>1433.6000000000001</v>
      </c>
      <c r="H45" s="62">
        <f t="shared" si="47"/>
        <v>1433.6000000000001</v>
      </c>
      <c r="I45" s="62">
        <f t="shared" si="47"/>
        <v>1433.6000000000001</v>
      </c>
      <c r="J45" s="62">
        <f t="shared" si="47"/>
        <v>1433.6000000000001</v>
      </c>
      <c r="K45" s="62">
        <f t="shared" si="47"/>
        <v>1433.6000000000001</v>
      </c>
      <c r="L45" s="62">
        <f t="shared" ref="L45:U46" si="48">($B25+($C25-$B25)*(1-AA25))*L$44</f>
        <v>1433.6000000000001</v>
      </c>
      <c r="M45" s="62">
        <f t="shared" si="48"/>
        <v>1433.6000000000001</v>
      </c>
      <c r="N45" s="62">
        <f t="shared" si="48"/>
        <v>1433.6000000000001</v>
      </c>
      <c r="O45" s="62">
        <f t="shared" si="48"/>
        <v>1433.6000000000001</v>
      </c>
      <c r="P45" s="62">
        <f t="shared" si="48"/>
        <v>1433.6000000000001</v>
      </c>
      <c r="Q45" s="62">
        <f t="shared" si="48"/>
        <v>1433.6000000000001</v>
      </c>
      <c r="R45" s="62">
        <f t="shared" si="48"/>
        <v>1433.6000000000001</v>
      </c>
      <c r="S45" s="62">
        <f t="shared" si="48"/>
        <v>1433.6000000000001</v>
      </c>
      <c r="T45" s="62">
        <f t="shared" si="48"/>
        <v>1433.6000000000001</v>
      </c>
      <c r="U45" s="62">
        <f t="shared" si="48"/>
        <v>1433.6000000000001</v>
      </c>
      <c r="V45" s="62">
        <f t="shared" ref="V45:AC46" si="49">($B25+($C25-$B25)*(1-AK25))*V$44</f>
        <v>1433.6000000000001</v>
      </c>
      <c r="W45" s="62">
        <f t="shared" si="49"/>
        <v>1433.6000000000001</v>
      </c>
      <c r="X45" s="62">
        <f t="shared" si="49"/>
        <v>1433.6000000000001</v>
      </c>
      <c r="Y45" s="62">
        <f t="shared" si="49"/>
        <v>1433.6000000000001</v>
      </c>
      <c r="Z45" s="62">
        <f t="shared" si="49"/>
        <v>1433.6000000000001</v>
      </c>
      <c r="AA45" s="62">
        <f t="shared" si="49"/>
        <v>1433.6000000000001</v>
      </c>
      <c r="AB45" s="62">
        <f t="shared" si="49"/>
        <v>1433.6000000000001</v>
      </c>
      <c r="AC45" s="62">
        <f t="shared" si="49"/>
        <v>1433.6000000000001</v>
      </c>
    </row>
    <row r="46" spans="1:53" x14ac:dyDescent="0.25">
      <c r="A46" s="30" t="s">
        <v>73</v>
      </c>
      <c r="B46" s="62">
        <f t="shared" si="47"/>
        <v>0</v>
      </c>
      <c r="C46" s="62">
        <f t="shared" si="47"/>
        <v>0</v>
      </c>
      <c r="D46" s="62">
        <f t="shared" si="47"/>
        <v>0</v>
      </c>
      <c r="E46" s="62">
        <f t="shared" si="47"/>
        <v>0</v>
      </c>
      <c r="F46" s="62">
        <f t="shared" si="47"/>
        <v>0</v>
      </c>
      <c r="G46" s="62">
        <f t="shared" si="47"/>
        <v>0</v>
      </c>
      <c r="H46" s="62">
        <f t="shared" si="47"/>
        <v>0</v>
      </c>
      <c r="I46" s="62">
        <f t="shared" si="47"/>
        <v>0</v>
      </c>
      <c r="J46" s="62">
        <f t="shared" si="47"/>
        <v>0</v>
      </c>
      <c r="K46" s="62">
        <f t="shared" si="47"/>
        <v>0</v>
      </c>
      <c r="L46" s="62">
        <f t="shared" si="48"/>
        <v>0</v>
      </c>
      <c r="M46" s="62">
        <f t="shared" si="48"/>
        <v>0</v>
      </c>
      <c r="N46" s="62">
        <f t="shared" si="48"/>
        <v>0</v>
      </c>
      <c r="O46" s="62">
        <f t="shared" si="48"/>
        <v>0</v>
      </c>
      <c r="P46" s="62">
        <f t="shared" si="48"/>
        <v>0</v>
      </c>
      <c r="Q46" s="62">
        <f t="shared" si="48"/>
        <v>0</v>
      </c>
      <c r="R46" s="62">
        <f t="shared" si="48"/>
        <v>0</v>
      </c>
      <c r="S46" s="62">
        <f t="shared" si="48"/>
        <v>0</v>
      </c>
      <c r="T46" s="62">
        <f t="shared" si="48"/>
        <v>0</v>
      </c>
      <c r="U46" s="62">
        <f t="shared" si="48"/>
        <v>0</v>
      </c>
      <c r="V46" s="62">
        <f t="shared" si="49"/>
        <v>0</v>
      </c>
      <c r="W46" s="62">
        <f t="shared" si="49"/>
        <v>0</v>
      </c>
      <c r="X46" s="62">
        <f t="shared" si="49"/>
        <v>0</v>
      </c>
      <c r="Y46" s="62">
        <f t="shared" si="49"/>
        <v>0</v>
      </c>
      <c r="Z46" s="62">
        <f t="shared" si="49"/>
        <v>0</v>
      </c>
      <c r="AA46" s="62">
        <f t="shared" si="49"/>
        <v>0</v>
      </c>
      <c r="AB46" s="62">
        <f t="shared" si="49"/>
        <v>0</v>
      </c>
      <c r="AC46" s="62">
        <f t="shared" si="49"/>
        <v>0</v>
      </c>
    </row>
    <row r="47" spans="1:53" x14ac:dyDescent="0.25">
      <c r="A47" s="30" t="str">
        <f>A27</f>
        <v>Annual Mileage</v>
      </c>
      <c r="B47" s="62">
        <f t="shared" ref="B47:AC47" si="50">$B27+($C27-$B27)*(1-Q27)</f>
        <v>178500</v>
      </c>
      <c r="C47" s="62">
        <f t="shared" si="50"/>
        <v>178500</v>
      </c>
      <c r="D47" s="62">
        <f t="shared" si="50"/>
        <v>178500</v>
      </c>
      <c r="E47" s="62">
        <f t="shared" si="50"/>
        <v>178500</v>
      </c>
      <c r="F47" s="62">
        <f t="shared" si="50"/>
        <v>178500</v>
      </c>
      <c r="G47" s="62">
        <f t="shared" si="50"/>
        <v>178500</v>
      </c>
      <c r="H47" s="62">
        <f t="shared" si="50"/>
        <v>178500</v>
      </c>
      <c r="I47" s="62">
        <f t="shared" si="50"/>
        <v>178500</v>
      </c>
      <c r="J47" s="62">
        <f t="shared" si="50"/>
        <v>178500</v>
      </c>
      <c r="K47" s="62">
        <f t="shared" si="50"/>
        <v>178500</v>
      </c>
      <c r="L47" s="62">
        <f t="shared" si="50"/>
        <v>178500</v>
      </c>
      <c r="M47" s="62">
        <f t="shared" si="50"/>
        <v>178500</v>
      </c>
      <c r="N47" s="62">
        <f t="shared" si="50"/>
        <v>178500</v>
      </c>
      <c r="O47" s="62">
        <f t="shared" si="50"/>
        <v>178500</v>
      </c>
      <c r="P47" s="62">
        <f t="shared" si="50"/>
        <v>178500</v>
      </c>
      <c r="Q47" s="62">
        <f t="shared" si="50"/>
        <v>178500</v>
      </c>
      <c r="R47" s="62">
        <f t="shared" si="50"/>
        <v>178500</v>
      </c>
      <c r="S47" s="62">
        <f t="shared" si="50"/>
        <v>178500</v>
      </c>
      <c r="T47" s="62">
        <f t="shared" si="50"/>
        <v>178500</v>
      </c>
      <c r="U47" s="62">
        <f t="shared" si="50"/>
        <v>178500</v>
      </c>
      <c r="V47" s="62">
        <f t="shared" si="50"/>
        <v>178500</v>
      </c>
      <c r="W47" s="62">
        <f t="shared" si="50"/>
        <v>178500</v>
      </c>
      <c r="X47" s="62">
        <f t="shared" si="50"/>
        <v>178500</v>
      </c>
      <c r="Y47" s="62">
        <f t="shared" si="50"/>
        <v>178500</v>
      </c>
      <c r="Z47" s="62">
        <f t="shared" si="50"/>
        <v>178500</v>
      </c>
      <c r="AA47" s="62">
        <f t="shared" si="50"/>
        <v>178500</v>
      </c>
      <c r="AB47" s="62">
        <f t="shared" si="50"/>
        <v>178500</v>
      </c>
      <c r="AC47" s="62">
        <f t="shared" si="50"/>
        <v>178500</v>
      </c>
    </row>
    <row r="48" spans="1:53"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435922.78488425701</v>
      </c>
      <c r="C50" s="63">
        <f t="shared" ref="C50:AC50" si="51">((1+C35)^C42)*C35/(((1+C35)^C42)-1)*(C31)</f>
        <v>435922.78488425701</v>
      </c>
      <c r="D50" s="63">
        <f t="shared" si="51"/>
        <v>435922.78488425701</v>
      </c>
      <c r="E50" s="63">
        <f t="shared" si="51"/>
        <v>435922.78488425701</v>
      </c>
      <c r="F50" s="63">
        <f t="shared" si="51"/>
        <v>435922.78488425701</v>
      </c>
      <c r="G50" s="63">
        <f t="shared" si="51"/>
        <v>435922.78488425701</v>
      </c>
      <c r="H50" s="63">
        <f t="shared" si="51"/>
        <v>435922.78488425701</v>
      </c>
      <c r="I50" s="63">
        <f t="shared" si="51"/>
        <v>435922.78488425701</v>
      </c>
      <c r="J50" s="63">
        <f t="shared" si="51"/>
        <v>435922.78488425701</v>
      </c>
      <c r="K50" s="63">
        <f t="shared" si="51"/>
        <v>435922.78488425701</v>
      </c>
      <c r="L50" s="63">
        <f t="shared" si="51"/>
        <v>435922.78488425701</v>
      </c>
      <c r="M50" s="63">
        <f t="shared" si="51"/>
        <v>435922.78488425701</v>
      </c>
      <c r="N50" s="63">
        <f t="shared" si="51"/>
        <v>435922.78488425701</v>
      </c>
      <c r="O50" s="63">
        <f t="shared" si="51"/>
        <v>435922.78488425701</v>
      </c>
      <c r="P50" s="63">
        <f t="shared" si="51"/>
        <v>435922.78488425701</v>
      </c>
      <c r="Q50" s="63">
        <f t="shared" si="51"/>
        <v>435922.78488425701</v>
      </c>
      <c r="R50" s="63">
        <f t="shared" si="51"/>
        <v>435922.78488425701</v>
      </c>
      <c r="S50" s="63">
        <f t="shared" si="51"/>
        <v>435922.78488425701</v>
      </c>
      <c r="T50" s="63">
        <f t="shared" si="51"/>
        <v>435922.78488425701</v>
      </c>
      <c r="U50" s="63">
        <f t="shared" si="51"/>
        <v>435922.78488425701</v>
      </c>
      <c r="V50" s="63">
        <f t="shared" si="51"/>
        <v>435922.78488425701</v>
      </c>
      <c r="W50" s="63">
        <f t="shared" si="51"/>
        <v>435922.78488425701</v>
      </c>
      <c r="X50" s="63">
        <f t="shared" si="51"/>
        <v>435922.78488425701</v>
      </c>
      <c r="Y50" s="63">
        <f t="shared" si="51"/>
        <v>435922.78488425701</v>
      </c>
      <c r="Z50" s="63">
        <f t="shared" si="51"/>
        <v>435922.78488425701</v>
      </c>
      <c r="AA50" s="63">
        <f t="shared" si="51"/>
        <v>435922.78488425701</v>
      </c>
      <c r="AB50" s="63">
        <f t="shared" si="51"/>
        <v>435922.78488425701</v>
      </c>
      <c r="AC50" s="63">
        <f t="shared" si="51"/>
        <v>435922.78488425701</v>
      </c>
    </row>
    <row r="51" spans="1:29" x14ac:dyDescent="0.25">
      <c r="A51" s="30" t="str">
        <f>A32</f>
        <v>Residual value (vehicle)</v>
      </c>
      <c r="B51" s="62">
        <f>((1+B35)^B42)*B35/(((1+B35)^B42)-1)*(B32)</f>
        <v>-65388.417732638554</v>
      </c>
      <c r="C51" s="62">
        <f t="shared" ref="C51:AC51" si="52">((1+C35)^C42)*C35/(((1+C35)^C42)-1)*(C32)</f>
        <v>-65388.417732638554</v>
      </c>
      <c r="D51" s="62">
        <f t="shared" si="52"/>
        <v>-65388.417732638554</v>
      </c>
      <c r="E51" s="62">
        <f t="shared" si="52"/>
        <v>-65388.417732638554</v>
      </c>
      <c r="F51" s="62">
        <f t="shared" si="52"/>
        <v>-65388.417732638554</v>
      </c>
      <c r="G51" s="62">
        <f t="shared" si="52"/>
        <v>-65388.417732638554</v>
      </c>
      <c r="H51" s="62">
        <f t="shared" si="52"/>
        <v>-65388.417732638554</v>
      </c>
      <c r="I51" s="62">
        <f t="shared" si="52"/>
        <v>-65388.417732638554</v>
      </c>
      <c r="J51" s="62">
        <f t="shared" si="52"/>
        <v>-65388.417732638554</v>
      </c>
      <c r="K51" s="62">
        <f t="shared" si="52"/>
        <v>-65388.417732638554</v>
      </c>
      <c r="L51" s="62">
        <f t="shared" si="52"/>
        <v>-65388.417732638554</v>
      </c>
      <c r="M51" s="62">
        <f t="shared" si="52"/>
        <v>-65388.417732638554</v>
      </c>
      <c r="N51" s="62">
        <f t="shared" si="52"/>
        <v>-65388.417732638554</v>
      </c>
      <c r="O51" s="62">
        <f t="shared" si="52"/>
        <v>-65388.417732638554</v>
      </c>
      <c r="P51" s="62">
        <f t="shared" si="52"/>
        <v>-65388.417732638554</v>
      </c>
      <c r="Q51" s="62">
        <f t="shared" si="52"/>
        <v>-65388.417732638554</v>
      </c>
      <c r="R51" s="62">
        <f t="shared" si="52"/>
        <v>-65388.417732638554</v>
      </c>
      <c r="S51" s="62">
        <f t="shared" si="52"/>
        <v>-65388.417732638554</v>
      </c>
      <c r="T51" s="62">
        <f t="shared" si="52"/>
        <v>-65388.417732638554</v>
      </c>
      <c r="U51" s="62">
        <f t="shared" si="52"/>
        <v>-65388.417732638554</v>
      </c>
      <c r="V51" s="62">
        <f t="shared" si="52"/>
        <v>-65388.417732638554</v>
      </c>
      <c r="W51" s="62">
        <f t="shared" si="52"/>
        <v>-65388.417732638554</v>
      </c>
      <c r="X51" s="62">
        <f t="shared" si="52"/>
        <v>-65388.417732638554</v>
      </c>
      <c r="Y51" s="62">
        <f t="shared" si="52"/>
        <v>-65388.417732638554</v>
      </c>
      <c r="Z51" s="62">
        <f t="shared" si="52"/>
        <v>-65388.417732638554</v>
      </c>
      <c r="AA51" s="62">
        <f t="shared" si="52"/>
        <v>-65388.417732638554</v>
      </c>
      <c r="AB51" s="62">
        <f t="shared" si="52"/>
        <v>-65388.417732638554</v>
      </c>
      <c r="AC51" s="62">
        <f t="shared" si="52"/>
        <v>-65388.417732638554</v>
      </c>
    </row>
    <row r="52" spans="1:29" x14ac:dyDescent="0.25">
      <c r="A52" s="30" t="str">
        <f>A33</f>
        <v>Capex costumization</v>
      </c>
      <c r="B52" s="62">
        <f>((1+B35)^B43)*B35/(((1+B35)^B43)-1)*(B33)</f>
        <v>305125.4282581982</v>
      </c>
      <c r="C52" s="62">
        <f t="shared" ref="C52:AC52" si="53">((1+C35)^C43)*C35/(((1+C35)^C43)-1)*(C33)</f>
        <v>305125.4282581982</v>
      </c>
      <c r="D52" s="62">
        <f t="shared" si="53"/>
        <v>305125.4282581982</v>
      </c>
      <c r="E52" s="62">
        <f t="shared" si="53"/>
        <v>305125.4282581982</v>
      </c>
      <c r="F52" s="62">
        <f t="shared" si="53"/>
        <v>305125.4282581982</v>
      </c>
      <c r="G52" s="62">
        <f t="shared" si="53"/>
        <v>305125.4282581982</v>
      </c>
      <c r="H52" s="62">
        <f t="shared" si="53"/>
        <v>305125.4282581982</v>
      </c>
      <c r="I52" s="62">
        <f t="shared" si="53"/>
        <v>305125.4282581982</v>
      </c>
      <c r="J52" s="62">
        <f t="shared" si="53"/>
        <v>305125.4282581982</v>
      </c>
      <c r="K52" s="62">
        <f t="shared" si="53"/>
        <v>305125.4282581982</v>
      </c>
      <c r="L52" s="62">
        <f t="shared" si="53"/>
        <v>305125.4282581982</v>
      </c>
      <c r="M52" s="62">
        <f t="shared" si="53"/>
        <v>305125.4282581982</v>
      </c>
      <c r="N52" s="62">
        <f t="shared" si="53"/>
        <v>305125.4282581982</v>
      </c>
      <c r="O52" s="62">
        <f t="shared" si="53"/>
        <v>305125.4282581982</v>
      </c>
      <c r="P52" s="62">
        <f t="shared" si="53"/>
        <v>305125.4282581982</v>
      </c>
      <c r="Q52" s="62">
        <f t="shared" si="53"/>
        <v>305125.4282581982</v>
      </c>
      <c r="R52" s="62">
        <f t="shared" si="53"/>
        <v>305125.4282581982</v>
      </c>
      <c r="S52" s="62">
        <f t="shared" si="53"/>
        <v>305125.4282581982</v>
      </c>
      <c r="T52" s="62">
        <f t="shared" si="53"/>
        <v>305125.4282581982</v>
      </c>
      <c r="U52" s="62">
        <f t="shared" si="53"/>
        <v>305125.4282581982</v>
      </c>
      <c r="V52" s="62">
        <f t="shared" si="53"/>
        <v>305125.4282581982</v>
      </c>
      <c r="W52" s="62">
        <f t="shared" si="53"/>
        <v>305125.4282581982</v>
      </c>
      <c r="X52" s="62">
        <f t="shared" si="53"/>
        <v>305125.4282581982</v>
      </c>
      <c r="Y52" s="62">
        <f t="shared" si="53"/>
        <v>305125.4282581982</v>
      </c>
      <c r="Z52" s="62">
        <f t="shared" si="53"/>
        <v>305125.4282581982</v>
      </c>
      <c r="AA52" s="62">
        <f t="shared" si="53"/>
        <v>305125.4282581982</v>
      </c>
      <c r="AB52" s="62">
        <f t="shared" si="53"/>
        <v>305125.4282581982</v>
      </c>
      <c r="AC52" s="62">
        <f t="shared" si="53"/>
        <v>305125.4282581982</v>
      </c>
    </row>
    <row r="53" spans="1:29" x14ac:dyDescent="0.25">
      <c r="A53" s="30" t="str">
        <f>A34</f>
        <v>Residual value (costumization)</v>
      </c>
      <c r="B53" s="62">
        <f>((1+B35)^B43)*B35/(((1+B35)^B43)-1)*(B34)</f>
        <v>-15256.271412909911</v>
      </c>
      <c r="C53" s="62">
        <f t="shared" ref="C53:AC53" si="54">((1+C35)^C43)*C35/(((1+C35)^C43)-1)*(C34)</f>
        <v>-15256.271412909911</v>
      </c>
      <c r="D53" s="62">
        <f t="shared" si="54"/>
        <v>-15256.271412909911</v>
      </c>
      <c r="E53" s="62">
        <f t="shared" si="54"/>
        <v>-15256.271412909911</v>
      </c>
      <c r="F53" s="62">
        <f t="shared" si="54"/>
        <v>-15256.271412909911</v>
      </c>
      <c r="G53" s="62">
        <f t="shared" si="54"/>
        <v>-15256.271412909911</v>
      </c>
      <c r="H53" s="62">
        <f t="shared" si="54"/>
        <v>-15256.271412909911</v>
      </c>
      <c r="I53" s="62">
        <f t="shared" si="54"/>
        <v>-15256.271412909911</v>
      </c>
      <c r="J53" s="62">
        <f t="shared" si="54"/>
        <v>-15256.271412909911</v>
      </c>
      <c r="K53" s="62">
        <f t="shared" si="54"/>
        <v>-15256.271412909911</v>
      </c>
      <c r="L53" s="62">
        <f t="shared" si="54"/>
        <v>-15256.271412909911</v>
      </c>
      <c r="M53" s="62">
        <f t="shared" si="54"/>
        <v>-15256.271412909911</v>
      </c>
      <c r="N53" s="62">
        <f t="shared" si="54"/>
        <v>-15256.271412909911</v>
      </c>
      <c r="O53" s="62">
        <f t="shared" si="54"/>
        <v>-15256.271412909911</v>
      </c>
      <c r="P53" s="62">
        <f t="shared" si="54"/>
        <v>-15256.271412909911</v>
      </c>
      <c r="Q53" s="62">
        <f t="shared" si="54"/>
        <v>-15256.271412909911</v>
      </c>
      <c r="R53" s="62">
        <f t="shared" si="54"/>
        <v>-15256.271412909911</v>
      </c>
      <c r="S53" s="62">
        <f t="shared" si="54"/>
        <v>-15256.271412909911</v>
      </c>
      <c r="T53" s="62">
        <f t="shared" si="54"/>
        <v>-15256.271412909911</v>
      </c>
      <c r="U53" s="62">
        <f t="shared" si="54"/>
        <v>-15256.271412909911</v>
      </c>
      <c r="V53" s="62">
        <f t="shared" si="54"/>
        <v>-15256.271412909911</v>
      </c>
      <c r="W53" s="62">
        <f t="shared" si="54"/>
        <v>-15256.271412909911</v>
      </c>
      <c r="X53" s="62">
        <f t="shared" si="54"/>
        <v>-15256.271412909911</v>
      </c>
      <c r="Y53" s="62">
        <f t="shared" si="54"/>
        <v>-15256.271412909911</v>
      </c>
      <c r="Z53" s="62">
        <f t="shared" si="54"/>
        <v>-15256.271412909911</v>
      </c>
      <c r="AA53" s="62">
        <f t="shared" si="54"/>
        <v>-15256.271412909911</v>
      </c>
      <c r="AB53" s="62">
        <f t="shared" si="54"/>
        <v>-15256.271412909911</v>
      </c>
      <c r="AC53" s="62">
        <f t="shared" si="54"/>
        <v>-15256.271412909911</v>
      </c>
    </row>
    <row r="54" spans="1:29" x14ac:dyDescent="0.25">
      <c r="A54" s="30" t="str">
        <f t="shared" ref="A54:AC54" si="55">A36</f>
        <v>Opex fix (admin, crew, insurance)</v>
      </c>
      <c r="B54" s="62">
        <f t="shared" si="55"/>
        <v>650000</v>
      </c>
      <c r="C54" s="62">
        <f t="shared" si="55"/>
        <v>650000</v>
      </c>
      <c r="D54" s="62">
        <f t="shared" si="55"/>
        <v>650000</v>
      </c>
      <c r="E54" s="62">
        <f t="shared" si="55"/>
        <v>650000</v>
      </c>
      <c r="F54" s="62">
        <f t="shared" si="55"/>
        <v>650000</v>
      </c>
      <c r="G54" s="62">
        <f t="shared" si="55"/>
        <v>650000</v>
      </c>
      <c r="H54" s="62">
        <f t="shared" si="55"/>
        <v>650000</v>
      </c>
      <c r="I54" s="62">
        <f t="shared" si="55"/>
        <v>650000</v>
      </c>
      <c r="J54" s="62">
        <f t="shared" si="55"/>
        <v>650000</v>
      </c>
      <c r="K54" s="62">
        <f t="shared" si="55"/>
        <v>650000</v>
      </c>
      <c r="L54" s="62">
        <f t="shared" si="55"/>
        <v>650000</v>
      </c>
      <c r="M54" s="62">
        <f t="shared" si="55"/>
        <v>650000</v>
      </c>
      <c r="N54" s="62">
        <f t="shared" si="55"/>
        <v>650000</v>
      </c>
      <c r="O54" s="62">
        <f t="shared" si="55"/>
        <v>650000</v>
      </c>
      <c r="P54" s="62">
        <f t="shared" si="55"/>
        <v>650000</v>
      </c>
      <c r="Q54" s="62">
        <f t="shared" si="55"/>
        <v>650000</v>
      </c>
      <c r="R54" s="62">
        <f t="shared" si="55"/>
        <v>650000</v>
      </c>
      <c r="S54" s="62">
        <f t="shared" si="55"/>
        <v>650000</v>
      </c>
      <c r="T54" s="62">
        <f t="shared" si="55"/>
        <v>650000</v>
      </c>
      <c r="U54" s="62">
        <f t="shared" si="55"/>
        <v>650000</v>
      </c>
      <c r="V54" s="62">
        <f t="shared" si="55"/>
        <v>650000</v>
      </c>
      <c r="W54" s="62">
        <f t="shared" si="55"/>
        <v>650000</v>
      </c>
      <c r="X54" s="62">
        <f t="shared" si="55"/>
        <v>650000</v>
      </c>
      <c r="Y54" s="62">
        <f t="shared" si="55"/>
        <v>650000</v>
      </c>
      <c r="Z54" s="62">
        <f t="shared" si="55"/>
        <v>650000</v>
      </c>
      <c r="AA54" s="62">
        <f t="shared" si="55"/>
        <v>650000</v>
      </c>
      <c r="AB54" s="62">
        <f t="shared" si="55"/>
        <v>650000</v>
      </c>
      <c r="AC54" s="62">
        <f t="shared" si="55"/>
        <v>650000</v>
      </c>
    </row>
    <row r="55" spans="1:29" x14ac:dyDescent="0.25">
      <c r="A55" s="30" t="str">
        <f t="shared" ref="A55:AC55" si="56">A37</f>
        <v>Opex maintenance &amp; repair</v>
      </c>
      <c r="B55" s="62">
        <f t="shared" si="56"/>
        <v>650000</v>
      </c>
      <c r="C55" s="62">
        <f t="shared" si="56"/>
        <v>650000</v>
      </c>
      <c r="D55" s="62">
        <f t="shared" si="56"/>
        <v>650000</v>
      </c>
      <c r="E55" s="62">
        <f t="shared" si="56"/>
        <v>650000</v>
      </c>
      <c r="F55" s="62">
        <f t="shared" si="56"/>
        <v>650000</v>
      </c>
      <c r="G55" s="62">
        <f t="shared" si="56"/>
        <v>650000</v>
      </c>
      <c r="H55" s="62">
        <f t="shared" si="56"/>
        <v>650000</v>
      </c>
      <c r="I55" s="62">
        <f t="shared" si="56"/>
        <v>650000</v>
      </c>
      <c r="J55" s="62">
        <f t="shared" si="56"/>
        <v>650000</v>
      </c>
      <c r="K55" s="62">
        <f t="shared" si="56"/>
        <v>650000</v>
      </c>
      <c r="L55" s="62">
        <f t="shared" si="56"/>
        <v>650000</v>
      </c>
      <c r="M55" s="62">
        <f t="shared" si="56"/>
        <v>650000</v>
      </c>
      <c r="N55" s="62">
        <f t="shared" si="56"/>
        <v>650000</v>
      </c>
      <c r="O55" s="62">
        <f t="shared" si="56"/>
        <v>650000</v>
      </c>
      <c r="P55" s="62">
        <f t="shared" si="56"/>
        <v>650000</v>
      </c>
      <c r="Q55" s="62">
        <f t="shared" si="56"/>
        <v>650000</v>
      </c>
      <c r="R55" s="62">
        <f t="shared" si="56"/>
        <v>650000</v>
      </c>
      <c r="S55" s="62">
        <f t="shared" si="56"/>
        <v>650000</v>
      </c>
      <c r="T55" s="62">
        <f t="shared" si="56"/>
        <v>650000</v>
      </c>
      <c r="U55" s="62">
        <f t="shared" si="56"/>
        <v>650000</v>
      </c>
      <c r="V55" s="62">
        <f t="shared" si="56"/>
        <v>650000</v>
      </c>
      <c r="W55" s="62">
        <f t="shared" si="56"/>
        <v>650000</v>
      </c>
      <c r="X55" s="62">
        <f t="shared" si="56"/>
        <v>650000</v>
      </c>
      <c r="Y55" s="62">
        <f t="shared" si="56"/>
        <v>650000</v>
      </c>
      <c r="Z55" s="62">
        <f t="shared" si="56"/>
        <v>650000</v>
      </c>
      <c r="AA55" s="62">
        <f t="shared" si="56"/>
        <v>650000</v>
      </c>
      <c r="AB55" s="62">
        <f t="shared" si="56"/>
        <v>650000</v>
      </c>
      <c r="AC55" s="62">
        <f t="shared" si="56"/>
        <v>650000</v>
      </c>
    </row>
    <row r="56" spans="1:29" x14ac:dyDescent="0.25">
      <c r="A56" s="30" t="str">
        <f>A38</f>
        <v>Opex var (mode-fees, shunting)</v>
      </c>
      <c r="B56" s="62">
        <f>B38*B47</f>
        <v>700000</v>
      </c>
      <c r="C56" s="62">
        <f t="shared" ref="C56:AC56" si="57">C38*C47</f>
        <v>700000</v>
      </c>
      <c r="D56" s="62">
        <f t="shared" si="57"/>
        <v>700000</v>
      </c>
      <c r="E56" s="62">
        <f t="shared" si="57"/>
        <v>700000</v>
      </c>
      <c r="F56" s="62">
        <f t="shared" si="57"/>
        <v>700000</v>
      </c>
      <c r="G56" s="62">
        <f t="shared" si="57"/>
        <v>700000</v>
      </c>
      <c r="H56" s="62">
        <f t="shared" si="57"/>
        <v>700000</v>
      </c>
      <c r="I56" s="62">
        <f t="shared" si="57"/>
        <v>700000</v>
      </c>
      <c r="J56" s="62">
        <f t="shared" si="57"/>
        <v>700000</v>
      </c>
      <c r="K56" s="62">
        <f t="shared" si="57"/>
        <v>700000</v>
      </c>
      <c r="L56" s="62">
        <f t="shared" si="57"/>
        <v>700000</v>
      </c>
      <c r="M56" s="62">
        <f t="shared" si="57"/>
        <v>700000</v>
      </c>
      <c r="N56" s="62">
        <f t="shared" si="57"/>
        <v>700000</v>
      </c>
      <c r="O56" s="62">
        <f t="shared" si="57"/>
        <v>700000</v>
      </c>
      <c r="P56" s="62">
        <f t="shared" si="57"/>
        <v>700000</v>
      </c>
      <c r="Q56" s="62">
        <f t="shared" si="57"/>
        <v>700000</v>
      </c>
      <c r="R56" s="62">
        <f t="shared" si="57"/>
        <v>700000</v>
      </c>
      <c r="S56" s="62">
        <f t="shared" si="57"/>
        <v>700000</v>
      </c>
      <c r="T56" s="62">
        <f t="shared" si="57"/>
        <v>700000</v>
      </c>
      <c r="U56" s="62">
        <f t="shared" si="57"/>
        <v>700000</v>
      </c>
      <c r="V56" s="62">
        <f t="shared" si="57"/>
        <v>700000</v>
      </c>
      <c r="W56" s="62">
        <f t="shared" si="57"/>
        <v>700000</v>
      </c>
      <c r="X56" s="62">
        <f t="shared" si="57"/>
        <v>700000</v>
      </c>
      <c r="Y56" s="62">
        <f t="shared" si="57"/>
        <v>700000</v>
      </c>
      <c r="Z56" s="62">
        <f t="shared" si="57"/>
        <v>700000</v>
      </c>
      <c r="AA56" s="62">
        <f t="shared" si="57"/>
        <v>700000</v>
      </c>
      <c r="AB56" s="62">
        <f t="shared" si="57"/>
        <v>700000</v>
      </c>
      <c r="AC56" s="62">
        <f t="shared" si="57"/>
        <v>700000</v>
      </c>
    </row>
    <row r="57" spans="1:29" x14ac:dyDescent="0.25">
      <c r="A57" s="30" t="str">
        <f>A40</f>
        <v>Fuel Cost</v>
      </c>
      <c r="B57" s="62">
        <f>B39*B40*B47</f>
        <v>751111.57484136568</v>
      </c>
      <c r="C57" s="62">
        <f t="shared" ref="C57:AC57" si="58">C39*C40*C47</f>
        <v>749640.20406893163</v>
      </c>
      <c r="D57" s="62">
        <f t="shared" si="58"/>
        <v>747551.06849570631</v>
      </c>
      <c r="E57" s="62">
        <f t="shared" si="58"/>
        <v>744598.27611606359</v>
      </c>
      <c r="F57" s="62">
        <f t="shared" si="58"/>
        <v>740452.6088878325</v>
      </c>
      <c r="G57" s="62">
        <f t="shared" si="58"/>
        <v>734688.62651678594</v>
      </c>
      <c r="H57" s="62">
        <f t="shared" si="58"/>
        <v>726786.42231709033</v>
      </c>
      <c r="I57" s="62">
        <f t="shared" si="58"/>
        <v>716166.70663866785</v>
      </c>
      <c r="J57" s="62">
        <f t="shared" si="58"/>
        <v>702284.68666878145</v>
      </c>
      <c r="K57" s="62">
        <f t="shared" si="58"/>
        <v>684802.6288826263</v>
      </c>
      <c r="L57" s="62">
        <f t="shared" si="58"/>
        <v>663824.6613617877</v>
      </c>
      <c r="M57" s="62">
        <f t="shared" si="58"/>
        <v>640103.32837446698</v>
      </c>
      <c r="N57" s="62">
        <f t="shared" si="58"/>
        <v>615060.8144659329</v>
      </c>
      <c r="O57" s="62">
        <f t="shared" si="58"/>
        <v>590511.09039041016</v>
      </c>
      <c r="P57" s="62">
        <f t="shared" si="58"/>
        <v>568162.97124387894</v>
      </c>
      <c r="Q57" s="62">
        <f t="shared" si="58"/>
        <v>549170.25240269292</v>
      </c>
      <c r="R57" s="62">
        <f t="shared" si="58"/>
        <v>533960.48601413262</v>
      </c>
      <c r="S57" s="62">
        <f t="shared" si="58"/>
        <v>522354.75920205587</v>
      </c>
      <c r="T57" s="62">
        <f t="shared" si="58"/>
        <v>513823.61921454349</v>
      </c>
      <c r="U57" s="62">
        <f t="shared" si="58"/>
        <v>507723.97754061088</v>
      </c>
      <c r="V57" s="62">
        <f t="shared" si="58"/>
        <v>503449.02952013491</v>
      </c>
      <c r="W57" s="62">
        <f t="shared" si="58"/>
        <v>500494.77767914557</v>
      </c>
      <c r="X57" s="62">
        <f t="shared" si="58"/>
        <v>498473.03592834057</v>
      </c>
      <c r="Y57" s="62">
        <f t="shared" si="58"/>
        <v>497098.69195112609</v>
      </c>
      <c r="Z57" s="62">
        <f t="shared" si="58"/>
        <v>496168.68867462687</v>
      </c>
      <c r="AA57" s="62">
        <f t="shared" si="58"/>
        <v>495541.30749335821</v>
      </c>
      <c r="AB57" s="62">
        <f t="shared" si="58"/>
        <v>495118.95759869332</v>
      </c>
      <c r="AC57" s="62">
        <f t="shared" si="58"/>
        <v>494835.03304358089</v>
      </c>
    </row>
    <row r="58" spans="1:29" ht="15.75" thickBot="1" x14ac:dyDescent="0.3">
      <c r="A58" s="59" t="str">
        <f>A21</f>
        <v>Emission Cost</v>
      </c>
      <c r="B58" s="62">
        <f>B41*B47</f>
        <v>13039.654269385623</v>
      </c>
      <c r="C58" s="62">
        <f t="shared" ref="C58:AC58" si="59">C41*C47</f>
        <v>13027.237341387387</v>
      </c>
      <c r="D58" s="62">
        <f t="shared" si="59"/>
        <v>13009.462785522683</v>
      </c>
      <c r="E58" s="62">
        <f t="shared" si="59"/>
        <v>12984.035033395578</v>
      </c>
      <c r="F58" s="62">
        <f t="shared" si="59"/>
        <v>12947.693164693866</v>
      </c>
      <c r="G58" s="62">
        <f t="shared" si="59"/>
        <v>12895.825464253008</v>
      </c>
      <c r="H58" s="62">
        <f t="shared" si="59"/>
        <v>12821.953134285463</v>
      </c>
      <c r="I58" s="62">
        <f t="shared" si="59"/>
        <v>12717.065015462145</v>
      </c>
      <c r="J58" s="62">
        <f t="shared" si="59"/>
        <v>12568.815738610079</v>
      </c>
      <c r="K58" s="62">
        <f t="shared" si="59"/>
        <v>12360.676428548282</v>
      </c>
      <c r="L58" s="62">
        <f t="shared" si="59"/>
        <v>12071.287230653141</v>
      </c>
      <c r="M58" s="62">
        <f t="shared" si="59"/>
        <v>11674.545466410327</v>
      </c>
      <c r="N58" s="62">
        <f t="shared" si="59"/>
        <v>11141.367048396694</v>
      </c>
      <c r="O58" s="62">
        <f t="shared" si="59"/>
        <v>10444.399853557694</v>
      </c>
      <c r="P58" s="62">
        <f t="shared" si="59"/>
        <v>9566.6874744038923</v>
      </c>
      <c r="Q58" s="62">
        <f t="shared" si="59"/>
        <v>8513.4578141571128</v>
      </c>
      <c r="R58" s="62">
        <f t="shared" si="59"/>
        <v>7322.4934627241992</v>
      </c>
      <c r="S58" s="62">
        <f t="shared" si="59"/>
        <v>6065.1972833202499</v>
      </c>
      <c r="T58" s="62">
        <f t="shared" si="59"/>
        <v>4832.6423410204261</v>
      </c>
      <c r="U58" s="62">
        <f t="shared" si="59"/>
        <v>3710.6222066830942</v>
      </c>
      <c r="V58" s="62">
        <f t="shared" si="59"/>
        <v>2757.064871236083</v>
      </c>
      <c r="W58" s="62">
        <f t="shared" si="59"/>
        <v>1993.4362179862808</v>
      </c>
      <c r="X58" s="62">
        <f t="shared" si="59"/>
        <v>1410.7536632984488</v>
      </c>
      <c r="Y58" s="62">
        <f t="shared" si="59"/>
        <v>982.43525439445648</v>
      </c>
      <c r="Z58" s="62">
        <f t="shared" si="59"/>
        <v>676.1937883667581</v>
      </c>
      <c r="AA58" s="62">
        <f t="shared" si="59"/>
        <v>461.5637463140161</v>
      </c>
      <c r="AB58" s="62">
        <f t="shared" si="59"/>
        <v>313.24119506219733</v>
      </c>
      <c r="AC58" s="62">
        <f t="shared" si="59"/>
        <v>211.73668204434628</v>
      </c>
    </row>
    <row r="59" spans="1:29" ht="15.75" thickBot="1" x14ac:dyDescent="0.3">
      <c r="A59" s="31" t="s">
        <v>209</v>
      </c>
      <c r="B59" s="64">
        <f>B50+B51+B52+B53+B54+B55+B56+B57+B58</f>
        <v>3424554.7531076581</v>
      </c>
      <c r="C59" s="64">
        <f t="shared" ref="C59:AC59" si="60">C50+C51+C52+C53+C54+C55+C56+C57+C58</f>
        <v>3423070.9654072258</v>
      </c>
      <c r="D59" s="64">
        <f t="shared" si="60"/>
        <v>3420964.0552781355</v>
      </c>
      <c r="E59" s="64">
        <f t="shared" si="60"/>
        <v>3417985.8351463657</v>
      </c>
      <c r="F59" s="64">
        <f t="shared" si="60"/>
        <v>3413803.8260494331</v>
      </c>
      <c r="G59" s="64">
        <f t="shared" si="60"/>
        <v>3407987.9759779456</v>
      </c>
      <c r="H59" s="64">
        <f t="shared" si="60"/>
        <v>3400011.8994482826</v>
      </c>
      <c r="I59" s="64">
        <f t="shared" si="60"/>
        <v>3389287.2956510368</v>
      </c>
      <c r="J59" s="64">
        <f t="shared" si="60"/>
        <v>3375257.0264042984</v>
      </c>
      <c r="K59" s="64">
        <f t="shared" si="60"/>
        <v>3357566.8293080814</v>
      </c>
      <c r="L59" s="64">
        <f t="shared" si="60"/>
        <v>3336299.472589348</v>
      </c>
      <c r="M59" s="64">
        <f t="shared" si="60"/>
        <v>3312181.3978377841</v>
      </c>
      <c r="N59" s="64">
        <f t="shared" si="60"/>
        <v>3286605.7055112366</v>
      </c>
      <c r="O59" s="64">
        <f t="shared" si="60"/>
        <v>3261359.0142408749</v>
      </c>
      <c r="P59" s="64">
        <f t="shared" si="60"/>
        <v>3238133.1827151896</v>
      </c>
      <c r="Q59" s="64">
        <f t="shared" si="60"/>
        <v>3218087.2342137569</v>
      </c>
      <c r="R59" s="64">
        <f t="shared" si="60"/>
        <v>3201686.5034737638</v>
      </c>
      <c r="S59" s="64">
        <f t="shared" si="60"/>
        <v>3188823.480482283</v>
      </c>
      <c r="T59" s="64">
        <f t="shared" si="60"/>
        <v>3179059.7855524709</v>
      </c>
      <c r="U59" s="64">
        <f t="shared" si="60"/>
        <v>3171838.1237442009</v>
      </c>
      <c r="V59" s="64">
        <f t="shared" si="60"/>
        <v>3166609.6183882779</v>
      </c>
      <c r="W59" s="64">
        <f t="shared" si="60"/>
        <v>3162891.7378940391</v>
      </c>
      <c r="X59" s="64">
        <f t="shared" si="60"/>
        <v>3160287.3135885461</v>
      </c>
      <c r="Y59" s="64">
        <f t="shared" si="60"/>
        <v>3158484.6512024277</v>
      </c>
      <c r="Z59" s="64">
        <f t="shared" si="60"/>
        <v>3157248.4064599006</v>
      </c>
      <c r="AA59" s="64">
        <f t="shared" si="60"/>
        <v>3156406.3952365792</v>
      </c>
      <c r="AB59" s="64">
        <f t="shared" si="60"/>
        <v>3155835.7227906622</v>
      </c>
      <c r="AC59" s="64">
        <f t="shared" si="60"/>
        <v>3155450.2937225322</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61">A50</f>
        <v>Capex vehicle</v>
      </c>
      <c r="B62" s="65">
        <f>((1+B35)^B42)*B35/(((1+B35)^B42)-1)*(B31)/B47</f>
        <v>2.4421444531330927</v>
      </c>
      <c r="C62" s="65">
        <f t="shared" ref="C62:AC62" si="62">((1+C35)^C42)*C35/(((1+C35)^C42)-1)*(C31)/C47</f>
        <v>2.4421444531330927</v>
      </c>
      <c r="D62" s="65">
        <f t="shared" si="62"/>
        <v>2.4421444531330927</v>
      </c>
      <c r="E62" s="65">
        <f t="shared" si="62"/>
        <v>2.4421444531330927</v>
      </c>
      <c r="F62" s="65">
        <f t="shared" si="62"/>
        <v>2.4421444531330927</v>
      </c>
      <c r="G62" s="65">
        <f t="shared" si="62"/>
        <v>2.4421444531330927</v>
      </c>
      <c r="H62" s="65">
        <f t="shared" si="62"/>
        <v>2.4421444531330927</v>
      </c>
      <c r="I62" s="65">
        <f t="shared" si="62"/>
        <v>2.4421444531330927</v>
      </c>
      <c r="J62" s="65">
        <f t="shared" si="62"/>
        <v>2.4421444531330927</v>
      </c>
      <c r="K62" s="65">
        <f t="shared" si="62"/>
        <v>2.4421444531330927</v>
      </c>
      <c r="L62" s="65">
        <f t="shared" si="62"/>
        <v>2.4421444531330927</v>
      </c>
      <c r="M62" s="65">
        <f t="shared" si="62"/>
        <v>2.4421444531330927</v>
      </c>
      <c r="N62" s="65">
        <f t="shared" si="62"/>
        <v>2.4421444531330927</v>
      </c>
      <c r="O62" s="65">
        <f t="shared" si="62"/>
        <v>2.4421444531330927</v>
      </c>
      <c r="P62" s="65">
        <f t="shared" si="62"/>
        <v>2.4421444531330927</v>
      </c>
      <c r="Q62" s="65">
        <f t="shared" si="62"/>
        <v>2.4421444531330927</v>
      </c>
      <c r="R62" s="65">
        <f t="shared" si="62"/>
        <v>2.4421444531330927</v>
      </c>
      <c r="S62" s="65">
        <f t="shared" si="62"/>
        <v>2.4421444531330927</v>
      </c>
      <c r="T62" s="65">
        <f t="shared" si="62"/>
        <v>2.4421444531330927</v>
      </c>
      <c r="U62" s="65">
        <f t="shared" si="62"/>
        <v>2.4421444531330927</v>
      </c>
      <c r="V62" s="65">
        <f t="shared" si="62"/>
        <v>2.4421444531330927</v>
      </c>
      <c r="W62" s="65">
        <f t="shared" si="62"/>
        <v>2.4421444531330927</v>
      </c>
      <c r="X62" s="65">
        <f t="shared" si="62"/>
        <v>2.4421444531330927</v>
      </c>
      <c r="Y62" s="65">
        <f t="shared" si="62"/>
        <v>2.4421444531330927</v>
      </c>
      <c r="Z62" s="65">
        <f t="shared" si="62"/>
        <v>2.4421444531330927</v>
      </c>
      <c r="AA62" s="65">
        <f t="shared" si="62"/>
        <v>2.4421444531330927</v>
      </c>
      <c r="AB62" s="65">
        <f t="shared" si="62"/>
        <v>2.4421444531330927</v>
      </c>
      <c r="AC62" s="65">
        <f t="shared" si="62"/>
        <v>2.4421444531330927</v>
      </c>
    </row>
    <row r="63" spans="1:29" x14ac:dyDescent="0.25">
      <c r="A63" s="30" t="str">
        <f t="shared" si="61"/>
        <v>Residual value (vehicle)</v>
      </c>
      <c r="B63" s="66">
        <f>((1+B35)^B42)*B35/(((1+B35)^B42)-1)*(B32)/B47</f>
        <v>-0.3663216679699639</v>
      </c>
      <c r="C63" s="66">
        <f t="shared" ref="C63:AC63" si="63">((1+C35)^C42)*C35/(((1+C35)^C42)-1)*(C32)/C47</f>
        <v>-0.3663216679699639</v>
      </c>
      <c r="D63" s="66">
        <f t="shared" si="63"/>
        <v>-0.3663216679699639</v>
      </c>
      <c r="E63" s="66">
        <f t="shared" si="63"/>
        <v>-0.3663216679699639</v>
      </c>
      <c r="F63" s="66">
        <f t="shared" si="63"/>
        <v>-0.3663216679699639</v>
      </c>
      <c r="G63" s="66">
        <f t="shared" si="63"/>
        <v>-0.3663216679699639</v>
      </c>
      <c r="H63" s="66">
        <f t="shared" si="63"/>
        <v>-0.3663216679699639</v>
      </c>
      <c r="I63" s="66">
        <f t="shared" si="63"/>
        <v>-0.3663216679699639</v>
      </c>
      <c r="J63" s="66">
        <f t="shared" si="63"/>
        <v>-0.3663216679699639</v>
      </c>
      <c r="K63" s="66">
        <f t="shared" si="63"/>
        <v>-0.3663216679699639</v>
      </c>
      <c r="L63" s="66">
        <f t="shared" si="63"/>
        <v>-0.3663216679699639</v>
      </c>
      <c r="M63" s="66">
        <f t="shared" si="63"/>
        <v>-0.3663216679699639</v>
      </c>
      <c r="N63" s="66">
        <f t="shared" si="63"/>
        <v>-0.3663216679699639</v>
      </c>
      <c r="O63" s="66">
        <f t="shared" si="63"/>
        <v>-0.3663216679699639</v>
      </c>
      <c r="P63" s="66">
        <f t="shared" si="63"/>
        <v>-0.3663216679699639</v>
      </c>
      <c r="Q63" s="66">
        <f t="shared" si="63"/>
        <v>-0.3663216679699639</v>
      </c>
      <c r="R63" s="66">
        <f t="shared" si="63"/>
        <v>-0.3663216679699639</v>
      </c>
      <c r="S63" s="66">
        <f t="shared" si="63"/>
        <v>-0.3663216679699639</v>
      </c>
      <c r="T63" s="66">
        <f t="shared" si="63"/>
        <v>-0.3663216679699639</v>
      </c>
      <c r="U63" s="66">
        <f t="shared" si="63"/>
        <v>-0.3663216679699639</v>
      </c>
      <c r="V63" s="66">
        <f t="shared" si="63"/>
        <v>-0.3663216679699639</v>
      </c>
      <c r="W63" s="66">
        <f t="shared" si="63"/>
        <v>-0.3663216679699639</v>
      </c>
      <c r="X63" s="66">
        <f t="shared" si="63"/>
        <v>-0.3663216679699639</v>
      </c>
      <c r="Y63" s="66">
        <f t="shared" si="63"/>
        <v>-0.3663216679699639</v>
      </c>
      <c r="Z63" s="66">
        <f t="shared" si="63"/>
        <v>-0.3663216679699639</v>
      </c>
      <c r="AA63" s="66">
        <f t="shared" si="63"/>
        <v>-0.3663216679699639</v>
      </c>
      <c r="AB63" s="66">
        <f t="shared" si="63"/>
        <v>-0.3663216679699639</v>
      </c>
      <c r="AC63" s="66">
        <f t="shared" si="63"/>
        <v>-0.3663216679699639</v>
      </c>
    </row>
    <row r="64" spans="1:29" x14ac:dyDescent="0.25">
      <c r="A64" s="30" t="str">
        <f t="shared" si="61"/>
        <v>Capex costumization</v>
      </c>
      <c r="B64" s="66">
        <f>((1+B35)^B43)*B35/(((1+B35)^B43)-1)*(B33)/B47</f>
        <v>1.7093861527069927</v>
      </c>
      <c r="C64" s="66">
        <f t="shared" ref="C64:AC64" si="64">((1+C35)^C43)*C35/(((1+C35)^C43)-1)*(C33)/C47</f>
        <v>1.7093861527069927</v>
      </c>
      <c r="D64" s="66">
        <f t="shared" si="64"/>
        <v>1.7093861527069927</v>
      </c>
      <c r="E64" s="66">
        <f t="shared" si="64"/>
        <v>1.7093861527069927</v>
      </c>
      <c r="F64" s="66">
        <f t="shared" si="64"/>
        <v>1.7093861527069927</v>
      </c>
      <c r="G64" s="66">
        <f t="shared" si="64"/>
        <v>1.7093861527069927</v>
      </c>
      <c r="H64" s="66">
        <f t="shared" si="64"/>
        <v>1.7093861527069927</v>
      </c>
      <c r="I64" s="66">
        <f t="shared" si="64"/>
        <v>1.7093861527069927</v>
      </c>
      <c r="J64" s="66">
        <f t="shared" si="64"/>
        <v>1.7093861527069927</v>
      </c>
      <c r="K64" s="66">
        <f t="shared" si="64"/>
        <v>1.7093861527069927</v>
      </c>
      <c r="L64" s="66">
        <f t="shared" si="64"/>
        <v>1.7093861527069927</v>
      </c>
      <c r="M64" s="66">
        <f t="shared" si="64"/>
        <v>1.7093861527069927</v>
      </c>
      <c r="N64" s="66">
        <f t="shared" si="64"/>
        <v>1.7093861527069927</v>
      </c>
      <c r="O64" s="66">
        <f t="shared" si="64"/>
        <v>1.7093861527069927</v>
      </c>
      <c r="P64" s="66">
        <f t="shared" si="64"/>
        <v>1.7093861527069927</v>
      </c>
      <c r="Q64" s="66">
        <f t="shared" si="64"/>
        <v>1.7093861527069927</v>
      </c>
      <c r="R64" s="66">
        <f t="shared" si="64"/>
        <v>1.7093861527069927</v>
      </c>
      <c r="S64" s="66">
        <f t="shared" si="64"/>
        <v>1.7093861527069927</v>
      </c>
      <c r="T64" s="66">
        <f t="shared" si="64"/>
        <v>1.7093861527069927</v>
      </c>
      <c r="U64" s="66">
        <f t="shared" si="64"/>
        <v>1.7093861527069927</v>
      </c>
      <c r="V64" s="66">
        <f t="shared" si="64"/>
        <v>1.7093861527069927</v>
      </c>
      <c r="W64" s="66">
        <f t="shared" si="64"/>
        <v>1.7093861527069927</v>
      </c>
      <c r="X64" s="66">
        <f t="shared" si="64"/>
        <v>1.7093861527069927</v>
      </c>
      <c r="Y64" s="66">
        <f t="shared" si="64"/>
        <v>1.7093861527069927</v>
      </c>
      <c r="Z64" s="66">
        <f t="shared" si="64"/>
        <v>1.7093861527069927</v>
      </c>
      <c r="AA64" s="66">
        <f t="shared" si="64"/>
        <v>1.7093861527069927</v>
      </c>
      <c r="AB64" s="66">
        <f t="shared" si="64"/>
        <v>1.7093861527069927</v>
      </c>
      <c r="AC64" s="66">
        <f t="shared" si="64"/>
        <v>1.7093861527069927</v>
      </c>
    </row>
    <row r="65" spans="1:29" x14ac:dyDescent="0.25">
      <c r="A65" s="30" t="str">
        <f t="shared" si="61"/>
        <v>Residual value (costumization)</v>
      </c>
      <c r="B65" s="66">
        <f>((1+B35)^B43)*B35/(((1+B35)^B43)-1)*(B34)/B47</f>
        <v>-8.5469307635349642E-2</v>
      </c>
      <c r="C65" s="66">
        <f t="shared" ref="C65:AC65" si="65">((1+C35)^C43)*C35/(((1+C35)^C43)-1)*(C34)/C47</f>
        <v>-8.5469307635349642E-2</v>
      </c>
      <c r="D65" s="66">
        <f t="shared" si="65"/>
        <v>-8.5469307635349642E-2</v>
      </c>
      <c r="E65" s="66">
        <f t="shared" si="65"/>
        <v>-8.5469307635349642E-2</v>
      </c>
      <c r="F65" s="66">
        <f t="shared" si="65"/>
        <v>-8.5469307635349642E-2</v>
      </c>
      <c r="G65" s="66">
        <f t="shared" si="65"/>
        <v>-8.5469307635349642E-2</v>
      </c>
      <c r="H65" s="66">
        <f t="shared" si="65"/>
        <v>-8.5469307635349642E-2</v>
      </c>
      <c r="I65" s="66">
        <f t="shared" si="65"/>
        <v>-8.5469307635349642E-2</v>
      </c>
      <c r="J65" s="66">
        <f t="shared" si="65"/>
        <v>-8.5469307635349642E-2</v>
      </c>
      <c r="K65" s="66">
        <f t="shared" si="65"/>
        <v>-8.5469307635349642E-2</v>
      </c>
      <c r="L65" s="66">
        <f t="shared" si="65"/>
        <v>-8.5469307635349642E-2</v>
      </c>
      <c r="M65" s="66">
        <f t="shared" si="65"/>
        <v>-8.5469307635349642E-2</v>
      </c>
      <c r="N65" s="66">
        <f t="shared" si="65"/>
        <v>-8.5469307635349642E-2</v>
      </c>
      <c r="O65" s="66">
        <f t="shared" si="65"/>
        <v>-8.5469307635349642E-2</v>
      </c>
      <c r="P65" s="66">
        <f t="shared" si="65"/>
        <v>-8.5469307635349642E-2</v>
      </c>
      <c r="Q65" s="66">
        <f t="shared" si="65"/>
        <v>-8.5469307635349642E-2</v>
      </c>
      <c r="R65" s="66">
        <f t="shared" si="65"/>
        <v>-8.5469307635349642E-2</v>
      </c>
      <c r="S65" s="66">
        <f t="shared" si="65"/>
        <v>-8.5469307635349642E-2</v>
      </c>
      <c r="T65" s="66">
        <f t="shared" si="65"/>
        <v>-8.5469307635349642E-2</v>
      </c>
      <c r="U65" s="66">
        <f t="shared" si="65"/>
        <v>-8.5469307635349642E-2</v>
      </c>
      <c r="V65" s="66">
        <f t="shared" si="65"/>
        <v>-8.5469307635349642E-2</v>
      </c>
      <c r="W65" s="66">
        <f t="shared" si="65"/>
        <v>-8.5469307635349642E-2</v>
      </c>
      <c r="X65" s="66">
        <f t="shared" si="65"/>
        <v>-8.5469307635349642E-2</v>
      </c>
      <c r="Y65" s="66">
        <f t="shared" si="65"/>
        <v>-8.5469307635349642E-2</v>
      </c>
      <c r="Z65" s="66">
        <f t="shared" si="65"/>
        <v>-8.5469307635349642E-2</v>
      </c>
      <c r="AA65" s="66">
        <f t="shared" si="65"/>
        <v>-8.5469307635349642E-2</v>
      </c>
      <c r="AB65" s="66">
        <f t="shared" si="65"/>
        <v>-8.5469307635349642E-2</v>
      </c>
      <c r="AC65" s="66">
        <f t="shared" si="65"/>
        <v>-8.5469307635349642E-2</v>
      </c>
    </row>
    <row r="66" spans="1:29" x14ac:dyDescent="0.25">
      <c r="A66" s="30" t="str">
        <f t="shared" si="61"/>
        <v>Opex fix (admin, crew, insurance)</v>
      </c>
      <c r="B66" s="66">
        <f>B36/B47</f>
        <v>3.6414565826330532</v>
      </c>
      <c r="C66" s="66">
        <f t="shared" ref="C66:AC66" si="66">C36/C47</f>
        <v>3.6414565826330532</v>
      </c>
      <c r="D66" s="66">
        <f t="shared" si="66"/>
        <v>3.6414565826330532</v>
      </c>
      <c r="E66" s="66">
        <f t="shared" si="66"/>
        <v>3.6414565826330532</v>
      </c>
      <c r="F66" s="66">
        <f t="shared" si="66"/>
        <v>3.6414565826330532</v>
      </c>
      <c r="G66" s="66">
        <f t="shared" si="66"/>
        <v>3.6414565826330532</v>
      </c>
      <c r="H66" s="66">
        <f t="shared" si="66"/>
        <v>3.6414565826330532</v>
      </c>
      <c r="I66" s="66">
        <f t="shared" si="66"/>
        <v>3.6414565826330532</v>
      </c>
      <c r="J66" s="66">
        <f t="shared" si="66"/>
        <v>3.6414565826330532</v>
      </c>
      <c r="K66" s="66">
        <f t="shared" si="66"/>
        <v>3.6414565826330532</v>
      </c>
      <c r="L66" s="66">
        <f t="shared" si="66"/>
        <v>3.6414565826330532</v>
      </c>
      <c r="M66" s="66">
        <f t="shared" si="66"/>
        <v>3.6414565826330532</v>
      </c>
      <c r="N66" s="66">
        <f t="shared" si="66"/>
        <v>3.6414565826330532</v>
      </c>
      <c r="O66" s="66">
        <f t="shared" si="66"/>
        <v>3.6414565826330532</v>
      </c>
      <c r="P66" s="66">
        <f t="shared" si="66"/>
        <v>3.6414565826330532</v>
      </c>
      <c r="Q66" s="66">
        <f t="shared" si="66"/>
        <v>3.6414565826330532</v>
      </c>
      <c r="R66" s="66">
        <f t="shared" si="66"/>
        <v>3.6414565826330532</v>
      </c>
      <c r="S66" s="66">
        <f t="shared" si="66"/>
        <v>3.6414565826330532</v>
      </c>
      <c r="T66" s="66">
        <f t="shared" si="66"/>
        <v>3.6414565826330532</v>
      </c>
      <c r="U66" s="66">
        <f t="shared" si="66"/>
        <v>3.6414565826330532</v>
      </c>
      <c r="V66" s="66">
        <f t="shared" si="66"/>
        <v>3.6414565826330532</v>
      </c>
      <c r="W66" s="66">
        <f t="shared" si="66"/>
        <v>3.6414565826330532</v>
      </c>
      <c r="X66" s="66">
        <f t="shared" si="66"/>
        <v>3.6414565826330532</v>
      </c>
      <c r="Y66" s="66">
        <f t="shared" si="66"/>
        <v>3.6414565826330532</v>
      </c>
      <c r="Z66" s="66">
        <f t="shared" si="66"/>
        <v>3.6414565826330532</v>
      </c>
      <c r="AA66" s="66">
        <f t="shared" si="66"/>
        <v>3.6414565826330532</v>
      </c>
      <c r="AB66" s="66">
        <f t="shared" si="66"/>
        <v>3.6414565826330532</v>
      </c>
      <c r="AC66" s="66">
        <f t="shared" si="66"/>
        <v>3.6414565826330532</v>
      </c>
    </row>
    <row r="67" spans="1:29" x14ac:dyDescent="0.25">
      <c r="A67" s="30" t="str">
        <f t="shared" si="61"/>
        <v>Opex maintenance &amp; repair</v>
      </c>
      <c r="B67" s="66">
        <f>B37/B47</f>
        <v>3.6414565826330532</v>
      </c>
      <c r="C67" s="66">
        <f t="shared" ref="C67:AC67" si="67">C37/C47</f>
        <v>3.6414565826330532</v>
      </c>
      <c r="D67" s="66">
        <f t="shared" si="67"/>
        <v>3.6414565826330532</v>
      </c>
      <c r="E67" s="66">
        <f t="shared" si="67"/>
        <v>3.6414565826330532</v>
      </c>
      <c r="F67" s="66">
        <f t="shared" si="67"/>
        <v>3.6414565826330532</v>
      </c>
      <c r="G67" s="66">
        <f t="shared" si="67"/>
        <v>3.6414565826330532</v>
      </c>
      <c r="H67" s="66">
        <f t="shared" si="67"/>
        <v>3.6414565826330532</v>
      </c>
      <c r="I67" s="66">
        <f t="shared" si="67"/>
        <v>3.6414565826330532</v>
      </c>
      <c r="J67" s="66">
        <f t="shared" si="67"/>
        <v>3.6414565826330532</v>
      </c>
      <c r="K67" s="66">
        <f t="shared" si="67"/>
        <v>3.6414565826330532</v>
      </c>
      <c r="L67" s="66">
        <f t="shared" si="67"/>
        <v>3.6414565826330532</v>
      </c>
      <c r="M67" s="66">
        <f t="shared" si="67"/>
        <v>3.6414565826330532</v>
      </c>
      <c r="N67" s="66">
        <f t="shared" si="67"/>
        <v>3.6414565826330532</v>
      </c>
      <c r="O67" s="66">
        <f t="shared" si="67"/>
        <v>3.6414565826330532</v>
      </c>
      <c r="P67" s="66">
        <f t="shared" si="67"/>
        <v>3.6414565826330532</v>
      </c>
      <c r="Q67" s="66">
        <f t="shared" si="67"/>
        <v>3.6414565826330532</v>
      </c>
      <c r="R67" s="66">
        <f t="shared" si="67"/>
        <v>3.6414565826330532</v>
      </c>
      <c r="S67" s="66">
        <f t="shared" si="67"/>
        <v>3.6414565826330532</v>
      </c>
      <c r="T67" s="66">
        <f t="shared" si="67"/>
        <v>3.6414565826330532</v>
      </c>
      <c r="U67" s="66">
        <f t="shared" si="67"/>
        <v>3.6414565826330532</v>
      </c>
      <c r="V67" s="66">
        <f t="shared" si="67"/>
        <v>3.6414565826330532</v>
      </c>
      <c r="W67" s="66">
        <f t="shared" si="67"/>
        <v>3.6414565826330532</v>
      </c>
      <c r="X67" s="66">
        <f t="shared" si="67"/>
        <v>3.6414565826330532</v>
      </c>
      <c r="Y67" s="66">
        <f t="shared" si="67"/>
        <v>3.6414565826330532</v>
      </c>
      <c r="Z67" s="66">
        <f t="shared" si="67"/>
        <v>3.6414565826330532</v>
      </c>
      <c r="AA67" s="66">
        <f t="shared" si="67"/>
        <v>3.6414565826330532</v>
      </c>
      <c r="AB67" s="66">
        <f t="shared" si="67"/>
        <v>3.6414565826330532</v>
      </c>
      <c r="AC67" s="66">
        <f t="shared" si="67"/>
        <v>3.6414565826330532</v>
      </c>
    </row>
    <row r="68" spans="1:29" x14ac:dyDescent="0.25">
      <c r="A68" s="30" t="str">
        <f t="shared" si="61"/>
        <v>Opex var (mode-fees, shunting)</v>
      </c>
      <c r="B68" s="66">
        <f>B38*B47/B47</f>
        <v>3.9215686274509802</v>
      </c>
      <c r="C68" s="66">
        <f t="shared" ref="C68:AC68" si="68">C38*C47/C47</f>
        <v>3.9215686274509802</v>
      </c>
      <c r="D68" s="66">
        <f t="shared" si="68"/>
        <v>3.9215686274509802</v>
      </c>
      <c r="E68" s="66">
        <f t="shared" si="68"/>
        <v>3.9215686274509802</v>
      </c>
      <c r="F68" s="66">
        <f t="shared" si="68"/>
        <v>3.9215686274509802</v>
      </c>
      <c r="G68" s="66">
        <f t="shared" si="68"/>
        <v>3.9215686274509802</v>
      </c>
      <c r="H68" s="66">
        <f t="shared" si="68"/>
        <v>3.9215686274509802</v>
      </c>
      <c r="I68" s="66">
        <f t="shared" si="68"/>
        <v>3.9215686274509802</v>
      </c>
      <c r="J68" s="66">
        <f t="shared" si="68"/>
        <v>3.9215686274509802</v>
      </c>
      <c r="K68" s="66">
        <f t="shared" si="68"/>
        <v>3.9215686274509802</v>
      </c>
      <c r="L68" s="66">
        <f t="shared" si="68"/>
        <v>3.9215686274509802</v>
      </c>
      <c r="M68" s="66">
        <f t="shared" si="68"/>
        <v>3.9215686274509802</v>
      </c>
      <c r="N68" s="66">
        <f t="shared" si="68"/>
        <v>3.9215686274509802</v>
      </c>
      <c r="O68" s="66">
        <f t="shared" si="68"/>
        <v>3.9215686274509802</v>
      </c>
      <c r="P68" s="66">
        <f t="shared" si="68"/>
        <v>3.9215686274509802</v>
      </c>
      <c r="Q68" s="66">
        <f t="shared" si="68"/>
        <v>3.9215686274509802</v>
      </c>
      <c r="R68" s="66">
        <f t="shared" si="68"/>
        <v>3.9215686274509802</v>
      </c>
      <c r="S68" s="66">
        <f t="shared" si="68"/>
        <v>3.9215686274509802</v>
      </c>
      <c r="T68" s="66">
        <f t="shared" si="68"/>
        <v>3.9215686274509802</v>
      </c>
      <c r="U68" s="66">
        <f t="shared" si="68"/>
        <v>3.9215686274509802</v>
      </c>
      <c r="V68" s="66">
        <f t="shared" si="68"/>
        <v>3.9215686274509802</v>
      </c>
      <c r="W68" s="66">
        <f t="shared" si="68"/>
        <v>3.9215686274509802</v>
      </c>
      <c r="X68" s="66">
        <f t="shared" si="68"/>
        <v>3.9215686274509802</v>
      </c>
      <c r="Y68" s="66">
        <f t="shared" si="68"/>
        <v>3.9215686274509802</v>
      </c>
      <c r="Z68" s="66">
        <f t="shared" si="68"/>
        <v>3.9215686274509802</v>
      </c>
      <c r="AA68" s="66">
        <f t="shared" si="68"/>
        <v>3.9215686274509802</v>
      </c>
      <c r="AB68" s="66">
        <f t="shared" si="68"/>
        <v>3.9215686274509802</v>
      </c>
      <c r="AC68" s="66">
        <f t="shared" si="68"/>
        <v>3.9215686274509802</v>
      </c>
    </row>
    <row r="69" spans="1:29" x14ac:dyDescent="0.25">
      <c r="A69" s="30" t="str">
        <f t="shared" si="61"/>
        <v>Fuel Cost</v>
      </c>
      <c r="B69" s="66">
        <f>B39*B40*B47/B47</f>
        <v>4.2079079823045697</v>
      </c>
      <c r="C69" s="66">
        <f t="shared" ref="C69:AC69" si="69">C39*C40*C47/C47</f>
        <v>4.1996650087895331</v>
      </c>
      <c r="D69" s="66">
        <f t="shared" si="69"/>
        <v>4.1879611680431728</v>
      </c>
      <c r="E69" s="66">
        <f t="shared" si="69"/>
        <v>4.171418913815482</v>
      </c>
      <c r="F69" s="66">
        <f t="shared" si="69"/>
        <v>4.1481938873267925</v>
      </c>
      <c r="G69" s="66">
        <f t="shared" si="69"/>
        <v>4.1159026695618257</v>
      </c>
      <c r="H69" s="66">
        <f t="shared" si="69"/>
        <v>4.0716326180229148</v>
      </c>
      <c r="I69" s="66">
        <f t="shared" si="69"/>
        <v>4.0121384125415567</v>
      </c>
      <c r="J69" s="66">
        <f t="shared" si="69"/>
        <v>3.9343679925421928</v>
      </c>
      <c r="K69" s="66">
        <f t="shared" si="69"/>
        <v>3.8364292934600912</v>
      </c>
      <c r="L69" s="66">
        <f t="shared" si="69"/>
        <v>3.7189056658923683</v>
      </c>
      <c r="M69" s="66">
        <f t="shared" si="69"/>
        <v>3.5860130441146607</v>
      </c>
      <c r="N69" s="66">
        <f t="shared" si="69"/>
        <v>3.4457188485486436</v>
      </c>
      <c r="O69" s="66">
        <f t="shared" si="69"/>
        <v>3.3081853803384322</v>
      </c>
      <c r="P69" s="66">
        <f t="shared" si="69"/>
        <v>3.1829858332990417</v>
      </c>
      <c r="Q69" s="66">
        <f t="shared" si="69"/>
        <v>3.0765840470739101</v>
      </c>
      <c r="R69" s="66">
        <f t="shared" si="69"/>
        <v>2.9913752717878577</v>
      </c>
      <c r="S69" s="66">
        <f t="shared" si="69"/>
        <v>2.9263571944092766</v>
      </c>
      <c r="T69" s="66">
        <f t="shared" si="69"/>
        <v>2.8785636930786751</v>
      </c>
      <c r="U69" s="66">
        <f t="shared" si="69"/>
        <v>2.844392031039837</v>
      </c>
      <c r="V69" s="66">
        <f t="shared" si="69"/>
        <v>2.8204427424097194</v>
      </c>
      <c r="W69" s="66">
        <f t="shared" si="69"/>
        <v>2.8038923119279864</v>
      </c>
      <c r="X69" s="66">
        <f t="shared" si="69"/>
        <v>2.7925660276097513</v>
      </c>
      <c r="Y69" s="66">
        <f t="shared" si="69"/>
        <v>2.784866621574936</v>
      </c>
      <c r="Z69" s="66">
        <f t="shared" si="69"/>
        <v>2.7796565191855849</v>
      </c>
      <c r="AA69" s="66">
        <f t="shared" si="69"/>
        <v>2.7761417786742757</v>
      </c>
      <c r="AB69" s="66">
        <f t="shared" si="69"/>
        <v>2.7737756728218113</v>
      </c>
      <c r="AC69" s="66">
        <f t="shared" si="69"/>
        <v>2.77218505906768</v>
      </c>
    </row>
    <row r="70" spans="1:29" ht="15.75" thickBot="1" x14ac:dyDescent="0.3">
      <c r="A70" s="59" t="str">
        <f t="shared" ref="A70" si="70">A58</f>
        <v>Emission Cost</v>
      </c>
      <c r="B70" s="66">
        <f>B41</f>
        <v>7.3051284422328416E-2</v>
      </c>
      <c r="C70" s="66">
        <f t="shared" ref="C70:AC70" si="71">C41</f>
        <v>7.2981721800489563E-2</v>
      </c>
      <c r="D70" s="66">
        <f t="shared" si="71"/>
        <v>7.2882144456709708E-2</v>
      </c>
      <c r="E70" s="66">
        <f t="shared" si="71"/>
        <v>7.2739692063840775E-2</v>
      </c>
      <c r="F70" s="66">
        <f t="shared" si="71"/>
        <v>7.2536096160749949E-2</v>
      </c>
      <c r="G70" s="66">
        <f t="shared" si="71"/>
        <v>7.2245520808140104E-2</v>
      </c>
      <c r="H70" s="66">
        <f t="shared" si="71"/>
        <v>7.183167022008663E-2</v>
      </c>
      <c r="I70" s="66">
        <f t="shared" si="71"/>
        <v>7.1244061711272524E-2</v>
      </c>
      <c r="J70" s="66">
        <f t="shared" si="71"/>
        <v>7.0413533549636295E-2</v>
      </c>
      <c r="K70" s="66">
        <f t="shared" si="71"/>
        <v>6.9247486994668248E-2</v>
      </c>
      <c r="L70" s="66">
        <f t="shared" si="71"/>
        <v>6.7626258995255692E-2</v>
      </c>
      <c r="M70" s="66">
        <f t="shared" si="71"/>
        <v>6.5403616058321165E-2</v>
      </c>
      <c r="N70" s="66">
        <f t="shared" si="71"/>
        <v>6.2416622119869432E-2</v>
      </c>
      <c r="O70" s="66">
        <f t="shared" si="71"/>
        <v>5.8512043997522092E-2</v>
      </c>
      <c r="P70" s="66">
        <f t="shared" si="71"/>
        <v>5.3594887811786507E-2</v>
      </c>
      <c r="Q70" s="66">
        <f t="shared" si="71"/>
        <v>4.7694441535894194E-2</v>
      </c>
      <c r="R70" s="66">
        <f t="shared" si="71"/>
        <v>4.1022372340191592E-2</v>
      </c>
      <c r="S70" s="66">
        <f t="shared" si="71"/>
        <v>3.3978696265099438E-2</v>
      </c>
      <c r="T70" s="66">
        <f t="shared" si="71"/>
        <v>2.7073626560338522E-2</v>
      </c>
      <c r="U70" s="66">
        <f t="shared" si="71"/>
        <v>2.0787799477216214E-2</v>
      </c>
      <c r="V70" s="66">
        <f t="shared" si="71"/>
        <v>1.5445741575552285E-2</v>
      </c>
      <c r="W70" s="66">
        <f t="shared" si="71"/>
        <v>1.1167709904685047E-2</v>
      </c>
      <c r="X70" s="66">
        <f t="shared" si="71"/>
        <v>7.903381867218201E-3</v>
      </c>
      <c r="Y70" s="66">
        <f t="shared" si="71"/>
        <v>5.5038389601930332E-3</v>
      </c>
      <c r="Z70" s="66">
        <f t="shared" si="71"/>
        <v>3.7882004950518661E-3</v>
      </c>
      <c r="AA70" s="66">
        <f t="shared" si="71"/>
        <v>2.5857912958768409E-3</v>
      </c>
      <c r="AB70" s="66">
        <f t="shared" si="71"/>
        <v>1.7548526334016656E-3</v>
      </c>
      <c r="AC70" s="66">
        <f t="shared" si="71"/>
        <v>1.1861998994081024E-3</v>
      </c>
    </row>
    <row r="71" spans="1:29" ht="15.75" thickBot="1" x14ac:dyDescent="0.3">
      <c r="A71" s="31" t="s">
        <v>63</v>
      </c>
      <c r="B71" s="76">
        <f>B62+B63+B64-B65+B66+B67+B68+B69+B70</f>
        <v>19.356119304949456</v>
      </c>
      <c r="C71" s="76">
        <f t="shared" ref="C71:AC71" si="72">C62+C63+C64-C65+C66+C67+C68+C69+C70</f>
        <v>19.347806768812578</v>
      </c>
      <c r="D71" s="76">
        <f t="shared" si="72"/>
        <v>19.336003350722439</v>
      </c>
      <c r="E71" s="76">
        <f t="shared" si="72"/>
        <v>19.31931864410188</v>
      </c>
      <c r="F71" s="76">
        <f t="shared" si="72"/>
        <v>19.2958900217101</v>
      </c>
      <c r="G71" s="76">
        <f t="shared" si="72"/>
        <v>19.263308228592521</v>
      </c>
      <c r="H71" s="76">
        <f t="shared" si="72"/>
        <v>19.218624326465559</v>
      </c>
      <c r="I71" s="76">
        <f t="shared" si="72"/>
        <v>19.158542512475389</v>
      </c>
      <c r="J71" s="76">
        <f t="shared" si="72"/>
        <v>19.079941564314389</v>
      </c>
      <c r="K71" s="76">
        <f t="shared" si="72"/>
        <v>18.980836818677318</v>
      </c>
      <c r="L71" s="76">
        <f t="shared" si="72"/>
        <v>18.861691963110182</v>
      </c>
      <c r="M71" s="76">
        <f t="shared" si="72"/>
        <v>18.72657669839554</v>
      </c>
      <c r="N71" s="76">
        <f t="shared" si="72"/>
        <v>18.583295508891069</v>
      </c>
      <c r="O71" s="76">
        <f t="shared" si="72"/>
        <v>18.441857462558509</v>
      </c>
      <c r="P71" s="76">
        <f t="shared" si="72"/>
        <v>18.311740759333386</v>
      </c>
      <c r="Q71" s="76">
        <f t="shared" si="72"/>
        <v>18.199438526832363</v>
      </c>
      <c r="R71" s="76">
        <f t="shared" si="72"/>
        <v>18.107557682350606</v>
      </c>
      <c r="S71" s="76">
        <f t="shared" si="72"/>
        <v>18.035495928896932</v>
      </c>
      <c r="T71" s="76">
        <f t="shared" si="72"/>
        <v>17.980797357861569</v>
      </c>
      <c r="U71" s="76">
        <f t="shared" si="72"/>
        <v>17.94033986873961</v>
      </c>
      <c r="V71" s="76">
        <f t="shared" si="72"/>
        <v>17.911048522207828</v>
      </c>
      <c r="W71" s="76">
        <f t="shared" si="72"/>
        <v>17.890220060055231</v>
      </c>
      <c r="X71" s="76">
        <f t="shared" si="72"/>
        <v>17.875629447699527</v>
      </c>
      <c r="Y71" s="76">
        <f t="shared" si="72"/>
        <v>17.865530498757689</v>
      </c>
      <c r="Z71" s="76">
        <f t="shared" si="72"/>
        <v>17.858604757903194</v>
      </c>
      <c r="AA71" s="76">
        <f t="shared" si="72"/>
        <v>17.853887608192711</v>
      </c>
      <c r="AB71" s="76">
        <f t="shared" si="72"/>
        <v>17.85069056367777</v>
      </c>
      <c r="AC71" s="76">
        <f t="shared" si="72"/>
        <v>17.848531297189645</v>
      </c>
    </row>
    <row r="72" spans="1:29" ht="15.75" thickBot="1" x14ac:dyDescent="0.3"/>
    <row r="73" spans="1:29" ht="15.75" thickBot="1" x14ac:dyDescent="0.3">
      <c r="A73" s="26" t="s">
        <v>208</v>
      </c>
      <c r="B73" s="155">
        <v>2023</v>
      </c>
      <c r="C73" s="155">
        <v>2024</v>
      </c>
      <c r="D73" s="155">
        <v>2025</v>
      </c>
      <c r="E73" s="155">
        <v>2026</v>
      </c>
      <c r="F73" s="155">
        <v>2027</v>
      </c>
      <c r="G73" s="155">
        <v>2028</v>
      </c>
      <c r="H73" s="155">
        <v>2029</v>
      </c>
      <c r="I73" s="155">
        <v>2030</v>
      </c>
      <c r="J73" s="155">
        <v>2031</v>
      </c>
      <c r="K73" s="155">
        <v>2032</v>
      </c>
      <c r="L73" s="155">
        <v>2033</v>
      </c>
      <c r="M73" s="155">
        <v>2034</v>
      </c>
      <c r="N73" s="155">
        <v>2035</v>
      </c>
      <c r="O73" s="155">
        <v>2036</v>
      </c>
      <c r="P73" s="155">
        <v>2037</v>
      </c>
      <c r="Q73" s="155">
        <v>2038</v>
      </c>
      <c r="R73" s="155">
        <v>2039</v>
      </c>
      <c r="S73" s="155">
        <v>2040</v>
      </c>
      <c r="T73" s="155">
        <v>2041</v>
      </c>
      <c r="U73" s="155">
        <v>2042</v>
      </c>
      <c r="V73" s="155">
        <v>2043</v>
      </c>
      <c r="W73" s="155">
        <v>2044</v>
      </c>
      <c r="X73" s="155">
        <v>2045</v>
      </c>
      <c r="Y73" s="155">
        <v>2046</v>
      </c>
      <c r="Z73" s="155">
        <v>2047</v>
      </c>
      <c r="AA73" s="155">
        <v>2048</v>
      </c>
      <c r="AB73" s="155">
        <v>2049</v>
      </c>
      <c r="AC73" s="156">
        <v>2050</v>
      </c>
    </row>
    <row r="74" spans="1:29" x14ac:dyDescent="0.25">
      <c r="A74" s="29" t="str">
        <f t="shared" ref="A74:A81" si="73">A50</f>
        <v>Capex vehicle</v>
      </c>
      <c r="B74" s="65">
        <f>((1+B35)^B42)*B35/(((1+B35)^B42)-1)*(B31)/B47/(B44)</f>
        <v>1.0902430594344164E-3</v>
      </c>
      <c r="C74" s="65">
        <f t="shared" ref="C74:AC74" si="74">((1+C35)^C42)*C35/(((1+C35)^C42)-1)*(C31)/C47/(C44)</f>
        <v>1.0902430594344164E-3</v>
      </c>
      <c r="D74" s="65">
        <f t="shared" si="74"/>
        <v>1.0902430594344164E-3</v>
      </c>
      <c r="E74" s="65">
        <f t="shared" si="74"/>
        <v>1.0902430594344164E-3</v>
      </c>
      <c r="F74" s="65">
        <f t="shared" si="74"/>
        <v>1.0902430594344164E-3</v>
      </c>
      <c r="G74" s="65">
        <f t="shared" si="74"/>
        <v>1.0902430594344164E-3</v>
      </c>
      <c r="H74" s="65">
        <f t="shared" si="74"/>
        <v>1.0902430594344164E-3</v>
      </c>
      <c r="I74" s="65">
        <f t="shared" si="74"/>
        <v>1.0902430594344164E-3</v>
      </c>
      <c r="J74" s="65">
        <f t="shared" si="74"/>
        <v>1.0902430594344164E-3</v>
      </c>
      <c r="K74" s="65">
        <f t="shared" si="74"/>
        <v>1.0902430594344164E-3</v>
      </c>
      <c r="L74" s="65">
        <f t="shared" si="74"/>
        <v>1.0902430594344164E-3</v>
      </c>
      <c r="M74" s="65">
        <f t="shared" si="74"/>
        <v>1.0902430594344164E-3</v>
      </c>
      <c r="N74" s="65">
        <f t="shared" si="74"/>
        <v>1.0902430594344164E-3</v>
      </c>
      <c r="O74" s="65">
        <f t="shared" si="74"/>
        <v>1.0902430594344164E-3</v>
      </c>
      <c r="P74" s="65">
        <f t="shared" si="74"/>
        <v>1.0902430594344164E-3</v>
      </c>
      <c r="Q74" s="65">
        <f t="shared" si="74"/>
        <v>1.0902430594344164E-3</v>
      </c>
      <c r="R74" s="65">
        <f t="shared" si="74"/>
        <v>1.0902430594344164E-3</v>
      </c>
      <c r="S74" s="65">
        <f t="shared" si="74"/>
        <v>1.0902430594344164E-3</v>
      </c>
      <c r="T74" s="65">
        <f t="shared" si="74"/>
        <v>1.0902430594344164E-3</v>
      </c>
      <c r="U74" s="65">
        <f t="shared" si="74"/>
        <v>1.0902430594344164E-3</v>
      </c>
      <c r="V74" s="65">
        <f t="shared" si="74"/>
        <v>1.0902430594344164E-3</v>
      </c>
      <c r="W74" s="65">
        <f t="shared" si="74"/>
        <v>1.0902430594344164E-3</v>
      </c>
      <c r="X74" s="65">
        <f t="shared" si="74"/>
        <v>1.0902430594344164E-3</v>
      </c>
      <c r="Y74" s="65">
        <f t="shared" si="74"/>
        <v>1.0902430594344164E-3</v>
      </c>
      <c r="Z74" s="65">
        <f t="shared" si="74"/>
        <v>1.0902430594344164E-3</v>
      </c>
      <c r="AA74" s="65">
        <f t="shared" si="74"/>
        <v>1.0902430594344164E-3</v>
      </c>
      <c r="AB74" s="65">
        <f t="shared" si="74"/>
        <v>1.0902430594344164E-3</v>
      </c>
      <c r="AC74" s="65">
        <f t="shared" si="74"/>
        <v>1.0902430594344164E-3</v>
      </c>
    </row>
    <row r="75" spans="1:29" x14ac:dyDescent="0.25">
      <c r="A75" s="30" t="str">
        <f t="shared" si="73"/>
        <v>Residual value (vehicle)</v>
      </c>
      <c r="B75" s="68">
        <f>((1+B35)^B42)*B35/(((1+B35)^B42)-1)*(B32)/B47/(B44)</f>
        <v>-1.6353645891516245E-4</v>
      </c>
      <c r="C75" s="68">
        <f t="shared" ref="C75:AC75" si="75">((1+C35)^C42)*C35/(((1+C35)^C42)-1)*(C32)/C47/(C44)</f>
        <v>-1.6353645891516245E-4</v>
      </c>
      <c r="D75" s="68">
        <f t="shared" si="75"/>
        <v>-1.6353645891516245E-4</v>
      </c>
      <c r="E75" s="68">
        <f t="shared" si="75"/>
        <v>-1.6353645891516245E-4</v>
      </c>
      <c r="F75" s="68">
        <f t="shared" si="75"/>
        <v>-1.6353645891516245E-4</v>
      </c>
      <c r="G75" s="68">
        <f t="shared" si="75"/>
        <v>-1.6353645891516245E-4</v>
      </c>
      <c r="H75" s="68">
        <f t="shared" si="75"/>
        <v>-1.6353645891516245E-4</v>
      </c>
      <c r="I75" s="68">
        <f t="shared" si="75"/>
        <v>-1.6353645891516245E-4</v>
      </c>
      <c r="J75" s="68">
        <f t="shared" si="75"/>
        <v>-1.6353645891516245E-4</v>
      </c>
      <c r="K75" s="68">
        <f t="shared" si="75"/>
        <v>-1.6353645891516245E-4</v>
      </c>
      <c r="L75" s="68">
        <f t="shared" si="75"/>
        <v>-1.6353645891516245E-4</v>
      </c>
      <c r="M75" s="68">
        <f t="shared" si="75"/>
        <v>-1.6353645891516245E-4</v>
      </c>
      <c r="N75" s="68">
        <f t="shared" si="75"/>
        <v>-1.6353645891516245E-4</v>
      </c>
      <c r="O75" s="68">
        <f t="shared" si="75"/>
        <v>-1.6353645891516245E-4</v>
      </c>
      <c r="P75" s="68">
        <f t="shared" si="75"/>
        <v>-1.6353645891516245E-4</v>
      </c>
      <c r="Q75" s="68">
        <f t="shared" si="75"/>
        <v>-1.6353645891516245E-4</v>
      </c>
      <c r="R75" s="68">
        <f t="shared" si="75"/>
        <v>-1.6353645891516245E-4</v>
      </c>
      <c r="S75" s="68">
        <f t="shared" si="75"/>
        <v>-1.6353645891516245E-4</v>
      </c>
      <c r="T75" s="68">
        <f t="shared" si="75"/>
        <v>-1.6353645891516245E-4</v>
      </c>
      <c r="U75" s="68">
        <f t="shared" si="75"/>
        <v>-1.6353645891516245E-4</v>
      </c>
      <c r="V75" s="68">
        <f t="shared" si="75"/>
        <v>-1.6353645891516245E-4</v>
      </c>
      <c r="W75" s="68">
        <f t="shared" si="75"/>
        <v>-1.6353645891516245E-4</v>
      </c>
      <c r="X75" s="68">
        <f t="shared" si="75"/>
        <v>-1.6353645891516245E-4</v>
      </c>
      <c r="Y75" s="68">
        <f t="shared" si="75"/>
        <v>-1.6353645891516245E-4</v>
      </c>
      <c r="Z75" s="68">
        <f t="shared" si="75"/>
        <v>-1.6353645891516245E-4</v>
      </c>
      <c r="AA75" s="68">
        <f t="shared" si="75"/>
        <v>-1.6353645891516245E-4</v>
      </c>
      <c r="AB75" s="68">
        <f t="shared" si="75"/>
        <v>-1.6353645891516245E-4</v>
      </c>
      <c r="AC75" s="68">
        <f t="shared" si="75"/>
        <v>-1.6353645891516245E-4</v>
      </c>
    </row>
    <row r="76" spans="1:29" x14ac:dyDescent="0.25">
      <c r="A76" s="30" t="str">
        <f t="shared" si="73"/>
        <v>Capex costumization</v>
      </c>
      <c r="B76" s="66">
        <f>((1+B35)^B43)*B35/(((1+B35)^B43)-1)*(B33)/B47/(B44)</f>
        <v>7.6311881817276459E-4</v>
      </c>
      <c r="C76" s="66">
        <f t="shared" ref="C76:AC76" si="76">((1+C35)^C43)*C35/(((1+C35)^C43)-1)*(C33)/C47/(C44)</f>
        <v>7.6311881817276459E-4</v>
      </c>
      <c r="D76" s="66">
        <f t="shared" si="76"/>
        <v>7.6311881817276459E-4</v>
      </c>
      <c r="E76" s="66">
        <f t="shared" si="76"/>
        <v>7.6311881817276459E-4</v>
      </c>
      <c r="F76" s="66">
        <f t="shared" si="76"/>
        <v>7.6311881817276459E-4</v>
      </c>
      <c r="G76" s="66">
        <f t="shared" si="76"/>
        <v>7.6311881817276459E-4</v>
      </c>
      <c r="H76" s="66">
        <f t="shared" si="76"/>
        <v>7.6311881817276459E-4</v>
      </c>
      <c r="I76" s="66">
        <f t="shared" si="76"/>
        <v>7.6311881817276459E-4</v>
      </c>
      <c r="J76" s="66">
        <f t="shared" si="76"/>
        <v>7.6311881817276459E-4</v>
      </c>
      <c r="K76" s="66">
        <f t="shared" si="76"/>
        <v>7.6311881817276459E-4</v>
      </c>
      <c r="L76" s="66">
        <f t="shared" si="76"/>
        <v>7.6311881817276459E-4</v>
      </c>
      <c r="M76" s="66">
        <f t="shared" si="76"/>
        <v>7.6311881817276459E-4</v>
      </c>
      <c r="N76" s="66">
        <f t="shared" si="76"/>
        <v>7.6311881817276459E-4</v>
      </c>
      <c r="O76" s="66">
        <f t="shared" si="76"/>
        <v>7.6311881817276459E-4</v>
      </c>
      <c r="P76" s="66">
        <f t="shared" si="76"/>
        <v>7.6311881817276459E-4</v>
      </c>
      <c r="Q76" s="66">
        <f t="shared" si="76"/>
        <v>7.6311881817276459E-4</v>
      </c>
      <c r="R76" s="66">
        <f t="shared" si="76"/>
        <v>7.6311881817276459E-4</v>
      </c>
      <c r="S76" s="66">
        <f t="shared" si="76"/>
        <v>7.6311881817276459E-4</v>
      </c>
      <c r="T76" s="66">
        <f t="shared" si="76"/>
        <v>7.6311881817276459E-4</v>
      </c>
      <c r="U76" s="66">
        <f t="shared" si="76"/>
        <v>7.6311881817276459E-4</v>
      </c>
      <c r="V76" s="66">
        <f t="shared" si="76"/>
        <v>7.6311881817276459E-4</v>
      </c>
      <c r="W76" s="66">
        <f t="shared" si="76"/>
        <v>7.6311881817276459E-4</v>
      </c>
      <c r="X76" s="66">
        <f t="shared" si="76"/>
        <v>7.6311881817276459E-4</v>
      </c>
      <c r="Y76" s="66">
        <f t="shared" si="76"/>
        <v>7.6311881817276459E-4</v>
      </c>
      <c r="Z76" s="66">
        <f t="shared" si="76"/>
        <v>7.6311881817276459E-4</v>
      </c>
      <c r="AA76" s="66">
        <f t="shared" si="76"/>
        <v>7.6311881817276459E-4</v>
      </c>
      <c r="AB76" s="66">
        <f t="shared" si="76"/>
        <v>7.6311881817276459E-4</v>
      </c>
      <c r="AC76" s="66">
        <f t="shared" si="76"/>
        <v>7.6311881817276459E-4</v>
      </c>
    </row>
    <row r="77" spans="1:29" x14ac:dyDescent="0.25">
      <c r="A77" s="30" t="str">
        <f t="shared" si="73"/>
        <v>Residual value (costumization)</v>
      </c>
      <c r="B77" s="69">
        <f>((1+B35)^B43)*B35/(((1+B35)^B43)-1)*(B34)/B47/(B44)</f>
        <v>-3.8155940908638231E-5</v>
      </c>
      <c r="C77" s="69">
        <f t="shared" ref="C77:AC77" si="77">((1+C35)^C43)*C35/(((1+C35)^C43)-1)*(C34)/C47/(C44)</f>
        <v>-3.8155940908638231E-5</v>
      </c>
      <c r="D77" s="69">
        <f t="shared" si="77"/>
        <v>-3.8155940908638231E-5</v>
      </c>
      <c r="E77" s="69">
        <f t="shared" si="77"/>
        <v>-3.8155940908638231E-5</v>
      </c>
      <c r="F77" s="69">
        <f t="shared" si="77"/>
        <v>-3.8155940908638231E-5</v>
      </c>
      <c r="G77" s="69">
        <f t="shared" si="77"/>
        <v>-3.8155940908638231E-5</v>
      </c>
      <c r="H77" s="69">
        <f t="shared" si="77"/>
        <v>-3.8155940908638231E-5</v>
      </c>
      <c r="I77" s="69">
        <f t="shared" si="77"/>
        <v>-3.8155940908638231E-5</v>
      </c>
      <c r="J77" s="69">
        <f t="shared" si="77"/>
        <v>-3.8155940908638231E-5</v>
      </c>
      <c r="K77" s="69">
        <f t="shared" si="77"/>
        <v>-3.8155940908638231E-5</v>
      </c>
      <c r="L77" s="69">
        <f t="shared" si="77"/>
        <v>-3.8155940908638231E-5</v>
      </c>
      <c r="M77" s="69">
        <f t="shared" si="77"/>
        <v>-3.8155940908638231E-5</v>
      </c>
      <c r="N77" s="69">
        <f t="shared" si="77"/>
        <v>-3.8155940908638231E-5</v>
      </c>
      <c r="O77" s="69">
        <f t="shared" si="77"/>
        <v>-3.8155940908638231E-5</v>
      </c>
      <c r="P77" s="69">
        <f t="shared" si="77"/>
        <v>-3.8155940908638231E-5</v>
      </c>
      <c r="Q77" s="69">
        <f t="shared" si="77"/>
        <v>-3.8155940908638231E-5</v>
      </c>
      <c r="R77" s="69">
        <f t="shared" si="77"/>
        <v>-3.8155940908638231E-5</v>
      </c>
      <c r="S77" s="69">
        <f t="shared" si="77"/>
        <v>-3.8155940908638231E-5</v>
      </c>
      <c r="T77" s="69">
        <f t="shared" si="77"/>
        <v>-3.8155940908638231E-5</v>
      </c>
      <c r="U77" s="69">
        <f t="shared" si="77"/>
        <v>-3.8155940908638231E-5</v>
      </c>
      <c r="V77" s="69">
        <f t="shared" si="77"/>
        <v>-3.8155940908638231E-5</v>
      </c>
      <c r="W77" s="69">
        <f t="shared" si="77"/>
        <v>-3.8155940908638231E-5</v>
      </c>
      <c r="X77" s="69">
        <f t="shared" si="77"/>
        <v>-3.8155940908638231E-5</v>
      </c>
      <c r="Y77" s="69">
        <f t="shared" si="77"/>
        <v>-3.8155940908638231E-5</v>
      </c>
      <c r="Z77" s="69">
        <f t="shared" si="77"/>
        <v>-3.8155940908638231E-5</v>
      </c>
      <c r="AA77" s="69">
        <f t="shared" si="77"/>
        <v>-3.8155940908638231E-5</v>
      </c>
      <c r="AB77" s="69">
        <f t="shared" si="77"/>
        <v>-3.8155940908638231E-5</v>
      </c>
      <c r="AC77" s="69">
        <f t="shared" si="77"/>
        <v>-3.8155940908638231E-5</v>
      </c>
    </row>
    <row r="78" spans="1:29" x14ac:dyDescent="0.25">
      <c r="A78" s="30" t="str">
        <f t="shared" si="73"/>
        <v>Opex fix (admin, crew, insurance)</v>
      </c>
      <c r="B78" s="66">
        <f>B36/B47/(B44)</f>
        <v>1.6256502601040416E-3</v>
      </c>
      <c r="C78" s="66">
        <f t="shared" ref="C78:AC78" si="78">C36/C47/(C44)</f>
        <v>1.6256502601040416E-3</v>
      </c>
      <c r="D78" s="66">
        <f t="shared" si="78"/>
        <v>1.6256502601040416E-3</v>
      </c>
      <c r="E78" s="66">
        <f t="shared" si="78"/>
        <v>1.6256502601040416E-3</v>
      </c>
      <c r="F78" s="66">
        <f t="shared" si="78"/>
        <v>1.6256502601040416E-3</v>
      </c>
      <c r="G78" s="66">
        <f t="shared" si="78"/>
        <v>1.6256502601040416E-3</v>
      </c>
      <c r="H78" s="66">
        <f t="shared" si="78"/>
        <v>1.6256502601040416E-3</v>
      </c>
      <c r="I78" s="66">
        <f t="shared" si="78"/>
        <v>1.6256502601040416E-3</v>
      </c>
      <c r="J78" s="66">
        <f t="shared" si="78"/>
        <v>1.6256502601040416E-3</v>
      </c>
      <c r="K78" s="66">
        <f t="shared" si="78"/>
        <v>1.6256502601040416E-3</v>
      </c>
      <c r="L78" s="66">
        <f t="shared" si="78"/>
        <v>1.6256502601040416E-3</v>
      </c>
      <c r="M78" s="66">
        <f t="shared" si="78"/>
        <v>1.6256502601040416E-3</v>
      </c>
      <c r="N78" s="66">
        <f t="shared" si="78"/>
        <v>1.6256502601040416E-3</v>
      </c>
      <c r="O78" s="66">
        <f t="shared" si="78"/>
        <v>1.6256502601040416E-3</v>
      </c>
      <c r="P78" s="66">
        <f t="shared" si="78"/>
        <v>1.6256502601040416E-3</v>
      </c>
      <c r="Q78" s="66">
        <f t="shared" si="78"/>
        <v>1.6256502601040416E-3</v>
      </c>
      <c r="R78" s="66">
        <f t="shared" si="78"/>
        <v>1.6256502601040416E-3</v>
      </c>
      <c r="S78" s="66">
        <f t="shared" si="78"/>
        <v>1.6256502601040416E-3</v>
      </c>
      <c r="T78" s="66">
        <f t="shared" si="78"/>
        <v>1.6256502601040416E-3</v>
      </c>
      <c r="U78" s="66">
        <f t="shared" si="78"/>
        <v>1.6256502601040416E-3</v>
      </c>
      <c r="V78" s="66">
        <f t="shared" si="78"/>
        <v>1.6256502601040416E-3</v>
      </c>
      <c r="W78" s="66">
        <f t="shared" si="78"/>
        <v>1.6256502601040416E-3</v>
      </c>
      <c r="X78" s="66">
        <f t="shared" si="78"/>
        <v>1.6256502601040416E-3</v>
      </c>
      <c r="Y78" s="66">
        <f t="shared" si="78"/>
        <v>1.6256502601040416E-3</v>
      </c>
      <c r="Z78" s="66">
        <f t="shared" si="78"/>
        <v>1.6256502601040416E-3</v>
      </c>
      <c r="AA78" s="66">
        <f t="shared" si="78"/>
        <v>1.6256502601040416E-3</v>
      </c>
      <c r="AB78" s="66">
        <f t="shared" si="78"/>
        <v>1.6256502601040416E-3</v>
      </c>
      <c r="AC78" s="66">
        <f t="shared" si="78"/>
        <v>1.6256502601040416E-3</v>
      </c>
    </row>
    <row r="79" spans="1:29" x14ac:dyDescent="0.25">
      <c r="A79" s="30" t="str">
        <f t="shared" si="73"/>
        <v>Opex maintenance &amp; repair</v>
      </c>
      <c r="B79" s="66">
        <f>B37/B47/(B44)</f>
        <v>1.6256502601040416E-3</v>
      </c>
      <c r="C79" s="66">
        <f t="shared" ref="C79:AC79" si="79">C37/C47/(C44)</f>
        <v>1.6256502601040416E-3</v>
      </c>
      <c r="D79" s="66">
        <f t="shared" si="79"/>
        <v>1.6256502601040416E-3</v>
      </c>
      <c r="E79" s="66">
        <f t="shared" si="79"/>
        <v>1.6256502601040416E-3</v>
      </c>
      <c r="F79" s="66">
        <f t="shared" si="79"/>
        <v>1.6256502601040416E-3</v>
      </c>
      <c r="G79" s="66">
        <f t="shared" si="79"/>
        <v>1.6256502601040416E-3</v>
      </c>
      <c r="H79" s="66">
        <f t="shared" si="79"/>
        <v>1.6256502601040416E-3</v>
      </c>
      <c r="I79" s="66">
        <f t="shared" si="79"/>
        <v>1.6256502601040416E-3</v>
      </c>
      <c r="J79" s="66">
        <f t="shared" si="79"/>
        <v>1.6256502601040416E-3</v>
      </c>
      <c r="K79" s="66">
        <f t="shared" si="79"/>
        <v>1.6256502601040416E-3</v>
      </c>
      <c r="L79" s="66">
        <f t="shared" si="79"/>
        <v>1.6256502601040416E-3</v>
      </c>
      <c r="M79" s="66">
        <f t="shared" si="79"/>
        <v>1.6256502601040416E-3</v>
      </c>
      <c r="N79" s="66">
        <f t="shared" si="79"/>
        <v>1.6256502601040416E-3</v>
      </c>
      <c r="O79" s="66">
        <f t="shared" si="79"/>
        <v>1.6256502601040416E-3</v>
      </c>
      <c r="P79" s="66">
        <f t="shared" si="79"/>
        <v>1.6256502601040416E-3</v>
      </c>
      <c r="Q79" s="66">
        <f t="shared" si="79"/>
        <v>1.6256502601040416E-3</v>
      </c>
      <c r="R79" s="66">
        <f t="shared" si="79"/>
        <v>1.6256502601040416E-3</v>
      </c>
      <c r="S79" s="66">
        <f t="shared" si="79"/>
        <v>1.6256502601040416E-3</v>
      </c>
      <c r="T79" s="66">
        <f t="shared" si="79"/>
        <v>1.6256502601040416E-3</v>
      </c>
      <c r="U79" s="66">
        <f t="shared" si="79"/>
        <v>1.6256502601040416E-3</v>
      </c>
      <c r="V79" s="66">
        <f t="shared" si="79"/>
        <v>1.6256502601040416E-3</v>
      </c>
      <c r="W79" s="66">
        <f t="shared" si="79"/>
        <v>1.6256502601040416E-3</v>
      </c>
      <c r="X79" s="66">
        <f t="shared" si="79"/>
        <v>1.6256502601040416E-3</v>
      </c>
      <c r="Y79" s="66">
        <f t="shared" si="79"/>
        <v>1.6256502601040416E-3</v>
      </c>
      <c r="Z79" s="66">
        <f t="shared" si="79"/>
        <v>1.6256502601040416E-3</v>
      </c>
      <c r="AA79" s="66">
        <f t="shared" si="79"/>
        <v>1.6256502601040416E-3</v>
      </c>
      <c r="AB79" s="66">
        <f t="shared" si="79"/>
        <v>1.6256502601040416E-3</v>
      </c>
      <c r="AC79" s="66">
        <f t="shared" si="79"/>
        <v>1.6256502601040416E-3</v>
      </c>
    </row>
    <row r="80" spans="1:29" x14ac:dyDescent="0.25">
      <c r="A80" s="30" t="str">
        <f t="shared" si="73"/>
        <v>Opex var (mode-fees, shunting)</v>
      </c>
      <c r="B80" s="66">
        <f>B38*B47/B47/(B44)</f>
        <v>1.7507002801120447E-3</v>
      </c>
      <c r="C80" s="66">
        <f t="shared" ref="C80:AC80" si="80">C38*C47/C47/(C44)</f>
        <v>1.7507002801120447E-3</v>
      </c>
      <c r="D80" s="66">
        <f t="shared" si="80"/>
        <v>1.7507002801120447E-3</v>
      </c>
      <c r="E80" s="66">
        <f t="shared" si="80"/>
        <v>1.7507002801120447E-3</v>
      </c>
      <c r="F80" s="66">
        <f t="shared" si="80"/>
        <v>1.7507002801120447E-3</v>
      </c>
      <c r="G80" s="66">
        <f t="shared" si="80"/>
        <v>1.7507002801120447E-3</v>
      </c>
      <c r="H80" s="66">
        <f t="shared" si="80"/>
        <v>1.7507002801120447E-3</v>
      </c>
      <c r="I80" s="66">
        <f t="shared" si="80"/>
        <v>1.7507002801120447E-3</v>
      </c>
      <c r="J80" s="66">
        <f t="shared" si="80"/>
        <v>1.7507002801120447E-3</v>
      </c>
      <c r="K80" s="66">
        <f t="shared" si="80"/>
        <v>1.7507002801120447E-3</v>
      </c>
      <c r="L80" s="66">
        <f t="shared" si="80"/>
        <v>1.7507002801120447E-3</v>
      </c>
      <c r="M80" s="66">
        <f t="shared" si="80"/>
        <v>1.7507002801120447E-3</v>
      </c>
      <c r="N80" s="66">
        <f t="shared" si="80"/>
        <v>1.7507002801120447E-3</v>
      </c>
      <c r="O80" s="66">
        <f t="shared" si="80"/>
        <v>1.7507002801120447E-3</v>
      </c>
      <c r="P80" s="66">
        <f t="shared" si="80"/>
        <v>1.7507002801120447E-3</v>
      </c>
      <c r="Q80" s="66">
        <f t="shared" si="80"/>
        <v>1.7507002801120447E-3</v>
      </c>
      <c r="R80" s="66">
        <f t="shared" si="80"/>
        <v>1.7507002801120447E-3</v>
      </c>
      <c r="S80" s="66">
        <f t="shared" si="80"/>
        <v>1.7507002801120447E-3</v>
      </c>
      <c r="T80" s="66">
        <f t="shared" si="80"/>
        <v>1.7507002801120447E-3</v>
      </c>
      <c r="U80" s="66">
        <f t="shared" si="80"/>
        <v>1.7507002801120447E-3</v>
      </c>
      <c r="V80" s="66">
        <f t="shared" si="80"/>
        <v>1.7507002801120447E-3</v>
      </c>
      <c r="W80" s="66">
        <f t="shared" si="80"/>
        <v>1.7507002801120447E-3</v>
      </c>
      <c r="X80" s="66">
        <f t="shared" si="80"/>
        <v>1.7507002801120447E-3</v>
      </c>
      <c r="Y80" s="66">
        <f t="shared" si="80"/>
        <v>1.7507002801120447E-3</v>
      </c>
      <c r="Z80" s="66">
        <f t="shared" si="80"/>
        <v>1.7507002801120447E-3</v>
      </c>
      <c r="AA80" s="66">
        <f t="shared" si="80"/>
        <v>1.7507002801120447E-3</v>
      </c>
      <c r="AB80" s="66">
        <f t="shared" si="80"/>
        <v>1.7507002801120447E-3</v>
      </c>
      <c r="AC80" s="66">
        <f t="shared" si="80"/>
        <v>1.7507002801120447E-3</v>
      </c>
    </row>
    <row r="81" spans="1:29" x14ac:dyDescent="0.25">
      <c r="A81" s="30" t="str">
        <f t="shared" si="73"/>
        <v>Fuel Cost</v>
      </c>
      <c r="B81" s="66">
        <f>B39*B40*B47/B47/(B44)</f>
        <v>1.8785303492431114E-3</v>
      </c>
      <c r="C81" s="66">
        <f t="shared" ref="C81:AC81" si="81">C39*C40*C47/C47/(C44)</f>
        <v>1.8748504503524701E-3</v>
      </c>
      <c r="D81" s="66">
        <f t="shared" si="81"/>
        <v>1.8696255214478449E-3</v>
      </c>
      <c r="E81" s="66">
        <f t="shared" si="81"/>
        <v>1.8622405865247687E-3</v>
      </c>
      <c r="F81" s="66">
        <f t="shared" si="81"/>
        <v>1.8518722711280324E-3</v>
      </c>
      <c r="G81" s="66">
        <f t="shared" si="81"/>
        <v>1.8374565489115294E-3</v>
      </c>
      <c r="H81" s="66">
        <f t="shared" si="81"/>
        <v>1.8176931330459441E-3</v>
      </c>
      <c r="I81" s="66">
        <f t="shared" si="81"/>
        <v>1.7911332198846236E-3</v>
      </c>
      <c r="J81" s="66">
        <f t="shared" si="81"/>
        <v>1.7564142823849075E-3</v>
      </c>
      <c r="K81" s="66">
        <f t="shared" si="81"/>
        <v>1.7126916488661122E-3</v>
      </c>
      <c r="L81" s="66">
        <f t="shared" si="81"/>
        <v>1.66022574370195E-3</v>
      </c>
      <c r="M81" s="66">
        <f t="shared" si="81"/>
        <v>1.6008986804083307E-3</v>
      </c>
      <c r="N81" s="66">
        <f t="shared" si="81"/>
        <v>1.5382673431020731E-3</v>
      </c>
      <c r="O81" s="66">
        <f t="shared" si="81"/>
        <v>1.4768684733653715E-3</v>
      </c>
      <c r="P81" s="66">
        <f t="shared" si="81"/>
        <v>1.4209758184370721E-3</v>
      </c>
      <c r="Q81" s="66">
        <f t="shared" si="81"/>
        <v>1.3734750210151385E-3</v>
      </c>
      <c r="R81" s="66">
        <f t="shared" si="81"/>
        <v>1.3354353891910078E-3</v>
      </c>
      <c r="S81" s="66">
        <f t="shared" si="81"/>
        <v>1.3064094617898556E-3</v>
      </c>
      <c r="T81" s="66">
        <f t="shared" si="81"/>
        <v>1.2850730772672656E-3</v>
      </c>
      <c r="U81" s="66">
        <f t="shared" si="81"/>
        <v>1.2698178709999273E-3</v>
      </c>
      <c r="V81" s="66">
        <f t="shared" si="81"/>
        <v>1.2591262242900533E-3</v>
      </c>
      <c r="W81" s="66">
        <f t="shared" si="81"/>
        <v>1.2517376392535654E-3</v>
      </c>
      <c r="X81" s="66">
        <f t="shared" si="81"/>
        <v>1.2466812623257819E-3</v>
      </c>
      <c r="Y81" s="66">
        <f t="shared" si="81"/>
        <v>1.2432440274888108E-3</v>
      </c>
      <c r="Z81" s="66">
        <f t="shared" si="81"/>
        <v>1.2409180889221361E-3</v>
      </c>
      <c r="AA81" s="66">
        <f t="shared" si="81"/>
        <v>1.2393490083367302E-3</v>
      </c>
      <c r="AB81" s="66">
        <f t="shared" si="81"/>
        <v>1.2382927110811657E-3</v>
      </c>
      <c r="AC81" s="66">
        <f t="shared" si="81"/>
        <v>1.2375826156552142E-3</v>
      </c>
    </row>
    <row r="82" spans="1:29" x14ac:dyDescent="0.25">
      <c r="A82" s="59" t="str">
        <f>A45</f>
        <v>Market failure (av. utilization)</v>
      </c>
      <c r="B82" s="66">
        <f t="shared" ref="B82:AC82" si="82">B71/B45-B71/B44</f>
        <v>4.8606326379616368E-3</v>
      </c>
      <c r="C82" s="66">
        <f t="shared" si="82"/>
        <v>4.8585452265433367E-3</v>
      </c>
      <c r="D82" s="66">
        <f t="shared" si="82"/>
        <v>4.8555811985631098E-3</v>
      </c>
      <c r="E82" s="66">
        <f t="shared" si="82"/>
        <v>4.8513914005836184E-3</v>
      </c>
      <c r="F82" s="66">
        <f t="shared" si="82"/>
        <v>4.8455080969696095E-3</v>
      </c>
      <c r="G82" s="66">
        <f t="shared" si="82"/>
        <v>4.8373262850818256E-3</v>
      </c>
      <c r="H82" s="66">
        <f t="shared" si="82"/>
        <v>4.8261054391236045E-3</v>
      </c>
      <c r="I82" s="66">
        <f t="shared" si="82"/>
        <v>4.8110179300300919E-3</v>
      </c>
      <c r="J82" s="66">
        <f t="shared" si="82"/>
        <v>4.7912799687173397E-3</v>
      </c>
      <c r="K82" s="66">
        <f t="shared" si="82"/>
        <v>4.7663931743330314E-3</v>
      </c>
      <c r="L82" s="66">
        <f t="shared" si="82"/>
        <v>4.736473986272088E-3</v>
      </c>
      <c r="M82" s="66">
        <f t="shared" si="82"/>
        <v>4.7025443718069146E-3</v>
      </c>
      <c r="N82" s="66">
        <f t="shared" si="82"/>
        <v>4.6665641623889389E-3</v>
      </c>
      <c r="O82" s="66">
        <f t="shared" si="82"/>
        <v>4.6310467958433736E-3</v>
      </c>
      <c r="P82" s="66">
        <f t="shared" si="82"/>
        <v>4.5983724005022441E-3</v>
      </c>
      <c r="Q82" s="66">
        <f t="shared" si="82"/>
        <v>4.5701715050639278E-3</v>
      </c>
      <c r="R82" s="66">
        <f t="shared" si="82"/>
        <v>4.5470987483581301E-3</v>
      </c>
      <c r="S82" s="66">
        <f t="shared" si="82"/>
        <v>4.5290028839305909E-3</v>
      </c>
      <c r="T82" s="66">
        <f t="shared" si="82"/>
        <v>4.5152671936594339E-3</v>
      </c>
      <c r="U82" s="66">
        <f t="shared" si="82"/>
        <v>4.5051076679312619E-3</v>
      </c>
      <c r="V82" s="66">
        <f t="shared" si="82"/>
        <v>4.4977521400633488E-3</v>
      </c>
      <c r="W82" s="66">
        <f t="shared" si="82"/>
        <v>4.4925217784736893E-3</v>
      </c>
      <c r="X82" s="66">
        <f t="shared" si="82"/>
        <v>4.4888578412191869E-3</v>
      </c>
      <c r="Y82" s="66">
        <f t="shared" si="82"/>
        <v>4.4863218328353559E-3</v>
      </c>
      <c r="Z82" s="66">
        <f t="shared" si="82"/>
        <v>4.4845826680002428E-3</v>
      </c>
      <c r="AA82" s="66">
        <f t="shared" si="82"/>
        <v>4.4833981158966061E-3</v>
      </c>
      <c r="AB82" s="66">
        <f t="shared" si="82"/>
        <v>4.4825952866378322E-3</v>
      </c>
      <c r="AC82" s="66">
        <f t="shared" si="82"/>
        <v>4.4820530601201673E-3</v>
      </c>
    </row>
    <row r="83" spans="1:29" x14ac:dyDescent="0.25">
      <c r="A83" s="59" t="str">
        <f>A46</f>
        <v>Payload loss (fuel)</v>
      </c>
      <c r="B83" s="66">
        <f>B71/(B44-B46)-B71/B44</f>
        <v>0</v>
      </c>
      <c r="C83" s="66">
        <f t="shared" ref="C83:AC83" si="83">C71/(C44-C46)-C71/C44</f>
        <v>0</v>
      </c>
      <c r="D83" s="66">
        <f t="shared" si="83"/>
        <v>0</v>
      </c>
      <c r="E83" s="66">
        <f t="shared" si="83"/>
        <v>0</v>
      </c>
      <c r="F83" s="66">
        <f t="shared" si="83"/>
        <v>0</v>
      </c>
      <c r="G83" s="66">
        <f t="shared" si="83"/>
        <v>0</v>
      </c>
      <c r="H83" s="66">
        <f t="shared" si="83"/>
        <v>0</v>
      </c>
      <c r="I83" s="66">
        <f t="shared" si="83"/>
        <v>0</v>
      </c>
      <c r="J83" s="66">
        <f t="shared" si="83"/>
        <v>0</v>
      </c>
      <c r="K83" s="66">
        <f t="shared" si="83"/>
        <v>0</v>
      </c>
      <c r="L83" s="66">
        <f t="shared" si="83"/>
        <v>0</v>
      </c>
      <c r="M83" s="66">
        <f t="shared" si="83"/>
        <v>0</v>
      </c>
      <c r="N83" s="66">
        <f t="shared" si="83"/>
        <v>0</v>
      </c>
      <c r="O83" s="66">
        <f t="shared" si="83"/>
        <v>0</v>
      </c>
      <c r="P83" s="66">
        <f t="shared" si="83"/>
        <v>0</v>
      </c>
      <c r="Q83" s="66">
        <f t="shared" si="83"/>
        <v>0</v>
      </c>
      <c r="R83" s="66">
        <f t="shared" si="83"/>
        <v>0</v>
      </c>
      <c r="S83" s="66">
        <f t="shared" si="83"/>
        <v>0</v>
      </c>
      <c r="T83" s="66">
        <f t="shared" si="83"/>
        <v>0</v>
      </c>
      <c r="U83" s="66">
        <f t="shared" si="83"/>
        <v>0</v>
      </c>
      <c r="V83" s="66">
        <f t="shared" si="83"/>
        <v>0</v>
      </c>
      <c r="W83" s="66">
        <f t="shared" si="83"/>
        <v>0</v>
      </c>
      <c r="X83" s="66">
        <f t="shared" si="83"/>
        <v>0</v>
      </c>
      <c r="Y83" s="66">
        <f t="shared" si="83"/>
        <v>0</v>
      </c>
      <c r="Z83" s="66">
        <f t="shared" si="83"/>
        <v>0</v>
      </c>
      <c r="AA83" s="66">
        <f t="shared" si="83"/>
        <v>0</v>
      </c>
      <c r="AB83" s="66">
        <f t="shared" si="83"/>
        <v>0</v>
      </c>
      <c r="AC83" s="66">
        <f t="shared" si="83"/>
        <v>0</v>
      </c>
    </row>
    <row r="84" spans="1:29" ht="15.75" thickBot="1" x14ac:dyDescent="0.3">
      <c r="A84" s="59" t="str">
        <f>A21</f>
        <v>Emission Cost</v>
      </c>
      <c r="B84" s="68">
        <f>B41*B47/B47/(B44)</f>
        <v>3.2612180545682326E-5</v>
      </c>
      <c r="C84" s="68">
        <f t="shared" ref="C84:AC84" si="84">C41*C47/C47/(C44)</f>
        <v>3.2581125803789985E-5</v>
      </c>
      <c r="D84" s="68">
        <f t="shared" si="84"/>
        <v>3.2536671632459692E-5</v>
      </c>
      <c r="E84" s="68">
        <f t="shared" si="84"/>
        <v>3.2473076814214629E-5</v>
      </c>
      <c r="F84" s="68">
        <f t="shared" si="84"/>
        <v>3.2382185786049084E-5</v>
      </c>
      <c r="G84" s="68">
        <f t="shared" si="84"/>
        <v>3.2252464646491119E-5</v>
      </c>
      <c r="H84" s="68">
        <f t="shared" si="84"/>
        <v>3.2067709919681529E-5</v>
      </c>
      <c r="I84" s="68">
        <f t="shared" si="84"/>
        <v>3.1805384692532378E-5</v>
      </c>
      <c r="J84" s="68">
        <f t="shared" si="84"/>
        <v>3.1434613191801918E-5</v>
      </c>
      <c r="K84" s="68">
        <f t="shared" si="84"/>
        <v>3.0914056694048323E-5</v>
      </c>
      <c r="L84" s="68">
        <f t="shared" si="84"/>
        <v>3.0190294194310576E-5</v>
      </c>
      <c r="M84" s="68">
        <f t="shared" si="84"/>
        <v>2.9198042883179091E-5</v>
      </c>
      <c r="N84" s="68">
        <f t="shared" si="84"/>
        <v>2.7864563446370286E-5</v>
      </c>
      <c r="O84" s="68">
        <f t="shared" si="84"/>
        <v>2.6121448213179506E-5</v>
      </c>
      <c r="P84" s="68">
        <f t="shared" si="84"/>
        <v>2.3926289201690408E-5</v>
      </c>
      <c r="Q84" s="68">
        <f t="shared" si="84"/>
        <v>2.1292161399952762E-5</v>
      </c>
      <c r="R84" s="68">
        <f t="shared" si="84"/>
        <v>1.8313559080442676E-5</v>
      </c>
      <c r="S84" s="68">
        <f t="shared" si="84"/>
        <v>1.5169060832633678E-5</v>
      </c>
      <c r="T84" s="68">
        <f t="shared" si="84"/>
        <v>1.2086440428722554E-5</v>
      </c>
      <c r="U84" s="68">
        <f t="shared" si="84"/>
        <v>9.2802676237572389E-6</v>
      </c>
      <c r="V84" s="68">
        <f t="shared" si="84"/>
        <v>6.8954203462286989E-6</v>
      </c>
      <c r="W84" s="68">
        <f t="shared" si="84"/>
        <v>4.9855847788772532E-6</v>
      </c>
      <c r="X84" s="68">
        <f t="shared" si="84"/>
        <v>3.528295476436697E-6</v>
      </c>
      <c r="Y84" s="68">
        <f t="shared" si="84"/>
        <v>2.4570709643718897E-6</v>
      </c>
      <c r="Z84" s="68">
        <f t="shared" si="84"/>
        <v>1.6911609352910116E-6</v>
      </c>
      <c r="AA84" s="68">
        <f t="shared" si="84"/>
        <v>1.1543711142307326E-6</v>
      </c>
      <c r="AB84" s="68">
        <f t="shared" si="84"/>
        <v>7.8341635419717214E-7</v>
      </c>
      <c r="AC84" s="68">
        <f t="shared" si="84"/>
        <v>5.295535265214743E-7</v>
      </c>
    </row>
    <row r="85" spans="1:29" ht="15.75" thickBot="1" x14ac:dyDescent="0.3">
      <c r="A85" s="31" t="s">
        <v>210</v>
      </c>
      <c r="B85" s="76">
        <f>B74+B75+B76+B77+B78+B79+B80+B81+B82+B83+B84</f>
        <v>1.3425445445853938E-2</v>
      </c>
      <c r="C85" s="76">
        <f t="shared" ref="C85:AC85" si="85">C74+C75+C76+C77+C78+C79+C80+C81+C82+C83+C84</f>
        <v>1.3419647080803105E-2</v>
      </c>
      <c r="D85" s="76">
        <f t="shared" si="85"/>
        <v>1.3411413669746923E-2</v>
      </c>
      <c r="E85" s="76">
        <f t="shared" si="85"/>
        <v>1.339977534202611E-2</v>
      </c>
      <c r="F85" s="76">
        <f t="shared" si="85"/>
        <v>1.3383432831987199E-2</v>
      </c>
      <c r="G85" s="76">
        <f t="shared" si="85"/>
        <v>1.3360705576743355E-2</v>
      </c>
      <c r="H85" s="76">
        <f t="shared" si="85"/>
        <v>1.3329536560192739E-2</v>
      </c>
      <c r="I85" s="76">
        <f t="shared" si="85"/>
        <v>1.3287626812710757E-2</v>
      </c>
      <c r="J85" s="76">
        <f t="shared" si="85"/>
        <v>1.3232799142397557E-2</v>
      </c>
      <c r="K85" s="76">
        <f t="shared" si="85"/>
        <v>1.31636691579967E-2</v>
      </c>
      <c r="L85" s="76">
        <f t="shared" si="85"/>
        <v>1.3080560302271857E-2</v>
      </c>
      <c r="M85" s="76">
        <f t="shared" si="85"/>
        <v>1.2986311373201933E-2</v>
      </c>
      <c r="N85" s="76">
        <f t="shared" si="85"/>
        <v>1.2886366347040891E-2</v>
      </c>
      <c r="O85" s="76">
        <f t="shared" si="85"/>
        <v>1.2787706995525432E-2</v>
      </c>
      <c r="P85" s="76">
        <f t="shared" si="85"/>
        <v>1.2696944786244516E-2</v>
      </c>
      <c r="Q85" s="76">
        <f t="shared" si="85"/>
        <v>1.2618608965582529E-2</v>
      </c>
      <c r="R85" s="76">
        <f t="shared" si="85"/>
        <v>1.2554517974733089E-2</v>
      </c>
      <c r="S85" s="76">
        <f t="shared" si="85"/>
        <v>1.2504251684656588E-2</v>
      </c>
      <c r="T85" s="76">
        <f t="shared" si="85"/>
        <v>1.2466096989458931E-2</v>
      </c>
      <c r="U85" s="76">
        <f t="shared" si="85"/>
        <v>1.2437876084658454E-2</v>
      </c>
      <c r="V85" s="76">
        <f t="shared" si="85"/>
        <v>1.2417444062803139E-2</v>
      </c>
      <c r="W85" s="76">
        <f t="shared" si="85"/>
        <v>1.240291528060964E-2</v>
      </c>
      <c r="X85" s="76">
        <f t="shared" si="85"/>
        <v>1.2392737677124913E-2</v>
      </c>
      <c r="Y85" s="76">
        <f t="shared" si="85"/>
        <v>1.2385693209392049E-2</v>
      </c>
      <c r="Z85" s="76">
        <f t="shared" si="85"/>
        <v>1.2380862195961179E-2</v>
      </c>
      <c r="AA85" s="76">
        <f t="shared" si="85"/>
        <v>1.2377571773451076E-2</v>
      </c>
      <c r="AB85" s="76">
        <f t="shared" si="85"/>
        <v>1.2375341692176703E-2</v>
      </c>
      <c r="AC85" s="76">
        <f t="shared" si="85"/>
        <v>1.2373835507405413E-2</v>
      </c>
    </row>
    <row r="87" spans="1:29" x14ac:dyDescent="0.25">
      <c r="B87" s="40"/>
    </row>
    <row r="107" spans="1:2" s="3" customFormat="1" ht="21" x14ac:dyDescent="0.35">
      <c r="A107" s="2" t="str">
        <f>'Parameter Input'!A102</f>
        <v>Railway long-haul: Liquid bulk</v>
      </c>
    </row>
    <row r="108" spans="1:2" s="3" customFormat="1" ht="21" x14ac:dyDescent="0.35">
      <c r="A108" s="2" t="s">
        <v>136</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Input'!$L$103</f>
        <v>5000000</v>
      </c>
      <c r="C117" s="42">
        <f>'Parameter Input'!$M$103</f>
        <v>5000000</v>
      </c>
      <c r="D117" s="1" t="s">
        <v>15</v>
      </c>
      <c r="L117" s="51">
        <f>'Parameter Input'!$O$103</f>
        <v>12</v>
      </c>
      <c r="M117" s="52">
        <v>0</v>
      </c>
      <c r="N117" s="52">
        <v>1</v>
      </c>
      <c r="O117" s="52">
        <f>'Parameter Input'!$P$103</f>
        <v>0.9</v>
      </c>
      <c r="P117" s="53">
        <f>'Parameter Input'!$Q$103</f>
        <v>0.4</v>
      </c>
      <c r="Q117" s="4">
        <f t="shared" ref="Q117:AR126" si="86">$N117+($M117-$N117)*((1/(1+EXP(-$P117*(Q$9-$L117)))^$O117))</f>
        <v>0.9867978615748374</v>
      </c>
      <c r="R117" s="4">
        <f t="shared" si="86"/>
        <v>0.98114509762858249</v>
      </c>
      <c r="S117" s="4">
        <f t="shared" si="86"/>
        <v>0.97311898315872036</v>
      </c>
      <c r="T117" s="4">
        <f t="shared" si="86"/>
        <v>0.96177484161592774</v>
      </c>
      <c r="U117" s="4">
        <f t="shared" si="86"/>
        <v>0.94584787155511363</v>
      </c>
      <c r="V117" s="4">
        <f t="shared" si="86"/>
        <v>0.92370360150141495</v>
      </c>
      <c r="W117" s="4">
        <f t="shared" si="86"/>
        <v>0.89334463567658451</v>
      </c>
      <c r="X117" s="4">
        <f t="shared" si="86"/>
        <v>0.85254543874327005</v>
      </c>
      <c r="Y117" s="4">
        <f t="shared" si="86"/>
        <v>0.79921300652623883</v>
      </c>
      <c r="Z117" s="4">
        <f t="shared" si="86"/>
        <v>0.73204982249993378</v>
      </c>
      <c r="AA117" s="4">
        <f t="shared" si="86"/>
        <v>0.65145592958786691</v>
      </c>
      <c r="AB117" s="4">
        <f t="shared" si="86"/>
        <v>0.56032247880849573</v>
      </c>
      <c r="AC117" s="4">
        <f t="shared" si="86"/>
        <v>0.46411326873185343</v>
      </c>
      <c r="AD117" s="4">
        <f t="shared" si="86"/>
        <v>0.36979727595523937</v>
      </c>
      <c r="AE117" s="4">
        <f t="shared" si="86"/>
        <v>0.28393948637231203</v>
      </c>
      <c r="AF117" s="4">
        <f t="shared" si="86"/>
        <v>0.21097259161117732</v>
      </c>
      <c r="AG117" s="4">
        <f t="shared" si="86"/>
        <v>0.15253917653798199</v>
      </c>
      <c r="AH117" s="4">
        <f t="shared" si="86"/>
        <v>0.10795188737709993</v>
      </c>
      <c r="AI117" s="4">
        <f t="shared" si="86"/>
        <v>7.5176653938091809E-2</v>
      </c>
      <c r="AJ117" s="4">
        <f t="shared" si="86"/>
        <v>5.1742836177502194E-2</v>
      </c>
      <c r="AK117" s="4">
        <f t="shared" si="86"/>
        <v>3.5319190625345942E-2</v>
      </c>
      <c r="AL117" s="4">
        <f t="shared" si="86"/>
        <v>2.3969442072658165E-2</v>
      </c>
      <c r="AM117" s="4">
        <f t="shared" si="86"/>
        <v>1.6202243558389728E-2</v>
      </c>
      <c r="AN117" s="4">
        <f t="shared" si="86"/>
        <v>1.0922240564108399E-2</v>
      </c>
      <c r="AO117" s="4">
        <f t="shared" si="86"/>
        <v>7.3493212906090566E-3</v>
      </c>
      <c r="AP117" s="4">
        <f t="shared" si="86"/>
        <v>4.9390262185057265E-3</v>
      </c>
      <c r="AQ117" s="4">
        <f t="shared" si="86"/>
        <v>3.3164275492956197E-3</v>
      </c>
      <c r="AR117" s="4">
        <f t="shared" si="86"/>
        <v>2.2256362146679809E-3</v>
      </c>
    </row>
    <row r="118" spans="1:44" x14ac:dyDescent="0.25">
      <c r="A118" s="24" t="s">
        <v>28</v>
      </c>
      <c r="B118" s="60">
        <f>'Parameter Input'!$L$104</f>
        <v>-750000</v>
      </c>
      <c r="C118" s="61">
        <f>'Parameter Input'!$M$104</f>
        <v>-750000</v>
      </c>
      <c r="D118" s="1" t="s">
        <v>15</v>
      </c>
      <c r="L118" s="54">
        <f>'Parameter Input'!$O$104</f>
        <v>12</v>
      </c>
      <c r="M118" s="37">
        <v>0</v>
      </c>
      <c r="N118" s="37">
        <v>1</v>
      </c>
      <c r="O118" s="37">
        <f>'Parameter Input'!$P$104</f>
        <v>0.9</v>
      </c>
      <c r="P118" s="55">
        <f>'Parameter Input'!$Q$104</f>
        <v>0.4</v>
      </c>
      <c r="Q118" s="4">
        <f t="shared" si="86"/>
        <v>0.9867978615748374</v>
      </c>
      <c r="R118" s="4">
        <f t="shared" si="86"/>
        <v>0.98114509762858249</v>
      </c>
      <c r="S118" s="4">
        <f t="shared" si="86"/>
        <v>0.97311898315872036</v>
      </c>
      <c r="T118" s="4">
        <f t="shared" si="86"/>
        <v>0.96177484161592774</v>
      </c>
      <c r="U118" s="4">
        <f t="shared" si="86"/>
        <v>0.94584787155511363</v>
      </c>
      <c r="V118" s="4">
        <f t="shared" si="86"/>
        <v>0.92370360150141495</v>
      </c>
      <c r="W118" s="4">
        <f t="shared" si="86"/>
        <v>0.89334463567658451</v>
      </c>
      <c r="X118" s="4">
        <f t="shared" si="86"/>
        <v>0.85254543874327005</v>
      </c>
      <c r="Y118" s="4">
        <f t="shared" si="86"/>
        <v>0.79921300652623883</v>
      </c>
      <c r="Z118" s="4">
        <f t="shared" si="86"/>
        <v>0.73204982249993378</v>
      </c>
      <c r="AA118" s="4">
        <f t="shared" si="86"/>
        <v>0.65145592958786691</v>
      </c>
      <c r="AB118" s="4">
        <f t="shared" si="86"/>
        <v>0.56032247880849573</v>
      </c>
      <c r="AC118" s="4">
        <f t="shared" si="86"/>
        <v>0.46411326873185343</v>
      </c>
      <c r="AD118" s="4">
        <f t="shared" si="86"/>
        <v>0.36979727595523937</v>
      </c>
      <c r="AE118" s="4">
        <f t="shared" si="86"/>
        <v>0.28393948637231203</v>
      </c>
      <c r="AF118" s="4">
        <f t="shared" si="86"/>
        <v>0.21097259161117732</v>
      </c>
      <c r="AG118" s="4">
        <f t="shared" si="86"/>
        <v>0.15253917653798199</v>
      </c>
      <c r="AH118" s="4">
        <f t="shared" si="86"/>
        <v>0.10795188737709993</v>
      </c>
      <c r="AI118" s="4">
        <f t="shared" si="86"/>
        <v>7.5176653938091809E-2</v>
      </c>
      <c r="AJ118" s="4">
        <f t="shared" si="86"/>
        <v>5.1742836177502194E-2</v>
      </c>
      <c r="AK118" s="4">
        <f t="shared" si="86"/>
        <v>3.5319190625345942E-2</v>
      </c>
      <c r="AL118" s="4">
        <f t="shared" si="86"/>
        <v>2.3969442072658165E-2</v>
      </c>
      <c r="AM118" s="4">
        <f t="shared" si="86"/>
        <v>1.6202243558389728E-2</v>
      </c>
      <c r="AN118" s="4">
        <f t="shared" si="86"/>
        <v>1.0922240564108399E-2</v>
      </c>
      <c r="AO118" s="4">
        <f t="shared" si="86"/>
        <v>7.3493212906090566E-3</v>
      </c>
      <c r="AP118" s="4">
        <f t="shared" si="86"/>
        <v>4.9390262185057265E-3</v>
      </c>
      <c r="AQ118" s="4">
        <f t="shared" si="86"/>
        <v>3.3164275492956197E-3</v>
      </c>
      <c r="AR118" s="4">
        <f t="shared" si="86"/>
        <v>2.2256362146679809E-3</v>
      </c>
    </row>
    <row r="119" spans="1:44" x14ac:dyDescent="0.25">
      <c r="A119" s="24" t="s">
        <v>14</v>
      </c>
      <c r="B119" s="43">
        <f>'Parameter Input'!B103</f>
        <v>5600000</v>
      </c>
      <c r="C119" s="44">
        <f>'Parameter Input'!C103</f>
        <v>5600000</v>
      </c>
      <c r="D119" s="1" t="s">
        <v>15</v>
      </c>
      <c r="L119" s="54">
        <f>'Parameter Input'!E91</f>
        <v>12</v>
      </c>
      <c r="M119" s="37">
        <v>0</v>
      </c>
      <c r="N119" s="37">
        <v>1</v>
      </c>
      <c r="O119" s="37">
        <f>'Parameter Input'!F91</f>
        <v>0.9</v>
      </c>
      <c r="P119" s="55">
        <f>'Parameter Input'!G91</f>
        <v>0.4</v>
      </c>
      <c r="Q119" s="4">
        <f t="shared" si="86"/>
        <v>0.9867978615748374</v>
      </c>
      <c r="R119" s="4">
        <f t="shared" si="86"/>
        <v>0.98114509762858249</v>
      </c>
      <c r="S119" s="4">
        <f t="shared" si="86"/>
        <v>0.97311898315872036</v>
      </c>
      <c r="T119" s="4">
        <f t="shared" si="86"/>
        <v>0.96177484161592774</v>
      </c>
      <c r="U119" s="4">
        <f t="shared" si="86"/>
        <v>0.94584787155511363</v>
      </c>
      <c r="V119" s="4">
        <f t="shared" si="86"/>
        <v>0.92370360150141495</v>
      </c>
      <c r="W119" s="4">
        <f t="shared" si="86"/>
        <v>0.89334463567658451</v>
      </c>
      <c r="X119" s="4">
        <f t="shared" si="86"/>
        <v>0.85254543874327005</v>
      </c>
      <c r="Y119" s="4">
        <f t="shared" si="86"/>
        <v>0.79921300652623883</v>
      </c>
      <c r="Z119" s="4">
        <f t="shared" si="86"/>
        <v>0.73204982249993378</v>
      </c>
      <c r="AA119" s="4">
        <f t="shared" si="86"/>
        <v>0.65145592958786691</v>
      </c>
      <c r="AB119" s="4">
        <f t="shared" si="86"/>
        <v>0.56032247880849573</v>
      </c>
      <c r="AC119" s="4">
        <f t="shared" si="86"/>
        <v>0.46411326873185343</v>
      </c>
      <c r="AD119" s="4">
        <f t="shared" si="86"/>
        <v>0.36979727595523937</v>
      </c>
      <c r="AE119" s="4">
        <f t="shared" si="86"/>
        <v>0.28393948637231203</v>
      </c>
      <c r="AF119" s="4">
        <f t="shared" si="86"/>
        <v>0.21097259161117732</v>
      </c>
      <c r="AG119" s="4">
        <f t="shared" si="86"/>
        <v>0.15253917653798199</v>
      </c>
      <c r="AH119" s="4">
        <f t="shared" si="86"/>
        <v>0.10795188737709993</v>
      </c>
      <c r="AI119" s="4">
        <f t="shared" si="86"/>
        <v>7.5176653938091809E-2</v>
      </c>
      <c r="AJ119" s="4">
        <f t="shared" si="86"/>
        <v>5.1742836177502194E-2</v>
      </c>
      <c r="AK119" s="4">
        <f t="shared" si="86"/>
        <v>3.5319190625345942E-2</v>
      </c>
      <c r="AL119" s="4">
        <f t="shared" si="86"/>
        <v>2.3969442072658165E-2</v>
      </c>
      <c r="AM119" s="4">
        <f t="shared" si="86"/>
        <v>1.6202243558389728E-2</v>
      </c>
      <c r="AN119" s="4">
        <f t="shared" si="86"/>
        <v>1.0922240564108399E-2</v>
      </c>
      <c r="AO119" s="4">
        <f t="shared" si="86"/>
        <v>7.3493212906090566E-3</v>
      </c>
      <c r="AP119" s="4">
        <f t="shared" si="86"/>
        <v>4.9390262185057265E-3</v>
      </c>
      <c r="AQ119" s="4">
        <f t="shared" si="86"/>
        <v>3.3164275492956197E-3</v>
      </c>
      <c r="AR119" s="4">
        <f t="shared" si="86"/>
        <v>2.2256362146679809E-3</v>
      </c>
    </row>
    <row r="120" spans="1:44" x14ac:dyDescent="0.25">
      <c r="A120" s="24" t="s">
        <v>25</v>
      </c>
      <c r="B120" s="60">
        <f>'Parameter Input'!B104</f>
        <v>-280000</v>
      </c>
      <c r="C120" s="61">
        <f>'Parameter Input'!C104</f>
        <v>-280000</v>
      </c>
      <c r="D120" s="1" t="s">
        <v>15</v>
      </c>
      <c r="L120" s="54">
        <f>'Parameter Input'!E92</f>
        <v>12</v>
      </c>
      <c r="M120" s="37">
        <v>0</v>
      </c>
      <c r="N120" s="37">
        <v>1</v>
      </c>
      <c r="O120" s="37">
        <f>'Parameter Input'!F92</f>
        <v>0.9</v>
      </c>
      <c r="P120" s="55">
        <f>'Parameter Input'!G92</f>
        <v>0.4</v>
      </c>
      <c r="Q120" s="4">
        <f t="shared" si="86"/>
        <v>0.9867978615748374</v>
      </c>
      <c r="R120" s="4">
        <f t="shared" si="86"/>
        <v>0.98114509762858249</v>
      </c>
      <c r="S120" s="4">
        <f t="shared" si="86"/>
        <v>0.97311898315872036</v>
      </c>
      <c r="T120" s="4">
        <f t="shared" si="86"/>
        <v>0.96177484161592774</v>
      </c>
      <c r="U120" s="4">
        <f t="shared" si="86"/>
        <v>0.94584787155511363</v>
      </c>
      <c r="V120" s="4">
        <f t="shared" si="86"/>
        <v>0.92370360150141495</v>
      </c>
      <c r="W120" s="4">
        <f t="shared" si="86"/>
        <v>0.89334463567658451</v>
      </c>
      <c r="X120" s="4">
        <f t="shared" si="86"/>
        <v>0.85254543874327005</v>
      </c>
      <c r="Y120" s="4">
        <f t="shared" si="86"/>
        <v>0.79921300652623883</v>
      </c>
      <c r="Z120" s="4">
        <f t="shared" si="86"/>
        <v>0.73204982249993378</v>
      </c>
      <c r="AA120" s="4">
        <f t="shared" si="86"/>
        <v>0.65145592958786691</v>
      </c>
      <c r="AB120" s="4">
        <f t="shared" si="86"/>
        <v>0.56032247880849573</v>
      </c>
      <c r="AC120" s="4">
        <f t="shared" si="86"/>
        <v>0.46411326873185343</v>
      </c>
      <c r="AD120" s="4">
        <f t="shared" si="86"/>
        <v>0.36979727595523937</v>
      </c>
      <c r="AE120" s="4">
        <f t="shared" si="86"/>
        <v>0.28393948637231203</v>
      </c>
      <c r="AF120" s="4">
        <f t="shared" si="86"/>
        <v>0.21097259161117732</v>
      </c>
      <c r="AG120" s="4">
        <f t="shared" si="86"/>
        <v>0.15253917653798199</v>
      </c>
      <c r="AH120" s="4">
        <f t="shared" si="86"/>
        <v>0.10795188737709993</v>
      </c>
      <c r="AI120" s="4">
        <f t="shared" si="86"/>
        <v>7.5176653938091809E-2</v>
      </c>
      <c r="AJ120" s="4">
        <f t="shared" si="86"/>
        <v>5.1742836177502194E-2</v>
      </c>
      <c r="AK120" s="4">
        <f t="shared" si="86"/>
        <v>3.5319190625345942E-2</v>
      </c>
      <c r="AL120" s="4">
        <f t="shared" si="86"/>
        <v>2.3969442072658165E-2</v>
      </c>
      <c r="AM120" s="4">
        <f t="shared" si="86"/>
        <v>1.6202243558389728E-2</v>
      </c>
      <c r="AN120" s="4">
        <f t="shared" si="86"/>
        <v>1.0922240564108399E-2</v>
      </c>
      <c r="AO120" s="4">
        <f t="shared" si="86"/>
        <v>7.3493212906090566E-3</v>
      </c>
      <c r="AP120" s="4">
        <f t="shared" si="86"/>
        <v>4.9390262185057265E-3</v>
      </c>
      <c r="AQ120" s="4">
        <f t="shared" si="86"/>
        <v>3.3164275492956197E-3</v>
      </c>
      <c r="AR120" s="4">
        <f t="shared" si="86"/>
        <v>2.2256362146679809E-3</v>
      </c>
    </row>
    <row r="121" spans="1:44" x14ac:dyDescent="0.25">
      <c r="A121" s="24" t="s">
        <v>79</v>
      </c>
      <c r="B121" s="45">
        <f>'Parameter Input'!$L$110</f>
        <v>0.06</v>
      </c>
      <c r="C121" s="46">
        <f>'Parameter Input'!$M$110</f>
        <v>0.06</v>
      </c>
      <c r="D121" s="1" t="s">
        <v>57</v>
      </c>
      <c r="L121" s="54">
        <f>'Parameter Input'!$O$110</f>
        <v>12</v>
      </c>
      <c r="M121" s="37">
        <v>0</v>
      </c>
      <c r="N121" s="37">
        <v>1</v>
      </c>
      <c r="O121" s="37">
        <f>'Parameter Input'!$P$110</f>
        <v>0.9</v>
      </c>
      <c r="P121" s="55">
        <f>'Parameter Input'!$Q$110</f>
        <v>0.4</v>
      </c>
      <c r="Q121" s="4">
        <f t="shared" si="86"/>
        <v>0.9867978615748374</v>
      </c>
      <c r="R121" s="4">
        <f t="shared" si="86"/>
        <v>0.98114509762858249</v>
      </c>
      <c r="S121" s="4">
        <f t="shared" si="86"/>
        <v>0.97311898315872036</v>
      </c>
      <c r="T121" s="4">
        <f t="shared" si="86"/>
        <v>0.96177484161592774</v>
      </c>
      <c r="U121" s="4">
        <f t="shared" si="86"/>
        <v>0.94584787155511363</v>
      </c>
      <c r="V121" s="4">
        <f t="shared" si="86"/>
        <v>0.92370360150141495</v>
      </c>
      <c r="W121" s="4">
        <f t="shared" si="86"/>
        <v>0.89334463567658451</v>
      </c>
      <c r="X121" s="4">
        <f t="shared" si="86"/>
        <v>0.85254543874327005</v>
      </c>
      <c r="Y121" s="4">
        <f t="shared" si="86"/>
        <v>0.79921300652623883</v>
      </c>
      <c r="Z121" s="4">
        <f t="shared" si="86"/>
        <v>0.73204982249993378</v>
      </c>
      <c r="AA121" s="4">
        <f t="shared" si="86"/>
        <v>0.65145592958786691</v>
      </c>
      <c r="AB121" s="4">
        <f t="shared" si="86"/>
        <v>0.56032247880849573</v>
      </c>
      <c r="AC121" s="4">
        <f t="shared" si="86"/>
        <v>0.46411326873185343</v>
      </c>
      <c r="AD121" s="4">
        <f t="shared" si="86"/>
        <v>0.36979727595523937</v>
      </c>
      <c r="AE121" s="4">
        <f t="shared" si="86"/>
        <v>0.28393948637231203</v>
      </c>
      <c r="AF121" s="4">
        <f t="shared" si="86"/>
        <v>0.21097259161117732</v>
      </c>
      <c r="AG121" s="4">
        <f t="shared" si="86"/>
        <v>0.15253917653798199</v>
      </c>
      <c r="AH121" s="4">
        <f t="shared" si="86"/>
        <v>0.10795188737709993</v>
      </c>
      <c r="AI121" s="4">
        <f t="shared" si="86"/>
        <v>7.5176653938091809E-2</v>
      </c>
      <c r="AJ121" s="4">
        <f t="shared" si="86"/>
        <v>5.1742836177502194E-2</v>
      </c>
      <c r="AK121" s="4">
        <f t="shared" si="86"/>
        <v>3.5319190625345942E-2</v>
      </c>
      <c r="AL121" s="4">
        <f t="shared" si="86"/>
        <v>2.3969442072658165E-2</v>
      </c>
      <c r="AM121" s="4">
        <f t="shared" si="86"/>
        <v>1.6202243558389728E-2</v>
      </c>
      <c r="AN121" s="4">
        <f t="shared" si="86"/>
        <v>1.0922240564108399E-2</v>
      </c>
      <c r="AO121" s="4">
        <f t="shared" si="86"/>
        <v>7.3493212906090566E-3</v>
      </c>
      <c r="AP121" s="4">
        <f t="shared" si="86"/>
        <v>4.9390262185057265E-3</v>
      </c>
      <c r="AQ121" s="4">
        <f t="shared" si="86"/>
        <v>3.3164275492956197E-3</v>
      </c>
      <c r="AR121" s="4">
        <f t="shared" si="86"/>
        <v>2.2256362146679809E-3</v>
      </c>
    </row>
    <row r="122" spans="1:44" x14ac:dyDescent="0.25">
      <c r="A122" s="24" t="s">
        <v>37</v>
      </c>
      <c r="B122" s="43">
        <f>'Parameter Input'!B105</f>
        <v>620000</v>
      </c>
      <c r="C122" s="44">
        <f>'Parameter Input'!C105</f>
        <v>620000</v>
      </c>
      <c r="D122" s="1" t="s">
        <v>38</v>
      </c>
      <c r="L122" s="54">
        <f>'Parameter Input'!E93</f>
        <v>12</v>
      </c>
      <c r="M122" s="37">
        <v>0</v>
      </c>
      <c r="N122" s="37">
        <v>1</v>
      </c>
      <c r="O122" s="37">
        <f>'Parameter Input'!F93</f>
        <v>0.9</v>
      </c>
      <c r="P122" s="55">
        <f>'Parameter Input'!G93</f>
        <v>0.4</v>
      </c>
      <c r="Q122" s="4">
        <f t="shared" si="86"/>
        <v>0.9867978615748374</v>
      </c>
      <c r="R122" s="4">
        <f t="shared" si="86"/>
        <v>0.98114509762858249</v>
      </c>
      <c r="S122" s="4">
        <f t="shared" si="86"/>
        <v>0.97311898315872036</v>
      </c>
      <c r="T122" s="4">
        <f t="shared" si="86"/>
        <v>0.96177484161592774</v>
      </c>
      <c r="U122" s="4">
        <f t="shared" si="86"/>
        <v>0.94584787155511363</v>
      </c>
      <c r="V122" s="4">
        <f t="shared" si="86"/>
        <v>0.92370360150141495</v>
      </c>
      <c r="W122" s="4">
        <f t="shared" si="86"/>
        <v>0.89334463567658451</v>
      </c>
      <c r="X122" s="4">
        <f t="shared" si="86"/>
        <v>0.85254543874327005</v>
      </c>
      <c r="Y122" s="4">
        <f t="shared" si="86"/>
        <v>0.79921300652623883</v>
      </c>
      <c r="Z122" s="4">
        <f t="shared" si="86"/>
        <v>0.73204982249993378</v>
      </c>
      <c r="AA122" s="4">
        <f t="shared" si="86"/>
        <v>0.65145592958786691</v>
      </c>
      <c r="AB122" s="4">
        <f t="shared" si="86"/>
        <v>0.56032247880849573</v>
      </c>
      <c r="AC122" s="4">
        <f t="shared" si="86"/>
        <v>0.46411326873185343</v>
      </c>
      <c r="AD122" s="4">
        <f t="shared" si="86"/>
        <v>0.36979727595523937</v>
      </c>
      <c r="AE122" s="4">
        <f t="shared" si="86"/>
        <v>0.28393948637231203</v>
      </c>
      <c r="AF122" s="4">
        <f t="shared" si="86"/>
        <v>0.21097259161117732</v>
      </c>
      <c r="AG122" s="4">
        <f t="shared" si="86"/>
        <v>0.15253917653798199</v>
      </c>
      <c r="AH122" s="4">
        <f t="shared" si="86"/>
        <v>0.10795188737709993</v>
      </c>
      <c r="AI122" s="4">
        <f t="shared" si="86"/>
        <v>7.5176653938091809E-2</v>
      </c>
      <c r="AJ122" s="4">
        <f t="shared" si="86"/>
        <v>5.1742836177502194E-2</v>
      </c>
      <c r="AK122" s="4">
        <f t="shared" si="86"/>
        <v>3.5319190625345942E-2</v>
      </c>
      <c r="AL122" s="4">
        <f t="shared" si="86"/>
        <v>2.3969442072658165E-2</v>
      </c>
      <c r="AM122" s="4">
        <f t="shared" si="86"/>
        <v>1.6202243558389728E-2</v>
      </c>
      <c r="AN122" s="4">
        <f t="shared" si="86"/>
        <v>1.0922240564108399E-2</v>
      </c>
      <c r="AO122" s="4">
        <f t="shared" si="86"/>
        <v>7.3493212906090566E-3</v>
      </c>
      <c r="AP122" s="4">
        <f t="shared" si="86"/>
        <v>4.9390262185057265E-3</v>
      </c>
      <c r="AQ122" s="4">
        <f t="shared" si="86"/>
        <v>3.3164275492956197E-3</v>
      </c>
      <c r="AR122" s="4">
        <f t="shared" si="86"/>
        <v>2.2256362146679809E-3</v>
      </c>
    </row>
    <row r="123" spans="1:44" x14ac:dyDescent="0.25">
      <c r="A123" s="24" t="s">
        <v>52</v>
      </c>
      <c r="B123" s="43">
        <f>'Parameter Input'!$L$106</f>
        <v>650000</v>
      </c>
      <c r="C123" s="44">
        <f>'Parameter Input'!$M$106</f>
        <v>650000</v>
      </c>
      <c r="D123" s="1" t="s">
        <v>38</v>
      </c>
      <c r="L123" s="54">
        <f>'Parameter Input'!$O$106</f>
        <v>12</v>
      </c>
      <c r="M123" s="37">
        <v>0</v>
      </c>
      <c r="N123" s="37">
        <v>1</v>
      </c>
      <c r="O123" s="37">
        <f>'Parameter Input'!$P$106</f>
        <v>0.9</v>
      </c>
      <c r="P123" s="55">
        <f>'Parameter Input'!$Q$106</f>
        <v>0.4</v>
      </c>
      <c r="Q123" s="4">
        <f t="shared" si="86"/>
        <v>0.9867978615748374</v>
      </c>
      <c r="R123" s="4">
        <f t="shared" si="86"/>
        <v>0.98114509762858249</v>
      </c>
      <c r="S123" s="4">
        <f t="shared" si="86"/>
        <v>0.97311898315872036</v>
      </c>
      <c r="T123" s="4">
        <f t="shared" si="86"/>
        <v>0.96177484161592774</v>
      </c>
      <c r="U123" s="4">
        <f t="shared" si="86"/>
        <v>0.94584787155511363</v>
      </c>
      <c r="V123" s="4">
        <f t="shared" si="86"/>
        <v>0.92370360150141495</v>
      </c>
      <c r="W123" s="4">
        <f t="shared" si="86"/>
        <v>0.89334463567658451</v>
      </c>
      <c r="X123" s="4">
        <f t="shared" si="86"/>
        <v>0.85254543874327005</v>
      </c>
      <c r="Y123" s="4">
        <f t="shared" si="86"/>
        <v>0.79921300652623883</v>
      </c>
      <c r="Z123" s="4">
        <f t="shared" si="86"/>
        <v>0.73204982249993378</v>
      </c>
      <c r="AA123" s="4">
        <f t="shared" si="86"/>
        <v>0.65145592958786691</v>
      </c>
      <c r="AB123" s="4">
        <f t="shared" si="86"/>
        <v>0.56032247880849573</v>
      </c>
      <c r="AC123" s="4">
        <f t="shared" si="86"/>
        <v>0.46411326873185343</v>
      </c>
      <c r="AD123" s="4">
        <f t="shared" si="86"/>
        <v>0.36979727595523937</v>
      </c>
      <c r="AE123" s="4">
        <f t="shared" si="86"/>
        <v>0.28393948637231203</v>
      </c>
      <c r="AF123" s="4">
        <f t="shared" si="86"/>
        <v>0.21097259161117732</v>
      </c>
      <c r="AG123" s="4">
        <f t="shared" si="86"/>
        <v>0.15253917653798199</v>
      </c>
      <c r="AH123" s="4">
        <f t="shared" si="86"/>
        <v>0.10795188737709993</v>
      </c>
      <c r="AI123" s="4">
        <f t="shared" si="86"/>
        <v>7.5176653938091809E-2</v>
      </c>
      <c r="AJ123" s="4">
        <f t="shared" si="86"/>
        <v>5.1742836177502194E-2</v>
      </c>
      <c r="AK123" s="4">
        <f t="shared" si="86"/>
        <v>3.5319190625345942E-2</v>
      </c>
      <c r="AL123" s="4">
        <f t="shared" si="86"/>
        <v>2.3969442072658165E-2</v>
      </c>
      <c r="AM123" s="4">
        <f t="shared" si="86"/>
        <v>1.6202243558389728E-2</v>
      </c>
      <c r="AN123" s="4">
        <f t="shared" si="86"/>
        <v>1.0922240564108399E-2</v>
      </c>
      <c r="AO123" s="4">
        <f t="shared" si="86"/>
        <v>7.3493212906090566E-3</v>
      </c>
      <c r="AP123" s="4">
        <f t="shared" si="86"/>
        <v>4.9390262185057265E-3</v>
      </c>
      <c r="AQ123" s="4">
        <f t="shared" si="86"/>
        <v>3.3164275492956197E-3</v>
      </c>
      <c r="AR123" s="4">
        <f t="shared" si="86"/>
        <v>2.2256362146679809E-3</v>
      </c>
    </row>
    <row r="124" spans="1:44" x14ac:dyDescent="0.25">
      <c r="A124" s="24" t="s">
        <v>287</v>
      </c>
      <c r="B124" s="45">
        <f>'Parameter Input'!B110</f>
        <v>3.6414565826330532</v>
      </c>
      <c r="C124" s="46">
        <f>'Parameter Input'!C110</f>
        <v>3.6414565826330532</v>
      </c>
      <c r="D124" s="1" t="s">
        <v>76</v>
      </c>
      <c r="L124" s="54">
        <f>'Parameter Input'!E98</f>
        <v>12</v>
      </c>
      <c r="M124" s="37">
        <v>0</v>
      </c>
      <c r="N124" s="37">
        <v>1</v>
      </c>
      <c r="O124" s="37">
        <f>'Parameter Input'!F98</f>
        <v>0.9</v>
      </c>
      <c r="P124" s="55">
        <f>'Parameter Input'!G98</f>
        <v>0.4</v>
      </c>
      <c r="Q124" s="4">
        <f t="shared" si="86"/>
        <v>0.9867978615748374</v>
      </c>
      <c r="R124" s="4">
        <f t="shared" si="86"/>
        <v>0.98114509762858249</v>
      </c>
      <c r="S124" s="4">
        <f t="shared" si="86"/>
        <v>0.97311898315872036</v>
      </c>
      <c r="T124" s="4">
        <f t="shared" si="86"/>
        <v>0.96177484161592774</v>
      </c>
      <c r="U124" s="4">
        <f t="shared" si="86"/>
        <v>0.94584787155511363</v>
      </c>
      <c r="V124" s="4">
        <f t="shared" si="86"/>
        <v>0.92370360150141495</v>
      </c>
      <c r="W124" s="4">
        <f t="shared" si="86"/>
        <v>0.89334463567658451</v>
      </c>
      <c r="X124" s="4">
        <f t="shared" si="86"/>
        <v>0.85254543874327005</v>
      </c>
      <c r="Y124" s="4">
        <f t="shared" si="86"/>
        <v>0.79921300652623883</v>
      </c>
      <c r="Z124" s="4">
        <f t="shared" si="86"/>
        <v>0.73204982249993378</v>
      </c>
      <c r="AA124" s="4">
        <f t="shared" si="86"/>
        <v>0.65145592958786691</v>
      </c>
      <c r="AB124" s="4">
        <f t="shared" si="86"/>
        <v>0.56032247880849573</v>
      </c>
      <c r="AC124" s="4">
        <f t="shared" si="86"/>
        <v>0.46411326873185343</v>
      </c>
      <c r="AD124" s="4">
        <f t="shared" si="86"/>
        <v>0.36979727595523937</v>
      </c>
      <c r="AE124" s="4">
        <f t="shared" si="86"/>
        <v>0.28393948637231203</v>
      </c>
      <c r="AF124" s="4">
        <f t="shared" si="86"/>
        <v>0.21097259161117732</v>
      </c>
      <c r="AG124" s="4">
        <f t="shared" si="86"/>
        <v>0.15253917653798199</v>
      </c>
      <c r="AH124" s="4">
        <f t="shared" si="86"/>
        <v>0.10795188737709993</v>
      </c>
      <c r="AI124" s="4">
        <f t="shared" si="86"/>
        <v>7.5176653938091809E-2</v>
      </c>
      <c r="AJ124" s="4">
        <f t="shared" si="86"/>
        <v>5.1742836177502194E-2</v>
      </c>
      <c r="AK124" s="4">
        <f t="shared" si="86"/>
        <v>3.5319190625345942E-2</v>
      </c>
      <c r="AL124" s="4">
        <f t="shared" si="86"/>
        <v>2.3969442072658165E-2</v>
      </c>
      <c r="AM124" s="4">
        <f t="shared" si="86"/>
        <v>1.6202243558389728E-2</v>
      </c>
      <c r="AN124" s="4">
        <f t="shared" si="86"/>
        <v>1.0922240564108399E-2</v>
      </c>
      <c r="AO124" s="4">
        <f t="shared" si="86"/>
        <v>7.3493212906090566E-3</v>
      </c>
      <c r="AP124" s="4">
        <f t="shared" si="86"/>
        <v>4.9390262185057265E-3</v>
      </c>
      <c r="AQ124" s="4">
        <f t="shared" si="86"/>
        <v>3.3164275492956197E-3</v>
      </c>
      <c r="AR124" s="4">
        <f t="shared" si="86"/>
        <v>2.2256362146679809E-3</v>
      </c>
    </row>
    <row r="125" spans="1:44" x14ac:dyDescent="0.25">
      <c r="A125" s="24" t="s">
        <v>59</v>
      </c>
      <c r="B125" s="47">
        <f>'Parameter Input'!$L$107</f>
        <v>31.614305882352937</v>
      </c>
      <c r="C125" s="48">
        <f>'Parameter Input'!$M$107</f>
        <v>31.614305882352937</v>
      </c>
      <c r="D125" s="1" t="s">
        <v>60</v>
      </c>
      <c r="L125" s="54">
        <f>'Parameter Input'!$O$107</f>
        <v>12</v>
      </c>
      <c r="M125" s="37">
        <v>0</v>
      </c>
      <c r="N125" s="37">
        <v>1</v>
      </c>
      <c r="O125" s="37">
        <f>'Parameter Input'!$P$107</f>
        <v>0.9</v>
      </c>
      <c r="P125" s="55">
        <f>'Parameter Input'!$Q$107</f>
        <v>0.4</v>
      </c>
      <c r="Q125" s="4">
        <f t="shared" si="86"/>
        <v>0.9867978615748374</v>
      </c>
      <c r="R125" s="4">
        <f t="shared" si="86"/>
        <v>0.98114509762858249</v>
      </c>
      <c r="S125" s="4">
        <f t="shared" si="86"/>
        <v>0.97311898315872036</v>
      </c>
      <c r="T125" s="4">
        <f t="shared" si="86"/>
        <v>0.96177484161592774</v>
      </c>
      <c r="U125" s="4">
        <f t="shared" si="86"/>
        <v>0.94584787155511363</v>
      </c>
      <c r="V125" s="4">
        <f t="shared" si="86"/>
        <v>0.92370360150141495</v>
      </c>
      <c r="W125" s="4">
        <f t="shared" si="86"/>
        <v>0.89334463567658451</v>
      </c>
      <c r="X125" s="4">
        <f t="shared" si="86"/>
        <v>0.85254543874327005</v>
      </c>
      <c r="Y125" s="4">
        <f t="shared" si="86"/>
        <v>0.79921300652623883</v>
      </c>
      <c r="Z125" s="4">
        <f t="shared" si="86"/>
        <v>0.73204982249993378</v>
      </c>
      <c r="AA125" s="4">
        <f t="shared" si="86"/>
        <v>0.65145592958786691</v>
      </c>
      <c r="AB125" s="4">
        <f t="shared" si="86"/>
        <v>0.56032247880849573</v>
      </c>
      <c r="AC125" s="4">
        <f t="shared" si="86"/>
        <v>0.46411326873185343</v>
      </c>
      <c r="AD125" s="4">
        <f t="shared" si="86"/>
        <v>0.36979727595523937</v>
      </c>
      <c r="AE125" s="4">
        <f t="shared" si="86"/>
        <v>0.28393948637231203</v>
      </c>
      <c r="AF125" s="4">
        <f t="shared" si="86"/>
        <v>0.21097259161117732</v>
      </c>
      <c r="AG125" s="4">
        <f t="shared" si="86"/>
        <v>0.15253917653798199</v>
      </c>
      <c r="AH125" s="4">
        <f t="shared" si="86"/>
        <v>0.10795188737709993</v>
      </c>
      <c r="AI125" s="4">
        <f t="shared" si="86"/>
        <v>7.5176653938091809E-2</v>
      </c>
      <c r="AJ125" s="4">
        <f t="shared" si="86"/>
        <v>5.1742836177502194E-2</v>
      </c>
      <c r="AK125" s="4">
        <f t="shared" si="86"/>
        <v>3.5319190625345942E-2</v>
      </c>
      <c r="AL125" s="4">
        <f t="shared" si="86"/>
        <v>2.3969442072658165E-2</v>
      </c>
      <c r="AM125" s="4">
        <f t="shared" si="86"/>
        <v>1.6202243558389728E-2</v>
      </c>
      <c r="AN125" s="4">
        <f t="shared" si="86"/>
        <v>1.0922240564108399E-2</v>
      </c>
      <c r="AO125" s="4">
        <f t="shared" si="86"/>
        <v>7.3493212906090566E-3</v>
      </c>
      <c r="AP125" s="4">
        <f t="shared" si="86"/>
        <v>4.9390262185057265E-3</v>
      </c>
      <c r="AQ125" s="4">
        <f t="shared" si="86"/>
        <v>3.3164275492956197E-3</v>
      </c>
      <c r="AR125" s="4">
        <f t="shared" si="86"/>
        <v>2.2256362146679809E-3</v>
      </c>
    </row>
    <row r="126" spans="1:44" x14ac:dyDescent="0.25">
      <c r="A126" s="24" t="s">
        <v>67</v>
      </c>
      <c r="B126" s="45">
        <f>'Parameter Input'!$L$108</f>
        <v>0.13371034051801745</v>
      </c>
      <c r="C126" s="46">
        <f>'Parameter Input'!$M$108</f>
        <v>8.7585019329602734E-2</v>
      </c>
      <c r="D126" s="1" t="s">
        <v>68</v>
      </c>
      <c r="L126" s="54">
        <f>'Parameter Input'!$O$108</f>
        <v>12</v>
      </c>
      <c r="M126" s="37">
        <v>0</v>
      </c>
      <c r="N126" s="37">
        <v>1</v>
      </c>
      <c r="O126" s="37">
        <f>'Parameter Input'!$P$108</f>
        <v>0.9</v>
      </c>
      <c r="P126" s="55">
        <f>'Parameter Input'!$Q$108</f>
        <v>0.4</v>
      </c>
      <c r="Q126" s="4">
        <f t="shared" si="86"/>
        <v>0.9867978615748374</v>
      </c>
      <c r="R126" s="4">
        <f t="shared" si="86"/>
        <v>0.98114509762858249</v>
      </c>
      <c r="S126" s="4">
        <f t="shared" si="86"/>
        <v>0.97311898315872036</v>
      </c>
      <c r="T126" s="4">
        <f t="shared" ref="T126:AI133" si="87">$N126+($M126-$N126)*((1/(1+EXP(-$P126*(T$9-$L126)))^$O126))</f>
        <v>0.96177484161592774</v>
      </c>
      <c r="U126" s="4">
        <f t="shared" si="87"/>
        <v>0.94584787155511363</v>
      </c>
      <c r="V126" s="4">
        <f t="shared" si="87"/>
        <v>0.92370360150141495</v>
      </c>
      <c r="W126" s="4">
        <f t="shared" si="87"/>
        <v>0.89334463567658451</v>
      </c>
      <c r="X126" s="4">
        <f t="shared" si="87"/>
        <v>0.85254543874327005</v>
      </c>
      <c r="Y126" s="4">
        <f t="shared" si="87"/>
        <v>0.79921300652623883</v>
      </c>
      <c r="Z126" s="4">
        <f t="shared" si="87"/>
        <v>0.73204982249993378</v>
      </c>
      <c r="AA126" s="4">
        <f t="shared" si="87"/>
        <v>0.65145592958786691</v>
      </c>
      <c r="AB126" s="4">
        <f t="shared" si="87"/>
        <v>0.56032247880849573</v>
      </c>
      <c r="AC126" s="4">
        <f t="shared" si="87"/>
        <v>0.46411326873185343</v>
      </c>
      <c r="AD126" s="4">
        <f t="shared" si="87"/>
        <v>0.36979727595523937</v>
      </c>
      <c r="AE126" s="4">
        <f t="shared" si="87"/>
        <v>0.28393948637231203</v>
      </c>
      <c r="AF126" s="4">
        <f t="shared" si="87"/>
        <v>0.21097259161117732</v>
      </c>
      <c r="AG126" s="4">
        <f t="shared" si="87"/>
        <v>0.15253917653798199</v>
      </c>
      <c r="AH126" s="4">
        <f t="shared" si="87"/>
        <v>0.10795188737709993</v>
      </c>
      <c r="AI126" s="4">
        <f t="shared" si="87"/>
        <v>7.5176653938091809E-2</v>
      </c>
      <c r="AJ126" s="4">
        <f t="shared" ref="AJ126:AR133" si="88">$N126+($M126-$N126)*((1/(1+EXP(-$P126*(AJ$9-$L126)))^$O126))</f>
        <v>5.1742836177502194E-2</v>
      </c>
      <c r="AK126" s="4">
        <f t="shared" si="88"/>
        <v>3.5319190625345942E-2</v>
      </c>
      <c r="AL126" s="4">
        <f t="shared" si="88"/>
        <v>2.3969442072658165E-2</v>
      </c>
      <c r="AM126" s="4">
        <f t="shared" si="88"/>
        <v>1.6202243558389728E-2</v>
      </c>
      <c r="AN126" s="4">
        <f t="shared" si="88"/>
        <v>1.0922240564108399E-2</v>
      </c>
      <c r="AO126" s="4">
        <f t="shared" si="88"/>
        <v>7.3493212906090566E-3</v>
      </c>
      <c r="AP126" s="4">
        <f t="shared" si="88"/>
        <v>4.9390262185057265E-3</v>
      </c>
      <c r="AQ126" s="4">
        <f t="shared" si="88"/>
        <v>3.3164275492956197E-3</v>
      </c>
      <c r="AR126" s="4">
        <f t="shared" si="88"/>
        <v>2.2256362146679809E-3</v>
      </c>
    </row>
    <row r="127" spans="1:44" x14ac:dyDescent="0.25">
      <c r="A127" s="24" t="s">
        <v>206</v>
      </c>
      <c r="B127" s="115">
        <f>'Parameter Input'!$L$111</f>
        <v>7.321207678018575E-2</v>
      </c>
      <c r="C127" s="116">
        <f>'Parameter Input'!$M$111</f>
        <v>0</v>
      </c>
      <c r="D127" s="1" t="s">
        <v>76</v>
      </c>
      <c r="L127" s="54">
        <f>'Parameter Input'!$O$111</f>
        <v>17</v>
      </c>
      <c r="M127" s="37">
        <v>0</v>
      </c>
      <c r="N127" s="37">
        <v>1</v>
      </c>
      <c r="O127" s="37">
        <f>'Parameter Input'!$P$111</f>
        <v>0.9</v>
      </c>
      <c r="P127" s="55">
        <f>'Parameter Input'!$Q$111</f>
        <v>0.4</v>
      </c>
      <c r="Q127" s="4">
        <f t="shared" ref="Q127:AR127" si="89">$N127+($M127-$N127)*((1/(1+EXP(-$P127*(Q$9-$L127)))^$O127))</f>
        <v>0.99780374543478534</v>
      </c>
      <c r="R127" s="4">
        <f t="shared" si="89"/>
        <v>0.99685359315256394</v>
      </c>
      <c r="S127" s="4">
        <f t="shared" si="89"/>
        <v>0.99549347132349975</v>
      </c>
      <c r="T127" s="4">
        <f t="shared" si="89"/>
        <v>0.99354772139898062</v>
      </c>
      <c r="U127" s="4">
        <f t="shared" si="89"/>
        <v>0.99076681540580536</v>
      </c>
      <c r="V127" s="4">
        <f t="shared" si="89"/>
        <v>0.9867978615748374</v>
      </c>
      <c r="W127" s="4">
        <f t="shared" si="89"/>
        <v>0.98114509762858249</v>
      </c>
      <c r="X127" s="4">
        <f t="shared" si="89"/>
        <v>0.97311898315872036</v>
      </c>
      <c r="Y127" s="4">
        <f t="shared" si="89"/>
        <v>0.96177484161592774</v>
      </c>
      <c r="Z127" s="4">
        <f t="shared" si="89"/>
        <v>0.94584787155511363</v>
      </c>
      <c r="AA127" s="4">
        <f t="shared" si="89"/>
        <v>0.92370360150141495</v>
      </c>
      <c r="AB127" s="4">
        <f t="shared" si="89"/>
        <v>0.89334463567658451</v>
      </c>
      <c r="AC127" s="4">
        <f t="shared" si="89"/>
        <v>0.85254543874327005</v>
      </c>
      <c r="AD127" s="4">
        <f t="shared" si="89"/>
        <v>0.79921300652623883</v>
      </c>
      <c r="AE127" s="4">
        <f t="shared" si="89"/>
        <v>0.73204982249993378</v>
      </c>
      <c r="AF127" s="4">
        <f t="shared" si="89"/>
        <v>0.65145592958786691</v>
      </c>
      <c r="AG127" s="4">
        <f t="shared" si="89"/>
        <v>0.56032247880849573</v>
      </c>
      <c r="AH127" s="4">
        <f t="shared" si="89"/>
        <v>0.46411326873185343</v>
      </c>
      <c r="AI127" s="4">
        <f t="shared" si="89"/>
        <v>0.36979727595523937</v>
      </c>
      <c r="AJ127" s="4">
        <f t="shared" si="89"/>
        <v>0.28393948637231203</v>
      </c>
      <c r="AK127" s="4">
        <f t="shared" si="89"/>
        <v>0.21097259161117732</v>
      </c>
      <c r="AL127" s="4">
        <f t="shared" si="89"/>
        <v>0.15253917653798199</v>
      </c>
      <c r="AM127" s="4">
        <f t="shared" si="89"/>
        <v>0.10795188737709993</v>
      </c>
      <c r="AN127" s="4">
        <f t="shared" si="89"/>
        <v>7.5176653938091809E-2</v>
      </c>
      <c r="AO127" s="4">
        <f t="shared" si="89"/>
        <v>5.1742836177502194E-2</v>
      </c>
      <c r="AP127" s="4">
        <f t="shared" si="89"/>
        <v>3.5319190625345942E-2</v>
      </c>
      <c r="AQ127" s="4">
        <f t="shared" si="89"/>
        <v>2.3969442072658165E-2</v>
      </c>
      <c r="AR127" s="4">
        <f t="shared" si="89"/>
        <v>1.6202243558389728E-2</v>
      </c>
    </row>
    <row r="128" spans="1:44" x14ac:dyDescent="0.25">
      <c r="A128" s="24" t="s">
        <v>41</v>
      </c>
      <c r="B128" s="43">
        <f>'Parameter Input'!$L$105</f>
        <v>20</v>
      </c>
      <c r="C128" s="44">
        <f>'Parameter Input'!$M$105</f>
        <v>20</v>
      </c>
      <c r="D128" s="1" t="s">
        <v>42</v>
      </c>
      <c r="L128" s="54">
        <f>'Parameter Input'!$O$105</f>
        <v>12</v>
      </c>
      <c r="M128" s="37">
        <v>0</v>
      </c>
      <c r="N128" s="37">
        <v>1</v>
      </c>
      <c r="O128" s="37">
        <f>'Parameter Input'!$P$105</f>
        <v>0.9</v>
      </c>
      <c r="P128" s="55">
        <f>'Parameter Input'!$Q$105</f>
        <v>0.4</v>
      </c>
      <c r="Q128" s="4">
        <f t="shared" ref="Q128:AF133" si="90">$N128+($M128-$N128)*((1/(1+EXP(-$P128*(Q$9-$L128)))^$O128))</f>
        <v>0.9867978615748374</v>
      </c>
      <c r="R128" s="4">
        <f t="shared" si="90"/>
        <v>0.98114509762858249</v>
      </c>
      <c r="S128" s="4">
        <f t="shared" si="90"/>
        <v>0.97311898315872036</v>
      </c>
      <c r="T128" s="4">
        <f t="shared" si="90"/>
        <v>0.96177484161592774</v>
      </c>
      <c r="U128" s="4">
        <f t="shared" si="90"/>
        <v>0.94584787155511363</v>
      </c>
      <c r="V128" s="4">
        <f t="shared" si="90"/>
        <v>0.92370360150141495</v>
      </c>
      <c r="W128" s="4">
        <f t="shared" si="90"/>
        <v>0.89334463567658451</v>
      </c>
      <c r="X128" s="4">
        <f t="shared" si="90"/>
        <v>0.85254543874327005</v>
      </c>
      <c r="Y128" s="4">
        <f t="shared" si="90"/>
        <v>0.79921300652623883</v>
      </c>
      <c r="Z128" s="4">
        <f t="shared" si="90"/>
        <v>0.73204982249993378</v>
      </c>
      <c r="AA128" s="4">
        <f t="shared" si="90"/>
        <v>0.65145592958786691</v>
      </c>
      <c r="AB128" s="4">
        <f t="shared" si="90"/>
        <v>0.56032247880849573</v>
      </c>
      <c r="AC128" s="4">
        <f t="shared" si="90"/>
        <v>0.46411326873185343</v>
      </c>
      <c r="AD128" s="4">
        <f t="shared" si="90"/>
        <v>0.36979727595523937</v>
      </c>
      <c r="AE128" s="4">
        <f t="shared" si="90"/>
        <v>0.28393948637231203</v>
      </c>
      <c r="AF128" s="4">
        <f t="shared" si="90"/>
        <v>0.21097259161117732</v>
      </c>
      <c r="AG128" s="4">
        <f t="shared" si="87"/>
        <v>0.15253917653798199</v>
      </c>
      <c r="AH128" s="4">
        <f t="shared" si="87"/>
        <v>0.10795188737709993</v>
      </c>
      <c r="AI128" s="4">
        <f t="shared" si="87"/>
        <v>7.5176653938091809E-2</v>
      </c>
      <c r="AJ128" s="4">
        <f t="shared" si="88"/>
        <v>5.1742836177502194E-2</v>
      </c>
      <c r="AK128" s="4">
        <f t="shared" si="88"/>
        <v>3.5319190625345942E-2</v>
      </c>
      <c r="AL128" s="4">
        <f t="shared" si="88"/>
        <v>2.3969442072658165E-2</v>
      </c>
      <c r="AM128" s="4">
        <f t="shared" si="88"/>
        <v>1.6202243558389728E-2</v>
      </c>
      <c r="AN128" s="4">
        <f t="shared" si="88"/>
        <v>1.0922240564108399E-2</v>
      </c>
      <c r="AO128" s="4">
        <f t="shared" si="88"/>
        <v>7.3493212906090566E-3</v>
      </c>
      <c r="AP128" s="4">
        <f t="shared" si="88"/>
        <v>4.9390262185057265E-3</v>
      </c>
      <c r="AQ128" s="4">
        <f t="shared" si="88"/>
        <v>3.3164275492956197E-3</v>
      </c>
      <c r="AR128" s="4">
        <f t="shared" si="88"/>
        <v>2.2256362146679809E-3</v>
      </c>
    </row>
    <row r="129" spans="1:44" x14ac:dyDescent="0.25">
      <c r="A129" s="24" t="s">
        <v>70</v>
      </c>
      <c r="B129" s="43">
        <f>'Parameter Input'!B109</f>
        <v>30</v>
      </c>
      <c r="C129" s="44">
        <f>'Parameter Input'!C109</f>
        <v>30</v>
      </c>
      <c r="D129" s="1" t="s">
        <v>42</v>
      </c>
      <c r="L129" s="54">
        <f>'Parameter Input'!E97</f>
        <v>12</v>
      </c>
      <c r="M129" s="37">
        <v>0</v>
      </c>
      <c r="N129" s="37">
        <v>1</v>
      </c>
      <c r="O129" s="37">
        <f>'Parameter Input'!F97</f>
        <v>0.9</v>
      </c>
      <c r="P129" s="55">
        <f>'Parameter Input'!G97</f>
        <v>0.4</v>
      </c>
      <c r="Q129" s="4">
        <f t="shared" si="90"/>
        <v>0.9867978615748374</v>
      </c>
      <c r="R129" s="4">
        <f t="shared" si="90"/>
        <v>0.98114509762858249</v>
      </c>
      <c r="S129" s="4">
        <f t="shared" si="90"/>
        <v>0.97311898315872036</v>
      </c>
      <c r="T129" s="4">
        <f t="shared" si="90"/>
        <v>0.96177484161592774</v>
      </c>
      <c r="U129" s="4">
        <f t="shared" si="90"/>
        <v>0.94584787155511363</v>
      </c>
      <c r="V129" s="4">
        <f t="shared" si="90"/>
        <v>0.92370360150141495</v>
      </c>
      <c r="W129" s="4">
        <f t="shared" si="90"/>
        <v>0.89334463567658451</v>
      </c>
      <c r="X129" s="4">
        <f t="shared" si="90"/>
        <v>0.85254543874327005</v>
      </c>
      <c r="Y129" s="4">
        <f t="shared" si="90"/>
        <v>0.79921300652623883</v>
      </c>
      <c r="Z129" s="4">
        <f t="shared" si="90"/>
        <v>0.73204982249993378</v>
      </c>
      <c r="AA129" s="4">
        <f t="shared" si="90"/>
        <v>0.65145592958786691</v>
      </c>
      <c r="AB129" s="4">
        <f t="shared" si="90"/>
        <v>0.56032247880849573</v>
      </c>
      <c r="AC129" s="4">
        <f t="shared" si="90"/>
        <v>0.46411326873185343</v>
      </c>
      <c r="AD129" s="4">
        <f t="shared" si="90"/>
        <v>0.36979727595523937</v>
      </c>
      <c r="AE129" s="4">
        <f t="shared" si="90"/>
        <v>0.28393948637231203</v>
      </c>
      <c r="AF129" s="4">
        <f t="shared" si="90"/>
        <v>0.21097259161117732</v>
      </c>
      <c r="AG129" s="4">
        <f t="shared" si="87"/>
        <v>0.15253917653798199</v>
      </c>
      <c r="AH129" s="4">
        <f t="shared" si="87"/>
        <v>0.10795188737709993</v>
      </c>
      <c r="AI129" s="4">
        <f t="shared" si="87"/>
        <v>7.5176653938091809E-2</v>
      </c>
      <c r="AJ129" s="4">
        <f t="shared" si="88"/>
        <v>5.1742836177502194E-2</v>
      </c>
      <c r="AK129" s="4">
        <f t="shared" si="88"/>
        <v>3.5319190625345942E-2</v>
      </c>
      <c r="AL129" s="4">
        <f t="shared" si="88"/>
        <v>2.3969442072658165E-2</v>
      </c>
      <c r="AM129" s="4">
        <f t="shared" si="88"/>
        <v>1.6202243558389728E-2</v>
      </c>
      <c r="AN129" s="4">
        <f t="shared" si="88"/>
        <v>1.0922240564108399E-2</v>
      </c>
      <c r="AO129" s="4">
        <f t="shared" si="88"/>
        <v>7.3493212906090566E-3</v>
      </c>
      <c r="AP129" s="4">
        <f t="shared" si="88"/>
        <v>4.9390262185057265E-3</v>
      </c>
      <c r="AQ129" s="4">
        <f t="shared" si="88"/>
        <v>3.3164275492956197E-3</v>
      </c>
      <c r="AR129" s="4">
        <f t="shared" si="88"/>
        <v>2.2256362146679809E-3</v>
      </c>
    </row>
    <row r="130" spans="1:44" x14ac:dyDescent="0.25">
      <c r="A130" s="24" t="s">
        <v>207</v>
      </c>
      <c r="B130" s="70">
        <f>'Parameter Input'!B106</f>
        <v>2240</v>
      </c>
      <c r="C130" s="71">
        <f>'Parameter Input'!C106</f>
        <v>2240</v>
      </c>
      <c r="D130" s="1" t="s">
        <v>49</v>
      </c>
      <c r="L130" s="54">
        <f>'Parameter Input'!E94</f>
        <v>12</v>
      </c>
      <c r="M130" s="37">
        <v>0</v>
      </c>
      <c r="N130" s="37">
        <v>1</v>
      </c>
      <c r="O130" s="37">
        <f>'Parameter Input'!F94</f>
        <v>0.9</v>
      </c>
      <c r="P130" s="55">
        <f>'Parameter Input'!G94</f>
        <v>0.4</v>
      </c>
      <c r="Q130" s="4">
        <f t="shared" si="90"/>
        <v>0.9867978615748374</v>
      </c>
      <c r="R130" s="4">
        <f t="shared" si="90"/>
        <v>0.98114509762858249</v>
      </c>
      <c r="S130" s="4">
        <f t="shared" si="90"/>
        <v>0.97311898315872036</v>
      </c>
      <c r="T130" s="4">
        <f t="shared" si="90"/>
        <v>0.96177484161592774</v>
      </c>
      <c r="U130" s="4">
        <f t="shared" si="90"/>
        <v>0.94584787155511363</v>
      </c>
      <c r="V130" s="4">
        <f t="shared" si="90"/>
        <v>0.92370360150141495</v>
      </c>
      <c r="W130" s="4">
        <f t="shared" si="90"/>
        <v>0.89334463567658451</v>
      </c>
      <c r="X130" s="4">
        <f t="shared" si="90"/>
        <v>0.85254543874327005</v>
      </c>
      <c r="Y130" s="4">
        <f t="shared" si="90"/>
        <v>0.79921300652623883</v>
      </c>
      <c r="Z130" s="4">
        <f t="shared" si="90"/>
        <v>0.73204982249993378</v>
      </c>
      <c r="AA130" s="4">
        <f t="shared" si="90"/>
        <v>0.65145592958786691</v>
      </c>
      <c r="AB130" s="4">
        <f t="shared" si="90"/>
        <v>0.56032247880849573</v>
      </c>
      <c r="AC130" s="4">
        <f t="shared" si="90"/>
        <v>0.46411326873185343</v>
      </c>
      <c r="AD130" s="4">
        <f t="shared" si="90"/>
        <v>0.36979727595523937</v>
      </c>
      <c r="AE130" s="4">
        <f t="shared" si="90"/>
        <v>0.28393948637231203</v>
      </c>
      <c r="AF130" s="4">
        <f t="shared" si="90"/>
        <v>0.21097259161117732</v>
      </c>
      <c r="AG130" s="4">
        <f t="shared" si="87"/>
        <v>0.15253917653798199</v>
      </c>
      <c r="AH130" s="4">
        <f t="shared" si="87"/>
        <v>0.10795188737709993</v>
      </c>
      <c r="AI130" s="4">
        <f t="shared" si="87"/>
        <v>7.5176653938091809E-2</v>
      </c>
      <c r="AJ130" s="4">
        <f t="shared" si="88"/>
        <v>5.1742836177502194E-2</v>
      </c>
      <c r="AK130" s="4">
        <f t="shared" si="88"/>
        <v>3.5319190625345942E-2</v>
      </c>
      <c r="AL130" s="4">
        <f t="shared" si="88"/>
        <v>2.3969442072658165E-2</v>
      </c>
      <c r="AM130" s="4">
        <f t="shared" si="88"/>
        <v>1.6202243558389728E-2</v>
      </c>
      <c r="AN130" s="4">
        <f t="shared" si="88"/>
        <v>1.0922240564108399E-2</v>
      </c>
      <c r="AO130" s="4">
        <f t="shared" si="88"/>
        <v>7.3493212906090566E-3</v>
      </c>
      <c r="AP130" s="4">
        <f t="shared" si="88"/>
        <v>4.9390262185057265E-3</v>
      </c>
      <c r="AQ130" s="4">
        <f t="shared" si="88"/>
        <v>3.3164275492956197E-3</v>
      </c>
      <c r="AR130" s="4">
        <f t="shared" si="88"/>
        <v>2.2256362146679809E-3</v>
      </c>
    </row>
    <row r="131" spans="1:44" x14ac:dyDescent="0.25">
      <c r="A131" s="24" t="s">
        <v>56</v>
      </c>
      <c r="B131" s="72">
        <f>'Parameter Input'!B107</f>
        <v>0.42666666666666669</v>
      </c>
      <c r="C131" s="73">
        <f>'Parameter Input'!C107</f>
        <v>0.42666666666666669</v>
      </c>
      <c r="D131" s="1" t="s">
        <v>57</v>
      </c>
      <c r="L131" s="54">
        <f>'Parameter Input'!E95</f>
        <v>12</v>
      </c>
      <c r="M131" s="37">
        <v>0</v>
      </c>
      <c r="N131" s="37">
        <v>1</v>
      </c>
      <c r="O131" s="37">
        <f>'Parameter Input'!F95</f>
        <v>0.9</v>
      </c>
      <c r="P131" s="55">
        <f>'Parameter Input'!G95</f>
        <v>0.4</v>
      </c>
      <c r="Q131" s="4">
        <f t="shared" si="90"/>
        <v>0.9867978615748374</v>
      </c>
      <c r="R131" s="4">
        <f t="shared" si="90"/>
        <v>0.98114509762858249</v>
      </c>
      <c r="S131" s="4">
        <f t="shared" si="90"/>
        <v>0.97311898315872036</v>
      </c>
      <c r="T131" s="4">
        <f t="shared" si="90"/>
        <v>0.96177484161592774</v>
      </c>
      <c r="U131" s="4">
        <f t="shared" si="90"/>
        <v>0.94584787155511363</v>
      </c>
      <c r="V131" s="4">
        <f t="shared" si="90"/>
        <v>0.92370360150141495</v>
      </c>
      <c r="W131" s="4">
        <f t="shared" si="90"/>
        <v>0.89334463567658451</v>
      </c>
      <c r="X131" s="4">
        <f t="shared" si="90"/>
        <v>0.85254543874327005</v>
      </c>
      <c r="Y131" s="4">
        <f t="shared" si="90"/>
        <v>0.79921300652623883</v>
      </c>
      <c r="Z131" s="4">
        <f t="shared" si="90"/>
        <v>0.73204982249993378</v>
      </c>
      <c r="AA131" s="4">
        <f t="shared" si="90"/>
        <v>0.65145592958786691</v>
      </c>
      <c r="AB131" s="4">
        <f t="shared" si="90"/>
        <v>0.56032247880849573</v>
      </c>
      <c r="AC131" s="4">
        <f t="shared" si="90"/>
        <v>0.46411326873185343</v>
      </c>
      <c r="AD131" s="4">
        <f t="shared" si="90"/>
        <v>0.36979727595523937</v>
      </c>
      <c r="AE131" s="4">
        <f t="shared" si="90"/>
        <v>0.28393948637231203</v>
      </c>
      <c r="AF131" s="4">
        <f t="shared" si="90"/>
        <v>0.21097259161117732</v>
      </c>
      <c r="AG131" s="4">
        <f t="shared" si="87"/>
        <v>0.15253917653798199</v>
      </c>
      <c r="AH131" s="4">
        <f t="shared" si="87"/>
        <v>0.10795188737709993</v>
      </c>
      <c r="AI131" s="4">
        <f t="shared" si="87"/>
        <v>7.5176653938091809E-2</v>
      </c>
      <c r="AJ131" s="4">
        <f t="shared" si="88"/>
        <v>5.1742836177502194E-2</v>
      </c>
      <c r="AK131" s="4">
        <f t="shared" si="88"/>
        <v>3.5319190625345942E-2</v>
      </c>
      <c r="AL131" s="4">
        <f t="shared" si="88"/>
        <v>2.3969442072658165E-2</v>
      </c>
      <c r="AM131" s="4">
        <f t="shared" si="88"/>
        <v>1.6202243558389728E-2</v>
      </c>
      <c r="AN131" s="4">
        <f t="shared" si="88"/>
        <v>1.0922240564108399E-2</v>
      </c>
      <c r="AO131" s="4">
        <f t="shared" si="88"/>
        <v>7.3493212906090566E-3</v>
      </c>
      <c r="AP131" s="4">
        <f t="shared" si="88"/>
        <v>4.9390262185057265E-3</v>
      </c>
      <c r="AQ131" s="4">
        <f t="shared" si="88"/>
        <v>3.3164275492956197E-3</v>
      </c>
      <c r="AR131" s="4">
        <f t="shared" si="88"/>
        <v>2.2256362146679809E-3</v>
      </c>
    </row>
    <row r="132" spans="1:44" x14ac:dyDescent="0.25">
      <c r="A132" s="24" t="s">
        <v>73</v>
      </c>
      <c r="B132" s="72">
        <f>'Parameter Input'!$L$109</f>
        <v>0</v>
      </c>
      <c r="C132" s="73">
        <f>'Parameter Input'!$M$109</f>
        <v>0</v>
      </c>
      <c r="D132" s="1" t="s">
        <v>57</v>
      </c>
      <c r="L132" s="54">
        <f>'Parameter Input'!$O$109</f>
        <v>12</v>
      </c>
      <c r="M132" s="37">
        <v>0</v>
      </c>
      <c r="N132" s="37">
        <v>1</v>
      </c>
      <c r="O132" s="37">
        <f>'Parameter Input'!$P$109</f>
        <v>0.9</v>
      </c>
      <c r="P132" s="55">
        <f>'Parameter Input'!$Q$109</f>
        <v>0.4</v>
      </c>
      <c r="Q132" s="4">
        <f t="shared" si="90"/>
        <v>0.9867978615748374</v>
      </c>
      <c r="R132" s="4">
        <f t="shared" si="90"/>
        <v>0.98114509762858249</v>
      </c>
      <c r="S132" s="4">
        <f t="shared" si="90"/>
        <v>0.97311898315872036</v>
      </c>
      <c r="T132" s="4">
        <f t="shared" si="90"/>
        <v>0.96177484161592774</v>
      </c>
      <c r="U132" s="4">
        <f t="shared" si="90"/>
        <v>0.94584787155511363</v>
      </c>
      <c r="V132" s="4">
        <f t="shared" si="90"/>
        <v>0.92370360150141495</v>
      </c>
      <c r="W132" s="4">
        <f t="shared" si="90"/>
        <v>0.89334463567658451</v>
      </c>
      <c r="X132" s="4">
        <f t="shared" si="90"/>
        <v>0.85254543874327005</v>
      </c>
      <c r="Y132" s="4">
        <f t="shared" si="90"/>
        <v>0.79921300652623883</v>
      </c>
      <c r="Z132" s="4">
        <f t="shared" si="90"/>
        <v>0.73204982249993378</v>
      </c>
      <c r="AA132" s="4">
        <f t="shared" si="90"/>
        <v>0.65145592958786691</v>
      </c>
      <c r="AB132" s="4">
        <f t="shared" si="90"/>
        <v>0.56032247880849573</v>
      </c>
      <c r="AC132" s="4">
        <f t="shared" si="90"/>
        <v>0.46411326873185343</v>
      </c>
      <c r="AD132" s="4">
        <f t="shared" si="90"/>
        <v>0.36979727595523937</v>
      </c>
      <c r="AE132" s="4">
        <f t="shared" si="90"/>
        <v>0.28393948637231203</v>
      </c>
      <c r="AF132" s="4">
        <f t="shared" si="90"/>
        <v>0.21097259161117732</v>
      </c>
      <c r="AG132" s="4">
        <f t="shared" si="87"/>
        <v>0.15253917653798199</v>
      </c>
      <c r="AH132" s="4">
        <f t="shared" si="87"/>
        <v>0.10795188737709993</v>
      </c>
      <c r="AI132" s="4">
        <f t="shared" si="87"/>
        <v>7.5176653938091809E-2</v>
      </c>
      <c r="AJ132" s="4">
        <f t="shared" si="88"/>
        <v>5.1742836177502194E-2</v>
      </c>
      <c r="AK132" s="4">
        <f t="shared" si="88"/>
        <v>3.5319190625345942E-2</v>
      </c>
      <c r="AL132" s="4">
        <f t="shared" si="88"/>
        <v>2.3969442072658165E-2</v>
      </c>
      <c r="AM132" s="4">
        <f t="shared" si="88"/>
        <v>1.6202243558389728E-2</v>
      </c>
      <c r="AN132" s="4">
        <f t="shared" si="88"/>
        <v>1.0922240564108399E-2</v>
      </c>
      <c r="AO132" s="4">
        <f t="shared" si="88"/>
        <v>7.3493212906090566E-3</v>
      </c>
      <c r="AP132" s="4">
        <f t="shared" si="88"/>
        <v>4.9390262185057265E-3</v>
      </c>
      <c r="AQ132" s="4">
        <f t="shared" si="88"/>
        <v>3.3164275492956197E-3</v>
      </c>
      <c r="AR132" s="4">
        <f t="shared" si="88"/>
        <v>2.2256362146679809E-3</v>
      </c>
    </row>
    <row r="133" spans="1:44" ht="15.75" thickBot="1" x14ac:dyDescent="0.3">
      <c r="A133" s="24" t="s">
        <v>64</v>
      </c>
      <c r="B133" s="74">
        <f>'Parameter Input'!B108</f>
        <v>178500</v>
      </c>
      <c r="C133" s="75">
        <f>'Parameter Input'!C108</f>
        <v>178500</v>
      </c>
      <c r="D133" s="1" t="s">
        <v>65</v>
      </c>
      <c r="L133" s="56">
        <f>'Parameter Input'!E96</f>
        <v>12</v>
      </c>
      <c r="M133" s="57">
        <v>0</v>
      </c>
      <c r="N133" s="57">
        <v>1</v>
      </c>
      <c r="O133" s="57">
        <f>'Parameter Input'!F96</f>
        <v>0.9</v>
      </c>
      <c r="P133" s="58">
        <f>'Parameter Input'!G96</f>
        <v>0.4</v>
      </c>
      <c r="Q133" s="4">
        <f t="shared" si="90"/>
        <v>0.9867978615748374</v>
      </c>
      <c r="R133" s="4">
        <f t="shared" si="90"/>
        <v>0.98114509762858249</v>
      </c>
      <c r="S133" s="4">
        <f t="shared" si="90"/>
        <v>0.97311898315872036</v>
      </c>
      <c r="T133" s="4">
        <f t="shared" si="90"/>
        <v>0.96177484161592774</v>
      </c>
      <c r="U133" s="4">
        <f t="shared" si="90"/>
        <v>0.94584787155511363</v>
      </c>
      <c r="V133" s="4">
        <f t="shared" si="90"/>
        <v>0.92370360150141495</v>
      </c>
      <c r="W133" s="4">
        <f t="shared" si="90"/>
        <v>0.89334463567658451</v>
      </c>
      <c r="X133" s="4">
        <f t="shared" si="90"/>
        <v>0.85254543874327005</v>
      </c>
      <c r="Y133" s="4">
        <f t="shared" si="90"/>
        <v>0.79921300652623883</v>
      </c>
      <c r="Z133" s="4">
        <f t="shared" si="90"/>
        <v>0.73204982249993378</v>
      </c>
      <c r="AA133" s="4">
        <f t="shared" si="90"/>
        <v>0.65145592958786691</v>
      </c>
      <c r="AB133" s="4">
        <f t="shared" si="90"/>
        <v>0.56032247880849573</v>
      </c>
      <c r="AC133" s="4">
        <f t="shared" si="90"/>
        <v>0.46411326873185343</v>
      </c>
      <c r="AD133" s="4">
        <f t="shared" si="90"/>
        <v>0.36979727595523937</v>
      </c>
      <c r="AE133" s="4">
        <f t="shared" si="90"/>
        <v>0.28393948637231203</v>
      </c>
      <c r="AF133" s="4">
        <f t="shared" si="90"/>
        <v>0.21097259161117732</v>
      </c>
      <c r="AG133" s="4">
        <f t="shared" si="87"/>
        <v>0.15253917653798199</v>
      </c>
      <c r="AH133" s="4">
        <f t="shared" si="87"/>
        <v>0.10795188737709993</v>
      </c>
      <c r="AI133" s="4">
        <f t="shared" si="87"/>
        <v>7.5176653938091809E-2</v>
      </c>
      <c r="AJ133" s="4">
        <f t="shared" si="88"/>
        <v>5.1742836177502194E-2</v>
      </c>
      <c r="AK133" s="4">
        <f t="shared" si="88"/>
        <v>3.5319190625345942E-2</v>
      </c>
      <c r="AL133" s="4">
        <f t="shared" si="88"/>
        <v>2.3969442072658165E-2</v>
      </c>
      <c r="AM133" s="4">
        <f t="shared" si="88"/>
        <v>1.6202243558389728E-2</v>
      </c>
      <c r="AN133" s="4">
        <f t="shared" si="88"/>
        <v>1.0922240564108399E-2</v>
      </c>
      <c r="AO133" s="4">
        <f t="shared" si="88"/>
        <v>7.3493212906090566E-3</v>
      </c>
      <c r="AP133" s="4">
        <f t="shared" si="88"/>
        <v>4.9390262185057265E-3</v>
      </c>
      <c r="AQ133" s="4">
        <f t="shared" si="88"/>
        <v>3.3164275492956197E-3</v>
      </c>
      <c r="AR133" s="4">
        <f t="shared" si="88"/>
        <v>2.2256362146679809E-3</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91">A117</f>
        <v>Capex vehicle</v>
      </c>
      <c r="B137" s="62">
        <f t="shared" ref="B137:B146" si="92">$B117+($C117-$B117)*(1-Q117)</f>
        <v>5000000</v>
      </c>
      <c r="C137" s="62">
        <f t="shared" ref="C137:C146" si="93">$B117+($C117-$B117)*(1-R117)</f>
        <v>5000000</v>
      </c>
      <c r="D137" s="62">
        <f t="shared" ref="D137:D146" si="94">$B117+($C117-$B117)*(1-S117)</f>
        <v>5000000</v>
      </c>
      <c r="E137" s="62">
        <f t="shared" ref="E137:E146" si="95">$B117+($C117-$B117)*(1-T117)</f>
        <v>5000000</v>
      </c>
      <c r="F137" s="62">
        <f t="shared" ref="F137:F146" si="96">$B117+($C117-$B117)*(1-U117)</f>
        <v>5000000</v>
      </c>
      <c r="G137" s="62">
        <f t="shared" ref="G137:G146" si="97">$B117+($C117-$B117)*(1-V117)</f>
        <v>5000000</v>
      </c>
      <c r="H137" s="62">
        <f t="shared" ref="H137:H146" si="98">$B117+($C117-$B117)*(1-W117)</f>
        <v>5000000</v>
      </c>
      <c r="I137" s="62">
        <f t="shared" ref="I137:I146" si="99">$B117+($C117-$B117)*(1-X117)</f>
        <v>5000000</v>
      </c>
      <c r="J137" s="62">
        <f t="shared" ref="J137:J146" si="100">$B117+($C117-$B117)*(1-Y117)</f>
        <v>5000000</v>
      </c>
      <c r="K137" s="62">
        <f t="shared" ref="K137:K146" si="101">$B117+($C117-$B117)*(1-Z117)</f>
        <v>5000000</v>
      </c>
      <c r="L137" s="62">
        <f t="shared" ref="L137:L146" si="102">$B117+($C117-$B117)*(1-AA117)</f>
        <v>5000000</v>
      </c>
      <c r="M137" s="62">
        <f t="shared" ref="M137:M146" si="103">$B117+($C117-$B117)*(1-AB117)</f>
        <v>5000000</v>
      </c>
      <c r="N137" s="62">
        <f t="shared" ref="N137:N146" si="104">$B117+($C117-$B117)*(1-AC117)</f>
        <v>5000000</v>
      </c>
      <c r="O137" s="62">
        <f t="shared" ref="O137:O146" si="105">$B117+($C117-$B117)*(1-AD117)</f>
        <v>5000000</v>
      </c>
      <c r="P137" s="62">
        <f t="shared" ref="P137:P146" si="106">$B117+($C117-$B117)*(1-AE117)</f>
        <v>5000000</v>
      </c>
      <c r="Q137" s="62">
        <f t="shared" ref="Q137:Q146" si="107">$B117+($C117-$B117)*(1-AF117)</f>
        <v>5000000</v>
      </c>
      <c r="R137" s="62">
        <f t="shared" ref="R137:R146" si="108">$B117+($C117-$B117)*(1-AG117)</f>
        <v>5000000</v>
      </c>
      <c r="S137" s="62">
        <f t="shared" ref="S137:S146" si="109">$B117+($C117-$B117)*(1-AH117)</f>
        <v>5000000</v>
      </c>
      <c r="T137" s="62">
        <f t="shared" ref="T137:T146" si="110">$B117+($C117-$B117)*(1-AI117)</f>
        <v>5000000</v>
      </c>
      <c r="U137" s="62">
        <f t="shared" ref="U137:U146" si="111">$B117+($C117-$B117)*(1-AJ117)</f>
        <v>5000000</v>
      </c>
      <c r="V137" s="62">
        <f t="shared" ref="V137:V146" si="112">$B117+($C117-$B117)*(1-AK117)</f>
        <v>5000000</v>
      </c>
      <c r="W137" s="62">
        <f t="shared" ref="W137:W146" si="113">$B117+($C117-$B117)*(1-AL117)</f>
        <v>5000000</v>
      </c>
      <c r="X137" s="62">
        <f t="shared" ref="X137:X146" si="114">$B117+($C117-$B117)*(1-AM117)</f>
        <v>5000000</v>
      </c>
      <c r="Y137" s="62">
        <f t="shared" ref="Y137:Y146" si="115">$B117+($C117-$B117)*(1-AN117)</f>
        <v>5000000</v>
      </c>
      <c r="Z137" s="62">
        <f t="shared" ref="Z137:Z146" si="116">$B117+($C117-$B117)*(1-AO117)</f>
        <v>5000000</v>
      </c>
      <c r="AA137" s="62">
        <f t="shared" ref="AA137:AA146" si="117">$B117+($C117-$B117)*(1-AP117)</f>
        <v>5000000</v>
      </c>
      <c r="AB137" s="62">
        <f t="shared" ref="AB137:AB146" si="118">$B117+($C117-$B117)*(1-AQ117)</f>
        <v>5000000</v>
      </c>
      <c r="AC137" s="62">
        <f t="shared" ref="AC137:AC146" si="119">$B117+($C117-$B117)*(1-AR117)</f>
        <v>5000000</v>
      </c>
    </row>
    <row r="138" spans="1:44" x14ac:dyDescent="0.25">
      <c r="A138" s="30" t="str">
        <f t="shared" si="91"/>
        <v>Residual value (vehicle)</v>
      </c>
      <c r="B138" s="62">
        <f t="shared" si="92"/>
        <v>-750000</v>
      </c>
      <c r="C138" s="62">
        <f t="shared" si="93"/>
        <v>-750000</v>
      </c>
      <c r="D138" s="62">
        <f t="shared" si="94"/>
        <v>-750000</v>
      </c>
      <c r="E138" s="62">
        <f t="shared" si="95"/>
        <v>-750000</v>
      </c>
      <c r="F138" s="62">
        <f t="shared" si="96"/>
        <v>-750000</v>
      </c>
      <c r="G138" s="62">
        <f t="shared" si="97"/>
        <v>-750000</v>
      </c>
      <c r="H138" s="62">
        <f t="shared" si="98"/>
        <v>-750000</v>
      </c>
      <c r="I138" s="62">
        <f t="shared" si="99"/>
        <v>-750000</v>
      </c>
      <c r="J138" s="62">
        <f t="shared" si="100"/>
        <v>-750000</v>
      </c>
      <c r="K138" s="62">
        <f t="shared" si="101"/>
        <v>-750000</v>
      </c>
      <c r="L138" s="62">
        <f t="shared" si="102"/>
        <v>-750000</v>
      </c>
      <c r="M138" s="62">
        <f t="shared" si="103"/>
        <v>-750000</v>
      </c>
      <c r="N138" s="62">
        <f t="shared" si="104"/>
        <v>-750000</v>
      </c>
      <c r="O138" s="62">
        <f t="shared" si="105"/>
        <v>-750000</v>
      </c>
      <c r="P138" s="62">
        <f t="shared" si="106"/>
        <v>-750000</v>
      </c>
      <c r="Q138" s="62">
        <f t="shared" si="107"/>
        <v>-750000</v>
      </c>
      <c r="R138" s="62">
        <f t="shared" si="108"/>
        <v>-750000</v>
      </c>
      <c r="S138" s="62">
        <f t="shared" si="109"/>
        <v>-750000</v>
      </c>
      <c r="T138" s="62">
        <f t="shared" si="110"/>
        <v>-750000</v>
      </c>
      <c r="U138" s="62">
        <f t="shared" si="111"/>
        <v>-750000</v>
      </c>
      <c r="V138" s="62">
        <f t="shared" si="112"/>
        <v>-750000</v>
      </c>
      <c r="W138" s="62">
        <f t="shared" si="113"/>
        <v>-750000</v>
      </c>
      <c r="X138" s="62">
        <f t="shared" si="114"/>
        <v>-750000</v>
      </c>
      <c r="Y138" s="62">
        <f t="shared" si="115"/>
        <v>-750000</v>
      </c>
      <c r="Z138" s="62">
        <f t="shared" si="116"/>
        <v>-750000</v>
      </c>
      <c r="AA138" s="62">
        <f t="shared" si="117"/>
        <v>-750000</v>
      </c>
      <c r="AB138" s="62">
        <f t="shared" si="118"/>
        <v>-750000</v>
      </c>
      <c r="AC138" s="62">
        <f t="shared" si="119"/>
        <v>-750000</v>
      </c>
    </row>
    <row r="139" spans="1:44" x14ac:dyDescent="0.25">
      <c r="A139" s="30" t="str">
        <f t="shared" si="91"/>
        <v>Capex costumization</v>
      </c>
      <c r="B139" s="62">
        <f t="shared" si="92"/>
        <v>5600000</v>
      </c>
      <c r="C139" s="62">
        <f t="shared" si="93"/>
        <v>5600000</v>
      </c>
      <c r="D139" s="62">
        <f t="shared" si="94"/>
        <v>5600000</v>
      </c>
      <c r="E139" s="62">
        <f t="shared" si="95"/>
        <v>5600000</v>
      </c>
      <c r="F139" s="62">
        <f t="shared" si="96"/>
        <v>5600000</v>
      </c>
      <c r="G139" s="62">
        <f t="shared" si="97"/>
        <v>5600000</v>
      </c>
      <c r="H139" s="62">
        <f t="shared" si="98"/>
        <v>5600000</v>
      </c>
      <c r="I139" s="62">
        <f t="shared" si="99"/>
        <v>5600000</v>
      </c>
      <c r="J139" s="62">
        <f t="shared" si="100"/>
        <v>5600000</v>
      </c>
      <c r="K139" s="62">
        <f t="shared" si="101"/>
        <v>5600000</v>
      </c>
      <c r="L139" s="62">
        <f t="shared" si="102"/>
        <v>5600000</v>
      </c>
      <c r="M139" s="62">
        <f t="shared" si="103"/>
        <v>5600000</v>
      </c>
      <c r="N139" s="62">
        <f t="shared" si="104"/>
        <v>5600000</v>
      </c>
      <c r="O139" s="62">
        <f t="shared" si="105"/>
        <v>5600000</v>
      </c>
      <c r="P139" s="62">
        <f t="shared" si="106"/>
        <v>5600000</v>
      </c>
      <c r="Q139" s="62">
        <f t="shared" si="107"/>
        <v>5600000</v>
      </c>
      <c r="R139" s="62">
        <f t="shared" si="108"/>
        <v>5600000</v>
      </c>
      <c r="S139" s="62">
        <f t="shared" si="109"/>
        <v>5600000</v>
      </c>
      <c r="T139" s="62">
        <f t="shared" si="110"/>
        <v>5600000</v>
      </c>
      <c r="U139" s="62">
        <f t="shared" si="111"/>
        <v>5600000</v>
      </c>
      <c r="V139" s="62">
        <f t="shared" si="112"/>
        <v>5600000</v>
      </c>
      <c r="W139" s="62">
        <f t="shared" si="113"/>
        <v>5600000</v>
      </c>
      <c r="X139" s="62">
        <f t="shared" si="114"/>
        <v>5600000</v>
      </c>
      <c r="Y139" s="62">
        <f t="shared" si="115"/>
        <v>5600000</v>
      </c>
      <c r="Z139" s="62">
        <f t="shared" si="116"/>
        <v>5600000</v>
      </c>
      <c r="AA139" s="62">
        <f t="shared" si="117"/>
        <v>5600000</v>
      </c>
      <c r="AB139" s="62">
        <f t="shared" si="118"/>
        <v>5600000</v>
      </c>
      <c r="AC139" s="62">
        <f t="shared" si="119"/>
        <v>5600000</v>
      </c>
    </row>
    <row r="140" spans="1:44" x14ac:dyDescent="0.25">
      <c r="A140" s="30" t="str">
        <f t="shared" si="91"/>
        <v>Residual value (costumization)</v>
      </c>
      <c r="B140" s="62">
        <f t="shared" si="92"/>
        <v>-280000</v>
      </c>
      <c r="C140" s="62">
        <f t="shared" si="93"/>
        <v>-280000</v>
      </c>
      <c r="D140" s="62">
        <f t="shared" si="94"/>
        <v>-280000</v>
      </c>
      <c r="E140" s="62">
        <f t="shared" si="95"/>
        <v>-280000</v>
      </c>
      <c r="F140" s="62">
        <f t="shared" si="96"/>
        <v>-280000</v>
      </c>
      <c r="G140" s="62">
        <f t="shared" si="97"/>
        <v>-280000</v>
      </c>
      <c r="H140" s="62">
        <f t="shared" si="98"/>
        <v>-280000</v>
      </c>
      <c r="I140" s="62">
        <f t="shared" si="99"/>
        <v>-280000</v>
      </c>
      <c r="J140" s="62">
        <f t="shared" si="100"/>
        <v>-280000</v>
      </c>
      <c r="K140" s="62">
        <f t="shared" si="101"/>
        <v>-280000</v>
      </c>
      <c r="L140" s="62">
        <f t="shared" si="102"/>
        <v>-280000</v>
      </c>
      <c r="M140" s="62">
        <f t="shared" si="103"/>
        <v>-280000</v>
      </c>
      <c r="N140" s="62">
        <f t="shared" si="104"/>
        <v>-280000</v>
      </c>
      <c r="O140" s="62">
        <f t="shared" si="105"/>
        <v>-280000</v>
      </c>
      <c r="P140" s="62">
        <f t="shared" si="106"/>
        <v>-280000</v>
      </c>
      <c r="Q140" s="62">
        <f t="shared" si="107"/>
        <v>-280000</v>
      </c>
      <c r="R140" s="62">
        <f t="shared" si="108"/>
        <v>-280000</v>
      </c>
      <c r="S140" s="62">
        <f t="shared" si="109"/>
        <v>-280000</v>
      </c>
      <c r="T140" s="62">
        <f t="shared" si="110"/>
        <v>-280000</v>
      </c>
      <c r="U140" s="62">
        <f t="shared" si="111"/>
        <v>-280000</v>
      </c>
      <c r="V140" s="62">
        <f t="shared" si="112"/>
        <v>-280000</v>
      </c>
      <c r="W140" s="62">
        <f t="shared" si="113"/>
        <v>-280000</v>
      </c>
      <c r="X140" s="62">
        <f t="shared" si="114"/>
        <v>-280000</v>
      </c>
      <c r="Y140" s="62">
        <f t="shared" si="115"/>
        <v>-280000</v>
      </c>
      <c r="Z140" s="62">
        <f t="shared" si="116"/>
        <v>-280000</v>
      </c>
      <c r="AA140" s="62">
        <f t="shared" si="117"/>
        <v>-280000</v>
      </c>
      <c r="AB140" s="62">
        <f t="shared" si="118"/>
        <v>-280000</v>
      </c>
      <c r="AC140" s="62">
        <f t="shared" si="119"/>
        <v>-280000</v>
      </c>
    </row>
    <row r="141" spans="1:44" x14ac:dyDescent="0.25">
      <c r="A141" s="30" t="str">
        <f t="shared" si="91"/>
        <v>WACC</v>
      </c>
      <c r="B141" s="62">
        <f t="shared" si="92"/>
        <v>0.06</v>
      </c>
      <c r="C141" s="62">
        <f t="shared" si="93"/>
        <v>0.06</v>
      </c>
      <c r="D141" s="62">
        <f t="shared" si="94"/>
        <v>0.06</v>
      </c>
      <c r="E141" s="62">
        <f t="shared" si="95"/>
        <v>0.06</v>
      </c>
      <c r="F141" s="62">
        <f t="shared" si="96"/>
        <v>0.06</v>
      </c>
      <c r="G141" s="62">
        <f t="shared" si="97"/>
        <v>0.06</v>
      </c>
      <c r="H141" s="62">
        <f t="shared" si="98"/>
        <v>0.06</v>
      </c>
      <c r="I141" s="62">
        <f t="shared" si="99"/>
        <v>0.06</v>
      </c>
      <c r="J141" s="62">
        <f t="shared" si="100"/>
        <v>0.06</v>
      </c>
      <c r="K141" s="62">
        <f t="shared" si="101"/>
        <v>0.06</v>
      </c>
      <c r="L141" s="62">
        <f t="shared" si="102"/>
        <v>0.06</v>
      </c>
      <c r="M141" s="62">
        <f t="shared" si="103"/>
        <v>0.06</v>
      </c>
      <c r="N141" s="62">
        <f t="shared" si="104"/>
        <v>0.06</v>
      </c>
      <c r="O141" s="62">
        <f t="shared" si="105"/>
        <v>0.06</v>
      </c>
      <c r="P141" s="62">
        <f t="shared" si="106"/>
        <v>0.06</v>
      </c>
      <c r="Q141" s="62">
        <f t="shared" si="107"/>
        <v>0.06</v>
      </c>
      <c r="R141" s="62">
        <f t="shared" si="108"/>
        <v>0.06</v>
      </c>
      <c r="S141" s="62">
        <f t="shared" si="109"/>
        <v>0.06</v>
      </c>
      <c r="T141" s="62">
        <f t="shared" si="110"/>
        <v>0.06</v>
      </c>
      <c r="U141" s="62">
        <f t="shared" si="111"/>
        <v>0.06</v>
      </c>
      <c r="V141" s="62">
        <f t="shared" si="112"/>
        <v>0.06</v>
      </c>
      <c r="W141" s="62">
        <f t="shared" si="113"/>
        <v>0.06</v>
      </c>
      <c r="X141" s="62">
        <f t="shared" si="114"/>
        <v>0.06</v>
      </c>
      <c r="Y141" s="62">
        <f t="shared" si="115"/>
        <v>0.06</v>
      </c>
      <c r="Z141" s="62">
        <f t="shared" si="116"/>
        <v>0.06</v>
      </c>
      <c r="AA141" s="62">
        <f t="shared" si="117"/>
        <v>0.06</v>
      </c>
      <c r="AB141" s="62">
        <f t="shared" si="118"/>
        <v>0.06</v>
      </c>
      <c r="AC141" s="62">
        <f t="shared" si="119"/>
        <v>0.06</v>
      </c>
    </row>
    <row r="142" spans="1:44" x14ac:dyDescent="0.25">
      <c r="A142" s="30" t="str">
        <f t="shared" si="91"/>
        <v>Opex fix (admin, crew, insurance)</v>
      </c>
      <c r="B142" s="62">
        <f t="shared" si="92"/>
        <v>620000</v>
      </c>
      <c r="C142" s="62">
        <f t="shared" si="93"/>
        <v>620000</v>
      </c>
      <c r="D142" s="62">
        <f t="shared" si="94"/>
        <v>620000</v>
      </c>
      <c r="E142" s="62">
        <f t="shared" si="95"/>
        <v>620000</v>
      </c>
      <c r="F142" s="62">
        <f t="shared" si="96"/>
        <v>620000</v>
      </c>
      <c r="G142" s="62">
        <f t="shared" si="97"/>
        <v>620000</v>
      </c>
      <c r="H142" s="62">
        <f t="shared" si="98"/>
        <v>620000</v>
      </c>
      <c r="I142" s="62">
        <f t="shared" si="99"/>
        <v>620000</v>
      </c>
      <c r="J142" s="62">
        <f t="shared" si="100"/>
        <v>620000</v>
      </c>
      <c r="K142" s="62">
        <f t="shared" si="101"/>
        <v>620000</v>
      </c>
      <c r="L142" s="62">
        <f t="shared" si="102"/>
        <v>620000</v>
      </c>
      <c r="M142" s="62">
        <f t="shared" si="103"/>
        <v>620000</v>
      </c>
      <c r="N142" s="62">
        <f t="shared" si="104"/>
        <v>620000</v>
      </c>
      <c r="O142" s="62">
        <f t="shared" si="105"/>
        <v>620000</v>
      </c>
      <c r="P142" s="62">
        <f t="shared" si="106"/>
        <v>620000</v>
      </c>
      <c r="Q142" s="62">
        <f t="shared" si="107"/>
        <v>620000</v>
      </c>
      <c r="R142" s="62">
        <f t="shared" si="108"/>
        <v>620000</v>
      </c>
      <c r="S142" s="62">
        <f t="shared" si="109"/>
        <v>620000</v>
      </c>
      <c r="T142" s="62">
        <f t="shared" si="110"/>
        <v>620000</v>
      </c>
      <c r="U142" s="62">
        <f t="shared" si="111"/>
        <v>620000</v>
      </c>
      <c r="V142" s="62">
        <f t="shared" si="112"/>
        <v>620000</v>
      </c>
      <c r="W142" s="62">
        <f t="shared" si="113"/>
        <v>620000</v>
      </c>
      <c r="X142" s="62">
        <f t="shared" si="114"/>
        <v>620000</v>
      </c>
      <c r="Y142" s="62">
        <f t="shared" si="115"/>
        <v>620000</v>
      </c>
      <c r="Z142" s="62">
        <f t="shared" si="116"/>
        <v>620000</v>
      </c>
      <c r="AA142" s="62">
        <f t="shared" si="117"/>
        <v>620000</v>
      </c>
      <c r="AB142" s="62">
        <f t="shared" si="118"/>
        <v>620000</v>
      </c>
      <c r="AC142" s="62">
        <f t="shared" si="119"/>
        <v>620000</v>
      </c>
    </row>
    <row r="143" spans="1:44" x14ac:dyDescent="0.25">
      <c r="A143" s="30" t="str">
        <f t="shared" si="91"/>
        <v>Opex maintenance &amp; repair</v>
      </c>
      <c r="B143" s="62">
        <f t="shared" si="92"/>
        <v>650000</v>
      </c>
      <c r="C143" s="62">
        <f t="shared" si="93"/>
        <v>650000</v>
      </c>
      <c r="D143" s="62">
        <f t="shared" si="94"/>
        <v>650000</v>
      </c>
      <c r="E143" s="62">
        <f t="shared" si="95"/>
        <v>650000</v>
      </c>
      <c r="F143" s="62">
        <f t="shared" si="96"/>
        <v>650000</v>
      </c>
      <c r="G143" s="62">
        <f t="shared" si="97"/>
        <v>650000</v>
      </c>
      <c r="H143" s="62">
        <f t="shared" si="98"/>
        <v>650000</v>
      </c>
      <c r="I143" s="62">
        <f t="shared" si="99"/>
        <v>650000</v>
      </c>
      <c r="J143" s="62">
        <f t="shared" si="100"/>
        <v>650000</v>
      </c>
      <c r="K143" s="62">
        <f t="shared" si="101"/>
        <v>650000</v>
      </c>
      <c r="L143" s="62">
        <f t="shared" si="102"/>
        <v>650000</v>
      </c>
      <c r="M143" s="62">
        <f t="shared" si="103"/>
        <v>650000</v>
      </c>
      <c r="N143" s="62">
        <f t="shared" si="104"/>
        <v>650000</v>
      </c>
      <c r="O143" s="62">
        <f t="shared" si="105"/>
        <v>650000</v>
      </c>
      <c r="P143" s="62">
        <f t="shared" si="106"/>
        <v>650000</v>
      </c>
      <c r="Q143" s="62">
        <f t="shared" si="107"/>
        <v>650000</v>
      </c>
      <c r="R143" s="62">
        <f t="shared" si="108"/>
        <v>650000</v>
      </c>
      <c r="S143" s="62">
        <f t="shared" si="109"/>
        <v>650000</v>
      </c>
      <c r="T143" s="62">
        <f t="shared" si="110"/>
        <v>650000</v>
      </c>
      <c r="U143" s="62">
        <f t="shared" si="111"/>
        <v>650000</v>
      </c>
      <c r="V143" s="62">
        <f t="shared" si="112"/>
        <v>650000</v>
      </c>
      <c r="W143" s="62">
        <f t="shared" si="113"/>
        <v>650000</v>
      </c>
      <c r="X143" s="62">
        <f t="shared" si="114"/>
        <v>650000</v>
      </c>
      <c r="Y143" s="62">
        <f t="shared" si="115"/>
        <v>650000</v>
      </c>
      <c r="Z143" s="62">
        <f t="shared" si="116"/>
        <v>650000</v>
      </c>
      <c r="AA143" s="62">
        <f t="shared" si="117"/>
        <v>650000</v>
      </c>
      <c r="AB143" s="62">
        <f t="shared" si="118"/>
        <v>650000</v>
      </c>
      <c r="AC143" s="62">
        <f t="shared" si="119"/>
        <v>650000</v>
      </c>
    </row>
    <row r="144" spans="1:44" x14ac:dyDescent="0.25">
      <c r="A144" s="30" t="str">
        <f t="shared" si="91"/>
        <v>Opex var (mode-fees, shunting)</v>
      </c>
      <c r="B144" s="62">
        <f t="shared" si="92"/>
        <v>3.6414565826330532</v>
      </c>
      <c r="C144" s="62">
        <f t="shared" si="93"/>
        <v>3.6414565826330532</v>
      </c>
      <c r="D144" s="62">
        <f t="shared" si="94"/>
        <v>3.6414565826330532</v>
      </c>
      <c r="E144" s="62">
        <f t="shared" si="95"/>
        <v>3.6414565826330532</v>
      </c>
      <c r="F144" s="62">
        <f t="shared" si="96"/>
        <v>3.6414565826330532</v>
      </c>
      <c r="G144" s="62">
        <f t="shared" si="97"/>
        <v>3.6414565826330532</v>
      </c>
      <c r="H144" s="62">
        <f t="shared" si="98"/>
        <v>3.6414565826330532</v>
      </c>
      <c r="I144" s="62">
        <f t="shared" si="99"/>
        <v>3.6414565826330532</v>
      </c>
      <c r="J144" s="62">
        <f t="shared" si="100"/>
        <v>3.6414565826330532</v>
      </c>
      <c r="K144" s="62">
        <f t="shared" si="101"/>
        <v>3.6414565826330532</v>
      </c>
      <c r="L144" s="62">
        <f t="shared" si="102"/>
        <v>3.6414565826330532</v>
      </c>
      <c r="M144" s="62">
        <f t="shared" si="103"/>
        <v>3.6414565826330532</v>
      </c>
      <c r="N144" s="62">
        <f t="shared" si="104"/>
        <v>3.6414565826330532</v>
      </c>
      <c r="O144" s="62">
        <f t="shared" si="105"/>
        <v>3.6414565826330532</v>
      </c>
      <c r="P144" s="62">
        <f t="shared" si="106"/>
        <v>3.6414565826330532</v>
      </c>
      <c r="Q144" s="62">
        <f t="shared" si="107"/>
        <v>3.6414565826330532</v>
      </c>
      <c r="R144" s="62">
        <f t="shared" si="108"/>
        <v>3.6414565826330532</v>
      </c>
      <c r="S144" s="62">
        <f t="shared" si="109"/>
        <v>3.6414565826330532</v>
      </c>
      <c r="T144" s="62">
        <f t="shared" si="110"/>
        <v>3.6414565826330532</v>
      </c>
      <c r="U144" s="62">
        <f t="shared" si="111"/>
        <v>3.6414565826330532</v>
      </c>
      <c r="V144" s="62">
        <f t="shared" si="112"/>
        <v>3.6414565826330532</v>
      </c>
      <c r="W144" s="62">
        <f t="shared" si="113"/>
        <v>3.6414565826330532</v>
      </c>
      <c r="X144" s="62">
        <f t="shared" si="114"/>
        <v>3.6414565826330532</v>
      </c>
      <c r="Y144" s="62">
        <f t="shared" si="115"/>
        <v>3.6414565826330532</v>
      </c>
      <c r="Z144" s="62">
        <f t="shared" si="116"/>
        <v>3.6414565826330532</v>
      </c>
      <c r="AA144" s="62">
        <f t="shared" si="117"/>
        <v>3.6414565826330532</v>
      </c>
      <c r="AB144" s="62">
        <f t="shared" si="118"/>
        <v>3.6414565826330532</v>
      </c>
      <c r="AC144" s="62">
        <f t="shared" si="119"/>
        <v>3.6414565826330532</v>
      </c>
    </row>
    <row r="145" spans="1:29" x14ac:dyDescent="0.25">
      <c r="A145" s="30" t="str">
        <f t="shared" si="91"/>
        <v>Fuel Economy</v>
      </c>
      <c r="B145" s="62">
        <f t="shared" si="92"/>
        <v>31.614305882352937</v>
      </c>
      <c r="C145" s="62">
        <f t="shared" si="93"/>
        <v>31.614305882352937</v>
      </c>
      <c r="D145" s="62">
        <f t="shared" si="94"/>
        <v>31.614305882352937</v>
      </c>
      <c r="E145" s="62">
        <f t="shared" si="95"/>
        <v>31.614305882352937</v>
      </c>
      <c r="F145" s="62">
        <f t="shared" si="96"/>
        <v>31.614305882352937</v>
      </c>
      <c r="G145" s="62">
        <f t="shared" si="97"/>
        <v>31.614305882352937</v>
      </c>
      <c r="H145" s="62">
        <f t="shared" si="98"/>
        <v>31.614305882352937</v>
      </c>
      <c r="I145" s="62">
        <f t="shared" si="99"/>
        <v>31.614305882352937</v>
      </c>
      <c r="J145" s="62">
        <f t="shared" si="100"/>
        <v>31.614305882352937</v>
      </c>
      <c r="K145" s="62">
        <f t="shared" si="101"/>
        <v>31.614305882352937</v>
      </c>
      <c r="L145" s="62">
        <f t="shared" si="102"/>
        <v>31.614305882352937</v>
      </c>
      <c r="M145" s="62">
        <f t="shared" si="103"/>
        <v>31.614305882352937</v>
      </c>
      <c r="N145" s="62">
        <f t="shared" si="104"/>
        <v>31.614305882352937</v>
      </c>
      <c r="O145" s="62">
        <f t="shared" si="105"/>
        <v>31.614305882352937</v>
      </c>
      <c r="P145" s="62">
        <f t="shared" si="106"/>
        <v>31.614305882352937</v>
      </c>
      <c r="Q145" s="62">
        <f t="shared" si="107"/>
        <v>31.614305882352937</v>
      </c>
      <c r="R145" s="62">
        <f t="shared" si="108"/>
        <v>31.614305882352937</v>
      </c>
      <c r="S145" s="62">
        <f t="shared" si="109"/>
        <v>31.614305882352937</v>
      </c>
      <c r="T145" s="62">
        <f t="shared" si="110"/>
        <v>31.614305882352937</v>
      </c>
      <c r="U145" s="62">
        <f t="shared" si="111"/>
        <v>31.614305882352937</v>
      </c>
      <c r="V145" s="62">
        <f t="shared" si="112"/>
        <v>31.614305882352937</v>
      </c>
      <c r="W145" s="62">
        <f t="shared" si="113"/>
        <v>31.614305882352937</v>
      </c>
      <c r="X145" s="62">
        <f t="shared" si="114"/>
        <v>31.614305882352937</v>
      </c>
      <c r="Y145" s="62">
        <f t="shared" si="115"/>
        <v>31.614305882352937</v>
      </c>
      <c r="Z145" s="62">
        <f t="shared" si="116"/>
        <v>31.614305882352937</v>
      </c>
      <c r="AA145" s="62">
        <f t="shared" si="117"/>
        <v>31.614305882352937</v>
      </c>
      <c r="AB145" s="62">
        <f t="shared" si="118"/>
        <v>31.614305882352937</v>
      </c>
      <c r="AC145" s="62">
        <f t="shared" si="119"/>
        <v>31.614305882352937</v>
      </c>
    </row>
    <row r="146" spans="1:29" x14ac:dyDescent="0.25">
      <c r="A146" s="30" t="str">
        <f t="shared" si="91"/>
        <v>Fuel Cost</v>
      </c>
      <c r="B146" s="62">
        <f t="shared" si="92"/>
        <v>0.1331013876427829</v>
      </c>
      <c r="C146" s="62">
        <f t="shared" si="93"/>
        <v>0.13284065209015961</v>
      </c>
      <c r="D146" s="62">
        <f t="shared" si="94"/>
        <v>0.13247044498234223</v>
      </c>
      <c r="E146" s="62">
        <f t="shared" si="95"/>
        <v>0.13194719281007408</v>
      </c>
      <c r="F146" s="62">
        <f t="shared" si="96"/>
        <v>0.13121255620046077</v>
      </c>
      <c r="G146" s="62">
        <f t="shared" si="97"/>
        <v>0.13019114463175094</v>
      </c>
      <c r="H146" s="62">
        <f t="shared" si="98"/>
        <v>0.12879082758213251</v>
      </c>
      <c r="I146" s="62">
        <f t="shared" si="99"/>
        <v>0.126908951519354</v>
      </c>
      <c r="J146" s="62">
        <f t="shared" si="100"/>
        <v>0.12444897595358409</v>
      </c>
      <c r="K146" s="62">
        <f t="shared" si="101"/>
        <v>0.12135105251833415</v>
      </c>
      <c r="L146" s="62">
        <f t="shared" si="102"/>
        <v>0.11763363332194038</v>
      </c>
      <c r="M146" s="62">
        <f t="shared" si="103"/>
        <v>0.11343007363373329</v>
      </c>
      <c r="N146" s="62">
        <f t="shared" si="104"/>
        <v>0.10899239291766451</v>
      </c>
      <c r="O146" s="62">
        <f t="shared" si="105"/>
        <v>0.10464203745763898</v>
      </c>
      <c r="P146" s="62">
        <f t="shared" si="106"/>
        <v>0.10068181933659913</v>
      </c>
      <c r="Q146" s="62">
        <f t="shared" si="107"/>
        <v>9.7316197879620536E-2</v>
      </c>
      <c r="R146" s="62">
        <f t="shared" si="108"/>
        <v>9.4620937841233446E-2</v>
      </c>
      <c r="S146" s="62">
        <f t="shared" si="109"/>
        <v>9.2564334807767046E-2</v>
      </c>
      <c r="T146" s="62">
        <f t="shared" si="110"/>
        <v>9.1052566638367527E-2</v>
      </c>
      <c r="U146" s="62">
        <f t="shared" si="111"/>
        <v>8.9971674267489546E-2</v>
      </c>
      <c r="V146" s="62">
        <f t="shared" si="112"/>
        <v>8.9214128341311663E-2</v>
      </c>
      <c r="W146" s="62">
        <f t="shared" si="113"/>
        <v>8.8690617543911193E-2</v>
      </c>
      <c r="X146" s="62">
        <f t="shared" si="114"/>
        <v>8.833235301770638E-2</v>
      </c>
      <c r="Y146" s="62">
        <f t="shared" si="115"/>
        <v>8.8088811183719362E-2</v>
      </c>
      <c r="Z146" s="62">
        <f t="shared" si="116"/>
        <v>8.7924009134648928E-2</v>
      </c>
      <c r="AA146" s="62">
        <f t="shared" si="117"/>
        <v>8.7812833500289317E-2</v>
      </c>
      <c r="AB146" s="62">
        <f t="shared" si="118"/>
        <v>8.7737990615512101E-2</v>
      </c>
      <c r="AC146" s="62">
        <f t="shared" si="119"/>
        <v>8.768767751485286E-2</v>
      </c>
    </row>
    <row r="147" spans="1:29" x14ac:dyDescent="0.25">
      <c r="A147" s="30" t="str">
        <f t="shared" ref="A147" si="120">A127</f>
        <v>Emission Cost</v>
      </c>
      <c r="B147" s="66">
        <f>$B127+($C127-$B127)*(1-Q127)</f>
        <v>7.3051284422328416E-2</v>
      </c>
      <c r="C147" s="66">
        <f t="shared" ref="C147" si="121">$B127+($C127-$B127)*(1-R127)</f>
        <v>7.2981721800489563E-2</v>
      </c>
      <c r="D147" s="66">
        <f t="shared" ref="D147" si="122">$B127+($C127-$B127)*(1-S127)</f>
        <v>7.2882144456709708E-2</v>
      </c>
      <c r="E147" s="66">
        <f t="shared" ref="E147" si="123">$B127+($C127-$B127)*(1-T127)</f>
        <v>7.2739692063840775E-2</v>
      </c>
      <c r="F147" s="66">
        <f t="shared" ref="F147" si="124">$B127+($C127-$B127)*(1-U127)</f>
        <v>7.2536096160749949E-2</v>
      </c>
      <c r="G147" s="66">
        <f t="shared" ref="G147" si="125">$B127+($C127-$B127)*(1-V127)</f>
        <v>7.2245520808140104E-2</v>
      </c>
      <c r="H147" s="66">
        <f t="shared" ref="H147" si="126">$B127+($C127-$B127)*(1-W127)</f>
        <v>7.183167022008663E-2</v>
      </c>
      <c r="I147" s="66">
        <f t="shared" ref="I147" si="127">$B127+($C127-$B127)*(1-X127)</f>
        <v>7.1244061711272524E-2</v>
      </c>
      <c r="J147" s="66">
        <f t="shared" ref="J147" si="128">$B127+($C127-$B127)*(1-Y127)</f>
        <v>7.0413533549636295E-2</v>
      </c>
      <c r="K147" s="66">
        <f t="shared" ref="K147" si="129">$B127+($C127-$B127)*(1-Z127)</f>
        <v>6.9247486994668248E-2</v>
      </c>
      <c r="L147" s="66">
        <f t="shared" ref="L147" si="130">$B127+($C127-$B127)*(1-AA127)</f>
        <v>6.7626258995255692E-2</v>
      </c>
      <c r="M147" s="66">
        <f t="shared" ref="M147" si="131">$B127+($C127-$B127)*(1-AB127)</f>
        <v>6.5403616058321165E-2</v>
      </c>
      <c r="N147" s="66">
        <f t="shared" ref="N147" si="132">$B127+($C127-$B127)*(1-AC127)</f>
        <v>6.2416622119869432E-2</v>
      </c>
      <c r="O147" s="66">
        <f t="shared" ref="O147" si="133">$B127+($C127-$B127)*(1-AD127)</f>
        <v>5.8512043997522092E-2</v>
      </c>
      <c r="P147" s="66">
        <f t="shared" ref="P147" si="134">$B127+($C127-$B127)*(1-AE127)</f>
        <v>5.3594887811786507E-2</v>
      </c>
      <c r="Q147" s="66">
        <f t="shared" ref="Q147" si="135">$B127+($C127-$B127)*(1-AF127)</f>
        <v>4.7694441535894194E-2</v>
      </c>
      <c r="R147" s="66">
        <f t="shared" ref="R147" si="136">$B127+($C127-$B127)*(1-AG127)</f>
        <v>4.1022372340191592E-2</v>
      </c>
      <c r="S147" s="66">
        <f t="shared" ref="S147" si="137">$B127+($C127-$B127)*(1-AH127)</f>
        <v>3.3978696265099438E-2</v>
      </c>
      <c r="T147" s="66">
        <f t="shared" ref="T147" si="138">$B127+($C127-$B127)*(1-AI127)</f>
        <v>2.7073626560338522E-2</v>
      </c>
      <c r="U147" s="66">
        <f t="shared" ref="U147" si="139">$B127+($C127-$B127)*(1-AJ127)</f>
        <v>2.0787799477216214E-2</v>
      </c>
      <c r="V147" s="66">
        <f t="shared" ref="V147" si="140">$B127+($C127-$B127)*(1-AK127)</f>
        <v>1.5445741575552285E-2</v>
      </c>
      <c r="W147" s="66">
        <f t="shared" ref="W147" si="141">$B127+($C127-$B127)*(1-AL127)</f>
        <v>1.1167709904685047E-2</v>
      </c>
      <c r="X147" s="66">
        <f t="shared" ref="X147" si="142">$B127+($C127-$B127)*(1-AM127)</f>
        <v>7.903381867218201E-3</v>
      </c>
      <c r="Y147" s="66">
        <f t="shared" ref="Y147" si="143">$B127+($C127-$B127)*(1-AN127)</f>
        <v>5.5038389601930332E-3</v>
      </c>
      <c r="Z147" s="66">
        <f t="shared" ref="Z147" si="144">$B127+($C127-$B127)*(1-AO127)</f>
        <v>3.7882004950518661E-3</v>
      </c>
      <c r="AA147" s="66">
        <f t="shared" ref="AA147" si="145">$B127+($C127-$B127)*(1-AP127)</f>
        <v>2.5857912958768409E-3</v>
      </c>
      <c r="AB147" s="66">
        <f t="shared" ref="AB147" si="146">$B127+($C127-$B127)*(1-AQ127)</f>
        <v>1.7548526334016656E-3</v>
      </c>
      <c r="AC147" s="66">
        <f t="shared" ref="AC147" si="147">$B127+($C127-$B127)*(1-AR127)</f>
        <v>1.1861998994081024E-3</v>
      </c>
    </row>
    <row r="148" spans="1:29" x14ac:dyDescent="0.25">
      <c r="A148" s="30" t="str">
        <f>A128</f>
        <v>Lifetime vehicle</v>
      </c>
      <c r="B148" s="62">
        <f>$B128+($C128-$B128)*(1-Q128)</f>
        <v>20</v>
      </c>
      <c r="C148" s="62">
        <f t="shared" ref="C148:L150" si="148">$B128+($C128-$B128)*(1-R128)</f>
        <v>20</v>
      </c>
      <c r="D148" s="62">
        <f t="shared" si="148"/>
        <v>20</v>
      </c>
      <c r="E148" s="62">
        <f t="shared" si="148"/>
        <v>20</v>
      </c>
      <c r="F148" s="62">
        <f t="shared" si="148"/>
        <v>20</v>
      </c>
      <c r="G148" s="62">
        <f t="shared" si="148"/>
        <v>20</v>
      </c>
      <c r="H148" s="62">
        <f t="shared" si="148"/>
        <v>20</v>
      </c>
      <c r="I148" s="62">
        <f t="shared" si="148"/>
        <v>20</v>
      </c>
      <c r="J148" s="62">
        <f t="shared" si="148"/>
        <v>20</v>
      </c>
      <c r="K148" s="62">
        <f t="shared" si="148"/>
        <v>20</v>
      </c>
      <c r="L148" s="62">
        <f t="shared" si="148"/>
        <v>20</v>
      </c>
      <c r="M148" s="62">
        <f t="shared" ref="M148:V150" si="149">$B128+($C128-$B128)*(1-AB128)</f>
        <v>20</v>
      </c>
      <c r="N148" s="62">
        <f t="shared" si="149"/>
        <v>20</v>
      </c>
      <c r="O148" s="62">
        <f t="shared" si="149"/>
        <v>20</v>
      </c>
      <c r="P148" s="62">
        <f t="shared" si="149"/>
        <v>20</v>
      </c>
      <c r="Q148" s="62">
        <f t="shared" si="149"/>
        <v>20</v>
      </c>
      <c r="R148" s="62">
        <f t="shared" si="149"/>
        <v>20</v>
      </c>
      <c r="S148" s="62">
        <f t="shared" si="149"/>
        <v>20</v>
      </c>
      <c r="T148" s="62">
        <f t="shared" si="149"/>
        <v>20</v>
      </c>
      <c r="U148" s="62">
        <f t="shared" si="149"/>
        <v>20</v>
      </c>
      <c r="V148" s="62">
        <f t="shared" si="149"/>
        <v>20</v>
      </c>
      <c r="W148" s="62">
        <f t="shared" ref="W148:AC150" si="150">$B128+($C128-$B128)*(1-AL128)</f>
        <v>20</v>
      </c>
      <c r="X148" s="62">
        <f t="shared" si="150"/>
        <v>20</v>
      </c>
      <c r="Y148" s="62">
        <f t="shared" si="150"/>
        <v>20</v>
      </c>
      <c r="Z148" s="62">
        <f t="shared" si="150"/>
        <v>20</v>
      </c>
      <c r="AA148" s="62">
        <f t="shared" si="150"/>
        <v>20</v>
      </c>
      <c r="AB148" s="62">
        <f t="shared" si="150"/>
        <v>20</v>
      </c>
      <c r="AC148" s="62">
        <f t="shared" si="150"/>
        <v>20</v>
      </c>
    </row>
    <row r="149" spans="1:29" x14ac:dyDescent="0.25">
      <c r="A149" s="30" t="str">
        <f>A129</f>
        <v>Lifetime costumization</v>
      </c>
      <c r="B149" s="62">
        <f>$B129+($C129-$B129)*(1-Q129)</f>
        <v>30</v>
      </c>
      <c r="C149" s="62">
        <f t="shared" si="148"/>
        <v>30</v>
      </c>
      <c r="D149" s="62">
        <f t="shared" si="148"/>
        <v>30</v>
      </c>
      <c r="E149" s="62">
        <f t="shared" si="148"/>
        <v>30</v>
      </c>
      <c r="F149" s="62">
        <f t="shared" si="148"/>
        <v>30</v>
      </c>
      <c r="G149" s="62">
        <f t="shared" si="148"/>
        <v>30</v>
      </c>
      <c r="H149" s="62">
        <f t="shared" si="148"/>
        <v>30</v>
      </c>
      <c r="I149" s="62">
        <f t="shared" si="148"/>
        <v>30</v>
      </c>
      <c r="J149" s="62">
        <f t="shared" si="148"/>
        <v>30</v>
      </c>
      <c r="K149" s="62">
        <f t="shared" si="148"/>
        <v>30</v>
      </c>
      <c r="L149" s="62">
        <f t="shared" si="148"/>
        <v>30</v>
      </c>
      <c r="M149" s="62">
        <f t="shared" si="149"/>
        <v>30</v>
      </c>
      <c r="N149" s="62">
        <f t="shared" si="149"/>
        <v>30</v>
      </c>
      <c r="O149" s="62">
        <f t="shared" si="149"/>
        <v>30</v>
      </c>
      <c r="P149" s="62">
        <f t="shared" si="149"/>
        <v>30</v>
      </c>
      <c r="Q149" s="62">
        <f t="shared" si="149"/>
        <v>30</v>
      </c>
      <c r="R149" s="62">
        <f t="shared" si="149"/>
        <v>30</v>
      </c>
      <c r="S149" s="62">
        <f t="shared" si="149"/>
        <v>30</v>
      </c>
      <c r="T149" s="62">
        <f t="shared" si="149"/>
        <v>30</v>
      </c>
      <c r="U149" s="62">
        <f t="shared" si="149"/>
        <v>30</v>
      </c>
      <c r="V149" s="62">
        <f t="shared" si="149"/>
        <v>30</v>
      </c>
      <c r="W149" s="62">
        <f t="shared" si="150"/>
        <v>30</v>
      </c>
      <c r="X149" s="62">
        <f t="shared" si="150"/>
        <v>30</v>
      </c>
      <c r="Y149" s="62">
        <f t="shared" si="150"/>
        <v>30</v>
      </c>
      <c r="Z149" s="62">
        <f t="shared" si="150"/>
        <v>30</v>
      </c>
      <c r="AA149" s="62">
        <f t="shared" si="150"/>
        <v>30</v>
      </c>
      <c r="AB149" s="62">
        <f t="shared" si="150"/>
        <v>30</v>
      </c>
      <c r="AC149" s="62">
        <f t="shared" si="150"/>
        <v>30</v>
      </c>
    </row>
    <row r="150" spans="1:29" x14ac:dyDescent="0.25">
      <c r="A150" s="30" t="str">
        <f>A130</f>
        <v>Tonnage .</v>
      </c>
      <c r="B150" s="62">
        <f>$B130+($C130-$B130)*(1-Q130)</f>
        <v>2240</v>
      </c>
      <c r="C150" s="62">
        <f t="shared" si="148"/>
        <v>2240</v>
      </c>
      <c r="D150" s="62">
        <f t="shared" si="148"/>
        <v>2240</v>
      </c>
      <c r="E150" s="62">
        <f t="shared" si="148"/>
        <v>2240</v>
      </c>
      <c r="F150" s="62">
        <f t="shared" si="148"/>
        <v>2240</v>
      </c>
      <c r="G150" s="62">
        <f t="shared" si="148"/>
        <v>2240</v>
      </c>
      <c r="H150" s="62">
        <f t="shared" si="148"/>
        <v>2240</v>
      </c>
      <c r="I150" s="62">
        <f t="shared" si="148"/>
        <v>2240</v>
      </c>
      <c r="J150" s="62">
        <f t="shared" si="148"/>
        <v>2240</v>
      </c>
      <c r="K150" s="62">
        <f t="shared" si="148"/>
        <v>2240</v>
      </c>
      <c r="L150" s="62">
        <f t="shared" si="148"/>
        <v>2240</v>
      </c>
      <c r="M150" s="62">
        <f t="shared" si="149"/>
        <v>2240</v>
      </c>
      <c r="N150" s="62">
        <f t="shared" si="149"/>
        <v>2240</v>
      </c>
      <c r="O150" s="62">
        <f t="shared" si="149"/>
        <v>2240</v>
      </c>
      <c r="P150" s="62">
        <f t="shared" si="149"/>
        <v>2240</v>
      </c>
      <c r="Q150" s="62">
        <f t="shared" si="149"/>
        <v>2240</v>
      </c>
      <c r="R150" s="62">
        <f t="shared" si="149"/>
        <v>2240</v>
      </c>
      <c r="S150" s="62">
        <f t="shared" si="149"/>
        <v>2240</v>
      </c>
      <c r="T150" s="62">
        <f t="shared" si="149"/>
        <v>2240</v>
      </c>
      <c r="U150" s="62">
        <f t="shared" si="149"/>
        <v>2240</v>
      </c>
      <c r="V150" s="62">
        <f t="shared" si="149"/>
        <v>2240</v>
      </c>
      <c r="W150" s="62">
        <f t="shared" si="150"/>
        <v>2240</v>
      </c>
      <c r="X150" s="62">
        <f t="shared" si="150"/>
        <v>2240</v>
      </c>
      <c r="Y150" s="62">
        <f t="shared" si="150"/>
        <v>2240</v>
      </c>
      <c r="Z150" s="62">
        <f t="shared" si="150"/>
        <v>2240</v>
      </c>
      <c r="AA150" s="62">
        <f t="shared" si="150"/>
        <v>2240</v>
      </c>
      <c r="AB150" s="62">
        <f t="shared" si="150"/>
        <v>2240</v>
      </c>
      <c r="AC150" s="62">
        <f t="shared" si="150"/>
        <v>2240</v>
      </c>
    </row>
    <row r="151" spans="1:29" x14ac:dyDescent="0.25">
      <c r="A151" s="30" t="str">
        <f>A131</f>
        <v>Market failure (av. utilization)</v>
      </c>
      <c r="B151" s="62">
        <f t="shared" ref="B151:K152" si="151">($B131+($C131-$B131)*(1-Q131))*B$44</f>
        <v>955.73333333333335</v>
      </c>
      <c r="C151" s="62">
        <f t="shared" si="151"/>
        <v>955.73333333333335</v>
      </c>
      <c r="D151" s="62">
        <f t="shared" si="151"/>
        <v>955.73333333333335</v>
      </c>
      <c r="E151" s="62">
        <f t="shared" si="151"/>
        <v>955.73333333333335</v>
      </c>
      <c r="F151" s="62">
        <f t="shared" si="151"/>
        <v>955.73333333333335</v>
      </c>
      <c r="G151" s="62">
        <f t="shared" si="151"/>
        <v>955.73333333333335</v>
      </c>
      <c r="H151" s="62">
        <f t="shared" si="151"/>
        <v>955.73333333333335</v>
      </c>
      <c r="I151" s="62">
        <f t="shared" si="151"/>
        <v>955.73333333333335</v>
      </c>
      <c r="J151" s="62">
        <f t="shared" si="151"/>
        <v>955.73333333333335</v>
      </c>
      <c r="K151" s="62">
        <f t="shared" si="151"/>
        <v>955.73333333333335</v>
      </c>
      <c r="L151" s="62">
        <f t="shared" ref="L151:U152" si="152">($B131+($C131-$B131)*(1-AA131))*L$44</f>
        <v>955.73333333333335</v>
      </c>
      <c r="M151" s="62">
        <f t="shared" si="152"/>
        <v>955.73333333333335</v>
      </c>
      <c r="N151" s="62">
        <f t="shared" si="152"/>
        <v>955.73333333333335</v>
      </c>
      <c r="O151" s="62">
        <f t="shared" si="152"/>
        <v>955.73333333333335</v>
      </c>
      <c r="P151" s="62">
        <f t="shared" si="152"/>
        <v>955.73333333333335</v>
      </c>
      <c r="Q151" s="62">
        <f t="shared" si="152"/>
        <v>955.73333333333335</v>
      </c>
      <c r="R151" s="62">
        <f t="shared" si="152"/>
        <v>955.73333333333335</v>
      </c>
      <c r="S151" s="62">
        <f t="shared" si="152"/>
        <v>955.73333333333335</v>
      </c>
      <c r="T151" s="62">
        <f t="shared" si="152"/>
        <v>955.73333333333335</v>
      </c>
      <c r="U151" s="62">
        <f t="shared" si="152"/>
        <v>955.73333333333335</v>
      </c>
      <c r="V151" s="62">
        <f t="shared" ref="V151:AC152" si="153">($B131+($C131-$B131)*(1-AK131))*V$44</f>
        <v>955.73333333333335</v>
      </c>
      <c r="W151" s="62">
        <f t="shared" si="153"/>
        <v>955.73333333333335</v>
      </c>
      <c r="X151" s="62">
        <f t="shared" si="153"/>
        <v>955.73333333333335</v>
      </c>
      <c r="Y151" s="62">
        <f t="shared" si="153"/>
        <v>955.73333333333335</v>
      </c>
      <c r="Z151" s="62">
        <f t="shared" si="153"/>
        <v>955.73333333333335</v>
      </c>
      <c r="AA151" s="62">
        <f t="shared" si="153"/>
        <v>955.73333333333335</v>
      </c>
      <c r="AB151" s="62">
        <f t="shared" si="153"/>
        <v>955.73333333333335</v>
      </c>
      <c r="AC151" s="62">
        <f t="shared" si="153"/>
        <v>955.73333333333335</v>
      </c>
    </row>
    <row r="152" spans="1:29" x14ac:dyDescent="0.25">
      <c r="A152" s="30" t="s">
        <v>73</v>
      </c>
      <c r="B152" s="62">
        <f t="shared" si="151"/>
        <v>0</v>
      </c>
      <c r="C152" s="62">
        <f t="shared" si="151"/>
        <v>0</v>
      </c>
      <c r="D152" s="62">
        <f t="shared" si="151"/>
        <v>0</v>
      </c>
      <c r="E152" s="62">
        <f t="shared" si="151"/>
        <v>0</v>
      </c>
      <c r="F152" s="62">
        <f t="shared" si="151"/>
        <v>0</v>
      </c>
      <c r="G152" s="62">
        <f t="shared" si="151"/>
        <v>0</v>
      </c>
      <c r="H152" s="62">
        <f t="shared" si="151"/>
        <v>0</v>
      </c>
      <c r="I152" s="62">
        <f t="shared" si="151"/>
        <v>0</v>
      </c>
      <c r="J152" s="62">
        <f t="shared" si="151"/>
        <v>0</v>
      </c>
      <c r="K152" s="62">
        <f t="shared" si="151"/>
        <v>0</v>
      </c>
      <c r="L152" s="62">
        <f t="shared" si="152"/>
        <v>0</v>
      </c>
      <c r="M152" s="62">
        <f t="shared" si="152"/>
        <v>0</v>
      </c>
      <c r="N152" s="62">
        <f t="shared" si="152"/>
        <v>0</v>
      </c>
      <c r="O152" s="62">
        <f t="shared" si="152"/>
        <v>0</v>
      </c>
      <c r="P152" s="62">
        <f t="shared" si="152"/>
        <v>0</v>
      </c>
      <c r="Q152" s="62">
        <f t="shared" si="152"/>
        <v>0</v>
      </c>
      <c r="R152" s="62">
        <f t="shared" si="152"/>
        <v>0</v>
      </c>
      <c r="S152" s="62">
        <f t="shared" si="152"/>
        <v>0</v>
      </c>
      <c r="T152" s="62">
        <f t="shared" si="152"/>
        <v>0</v>
      </c>
      <c r="U152" s="62">
        <f t="shared" si="152"/>
        <v>0</v>
      </c>
      <c r="V152" s="62">
        <f t="shared" si="153"/>
        <v>0</v>
      </c>
      <c r="W152" s="62">
        <f t="shared" si="153"/>
        <v>0</v>
      </c>
      <c r="X152" s="62">
        <f t="shared" si="153"/>
        <v>0</v>
      </c>
      <c r="Y152" s="62">
        <f t="shared" si="153"/>
        <v>0</v>
      </c>
      <c r="Z152" s="62">
        <f t="shared" si="153"/>
        <v>0</v>
      </c>
      <c r="AA152" s="62">
        <f t="shared" si="153"/>
        <v>0</v>
      </c>
      <c r="AB152" s="62">
        <f t="shared" si="153"/>
        <v>0</v>
      </c>
      <c r="AC152" s="62">
        <f t="shared" si="153"/>
        <v>0</v>
      </c>
    </row>
    <row r="153" spans="1:29" x14ac:dyDescent="0.25">
      <c r="A153" s="30" t="str">
        <f>A133</f>
        <v>Annual Mileage</v>
      </c>
      <c r="B153" s="62">
        <f t="shared" ref="B153:AC153" si="154">$B133+($C133-$B133)*(1-Q133)</f>
        <v>178500</v>
      </c>
      <c r="C153" s="62">
        <f t="shared" si="154"/>
        <v>178500</v>
      </c>
      <c r="D153" s="62">
        <f t="shared" si="154"/>
        <v>178500</v>
      </c>
      <c r="E153" s="62">
        <f t="shared" si="154"/>
        <v>178500</v>
      </c>
      <c r="F153" s="62">
        <f t="shared" si="154"/>
        <v>178500</v>
      </c>
      <c r="G153" s="62">
        <f t="shared" si="154"/>
        <v>178500</v>
      </c>
      <c r="H153" s="62">
        <f t="shared" si="154"/>
        <v>178500</v>
      </c>
      <c r="I153" s="62">
        <f t="shared" si="154"/>
        <v>178500</v>
      </c>
      <c r="J153" s="62">
        <f t="shared" si="154"/>
        <v>178500</v>
      </c>
      <c r="K153" s="62">
        <f t="shared" si="154"/>
        <v>178500</v>
      </c>
      <c r="L153" s="62">
        <f t="shared" si="154"/>
        <v>178500</v>
      </c>
      <c r="M153" s="62">
        <f t="shared" si="154"/>
        <v>178500</v>
      </c>
      <c r="N153" s="62">
        <f t="shared" si="154"/>
        <v>178500</v>
      </c>
      <c r="O153" s="62">
        <f t="shared" si="154"/>
        <v>178500</v>
      </c>
      <c r="P153" s="62">
        <f t="shared" si="154"/>
        <v>178500</v>
      </c>
      <c r="Q153" s="62">
        <f t="shared" si="154"/>
        <v>178500</v>
      </c>
      <c r="R153" s="62">
        <f t="shared" si="154"/>
        <v>178500</v>
      </c>
      <c r="S153" s="62">
        <f t="shared" si="154"/>
        <v>178500</v>
      </c>
      <c r="T153" s="62">
        <f t="shared" si="154"/>
        <v>178500</v>
      </c>
      <c r="U153" s="62">
        <f t="shared" si="154"/>
        <v>178500</v>
      </c>
      <c r="V153" s="62">
        <f t="shared" si="154"/>
        <v>178500</v>
      </c>
      <c r="W153" s="62">
        <f t="shared" si="154"/>
        <v>178500</v>
      </c>
      <c r="X153" s="62">
        <f t="shared" si="154"/>
        <v>178500</v>
      </c>
      <c r="Y153" s="62">
        <f t="shared" si="154"/>
        <v>178500</v>
      </c>
      <c r="Z153" s="62">
        <f t="shared" si="154"/>
        <v>178500</v>
      </c>
      <c r="AA153" s="62">
        <f t="shared" si="154"/>
        <v>178500</v>
      </c>
      <c r="AB153" s="62">
        <f t="shared" si="154"/>
        <v>178500</v>
      </c>
      <c r="AC153" s="62">
        <f t="shared" si="154"/>
        <v>178500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435922.78488425701</v>
      </c>
      <c r="C156" s="63">
        <f t="shared" ref="C156:AC156" si="155">((1+C141)^C148)*C141/(((1+C141)^C148)-1)*(C137)</f>
        <v>435922.78488425701</v>
      </c>
      <c r="D156" s="63">
        <f t="shared" si="155"/>
        <v>435922.78488425701</v>
      </c>
      <c r="E156" s="63">
        <f t="shared" si="155"/>
        <v>435922.78488425701</v>
      </c>
      <c r="F156" s="63">
        <f t="shared" si="155"/>
        <v>435922.78488425701</v>
      </c>
      <c r="G156" s="63">
        <f t="shared" si="155"/>
        <v>435922.78488425701</v>
      </c>
      <c r="H156" s="63">
        <f t="shared" si="155"/>
        <v>435922.78488425701</v>
      </c>
      <c r="I156" s="63">
        <f t="shared" si="155"/>
        <v>435922.78488425701</v>
      </c>
      <c r="J156" s="63">
        <f t="shared" si="155"/>
        <v>435922.78488425701</v>
      </c>
      <c r="K156" s="63">
        <f t="shared" si="155"/>
        <v>435922.78488425701</v>
      </c>
      <c r="L156" s="63">
        <f t="shared" si="155"/>
        <v>435922.78488425701</v>
      </c>
      <c r="M156" s="63">
        <f t="shared" si="155"/>
        <v>435922.78488425701</v>
      </c>
      <c r="N156" s="63">
        <f t="shared" si="155"/>
        <v>435922.78488425701</v>
      </c>
      <c r="O156" s="63">
        <f t="shared" si="155"/>
        <v>435922.78488425701</v>
      </c>
      <c r="P156" s="63">
        <f t="shared" si="155"/>
        <v>435922.78488425701</v>
      </c>
      <c r="Q156" s="63">
        <f t="shared" si="155"/>
        <v>435922.78488425701</v>
      </c>
      <c r="R156" s="63">
        <f t="shared" si="155"/>
        <v>435922.78488425701</v>
      </c>
      <c r="S156" s="63">
        <f t="shared" si="155"/>
        <v>435922.78488425701</v>
      </c>
      <c r="T156" s="63">
        <f t="shared" si="155"/>
        <v>435922.78488425701</v>
      </c>
      <c r="U156" s="63">
        <f t="shared" si="155"/>
        <v>435922.78488425701</v>
      </c>
      <c r="V156" s="63">
        <f t="shared" si="155"/>
        <v>435922.78488425701</v>
      </c>
      <c r="W156" s="63">
        <f t="shared" si="155"/>
        <v>435922.78488425701</v>
      </c>
      <c r="X156" s="63">
        <f t="shared" si="155"/>
        <v>435922.78488425701</v>
      </c>
      <c r="Y156" s="63">
        <f t="shared" si="155"/>
        <v>435922.78488425701</v>
      </c>
      <c r="Z156" s="63">
        <f t="shared" si="155"/>
        <v>435922.78488425701</v>
      </c>
      <c r="AA156" s="63">
        <f t="shared" si="155"/>
        <v>435922.78488425701</v>
      </c>
      <c r="AB156" s="63">
        <f t="shared" si="155"/>
        <v>435922.78488425701</v>
      </c>
      <c r="AC156" s="63">
        <f t="shared" si="155"/>
        <v>435922.78488425701</v>
      </c>
    </row>
    <row r="157" spans="1:29" x14ac:dyDescent="0.25">
      <c r="A157" s="30" t="str">
        <f>A138</f>
        <v>Residual value (vehicle)</v>
      </c>
      <c r="B157" s="62">
        <f>((1+B141)^B148)*B141/(((1+B141)^B148)-1)*(B138)</f>
        <v>-65388.417732638554</v>
      </c>
      <c r="C157" s="62">
        <f t="shared" ref="C157:AC157" si="156">((1+C141)^C148)*C141/(((1+C141)^C148)-1)*(C138)</f>
        <v>-65388.417732638554</v>
      </c>
      <c r="D157" s="62">
        <f t="shared" si="156"/>
        <v>-65388.417732638554</v>
      </c>
      <c r="E157" s="62">
        <f t="shared" si="156"/>
        <v>-65388.417732638554</v>
      </c>
      <c r="F157" s="62">
        <f t="shared" si="156"/>
        <v>-65388.417732638554</v>
      </c>
      <c r="G157" s="62">
        <f t="shared" si="156"/>
        <v>-65388.417732638554</v>
      </c>
      <c r="H157" s="62">
        <f t="shared" si="156"/>
        <v>-65388.417732638554</v>
      </c>
      <c r="I157" s="62">
        <f t="shared" si="156"/>
        <v>-65388.417732638554</v>
      </c>
      <c r="J157" s="62">
        <f t="shared" si="156"/>
        <v>-65388.417732638554</v>
      </c>
      <c r="K157" s="62">
        <f t="shared" si="156"/>
        <v>-65388.417732638554</v>
      </c>
      <c r="L157" s="62">
        <f t="shared" si="156"/>
        <v>-65388.417732638554</v>
      </c>
      <c r="M157" s="62">
        <f t="shared" si="156"/>
        <v>-65388.417732638554</v>
      </c>
      <c r="N157" s="62">
        <f t="shared" si="156"/>
        <v>-65388.417732638554</v>
      </c>
      <c r="O157" s="62">
        <f t="shared" si="156"/>
        <v>-65388.417732638554</v>
      </c>
      <c r="P157" s="62">
        <f t="shared" si="156"/>
        <v>-65388.417732638554</v>
      </c>
      <c r="Q157" s="62">
        <f t="shared" si="156"/>
        <v>-65388.417732638554</v>
      </c>
      <c r="R157" s="62">
        <f t="shared" si="156"/>
        <v>-65388.417732638554</v>
      </c>
      <c r="S157" s="62">
        <f t="shared" si="156"/>
        <v>-65388.417732638554</v>
      </c>
      <c r="T157" s="62">
        <f t="shared" si="156"/>
        <v>-65388.417732638554</v>
      </c>
      <c r="U157" s="62">
        <f t="shared" si="156"/>
        <v>-65388.417732638554</v>
      </c>
      <c r="V157" s="62">
        <f t="shared" si="156"/>
        <v>-65388.417732638554</v>
      </c>
      <c r="W157" s="62">
        <f t="shared" si="156"/>
        <v>-65388.417732638554</v>
      </c>
      <c r="X157" s="62">
        <f t="shared" si="156"/>
        <v>-65388.417732638554</v>
      </c>
      <c r="Y157" s="62">
        <f t="shared" si="156"/>
        <v>-65388.417732638554</v>
      </c>
      <c r="Z157" s="62">
        <f t="shared" si="156"/>
        <v>-65388.417732638554</v>
      </c>
      <c r="AA157" s="62">
        <f t="shared" si="156"/>
        <v>-65388.417732638554</v>
      </c>
      <c r="AB157" s="62">
        <f t="shared" si="156"/>
        <v>-65388.417732638554</v>
      </c>
      <c r="AC157" s="62">
        <f t="shared" si="156"/>
        <v>-65388.417732638554</v>
      </c>
    </row>
    <row r="158" spans="1:29" x14ac:dyDescent="0.25">
      <c r="A158" s="30" t="str">
        <f>A139</f>
        <v>Capex costumization</v>
      </c>
      <c r="B158" s="62">
        <f>((1+B141)^B149)*B141/(((1+B141)^B149)-1)*(B139)</f>
        <v>406833.9043442643</v>
      </c>
      <c r="C158" s="62">
        <f t="shared" ref="C158:AC158" si="157">((1+C141)^C149)*C141/(((1+C141)^C149)-1)*(C139)</f>
        <v>406833.9043442643</v>
      </c>
      <c r="D158" s="62">
        <f t="shared" si="157"/>
        <v>406833.9043442643</v>
      </c>
      <c r="E158" s="62">
        <f t="shared" si="157"/>
        <v>406833.9043442643</v>
      </c>
      <c r="F158" s="62">
        <f t="shared" si="157"/>
        <v>406833.9043442643</v>
      </c>
      <c r="G158" s="62">
        <f t="shared" si="157"/>
        <v>406833.9043442643</v>
      </c>
      <c r="H158" s="62">
        <f t="shared" si="157"/>
        <v>406833.9043442643</v>
      </c>
      <c r="I158" s="62">
        <f t="shared" si="157"/>
        <v>406833.9043442643</v>
      </c>
      <c r="J158" s="62">
        <f t="shared" si="157"/>
        <v>406833.9043442643</v>
      </c>
      <c r="K158" s="62">
        <f t="shared" si="157"/>
        <v>406833.9043442643</v>
      </c>
      <c r="L158" s="62">
        <f t="shared" si="157"/>
        <v>406833.9043442643</v>
      </c>
      <c r="M158" s="62">
        <f t="shared" si="157"/>
        <v>406833.9043442643</v>
      </c>
      <c r="N158" s="62">
        <f t="shared" si="157"/>
        <v>406833.9043442643</v>
      </c>
      <c r="O158" s="62">
        <f t="shared" si="157"/>
        <v>406833.9043442643</v>
      </c>
      <c r="P158" s="62">
        <f t="shared" si="157"/>
        <v>406833.9043442643</v>
      </c>
      <c r="Q158" s="62">
        <f t="shared" si="157"/>
        <v>406833.9043442643</v>
      </c>
      <c r="R158" s="62">
        <f t="shared" si="157"/>
        <v>406833.9043442643</v>
      </c>
      <c r="S158" s="62">
        <f t="shared" si="157"/>
        <v>406833.9043442643</v>
      </c>
      <c r="T158" s="62">
        <f t="shared" si="157"/>
        <v>406833.9043442643</v>
      </c>
      <c r="U158" s="62">
        <f t="shared" si="157"/>
        <v>406833.9043442643</v>
      </c>
      <c r="V158" s="62">
        <f t="shared" si="157"/>
        <v>406833.9043442643</v>
      </c>
      <c r="W158" s="62">
        <f t="shared" si="157"/>
        <v>406833.9043442643</v>
      </c>
      <c r="X158" s="62">
        <f t="shared" si="157"/>
        <v>406833.9043442643</v>
      </c>
      <c r="Y158" s="62">
        <f t="shared" si="157"/>
        <v>406833.9043442643</v>
      </c>
      <c r="Z158" s="62">
        <f t="shared" si="157"/>
        <v>406833.9043442643</v>
      </c>
      <c r="AA158" s="62">
        <f t="shared" si="157"/>
        <v>406833.9043442643</v>
      </c>
      <c r="AB158" s="62">
        <f t="shared" si="157"/>
        <v>406833.9043442643</v>
      </c>
      <c r="AC158" s="62">
        <f t="shared" si="157"/>
        <v>406833.9043442643</v>
      </c>
    </row>
    <row r="159" spans="1:29" x14ac:dyDescent="0.25">
      <c r="A159" s="30" t="str">
        <f>A140</f>
        <v>Residual value (costumization)</v>
      </c>
      <c r="B159" s="62">
        <f>((1+B141)^B149)*B141/(((1+B141)^B149)-1)*(B140)</f>
        <v>-20341.695217213215</v>
      </c>
      <c r="C159" s="62">
        <f t="shared" ref="C159:AC159" si="158">((1+C141)^C149)*C141/(((1+C141)^C149)-1)*(C140)</f>
        <v>-20341.695217213215</v>
      </c>
      <c r="D159" s="62">
        <f t="shared" si="158"/>
        <v>-20341.695217213215</v>
      </c>
      <c r="E159" s="62">
        <f t="shared" si="158"/>
        <v>-20341.695217213215</v>
      </c>
      <c r="F159" s="62">
        <f t="shared" si="158"/>
        <v>-20341.695217213215</v>
      </c>
      <c r="G159" s="62">
        <f t="shared" si="158"/>
        <v>-20341.695217213215</v>
      </c>
      <c r="H159" s="62">
        <f t="shared" si="158"/>
        <v>-20341.695217213215</v>
      </c>
      <c r="I159" s="62">
        <f t="shared" si="158"/>
        <v>-20341.695217213215</v>
      </c>
      <c r="J159" s="62">
        <f t="shared" si="158"/>
        <v>-20341.695217213215</v>
      </c>
      <c r="K159" s="62">
        <f t="shared" si="158"/>
        <v>-20341.695217213215</v>
      </c>
      <c r="L159" s="62">
        <f t="shared" si="158"/>
        <v>-20341.695217213215</v>
      </c>
      <c r="M159" s="62">
        <f t="shared" si="158"/>
        <v>-20341.695217213215</v>
      </c>
      <c r="N159" s="62">
        <f t="shared" si="158"/>
        <v>-20341.695217213215</v>
      </c>
      <c r="O159" s="62">
        <f t="shared" si="158"/>
        <v>-20341.695217213215</v>
      </c>
      <c r="P159" s="62">
        <f t="shared" si="158"/>
        <v>-20341.695217213215</v>
      </c>
      <c r="Q159" s="62">
        <f t="shared" si="158"/>
        <v>-20341.695217213215</v>
      </c>
      <c r="R159" s="62">
        <f t="shared" si="158"/>
        <v>-20341.695217213215</v>
      </c>
      <c r="S159" s="62">
        <f t="shared" si="158"/>
        <v>-20341.695217213215</v>
      </c>
      <c r="T159" s="62">
        <f t="shared" si="158"/>
        <v>-20341.695217213215</v>
      </c>
      <c r="U159" s="62">
        <f t="shared" si="158"/>
        <v>-20341.695217213215</v>
      </c>
      <c r="V159" s="62">
        <f t="shared" si="158"/>
        <v>-20341.695217213215</v>
      </c>
      <c r="W159" s="62">
        <f t="shared" si="158"/>
        <v>-20341.695217213215</v>
      </c>
      <c r="X159" s="62">
        <f t="shared" si="158"/>
        <v>-20341.695217213215</v>
      </c>
      <c r="Y159" s="62">
        <f t="shared" si="158"/>
        <v>-20341.695217213215</v>
      </c>
      <c r="Z159" s="62">
        <f t="shared" si="158"/>
        <v>-20341.695217213215</v>
      </c>
      <c r="AA159" s="62">
        <f t="shared" si="158"/>
        <v>-20341.695217213215</v>
      </c>
      <c r="AB159" s="62">
        <f t="shared" si="158"/>
        <v>-20341.695217213215</v>
      </c>
      <c r="AC159" s="62">
        <f t="shared" si="158"/>
        <v>-20341.695217213215</v>
      </c>
    </row>
    <row r="160" spans="1:29" x14ac:dyDescent="0.25">
      <c r="A160" s="30" t="str">
        <f t="shared" ref="A160:AC160" si="159">A142</f>
        <v>Opex fix (admin, crew, insurance)</v>
      </c>
      <c r="B160" s="62">
        <f t="shared" si="159"/>
        <v>620000</v>
      </c>
      <c r="C160" s="62">
        <f t="shared" si="159"/>
        <v>620000</v>
      </c>
      <c r="D160" s="62">
        <f t="shared" si="159"/>
        <v>620000</v>
      </c>
      <c r="E160" s="62">
        <f t="shared" si="159"/>
        <v>620000</v>
      </c>
      <c r="F160" s="62">
        <f t="shared" si="159"/>
        <v>620000</v>
      </c>
      <c r="G160" s="62">
        <f t="shared" si="159"/>
        <v>620000</v>
      </c>
      <c r="H160" s="62">
        <f t="shared" si="159"/>
        <v>620000</v>
      </c>
      <c r="I160" s="62">
        <f t="shared" si="159"/>
        <v>620000</v>
      </c>
      <c r="J160" s="62">
        <f t="shared" si="159"/>
        <v>620000</v>
      </c>
      <c r="K160" s="62">
        <f t="shared" si="159"/>
        <v>620000</v>
      </c>
      <c r="L160" s="62">
        <f t="shared" si="159"/>
        <v>620000</v>
      </c>
      <c r="M160" s="62">
        <f t="shared" si="159"/>
        <v>620000</v>
      </c>
      <c r="N160" s="62">
        <f t="shared" si="159"/>
        <v>620000</v>
      </c>
      <c r="O160" s="62">
        <f t="shared" si="159"/>
        <v>620000</v>
      </c>
      <c r="P160" s="62">
        <f t="shared" si="159"/>
        <v>620000</v>
      </c>
      <c r="Q160" s="62">
        <f t="shared" si="159"/>
        <v>620000</v>
      </c>
      <c r="R160" s="62">
        <f t="shared" si="159"/>
        <v>620000</v>
      </c>
      <c r="S160" s="62">
        <f t="shared" si="159"/>
        <v>620000</v>
      </c>
      <c r="T160" s="62">
        <f t="shared" si="159"/>
        <v>620000</v>
      </c>
      <c r="U160" s="62">
        <f t="shared" si="159"/>
        <v>620000</v>
      </c>
      <c r="V160" s="62">
        <f t="shared" si="159"/>
        <v>620000</v>
      </c>
      <c r="W160" s="62">
        <f t="shared" si="159"/>
        <v>620000</v>
      </c>
      <c r="X160" s="62">
        <f t="shared" si="159"/>
        <v>620000</v>
      </c>
      <c r="Y160" s="62">
        <f t="shared" si="159"/>
        <v>620000</v>
      </c>
      <c r="Z160" s="62">
        <f t="shared" si="159"/>
        <v>620000</v>
      </c>
      <c r="AA160" s="62">
        <f t="shared" si="159"/>
        <v>620000</v>
      </c>
      <c r="AB160" s="62">
        <f t="shared" si="159"/>
        <v>620000</v>
      </c>
      <c r="AC160" s="62">
        <f t="shared" si="159"/>
        <v>620000</v>
      </c>
    </row>
    <row r="161" spans="1:29" x14ac:dyDescent="0.25">
      <c r="A161" s="30" t="str">
        <f t="shared" ref="A161:AC161" si="160">A143</f>
        <v>Opex maintenance &amp; repair</v>
      </c>
      <c r="B161" s="62">
        <f t="shared" si="160"/>
        <v>650000</v>
      </c>
      <c r="C161" s="62">
        <f t="shared" si="160"/>
        <v>650000</v>
      </c>
      <c r="D161" s="62">
        <f t="shared" si="160"/>
        <v>650000</v>
      </c>
      <c r="E161" s="62">
        <f t="shared" si="160"/>
        <v>650000</v>
      </c>
      <c r="F161" s="62">
        <f t="shared" si="160"/>
        <v>650000</v>
      </c>
      <c r="G161" s="62">
        <f t="shared" si="160"/>
        <v>650000</v>
      </c>
      <c r="H161" s="62">
        <f t="shared" si="160"/>
        <v>650000</v>
      </c>
      <c r="I161" s="62">
        <f t="shared" si="160"/>
        <v>650000</v>
      </c>
      <c r="J161" s="62">
        <f t="shared" si="160"/>
        <v>650000</v>
      </c>
      <c r="K161" s="62">
        <f t="shared" si="160"/>
        <v>650000</v>
      </c>
      <c r="L161" s="62">
        <f t="shared" si="160"/>
        <v>650000</v>
      </c>
      <c r="M161" s="62">
        <f t="shared" si="160"/>
        <v>650000</v>
      </c>
      <c r="N161" s="62">
        <f t="shared" si="160"/>
        <v>650000</v>
      </c>
      <c r="O161" s="62">
        <f t="shared" si="160"/>
        <v>650000</v>
      </c>
      <c r="P161" s="62">
        <f t="shared" si="160"/>
        <v>650000</v>
      </c>
      <c r="Q161" s="62">
        <f t="shared" si="160"/>
        <v>650000</v>
      </c>
      <c r="R161" s="62">
        <f t="shared" si="160"/>
        <v>650000</v>
      </c>
      <c r="S161" s="62">
        <f t="shared" si="160"/>
        <v>650000</v>
      </c>
      <c r="T161" s="62">
        <f t="shared" si="160"/>
        <v>650000</v>
      </c>
      <c r="U161" s="62">
        <f t="shared" si="160"/>
        <v>650000</v>
      </c>
      <c r="V161" s="62">
        <f t="shared" si="160"/>
        <v>650000</v>
      </c>
      <c r="W161" s="62">
        <f t="shared" si="160"/>
        <v>650000</v>
      </c>
      <c r="X161" s="62">
        <f t="shared" si="160"/>
        <v>650000</v>
      </c>
      <c r="Y161" s="62">
        <f t="shared" si="160"/>
        <v>650000</v>
      </c>
      <c r="Z161" s="62">
        <f t="shared" si="160"/>
        <v>650000</v>
      </c>
      <c r="AA161" s="62">
        <f t="shared" si="160"/>
        <v>650000</v>
      </c>
      <c r="AB161" s="62">
        <f t="shared" si="160"/>
        <v>650000</v>
      </c>
      <c r="AC161" s="62">
        <f t="shared" si="160"/>
        <v>650000</v>
      </c>
    </row>
    <row r="162" spans="1:29" x14ac:dyDescent="0.25">
      <c r="A162" s="30" t="str">
        <f>A144</f>
        <v>Opex var (mode-fees, shunting)</v>
      </c>
      <c r="B162" s="62">
        <f>B144*B153</f>
        <v>650000</v>
      </c>
      <c r="C162" s="62">
        <f t="shared" ref="C162:AC162" si="161">C144*C153</f>
        <v>650000</v>
      </c>
      <c r="D162" s="62">
        <f t="shared" si="161"/>
        <v>650000</v>
      </c>
      <c r="E162" s="62">
        <f t="shared" si="161"/>
        <v>650000</v>
      </c>
      <c r="F162" s="62">
        <f t="shared" si="161"/>
        <v>650000</v>
      </c>
      <c r="G162" s="62">
        <f t="shared" si="161"/>
        <v>650000</v>
      </c>
      <c r="H162" s="62">
        <f t="shared" si="161"/>
        <v>650000</v>
      </c>
      <c r="I162" s="62">
        <f t="shared" si="161"/>
        <v>650000</v>
      </c>
      <c r="J162" s="62">
        <f t="shared" si="161"/>
        <v>650000</v>
      </c>
      <c r="K162" s="62">
        <f t="shared" si="161"/>
        <v>650000</v>
      </c>
      <c r="L162" s="62">
        <f t="shared" si="161"/>
        <v>650000</v>
      </c>
      <c r="M162" s="62">
        <f t="shared" si="161"/>
        <v>650000</v>
      </c>
      <c r="N162" s="62">
        <f t="shared" si="161"/>
        <v>650000</v>
      </c>
      <c r="O162" s="62">
        <f t="shared" si="161"/>
        <v>650000</v>
      </c>
      <c r="P162" s="62">
        <f t="shared" si="161"/>
        <v>650000</v>
      </c>
      <c r="Q162" s="62">
        <f t="shared" si="161"/>
        <v>650000</v>
      </c>
      <c r="R162" s="62">
        <f t="shared" si="161"/>
        <v>650000</v>
      </c>
      <c r="S162" s="62">
        <f t="shared" si="161"/>
        <v>650000</v>
      </c>
      <c r="T162" s="62">
        <f t="shared" si="161"/>
        <v>650000</v>
      </c>
      <c r="U162" s="62">
        <f t="shared" si="161"/>
        <v>650000</v>
      </c>
      <c r="V162" s="62">
        <f t="shared" si="161"/>
        <v>650000</v>
      </c>
      <c r="W162" s="62">
        <f t="shared" si="161"/>
        <v>650000</v>
      </c>
      <c r="X162" s="62">
        <f t="shared" si="161"/>
        <v>650000</v>
      </c>
      <c r="Y162" s="62">
        <f t="shared" si="161"/>
        <v>650000</v>
      </c>
      <c r="Z162" s="62">
        <f t="shared" si="161"/>
        <v>650000</v>
      </c>
      <c r="AA162" s="62">
        <f t="shared" si="161"/>
        <v>650000</v>
      </c>
      <c r="AB162" s="62">
        <f t="shared" si="161"/>
        <v>650000</v>
      </c>
      <c r="AC162" s="62">
        <f t="shared" si="161"/>
        <v>650000</v>
      </c>
    </row>
    <row r="163" spans="1:29" x14ac:dyDescent="0.25">
      <c r="A163" s="30" t="str">
        <f>A146</f>
        <v>Fuel Cost</v>
      </c>
      <c r="B163" s="62">
        <f>B145*B146*B153</f>
        <v>751111.57484136568</v>
      </c>
      <c r="C163" s="62">
        <f t="shared" ref="C163:AC163" si="162">C145*C146*C153</f>
        <v>749640.20406893163</v>
      </c>
      <c r="D163" s="62">
        <f t="shared" si="162"/>
        <v>747551.06849570631</v>
      </c>
      <c r="E163" s="62">
        <f t="shared" si="162"/>
        <v>744598.27611606359</v>
      </c>
      <c r="F163" s="62">
        <f t="shared" si="162"/>
        <v>740452.6088878325</v>
      </c>
      <c r="G163" s="62">
        <f t="shared" si="162"/>
        <v>734688.62651678594</v>
      </c>
      <c r="H163" s="62">
        <f t="shared" si="162"/>
        <v>726786.42231709033</v>
      </c>
      <c r="I163" s="62">
        <f t="shared" si="162"/>
        <v>716166.70663866785</v>
      </c>
      <c r="J163" s="62">
        <f t="shared" si="162"/>
        <v>702284.68666878145</v>
      </c>
      <c r="K163" s="62">
        <f t="shared" si="162"/>
        <v>684802.6288826263</v>
      </c>
      <c r="L163" s="62">
        <f t="shared" si="162"/>
        <v>663824.6613617877</v>
      </c>
      <c r="M163" s="62">
        <f t="shared" si="162"/>
        <v>640103.32837446698</v>
      </c>
      <c r="N163" s="62">
        <f t="shared" si="162"/>
        <v>615060.8144659329</v>
      </c>
      <c r="O163" s="62">
        <f t="shared" si="162"/>
        <v>590511.09039041016</v>
      </c>
      <c r="P163" s="62">
        <f t="shared" si="162"/>
        <v>568162.97124387894</v>
      </c>
      <c r="Q163" s="62">
        <f t="shared" si="162"/>
        <v>549170.25240269292</v>
      </c>
      <c r="R163" s="62">
        <f t="shared" si="162"/>
        <v>533960.48601413262</v>
      </c>
      <c r="S163" s="62">
        <f t="shared" si="162"/>
        <v>522354.75920205587</v>
      </c>
      <c r="T163" s="62">
        <f t="shared" si="162"/>
        <v>513823.61921454349</v>
      </c>
      <c r="U163" s="62">
        <f t="shared" si="162"/>
        <v>507723.97754061088</v>
      </c>
      <c r="V163" s="62">
        <f t="shared" si="162"/>
        <v>503449.02952013491</v>
      </c>
      <c r="W163" s="62">
        <f t="shared" si="162"/>
        <v>500494.77767914557</v>
      </c>
      <c r="X163" s="62">
        <f t="shared" si="162"/>
        <v>498473.03592834057</v>
      </c>
      <c r="Y163" s="62">
        <f t="shared" si="162"/>
        <v>497098.69195112609</v>
      </c>
      <c r="Z163" s="62">
        <f t="shared" si="162"/>
        <v>496168.68867462687</v>
      </c>
      <c r="AA163" s="62">
        <f t="shared" si="162"/>
        <v>495541.30749335821</v>
      </c>
      <c r="AB163" s="62">
        <f t="shared" si="162"/>
        <v>495118.95759869332</v>
      </c>
      <c r="AC163" s="62">
        <f t="shared" si="162"/>
        <v>494835.03304358089</v>
      </c>
    </row>
    <row r="164" spans="1:29" ht="15.75" thickBot="1" x14ac:dyDescent="0.3">
      <c r="A164" s="59" t="str">
        <f>A127</f>
        <v>Emission Cost</v>
      </c>
      <c r="B164" s="62">
        <f>B147*B153</f>
        <v>13039.654269385623</v>
      </c>
      <c r="C164" s="62">
        <f t="shared" ref="C164:AC164" si="163">C147*C153</f>
        <v>13027.237341387387</v>
      </c>
      <c r="D164" s="62">
        <f t="shared" si="163"/>
        <v>13009.462785522683</v>
      </c>
      <c r="E164" s="62">
        <f t="shared" si="163"/>
        <v>12984.035033395578</v>
      </c>
      <c r="F164" s="62">
        <f t="shared" si="163"/>
        <v>12947.693164693866</v>
      </c>
      <c r="G164" s="62">
        <f t="shared" si="163"/>
        <v>12895.825464253008</v>
      </c>
      <c r="H164" s="62">
        <f t="shared" si="163"/>
        <v>12821.953134285463</v>
      </c>
      <c r="I164" s="62">
        <f t="shared" si="163"/>
        <v>12717.065015462145</v>
      </c>
      <c r="J164" s="62">
        <f t="shared" si="163"/>
        <v>12568.815738610079</v>
      </c>
      <c r="K164" s="62">
        <f t="shared" si="163"/>
        <v>12360.676428548282</v>
      </c>
      <c r="L164" s="62">
        <f t="shared" si="163"/>
        <v>12071.287230653141</v>
      </c>
      <c r="M164" s="62">
        <f t="shared" si="163"/>
        <v>11674.545466410327</v>
      </c>
      <c r="N164" s="62">
        <f t="shared" si="163"/>
        <v>11141.367048396694</v>
      </c>
      <c r="O164" s="62">
        <f t="shared" si="163"/>
        <v>10444.399853557694</v>
      </c>
      <c r="P164" s="62">
        <f t="shared" si="163"/>
        <v>9566.6874744038923</v>
      </c>
      <c r="Q164" s="62">
        <f t="shared" si="163"/>
        <v>8513.4578141571128</v>
      </c>
      <c r="R164" s="62">
        <f t="shared" si="163"/>
        <v>7322.4934627241992</v>
      </c>
      <c r="S164" s="62">
        <f t="shared" si="163"/>
        <v>6065.1972833202499</v>
      </c>
      <c r="T164" s="62">
        <f t="shared" si="163"/>
        <v>4832.6423410204261</v>
      </c>
      <c r="U164" s="62">
        <f t="shared" si="163"/>
        <v>3710.6222066830942</v>
      </c>
      <c r="V164" s="62">
        <f t="shared" si="163"/>
        <v>2757.064871236083</v>
      </c>
      <c r="W164" s="62">
        <f t="shared" si="163"/>
        <v>1993.4362179862808</v>
      </c>
      <c r="X164" s="62">
        <f t="shared" si="163"/>
        <v>1410.7536632984488</v>
      </c>
      <c r="Y164" s="62">
        <f t="shared" si="163"/>
        <v>982.43525439445648</v>
      </c>
      <c r="Z164" s="62">
        <f t="shared" si="163"/>
        <v>676.1937883667581</v>
      </c>
      <c r="AA164" s="62">
        <f t="shared" si="163"/>
        <v>461.5637463140161</v>
      </c>
      <c r="AB164" s="62">
        <f t="shared" si="163"/>
        <v>313.24119506219733</v>
      </c>
      <c r="AC164" s="62">
        <f t="shared" si="163"/>
        <v>211.73668204434628</v>
      </c>
    </row>
    <row r="165" spans="1:29" ht="15.75" thickBot="1" x14ac:dyDescent="0.3">
      <c r="A165" s="31" t="s">
        <v>209</v>
      </c>
      <c r="B165" s="64">
        <f>B156+B157+B158+B159+B160+B161+B162+B163+B164</f>
        <v>3441177.8053894211</v>
      </c>
      <c r="C165" s="64">
        <f t="shared" ref="C165:AC165" si="164">C156+C157+C158+C159+C160+C161+C162+C163+C164</f>
        <v>3439694.0176889887</v>
      </c>
      <c r="D165" s="64">
        <f t="shared" si="164"/>
        <v>3437587.1075598984</v>
      </c>
      <c r="E165" s="64">
        <f t="shared" si="164"/>
        <v>3434608.8874281291</v>
      </c>
      <c r="F165" s="64">
        <f t="shared" si="164"/>
        <v>3430426.878331196</v>
      </c>
      <c r="G165" s="64">
        <f t="shared" si="164"/>
        <v>3424611.0282597085</v>
      </c>
      <c r="H165" s="64">
        <f t="shared" si="164"/>
        <v>3416634.9517300455</v>
      </c>
      <c r="I165" s="64">
        <f t="shared" si="164"/>
        <v>3405910.3479327997</v>
      </c>
      <c r="J165" s="64">
        <f t="shared" si="164"/>
        <v>3391880.0786860613</v>
      </c>
      <c r="K165" s="64">
        <f t="shared" si="164"/>
        <v>3374189.8815898439</v>
      </c>
      <c r="L165" s="64">
        <f t="shared" si="164"/>
        <v>3352922.5248711105</v>
      </c>
      <c r="M165" s="64">
        <f t="shared" si="164"/>
        <v>3328804.4501195471</v>
      </c>
      <c r="N165" s="64">
        <f t="shared" si="164"/>
        <v>3303228.7577929995</v>
      </c>
      <c r="O165" s="64">
        <f t="shared" si="164"/>
        <v>3277982.0665226378</v>
      </c>
      <c r="P165" s="64">
        <f t="shared" si="164"/>
        <v>3254756.2349969526</v>
      </c>
      <c r="Q165" s="64">
        <f t="shared" si="164"/>
        <v>3234710.2864955198</v>
      </c>
      <c r="R165" s="64">
        <f t="shared" si="164"/>
        <v>3218309.5557555263</v>
      </c>
      <c r="S165" s="64">
        <f t="shared" si="164"/>
        <v>3205446.5327640455</v>
      </c>
      <c r="T165" s="64">
        <f t="shared" si="164"/>
        <v>3195682.8378342339</v>
      </c>
      <c r="U165" s="64">
        <f t="shared" si="164"/>
        <v>3188461.1760259639</v>
      </c>
      <c r="V165" s="64">
        <f t="shared" si="164"/>
        <v>3183232.6706700409</v>
      </c>
      <c r="W165" s="64">
        <f t="shared" si="164"/>
        <v>3179514.7901758016</v>
      </c>
      <c r="X165" s="64">
        <f t="shared" si="164"/>
        <v>3176910.3658703091</v>
      </c>
      <c r="Y165" s="64">
        <f t="shared" si="164"/>
        <v>3175107.7034841902</v>
      </c>
      <c r="Z165" s="64">
        <f t="shared" si="164"/>
        <v>3173871.4587416635</v>
      </c>
      <c r="AA165" s="64">
        <f t="shared" si="164"/>
        <v>3173029.4475183422</v>
      </c>
      <c r="AB165" s="64">
        <f t="shared" si="164"/>
        <v>3172458.7750724251</v>
      </c>
      <c r="AC165" s="64">
        <f t="shared" si="164"/>
        <v>3172073.3460042952</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65">A156</f>
        <v>Capex vehicle</v>
      </c>
      <c r="B168" s="65">
        <f>((1+B141)^B148)*B141/(((1+B141)^B148)-1)*(B137)/B153</f>
        <v>2.4421444531330927</v>
      </c>
      <c r="C168" s="65">
        <f t="shared" ref="C168:AC168" si="166">((1+C141)^C148)*C141/(((1+C141)^C148)-1)*(C137)/C153</f>
        <v>2.4421444531330927</v>
      </c>
      <c r="D168" s="65">
        <f t="shared" si="166"/>
        <v>2.4421444531330927</v>
      </c>
      <c r="E168" s="65">
        <f t="shared" si="166"/>
        <v>2.4421444531330927</v>
      </c>
      <c r="F168" s="65">
        <f t="shared" si="166"/>
        <v>2.4421444531330927</v>
      </c>
      <c r="G168" s="65">
        <f t="shared" si="166"/>
        <v>2.4421444531330927</v>
      </c>
      <c r="H168" s="65">
        <f t="shared" si="166"/>
        <v>2.4421444531330927</v>
      </c>
      <c r="I168" s="65">
        <f t="shared" si="166"/>
        <v>2.4421444531330927</v>
      </c>
      <c r="J168" s="65">
        <f t="shared" si="166"/>
        <v>2.4421444531330927</v>
      </c>
      <c r="K168" s="65">
        <f t="shared" si="166"/>
        <v>2.4421444531330927</v>
      </c>
      <c r="L168" s="65">
        <f t="shared" si="166"/>
        <v>2.4421444531330927</v>
      </c>
      <c r="M168" s="65">
        <f t="shared" si="166"/>
        <v>2.4421444531330927</v>
      </c>
      <c r="N168" s="65">
        <f t="shared" si="166"/>
        <v>2.4421444531330927</v>
      </c>
      <c r="O168" s="65">
        <f t="shared" si="166"/>
        <v>2.4421444531330927</v>
      </c>
      <c r="P168" s="65">
        <f t="shared" si="166"/>
        <v>2.4421444531330927</v>
      </c>
      <c r="Q168" s="65">
        <f t="shared" si="166"/>
        <v>2.4421444531330927</v>
      </c>
      <c r="R168" s="65">
        <f t="shared" si="166"/>
        <v>2.4421444531330927</v>
      </c>
      <c r="S168" s="65">
        <f t="shared" si="166"/>
        <v>2.4421444531330927</v>
      </c>
      <c r="T168" s="65">
        <f t="shared" si="166"/>
        <v>2.4421444531330927</v>
      </c>
      <c r="U168" s="65">
        <f t="shared" si="166"/>
        <v>2.4421444531330927</v>
      </c>
      <c r="V168" s="65">
        <f t="shared" si="166"/>
        <v>2.4421444531330927</v>
      </c>
      <c r="W168" s="65">
        <f t="shared" si="166"/>
        <v>2.4421444531330927</v>
      </c>
      <c r="X168" s="65">
        <f t="shared" si="166"/>
        <v>2.4421444531330927</v>
      </c>
      <c r="Y168" s="65">
        <f t="shared" si="166"/>
        <v>2.4421444531330927</v>
      </c>
      <c r="Z168" s="65">
        <f t="shared" si="166"/>
        <v>2.4421444531330927</v>
      </c>
      <c r="AA168" s="65">
        <f t="shared" si="166"/>
        <v>2.4421444531330927</v>
      </c>
      <c r="AB168" s="65">
        <f t="shared" si="166"/>
        <v>2.4421444531330927</v>
      </c>
      <c r="AC168" s="65">
        <f t="shared" si="166"/>
        <v>2.4421444531330927</v>
      </c>
    </row>
    <row r="169" spans="1:29" x14ac:dyDescent="0.25">
      <c r="A169" s="30" t="str">
        <f t="shared" si="165"/>
        <v>Residual value (vehicle)</v>
      </c>
      <c r="B169" s="66">
        <f>((1+B141)^B148)*B141/(((1+B141)^B148)-1)*(B138)/B153</f>
        <v>-0.3663216679699639</v>
      </c>
      <c r="C169" s="66">
        <f t="shared" ref="C169:AC169" si="167">((1+C141)^C148)*C141/(((1+C141)^C148)-1)*(C138)/C153</f>
        <v>-0.3663216679699639</v>
      </c>
      <c r="D169" s="66">
        <f t="shared" si="167"/>
        <v>-0.3663216679699639</v>
      </c>
      <c r="E169" s="66">
        <f t="shared" si="167"/>
        <v>-0.3663216679699639</v>
      </c>
      <c r="F169" s="66">
        <f t="shared" si="167"/>
        <v>-0.3663216679699639</v>
      </c>
      <c r="G169" s="66">
        <f t="shared" si="167"/>
        <v>-0.3663216679699639</v>
      </c>
      <c r="H169" s="66">
        <f t="shared" si="167"/>
        <v>-0.3663216679699639</v>
      </c>
      <c r="I169" s="66">
        <f t="shared" si="167"/>
        <v>-0.3663216679699639</v>
      </c>
      <c r="J169" s="66">
        <f t="shared" si="167"/>
        <v>-0.3663216679699639</v>
      </c>
      <c r="K169" s="66">
        <f t="shared" si="167"/>
        <v>-0.3663216679699639</v>
      </c>
      <c r="L169" s="66">
        <f t="shared" si="167"/>
        <v>-0.3663216679699639</v>
      </c>
      <c r="M169" s="66">
        <f t="shared" si="167"/>
        <v>-0.3663216679699639</v>
      </c>
      <c r="N169" s="66">
        <f t="shared" si="167"/>
        <v>-0.3663216679699639</v>
      </c>
      <c r="O169" s="66">
        <f t="shared" si="167"/>
        <v>-0.3663216679699639</v>
      </c>
      <c r="P169" s="66">
        <f t="shared" si="167"/>
        <v>-0.3663216679699639</v>
      </c>
      <c r="Q169" s="66">
        <f t="shared" si="167"/>
        <v>-0.3663216679699639</v>
      </c>
      <c r="R169" s="66">
        <f t="shared" si="167"/>
        <v>-0.3663216679699639</v>
      </c>
      <c r="S169" s="66">
        <f t="shared" si="167"/>
        <v>-0.3663216679699639</v>
      </c>
      <c r="T169" s="66">
        <f t="shared" si="167"/>
        <v>-0.3663216679699639</v>
      </c>
      <c r="U169" s="66">
        <f t="shared" si="167"/>
        <v>-0.3663216679699639</v>
      </c>
      <c r="V169" s="66">
        <f t="shared" si="167"/>
        <v>-0.3663216679699639</v>
      </c>
      <c r="W169" s="66">
        <f t="shared" si="167"/>
        <v>-0.3663216679699639</v>
      </c>
      <c r="X169" s="66">
        <f t="shared" si="167"/>
        <v>-0.3663216679699639</v>
      </c>
      <c r="Y169" s="66">
        <f t="shared" si="167"/>
        <v>-0.3663216679699639</v>
      </c>
      <c r="Z169" s="66">
        <f t="shared" si="167"/>
        <v>-0.3663216679699639</v>
      </c>
      <c r="AA169" s="66">
        <f t="shared" si="167"/>
        <v>-0.3663216679699639</v>
      </c>
      <c r="AB169" s="66">
        <f t="shared" si="167"/>
        <v>-0.3663216679699639</v>
      </c>
      <c r="AC169" s="66">
        <f t="shared" si="167"/>
        <v>-0.3663216679699639</v>
      </c>
    </row>
    <row r="170" spans="1:29" x14ac:dyDescent="0.25">
      <c r="A170" s="30" t="str">
        <f t="shared" si="165"/>
        <v>Capex costumization</v>
      </c>
      <c r="B170" s="66">
        <f>((1+B141)^B149)*B141/(((1+B141)^B149)-1)*(B139)/B153</f>
        <v>2.2791815369426573</v>
      </c>
      <c r="C170" s="66">
        <f t="shared" ref="C170:AC170" si="168">((1+C141)^C149)*C141/(((1+C141)^C149)-1)*(C139)/C153</f>
        <v>2.2791815369426573</v>
      </c>
      <c r="D170" s="66">
        <f t="shared" si="168"/>
        <v>2.2791815369426573</v>
      </c>
      <c r="E170" s="66">
        <f t="shared" si="168"/>
        <v>2.2791815369426573</v>
      </c>
      <c r="F170" s="66">
        <f t="shared" si="168"/>
        <v>2.2791815369426573</v>
      </c>
      <c r="G170" s="66">
        <f t="shared" si="168"/>
        <v>2.2791815369426573</v>
      </c>
      <c r="H170" s="66">
        <f t="shared" si="168"/>
        <v>2.2791815369426573</v>
      </c>
      <c r="I170" s="66">
        <f t="shared" si="168"/>
        <v>2.2791815369426573</v>
      </c>
      <c r="J170" s="66">
        <f t="shared" si="168"/>
        <v>2.2791815369426573</v>
      </c>
      <c r="K170" s="66">
        <f t="shared" si="168"/>
        <v>2.2791815369426573</v>
      </c>
      <c r="L170" s="66">
        <f t="shared" si="168"/>
        <v>2.2791815369426573</v>
      </c>
      <c r="M170" s="66">
        <f t="shared" si="168"/>
        <v>2.2791815369426573</v>
      </c>
      <c r="N170" s="66">
        <f t="shared" si="168"/>
        <v>2.2791815369426573</v>
      </c>
      <c r="O170" s="66">
        <f t="shared" si="168"/>
        <v>2.2791815369426573</v>
      </c>
      <c r="P170" s="66">
        <f t="shared" si="168"/>
        <v>2.2791815369426573</v>
      </c>
      <c r="Q170" s="66">
        <f t="shared" si="168"/>
        <v>2.2791815369426573</v>
      </c>
      <c r="R170" s="66">
        <f t="shared" si="168"/>
        <v>2.2791815369426573</v>
      </c>
      <c r="S170" s="66">
        <f t="shared" si="168"/>
        <v>2.2791815369426573</v>
      </c>
      <c r="T170" s="66">
        <f t="shared" si="168"/>
        <v>2.2791815369426573</v>
      </c>
      <c r="U170" s="66">
        <f t="shared" si="168"/>
        <v>2.2791815369426573</v>
      </c>
      <c r="V170" s="66">
        <f t="shared" si="168"/>
        <v>2.2791815369426573</v>
      </c>
      <c r="W170" s="66">
        <f t="shared" si="168"/>
        <v>2.2791815369426573</v>
      </c>
      <c r="X170" s="66">
        <f t="shared" si="168"/>
        <v>2.2791815369426573</v>
      </c>
      <c r="Y170" s="66">
        <f t="shared" si="168"/>
        <v>2.2791815369426573</v>
      </c>
      <c r="Z170" s="66">
        <f t="shared" si="168"/>
        <v>2.2791815369426573</v>
      </c>
      <c r="AA170" s="66">
        <f t="shared" si="168"/>
        <v>2.2791815369426573</v>
      </c>
      <c r="AB170" s="66">
        <f t="shared" si="168"/>
        <v>2.2791815369426573</v>
      </c>
      <c r="AC170" s="66">
        <f t="shared" si="168"/>
        <v>2.2791815369426573</v>
      </c>
    </row>
    <row r="171" spans="1:29" x14ac:dyDescent="0.25">
      <c r="A171" s="30" t="str">
        <f t="shared" si="165"/>
        <v>Residual value (costumization)</v>
      </c>
      <c r="B171" s="66">
        <f>((1+B141)^B149)*B141/(((1+B141)^B149)-1)*(B140)/B153</f>
        <v>-0.11395907684713286</v>
      </c>
      <c r="C171" s="66">
        <f t="shared" ref="C171:AC171" si="169">((1+C141)^C149)*C141/(((1+C141)^C149)-1)*(C140)/C153</f>
        <v>-0.11395907684713286</v>
      </c>
      <c r="D171" s="66">
        <f t="shared" si="169"/>
        <v>-0.11395907684713286</v>
      </c>
      <c r="E171" s="66">
        <f t="shared" si="169"/>
        <v>-0.11395907684713286</v>
      </c>
      <c r="F171" s="66">
        <f t="shared" si="169"/>
        <v>-0.11395907684713286</v>
      </c>
      <c r="G171" s="66">
        <f t="shared" si="169"/>
        <v>-0.11395907684713286</v>
      </c>
      <c r="H171" s="66">
        <f t="shared" si="169"/>
        <v>-0.11395907684713286</v>
      </c>
      <c r="I171" s="66">
        <f t="shared" si="169"/>
        <v>-0.11395907684713286</v>
      </c>
      <c r="J171" s="66">
        <f t="shared" si="169"/>
        <v>-0.11395907684713286</v>
      </c>
      <c r="K171" s="66">
        <f t="shared" si="169"/>
        <v>-0.11395907684713286</v>
      </c>
      <c r="L171" s="66">
        <f t="shared" si="169"/>
        <v>-0.11395907684713286</v>
      </c>
      <c r="M171" s="66">
        <f t="shared" si="169"/>
        <v>-0.11395907684713286</v>
      </c>
      <c r="N171" s="66">
        <f t="shared" si="169"/>
        <v>-0.11395907684713286</v>
      </c>
      <c r="O171" s="66">
        <f t="shared" si="169"/>
        <v>-0.11395907684713286</v>
      </c>
      <c r="P171" s="66">
        <f t="shared" si="169"/>
        <v>-0.11395907684713286</v>
      </c>
      <c r="Q171" s="66">
        <f t="shared" si="169"/>
        <v>-0.11395907684713286</v>
      </c>
      <c r="R171" s="66">
        <f t="shared" si="169"/>
        <v>-0.11395907684713286</v>
      </c>
      <c r="S171" s="66">
        <f t="shared" si="169"/>
        <v>-0.11395907684713286</v>
      </c>
      <c r="T171" s="66">
        <f t="shared" si="169"/>
        <v>-0.11395907684713286</v>
      </c>
      <c r="U171" s="66">
        <f t="shared" si="169"/>
        <v>-0.11395907684713286</v>
      </c>
      <c r="V171" s="66">
        <f t="shared" si="169"/>
        <v>-0.11395907684713286</v>
      </c>
      <c r="W171" s="66">
        <f t="shared" si="169"/>
        <v>-0.11395907684713286</v>
      </c>
      <c r="X171" s="66">
        <f t="shared" si="169"/>
        <v>-0.11395907684713286</v>
      </c>
      <c r="Y171" s="66">
        <f t="shared" si="169"/>
        <v>-0.11395907684713286</v>
      </c>
      <c r="Z171" s="66">
        <f t="shared" si="169"/>
        <v>-0.11395907684713286</v>
      </c>
      <c r="AA171" s="66">
        <f t="shared" si="169"/>
        <v>-0.11395907684713286</v>
      </c>
      <c r="AB171" s="66">
        <f t="shared" si="169"/>
        <v>-0.11395907684713286</v>
      </c>
      <c r="AC171" s="66">
        <f t="shared" si="169"/>
        <v>-0.11395907684713286</v>
      </c>
    </row>
    <row r="172" spans="1:29" x14ac:dyDescent="0.25">
      <c r="A172" s="30" t="str">
        <f t="shared" si="165"/>
        <v>Opex fix (admin, crew, insurance)</v>
      </c>
      <c r="B172" s="66">
        <f>B142/B153</f>
        <v>3.473389355742297</v>
      </c>
      <c r="C172" s="66">
        <f t="shared" ref="C172:AC172" si="170">C142/C153</f>
        <v>3.473389355742297</v>
      </c>
      <c r="D172" s="66">
        <f t="shared" si="170"/>
        <v>3.473389355742297</v>
      </c>
      <c r="E172" s="66">
        <f t="shared" si="170"/>
        <v>3.473389355742297</v>
      </c>
      <c r="F172" s="66">
        <f t="shared" si="170"/>
        <v>3.473389355742297</v>
      </c>
      <c r="G172" s="66">
        <f t="shared" si="170"/>
        <v>3.473389355742297</v>
      </c>
      <c r="H172" s="66">
        <f t="shared" si="170"/>
        <v>3.473389355742297</v>
      </c>
      <c r="I172" s="66">
        <f t="shared" si="170"/>
        <v>3.473389355742297</v>
      </c>
      <c r="J172" s="66">
        <f t="shared" si="170"/>
        <v>3.473389355742297</v>
      </c>
      <c r="K172" s="66">
        <f t="shared" si="170"/>
        <v>3.473389355742297</v>
      </c>
      <c r="L172" s="66">
        <f t="shared" si="170"/>
        <v>3.473389355742297</v>
      </c>
      <c r="M172" s="66">
        <f t="shared" si="170"/>
        <v>3.473389355742297</v>
      </c>
      <c r="N172" s="66">
        <f t="shared" si="170"/>
        <v>3.473389355742297</v>
      </c>
      <c r="O172" s="66">
        <f t="shared" si="170"/>
        <v>3.473389355742297</v>
      </c>
      <c r="P172" s="66">
        <f t="shared" si="170"/>
        <v>3.473389355742297</v>
      </c>
      <c r="Q172" s="66">
        <f t="shared" si="170"/>
        <v>3.473389355742297</v>
      </c>
      <c r="R172" s="66">
        <f t="shared" si="170"/>
        <v>3.473389355742297</v>
      </c>
      <c r="S172" s="66">
        <f t="shared" si="170"/>
        <v>3.473389355742297</v>
      </c>
      <c r="T172" s="66">
        <f t="shared" si="170"/>
        <v>3.473389355742297</v>
      </c>
      <c r="U172" s="66">
        <f t="shared" si="170"/>
        <v>3.473389355742297</v>
      </c>
      <c r="V172" s="66">
        <f t="shared" si="170"/>
        <v>3.473389355742297</v>
      </c>
      <c r="W172" s="66">
        <f t="shared" si="170"/>
        <v>3.473389355742297</v>
      </c>
      <c r="X172" s="66">
        <f t="shared" si="170"/>
        <v>3.473389355742297</v>
      </c>
      <c r="Y172" s="66">
        <f t="shared" si="170"/>
        <v>3.473389355742297</v>
      </c>
      <c r="Z172" s="66">
        <f t="shared" si="170"/>
        <v>3.473389355742297</v>
      </c>
      <c r="AA172" s="66">
        <f t="shared" si="170"/>
        <v>3.473389355742297</v>
      </c>
      <c r="AB172" s="66">
        <f t="shared" si="170"/>
        <v>3.473389355742297</v>
      </c>
      <c r="AC172" s="66">
        <f t="shared" si="170"/>
        <v>3.473389355742297</v>
      </c>
    </row>
    <row r="173" spans="1:29" x14ac:dyDescent="0.25">
      <c r="A173" s="30" t="str">
        <f t="shared" si="165"/>
        <v>Opex maintenance &amp; repair</v>
      </c>
      <c r="B173" s="66">
        <f>B143/B153</f>
        <v>3.6414565826330532</v>
      </c>
      <c r="C173" s="66">
        <f t="shared" ref="C173:AC173" si="171">C143/C153</f>
        <v>3.6414565826330532</v>
      </c>
      <c r="D173" s="66">
        <f t="shared" si="171"/>
        <v>3.6414565826330532</v>
      </c>
      <c r="E173" s="66">
        <f t="shared" si="171"/>
        <v>3.6414565826330532</v>
      </c>
      <c r="F173" s="66">
        <f t="shared" si="171"/>
        <v>3.6414565826330532</v>
      </c>
      <c r="G173" s="66">
        <f t="shared" si="171"/>
        <v>3.6414565826330532</v>
      </c>
      <c r="H173" s="66">
        <f t="shared" si="171"/>
        <v>3.6414565826330532</v>
      </c>
      <c r="I173" s="66">
        <f t="shared" si="171"/>
        <v>3.6414565826330532</v>
      </c>
      <c r="J173" s="66">
        <f t="shared" si="171"/>
        <v>3.6414565826330532</v>
      </c>
      <c r="K173" s="66">
        <f t="shared" si="171"/>
        <v>3.6414565826330532</v>
      </c>
      <c r="L173" s="66">
        <f t="shared" si="171"/>
        <v>3.6414565826330532</v>
      </c>
      <c r="M173" s="66">
        <f t="shared" si="171"/>
        <v>3.6414565826330532</v>
      </c>
      <c r="N173" s="66">
        <f t="shared" si="171"/>
        <v>3.6414565826330532</v>
      </c>
      <c r="O173" s="66">
        <f t="shared" si="171"/>
        <v>3.6414565826330532</v>
      </c>
      <c r="P173" s="66">
        <f t="shared" si="171"/>
        <v>3.6414565826330532</v>
      </c>
      <c r="Q173" s="66">
        <f t="shared" si="171"/>
        <v>3.6414565826330532</v>
      </c>
      <c r="R173" s="66">
        <f t="shared" si="171"/>
        <v>3.6414565826330532</v>
      </c>
      <c r="S173" s="66">
        <f t="shared" si="171"/>
        <v>3.6414565826330532</v>
      </c>
      <c r="T173" s="66">
        <f t="shared" si="171"/>
        <v>3.6414565826330532</v>
      </c>
      <c r="U173" s="66">
        <f t="shared" si="171"/>
        <v>3.6414565826330532</v>
      </c>
      <c r="V173" s="66">
        <f t="shared" si="171"/>
        <v>3.6414565826330532</v>
      </c>
      <c r="W173" s="66">
        <f t="shared" si="171"/>
        <v>3.6414565826330532</v>
      </c>
      <c r="X173" s="66">
        <f t="shared" si="171"/>
        <v>3.6414565826330532</v>
      </c>
      <c r="Y173" s="66">
        <f t="shared" si="171"/>
        <v>3.6414565826330532</v>
      </c>
      <c r="Z173" s="66">
        <f t="shared" si="171"/>
        <v>3.6414565826330532</v>
      </c>
      <c r="AA173" s="66">
        <f t="shared" si="171"/>
        <v>3.6414565826330532</v>
      </c>
      <c r="AB173" s="66">
        <f t="shared" si="171"/>
        <v>3.6414565826330532</v>
      </c>
      <c r="AC173" s="66">
        <f t="shared" si="171"/>
        <v>3.6414565826330532</v>
      </c>
    </row>
    <row r="174" spans="1:29" x14ac:dyDescent="0.25">
      <c r="A174" s="30" t="str">
        <f t="shared" si="165"/>
        <v>Opex var (mode-fees, shunting)</v>
      </c>
      <c r="B174" s="66">
        <f>B144*B153/B153</f>
        <v>3.6414565826330532</v>
      </c>
      <c r="C174" s="66">
        <f t="shared" ref="C174:AC174" si="172">C144*C153/C153</f>
        <v>3.6414565826330532</v>
      </c>
      <c r="D174" s="66">
        <f t="shared" si="172"/>
        <v>3.6414565826330532</v>
      </c>
      <c r="E174" s="66">
        <f t="shared" si="172"/>
        <v>3.6414565826330532</v>
      </c>
      <c r="F174" s="66">
        <f t="shared" si="172"/>
        <v>3.6414565826330532</v>
      </c>
      <c r="G174" s="66">
        <f t="shared" si="172"/>
        <v>3.6414565826330532</v>
      </c>
      <c r="H174" s="66">
        <f t="shared" si="172"/>
        <v>3.6414565826330532</v>
      </c>
      <c r="I174" s="66">
        <f t="shared" si="172"/>
        <v>3.6414565826330532</v>
      </c>
      <c r="J174" s="66">
        <f t="shared" si="172"/>
        <v>3.6414565826330532</v>
      </c>
      <c r="K174" s="66">
        <f t="shared" si="172"/>
        <v>3.6414565826330532</v>
      </c>
      <c r="L174" s="66">
        <f t="shared" si="172"/>
        <v>3.6414565826330532</v>
      </c>
      <c r="M174" s="66">
        <f t="shared" si="172"/>
        <v>3.6414565826330532</v>
      </c>
      <c r="N174" s="66">
        <f t="shared" si="172"/>
        <v>3.6414565826330532</v>
      </c>
      <c r="O174" s="66">
        <f t="shared" si="172"/>
        <v>3.6414565826330532</v>
      </c>
      <c r="P174" s="66">
        <f t="shared" si="172"/>
        <v>3.6414565826330532</v>
      </c>
      <c r="Q174" s="66">
        <f t="shared" si="172"/>
        <v>3.6414565826330532</v>
      </c>
      <c r="R174" s="66">
        <f t="shared" si="172"/>
        <v>3.6414565826330532</v>
      </c>
      <c r="S174" s="66">
        <f t="shared" si="172"/>
        <v>3.6414565826330532</v>
      </c>
      <c r="T174" s="66">
        <f t="shared" si="172"/>
        <v>3.6414565826330532</v>
      </c>
      <c r="U174" s="66">
        <f t="shared" si="172"/>
        <v>3.6414565826330532</v>
      </c>
      <c r="V174" s="66">
        <f t="shared" si="172"/>
        <v>3.6414565826330532</v>
      </c>
      <c r="W174" s="66">
        <f t="shared" si="172"/>
        <v>3.6414565826330532</v>
      </c>
      <c r="X174" s="66">
        <f t="shared" si="172"/>
        <v>3.6414565826330532</v>
      </c>
      <c r="Y174" s="66">
        <f t="shared" si="172"/>
        <v>3.6414565826330532</v>
      </c>
      <c r="Z174" s="66">
        <f t="shared" si="172"/>
        <v>3.6414565826330532</v>
      </c>
      <c r="AA174" s="66">
        <f t="shared" si="172"/>
        <v>3.6414565826330532</v>
      </c>
      <c r="AB174" s="66">
        <f t="shared" si="172"/>
        <v>3.6414565826330532</v>
      </c>
      <c r="AC174" s="66">
        <f t="shared" si="172"/>
        <v>3.6414565826330532</v>
      </c>
    </row>
    <row r="175" spans="1:29" x14ac:dyDescent="0.25">
      <c r="A175" s="30" t="str">
        <f t="shared" si="165"/>
        <v>Fuel Cost</v>
      </c>
      <c r="B175" s="66">
        <f>B145*B146*B153/B153</f>
        <v>4.2079079823045697</v>
      </c>
      <c r="C175" s="66">
        <f t="shared" ref="C175:AC175" si="173">C145*C146*C153/C153</f>
        <v>4.1996650087895331</v>
      </c>
      <c r="D175" s="66">
        <f t="shared" si="173"/>
        <v>4.1879611680431728</v>
      </c>
      <c r="E175" s="66">
        <f t="shared" si="173"/>
        <v>4.171418913815482</v>
      </c>
      <c r="F175" s="66">
        <f t="shared" si="173"/>
        <v>4.1481938873267925</v>
      </c>
      <c r="G175" s="66">
        <f t="shared" si="173"/>
        <v>4.1159026695618257</v>
      </c>
      <c r="H175" s="66">
        <f t="shared" si="173"/>
        <v>4.0716326180229148</v>
      </c>
      <c r="I175" s="66">
        <f t="shared" si="173"/>
        <v>4.0121384125415567</v>
      </c>
      <c r="J175" s="66">
        <f t="shared" si="173"/>
        <v>3.9343679925421928</v>
      </c>
      <c r="K175" s="66">
        <f t="shared" si="173"/>
        <v>3.8364292934600912</v>
      </c>
      <c r="L175" s="66">
        <f t="shared" si="173"/>
        <v>3.7189056658923683</v>
      </c>
      <c r="M175" s="66">
        <f t="shared" si="173"/>
        <v>3.5860130441146607</v>
      </c>
      <c r="N175" s="66">
        <f t="shared" si="173"/>
        <v>3.4457188485486436</v>
      </c>
      <c r="O175" s="66">
        <f t="shared" si="173"/>
        <v>3.3081853803384322</v>
      </c>
      <c r="P175" s="66">
        <f t="shared" si="173"/>
        <v>3.1829858332990417</v>
      </c>
      <c r="Q175" s="66">
        <f t="shared" si="173"/>
        <v>3.0765840470739101</v>
      </c>
      <c r="R175" s="66">
        <f t="shared" si="173"/>
        <v>2.9913752717878577</v>
      </c>
      <c r="S175" s="66">
        <f t="shared" si="173"/>
        <v>2.9263571944092766</v>
      </c>
      <c r="T175" s="66">
        <f t="shared" si="173"/>
        <v>2.8785636930786751</v>
      </c>
      <c r="U175" s="66">
        <f t="shared" si="173"/>
        <v>2.844392031039837</v>
      </c>
      <c r="V175" s="66">
        <f t="shared" si="173"/>
        <v>2.8204427424097194</v>
      </c>
      <c r="W175" s="66">
        <f t="shared" si="173"/>
        <v>2.8038923119279864</v>
      </c>
      <c r="X175" s="66">
        <f t="shared" si="173"/>
        <v>2.7925660276097513</v>
      </c>
      <c r="Y175" s="66">
        <f t="shared" si="173"/>
        <v>2.784866621574936</v>
      </c>
      <c r="Z175" s="66">
        <f t="shared" si="173"/>
        <v>2.7796565191855849</v>
      </c>
      <c r="AA175" s="66">
        <f t="shared" si="173"/>
        <v>2.7761417786742757</v>
      </c>
      <c r="AB175" s="66">
        <f t="shared" si="173"/>
        <v>2.7737756728218113</v>
      </c>
      <c r="AC175" s="66">
        <f t="shared" si="173"/>
        <v>2.77218505906768</v>
      </c>
    </row>
    <row r="176" spans="1:29" ht="15.75" thickBot="1" x14ac:dyDescent="0.3">
      <c r="A176" s="59" t="str">
        <f t="shared" ref="A176" si="174">A164</f>
        <v>Emission Cost</v>
      </c>
      <c r="B176" s="66">
        <f>B147</f>
        <v>7.3051284422328416E-2</v>
      </c>
      <c r="C176" s="66">
        <f t="shared" ref="C176:AC176" si="175">C147</f>
        <v>7.2981721800489563E-2</v>
      </c>
      <c r="D176" s="66">
        <f t="shared" si="175"/>
        <v>7.2882144456709708E-2</v>
      </c>
      <c r="E176" s="66">
        <f t="shared" si="175"/>
        <v>7.2739692063840775E-2</v>
      </c>
      <c r="F176" s="66">
        <f t="shared" si="175"/>
        <v>7.2536096160749949E-2</v>
      </c>
      <c r="G176" s="66">
        <f t="shared" si="175"/>
        <v>7.2245520808140104E-2</v>
      </c>
      <c r="H176" s="66">
        <f t="shared" si="175"/>
        <v>7.183167022008663E-2</v>
      </c>
      <c r="I176" s="66">
        <f t="shared" si="175"/>
        <v>7.1244061711272524E-2</v>
      </c>
      <c r="J176" s="66">
        <f t="shared" si="175"/>
        <v>7.0413533549636295E-2</v>
      </c>
      <c r="K176" s="66">
        <f t="shared" si="175"/>
        <v>6.9247486994668248E-2</v>
      </c>
      <c r="L176" s="66">
        <f t="shared" si="175"/>
        <v>6.7626258995255692E-2</v>
      </c>
      <c r="M176" s="66">
        <f t="shared" si="175"/>
        <v>6.5403616058321165E-2</v>
      </c>
      <c r="N176" s="66">
        <f t="shared" si="175"/>
        <v>6.2416622119869432E-2</v>
      </c>
      <c r="O176" s="66">
        <f t="shared" si="175"/>
        <v>5.8512043997522092E-2</v>
      </c>
      <c r="P176" s="66">
        <f t="shared" si="175"/>
        <v>5.3594887811786507E-2</v>
      </c>
      <c r="Q176" s="66">
        <f t="shared" si="175"/>
        <v>4.7694441535894194E-2</v>
      </c>
      <c r="R176" s="66">
        <f t="shared" si="175"/>
        <v>4.1022372340191592E-2</v>
      </c>
      <c r="S176" s="66">
        <f t="shared" si="175"/>
        <v>3.3978696265099438E-2</v>
      </c>
      <c r="T176" s="66">
        <f t="shared" si="175"/>
        <v>2.7073626560338522E-2</v>
      </c>
      <c r="U176" s="66">
        <f t="shared" si="175"/>
        <v>2.0787799477216214E-2</v>
      </c>
      <c r="V176" s="66">
        <f t="shared" si="175"/>
        <v>1.5445741575552285E-2</v>
      </c>
      <c r="W176" s="66">
        <f t="shared" si="175"/>
        <v>1.1167709904685047E-2</v>
      </c>
      <c r="X176" s="66">
        <f t="shared" si="175"/>
        <v>7.903381867218201E-3</v>
      </c>
      <c r="Y176" s="66">
        <f t="shared" si="175"/>
        <v>5.5038389601930332E-3</v>
      </c>
      <c r="Z176" s="66">
        <f t="shared" si="175"/>
        <v>3.7882004950518661E-3</v>
      </c>
      <c r="AA176" s="66">
        <f t="shared" si="175"/>
        <v>2.5857912958768409E-3</v>
      </c>
      <c r="AB176" s="66">
        <f t="shared" si="175"/>
        <v>1.7548526334016656E-3</v>
      </c>
      <c r="AC176" s="66">
        <f t="shared" si="175"/>
        <v>1.1861998994081024E-3</v>
      </c>
    </row>
    <row r="177" spans="1:29" ht="15.75" thickBot="1" x14ac:dyDescent="0.3">
      <c r="A177" s="31" t="s">
        <v>63</v>
      </c>
      <c r="B177" s="76">
        <f>B168+B169+B170-B171+B172+B173+B174+B175+B176</f>
        <v>19.506225186688219</v>
      </c>
      <c r="C177" s="76">
        <f t="shared" ref="C177:AC177" si="176">C168+C169+C170-C171+C172+C173+C174+C175+C176</f>
        <v>19.497912650551342</v>
      </c>
      <c r="D177" s="76">
        <f t="shared" si="176"/>
        <v>19.486109232461203</v>
      </c>
      <c r="E177" s="76">
        <f t="shared" si="176"/>
        <v>19.469424525840644</v>
      </c>
      <c r="F177" s="76">
        <f t="shared" si="176"/>
        <v>19.445995903448864</v>
      </c>
      <c r="G177" s="76">
        <f t="shared" si="176"/>
        <v>19.413414110331285</v>
      </c>
      <c r="H177" s="76">
        <f t="shared" si="176"/>
        <v>19.368730208204322</v>
      </c>
      <c r="I177" s="76">
        <f t="shared" si="176"/>
        <v>19.308648394214149</v>
      </c>
      <c r="J177" s="76">
        <f t="shared" si="176"/>
        <v>19.230047446053153</v>
      </c>
      <c r="K177" s="76">
        <f t="shared" si="176"/>
        <v>19.130942700416082</v>
      </c>
      <c r="L177" s="76">
        <f t="shared" si="176"/>
        <v>19.011797844848942</v>
      </c>
      <c r="M177" s="76">
        <f t="shared" si="176"/>
        <v>18.876682580134304</v>
      </c>
      <c r="N177" s="76">
        <f t="shared" si="176"/>
        <v>18.733401390629833</v>
      </c>
      <c r="O177" s="76">
        <f t="shared" si="176"/>
        <v>18.591963344297273</v>
      </c>
      <c r="P177" s="76">
        <f t="shared" si="176"/>
        <v>18.46184664107215</v>
      </c>
      <c r="Q177" s="76">
        <f t="shared" si="176"/>
        <v>18.349544408571127</v>
      </c>
      <c r="R177" s="76">
        <f t="shared" si="176"/>
        <v>18.25766356408937</v>
      </c>
      <c r="S177" s="76">
        <f t="shared" si="176"/>
        <v>18.185601810635696</v>
      </c>
      <c r="T177" s="76">
        <f t="shared" si="176"/>
        <v>18.130903239600336</v>
      </c>
      <c r="U177" s="76">
        <f t="shared" si="176"/>
        <v>18.090445750478374</v>
      </c>
      <c r="V177" s="76">
        <f t="shared" si="176"/>
        <v>18.061154403946592</v>
      </c>
      <c r="W177" s="76">
        <f t="shared" si="176"/>
        <v>18.040325941793995</v>
      </c>
      <c r="X177" s="76">
        <f t="shared" si="176"/>
        <v>18.025735329438291</v>
      </c>
      <c r="Y177" s="76">
        <f t="shared" si="176"/>
        <v>18.015636380496453</v>
      </c>
      <c r="Z177" s="76">
        <f t="shared" si="176"/>
        <v>18.008710639641958</v>
      </c>
      <c r="AA177" s="76">
        <f t="shared" si="176"/>
        <v>18.003993489931474</v>
      </c>
      <c r="AB177" s="76">
        <f t="shared" si="176"/>
        <v>18.000796445416533</v>
      </c>
      <c r="AC177" s="76">
        <f t="shared" si="176"/>
        <v>17.998637178928409</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77">A156</f>
        <v>Capex vehicle</v>
      </c>
      <c r="B180" s="65">
        <f>((1+B141)^B148)*B141/(((1+B141)^B148)-1)*(B137)/B153/(B150)</f>
        <v>1.0902430594344164E-3</v>
      </c>
      <c r="C180" s="65">
        <f t="shared" ref="C180:AC180" si="178">((1+C141)^C148)*C141/(((1+C141)^C148)-1)*(C137)/C153/(C150)</f>
        <v>1.0902430594344164E-3</v>
      </c>
      <c r="D180" s="65">
        <f t="shared" si="178"/>
        <v>1.0902430594344164E-3</v>
      </c>
      <c r="E180" s="65">
        <f t="shared" si="178"/>
        <v>1.0902430594344164E-3</v>
      </c>
      <c r="F180" s="65">
        <f t="shared" si="178"/>
        <v>1.0902430594344164E-3</v>
      </c>
      <c r="G180" s="65">
        <f t="shared" si="178"/>
        <v>1.0902430594344164E-3</v>
      </c>
      <c r="H180" s="65">
        <f t="shared" si="178"/>
        <v>1.0902430594344164E-3</v>
      </c>
      <c r="I180" s="65">
        <f t="shared" si="178"/>
        <v>1.0902430594344164E-3</v>
      </c>
      <c r="J180" s="65">
        <f t="shared" si="178"/>
        <v>1.0902430594344164E-3</v>
      </c>
      <c r="K180" s="65">
        <f t="shared" si="178"/>
        <v>1.0902430594344164E-3</v>
      </c>
      <c r="L180" s="65">
        <f t="shared" si="178"/>
        <v>1.0902430594344164E-3</v>
      </c>
      <c r="M180" s="65">
        <f t="shared" si="178"/>
        <v>1.0902430594344164E-3</v>
      </c>
      <c r="N180" s="65">
        <f t="shared" si="178"/>
        <v>1.0902430594344164E-3</v>
      </c>
      <c r="O180" s="65">
        <f t="shared" si="178"/>
        <v>1.0902430594344164E-3</v>
      </c>
      <c r="P180" s="65">
        <f t="shared" si="178"/>
        <v>1.0902430594344164E-3</v>
      </c>
      <c r="Q180" s="65">
        <f t="shared" si="178"/>
        <v>1.0902430594344164E-3</v>
      </c>
      <c r="R180" s="65">
        <f t="shared" si="178"/>
        <v>1.0902430594344164E-3</v>
      </c>
      <c r="S180" s="65">
        <f t="shared" si="178"/>
        <v>1.0902430594344164E-3</v>
      </c>
      <c r="T180" s="65">
        <f t="shared" si="178"/>
        <v>1.0902430594344164E-3</v>
      </c>
      <c r="U180" s="65">
        <f t="shared" si="178"/>
        <v>1.0902430594344164E-3</v>
      </c>
      <c r="V180" s="65">
        <f t="shared" si="178"/>
        <v>1.0902430594344164E-3</v>
      </c>
      <c r="W180" s="65">
        <f t="shared" si="178"/>
        <v>1.0902430594344164E-3</v>
      </c>
      <c r="X180" s="65">
        <f t="shared" si="178"/>
        <v>1.0902430594344164E-3</v>
      </c>
      <c r="Y180" s="65">
        <f t="shared" si="178"/>
        <v>1.0902430594344164E-3</v>
      </c>
      <c r="Z180" s="65">
        <f t="shared" si="178"/>
        <v>1.0902430594344164E-3</v>
      </c>
      <c r="AA180" s="65">
        <f t="shared" si="178"/>
        <v>1.0902430594344164E-3</v>
      </c>
      <c r="AB180" s="65">
        <f t="shared" si="178"/>
        <v>1.0902430594344164E-3</v>
      </c>
      <c r="AC180" s="65">
        <f t="shared" si="178"/>
        <v>1.0902430594344164E-3</v>
      </c>
    </row>
    <row r="181" spans="1:29" x14ac:dyDescent="0.25">
      <c r="A181" s="30" t="str">
        <f t="shared" si="177"/>
        <v>Residual value (vehicle)</v>
      </c>
      <c r="B181" s="68">
        <f>((1+B141)^B148)*B141/(((1+B141)^B148)-1)*(B138)/B153/(B150)</f>
        <v>-1.6353645891516245E-4</v>
      </c>
      <c r="C181" s="68">
        <f t="shared" ref="C181:AC181" si="179">((1+C141)^C148)*C141/(((1+C141)^C148)-1)*(C138)/C153/(C150)</f>
        <v>-1.6353645891516245E-4</v>
      </c>
      <c r="D181" s="68">
        <f t="shared" si="179"/>
        <v>-1.6353645891516245E-4</v>
      </c>
      <c r="E181" s="68">
        <f t="shared" si="179"/>
        <v>-1.6353645891516245E-4</v>
      </c>
      <c r="F181" s="68">
        <f t="shared" si="179"/>
        <v>-1.6353645891516245E-4</v>
      </c>
      <c r="G181" s="68">
        <f t="shared" si="179"/>
        <v>-1.6353645891516245E-4</v>
      </c>
      <c r="H181" s="68">
        <f t="shared" si="179"/>
        <v>-1.6353645891516245E-4</v>
      </c>
      <c r="I181" s="68">
        <f t="shared" si="179"/>
        <v>-1.6353645891516245E-4</v>
      </c>
      <c r="J181" s="68">
        <f t="shared" si="179"/>
        <v>-1.6353645891516245E-4</v>
      </c>
      <c r="K181" s="68">
        <f t="shared" si="179"/>
        <v>-1.6353645891516245E-4</v>
      </c>
      <c r="L181" s="68">
        <f t="shared" si="179"/>
        <v>-1.6353645891516245E-4</v>
      </c>
      <c r="M181" s="68">
        <f t="shared" si="179"/>
        <v>-1.6353645891516245E-4</v>
      </c>
      <c r="N181" s="68">
        <f t="shared" si="179"/>
        <v>-1.6353645891516245E-4</v>
      </c>
      <c r="O181" s="68">
        <f t="shared" si="179"/>
        <v>-1.6353645891516245E-4</v>
      </c>
      <c r="P181" s="68">
        <f t="shared" si="179"/>
        <v>-1.6353645891516245E-4</v>
      </c>
      <c r="Q181" s="68">
        <f t="shared" si="179"/>
        <v>-1.6353645891516245E-4</v>
      </c>
      <c r="R181" s="68">
        <f t="shared" si="179"/>
        <v>-1.6353645891516245E-4</v>
      </c>
      <c r="S181" s="68">
        <f t="shared" si="179"/>
        <v>-1.6353645891516245E-4</v>
      </c>
      <c r="T181" s="68">
        <f t="shared" si="179"/>
        <v>-1.6353645891516245E-4</v>
      </c>
      <c r="U181" s="68">
        <f t="shared" si="179"/>
        <v>-1.6353645891516245E-4</v>
      </c>
      <c r="V181" s="68">
        <f t="shared" si="179"/>
        <v>-1.6353645891516245E-4</v>
      </c>
      <c r="W181" s="68">
        <f t="shared" si="179"/>
        <v>-1.6353645891516245E-4</v>
      </c>
      <c r="X181" s="68">
        <f t="shared" si="179"/>
        <v>-1.6353645891516245E-4</v>
      </c>
      <c r="Y181" s="68">
        <f t="shared" si="179"/>
        <v>-1.6353645891516245E-4</v>
      </c>
      <c r="Z181" s="68">
        <f t="shared" si="179"/>
        <v>-1.6353645891516245E-4</v>
      </c>
      <c r="AA181" s="68">
        <f t="shared" si="179"/>
        <v>-1.6353645891516245E-4</v>
      </c>
      <c r="AB181" s="68">
        <f t="shared" si="179"/>
        <v>-1.6353645891516245E-4</v>
      </c>
      <c r="AC181" s="68">
        <f t="shared" si="179"/>
        <v>-1.6353645891516245E-4</v>
      </c>
    </row>
    <row r="182" spans="1:29" x14ac:dyDescent="0.25">
      <c r="A182" s="30" t="str">
        <f t="shared" si="177"/>
        <v>Capex costumization</v>
      </c>
      <c r="B182" s="66">
        <f>((1+B141)^B149)*B141/(((1+B141)^B149)-1)*(B139)/B153/(B150)</f>
        <v>1.0174917575636864E-3</v>
      </c>
      <c r="C182" s="66">
        <f t="shared" ref="C182:AC182" si="180">((1+C141)^C149)*C141/(((1+C141)^C149)-1)*(C139)/C153/(C150)</f>
        <v>1.0174917575636864E-3</v>
      </c>
      <c r="D182" s="66">
        <f t="shared" si="180"/>
        <v>1.0174917575636864E-3</v>
      </c>
      <c r="E182" s="66">
        <f t="shared" si="180"/>
        <v>1.0174917575636864E-3</v>
      </c>
      <c r="F182" s="66">
        <f t="shared" si="180"/>
        <v>1.0174917575636864E-3</v>
      </c>
      <c r="G182" s="66">
        <f t="shared" si="180"/>
        <v>1.0174917575636864E-3</v>
      </c>
      <c r="H182" s="66">
        <f t="shared" si="180"/>
        <v>1.0174917575636864E-3</v>
      </c>
      <c r="I182" s="66">
        <f t="shared" si="180"/>
        <v>1.0174917575636864E-3</v>
      </c>
      <c r="J182" s="66">
        <f t="shared" si="180"/>
        <v>1.0174917575636864E-3</v>
      </c>
      <c r="K182" s="66">
        <f t="shared" si="180"/>
        <v>1.0174917575636864E-3</v>
      </c>
      <c r="L182" s="66">
        <f t="shared" si="180"/>
        <v>1.0174917575636864E-3</v>
      </c>
      <c r="M182" s="66">
        <f t="shared" si="180"/>
        <v>1.0174917575636864E-3</v>
      </c>
      <c r="N182" s="66">
        <f t="shared" si="180"/>
        <v>1.0174917575636864E-3</v>
      </c>
      <c r="O182" s="66">
        <f t="shared" si="180"/>
        <v>1.0174917575636864E-3</v>
      </c>
      <c r="P182" s="66">
        <f t="shared" si="180"/>
        <v>1.0174917575636864E-3</v>
      </c>
      <c r="Q182" s="66">
        <f t="shared" si="180"/>
        <v>1.0174917575636864E-3</v>
      </c>
      <c r="R182" s="66">
        <f t="shared" si="180"/>
        <v>1.0174917575636864E-3</v>
      </c>
      <c r="S182" s="66">
        <f t="shared" si="180"/>
        <v>1.0174917575636864E-3</v>
      </c>
      <c r="T182" s="66">
        <f t="shared" si="180"/>
        <v>1.0174917575636864E-3</v>
      </c>
      <c r="U182" s="66">
        <f t="shared" si="180"/>
        <v>1.0174917575636864E-3</v>
      </c>
      <c r="V182" s="66">
        <f t="shared" si="180"/>
        <v>1.0174917575636864E-3</v>
      </c>
      <c r="W182" s="66">
        <f t="shared" si="180"/>
        <v>1.0174917575636864E-3</v>
      </c>
      <c r="X182" s="66">
        <f t="shared" si="180"/>
        <v>1.0174917575636864E-3</v>
      </c>
      <c r="Y182" s="66">
        <f t="shared" si="180"/>
        <v>1.0174917575636864E-3</v>
      </c>
      <c r="Z182" s="66">
        <f t="shared" si="180"/>
        <v>1.0174917575636864E-3</v>
      </c>
      <c r="AA182" s="66">
        <f t="shared" si="180"/>
        <v>1.0174917575636864E-3</v>
      </c>
      <c r="AB182" s="66">
        <f t="shared" si="180"/>
        <v>1.0174917575636864E-3</v>
      </c>
      <c r="AC182" s="66">
        <f t="shared" si="180"/>
        <v>1.0174917575636864E-3</v>
      </c>
    </row>
    <row r="183" spans="1:29" x14ac:dyDescent="0.25">
      <c r="A183" s="30" t="str">
        <f t="shared" si="177"/>
        <v>Residual value (costumization)</v>
      </c>
      <c r="B183" s="69">
        <f>((1+B141)^B149)*B141/(((1+B141)^B149)-1)*(B140)/B153/(B150)</f>
        <v>-5.0874587878184312E-5</v>
      </c>
      <c r="C183" s="69">
        <f t="shared" ref="C183:AC183" si="181">((1+C141)^C149)*C141/(((1+C141)^C149)-1)*(C140)/C153/(C150)</f>
        <v>-5.0874587878184312E-5</v>
      </c>
      <c r="D183" s="69">
        <f t="shared" si="181"/>
        <v>-5.0874587878184312E-5</v>
      </c>
      <c r="E183" s="69">
        <f t="shared" si="181"/>
        <v>-5.0874587878184312E-5</v>
      </c>
      <c r="F183" s="69">
        <f t="shared" si="181"/>
        <v>-5.0874587878184312E-5</v>
      </c>
      <c r="G183" s="69">
        <f t="shared" si="181"/>
        <v>-5.0874587878184312E-5</v>
      </c>
      <c r="H183" s="69">
        <f t="shared" si="181"/>
        <v>-5.0874587878184312E-5</v>
      </c>
      <c r="I183" s="69">
        <f t="shared" si="181"/>
        <v>-5.0874587878184312E-5</v>
      </c>
      <c r="J183" s="69">
        <f t="shared" si="181"/>
        <v>-5.0874587878184312E-5</v>
      </c>
      <c r="K183" s="69">
        <f t="shared" si="181"/>
        <v>-5.0874587878184312E-5</v>
      </c>
      <c r="L183" s="69">
        <f t="shared" si="181"/>
        <v>-5.0874587878184312E-5</v>
      </c>
      <c r="M183" s="69">
        <f t="shared" si="181"/>
        <v>-5.0874587878184312E-5</v>
      </c>
      <c r="N183" s="69">
        <f t="shared" si="181"/>
        <v>-5.0874587878184312E-5</v>
      </c>
      <c r="O183" s="69">
        <f t="shared" si="181"/>
        <v>-5.0874587878184312E-5</v>
      </c>
      <c r="P183" s="69">
        <f t="shared" si="181"/>
        <v>-5.0874587878184312E-5</v>
      </c>
      <c r="Q183" s="69">
        <f t="shared" si="181"/>
        <v>-5.0874587878184312E-5</v>
      </c>
      <c r="R183" s="69">
        <f t="shared" si="181"/>
        <v>-5.0874587878184312E-5</v>
      </c>
      <c r="S183" s="69">
        <f t="shared" si="181"/>
        <v>-5.0874587878184312E-5</v>
      </c>
      <c r="T183" s="69">
        <f t="shared" si="181"/>
        <v>-5.0874587878184312E-5</v>
      </c>
      <c r="U183" s="69">
        <f t="shared" si="181"/>
        <v>-5.0874587878184312E-5</v>
      </c>
      <c r="V183" s="69">
        <f t="shared" si="181"/>
        <v>-5.0874587878184312E-5</v>
      </c>
      <c r="W183" s="69">
        <f t="shared" si="181"/>
        <v>-5.0874587878184312E-5</v>
      </c>
      <c r="X183" s="69">
        <f t="shared" si="181"/>
        <v>-5.0874587878184312E-5</v>
      </c>
      <c r="Y183" s="69">
        <f t="shared" si="181"/>
        <v>-5.0874587878184312E-5</v>
      </c>
      <c r="Z183" s="69">
        <f t="shared" si="181"/>
        <v>-5.0874587878184312E-5</v>
      </c>
      <c r="AA183" s="69">
        <f t="shared" si="181"/>
        <v>-5.0874587878184312E-5</v>
      </c>
      <c r="AB183" s="69">
        <f t="shared" si="181"/>
        <v>-5.0874587878184312E-5</v>
      </c>
      <c r="AC183" s="69">
        <f t="shared" si="181"/>
        <v>-5.0874587878184312E-5</v>
      </c>
    </row>
    <row r="184" spans="1:29" x14ac:dyDescent="0.25">
      <c r="A184" s="30" t="str">
        <f t="shared" si="177"/>
        <v>Opex fix (admin, crew, insurance)</v>
      </c>
      <c r="B184" s="66">
        <f>B142/B153/(B150)</f>
        <v>1.5506202480992397E-3</v>
      </c>
      <c r="C184" s="66">
        <f t="shared" ref="C184:AC184" si="182">C142/C153/(C150)</f>
        <v>1.5506202480992397E-3</v>
      </c>
      <c r="D184" s="66">
        <f t="shared" si="182"/>
        <v>1.5506202480992397E-3</v>
      </c>
      <c r="E184" s="66">
        <f t="shared" si="182"/>
        <v>1.5506202480992397E-3</v>
      </c>
      <c r="F184" s="66">
        <f t="shared" si="182"/>
        <v>1.5506202480992397E-3</v>
      </c>
      <c r="G184" s="66">
        <f t="shared" si="182"/>
        <v>1.5506202480992397E-3</v>
      </c>
      <c r="H184" s="66">
        <f t="shared" si="182"/>
        <v>1.5506202480992397E-3</v>
      </c>
      <c r="I184" s="66">
        <f t="shared" si="182"/>
        <v>1.5506202480992397E-3</v>
      </c>
      <c r="J184" s="66">
        <f t="shared" si="182"/>
        <v>1.5506202480992397E-3</v>
      </c>
      <c r="K184" s="66">
        <f t="shared" si="182"/>
        <v>1.5506202480992397E-3</v>
      </c>
      <c r="L184" s="66">
        <f t="shared" si="182"/>
        <v>1.5506202480992397E-3</v>
      </c>
      <c r="M184" s="66">
        <f t="shared" si="182"/>
        <v>1.5506202480992397E-3</v>
      </c>
      <c r="N184" s="66">
        <f t="shared" si="182"/>
        <v>1.5506202480992397E-3</v>
      </c>
      <c r="O184" s="66">
        <f t="shared" si="182"/>
        <v>1.5506202480992397E-3</v>
      </c>
      <c r="P184" s="66">
        <f t="shared" si="182"/>
        <v>1.5506202480992397E-3</v>
      </c>
      <c r="Q184" s="66">
        <f t="shared" si="182"/>
        <v>1.5506202480992397E-3</v>
      </c>
      <c r="R184" s="66">
        <f t="shared" si="182"/>
        <v>1.5506202480992397E-3</v>
      </c>
      <c r="S184" s="66">
        <f t="shared" si="182"/>
        <v>1.5506202480992397E-3</v>
      </c>
      <c r="T184" s="66">
        <f t="shared" si="182"/>
        <v>1.5506202480992397E-3</v>
      </c>
      <c r="U184" s="66">
        <f t="shared" si="182"/>
        <v>1.5506202480992397E-3</v>
      </c>
      <c r="V184" s="66">
        <f t="shared" si="182"/>
        <v>1.5506202480992397E-3</v>
      </c>
      <c r="W184" s="66">
        <f t="shared" si="182"/>
        <v>1.5506202480992397E-3</v>
      </c>
      <c r="X184" s="66">
        <f t="shared" si="182"/>
        <v>1.5506202480992397E-3</v>
      </c>
      <c r="Y184" s="66">
        <f t="shared" si="182"/>
        <v>1.5506202480992397E-3</v>
      </c>
      <c r="Z184" s="66">
        <f t="shared" si="182"/>
        <v>1.5506202480992397E-3</v>
      </c>
      <c r="AA184" s="66">
        <f t="shared" si="182"/>
        <v>1.5506202480992397E-3</v>
      </c>
      <c r="AB184" s="66">
        <f t="shared" si="182"/>
        <v>1.5506202480992397E-3</v>
      </c>
      <c r="AC184" s="66">
        <f t="shared" si="182"/>
        <v>1.5506202480992397E-3</v>
      </c>
    </row>
    <row r="185" spans="1:29" x14ac:dyDescent="0.25">
      <c r="A185" s="30" t="str">
        <f t="shared" si="177"/>
        <v>Opex maintenance &amp; repair</v>
      </c>
      <c r="B185" s="66">
        <f>B143/B153/(B150)</f>
        <v>1.6256502601040416E-3</v>
      </c>
      <c r="C185" s="66">
        <f t="shared" ref="C185:AC185" si="183">C143/C153/(C150)</f>
        <v>1.6256502601040416E-3</v>
      </c>
      <c r="D185" s="66">
        <f t="shared" si="183"/>
        <v>1.6256502601040416E-3</v>
      </c>
      <c r="E185" s="66">
        <f t="shared" si="183"/>
        <v>1.6256502601040416E-3</v>
      </c>
      <c r="F185" s="66">
        <f t="shared" si="183"/>
        <v>1.6256502601040416E-3</v>
      </c>
      <c r="G185" s="66">
        <f t="shared" si="183"/>
        <v>1.6256502601040416E-3</v>
      </c>
      <c r="H185" s="66">
        <f t="shared" si="183"/>
        <v>1.6256502601040416E-3</v>
      </c>
      <c r="I185" s="66">
        <f t="shared" si="183"/>
        <v>1.6256502601040416E-3</v>
      </c>
      <c r="J185" s="66">
        <f t="shared" si="183"/>
        <v>1.6256502601040416E-3</v>
      </c>
      <c r="K185" s="66">
        <f t="shared" si="183"/>
        <v>1.6256502601040416E-3</v>
      </c>
      <c r="L185" s="66">
        <f t="shared" si="183"/>
        <v>1.6256502601040416E-3</v>
      </c>
      <c r="M185" s="66">
        <f t="shared" si="183"/>
        <v>1.6256502601040416E-3</v>
      </c>
      <c r="N185" s="66">
        <f t="shared" si="183"/>
        <v>1.6256502601040416E-3</v>
      </c>
      <c r="O185" s="66">
        <f t="shared" si="183"/>
        <v>1.6256502601040416E-3</v>
      </c>
      <c r="P185" s="66">
        <f t="shared" si="183"/>
        <v>1.6256502601040416E-3</v>
      </c>
      <c r="Q185" s="66">
        <f t="shared" si="183"/>
        <v>1.6256502601040416E-3</v>
      </c>
      <c r="R185" s="66">
        <f t="shared" si="183"/>
        <v>1.6256502601040416E-3</v>
      </c>
      <c r="S185" s="66">
        <f t="shared" si="183"/>
        <v>1.6256502601040416E-3</v>
      </c>
      <c r="T185" s="66">
        <f t="shared" si="183"/>
        <v>1.6256502601040416E-3</v>
      </c>
      <c r="U185" s="66">
        <f t="shared" si="183"/>
        <v>1.6256502601040416E-3</v>
      </c>
      <c r="V185" s="66">
        <f t="shared" si="183"/>
        <v>1.6256502601040416E-3</v>
      </c>
      <c r="W185" s="66">
        <f t="shared" si="183"/>
        <v>1.6256502601040416E-3</v>
      </c>
      <c r="X185" s="66">
        <f t="shared" si="183"/>
        <v>1.6256502601040416E-3</v>
      </c>
      <c r="Y185" s="66">
        <f t="shared" si="183"/>
        <v>1.6256502601040416E-3</v>
      </c>
      <c r="Z185" s="66">
        <f t="shared" si="183"/>
        <v>1.6256502601040416E-3</v>
      </c>
      <c r="AA185" s="66">
        <f t="shared" si="183"/>
        <v>1.6256502601040416E-3</v>
      </c>
      <c r="AB185" s="66">
        <f t="shared" si="183"/>
        <v>1.6256502601040416E-3</v>
      </c>
      <c r="AC185" s="66">
        <f t="shared" si="183"/>
        <v>1.6256502601040416E-3</v>
      </c>
    </row>
    <row r="186" spans="1:29" x14ac:dyDescent="0.25">
      <c r="A186" s="30" t="str">
        <f t="shared" si="177"/>
        <v>Opex var (mode-fees, shunting)</v>
      </c>
      <c r="B186" s="66">
        <f>B144*B153/B153/(B150)</f>
        <v>1.6256502601040416E-3</v>
      </c>
      <c r="C186" s="66">
        <f t="shared" ref="C186:AC186" si="184">C144*C153/C153/(C150)</f>
        <v>1.6256502601040416E-3</v>
      </c>
      <c r="D186" s="66">
        <f t="shared" si="184"/>
        <v>1.6256502601040416E-3</v>
      </c>
      <c r="E186" s="66">
        <f t="shared" si="184"/>
        <v>1.6256502601040416E-3</v>
      </c>
      <c r="F186" s="66">
        <f t="shared" si="184"/>
        <v>1.6256502601040416E-3</v>
      </c>
      <c r="G186" s="66">
        <f t="shared" si="184"/>
        <v>1.6256502601040416E-3</v>
      </c>
      <c r="H186" s="66">
        <f t="shared" si="184"/>
        <v>1.6256502601040416E-3</v>
      </c>
      <c r="I186" s="66">
        <f t="shared" si="184"/>
        <v>1.6256502601040416E-3</v>
      </c>
      <c r="J186" s="66">
        <f t="shared" si="184"/>
        <v>1.6256502601040416E-3</v>
      </c>
      <c r="K186" s="66">
        <f t="shared" si="184"/>
        <v>1.6256502601040416E-3</v>
      </c>
      <c r="L186" s="66">
        <f t="shared" si="184"/>
        <v>1.6256502601040416E-3</v>
      </c>
      <c r="M186" s="66">
        <f t="shared" si="184"/>
        <v>1.6256502601040416E-3</v>
      </c>
      <c r="N186" s="66">
        <f t="shared" si="184"/>
        <v>1.6256502601040416E-3</v>
      </c>
      <c r="O186" s="66">
        <f t="shared" si="184"/>
        <v>1.6256502601040416E-3</v>
      </c>
      <c r="P186" s="66">
        <f t="shared" si="184"/>
        <v>1.6256502601040416E-3</v>
      </c>
      <c r="Q186" s="66">
        <f t="shared" si="184"/>
        <v>1.6256502601040416E-3</v>
      </c>
      <c r="R186" s="66">
        <f t="shared" si="184"/>
        <v>1.6256502601040416E-3</v>
      </c>
      <c r="S186" s="66">
        <f t="shared" si="184"/>
        <v>1.6256502601040416E-3</v>
      </c>
      <c r="T186" s="66">
        <f t="shared" si="184"/>
        <v>1.6256502601040416E-3</v>
      </c>
      <c r="U186" s="66">
        <f t="shared" si="184"/>
        <v>1.6256502601040416E-3</v>
      </c>
      <c r="V186" s="66">
        <f t="shared" si="184"/>
        <v>1.6256502601040416E-3</v>
      </c>
      <c r="W186" s="66">
        <f t="shared" si="184"/>
        <v>1.6256502601040416E-3</v>
      </c>
      <c r="X186" s="66">
        <f t="shared" si="184"/>
        <v>1.6256502601040416E-3</v>
      </c>
      <c r="Y186" s="66">
        <f t="shared" si="184"/>
        <v>1.6256502601040416E-3</v>
      </c>
      <c r="Z186" s="66">
        <f t="shared" si="184"/>
        <v>1.6256502601040416E-3</v>
      </c>
      <c r="AA186" s="66">
        <f t="shared" si="184"/>
        <v>1.6256502601040416E-3</v>
      </c>
      <c r="AB186" s="66">
        <f t="shared" si="184"/>
        <v>1.6256502601040416E-3</v>
      </c>
      <c r="AC186" s="66">
        <f t="shared" si="184"/>
        <v>1.6256502601040416E-3</v>
      </c>
    </row>
    <row r="187" spans="1:29" x14ac:dyDescent="0.25">
      <c r="A187" s="30" t="str">
        <f t="shared" si="177"/>
        <v>Fuel Cost</v>
      </c>
      <c r="B187" s="66">
        <f>B145*B146*B153/B153/(B150)</f>
        <v>1.8785303492431114E-3</v>
      </c>
      <c r="C187" s="66">
        <f t="shared" ref="C187:AC187" si="185">C145*C146*C153/C153/(C150)</f>
        <v>1.8748504503524701E-3</v>
      </c>
      <c r="D187" s="66">
        <f t="shared" si="185"/>
        <v>1.8696255214478449E-3</v>
      </c>
      <c r="E187" s="66">
        <f t="shared" si="185"/>
        <v>1.8622405865247687E-3</v>
      </c>
      <c r="F187" s="66">
        <f t="shared" si="185"/>
        <v>1.8518722711280324E-3</v>
      </c>
      <c r="G187" s="66">
        <f t="shared" si="185"/>
        <v>1.8374565489115294E-3</v>
      </c>
      <c r="H187" s="66">
        <f t="shared" si="185"/>
        <v>1.8176931330459441E-3</v>
      </c>
      <c r="I187" s="66">
        <f t="shared" si="185"/>
        <v>1.7911332198846236E-3</v>
      </c>
      <c r="J187" s="66">
        <f t="shared" si="185"/>
        <v>1.7564142823849075E-3</v>
      </c>
      <c r="K187" s="66">
        <f t="shared" si="185"/>
        <v>1.7126916488661122E-3</v>
      </c>
      <c r="L187" s="66">
        <f t="shared" si="185"/>
        <v>1.66022574370195E-3</v>
      </c>
      <c r="M187" s="66">
        <f t="shared" si="185"/>
        <v>1.6008986804083307E-3</v>
      </c>
      <c r="N187" s="66">
        <f t="shared" si="185"/>
        <v>1.5382673431020731E-3</v>
      </c>
      <c r="O187" s="66">
        <f t="shared" si="185"/>
        <v>1.4768684733653715E-3</v>
      </c>
      <c r="P187" s="66">
        <f t="shared" si="185"/>
        <v>1.4209758184370721E-3</v>
      </c>
      <c r="Q187" s="66">
        <f t="shared" si="185"/>
        <v>1.3734750210151385E-3</v>
      </c>
      <c r="R187" s="66">
        <f t="shared" si="185"/>
        <v>1.3354353891910078E-3</v>
      </c>
      <c r="S187" s="66">
        <f t="shared" si="185"/>
        <v>1.3064094617898556E-3</v>
      </c>
      <c r="T187" s="66">
        <f t="shared" si="185"/>
        <v>1.2850730772672656E-3</v>
      </c>
      <c r="U187" s="66">
        <f t="shared" si="185"/>
        <v>1.2698178709999273E-3</v>
      </c>
      <c r="V187" s="66">
        <f t="shared" si="185"/>
        <v>1.2591262242900533E-3</v>
      </c>
      <c r="W187" s="66">
        <f t="shared" si="185"/>
        <v>1.2517376392535654E-3</v>
      </c>
      <c r="X187" s="66">
        <f t="shared" si="185"/>
        <v>1.2466812623257819E-3</v>
      </c>
      <c r="Y187" s="66">
        <f t="shared" si="185"/>
        <v>1.2432440274888108E-3</v>
      </c>
      <c r="Z187" s="66">
        <f t="shared" si="185"/>
        <v>1.2409180889221361E-3</v>
      </c>
      <c r="AA187" s="66">
        <f t="shared" si="185"/>
        <v>1.2393490083367302E-3</v>
      </c>
      <c r="AB187" s="66">
        <f t="shared" si="185"/>
        <v>1.2382927110811657E-3</v>
      </c>
      <c r="AC187" s="66">
        <f t="shared" si="185"/>
        <v>1.2375826156552142E-3</v>
      </c>
    </row>
    <row r="188" spans="1:29" x14ac:dyDescent="0.25">
      <c r="A188" s="59" t="str">
        <f>A151</f>
        <v>Market failure (av. utilization)</v>
      </c>
      <c r="B188" s="66">
        <f t="shared" ref="B188:AC188" si="186">B177/B151-B177/B150</f>
        <v>1.1701558077951917E-2</v>
      </c>
      <c r="C188" s="66">
        <f t="shared" si="186"/>
        <v>1.1696571484008197E-2</v>
      </c>
      <c r="D188" s="66">
        <f t="shared" si="186"/>
        <v>1.1689490750499885E-2</v>
      </c>
      <c r="E188" s="66">
        <f t="shared" si="186"/>
        <v>1.1679481788659985E-2</v>
      </c>
      <c r="F188" s="66">
        <f t="shared" si="186"/>
        <v>1.1665427230026521E-2</v>
      </c>
      <c r="G188" s="66">
        <f t="shared" si="186"/>
        <v>1.1645881790516814E-2</v>
      </c>
      <c r="H188" s="66">
        <f t="shared" si="186"/>
        <v>1.1619076436283285E-2</v>
      </c>
      <c r="I188" s="66">
        <f t="shared" si="186"/>
        <v>1.1583034053448776E-2</v>
      </c>
      <c r="J188" s="66">
        <f t="shared" si="186"/>
        <v>1.153588225697943E-2</v>
      </c>
      <c r="K188" s="66">
        <f t="shared" si="186"/>
        <v>1.1476430470394693E-2</v>
      </c>
      <c r="L188" s="66">
        <f t="shared" si="186"/>
        <v>1.1404956854471324E-2</v>
      </c>
      <c r="M188" s="66">
        <f t="shared" si="186"/>
        <v>1.1323902775471193E-2</v>
      </c>
      <c r="N188" s="66">
        <f t="shared" si="186"/>
        <v>1.1237950052972696E-2</v>
      </c>
      <c r="O188" s="66">
        <f t="shared" si="186"/>
        <v>1.11531030106694E-2</v>
      </c>
      <c r="P188" s="66">
        <f t="shared" si="186"/>
        <v>1.1075047510687811E-2</v>
      </c>
      <c r="Q188" s="66">
        <f t="shared" si="186"/>
        <v>1.1007678704918505E-2</v>
      </c>
      <c r="R188" s="66">
        <f t="shared" si="186"/>
        <v>1.0952560452787988E-2</v>
      </c>
      <c r="S188" s="66">
        <f t="shared" si="186"/>
        <v>1.0909331443322196E-2</v>
      </c>
      <c r="T188" s="66">
        <f t="shared" si="186"/>
        <v>1.087651840545221E-2</v>
      </c>
      <c r="U188" s="66">
        <f t="shared" si="186"/>
        <v>1.0852248427323801E-2</v>
      </c>
      <c r="V188" s="66">
        <f t="shared" si="186"/>
        <v>1.0834676888528228E-2</v>
      </c>
      <c r="W188" s="66">
        <f t="shared" si="186"/>
        <v>1.082218213584182E-2</v>
      </c>
      <c r="X188" s="66">
        <f t="shared" si="186"/>
        <v>1.0813429396844957E-2</v>
      </c>
      <c r="Y188" s="66">
        <f t="shared" si="186"/>
        <v>1.0807371154594689E-2</v>
      </c>
      <c r="Z188" s="66">
        <f t="shared" si="186"/>
        <v>1.0803216483044142E-2</v>
      </c>
      <c r="AA188" s="66">
        <f t="shared" si="186"/>
        <v>1.0800386719685456E-2</v>
      </c>
      <c r="AB188" s="66">
        <f t="shared" si="186"/>
        <v>1.0798468849789493E-2</v>
      </c>
      <c r="AC188" s="66">
        <f t="shared" si="186"/>
        <v>1.0797173530886182E-2</v>
      </c>
    </row>
    <row r="189" spans="1:29" x14ac:dyDescent="0.25">
      <c r="A189" s="59" t="str">
        <f>A152</f>
        <v>Payload loss (fuel)</v>
      </c>
      <c r="B189" s="66">
        <f>B177/(B150-B152)-B177/B150</f>
        <v>0</v>
      </c>
      <c r="C189" s="66">
        <f t="shared" ref="C189:AC189" si="187">C177/(C150-C152)-C177/C150</f>
        <v>0</v>
      </c>
      <c r="D189" s="66">
        <f t="shared" si="187"/>
        <v>0</v>
      </c>
      <c r="E189" s="66">
        <f t="shared" si="187"/>
        <v>0</v>
      </c>
      <c r="F189" s="66">
        <f t="shared" si="187"/>
        <v>0</v>
      </c>
      <c r="G189" s="66">
        <f t="shared" si="187"/>
        <v>0</v>
      </c>
      <c r="H189" s="66">
        <f t="shared" si="187"/>
        <v>0</v>
      </c>
      <c r="I189" s="66">
        <f t="shared" si="187"/>
        <v>0</v>
      </c>
      <c r="J189" s="66">
        <f t="shared" si="187"/>
        <v>0</v>
      </c>
      <c r="K189" s="66">
        <f t="shared" si="187"/>
        <v>0</v>
      </c>
      <c r="L189" s="66">
        <f t="shared" si="187"/>
        <v>0</v>
      </c>
      <c r="M189" s="66">
        <f t="shared" si="187"/>
        <v>0</v>
      </c>
      <c r="N189" s="66">
        <f t="shared" si="187"/>
        <v>0</v>
      </c>
      <c r="O189" s="66">
        <f t="shared" si="187"/>
        <v>0</v>
      </c>
      <c r="P189" s="66">
        <f t="shared" si="187"/>
        <v>0</v>
      </c>
      <c r="Q189" s="66">
        <f t="shared" si="187"/>
        <v>0</v>
      </c>
      <c r="R189" s="66">
        <f t="shared" si="187"/>
        <v>0</v>
      </c>
      <c r="S189" s="66">
        <f t="shared" si="187"/>
        <v>0</v>
      </c>
      <c r="T189" s="66">
        <f t="shared" si="187"/>
        <v>0</v>
      </c>
      <c r="U189" s="66">
        <f t="shared" si="187"/>
        <v>0</v>
      </c>
      <c r="V189" s="66">
        <f t="shared" si="187"/>
        <v>0</v>
      </c>
      <c r="W189" s="66">
        <f t="shared" si="187"/>
        <v>0</v>
      </c>
      <c r="X189" s="66">
        <f t="shared" si="187"/>
        <v>0</v>
      </c>
      <c r="Y189" s="66">
        <f t="shared" si="187"/>
        <v>0</v>
      </c>
      <c r="Z189" s="66">
        <f t="shared" si="187"/>
        <v>0</v>
      </c>
      <c r="AA189" s="66">
        <f t="shared" si="187"/>
        <v>0</v>
      </c>
      <c r="AB189" s="66">
        <f t="shared" si="187"/>
        <v>0</v>
      </c>
      <c r="AC189" s="66">
        <f t="shared" si="187"/>
        <v>0</v>
      </c>
    </row>
    <row r="190" spans="1:29" ht="15.75" thickBot="1" x14ac:dyDescent="0.3">
      <c r="A190" s="59" t="str">
        <f>A127</f>
        <v>Emission Cost</v>
      </c>
      <c r="B190" s="68">
        <f>B147*B153/B153/(B150)</f>
        <v>3.2612180545682326E-5</v>
      </c>
      <c r="C190" s="68">
        <f t="shared" ref="C190:AC190" si="188">C147*C153/C153/(C150)</f>
        <v>3.2581125803789985E-5</v>
      </c>
      <c r="D190" s="68">
        <f t="shared" si="188"/>
        <v>3.2536671632459692E-5</v>
      </c>
      <c r="E190" s="68">
        <f t="shared" si="188"/>
        <v>3.2473076814214629E-5</v>
      </c>
      <c r="F190" s="68">
        <f t="shared" si="188"/>
        <v>3.2382185786049084E-5</v>
      </c>
      <c r="G190" s="68">
        <f t="shared" si="188"/>
        <v>3.2252464646491119E-5</v>
      </c>
      <c r="H190" s="68">
        <f t="shared" si="188"/>
        <v>3.2067709919681529E-5</v>
      </c>
      <c r="I190" s="68">
        <f t="shared" si="188"/>
        <v>3.1805384692532378E-5</v>
      </c>
      <c r="J190" s="68">
        <f t="shared" si="188"/>
        <v>3.1434613191801918E-5</v>
      </c>
      <c r="K190" s="68">
        <f t="shared" si="188"/>
        <v>3.0914056694048323E-5</v>
      </c>
      <c r="L190" s="68">
        <f t="shared" si="188"/>
        <v>3.0190294194310576E-5</v>
      </c>
      <c r="M190" s="68">
        <f t="shared" si="188"/>
        <v>2.9198042883179091E-5</v>
      </c>
      <c r="N190" s="68">
        <f t="shared" si="188"/>
        <v>2.7864563446370286E-5</v>
      </c>
      <c r="O190" s="68">
        <f t="shared" si="188"/>
        <v>2.6121448213179506E-5</v>
      </c>
      <c r="P190" s="68">
        <f t="shared" si="188"/>
        <v>2.3926289201690408E-5</v>
      </c>
      <c r="Q190" s="68">
        <f t="shared" si="188"/>
        <v>2.1292161399952762E-5</v>
      </c>
      <c r="R190" s="68">
        <f t="shared" si="188"/>
        <v>1.8313559080442676E-5</v>
      </c>
      <c r="S190" s="68">
        <f t="shared" si="188"/>
        <v>1.5169060832633678E-5</v>
      </c>
      <c r="T190" s="68">
        <f t="shared" si="188"/>
        <v>1.2086440428722554E-5</v>
      </c>
      <c r="U190" s="68">
        <f t="shared" si="188"/>
        <v>9.2802676237572389E-6</v>
      </c>
      <c r="V190" s="68">
        <f t="shared" si="188"/>
        <v>6.8954203462286989E-6</v>
      </c>
      <c r="W190" s="68">
        <f t="shared" si="188"/>
        <v>4.9855847788772532E-6</v>
      </c>
      <c r="X190" s="68">
        <f t="shared" si="188"/>
        <v>3.528295476436697E-6</v>
      </c>
      <c r="Y190" s="68">
        <f t="shared" si="188"/>
        <v>2.4570709643718897E-6</v>
      </c>
      <c r="Z190" s="68">
        <f t="shared" si="188"/>
        <v>1.6911609352910116E-6</v>
      </c>
      <c r="AA190" s="68">
        <f t="shared" si="188"/>
        <v>1.1543711142307326E-6</v>
      </c>
      <c r="AB190" s="68">
        <f t="shared" si="188"/>
        <v>7.8341635419717214E-7</v>
      </c>
      <c r="AC190" s="68">
        <f t="shared" si="188"/>
        <v>5.295535265214743E-7</v>
      </c>
    </row>
    <row r="191" spans="1:29" ht="15.75" thickBot="1" x14ac:dyDescent="0.3">
      <c r="A191" s="31" t="s">
        <v>210</v>
      </c>
      <c r="B191" s="76">
        <f>B180+B181+B182+B183+B184+B185+B186+B187+B188+B189+B190</f>
        <v>2.0307945146252789E-2</v>
      </c>
      <c r="C191" s="67">
        <f t="shared" ref="C191:AC191" si="189">C180+C181+C182+C183+C184+C185+C186+C187+C188+C189+C190</f>
        <v>2.0299247598676538E-2</v>
      </c>
      <c r="D191" s="67">
        <f t="shared" si="189"/>
        <v>2.0286897482092271E-2</v>
      </c>
      <c r="E191" s="67">
        <f t="shared" si="189"/>
        <v>2.0269439990511048E-2</v>
      </c>
      <c r="F191" s="67">
        <f t="shared" si="189"/>
        <v>2.0244926225452684E-2</v>
      </c>
      <c r="G191" s="67">
        <f t="shared" si="189"/>
        <v>2.0210835342586914E-2</v>
      </c>
      <c r="H191" s="67">
        <f t="shared" si="189"/>
        <v>2.0164081817760991E-2</v>
      </c>
      <c r="I191" s="67">
        <f t="shared" si="189"/>
        <v>2.0101217196538013E-2</v>
      </c>
      <c r="J191" s="67">
        <f t="shared" si="189"/>
        <v>2.0018975691068221E-2</v>
      </c>
      <c r="K191" s="67">
        <f t="shared" si="189"/>
        <v>1.9915280714466934E-2</v>
      </c>
      <c r="L191" s="67">
        <f t="shared" si="189"/>
        <v>1.9790617430879665E-2</v>
      </c>
      <c r="M191" s="67">
        <f t="shared" si="189"/>
        <v>1.9649244037274784E-2</v>
      </c>
      <c r="N191" s="67">
        <f t="shared" si="189"/>
        <v>1.949932649803322E-2</v>
      </c>
      <c r="O191" s="67">
        <f t="shared" si="189"/>
        <v>1.9351337470760031E-2</v>
      </c>
      <c r="P191" s="67">
        <f t="shared" si="189"/>
        <v>1.9215194156838651E-2</v>
      </c>
      <c r="Q191" s="67">
        <f t="shared" si="189"/>
        <v>1.9097690425845675E-2</v>
      </c>
      <c r="R191" s="67">
        <f t="shared" si="189"/>
        <v>1.9001553939571519E-2</v>
      </c>
      <c r="S191" s="67">
        <f t="shared" si="189"/>
        <v>1.8926154504456762E-2</v>
      </c>
      <c r="T191" s="67">
        <f t="shared" si="189"/>
        <v>1.8868922461660276E-2</v>
      </c>
      <c r="U191" s="67">
        <f t="shared" si="189"/>
        <v>1.8826591104459563E-2</v>
      </c>
      <c r="V191" s="67">
        <f t="shared" si="189"/>
        <v>1.8795943071676591E-2</v>
      </c>
      <c r="W191" s="67">
        <f t="shared" si="189"/>
        <v>1.8774149898386341E-2</v>
      </c>
      <c r="X191" s="67">
        <f t="shared" si="189"/>
        <v>1.8758883493159254E-2</v>
      </c>
      <c r="Y191" s="67">
        <f t="shared" si="189"/>
        <v>1.8748316791559951E-2</v>
      </c>
      <c r="Z191" s="67">
        <f t="shared" si="189"/>
        <v>1.8741070271413647E-2</v>
      </c>
      <c r="AA191" s="67">
        <f t="shared" si="189"/>
        <v>1.8736134637648495E-2</v>
      </c>
      <c r="AB191" s="67">
        <f t="shared" si="189"/>
        <v>1.8732789515736935E-2</v>
      </c>
      <c r="AC191" s="67">
        <f t="shared" si="189"/>
        <v>1.8730530238579998E-2</v>
      </c>
    </row>
    <row r="193" spans="2:2" x14ac:dyDescent="0.25">
      <c r="B193" s="40"/>
    </row>
    <row r="215" spans="1:44" s="3" customFormat="1" ht="21" x14ac:dyDescent="0.35">
      <c r="A215" s="2" t="str">
        <f>'Parameter Input'!A114</f>
        <v>Railway long-haul: Container</v>
      </c>
    </row>
    <row r="216" spans="1:44" s="3" customFormat="1" ht="21" x14ac:dyDescent="0.35">
      <c r="A216" s="2" t="s">
        <v>136</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Input'!$L$103</f>
        <v>5000000</v>
      </c>
      <c r="C225" s="42">
        <f>'Parameter Input'!$M$103</f>
        <v>5000000</v>
      </c>
      <c r="D225" s="1" t="s">
        <v>15</v>
      </c>
      <c r="L225" s="51">
        <f>'Parameter Input'!$O$103</f>
        <v>12</v>
      </c>
      <c r="M225" s="52">
        <v>0</v>
      </c>
      <c r="N225" s="52">
        <v>1</v>
      </c>
      <c r="O225" s="52">
        <f>'Parameter Input'!$P$103</f>
        <v>0.9</v>
      </c>
      <c r="P225" s="53">
        <f>'Parameter Input'!$Q$103</f>
        <v>0.4</v>
      </c>
      <c r="Q225" s="4">
        <f t="shared" ref="Q225:AR234" si="190">$N225+($M225-$N225)*((1/(1+EXP(-$P225*(Q$9-$L225)))^$O225))</f>
        <v>0.9867978615748374</v>
      </c>
      <c r="R225" s="4">
        <f t="shared" si="190"/>
        <v>0.98114509762858249</v>
      </c>
      <c r="S225" s="4">
        <f t="shared" si="190"/>
        <v>0.97311898315872036</v>
      </c>
      <c r="T225" s="4">
        <f t="shared" si="190"/>
        <v>0.96177484161592774</v>
      </c>
      <c r="U225" s="4">
        <f t="shared" si="190"/>
        <v>0.94584787155511363</v>
      </c>
      <c r="V225" s="4">
        <f t="shared" si="190"/>
        <v>0.92370360150141495</v>
      </c>
      <c r="W225" s="4">
        <f t="shared" si="190"/>
        <v>0.89334463567658451</v>
      </c>
      <c r="X225" s="4">
        <f t="shared" si="190"/>
        <v>0.85254543874327005</v>
      </c>
      <c r="Y225" s="4">
        <f t="shared" si="190"/>
        <v>0.79921300652623883</v>
      </c>
      <c r="Z225" s="4">
        <f t="shared" si="190"/>
        <v>0.73204982249993378</v>
      </c>
      <c r="AA225" s="4">
        <f t="shared" si="190"/>
        <v>0.65145592958786691</v>
      </c>
      <c r="AB225" s="4">
        <f t="shared" si="190"/>
        <v>0.56032247880849573</v>
      </c>
      <c r="AC225" s="4">
        <f t="shared" si="190"/>
        <v>0.46411326873185343</v>
      </c>
      <c r="AD225" s="4">
        <f t="shared" si="190"/>
        <v>0.36979727595523937</v>
      </c>
      <c r="AE225" s="4">
        <f t="shared" si="190"/>
        <v>0.28393948637231203</v>
      </c>
      <c r="AF225" s="4">
        <f t="shared" si="190"/>
        <v>0.21097259161117732</v>
      </c>
      <c r="AG225" s="4">
        <f t="shared" si="190"/>
        <v>0.15253917653798199</v>
      </c>
      <c r="AH225" s="4">
        <f t="shared" si="190"/>
        <v>0.10795188737709993</v>
      </c>
      <c r="AI225" s="4">
        <f t="shared" si="190"/>
        <v>7.5176653938091809E-2</v>
      </c>
      <c r="AJ225" s="4">
        <f t="shared" si="190"/>
        <v>5.1742836177502194E-2</v>
      </c>
      <c r="AK225" s="4">
        <f t="shared" si="190"/>
        <v>3.5319190625345942E-2</v>
      </c>
      <c r="AL225" s="4">
        <f t="shared" si="190"/>
        <v>2.3969442072658165E-2</v>
      </c>
      <c r="AM225" s="4">
        <f t="shared" si="190"/>
        <v>1.6202243558389728E-2</v>
      </c>
      <c r="AN225" s="4">
        <f t="shared" si="190"/>
        <v>1.0922240564108399E-2</v>
      </c>
      <c r="AO225" s="4">
        <f t="shared" si="190"/>
        <v>7.3493212906090566E-3</v>
      </c>
      <c r="AP225" s="4">
        <f t="shared" si="190"/>
        <v>4.9390262185057265E-3</v>
      </c>
      <c r="AQ225" s="4">
        <f t="shared" si="190"/>
        <v>3.3164275492956197E-3</v>
      </c>
      <c r="AR225" s="4">
        <f t="shared" si="190"/>
        <v>2.2256362146679809E-3</v>
      </c>
    </row>
    <row r="226" spans="1:44" x14ac:dyDescent="0.25">
      <c r="A226" s="24" t="s">
        <v>28</v>
      </c>
      <c r="B226" s="60">
        <f>'Parameter Input'!$L$104</f>
        <v>-750000</v>
      </c>
      <c r="C226" s="61">
        <f>'Parameter Input'!$M$104</f>
        <v>-750000</v>
      </c>
      <c r="D226" s="1" t="s">
        <v>15</v>
      </c>
      <c r="L226" s="54">
        <f>'Parameter Input'!$O$104</f>
        <v>12</v>
      </c>
      <c r="M226" s="37">
        <v>0</v>
      </c>
      <c r="N226" s="37">
        <v>1</v>
      </c>
      <c r="O226" s="37">
        <f>'Parameter Input'!$P$104</f>
        <v>0.9</v>
      </c>
      <c r="P226" s="55">
        <f>'Parameter Input'!$Q$104</f>
        <v>0.4</v>
      </c>
      <c r="Q226" s="4">
        <f t="shared" si="190"/>
        <v>0.9867978615748374</v>
      </c>
      <c r="R226" s="4">
        <f t="shared" si="190"/>
        <v>0.98114509762858249</v>
      </c>
      <c r="S226" s="4">
        <f t="shared" si="190"/>
        <v>0.97311898315872036</v>
      </c>
      <c r="T226" s="4">
        <f t="shared" si="190"/>
        <v>0.96177484161592774</v>
      </c>
      <c r="U226" s="4">
        <f t="shared" si="190"/>
        <v>0.94584787155511363</v>
      </c>
      <c r="V226" s="4">
        <f t="shared" si="190"/>
        <v>0.92370360150141495</v>
      </c>
      <c r="W226" s="4">
        <f t="shared" si="190"/>
        <v>0.89334463567658451</v>
      </c>
      <c r="X226" s="4">
        <f t="shared" si="190"/>
        <v>0.85254543874327005</v>
      </c>
      <c r="Y226" s="4">
        <f t="shared" si="190"/>
        <v>0.79921300652623883</v>
      </c>
      <c r="Z226" s="4">
        <f t="shared" si="190"/>
        <v>0.73204982249993378</v>
      </c>
      <c r="AA226" s="4">
        <f t="shared" si="190"/>
        <v>0.65145592958786691</v>
      </c>
      <c r="AB226" s="4">
        <f t="shared" si="190"/>
        <v>0.56032247880849573</v>
      </c>
      <c r="AC226" s="4">
        <f t="shared" si="190"/>
        <v>0.46411326873185343</v>
      </c>
      <c r="AD226" s="4">
        <f t="shared" si="190"/>
        <v>0.36979727595523937</v>
      </c>
      <c r="AE226" s="4">
        <f t="shared" si="190"/>
        <v>0.28393948637231203</v>
      </c>
      <c r="AF226" s="4">
        <f t="shared" si="190"/>
        <v>0.21097259161117732</v>
      </c>
      <c r="AG226" s="4">
        <f t="shared" si="190"/>
        <v>0.15253917653798199</v>
      </c>
      <c r="AH226" s="4">
        <f t="shared" si="190"/>
        <v>0.10795188737709993</v>
      </c>
      <c r="AI226" s="4">
        <f t="shared" si="190"/>
        <v>7.5176653938091809E-2</v>
      </c>
      <c r="AJ226" s="4">
        <f t="shared" si="190"/>
        <v>5.1742836177502194E-2</v>
      </c>
      <c r="AK226" s="4">
        <f t="shared" si="190"/>
        <v>3.5319190625345942E-2</v>
      </c>
      <c r="AL226" s="4">
        <f t="shared" si="190"/>
        <v>2.3969442072658165E-2</v>
      </c>
      <c r="AM226" s="4">
        <f t="shared" si="190"/>
        <v>1.6202243558389728E-2</v>
      </c>
      <c r="AN226" s="4">
        <f t="shared" si="190"/>
        <v>1.0922240564108399E-2</v>
      </c>
      <c r="AO226" s="4">
        <f t="shared" si="190"/>
        <v>7.3493212906090566E-3</v>
      </c>
      <c r="AP226" s="4">
        <f t="shared" si="190"/>
        <v>4.9390262185057265E-3</v>
      </c>
      <c r="AQ226" s="4">
        <f t="shared" si="190"/>
        <v>3.3164275492956197E-3</v>
      </c>
      <c r="AR226" s="4">
        <f t="shared" si="190"/>
        <v>2.2256362146679809E-3</v>
      </c>
    </row>
    <row r="227" spans="1:44" x14ac:dyDescent="0.25">
      <c r="A227" s="24" t="s">
        <v>14</v>
      </c>
      <c r="B227" s="43">
        <f>'Parameter Input'!B115</f>
        <v>2800000</v>
      </c>
      <c r="C227" s="44">
        <f>'Parameter Input'!C115</f>
        <v>2800000</v>
      </c>
      <c r="D227" s="1" t="s">
        <v>15</v>
      </c>
      <c r="L227" s="54">
        <f>'Parameter Input'!E115</f>
        <v>12</v>
      </c>
      <c r="M227" s="37">
        <v>0</v>
      </c>
      <c r="N227" s="37">
        <v>1</v>
      </c>
      <c r="O227" s="37">
        <f>'Parameter Input'!F115</f>
        <v>0.9</v>
      </c>
      <c r="P227" s="55">
        <f>'Parameter Input'!G115</f>
        <v>0.4</v>
      </c>
      <c r="Q227" s="4">
        <f t="shared" si="190"/>
        <v>0.9867978615748374</v>
      </c>
      <c r="R227" s="4">
        <f t="shared" si="190"/>
        <v>0.98114509762858249</v>
      </c>
      <c r="S227" s="4">
        <f t="shared" si="190"/>
        <v>0.97311898315872036</v>
      </c>
      <c r="T227" s="4">
        <f t="shared" si="190"/>
        <v>0.96177484161592774</v>
      </c>
      <c r="U227" s="4">
        <f t="shared" si="190"/>
        <v>0.94584787155511363</v>
      </c>
      <c r="V227" s="4">
        <f t="shared" si="190"/>
        <v>0.92370360150141495</v>
      </c>
      <c r="W227" s="4">
        <f t="shared" si="190"/>
        <v>0.89334463567658451</v>
      </c>
      <c r="X227" s="4">
        <f t="shared" si="190"/>
        <v>0.85254543874327005</v>
      </c>
      <c r="Y227" s="4">
        <f t="shared" si="190"/>
        <v>0.79921300652623883</v>
      </c>
      <c r="Z227" s="4">
        <f t="shared" si="190"/>
        <v>0.73204982249993378</v>
      </c>
      <c r="AA227" s="4">
        <f t="shared" si="190"/>
        <v>0.65145592958786691</v>
      </c>
      <c r="AB227" s="4">
        <f t="shared" si="190"/>
        <v>0.56032247880849573</v>
      </c>
      <c r="AC227" s="4">
        <f t="shared" si="190"/>
        <v>0.46411326873185343</v>
      </c>
      <c r="AD227" s="4">
        <f t="shared" si="190"/>
        <v>0.36979727595523937</v>
      </c>
      <c r="AE227" s="4">
        <f t="shared" si="190"/>
        <v>0.28393948637231203</v>
      </c>
      <c r="AF227" s="4">
        <f t="shared" si="190"/>
        <v>0.21097259161117732</v>
      </c>
      <c r="AG227" s="4">
        <f t="shared" si="190"/>
        <v>0.15253917653798199</v>
      </c>
      <c r="AH227" s="4">
        <f t="shared" si="190"/>
        <v>0.10795188737709993</v>
      </c>
      <c r="AI227" s="4">
        <f t="shared" si="190"/>
        <v>7.5176653938091809E-2</v>
      </c>
      <c r="AJ227" s="4">
        <f t="shared" si="190"/>
        <v>5.1742836177502194E-2</v>
      </c>
      <c r="AK227" s="4">
        <f t="shared" si="190"/>
        <v>3.5319190625345942E-2</v>
      </c>
      <c r="AL227" s="4">
        <f t="shared" si="190"/>
        <v>2.3969442072658165E-2</v>
      </c>
      <c r="AM227" s="4">
        <f t="shared" si="190"/>
        <v>1.6202243558389728E-2</v>
      </c>
      <c r="AN227" s="4">
        <f t="shared" si="190"/>
        <v>1.0922240564108399E-2</v>
      </c>
      <c r="AO227" s="4">
        <f t="shared" si="190"/>
        <v>7.3493212906090566E-3</v>
      </c>
      <c r="AP227" s="4">
        <f t="shared" si="190"/>
        <v>4.9390262185057265E-3</v>
      </c>
      <c r="AQ227" s="4">
        <f t="shared" si="190"/>
        <v>3.3164275492956197E-3</v>
      </c>
      <c r="AR227" s="4">
        <f t="shared" si="190"/>
        <v>2.2256362146679809E-3</v>
      </c>
    </row>
    <row r="228" spans="1:44" x14ac:dyDescent="0.25">
      <c r="A228" s="24" t="s">
        <v>25</v>
      </c>
      <c r="B228" s="60">
        <f>'Parameter Input'!B116</f>
        <v>-140000</v>
      </c>
      <c r="C228" s="61">
        <f>'Parameter Input'!C116</f>
        <v>-140000</v>
      </c>
      <c r="D228" s="1" t="s">
        <v>15</v>
      </c>
      <c r="L228" s="54">
        <f>'Parameter Input'!E116</f>
        <v>12</v>
      </c>
      <c r="M228" s="37">
        <v>0</v>
      </c>
      <c r="N228" s="37">
        <v>1</v>
      </c>
      <c r="O228" s="37">
        <f>'Parameter Input'!F116</f>
        <v>0.9</v>
      </c>
      <c r="P228" s="55">
        <f>'Parameter Input'!G116</f>
        <v>0.4</v>
      </c>
      <c r="Q228" s="4">
        <f t="shared" si="190"/>
        <v>0.9867978615748374</v>
      </c>
      <c r="R228" s="4">
        <f t="shared" si="190"/>
        <v>0.98114509762858249</v>
      </c>
      <c r="S228" s="4">
        <f t="shared" si="190"/>
        <v>0.97311898315872036</v>
      </c>
      <c r="T228" s="4">
        <f t="shared" si="190"/>
        <v>0.96177484161592774</v>
      </c>
      <c r="U228" s="4">
        <f t="shared" si="190"/>
        <v>0.94584787155511363</v>
      </c>
      <c r="V228" s="4">
        <f t="shared" si="190"/>
        <v>0.92370360150141495</v>
      </c>
      <c r="W228" s="4">
        <f t="shared" si="190"/>
        <v>0.89334463567658451</v>
      </c>
      <c r="X228" s="4">
        <f t="shared" si="190"/>
        <v>0.85254543874327005</v>
      </c>
      <c r="Y228" s="4">
        <f t="shared" si="190"/>
        <v>0.79921300652623883</v>
      </c>
      <c r="Z228" s="4">
        <f t="shared" si="190"/>
        <v>0.73204982249993378</v>
      </c>
      <c r="AA228" s="4">
        <f t="shared" si="190"/>
        <v>0.65145592958786691</v>
      </c>
      <c r="AB228" s="4">
        <f t="shared" si="190"/>
        <v>0.56032247880849573</v>
      </c>
      <c r="AC228" s="4">
        <f t="shared" si="190"/>
        <v>0.46411326873185343</v>
      </c>
      <c r="AD228" s="4">
        <f t="shared" si="190"/>
        <v>0.36979727595523937</v>
      </c>
      <c r="AE228" s="4">
        <f t="shared" si="190"/>
        <v>0.28393948637231203</v>
      </c>
      <c r="AF228" s="4">
        <f t="shared" si="190"/>
        <v>0.21097259161117732</v>
      </c>
      <c r="AG228" s="4">
        <f t="shared" si="190"/>
        <v>0.15253917653798199</v>
      </c>
      <c r="AH228" s="4">
        <f t="shared" si="190"/>
        <v>0.10795188737709993</v>
      </c>
      <c r="AI228" s="4">
        <f t="shared" si="190"/>
        <v>7.5176653938091809E-2</v>
      </c>
      <c r="AJ228" s="4">
        <f t="shared" si="190"/>
        <v>5.1742836177502194E-2</v>
      </c>
      <c r="AK228" s="4">
        <f t="shared" si="190"/>
        <v>3.5319190625345942E-2</v>
      </c>
      <c r="AL228" s="4">
        <f t="shared" si="190"/>
        <v>2.3969442072658165E-2</v>
      </c>
      <c r="AM228" s="4">
        <f t="shared" si="190"/>
        <v>1.6202243558389728E-2</v>
      </c>
      <c r="AN228" s="4">
        <f t="shared" si="190"/>
        <v>1.0922240564108399E-2</v>
      </c>
      <c r="AO228" s="4">
        <f t="shared" si="190"/>
        <v>7.3493212906090566E-3</v>
      </c>
      <c r="AP228" s="4">
        <f t="shared" si="190"/>
        <v>4.9390262185057265E-3</v>
      </c>
      <c r="AQ228" s="4">
        <f t="shared" si="190"/>
        <v>3.3164275492956197E-3</v>
      </c>
      <c r="AR228" s="4">
        <f t="shared" si="190"/>
        <v>2.2256362146679809E-3</v>
      </c>
    </row>
    <row r="229" spans="1:44" x14ac:dyDescent="0.25">
      <c r="A229" s="24" t="s">
        <v>79</v>
      </c>
      <c r="B229" s="45">
        <f>'Parameter Input'!$L$110</f>
        <v>0.06</v>
      </c>
      <c r="C229" s="46">
        <f>'Parameter Input'!$M$110</f>
        <v>0.06</v>
      </c>
      <c r="D229" s="1" t="s">
        <v>57</v>
      </c>
      <c r="L229" s="54">
        <f>'Parameter Input'!$O$110</f>
        <v>12</v>
      </c>
      <c r="M229" s="37">
        <v>0</v>
      </c>
      <c r="N229" s="37">
        <v>1</v>
      </c>
      <c r="O229" s="37">
        <f>'Parameter Input'!$P$110</f>
        <v>0.9</v>
      </c>
      <c r="P229" s="55">
        <f>'Parameter Input'!$Q$110</f>
        <v>0.4</v>
      </c>
      <c r="Q229" s="4">
        <f t="shared" si="190"/>
        <v>0.9867978615748374</v>
      </c>
      <c r="R229" s="4">
        <f t="shared" si="190"/>
        <v>0.98114509762858249</v>
      </c>
      <c r="S229" s="4">
        <f t="shared" si="190"/>
        <v>0.97311898315872036</v>
      </c>
      <c r="T229" s="4">
        <f t="shared" si="190"/>
        <v>0.96177484161592774</v>
      </c>
      <c r="U229" s="4">
        <f t="shared" si="190"/>
        <v>0.94584787155511363</v>
      </c>
      <c r="V229" s="4">
        <f t="shared" si="190"/>
        <v>0.92370360150141495</v>
      </c>
      <c r="W229" s="4">
        <f t="shared" si="190"/>
        <v>0.89334463567658451</v>
      </c>
      <c r="X229" s="4">
        <f t="shared" si="190"/>
        <v>0.85254543874327005</v>
      </c>
      <c r="Y229" s="4">
        <f t="shared" si="190"/>
        <v>0.79921300652623883</v>
      </c>
      <c r="Z229" s="4">
        <f t="shared" si="190"/>
        <v>0.73204982249993378</v>
      </c>
      <c r="AA229" s="4">
        <f t="shared" si="190"/>
        <v>0.65145592958786691</v>
      </c>
      <c r="AB229" s="4">
        <f t="shared" si="190"/>
        <v>0.56032247880849573</v>
      </c>
      <c r="AC229" s="4">
        <f t="shared" si="190"/>
        <v>0.46411326873185343</v>
      </c>
      <c r="AD229" s="4">
        <f t="shared" si="190"/>
        <v>0.36979727595523937</v>
      </c>
      <c r="AE229" s="4">
        <f t="shared" si="190"/>
        <v>0.28393948637231203</v>
      </c>
      <c r="AF229" s="4">
        <f t="shared" si="190"/>
        <v>0.21097259161117732</v>
      </c>
      <c r="AG229" s="4">
        <f t="shared" si="190"/>
        <v>0.15253917653798199</v>
      </c>
      <c r="AH229" s="4">
        <f t="shared" si="190"/>
        <v>0.10795188737709993</v>
      </c>
      <c r="AI229" s="4">
        <f t="shared" si="190"/>
        <v>7.5176653938091809E-2</v>
      </c>
      <c r="AJ229" s="4">
        <f t="shared" si="190"/>
        <v>5.1742836177502194E-2</v>
      </c>
      <c r="AK229" s="4">
        <f t="shared" si="190"/>
        <v>3.5319190625345942E-2</v>
      </c>
      <c r="AL229" s="4">
        <f t="shared" si="190"/>
        <v>2.3969442072658165E-2</v>
      </c>
      <c r="AM229" s="4">
        <f t="shared" si="190"/>
        <v>1.6202243558389728E-2</v>
      </c>
      <c r="AN229" s="4">
        <f t="shared" si="190"/>
        <v>1.0922240564108399E-2</v>
      </c>
      <c r="AO229" s="4">
        <f t="shared" si="190"/>
        <v>7.3493212906090566E-3</v>
      </c>
      <c r="AP229" s="4">
        <f t="shared" si="190"/>
        <v>4.9390262185057265E-3</v>
      </c>
      <c r="AQ229" s="4">
        <f t="shared" si="190"/>
        <v>3.3164275492956197E-3</v>
      </c>
      <c r="AR229" s="4">
        <f t="shared" si="190"/>
        <v>2.2256362146679809E-3</v>
      </c>
    </row>
    <row r="230" spans="1:44" x14ac:dyDescent="0.25">
      <c r="A230" s="24" t="s">
        <v>37</v>
      </c>
      <c r="B230" s="43">
        <f>'Parameter Input'!B117</f>
        <v>610000</v>
      </c>
      <c r="C230" s="44">
        <f>'Parameter Input'!C117</f>
        <v>610000</v>
      </c>
      <c r="D230" s="1" t="s">
        <v>38</v>
      </c>
      <c r="L230" s="54">
        <f>'Parameter Input'!E117</f>
        <v>12</v>
      </c>
      <c r="M230" s="37">
        <v>0</v>
      </c>
      <c r="N230" s="37">
        <v>1</v>
      </c>
      <c r="O230" s="37">
        <f>'Parameter Input'!F117</f>
        <v>0.9</v>
      </c>
      <c r="P230" s="55">
        <f>'Parameter Input'!G117</f>
        <v>0.4</v>
      </c>
      <c r="Q230" s="4">
        <f t="shared" si="190"/>
        <v>0.9867978615748374</v>
      </c>
      <c r="R230" s="4">
        <f t="shared" si="190"/>
        <v>0.98114509762858249</v>
      </c>
      <c r="S230" s="4">
        <f t="shared" si="190"/>
        <v>0.97311898315872036</v>
      </c>
      <c r="T230" s="4">
        <f t="shared" si="190"/>
        <v>0.96177484161592774</v>
      </c>
      <c r="U230" s="4">
        <f t="shared" si="190"/>
        <v>0.94584787155511363</v>
      </c>
      <c r="V230" s="4">
        <f t="shared" si="190"/>
        <v>0.92370360150141495</v>
      </c>
      <c r="W230" s="4">
        <f t="shared" si="190"/>
        <v>0.89334463567658451</v>
      </c>
      <c r="X230" s="4">
        <f t="shared" si="190"/>
        <v>0.85254543874327005</v>
      </c>
      <c r="Y230" s="4">
        <f t="shared" si="190"/>
        <v>0.79921300652623883</v>
      </c>
      <c r="Z230" s="4">
        <f t="shared" si="190"/>
        <v>0.73204982249993378</v>
      </c>
      <c r="AA230" s="4">
        <f t="shared" si="190"/>
        <v>0.65145592958786691</v>
      </c>
      <c r="AB230" s="4">
        <f t="shared" si="190"/>
        <v>0.56032247880849573</v>
      </c>
      <c r="AC230" s="4">
        <f t="shared" si="190"/>
        <v>0.46411326873185343</v>
      </c>
      <c r="AD230" s="4">
        <f t="shared" si="190"/>
        <v>0.36979727595523937</v>
      </c>
      <c r="AE230" s="4">
        <f t="shared" si="190"/>
        <v>0.28393948637231203</v>
      </c>
      <c r="AF230" s="4">
        <f t="shared" si="190"/>
        <v>0.21097259161117732</v>
      </c>
      <c r="AG230" s="4">
        <f t="shared" si="190"/>
        <v>0.15253917653798199</v>
      </c>
      <c r="AH230" s="4">
        <f t="shared" si="190"/>
        <v>0.10795188737709993</v>
      </c>
      <c r="AI230" s="4">
        <f t="shared" si="190"/>
        <v>7.5176653938091809E-2</v>
      </c>
      <c r="AJ230" s="4">
        <f t="shared" si="190"/>
        <v>5.1742836177502194E-2</v>
      </c>
      <c r="AK230" s="4">
        <f t="shared" si="190"/>
        <v>3.5319190625345942E-2</v>
      </c>
      <c r="AL230" s="4">
        <f t="shared" si="190"/>
        <v>2.3969442072658165E-2</v>
      </c>
      <c r="AM230" s="4">
        <f t="shared" si="190"/>
        <v>1.6202243558389728E-2</v>
      </c>
      <c r="AN230" s="4">
        <f t="shared" si="190"/>
        <v>1.0922240564108399E-2</v>
      </c>
      <c r="AO230" s="4">
        <f t="shared" si="190"/>
        <v>7.3493212906090566E-3</v>
      </c>
      <c r="AP230" s="4">
        <f t="shared" si="190"/>
        <v>4.9390262185057265E-3</v>
      </c>
      <c r="AQ230" s="4">
        <f t="shared" si="190"/>
        <v>3.3164275492956197E-3</v>
      </c>
      <c r="AR230" s="4">
        <f t="shared" si="190"/>
        <v>2.2256362146679809E-3</v>
      </c>
    </row>
    <row r="231" spans="1:44" x14ac:dyDescent="0.25">
      <c r="A231" s="24" t="s">
        <v>52</v>
      </c>
      <c r="B231" s="43">
        <f>'Parameter Input'!$L$106</f>
        <v>650000</v>
      </c>
      <c r="C231" s="44">
        <f>'Parameter Input'!$M$106</f>
        <v>650000</v>
      </c>
      <c r="D231" s="1" t="s">
        <v>38</v>
      </c>
      <c r="L231" s="54">
        <f>'Parameter Input'!$O$106</f>
        <v>12</v>
      </c>
      <c r="M231" s="37">
        <v>0</v>
      </c>
      <c r="N231" s="37">
        <v>1</v>
      </c>
      <c r="O231" s="37">
        <f>'Parameter Input'!$P$106</f>
        <v>0.9</v>
      </c>
      <c r="P231" s="55">
        <f>'Parameter Input'!$Q$106</f>
        <v>0.4</v>
      </c>
      <c r="Q231" s="4">
        <f t="shared" si="190"/>
        <v>0.9867978615748374</v>
      </c>
      <c r="R231" s="4">
        <f t="shared" si="190"/>
        <v>0.98114509762858249</v>
      </c>
      <c r="S231" s="4">
        <f t="shared" si="190"/>
        <v>0.97311898315872036</v>
      </c>
      <c r="T231" s="4">
        <f t="shared" si="190"/>
        <v>0.96177484161592774</v>
      </c>
      <c r="U231" s="4">
        <f t="shared" si="190"/>
        <v>0.94584787155511363</v>
      </c>
      <c r="V231" s="4">
        <f t="shared" si="190"/>
        <v>0.92370360150141495</v>
      </c>
      <c r="W231" s="4">
        <f t="shared" si="190"/>
        <v>0.89334463567658451</v>
      </c>
      <c r="X231" s="4">
        <f t="shared" si="190"/>
        <v>0.85254543874327005</v>
      </c>
      <c r="Y231" s="4">
        <f t="shared" si="190"/>
        <v>0.79921300652623883</v>
      </c>
      <c r="Z231" s="4">
        <f t="shared" si="190"/>
        <v>0.73204982249993378</v>
      </c>
      <c r="AA231" s="4">
        <f t="shared" si="190"/>
        <v>0.65145592958786691</v>
      </c>
      <c r="AB231" s="4">
        <f t="shared" si="190"/>
        <v>0.56032247880849573</v>
      </c>
      <c r="AC231" s="4">
        <f t="shared" si="190"/>
        <v>0.46411326873185343</v>
      </c>
      <c r="AD231" s="4">
        <f t="shared" si="190"/>
        <v>0.36979727595523937</v>
      </c>
      <c r="AE231" s="4">
        <f t="shared" si="190"/>
        <v>0.28393948637231203</v>
      </c>
      <c r="AF231" s="4">
        <f t="shared" si="190"/>
        <v>0.21097259161117732</v>
      </c>
      <c r="AG231" s="4">
        <f t="shared" si="190"/>
        <v>0.15253917653798199</v>
      </c>
      <c r="AH231" s="4">
        <f t="shared" si="190"/>
        <v>0.10795188737709993</v>
      </c>
      <c r="AI231" s="4">
        <f t="shared" si="190"/>
        <v>7.5176653938091809E-2</v>
      </c>
      <c r="AJ231" s="4">
        <f t="shared" si="190"/>
        <v>5.1742836177502194E-2</v>
      </c>
      <c r="AK231" s="4">
        <f t="shared" si="190"/>
        <v>3.5319190625345942E-2</v>
      </c>
      <c r="AL231" s="4">
        <f t="shared" si="190"/>
        <v>2.3969442072658165E-2</v>
      </c>
      <c r="AM231" s="4">
        <f t="shared" si="190"/>
        <v>1.6202243558389728E-2</v>
      </c>
      <c r="AN231" s="4">
        <f t="shared" si="190"/>
        <v>1.0922240564108399E-2</v>
      </c>
      <c r="AO231" s="4">
        <f t="shared" si="190"/>
        <v>7.3493212906090566E-3</v>
      </c>
      <c r="AP231" s="4">
        <f t="shared" si="190"/>
        <v>4.9390262185057265E-3</v>
      </c>
      <c r="AQ231" s="4">
        <f t="shared" si="190"/>
        <v>3.3164275492956197E-3</v>
      </c>
      <c r="AR231" s="4">
        <f t="shared" si="190"/>
        <v>2.2256362146679809E-3</v>
      </c>
    </row>
    <row r="232" spans="1:44" x14ac:dyDescent="0.25">
      <c r="A232" s="24" t="s">
        <v>287</v>
      </c>
      <c r="B232" s="45">
        <f>'Parameter Input'!B122</f>
        <v>3.6414565826330532</v>
      </c>
      <c r="C232" s="46">
        <f>'Parameter Input'!C122</f>
        <v>3.6414565826330532</v>
      </c>
      <c r="D232" s="1" t="s">
        <v>76</v>
      </c>
      <c r="L232" s="54">
        <f>'Parameter Input'!E122</f>
        <v>12</v>
      </c>
      <c r="M232" s="37">
        <v>0</v>
      </c>
      <c r="N232" s="37">
        <v>1</v>
      </c>
      <c r="O232" s="37">
        <f>'Parameter Input'!F122</f>
        <v>0.9</v>
      </c>
      <c r="P232" s="55">
        <f>'Parameter Input'!G122</f>
        <v>0.4</v>
      </c>
      <c r="Q232" s="4">
        <f t="shared" si="190"/>
        <v>0.9867978615748374</v>
      </c>
      <c r="R232" s="4">
        <f t="shared" si="190"/>
        <v>0.98114509762858249</v>
      </c>
      <c r="S232" s="4">
        <f t="shared" si="190"/>
        <v>0.97311898315872036</v>
      </c>
      <c r="T232" s="4">
        <f t="shared" si="190"/>
        <v>0.96177484161592774</v>
      </c>
      <c r="U232" s="4">
        <f t="shared" si="190"/>
        <v>0.94584787155511363</v>
      </c>
      <c r="V232" s="4">
        <f t="shared" si="190"/>
        <v>0.92370360150141495</v>
      </c>
      <c r="W232" s="4">
        <f t="shared" si="190"/>
        <v>0.89334463567658451</v>
      </c>
      <c r="X232" s="4">
        <f t="shared" si="190"/>
        <v>0.85254543874327005</v>
      </c>
      <c r="Y232" s="4">
        <f t="shared" si="190"/>
        <v>0.79921300652623883</v>
      </c>
      <c r="Z232" s="4">
        <f t="shared" si="190"/>
        <v>0.73204982249993378</v>
      </c>
      <c r="AA232" s="4">
        <f t="shared" si="190"/>
        <v>0.65145592958786691</v>
      </c>
      <c r="AB232" s="4">
        <f t="shared" si="190"/>
        <v>0.56032247880849573</v>
      </c>
      <c r="AC232" s="4">
        <f t="shared" si="190"/>
        <v>0.46411326873185343</v>
      </c>
      <c r="AD232" s="4">
        <f t="shared" si="190"/>
        <v>0.36979727595523937</v>
      </c>
      <c r="AE232" s="4">
        <f t="shared" si="190"/>
        <v>0.28393948637231203</v>
      </c>
      <c r="AF232" s="4">
        <f t="shared" si="190"/>
        <v>0.21097259161117732</v>
      </c>
      <c r="AG232" s="4">
        <f t="shared" si="190"/>
        <v>0.15253917653798199</v>
      </c>
      <c r="AH232" s="4">
        <f t="shared" si="190"/>
        <v>0.10795188737709993</v>
      </c>
      <c r="AI232" s="4">
        <f t="shared" si="190"/>
        <v>7.5176653938091809E-2</v>
      </c>
      <c r="AJ232" s="4">
        <f t="shared" si="190"/>
        <v>5.1742836177502194E-2</v>
      </c>
      <c r="AK232" s="4">
        <f t="shared" si="190"/>
        <v>3.5319190625345942E-2</v>
      </c>
      <c r="AL232" s="4">
        <f t="shared" si="190"/>
        <v>2.3969442072658165E-2</v>
      </c>
      <c r="AM232" s="4">
        <f t="shared" si="190"/>
        <v>1.6202243558389728E-2</v>
      </c>
      <c r="AN232" s="4">
        <f t="shared" si="190"/>
        <v>1.0922240564108399E-2</v>
      </c>
      <c r="AO232" s="4">
        <f t="shared" si="190"/>
        <v>7.3493212906090566E-3</v>
      </c>
      <c r="AP232" s="4">
        <f t="shared" si="190"/>
        <v>4.9390262185057265E-3</v>
      </c>
      <c r="AQ232" s="4">
        <f t="shared" si="190"/>
        <v>3.3164275492956197E-3</v>
      </c>
      <c r="AR232" s="4">
        <f t="shared" si="190"/>
        <v>2.2256362146679809E-3</v>
      </c>
    </row>
    <row r="233" spans="1:44" x14ac:dyDescent="0.25">
      <c r="A233" s="24" t="s">
        <v>59</v>
      </c>
      <c r="B233" s="47">
        <f>'Parameter Input'!$L$107</f>
        <v>31.614305882352937</v>
      </c>
      <c r="C233" s="48">
        <f>'Parameter Input'!$M$107</f>
        <v>31.614305882352937</v>
      </c>
      <c r="D233" s="1" t="s">
        <v>60</v>
      </c>
      <c r="L233" s="54">
        <f>'Parameter Input'!$O$107</f>
        <v>12</v>
      </c>
      <c r="M233" s="37">
        <v>0</v>
      </c>
      <c r="N233" s="37">
        <v>1</v>
      </c>
      <c r="O233" s="37">
        <f>'Parameter Input'!$P$107</f>
        <v>0.9</v>
      </c>
      <c r="P233" s="55">
        <f>'Parameter Input'!$Q$107</f>
        <v>0.4</v>
      </c>
      <c r="Q233" s="4">
        <f t="shared" si="190"/>
        <v>0.9867978615748374</v>
      </c>
      <c r="R233" s="4">
        <f t="shared" si="190"/>
        <v>0.98114509762858249</v>
      </c>
      <c r="S233" s="4">
        <f t="shared" si="190"/>
        <v>0.97311898315872036</v>
      </c>
      <c r="T233" s="4">
        <f t="shared" si="190"/>
        <v>0.96177484161592774</v>
      </c>
      <c r="U233" s="4">
        <f t="shared" si="190"/>
        <v>0.94584787155511363</v>
      </c>
      <c r="V233" s="4">
        <f t="shared" si="190"/>
        <v>0.92370360150141495</v>
      </c>
      <c r="W233" s="4">
        <f t="shared" si="190"/>
        <v>0.89334463567658451</v>
      </c>
      <c r="X233" s="4">
        <f t="shared" si="190"/>
        <v>0.85254543874327005</v>
      </c>
      <c r="Y233" s="4">
        <f t="shared" si="190"/>
        <v>0.79921300652623883</v>
      </c>
      <c r="Z233" s="4">
        <f t="shared" si="190"/>
        <v>0.73204982249993378</v>
      </c>
      <c r="AA233" s="4">
        <f t="shared" si="190"/>
        <v>0.65145592958786691</v>
      </c>
      <c r="AB233" s="4">
        <f t="shared" si="190"/>
        <v>0.56032247880849573</v>
      </c>
      <c r="AC233" s="4">
        <f t="shared" si="190"/>
        <v>0.46411326873185343</v>
      </c>
      <c r="AD233" s="4">
        <f t="shared" si="190"/>
        <v>0.36979727595523937</v>
      </c>
      <c r="AE233" s="4">
        <f t="shared" si="190"/>
        <v>0.28393948637231203</v>
      </c>
      <c r="AF233" s="4">
        <f t="shared" si="190"/>
        <v>0.21097259161117732</v>
      </c>
      <c r="AG233" s="4">
        <f t="shared" si="190"/>
        <v>0.15253917653798199</v>
      </c>
      <c r="AH233" s="4">
        <f t="shared" si="190"/>
        <v>0.10795188737709993</v>
      </c>
      <c r="AI233" s="4">
        <f t="shared" si="190"/>
        <v>7.5176653938091809E-2</v>
      </c>
      <c r="AJ233" s="4">
        <f t="shared" si="190"/>
        <v>5.1742836177502194E-2</v>
      </c>
      <c r="AK233" s="4">
        <f t="shared" si="190"/>
        <v>3.5319190625345942E-2</v>
      </c>
      <c r="AL233" s="4">
        <f t="shared" si="190"/>
        <v>2.3969442072658165E-2</v>
      </c>
      <c r="AM233" s="4">
        <f t="shared" si="190"/>
        <v>1.6202243558389728E-2</v>
      </c>
      <c r="AN233" s="4">
        <f t="shared" si="190"/>
        <v>1.0922240564108399E-2</v>
      </c>
      <c r="AO233" s="4">
        <f t="shared" si="190"/>
        <v>7.3493212906090566E-3</v>
      </c>
      <c r="AP233" s="4">
        <f t="shared" si="190"/>
        <v>4.9390262185057265E-3</v>
      </c>
      <c r="AQ233" s="4">
        <f t="shared" si="190"/>
        <v>3.3164275492956197E-3</v>
      </c>
      <c r="AR233" s="4">
        <f t="shared" si="190"/>
        <v>2.2256362146679809E-3</v>
      </c>
    </row>
    <row r="234" spans="1:44" x14ac:dyDescent="0.25">
      <c r="A234" s="24" t="s">
        <v>67</v>
      </c>
      <c r="B234" s="45">
        <f>'Parameter Input'!$L$108</f>
        <v>0.13371034051801745</v>
      </c>
      <c r="C234" s="46">
        <f>'Parameter Input'!$M$108</f>
        <v>8.7585019329602734E-2</v>
      </c>
      <c r="D234" s="1" t="s">
        <v>68</v>
      </c>
      <c r="L234" s="54">
        <f>'Parameter Input'!$O$108</f>
        <v>12</v>
      </c>
      <c r="M234" s="37">
        <v>0</v>
      </c>
      <c r="N234" s="37">
        <v>1</v>
      </c>
      <c r="O234" s="37">
        <f>'Parameter Input'!$P$108</f>
        <v>0.9</v>
      </c>
      <c r="P234" s="55">
        <f>'Parameter Input'!$Q$108</f>
        <v>0.4</v>
      </c>
      <c r="Q234" s="4">
        <f t="shared" si="190"/>
        <v>0.9867978615748374</v>
      </c>
      <c r="R234" s="4">
        <f t="shared" si="190"/>
        <v>0.98114509762858249</v>
      </c>
      <c r="S234" s="4">
        <f t="shared" si="190"/>
        <v>0.97311898315872036</v>
      </c>
      <c r="T234" s="4">
        <f t="shared" ref="T234:AI241" si="191">$N234+($M234-$N234)*((1/(1+EXP(-$P234*(T$9-$L234)))^$O234))</f>
        <v>0.96177484161592774</v>
      </c>
      <c r="U234" s="4">
        <f t="shared" si="191"/>
        <v>0.94584787155511363</v>
      </c>
      <c r="V234" s="4">
        <f t="shared" si="191"/>
        <v>0.92370360150141495</v>
      </c>
      <c r="W234" s="4">
        <f t="shared" si="191"/>
        <v>0.89334463567658451</v>
      </c>
      <c r="X234" s="4">
        <f t="shared" si="191"/>
        <v>0.85254543874327005</v>
      </c>
      <c r="Y234" s="4">
        <f t="shared" si="191"/>
        <v>0.79921300652623883</v>
      </c>
      <c r="Z234" s="4">
        <f t="shared" si="191"/>
        <v>0.73204982249993378</v>
      </c>
      <c r="AA234" s="4">
        <f t="shared" si="191"/>
        <v>0.65145592958786691</v>
      </c>
      <c r="AB234" s="4">
        <f t="shared" si="191"/>
        <v>0.56032247880849573</v>
      </c>
      <c r="AC234" s="4">
        <f t="shared" si="191"/>
        <v>0.46411326873185343</v>
      </c>
      <c r="AD234" s="4">
        <f t="shared" si="191"/>
        <v>0.36979727595523937</v>
      </c>
      <c r="AE234" s="4">
        <f t="shared" si="191"/>
        <v>0.28393948637231203</v>
      </c>
      <c r="AF234" s="4">
        <f t="shared" si="191"/>
        <v>0.21097259161117732</v>
      </c>
      <c r="AG234" s="4">
        <f t="shared" si="191"/>
        <v>0.15253917653798199</v>
      </c>
      <c r="AH234" s="4">
        <f t="shared" si="191"/>
        <v>0.10795188737709993</v>
      </c>
      <c r="AI234" s="4">
        <f t="shared" si="191"/>
        <v>7.5176653938091809E-2</v>
      </c>
      <c r="AJ234" s="4">
        <f t="shared" ref="AJ234:AR241" si="192">$N234+($M234-$N234)*((1/(1+EXP(-$P234*(AJ$9-$L234)))^$O234))</f>
        <v>5.1742836177502194E-2</v>
      </c>
      <c r="AK234" s="4">
        <f t="shared" si="192"/>
        <v>3.5319190625345942E-2</v>
      </c>
      <c r="AL234" s="4">
        <f t="shared" si="192"/>
        <v>2.3969442072658165E-2</v>
      </c>
      <c r="AM234" s="4">
        <f t="shared" si="192"/>
        <v>1.6202243558389728E-2</v>
      </c>
      <c r="AN234" s="4">
        <f t="shared" si="192"/>
        <v>1.0922240564108399E-2</v>
      </c>
      <c r="AO234" s="4">
        <f t="shared" si="192"/>
        <v>7.3493212906090566E-3</v>
      </c>
      <c r="AP234" s="4">
        <f t="shared" si="192"/>
        <v>4.9390262185057265E-3</v>
      </c>
      <c r="AQ234" s="4">
        <f t="shared" si="192"/>
        <v>3.3164275492956197E-3</v>
      </c>
      <c r="AR234" s="4">
        <f t="shared" si="192"/>
        <v>2.2256362146679809E-3</v>
      </c>
    </row>
    <row r="235" spans="1:44" x14ac:dyDescent="0.25">
      <c r="A235" s="24" t="s">
        <v>206</v>
      </c>
      <c r="B235" s="115">
        <f>'Parameter Input'!$L$111</f>
        <v>7.321207678018575E-2</v>
      </c>
      <c r="C235" s="116">
        <f>'Parameter Input'!$M$111</f>
        <v>0</v>
      </c>
      <c r="D235" s="1" t="s">
        <v>76</v>
      </c>
      <c r="L235" s="54">
        <f>'Parameter Input'!$O$111</f>
        <v>17</v>
      </c>
      <c r="M235" s="37">
        <v>0</v>
      </c>
      <c r="N235" s="37">
        <v>1</v>
      </c>
      <c r="O235" s="37">
        <f>'Parameter Input'!$P$111</f>
        <v>0.9</v>
      </c>
      <c r="P235" s="55">
        <f>'Parameter Input'!$Q$111</f>
        <v>0.4</v>
      </c>
      <c r="Q235" s="4">
        <f t="shared" ref="Q235:AR235" si="193">$N235+($M235-$N235)*((1/(1+EXP(-$P235*(Q$9-$L235)))^$O235))</f>
        <v>0.99780374543478534</v>
      </c>
      <c r="R235" s="4">
        <f t="shared" si="193"/>
        <v>0.99685359315256394</v>
      </c>
      <c r="S235" s="4">
        <f t="shared" si="193"/>
        <v>0.99549347132349975</v>
      </c>
      <c r="T235" s="4">
        <f t="shared" si="193"/>
        <v>0.99354772139898062</v>
      </c>
      <c r="U235" s="4">
        <f t="shared" si="193"/>
        <v>0.99076681540580536</v>
      </c>
      <c r="V235" s="4">
        <f t="shared" si="193"/>
        <v>0.9867978615748374</v>
      </c>
      <c r="W235" s="4">
        <f t="shared" si="193"/>
        <v>0.98114509762858249</v>
      </c>
      <c r="X235" s="4">
        <f t="shared" si="193"/>
        <v>0.97311898315872036</v>
      </c>
      <c r="Y235" s="4">
        <f t="shared" si="193"/>
        <v>0.96177484161592774</v>
      </c>
      <c r="Z235" s="4">
        <f t="shared" si="193"/>
        <v>0.94584787155511363</v>
      </c>
      <c r="AA235" s="4">
        <f t="shared" si="193"/>
        <v>0.92370360150141495</v>
      </c>
      <c r="AB235" s="4">
        <f t="shared" si="193"/>
        <v>0.89334463567658451</v>
      </c>
      <c r="AC235" s="4">
        <f t="shared" si="193"/>
        <v>0.85254543874327005</v>
      </c>
      <c r="AD235" s="4">
        <f t="shared" si="193"/>
        <v>0.79921300652623883</v>
      </c>
      <c r="AE235" s="4">
        <f t="shared" si="193"/>
        <v>0.73204982249993378</v>
      </c>
      <c r="AF235" s="4">
        <f t="shared" si="193"/>
        <v>0.65145592958786691</v>
      </c>
      <c r="AG235" s="4">
        <f t="shared" si="193"/>
        <v>0.56032247880849573</v>
      </c>
      <c r="AH235" s="4">
        <f t="shared" si="193"/>
        <v>0.46411326873185343</v>
      </c>
      <c r="AI235" s="4">
        <f t="shared" si="193"/>
        <v>0.36979727595523937</v>
      </c>
      <c r="AJ235" s="4">
        <f t="shared" si="193"/>
        <v>0.28393948637231203</v>
      </c>
      <c r="AK235" s="4">
        <f t="shared" si="193"/>
        <v>0.21097259161117732</v>
      </c>
      <c r="AL235" s="4">
        <f t="shared" si="193"/>
        <v>0.15253917653798199</v>
      </c>
      <c r="AM235" s="4">
        <f t="shared" si="193"/>
        <v>0.10795188737709993</v>
      </c>
      <c r="AN235" s="4">
        <f t="shared" si="193"/>
        <v>7.5176653938091809E-2</v>
      </c>
      <c r="AO235" s="4">
        <f t="shared" si="193"/>
        <v>5.1742836177502194E-2</v>
      </c>
      <c r="AP235" s="4">
        <f t="shared" si="193"/>
        <v>3.5319190625345942E-2</v>
      </c>
      <c r="AQ235" s="4">
        <f t="shared" si="193"/>
        <v>2.3969442072658165E-2</v>
      </c>
      <c r="AR235" s="4">
        <f t="shared" si="193"/>
        <v>1.6202243558389728E-2</v>
      </c>
    </row>
    <row r="236" spans="1:44" x14ac:dyDescent="0.25">
      <c r="A236" s="24" t="s">
        <v>41</v>
      </c>
      <c r="B236" s="43">
        <f>'Parameter Input'!$L$105</f>
        <v>20</v>
      </c>
      <c r="C236" s="44">
        <f>'Parameter Input'!$M$105</f>
        <v>20</v>
      </c>
      <c r="D236" s="1" t="s">
        <v>42</v>
      </c>
      <c r="L236" s="54">
        <f>'Parameter Input'!$O$105</f>
        <v>12</v>
      </c>
      <c r="M236" s="37">
        <v>0</v>
      </c>
      <c r="N236" s="37">
        <v>1</v>
      </c>
      <c r="O236" s="37">
        <f>'Parameter Input'!$P$105</f>
        <v>0.9</v>
      </c>
      <c r="P236" s="55">
        <f>'Parameter Input'!$Q$105</f>
        <v>0.4</v>
      </c>
      <c r="Q236" s="4">
        <f t="shared" ref="Q236:AF241" si="194">$N236+($M236-$N236)*((1/(1+EXP(-$P236*(Q$9-$L236)))^$O236))</f>
        <v>0.9867978615748374</v>
      </c>
      <c r="R236" s="4">
        <f t="shared" si="194"/>
        <v>0.98114509762858249</v>
      </c>
      <c r="S236" s="4">
        <f t="shared" si="194"/>
        <v>0.97311898315872036</v>
      </c>
      <c r="T236" s="4">
        <f t="shared" si="194"/>
        <v>0.96177484161592774</v>
      </c>
      <c r="U236" s="4">
        <f t="shared" si="194"/>
        <v>0.94584787155511363</v>
      </c>
      <c r="V236" s="4">
        <f t="shared" si="194"/>
        <v>0.92370360150141495</v>
      </c>
      <c r="W236" s="4">
        <f t="shared" si="194"/>
        <v>0.89334463567658451</v>
      </c>
      <c r="X236" s="4">
        <f t="shared" si="194"/>
        <v>0.85254543874327005</v>
      </c>
      <c r="Y236" s="4">
        <f t="shared" si="194"/>
        <v>0.79921300652623883</v>
      </c>
      <c r="Z236" s="4">
        <f t="shared" si="194"/>
        <v>0.73204982249993378</v>
      </c>
      <c r="AA236" s="4">
        <f t="shared" si="194"/>
        <v>0.65145592958786691</v>
      </c>
      <c r="AB236" s="4">
        <f t="shared" si="194"/>
        <v>0.56032247880849573</v>
      </c>
      <c r="AC236" s="4">
        <f t="shared" si="194"/>
        <v>0.46411326873185343</v>
      </c>
      <c r="AD236" s="4">
        <f t="shared" si="194"/>
        <v>0.36979727595523937</v>
      </c>
      <c r="AE236" s="4">
        <f t="shared" si="194"/>
        <v>0.28393948637231203</v>
      </c>
      <c r="AF236" s="4">
        <f t="shared" si="194"/>
        <v>0.21097259161117732</v>
      </c>
      <c r="AG236" s="4">
        <f t="shared" si="191"/>
        <v>0.15253917653798199</v>
      </c>
      <c r="AH236" s="4">
        <f t="shared" si="191"/>
        <v>0.10795188737709993</v>
      </c>
      <c r="AI236" s="4">
        <f t="shared" si="191"/>
        <v>7.5176653938091809E-2</v>
      </c>
      <c r="AJ236" s="4">
        <f t="shared" si="192"/>
        <v>5.1742836177502194E-2</v>
      </c>
      <c r="AK236" s="4">
        <f t="shared" si="192"/>
        <v>3.5319190625345942E-2</v>
      </c>
      <c r="AL236" s="4">
        <f t="shared" si="192"/>
        <v>2.3969442072658165E-2</v>
      </c>
      <c r="AM236" s="4">
        <f t="shared" si="192"/>
        <v>1.6202243558389728E-2</v>
      </c>
      <c r="AN236" s="4">
        <f t="shared" si="192"/>
        <v>1.0922240564108399E-2</v>
      </c>
      <c r="AO236" s="4">
        <f t="shared" si="192"/>
        <v>7.3493212906090566E-3</v>
      </c>
      <c r="AP236" s="4">
        <f t="shared" si="192"/>
        <v>4.9390262185057265E-3</v>
      </c>
      <c r="AQ236" s="4">
        <f t="shared" si="192"/>
        <v>3.3164275492956197E-3</v>
      </c>
      <c r="AR236" s="4">
        <f t="shared" si="192"/>
        <v>2.2256362146679809E-3</v>
      </c>
    </row>
    <row r="237" spans="1:44" x14ac:dyDescent="0.25">
      <c r="A237" s="24" t="s">
        <v>70</v>
      </c>
      <c r="B237" s="43">
        <f>'Parameter Input'!B121</f>
        <v>30</v>
      </c>
      <c r="C237" s="44">
        <f>'Parameter Input'!C121</f>
        <v>30</v>
      </c>
      <c r="D237" s="1" t="s">
        <v>42</v>
      </c>
      <c r="L237" s="54">
        <f>'Parameter Input'!E121</f>
        <v>12</v>
      </c>
      <c r="M237" s="37">
        <v>0</v>
      </c>
      <c r="N237" s="37">
        <v>1</v>
      </c>
      <c r="O237" s="37">
        <f>'Parameter Input'!F121</f>
        <v>0.9</v>
      </c>
      <c r="P237" s="55">
        <f>'Parameter Input'!G121</f>
        <v>0.4</v>
      </c>
      <c r="Q237" s="4">
        <f t="shared" si="194"/>
        <v>0.9867978615748374</v>
      </c>
      <c r="R237" s="4">
        <f t="shared" si="194"/>
        <v>0.98114509762858249</v>
      </c>
      <c r="S237" s="4">
        <f t="shared" si="194"/>
        <v>0.97311898315872036</v>
      </c>
      <c r="T237" s="4">
        <f t="shared" si="194"/>
        <v>0.96177484161592774</v>
      </c>
      <c r="U237" s="4">
        <f t="shared" si="194"/>
        <v>0.94584787155511363</v>
      </c>
      <c r="V237" s="4">
        <f t="shared" si="194"/>
        <v>0.92370360150141495</v>
      </c>
      <c r="W237" s="4">
        <f t="shared" si="194"/>
        <v>0.89334463567658451</v>
      </c>
      <c r="X237" s="4">
        <f t="shared" si="194"/>
        <v>0.85254543874327005</v>
      </c>
      <c r="Y237" s="4">
        <f t="shared" si="194"/>
        <v>0.79921300652623883</v>
      </c>
      <c r="Z237" s="4">
        <f t="shared" si="194"/>
        <v>0.73204982249993378</v>
      </c>
      <c r="AA237" s="4">
        <f t="shared" si="194"/>
        <v>0.65145592958786691</v>
      </c>
      <c r="AB237" s="4">
        <f t="shared" si="194"/>
        <v>0.56032247880849573</v>
      </c>
      <c r="AC237" s="4">
        <f t="shared" si="194"/>
        <v>0.46411326873185343</v>
      </c>
      <c r="AD237" s="4">
        <f t="shared" si="194"/>
        <v>0.36979727595523937</v>
      </c>
      <c r="AE237" s="4">
        <f t="shared" si="194"/>
        <v>0.28393948637231203</v>
      </c>
      <c r="AF237" s="4">
        <f t="shared" si="194"/>
        <v>0.21097259161117732</v>
      </c>
      <c r="AG237" s="4">
        <f t="shared" si="191"/>
        <v>0.15253917653798199</v>
      </c>
      <c r="AH237" s="4">
        <f t="shared" si="191"/>
        <v>0.10795188737709993</v>
      </c>
      <c r="AI237" s="4">
        <f t="shared" si="191"/>
        <v>7.5176653938091809E-2</v>
      </c>
      <c r="AJ237" s="4">
        <f t="shared" si="192"/>
        <v>5.1742836177502194E-2</v>
      </c>
      <c r="AK237" s="4">
        <f t="shared" si="192"/>
        <v>3.5319190625345942E-2</v>
      </c>
      <c r="AL237" s="4">
        <f t="shared" si="192"/>
        <v>2.3969442072658165E-2</v>
      </c>
      <c r="AM237" s="4">
        <f t="shared" si="192"/>
        <v>1.6202243558389728E-2</v>
      </c>
      <c r="AN237" s="4">
        <f t="shared" si="192"/>
        <v>1.0922240564108399E-2</v>
      </c>
      <c r="AO237" s="4">
        <f t="shared" si="192"/>
        <v>7.3493212906090566E-3</v>
      </c>
      <c r="AP237" s="4">
        <f t="shared" si="192"/>
        <v>4.9390262185057265E-3</v>
      </c>
      <c r="AQ237" s="4">
        <f t="shared" si="192"/>
        <v>3.3164275492956197E-3</v>
      </c>
      <c r="AR237" s="4">
        <f t="shared" si="192"/>
        <v>2.2256362146679809E-3</v>
      </c>
    </row>
    <row r="238" spans="1:44" x14ac:dyDescent="0.25">
      <c r="A238" s="24" t="s">
        <v>207</v>
      </c>
      <c r="B238" s="70">
        <f>'Parameter Input'!B118</f>
        <v>2240</v>
      </c>
      <c r="C238" s="71">
        <f>'Parameter Input'!C118</f>
        <v>2240</v>
      </c>
      <c r="D238" s="1" t="s">
        <v>49</v>
      </c>
      <c r="L238" s="54">
        <f>'Parameter Input'!E118</f>
        <v>12</v>
      </c>
      <c r="M238" s="37">
        <v>0</v>
      </c>
      <c r="N238" s="37">
        <v>1</v>
      </c>
      <c r="O238" s="37">
        <f>'Parameter Input'!F118</f>
        <v>0.9</v>
      </c>
      <c r="P238" s="55">
        <f>'Parameter Input'!G118</f>
        <v>0.4</v>
      </c>
      <c r="Q238" s="4">
        <f t="shared" si="194"/>
        <v>0.9867978615748374</v>
      </c>
      <c r="R238" s="4">
        <f t="shared" si="194"/>
        <v>0.98114509762858249</v>
      </c>
      <c r="S238" s="4">
        <f t="shared" si="194"/>
        <v>0.97311898315872036</v>
      </c>
      <c r="T238" s="4">
        <f t="shared" si="194"/>
        <v>0.96177484161592774</v>
      </c>
      <c r="U238" s="4">
        <f t="shared" si="194"/>
        <v>0.94584787155511363</v>
      </c>
      <c r="V238" s="4">
        <f t="shared" si="194"/>
        <v>0.92370360150141495</v>
      </c>
      <c r="W238" s="4">
        <f t="shared" si="194"/>
        <v>0.89334463567658451</v>
      </c>
      <c r="X238" s="4">
        <f t="shared" si="194"/>
        <v>0.85254543874327005</v>
      </c>
      <c r="Y238" s="4">
        <f t="shared" si="194"/>
        <v>0.79921300652623883</v>
      </c>
      <c r="Z238" s="4">
        <f t="shared" si="194"/>
        <v>0.73204982249993378</v>
      </c>
      <c r="AA238" s="4">
        <f t="shared" si="194"/>
        <v>0.65145592958786691</v>
      </c>
      <c r="AB238" s="4">
        <f t="shared" si="194"/>
        <v>0.56032247880849573</v>
      </c>
      <c r="AC238" s="4">
        <f t="shared" si="194"/>
        <v>0.46411326873185343</v>
      </c>
      <c r="AD238" s="4">
        <f t="shared" si="194"/>
        <v>0.36979727595523937</v>
      </c>
      <c r="AE238" s="4">
        <f t="shared" si="194"/>
        <v>0.28393948637231203</v>
      </c>
      <c r="AF238" s="4">
        <f t="shared" si="194"/>
        <v>0.21097259161117732</v>
      </c>
      <c r="AG238" s="4">
        <f t="shared" si="191"/>
        <v>0.15253917653798199</v>
      </c>
      <c r="AH238" s="4">
        <f t="shared" si="191"/>
        <v>0.10795188737709993</v>
      </c>
      <c r="AI238" s="4">
        <f t="shared" si="191"/>
        <v>7.5176653938091809E-2</v>
      </c>
      <c r="AJ238" s="4">
        <f t="shared" si="192"/>
        <v>5.1742836177502194E-2</v>
      </c>
      <c r="AK238" s="4">
        <f t="shared" si="192"/>
        <v>3.5319190625345942E-2</v>
      </c>
      <c r="AL238" s="4">
        <f t="shared" si="192"/>
        <v>2.3969442072658165E-2</v>
      </c>
      <c r="AM238" s="4">
        <f t="shared" si="192"/>
        <v>1.6202243558389728E-2</v>
      </c>
      <c r="AN238" s="4">
        <f t="shared" si="192"/>
        <v>1.0922240564108399E-2</v>
      </c>
      <c r="AO238" s="4">
        <f t="shared" si="192"/>
        <v>7.3493212906090566E-3</v>
      </c>
      <c r="AP238" s="4">
        <f t="shared" si="192"/>
        <v>4.9390262185057265E-3</v>
      </c>
      <c r="AQ238" s="4">
        <f t="shared" si="192"/>
        <v>3.3164275492956197E-3</v>
      </c>
      <c r="AR238" s="4">
        <f t="shared" si="192"/>
        <v>2.2256362146679809E-3</v>
      </c>
    </row>
    <row r="239" spans="1:44" x14ac:dyDescent="0.25">
      <c r="A239" s="24" t="s">
        <v>56</v>
      </c>
      <c r="B239" s="72">
        <f>'Parameter Input'!B119</f>
        <v>0.42666666666666669</v>
      </c>
      <c r="C239" s="73">
        <f>'Parameter Input'!C119</f>
        <v>0.42666666666666669</v>
      </c>
      <c r="D239" s="1" t="s">
        <v>57</v>
      </c>
      <c r="L239" s="54">
        <f>'Parameter Input'!E119</f>
        <v>12</v>
      </c>
      <c r="M239" s="37">
        <v>0</v>
      </c>
      <c r="N239" s="37">
        <v>1</v>
      </c>
      <c r="O239" s="37">
        <f>'Parameter Input'!F119</f>
        <v>0.9</v>
      </c>
      <c r="P239" s="55">
        <f>'Parameter Input'!G119</f>
        <v>0.4</v>
      </c>
      <c r="Q239" s="4">
        <f t="shared" si="194"/>
        <v>0.9867978615748374</v>
      </c>
      <c r="R239" s="4">
        <f t="shared" si="194"/>
        <v>0.98114509762858249</v>
      </c>
      <c r="S239" s="4">
        <f t="shared" si="194"/>
        <v>0.97311898315872036</v>
      </c>
      <c r="T239" s="4">
        <f t="shared" si="194"/>
        <v>0.96177484161592774</v>
      </c>
      <c r="U239" s="4">
        <f t="shared" si="194"/>
        <v>0.94584787155511363</v>
      </c>
      <c r="V239" s="4">
        <f t="shared" si="194"/>
        <v>0.92370360150141495</v>
      </c>
      <c r="W239" s="4">
        <f t="shared" si="194"/>
        <v>0.89334463567658451</v>
      </c>
      <c r="X239" s="4">
        <f t="shared" si="194"/>
        <v>0.85254543874327005</v>
      </c>
      <c r="Y239" s="4">
        <f t="shared" si="194"/>
        <v>0.79921300652623883</v>
      </c>
      <c r="Z239" s="4">
        <f t="shared" si="194"/>
        <v>0.73204982249993378</v>
      </c>
      <c r="AA239" s="4">
        <f t="shared" si="194"/>
        <v>0.65145592958786691</v>
      </c>
      <c r="AB239" s="4">
        <f t="shared" si="194"/>
        <v>0.56032247880849573</v>
      </c>
      <c r="AC239" s="4">
        <f t="shared" si="194"/>
        <v>0.46411326873185343</v>
      </c>
      <c r="AD239" s="4">
        <f t="shared" si="194"/>
        <v>0.36979727595523937</v>
      </c>
      <c r="AE239" s="4">
        <f t="shared" si="194"/>
        <v>0.28393948637231203</v>
      </c>
      <c r="AF239" s="4">
        <f t="shared" si="194"/>
        <v>0.21097259161117732</v>
      </c>
      <c r="AG239" s="4">
        <f t="shared" si="191"/>
        <v>0.15253917653798199</v>
      </c>
      <c r="AH239" s="4">
        <f t="shared" si="191"/>
        <v>0.10795188737709993</v>
      </c>
      <c r="AI239" s="4">
        <f t="shared" si="191"/>
        <v>7.5176653938091809E-2</v>
      </c>
      <c r="AJ239" s="4">
        <f t="shared" si="192"/>
        <v>5.1742836177502194E-2</v>
      </c>
      <c r="AK239" s="4">
        <f t="shared" si="192"/>
        <v>3.5319190625345942E-2</v>
      </c>
      <c r="AL239" s="4">
        <f t="shared" si="192"/>
        <v>2.3969442072658165E-2</v>
      </c>
      <c r="AM239" s="4">
        <f t="shared" si="192"/>
        <v>1.6202243558389728E-2</v>
      </c>
      <c r="AN239" s="4">
        <f t="shared" si="192"/>
        <v>1.0922240564108399E-2</v>
      </c>
      <c r="AO239" s="4">
        <f t="shared" si="192"/>
        <v>7.3493212906090566E-3</v>
      </c>
      <c r="AP239" s="4">
        <f t="shared" si="192"/>
        <v>4.9390262185057265E-3</v>
      </c>
      <c r="AQ239" s="4">
        <f t="shared" si="192"/>
        <v>3.3164275492956197E-3</v>
      </c>
      <c r="AR239" s="4">
        <f t="shared" si="192"/>
        <v>2.2256362146679809E-3</v>
      </c>
    </row>
    <row r="240" spans="1:44" x14ac:dyDescent="0.25">
      <c r="A240" s="24" t="s">
        <v>73</v>
      </c>
      <c r="B240" s="72">
        <f>'Parameter Input'!$L$109</f>
        <v>0</v>
      </c>
      <c r="C240" s="73">
        <f>'Parameter Input'!$M$109</f>
        <v>0</v>
      </c>
      <c r="D240" s="1" t="s">
        <v>57</v>
      </c>
      <c r="L240" s="54">
        <f>'Parameter Input'!$O$109</f>
        <v>12</v>
      </c>
      <c r="M240" s="37">
        <v>0</v>
      </c>
      <c r="N240" s="37">
        <v>1</v>
      </c>
      <c r="O240" s="37">
        <f>'Parameter Input'!$P$109</f>
        <v>0.9</v>
      </c>
      <c r="P240" s="55">
        <f>'Parameter Input'!$Q$109</f>
        <v>0.4</v>
      </c>
      <c r="Q240" s="4">
        <f t="shared" si="194"/>
        <v>0.9867978615748374</v>
      </c>
      <c r="R240" s="4">
        <f t="shared" si="194"/>
        <v>0.98114509762858249</v>
      </c>
      <c r="S240" s="4">
        <f t="shared" si="194"/>
        <v>0.97311898315872036</v>
      </c>
      <c r="T240" s="4">
        <f t="shared" si="194"/>
        <v>0.96177484161592774</v>
      </c>
      <c r="U240" s="4">
        <f t="shared" si="194"/>
        <v>0.94584787155511363</v>
      </c>
      <c r="V240" s="4">
        <f t="shared" si="194"/>
        <v>0.92370360150141495</v>
      </c>
      <c r="W240" s="4">
        <f t="shared" si="194"/>
        <v>0.89334463567658451</v>
      </c>
      <c r="X240" s="4">
        <f t="shared" si="194"/>
        <v>0.85254543874327005</v>
      </c>
      <c r="Y240" s="4">
        <f t="shared" si="194"/>
        <v>0.79921300652623883</v>
      </c>
      <c r="Z240" s="4">
        <f t="shared" si="194"/>
        <v>0.73204982249993378</v>
      </c>
      <c r="AA240" s="4">
        <f t="shared" si="194"/>
        <v>0.65145592958786691</v>
      </c>
      <c r="AB240" s="4">
        <f t="shared" si="194"/>
        <v>0.56032247880849573</v>
      </c>
      <c r="AC240" s="4">
        <f t="shared" si="194"/>
        <v>0.46411326873185343</v>
      </c>
      <c r="AD240" s="4">
        <f t="shared" si="194"/>
        <v>0.36979727595523937</v>
      </c>
      <c r="AE240" s="4">
        <f t="shared" si="194"/>
        <v>0.28393948637231203</v>
      </c>
      <c r="AF240" s="4">
        <f t="shared" si="194"/>
        <v>0.21097259161117732</v>
      </c>
      <c r="AG240" s="4">
        <f t="shared" si="191"/>
        <v>0.15253917653798199</v>
      </c>
      <c r="AH240" s="4">
        <f t="shared" si="191"/>
        <v>0.10795188737709993</v>
      </c>
      <c r="AI240" s="4">
        <f t="shared" si="191"/>
        <v>7.5176653938091809E-2</v>
      </c>
      <c r="AJ240" s="4">
        <f t="shared" si="192"/>
        <v>5.1742836177502194E-2</v>
      </c>
      <c r="AK240" s="4">
        <f t="shared" si="192"/>
        <v>3.5319190625345942E-2</v>
      </c>
      <c r="AL240" s="4">
        <f t="shared" si="192"/>
        <v>2.3969442072658165E-2</v>
      </c>
      <c r="AM240" s="4">
        <f t="shared" si="192"/>
        <v>1.6202243558389728E-2</v>
      </c>
      <c r="AN240" s="4">
        <f t="shared" si="192"/>
        <v>1.0922240564108399E-2</v>
      </c>
      <c r="AO240" s="4">
        <f t="shared" si="192"/>
        <v>7.3493212906090566E-3</v>
      </c>
      <c r="AP240" s="4">
        <f t="shared" si="192"/>
        <v>4.9390262185057265E-3</v>
      </c>
      <c r="AQ240" s="4">
        <f t="shared" si="192"/>
        <v>3.3164275492956197E-3</v>
      </c>
      <c r="AR240" s="4">
        <f t="shared" si="192"/>
        <v>2.2256362146679809E-3</v>
      </c>
    </row>
    <row r="241" spans="1:44" ht="15.75" thickBot="1" x14ac:dyDescent="0.3">
      <c r="A241" s="24" t="s">
        <v>64</v>
      </c>
      <c r="B241" s="74">
        <f>'Parameter Input'!B120</f>
        <v>178500</v>
      </c>
      <c r="C241" s="75">
        <f>'Parameter Input'!C120</f>
        <v>178500</v>
      </c>
      <c r="D241" s="1" t="s">
        <v>65</v>
      </c>
      <c r="L241" s="56">
        <f>'Parameter Input'!E120</f>
        <v>12</v>
      </c>
      <c r="M241" s="57">
        <v>0</v>
      </c>
      <c r="N241" s="57">
        <v>1</v>
      </c>
      <c r="O241" s="57">
        <f>'Parameter Input'!F120</f>
        <v>0.9</v>
      </c>
      <c r="P241" s="58">
        <f>'Parameter Input'!G120</f>
        <v>0.4</v>
      </c>
      <c r="Q241" s="4">
        <f t="shared" si="194"/>
        <v>0.9867978615748374</v>
      </c>
      <c r="R241" s="4">
        <f t="shared" si="194"/>
        <v>0.98114509762858249</v>
      </c>
      <c r="S241" s="4">
        <f t="shared" si="194"/>
        <v>0.97311898315872036</v>
      </c>
      <c r="T241" s="4">
        <f t="shared" si="194"/>
        <v>0.96177484161592774</v>
      </c>
      <c r="U241" s="4">
        <f t="shared" si="194"/>
        <v>0.94584787155511363</v>
      </c>
      <c r="V241" s="4">
        <f t="shared" si="194"/>
        <v>0.92370360150141495</v>
      </c>
      <c r="W241" s="4">
        <f t="shared" si="194"/>
        <v>0.89334463567658451</v>
      </c>
      <c r="X241" s="4">
        <f t="shared" si="194"/>
        <v>0.85254543874327005</v>
      </c>
      <c r="Y241" s="4">
        <f t="shared" si="194"/>
        <v>0.79921300652623883</v>
      </c>
      <c r="Z241" s="4">
        <f t="shared" si="194"/>
        <v>0.73204982249993378</v>
      </c>
      <c r="AA241" s="4">
        <f t="shared" si="194"/>
        <v>0.65145592958786691</v>
      </c>
      <c r="AB241" s="4">
        <f t="shared" si="194"/>
        <v>0.56032247880849573</v>
      </c>
      <c r="AC241" s="4">
        <f t="shared" si="194"/>
        <v>0.46411326873185343</v>
      </c>
      <c r="AD241" s="4">
        <f t="shared" si="194"/>
        <v>0.36979727595523937</v>
      </c>
      <c r="AE241" s="4">
        <f t="shared" si="194"/>
        <v>0.28393948637231203</v>
      </c>
      <c r="AF241" s="4">
        <f t="shared" si="194"/>
        <v>0.21097259161117732</v>
      </c>
      <c r="AG241" s="4">
        <f t="shared" si="191"/>
        <v>0.15253917653798199</v>
      </c>
      <c r="AH241" s="4">
        <f t="shared" si="191"/>
        <v>0.10795188737709993</v>
      </c>
      <c r="AI241" s="4">
        <f t="shared" si="191"/>
        <v>7.5176653938091809E-2</v>
      </c>
      <c r="AJ241" s="4">
        <f t="shared" si="192"/>
        <v>5.1742836177502194E-2</v>
      </c>
      <c r="AK241" s="4">
        <f t="shared" si="192"/>
        <v>3.5319190625345942E-2</v>
      </c>
      <c r="AL241" s="4">
        <f t="shared" si="192"/>
        <v>2.3969442072658165E-2</v>
      </c>
      <c r="AM241" s="4">
        <f t="shared" si="192"/>
        <v>1.6202243558389728E-2</v>
      </c>
      <c r="AN241" s="4">
        <f t="shared" si="192"/>
        <v>1.0922240564108399E-2</v>
      </c>
      <c r="AO241" s="4">
        <f t="shared" si="192"/>
        <v>7.3493212906090566E-3</v>
      </c>
      <c r="AP241" s="4">
        <f t="shared" si="192"/>
        <v>4.9390262185057265E-3</v>
      </c>
      <c r="AQ241" s="4">
        <f t="shared" si="192"/>
        <v>3.3164275492956197E-3</v>
      </c>
      <c r="AR241" s="4">
        <f t="shared" si="192"/>
        <v>2.2256362146679809E-3</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95">A225</f>
        <v>Capex vehicle</v>
      </c>
      <c r="B245" s="62">
        <f t="shared" ref="B245:B254" si="196">$B225+($C225-$B225)*(1-Q225)</f>
        <v>5000000</v>
      </c>
      <c r="C245" s="62">
        <f t="shared" ref="C245:C254" si="197">$B225+($C225-$B225)*(1-R225)</f>
        <v>5000000</v>
      </c>
      <c r="D245" s="62">
        <f t="shared" ref="D245:D254" si="198">$B225+($C225-$B225)*(1-S225)</f>
        <v>5000000</v>
      </c>
      <c r="E245" s="62">
        <f t="shared" ref="E245:E254" si="199">$B225+($C225-$B225)*(1-T225)</f>
        <v>5000000</v>
      </c>
      <c r="F245" s="62">
        <f t="shared" ref="F245:F254" si="200">$B225+($C225-$B225)*(1-U225)</f>
        <v>5000000</v>
      </c>
      <c r="G245" s="62">
        <f t="shared" ref="G245:G254" si="201">$B225+($C225-$B225)*(1-V225)</f>
        <v>5000000</v>
      </c>
      <c r="H245" s="62">
        <f t="shared" ref="H245:H254" si="202">$B225+($C225-$B225)*(1-W225)</f>
        <v>5000000</v>
      </c>
      <c r="I245" s="62">
        <f t="shared" ref="I245:I254" si="203">$B225+($C225-$B225)*(1-X225)</f>
        <v>5000000</v>
      </c>
      <c r="J245" s="62">
        <f t="shared" ref="J245:J254" si="204">$B225+($C225-$B225)*(1-Y225)</f>
        <v>5000000</v>
      </c>
      <c r="K245" s="62">
        <f t="shared" ref="K245:K254" si="205">$B225+($C225-$B225)*(1-Z225)</f>
        <v>5000000</v>
      </c>
      <c r="L245" s="62">
        <f t="shared" ref="L245:L254" si="206">$B225+($C225-$B225)*(1-AA225)</f>
        <v>5000000</v>
      </c>
      <c r="M245" s="62">
        <f t="shared" ref="M245:M254" si="207">$B225+($C225-$B225)*(1-AB225)</f>
        <v>5000000</v>
      </c>
      <c r="N245" s="62">
        <f t="shared" ref="N245:N254" si="208">$B225+($C225-$B225)*(1-AC225)</f>
        <v>5000000</v>
      </c>
      <c r="O245" s="62">
        <f t="shared" ref="O245:O254" si="209">$B225+($C225-$B225)*(1-AD225)</f>
        <v>5000000</v>
      </c>
      <c r="P245" s="62">
        <f t="shared" ref="P245:P254" si="210">$B225+($C225-$B225)*(1-AE225)</f>
        <v>5000000</v>
      </c>
      <c r="Q245" s="62">
        <f t="shared" ref="Q245:Q254" si="211">$B225+($C225-$B225)*(1-AF225)</f>
        <v>5000000</v>
      </c>
      <c r="R245" s="62">
        <f t="shared" ref="R245:R254" si="212">$B225+($C225-$B225)*(1-AG225)</f>
        <v>5000000</v>
      </c>
      <c r="S245" s="62">
        <f t="shared" ref="S245:S254" si="213">$B225+($C225-$B225)*(1-AH225)</f>
        <v>5000000</v>
      </c>
      <c r="T245" s="62">
        <f t="shared" ref="T245:T254" si="214">$B225+($C225-$B225)*(1-AI225)</f>
        <v>5000000</v>
      </c>
      <c r="U245" s="62">
        <f t="shared" ref="U245:U254" si="215">$B225+($C225-$B225)*(1-AJ225)</f>
        <v>5000000</v>
      </c>
      <c r="V245" s="62">
        <f t="shared" ref="V245:V254" si="216">$B225+($C225-$B225)*(1-AK225)</f>
        <v>5000000</v>
      </c>
      <c r="W245" s="62">
        <f t="shared" ref="W245:W254" si="217">$B225+($C225-$B225)*(1-AL225)</f>
        <v>5000000</v>
      </c>
      <c r="X245" s="62">
        <f t="shared" ref="X245:X254" si="218">$B225+($C225-$B225)*(1-AM225)</f>
        <v>5000000</v>
      </c>
      <c r="Y245" s="62">
        <f t="shared" ref="Y245:Y254" si="219">$B225+($C225-$B225)*(1-AN225)</f>
        <v>5000000</v>
      </c>
      <c r="Z245" s="62">
        <f t="shared" ref="Z245:Z254" si="220">$B225+($C225-$B225)*(1-AO225)</f>
        <v>5000000</v>
      </c>
      <c r="AA245" s="62">
        <f t="shared" ref="AA245:AA254" si="221">$B225+($C225-$B225)*(1-AP225)</f>
        <v>5000000</v>
      </c>
      <c r="AB245" s="62">
        <f t="shared" ref="AB245:AB254" si="222">$B225+($C225-$B225)*(1-AQ225)</f>
        <v>5000000</v>
      </c>
      <c r="AC245" s="62">
        <f t="shared" ref="AC245:AC254" si="223">$B225+($C225-$B225)*(1-AR225)</f>
        <v>5000000</v>
      </c>
    </row>
    <row r="246" spans="1:44" x14ac:dyDescent="0.25">
      <c r="A246" s="30" t="str">
        <f t="shared" si="195"/>
        <v>Residual value (vehicle)</v>
      </c>
      <c r="B246" s="62">
        <f t="shared" si="196"/>
        <v>-750000</v>
      </c>
      <c r="C246" s="62">
        <f t="shared" si="197"/>
        <v>-750000</v>
      </c>
      <c r="D246" s="62">
        <f t="shared" si="198"/>
        <v>-750000</v>
      </c>
      <c r="E246" s="62">
        <f t="shared" si="199"/>
        <v>-750000</v>
      </c>
      <c r="F246" s="62">
        <f t="shared" si="200"/>
        <v>-750000</v>
      </c>
      <c r="G246" s="62">
        <f t="shared" si="201"/>
        <v>-750000</v>
      </c>
      <c r="H246" s="62">
        <f t="shared" si="202"/>
        <v>-750000</v>
      </c>
      <c r="I246" s="62">
        <f t="shared" si="203"/>
        <v>-750000</v>
      </c>
      <c r="J246" s="62">
        <f t="shared" si="204"/>
        <v>-750000</v>
      </c>
      <c r="K246" s="62">
        <f t="shared" si="205"/>
        <v>-750000</v>
      </c>
      <c r="L246" s="62">
        <f t="shared" si="206"/>
        <v>-750000</v>
      </c>
      <c r="M246" s="62">
        <f t="shared" si="207"/>
        <v>-750000</v>
      </c>
      <c r="N246" s="62">
        <f t="shared" si="208"/>
        <v>-750000</v>
      </c>
      <c r="O246" s="62">
        <f t="shared" si="209"/>
        <v>-750000</v>
      </c>
      <c r="P246" s="62">
        <f t="shared" si="210"/>
        <v>-750000</v>
      </c>
      <c r="Q246" s="62">
        <f t="shared" si="211"/>
        <v>-750000</v>
      </c>
      <c r="R246" s="62">
        <f t="shared" si="212"/>
        <v>-750000</v>
      </c>
      <c r="S246" s="62">
        <f t="shared" si="213"/>
        <v>-750000</v>
      </c>
      <c r="T246" s="62">
        <f t="shared" si="214"/>
        <v>-750000</v>
      </c>
      <c r="U246" s="62">
        <f t="shared" si="215"/>
        <v>-750000</v>
      </c>
      <c r="V246" s="62">
        <f t="shared" si="216"/>
        <v>-750000</v>
      </c>
      <c r="W246" s="62">
        <f t="shared" si="217"/>
        <v>-750000</v>
      </c>
      <c r="X246" s="62">
        <f t="shared" si="218"/>
        <v>-750000</v>
      </c>
      <c r="Y246" s="62">
        <f t="shared" si="219"/>
        <v>-750000</v>
      </c>
      <c r="Z246" s="62">
        <f t="shared" si="220"/>
        <v>-750000</v>
      </c>
      <c r="AA246" s="62">
        <f t="shared" si="221"/>
        <v>-750000</v>
      </c>
      <c r="AB246" s="62">
        <f t="shared" si="222"/>
        <v>-750000</v>
      </c>
      <c r="AC246" s="62">
        <f t="shared" si="223"/>
        <v>-750000</v>
      </c>
    </row>
    <row r="247" spans="1:44" x14ac:dyDescent="0.25">
      <c r="A247" s="30" t="str">
        <f t="shared" si="195"/>
        <v>Capex costumization</v>
      </c>
      <c r="B247" s="62">
        <f t="shared" si="196"/>
        <v>2800000</v>
      </c>
      <c r="C247" s="62">
        <f t="shared" si="197"/>
        <v>2800000</v>
      </c>
      <c r="D247" s="62">
        <f t="shared" si="198"/>
        <v>2800000</v>
      </c>
      <c r="E247" s="62">
        <f t="shared" si="199"/>
        <v>2800000</v>
      </c>
      <c r="F247" s="62">
        <f t="shared" si="200"/>
        <v>2800000</v>
      </c>
      <c r="G247" s="62">
        <f t="shared" si="201"/>
        <v>2800000</v>
      </c>
      <c r="H247" s="62">
        <f t="shared" si="202"/>
        <v>2800000</v>
      </c>
      <c r="I247" s="62">
        <f t="shared" si="203"/>
        <v>2800000</v>
      </c>
      <c r="J247" s="62">
        <f t="shared" si="204"/>
        <v>2800000</v>
      </c>
      <c r="K247" s="62">
        <f t="shared" si="205"/>
        <v>2800000</v>
      </c>
      <c r="L247" s="62">
        <f t="shared" si="206"/>
        <v>2800000</v>
      </c>
      <c r="M247" s="62">
        <f t="shared" si="207"/>
        <v>2800000</v>
      </c>
      <c r="N247" s="62">
        <f t="shared" si="208"/>
        <v>2800000</v>
      </c>
      <c r="O247" s="62">
        <f t="shared" si="209"/>
        <v>2800000</v>
      </c>
      <c r="P247" s="62">
        <f t="shared" si="210"/>
        <v>2800000</v>
      </c>
      <c r="Q247" s="62">
        <f t="shared" si="211"/>
        <v>2800000</v>
      </c>
      <c r="R247" s="62">
        <f t="shared" si="212"/>
        <v>2800000</v>
      </c>
      <c r="S247" s="62">
        <f t="shared" si="213"/>
        <v>2800000</v>
      </c>
      <c r="T247" s="62">
        <f t="shared" si="214"/>
        <v>2800000</v>
      </c>
      <c r="U247" s="62">
        <f t="shared" si="215"/>
        <v>2800000</v>
      </c>
      <c r="V247" s="62">
        <f t="shared" si="216"/>
        <v>2800000</v>
      </c>
      <c r="W247" s="62">
        <f t="shared" si="217"/>
        <v>2800000</v>
      </c>
      <c r="X247" s="62">
        <f t="shared" si="218"/>
        <v>2800000</v>
      </c>
      <c r="Y247" s="62">
        <f t="shared" si="219"/>
        <v>2800000</v>
      </c>
      <c r="Z247" s="62">
        <f t="shared" si="220"/>
        <v>2800000</v>
      </c>
      <c r="AA247" s="62">
        <f t="shared" si="221"/>
        <v>2800000</v>
      </c>
      <c r="AB247" s="62">
        <f t="shared" si="222"/>
        <v>2800000</v>
      </c>
      <c r="AC247" s="62">
        <f t="shared" si="223"/>
        <v>2800000</v>
      </c>
    </row>
    <row r="248" spans="1:44" x14ac:dyDescent="0.25">
      <c r="A248" s="30" t="str">
        <f t="shared" si="195"/>
        <v>Residual value (costumization)</v>
      </c>
      <c r="B248" s="62">
        <f t="shared" si="196"/>
        <v>-140000</v>
      </c>
      <c r="C248" s="62">
        <f t="shared" si="197"/>
        <v>-140000</v>
      </c>
      <c r="D248" s="62">
        <f t="shared" si="198"/>
        <v>-140000</v>
      </c>
      <c r="E248" s="62">
        <f t="shared" si="199"/>
        <v>-140000</v>
      </c>
      <c r="F248" s="62">
        <f t="shared" si="200"/>
        <v>-140000</v>
      </c>
      <c r="G248" s="62">
        <f t="shared" si="201"/>
        <v>-140000</v>
      </c>
      <c r="H248" s="62">
        <f t="shared" si="202"/>
        <v>-140000</v>
      </c>
      <c r="I248" s="62">
        <f t="shared" si="203"/>
        <v>-140000</v>
      </c>
      <c r="J248" s="62">
        <f t="shared" si="204"/>
        <v>-140000</v>
      </c>
      <c r="K248" s="62">
        <f t="shared" si="205"/>
        <v>-140000</v>
      </c>
      <c r="L248" s="62">
        <f t="shared" si="206"/>
        <v>-140000</v>
      </c>
      <c r="M248" s="62">
        <f t="shared" si="207"/>
        <v>-140000</v>
      </c>
      <c r="N248" s="62">
        <f t="shared" si="208"/>
        <v>-140000</v>
      </c>
      <c r="O248" s="62">
        <f t="shared" si="209"/>
        <v>-140000</v>
      </c>
      <c r="P248" s="62">
        <f t="shared" si="210"/>
        <v>-140000</v>
      </c>
      <c r="Q248" s="62">
        <f t="shared" si="211"/>
        <v>-140000</v>
      </c>
      <c r="R248" s="62">
        <f t="shared" si="212"/>
        <v>-140000</v>
      </c>
      <c r="S248" s="62">
        <f t="shared" si="213"/>
        <v>-140000</v>
      </c>
      <c r="T248" s="62">
        <f t="shared" si="214"/>
        <v>-140000</v>
      </c>
      <c r="U248" s="62">
        <f t="shared" si="215"/>
        <v>-140000</v>
      </c>
      <c r="V248" s="62">
        <f t="shared" si="216"/>
        <v>-140000</v>
      </c>
      <c r="W248" s="62">
        <f t="shared" si="217"/>
        <v>-140000</v>
      </c>
      <c r="X248" s="62">
        <f t="shared" si="218"/>
        <v>-140000</v>
      </c>
      <c r="Y248" s="62">
        <f t="shared" si="219"/>
        <v>-140000</v>
      </c>
      <c r="Z248" s="62">
        <f t="shared" si="220"/>
        <v>-140000</v>
      </c>
      <c r="AA248" s="62">
        <f t="shared" si="221"/>
        <v>-140000</v>
      </c>
      <c r="AB248" s="62">
        <f t="shared" si="222"/>
        <v>-140000</v>
      </c>
      <c r="AC248" s="62">
        <f t="shared" si="223"/>
        <v>-140000</v>
      </c>
    </row>
    <row r="249" spans="1:44" x14ac:dyDescent="0.25">
      <c r="A249" s="30" t="str">
        <f t="shared" si="195"/>
        <v>WACC</v>
      </c>
      <c r="B249" s="62">
        <f t="shared" si="196"/>
        <v>0.06</v>
      </c>
      <c r="C249" s="62">
        <f t="shared" si="197"/>
        <v>0.06</v>
      </c>
      <c r="D249" s="62">
        <f t="shared" si="198"/>
        <v>0.06</v>
      </c>
      <c r="E249" s="62">
        <f t="shared" si="199"/>
        <v>0.06</v>
      </c>
      <c r="F249" s="62">
        <f t="shared" si="200"/>
        <v>0.06</v>
      </c>
      <c r="G249" s="62">
        <f t="shared" si="201"/>
        <v>0.06</v>
      </c>
      <c r="H249" s="62">
        <f t="shared" si="202"/>
        <v>0.06</v>
      </c>
      <c r="I249" s="62">
        <f t="shared" si="203"/>
        <v>0.06</v>
      </c>
      <c r="J249" s="62">
        <f t="shared" si="204"/>
        <v>0.06</v>
      </c>
      <c r="K249" s="62">
        <f t="shared" si="205"/>
        <v>0.06</v>
      </c>
      <c r="L249" s="62">
        <f t="shared" si="206"/>
        <v>0.06</v>
      </c>
      <c r="M249" s="62">
        <f t="shared" si="207"/>
        <v>0.06</v>
      </c>
      <c r="N249" s="62">
        <f t="shared" si="208"/>
        <v>0.06</v>
      </c>
      <c r="O249" s="62">
        <f t="shared" si="209"/>
        <v>0.06</v>
      </c>
      <c r="P249" s="62">
        <f t="shared" si="210"/>
        <v>0.06</v>
      </c>
      <c r="Q249" s="62">
        <f t="shared" si="211"/>
        <v>0.06</v>
      </c>
      <c r="R249" s="62">
        <f t="shared" si="212"/>
        <v>0.06</v>
      </c>
      <c r="S249" s="62">
        <f t="shared" si="213"/>
        <v>0.06</v>
      </c>
      <c r="T249" s="62">
        <f t="shared" si="214"/>
        <v>0.06</v>
      </c>
      <c r="U249" s="62">
        <f t="shared" si="215"/>
        <v>0.06</v>
      </c>
      <c r="V249" s="62">
        <f t="shared" si="216"/>
        <v>0.06</v>
      </c>
      <c r="W249" s="62">
        <f t="shared" si="217"/>
        <v>0.06</v>
      </c>
      <c r="X249" s="62">
        <f t="shared" si="218"/>
        <v>0.06</v>
      </c>
      <c r="Y249" s="62">
        <f t="shared" si="219"/>
        <v>0.06</v>
      </c>
      <c r="Z249" s="62">
        <f t="shared" si="220"/>
        <v>0.06</v>
      </c>
      <c r="AA249" s="62">
        <f t="shared" si="221"/>
        <v>0.06</v>
      </c>
      <c r="AB249" s="62">
        <f t="shared" si="222"/>
        <v>0.06</v>
      </c>
      <c r="AC249" s="62">
        <f t="shared" si="223"/>
        <v>0.06</v>
      </c>
    </row>
    <row r="250" spans="1:44" x14ac:dyDescent="0.25">
      <c r="A250" s="30" t="str">
        <f t="shared" si="195"/>
        <v>Opex fix (admin, crew, insurance)</v>
      </c>
      <c r="B250" s="62">
        <f t="shared" si="196"/>
        <v>610000</v>
      </c>
      <c r="C250" s="62">
        <f t="shared" si="197"/>
        <v>610000</v>
      </c>
      <c r="D250" s="62">
        <f t="shared" si="198"/>
        <v>610000</v>
      </c>
      <c r="E250" s="62">
        <f t="shared" si="199"/>
        <v>610000</v>
      </c>
      <c r="F250" s="62">
        <f t="shared" si="200"/>
        <v>610000</v>
      </c>
      <c r="G250" s="62">
        <f t="shared" si="201"/>
        <v>610000</v>
      </c>
      <c r="H250" s="62">
        <f t="shared" si="202"/>
        <v>610000</v>
      </c>
      <c r="I250" s="62">
        <f t="shared" si="203"/>
        <v>610000</v>
      </c>
      <c r="J250" s="62">
        <f t="shared" si="204"/>
        <v>610000</v>
      </c>
      <c r="K250" s="62">
        <f t="shared" si="205"/>
        <v>610000</v>
      </c>
      <c r="L250" s="62">
        <f t="shared" si="206"/>
        <v>610000</v>
      </c>
      <c r="M250" s="62">
        <f t="shared" si="207"/>
        <v>610000</v>
      </c>
      <c r="N250" s="62">
        <f t="shared" si="208"/>
        <v>610000</v>
      </c>
      <c r="O250" s="62">
        <f t="shared" si="209"/>
        <v>610000</v>
      </c>
      <c r="P250" s="62">
        <f t="shared" si="210"/>
        <v>610000</v>
      </c>
      <c r="Q250" s="62">
        <f t="shared" si="211"/>
        <v>610000</v>
      </c>
      <c r="R250" s="62">
        <f t="shared" si="212"/>
        <v>610000</v>
      </c>
      <c r="S250" s="62">
        <f t="shared" si="213"/>
        <v>610000</v>
      </c>
      <c r="T250" s="62">
        <f t="shared" si="214"/>
        <v>610000</v>
      </c>
      <c r="U250" s="62">
        <f t="shared" si="215"/>
        <v>610000</v>
      </c>
      <c r="V250" s="62">
        <f t="shared" si="216"/>
        <v>610000</v>
      </c>
      <c r="W250" s="62">
        <f t="shared" si="217"/>
        <v>610000</v>
      </c>
      <c r="X250" s="62">
        <f t="shared" si="218"/>
        <v>610000</v>
      </c>
      <c r="Y250" s="62">
        <f t="shared" si="219"/>
        <v>610000</v>
      </c>
      <c r="Z250" s="62">
        <f t="shared" si="220"/>
        <v>610000</v>
      </c>
      <c r="AA250" s="62">
        <f t="shared" si="221"/>
        <v>610000</v>
      </c>
      <c r="AB250" s="62">
        <f t="shared" si="222"/>
        <v>610000</v>
      </c>
      <c r="AC250" s="62">
        <f t="shared" si="223"/>
        <v>610000</v>
      </c>
    </row>
    <row r="251" spans="1:44" x14ac:dyDescent="0.25">
      <c r="A251" s="30" t="str">
        <f t="shared" si="195"/>
        <v>Opex maintenance &amp; repair</v>
      </c>
      <c r="B251" s="62">
        <f t="shared" si="196"/>
        <v>650000</v>
      </c>
      <c r="C251" s="62">
        <f t="shared" si="197"/>
        <v>650000</v>
      </c>
      <c r="D251" s="62">
        <f t="shared" si="198"/>
        <v>650000</v>
      </c>
      <c r="E251" s="62">
        <f t="shared" si="199"/>
        <v>650000</v>
      </c>
      <c r="F251" s="62">
        <f t="shared" si="200"/>
        <v>650000</v>
      </c>
      <c r="G251" s="62">
        <f t="shared" si="201"/>
        <v>650000</v>
      </c>
      <c r="H251" s="62">
        <f t="shared" si="202"/>
        <v>650000</v>
      </c>
      <c r="I251" s="62">
        <f t="shared" si="203"/>
        <v>650000</v>
      </c>
      <c r="J251" s="62">
        <f t="shared" si="204"/>
        <v>650000</v>
      </c>
      <c r="K251" s="62">
        <f t="shared" si="205"/>
        <v>650000</v>
      </c>
      <c r="L251" s="62">
        <f t="shared" si="206"/>
        <v>650000</v>
      </c>
      <c r="M251" s="62">
        <f t="shared" si="207"/>
        <v>650000</v>
      </c>
      <c r="N251" s="62">
        <f t="shared" si="208"/>
        <v>650000</v>
      </c>
      <c r="O251" s="62">
        <f t="shared" si="209"/>
        <v>650000</v>
      </c>
      <c r="P251" s="62">
        <f t="shared" si="210"/>
        <v>650000</v>
      </c>
      <c r="Q251" s="62">
        <f t="shared" si="211"/>
        <v>650000</v>
      </c>
      <c r="R251" s="62">
        <f t="shared" si="212"/>
        <v>650000</v>
      </c>
      <c r="S251" s="62">
        <f t="shared" si="213"/>
        <v>650000</v>
      </c>
      <c r="T251" s="62">
        <f t="shared" si="214"/>
        <v>650000</v>
      </c>
      <c r="U251" s="62">
        <f t="shared" si="215"/>
        <v>650000</v>
      </c>
      <c r="V251" s="62">
        <f t="shared" si="216"/>
        <v>650000</v>
      </c>
      <c r="W251" s="62">
        <f t="shared" si="217"/>
        <v>650000</v>
      </c>
      <c r="X251" s="62">
        <f t="shared" si="218"/>
        <v>650000</v>
      </c>
      <c r="Y251" s="62">
        <f t="shared" si="219"/>
        <v>650000</v>
      </c>
      <c r="Z251" s="62">
        <f t="shared" si="220"/>
        <v>650000</v>
      </c>
      <c r="AA251" s="62">
        <f t="shared" si="221"/>
        <v>650000</v>
      </c>
      <c r="AB251" s="62">
        <f t="shared" si="222"/>
        <v>650000</v>
      </c>
      <c r="AC251" s="62">
        <f t="shared" si="223"/>
        <v>650000</v>
      </c>
    </row>
    <row r="252" spans="1:44" x14ac:dyDescent="0.25">
      <c r="A252" s="30" t="str">
        <f t="shared" si="195"/>
        <v>Opex var (mode-fees, shunting)</v>
      </c>
      <c r="B252" s="62">
        <f t="shared" si="196"/>
        <v>3.6414565826330532</v>
      </c>
      <c r="C252" s="62">
        <f t="shared" si="197"/>
        <v>3.6414565826330532</v>
      </c>
      <c r="D252" s="62">
        <f t="shared" si="198"/>
        <v>3.6414565826330532</v>
      </c>
      <c r="E252" s="62">
        <f t="shared" si="199"/>
        <v>3.6414565826330532</v>
      </c>
      <c r="F252" s="62">
        <f t="shared" si="200"/>
        <v>3.6414565826330532</v>
      </c>
      <c r="G252" s="62">
        <f t="shared" si="201"/>
        <v>3.6414565826330532</v>
      </c>
      <c r="H252" s="62">
        <f t="shared" si="202"/>
        <v>3.6414565826330532</v>
      </c>
      <c r="I252" s="62">
        <f t="shared" si="203"/>
        <v>3.6414565826330532</v>
      </c>
      <c r="J252" s="62">
        <f t="shared" si="204"/>
        <v>3.6414565826330532</v>
      </c>
      <c r="K252" s="62">
        <f t="shared" si="205"/>
        <v>3.6414565826330532</v>
      </c>
      <c r="L252" s="62">
        <f t="shared" si="206"/>
        <v>3.6414565826330532</v>
      </c>
      <c r="M252" s="62">
        <f t="shared" si="207"/>
        <v>3.6414565826330532</v>
      </c>
      <c r="N252" s="62">
        <f t="shared" si="208"/>
        <v>3.6414565826330532</v>
      </c>
      <c r="O252" s="62">
        <f t="shared" si="209"/>
        <v>3.6414565826330532</v>
      </c>
      <c r="P252" s="62">
        <f t="shared" si="210"/>
        <v>3.6414565826330532</v>
      </c>
      <c r="Q252" s="62">
        <f t="shared" si="211"/>
        <v>3.6414565826330532</v>
      </c>
      <c r="R252" s="62">
        <f t="shared" si="212"/>
        <v>3.6414565826330532</v>
      </c>
      <c r="S252" s="62">
        <f t="shared" si="213"/>
        <v>3.6414565826330532</v>
      </c>
      <c r="T252" s="62">
        <f t="shared" si="214"/>
        <v>3.6414565826330532</v>
      </c>
      <c r="U252" s="62">
        <f t="shared" si="215"/>
        <v>3.6414565826330532</v>
      </c>
      <c r="V252" s="62">
        <f t="shared" si="216"/>
        <v>3.6414565826330532</v>
      </c>
      <c r="W252" s="62">
        <f t="shared" si="217"/>
        <v>3.6414565826330532</v>
      </c>
      <c r="X252" s="62">
        <f t="shared" si="218"/>
        <v>3.6414565826330532</v>
      </c>
      <c r="Y252" s="62">
        <f t="shared" si="219"/>
        <v>3.6414565826330532</v>
      </c>
      <c r="Z252" s="62">
        <f t="shared" si="220"/>
        <v>3.6414565826330532</v>
      </c>
      <c r="AA252" s="62">
        <f t="shared" si="221"/>
        <v>3.6414565826330532</v>
      </c>
      <c r="AB252" s="62">
        <f t="shared" si="222"/>
        <v>3.6414565826330532</v>
      </c>
      <c r="AC252" s="62">
        <f t="shared" si="223"/>
        <v>3.6414565826330532</v>
      </c>
    </row>
    <row r="253" spans="1:44" x14ac:dyDescent="0.25">
      <c r="A253" s="30" t="str">
        <f t="shared" si="195"/>
        <v>Fuel Economy</v>
      </c>
      <c r="B253" s="62">
        <f t="shared" si="196"/>
        <v>31.614305882352937</v>
      </c>
      <c r="C253" s="62">
        <f t="shared" si="197"/>
        <v>31.614305882352937</v>
      </c>
      <c r="D253" s="62">
        <f t="shared" si="198"/>
        <v>31.614305882352937</v>
      </c>
      <c r="E253" s="62">
        <f t="shared" si="199"/>
        <v>31.614305882352937</v>
      </c>
      <c r="F253" s="62">
        <f t="shared" si="200"/>
        <v>31.614305882352937</v>
      </c>
      <c r="G253" s="62">
        <f t="shared" si="201"/>
        <v>31.614305882352937</v>
      </c>
      <c r="H253" s="62">
        <f t="shared" si="202"/>
        <v>31.614305882352937</v>
      </c>
      <c r="I253" s="62">
        <f t="shared" si="203"/>
        <v>31.614305882352937</v>
      </c>
      <c r="J253" s="62">
        <f t="shared" si="204"/>
        <v>31.614305882352937</v>
      </c>
      <c r="K253" s="62">
        <f t="shared" si="205"/>
        <v>31.614305882352937</v>
      </c>
      <c r="L253" s="62">
        <f t="shared" si="206"/>
        <v>31.614305882352937</v>
      </c>
      <c r="M253" s="62">
        <f t="shared" si="207"/>
        <v>31.614305882352937</v>
      </c>
      <c r="N253" s="62">
        <f t="shared" si="208"/>
        <v>31.614305882352937</v>
      </c>
      <c r="O253" s="62">
        <f t="shared" si="209"/>
        <v>31.614305882352937</v>
      </c>
      <c r="P253" s="62">
        <f t="shared" si="210"/>
        <v>31.614305882352937</v>
      </c>
      <c r="Q253" s="62">
        <f t="shared" si="211"/>
        <v>31.614305882352937</v>
      </c>
      <c r="R253" s="62">
        <f t="shared" si="212"/>
        <v>31.614305882352937</v>
      </c>
      <c r="S253" s="62">
        <f t="shared" si="213"/>
        <v>31.614305882352937</v>
      </c>
      <c r="T253" s="62">
        <f t="shared" si="214"/>
        <v>31.614305882352937</v>
      </c>
      <c r="U253" s="62">
        <f t="shared" si="215"/>
        <v>31.614305882352937</v>
      </c>
      <c r="V253" s="62">
        <f t="shared" si="216"/>
        <v>31.614305882352937</v>
      </c>
      <c r="W253" s="62">
        <f t="shared" si="217"/>
        <v>31.614305882352937</v>
      </c>
      <c r="X253" s="62">
        <f t="shared" si="218"/>
        <v>31.614305882352937</v>
      </c>
      <c r="Y253" s="62">
        <f t="shared" si="219"/>
        <v>31.614305882352937</v>
      </c>
      <c r="Z253" s="62">
        <f t="shared" si="220"/>
        <v>31.614305882352937</v>
      </c>
      <c r="AA253" s="62">
        <f t="shared" si="221"/>
        <v>31.614305882352937</v>
      </c>
      <c r="AB253" s="62">
        <f t="shared" si="222"/>
        <v>31.614305882352937</v>
      </c>
      <c r="AC253" s="62">
        <f t="shared" si="223"/>
        <v>31.614305882352937</v>
      </c>
    </row>
    <row r="254" spans="1:44" x14ac:dyDescent="0.25">
      <c r="A254" s="30" t="str">
        <f t="shared" si="195"/>
        <v>Fuel Cost</v>
      </c>
      <c r="B254" s="62">
        <f t="shared" si="196"/>
        <v>0.1331013876427829</v>
      </c>
      <c r="C254" s="62">
        <f t="shared" si="197"/>
        <v>0.13284065209015961</v>
      </c>
      <c r="D254" s="62">
        <f t="shared" si="198"/>
        <v>0.13247044498234223</v>
      </c>
      <c r="E254" s="62">
        <f t="shared" si="199"/>
        <v>0.13194719281007408</v>
      </c>
      <c r="F254" s="62">
        <f t="shared" si="200"/>
        <v>0.13121255620046077</v>
      </c>
      <c r="G254" s="62">
        <f t="shared" si="201"/>
        <v>0.13019114463175094</v>
      </c>
      <c r="H254" s="62">
        <f t="shared" si="202"/>
        <v>0.12879082758213251</v>
      </c>
      <c r="I254" s="62">
        <f t="shared" si="203"/>
        <v>0.126908951519354</v>
      </c>
      <c r="J254" s="62">
        <f t="shared" si="204"/>
        <v>0.12444897595358409</v>
      </c>
      <c r="K254" s="62">
        <f t="shared" si="205"/>
        <v>0.12135105251833415</v>
      </c>
      <c r="L254" s="62">
        <f t="shared" si="206"/>
        <v>0.11763363332194038</v>
      </c>
      <c r="M254" s="62">
        <f t="shared" si="207"/>
        <v>0.11343007363373329</v>
      </c>
      <c r="N254" s="62">
        <f t="shared" si="208"/>
        <v>0.10899239291766451</v>
      </c>
      <c r="O254" s="62">
        <f t="shared" si="209"/>
        <v>0.10464203745763898</v>
      </c>
      <c r="P254" s="62">
        <f t="shared" si="210"/>
        <v>0.10068181933659913</v>
      </c>
      <c r="Q254" s="62">
        <f t="shared" si="211"/>
        <v>9.7316197879620536E-2</v>
      </c>
      <c r="R254" s="62">
        <f t="shared" si="212"/>
        <v>9.4620937841233446E-2</v>
      </c>
      <c r="S254" s="62">
        <f t="shared" si="213"/>
        <v>9.2564334807767046E-2</v>
      </c>
      <c r="T254" s="62">
        <f t="shared" si="214"/>
        <v>9.1052566638367527E-2</v>
      </c>
      <c r="U254" s="62">
        <f t="shared" si="215"/>
        <v>8.9971674267489546E-2</v>
      </c>
      <c r="V254" s="62">
        <f t="shared" si="216"/>
        <v>8.9214128341311663E-2</v>
      </c>
      <c r="W254" s="62">
        <f t="shared" si="217"/>
        <v>8.8690617543911193E-2</v>
      </c>
      <c r="X254" s="62">
        <f t="shared" si="218"/>
        <v>8.833235301770638E-2</v>
      </c>
      <c r="Y254" s="62">
        <f t="shared" si="219"/>
        <v>8.8088811183719362E-2</v>
      </c>
      <c r="Z254" s="62">
        <f t="shared" si="220"/>
        <v>8.7924009134648928E-2</v>
      </c>
      <c r="AA254" s="62">
        <f t="shared" si="221"/>
        <v>8.7812833500289317E-2</v>
      </c>
      <c r="AB254" s="62">
        <f t="shared" si="222"/>
        <v>8.7737990615512101E-2</v>
      </c>
      <c r="AC254" s="62">
        <f t="shared" si="223"/>
        <v>8.768767751485286E-2</v>
      </c>
    </row>
    <row r="255" spans="1:44" x14ac:dyDescent="0.25">
      <c r="A255" s="30" t="str">
        <f t="shared" ref="A255" si="224">A235</f>
        <v>Emission Cost</v>
      </c>
      <c r="B255" s="66">
        <f>$B235+($C235-$B235)*(1-Q235)</f>
        <v>7.3051284422328416E-2</v>
      </c>
      <c r="C255" s="66">
        <f t="shared" ref="C255" si="225">$B235+($C235-$B235)*(1-R235)</f>
        <v>7.2981721800489563E-2</v>
      </c>
      <c r="D255" s="66">
        <f t="shared" ref="D255" si="226">$B235+($C235-$B235)*(1-S235)</f>
        <v>7.2882144456709708E-2</v>
      </c>
      <c r="E255" s="66">
        <f t="shared" ref="E255" si="227">$B235+($C235-$B235)*(1-T235)</f>
        <v>7.2739692063840775E-2</v>
      </c>
      <c r="F255" s="66">
        <f t="shared" ref="F255" si="228">$B235+($C235-$B235)*(1-U235)</f>
        <v>7.2536096160749949E-2</v>
      </c>
      <c r="G255" s="66">
        <f t="shared" ref="G255" si="229">$B235+($C235-$B235)*(1-V235)</f>
        <v>7.2245520808140104E-2</v>
      </c>
      <c r="H255" s="66">
        <f t="shared" ref="H255" si="230">$B235+($C235-$B235)*(1-W235)</f>
        <v>7.183167022008663E-2</v>
      </c>
      <c r="I255" s="66">
        <f t="shared" ref="I255" si="231">$B235+($C235-$B235)*(1-X235)</f>
        <v>7.1244061711272524E-2</v>
      </c>
      <c r="J255" s="66">
        <f t="shared" ref="J255" si="232">$B235+($C235-$B235)*(1-Y235)</f>
        <v>7.0413533549636295E-2</v>
      </c>
      <c r="K255" s="66">
        <f t="shared" ref="K255" si="233">$B235+($C235-$B235)*(1-Z235)</f>
        <v>6.9247486994668248E-2</v>
      </c>
      <c r="L255" s="66">
        <f t="shared" ref="L255" si="234">$B235+($C235-$B235)*(1-AA235)</f>
        <v>6.7626258995255692E-2</v>
      </c>
      <c r="M255" s="66">
        <f t="shared" ref="M255" si="235">$B235+($C235-$B235)*(1-AB235)</f>
        <v>6.5403616058321165E-2</v>
      </c>
      <c r="N255" s="66">
        <f t="shared" ref="N255" si="236">$B235+($C235-$B235)*(1-AC235)</f>
        <v>6.2416622119869432E-2</v>
      </c>
      <c r="O255" s="66">
        <f t="shared" ref="O255" si="237">$B235+($C235-$B235)*(1-AD235)</f>
        <v>5.8512043997522092E-2</v>
      </c>
      <c r="P255" s="66">
        <f t="shared" ref="P255" si="238">$B235+($C235-$B235)*(1-AE235)</f>
        <v>5.3594887811786507E-2</v>
      </c>
      <c r="Q255" s="66">
        <f t="shared" ref="Q255" si="239">$B235+($C235-$B235)*(1-AF235)</f>
        <v>4.7694441535894194E-2</v>
      </c>
      <c r="R255" s="66">
        <f t="shared" ref="R255" si="240">$B235+($C235-$B235)*(1-AG235)</f>
        <v>4.1022372340191592E-2</v>
      </c>
      <c r="S255" s="66">
        <f t="shared" ref="S255" si="241">$B235+($C235-$B235)*(1-AH235)</f>
        <v>3.3978696265099438E-2</v>
      </c>
      <c r="T255" s="66">
        <f t="shared" ref="T255" si="242">$B235+($C235-$B235)*(1-AI235)</f>
        <v>2.7073626560338522E-2</v>
      </c>
      <c r="U255" s="66">
        <f t="shared" ref="U255" si="243">$B235+($C235-$B235)*(1-AJ235)</f>
        <v>2.0787799477216214E-2</v>
      </c>
      <c r="V255" s="66">
        <f t="shared" ref="V255" si="244">$B235+($C235-$B235)*(1-AK235)</f>
        <v>1.5445741575552285E-2</v>
      </c>
      <c r="W255" s="66">
        <f t="shared" ref="W255" si="245">$B235+($C235-$B235)*(1-AL235)</f>
        <v>1.1167709904685047E-2</v>
      </c>
      <c r="X255" s="66">
        <f t="shared" ref="X255" si="246">$B235+($C235-$B235)*(1-AM235)</f>
        <v>7.903381867218201E-3</v>
      </c>
      <c r="Y255" s="66">
        <f t="shared" ref="Y255" si="247">$B235+($C235-$B235)*(1-AN235)</f>
        <v>5.5038389601930332E-3</v>
      </c>
      <c r="Z255" s="66">
        <f t="shared" ref="Z255" si="248">$B235+($C235-$B235)*(1-AO235)</f>
        <v>3.7882004950518661E-3</v>
      </c>
      <c r="AA255" s="66">
        <f t="shared" ref="AA255" si="249">$B235+($C235-$B235)*(1-AP235)</f>
        <v>2.5857912958768409E-3</v>
      </c>
      <c r="AB255" s="66">
        <f t="shared" ref="AB255" si="250">$B235+($C235-$B235)*(1-AQ235)</f>
        <v>1.7548526334016656E-3</v>
      </c>
      <c r="AC255" s="66">
        <f t="shared" ref="AC255" si="251">$B235+($C235-$B235)*(1-AR235)</f>
        <v>1.1861998994081024E-3</v>
      </c>
    </row>
    <row r="256" spans="1:44" x14ac:dyDescent="0.25">
      <c r="A256" s="30" t="str">
        <f>A236</f>
        <v>Lifetime vehicle</v>
      </c>
      <c r="B256" s="62">
        <f>$B236+($C236-$B236)*(1-Q236)</f>
        <v>20</v>
      </c>
      <c r="C256" s="62">
        <f t="shared" ref="C256:L258" si="252">$B236+($C236-$B236)*(1-R236)</f>
        <v>20</v>
      </c>
      <c r="D256" s="62">
        <f t="shared" si="252"/>
        <v>20</v>
      </c>
      <c r="E256" s="62">
        <f t="shared" si="252"/>
        <v>20</v>
      </c>
      <c r="F256" s="62">
        <f t="shared" si="252"/>
        <v>20</v>
      </c>
      <c r="G256" s="62">
        <f t="shared" si="252"/>
        <v>20</v>
      </c>
      <c r="H256" s="62">
        <f t="shared" si="252"/>
        <v>20</v>
      </c>
      <c r="I256" s="62">
        <f t="shared" si="252"/>
        <v>20</v>
      </c>
      <c r="J256" s="62">
        <f t="shared" si="252"/>
        <v>20</v>
      </c>
      <c r="K256" s="62">
        <f t="shared" si="252"/>
        <v>20</v>
      </c>
      <c r="L256" s="62">
        <f t="shared" si="252"/>
        <v>20</v>
      </c>
      <c r="M256" s="62">
        <f t="shared" ref="M256:V258" si="253">$B236+($C236-$B236)*(1-AB236)</f>
        <v>20</v>
      </c>
      <c r="N256" s="62">
        <f t="shared" si="253"/>
        <v>20</v>
      </c>
      <c r="O256" s="62">
        <f t="shared" si="253"/>
        <v>20</v>
      </c>
      <c r="P256" s="62">
        <f t="shared" si="253"/>
        <v>20</v>
      </c>
      <c r="Q256" s="62">
        <f t="shared" si="253"/>
        <v>20</v>
      </c>
      <c r="R256" s="62">
        <f t="shared" si="253"/>
        <v>20</v>
      </c>
      <c r="S256" s="62">
        <f t="shared" si="253"/>
        <v>20</v>
      </c>
      <c r="T256" s="62">
        <f t="shared" si="253"/>
        <v>20</v>
      </c>
      <c r="U256" s="62">
        <f t="shared" si="253"/>
        <v>20</v>
      </c>
      <c r="V256" s="62">
        <f t="shared" si="253"/>
        <v>20</v>
      </c>
      <c r="W256" s="62">
        <f t="shared" ref="W256:AC258" si="254">$B236+($C236-$B236)*(1-AL236)</f>
        <v>20</v>
      </c>
      <c r="X256" s="62">
        <f t="shared" si="254"/>
        <v>20</v>
      </c>
      <c r="Y256" s="62">
        <f t="shared" si="254"/>
        <v>20</v>
      </c>
      <c r="Z256" s="62">
        <f t="shared" si="254"/>
        <v>20</v>
      </c>
      <c r="AA256" s="62">
        <f t="shared" si="254"/>
        <v>20</v>
      </c>
      <c r="AB256" s="62">
        <f t="shared" si="254"/>
        <v>20</v>
      </c>
      <c r="AC256" s="62">
        <f t="shared" si="254"/>
        <v>20</v>
      </c>
    </row>
    <row r="257" spans="1:29" x14ac:dyDescent="0.25">
      <c r="A257" s="30" t="str">
        <f>A237</f>
        <v>Lifetime costumization</v>
      </c>
      <c r="B257" s="62">
        <f>$B237+($C237-$B237)*(1-Q237)</f>
        <v>30</v>
      </c>
      <c r="C257" s="62">
        <f t="shared" si="252"/>
        <v>30</v>
      </c>
      <c r="D257" s="62">
        <f t="shared" si="252"/>
        <v>30</v>
      </c>
      <c r="E257" s="62">
        <f t="shared" si="252"/>
        <v>30</v>
      </c>
      <c r="F257" s="62">
        <f t="shared" si="252"/>
        <v>30</v>
      </c>
      <c r="G257" s="62">
        <f t="shared" si="252"/>
        <v>30</v>
      </c>
      <c r="H257" s="62">
        <f t="shared" si="252"/>
        <v>30</v>
      </c>
      <c r="I257" s="62">
        <f t="shared" si="252"/>
        <v>30</v>
      </c>
      <c r="J257" s="62">
        <f t="shared" si="252"/>
        <v>30</v>
      </c>
      <c r="K257" s="62">
        <f t="shared" si="252"/>
        <v>30</v>
      </c>
      <c r="L257" s="62">
        <f t="shared" si="252"/>
        <v>30</v>
      </c>
      <c r="M257" s="62">
        <f t="shared" si="253"/>
        <v>30</v>
      </c>
      <c r="N257" s="62">
        <f t="shared" si="253"/>
        <v>30</v>
      </c>
      <c r="O257" s="62">
        <f t="shared" si="253"/>
        <v>30</v>
      </c>
      <c r="P257" s="62">
        <f t="shared" si="253"/>
        <v>30</v>
      </c>
      <c r="Q257" s="62">
        <f t="shared" si="253"/>
        <v>30</v>
      </c>
      <c r="R257" s="62">
        <f t="shared" si="253"/>
        <v>30</v>
      </c>
      <c r="S257" s="62">
        <f t="shared" si="253"/>
        <v>30</v>
      </c>
      <c r="T257" s="62">
        <f t="shared" si="253"/>
        <v>30</v>
      </c>
      <c r="U257" s="62">
        <f t="shared" si="253"/>
        <v>30</v>
      </c>
      <c r="V257" s="62">
        <f t="shared" si="253"/>
        <v>30</v>
      </c>
      <c r="W257" s="62">
        <f t="shared" si="254"/>
        <v>30</v>
      </c>
      <c r="X257" s="62">
        <f t="shared" si="254"/>
        <v>30</v>
      </c>
      <c r="Y257" s="62">
        <f t="shared" si="254"/>
        <v>30</v>
      </c>
      <c r="Z257" s="62">
        <f t="shared" si="254"/>
        <v>30</v>
      </c>
      <c r="AA257" s="62">
        <f t="shared" si="254"/>
        <v>30</v>
      </c>
      <c r="AB257" s="62">
        <f t="shared" si="254"/>
        <v>30</v>
      </c>
      <c r="AC257" s="62">
        <f t="shared" si="254"/>
        <v>30</v>
      </c>
    </row>
    <row r="258" spans="1:29" x14ac:dyDescent="0.25">
      <c r="A258" s="30" t="str">
        <f>A238</f>
        <v>Tonnage .</v>
      </c>
      <c r="B258" s="62">
        <f>$B238+($C238-$B238)*(1-Q238)</f>
        <v>2240</v>
      </c>
      <c r="C258" s="62">
        <f t="shared" si="252"/>
        <v>2240</v>
      </c>
      <c r="D258" s="62">
        <f t="shared" si="252"/>
        <v>2240</v>
      </c>
      <c r="E258" s="62">
        <f t="shared" si="252"/>
        <v>2240</v>
      </c>
      <c r="F258" s="62">
        <f t="shared" si="252"/>
        <v>2240</v>
      </c>
      <c r="G258" s="62">
        <f t="shared" si="252"/>
        <v>2240</v>
      </c>
      <c r="H258" s="62">
        <f t="shared" si="252"/>
        <v>2240</v>
      </c>
      <c r="I258" s="62">
        <f t="shared" si="252"/>
        <v>2240</v>
      </c>
      <c r="J258" s="62">
        <f t="shared" si="252"/>
        <v>2240</v>
      </c>
      <c r="K258" s="62">
        <f t="shared" si="252"/>
        <v>2240</v>
      </c>
      <c r="L258" s="62">
        <f t="shared" si="252"/>
        <v>2240</v>
      </c>
      <c r="M258" s="62">
        <f t="shared" si="253"/>
        <v>2240</v>
      </c>
      <c r="N258" s="62">
        <f t="shared" si="253"/>
        <v>2240</v>
      </c>
      <c r="O258" s="62">
        <f t="shared" si="253"/>
        <v>2240</v>
      </c>
      <c r="P258" s="62">
        <f t="shared" si="253"/>
        <v>2240</v>
      </c>
      <c r="Q258" s="62">
        <f t="shared" si="253"/>
        <v>2240</v>
      </c>
      <c r="R258" s="62">
        <f t="shared" si="253"/>
        <v>2240</v>
      </c>
      <c r="S258" s="62">
        <f t="shared" si="253"/>
        <v>2240</v>
      </c>
      <c r="T258" s="62">
        <f t="shared" si="253"/>
        <v>2240</v>
      </c>
      <c r="U258" s="62">
        <f t="shared" si="253"/>
        <v>2240</v>
      </c>
      <c r="V258" s="62">
        <f t="shared" si="253"/>
        <v>2240</v>
      </c>
      <c r="W258" s="62">
        <f t="shared" si="254"/>
        <v>2240</v>
      </c>
      <c r="X258" s="62">
        <f t="shared" si="254"/>
        <v>2240</v>
      </c>
      <c r="Y258" s="62">
        <f t="shared" si="254"/>
        <v>2240</v>
      </c>
      <c r="Z258" s="62">
        <f t="shared" si="254"/>
        <v>2240</v>
      </c>
      <c r="AA258" s="62">
        <f t="shared" si="254"/>
        <v>2240</v>
      </c>
      <c r="AB258" s="62">
        <f t="shared" si="254"/>
        <v>2240</v>
      </c>
      <c r="AC258" s="62">
        <f t="shared" si="254"/>
        <v>2240</v>
      </c>
    </row>
    <row r="259" spans="1:29" x14ac:dyDescent="0.25">
      <c r="A259" s="30" t="str">
        <f>A239</f>
        <v>Market failure (av. utilization)</v>
      </c>
      <c r="B259" s="62">
        <f t="shared" ref="B259:K260" si="255">($B239+($C239-$B239)*(1-Q239))*B$44</f>
        <v>955.73333333333335</v>
      </c>
      <c r="C259" s="62">
        <f t="shared" si="255"/>
        <v>955.73333333333335</v>
      </c>
      <c r="D259" s="62">
        <f t="shared" si="255"/>
        <v>955.73333333333335</v>
      </c>
      <c r="E259" s="62">
        <f t="shared" si="255"/>
        <v>955.73333333333335</v>
      </c>
      <c r="F259" s="62">
        <f t="shared" si="255"/>
        <v>955.73333333333335</v>
      </c>
      <c r="G259" s="62">
        <f t="shared" si="255"/>
        <v>955.73333333333335</v>
      </c>
      <c r="H259" s="62">
        <f t="shared" si="255"/>
        <v>955.73333333333335</v>
      </c>
      <c r="I259" s="62">
        <f t="shared" si="255"/>
        <v>955.73333333333335</v>
      </c>
      <c r="J259" s="62">
        <f t="shared" si="255"/>
        <v>955.73333333333335</v>
      </c>
      <c r="K259" s="62">
        <f t="shared" si="255"/>
        <v>955.73333333333335</v>
      </c>
      <c r="L259" s="62">
        <f t="shared" ref="L259:U260" si="256">($B239+($C239-$B239)*(1-AA239))*L$44</f>
        <v>955.73333333333335</v>
      </c>
      <c r="M259" s="62">
        <f t="shared" si="256"/>
        <v>955.73333333333335</v>
      </c>
      <c r="N259" s="62">
        <f t="shared" si="256"/>
        <v>955.73333333333335</v>
      </c>
      <c r="O259" s="62">
        <f t="shared" si="256"/>
        <v>955.73333333333335</v>
      </c>
      <c r="P259" s="62">
        <f t="shared" si="256"/>
        <v>955.73333333333335</v>
      </c>
      <c r="Q259" s="62">
        <f t="shared" si="256"/>
        <v>955.73333333333335</v>
      </c>
      <c r="R259" s="62">
        <f t="shared" si="256"/>
        <v>955.73333333333335</v>
      </c>
      <c r="S259" s="62">
        <f t="shared" si="256"/>
        <v>955.73333333333335</v>
      </c>
      <c r="T259" s="62">
        <f t="shared" si="256"/>
        <v>955.73333333333335</v>
      </c>
      <c r="U259" s="62">
        <f t="shared" si="256"/>
        <v>955.73333333333335</v>
      </c>
      <c r="V259" s="62">
        <f t="shared" ref="V259:AC260" si="257">($B239+($C239-$B239)*(1-AK239))*V$44</f>
        <v>955.73333333333335</v>
      </c>
      <c r="W259" s="62">
        <f t="shared" si="257"/>
        <v>955.73333333333335</v>
      </c>
      <c r="X259" s="62">
        <f t="shared" si="257"/>
        <v>955.73333333333335</v>
      </c>
      <c r="Y259" s="62">
        <f t="shared" si="257"/>
        <v>955.73333333333335</v>
      </c>
      <c r="Z259" s="62">
        <f t="shared" si="257"/>
        <v>955.73333333333335</v>
      </c>
      <c r="AA259" s="62">
        <f t="shared" si="257"/>
        <v>955.73333333333335</v>
      </c>
      <c r="AB259" s="62">
        <f t="shared" si="257"/>
        <v>955.73333333333335</v>
      </c>
      <c r="AC259" s="62">
        <f t="shared" si="257"/>
        <v>955.73333333333335</v>
      </c>
    </row>
    <row r="260" spans="1:29" x14ac:dyDescent="0.25">
      <c r="A260" s="30" t="s">
        <v>73</v>
      </c>
      <c r="B260" s="62">
        <f t="shared" si="255"/>
        <v>0</v>
      </c>
      <c r="C260" s="62">
        <f t="shared" si="255"/>
        <v>0</v>
      </c>
      <c r="D260" s="62">
        <f t="shared" si="255"/>
        <v>0</v>
      </c>
      <c r="E260" s="62">
        <f t="shared" si="255"/>
        <v>0</v>
      </c>
      <c r="F260" s="62">
        <f t="shared" si="255"/>
        <v>0</v>
      </c>
      <c r="G260" s="62">
        <f t="shared" si="255"/>
        <v>0</v>
      </c>
      <c r="H260" s="62">
        <f t="shared" si="255"/>
        <v>0</v>
      </c>
      <c r="I260" s="62">
        <f t="shared" si="255"/>
        <v>0</v>
      </c>
      <c r="J260" s="62">
        <f t="shared" si="255"/>
        <v>0</v>
      </c>
      <c r="K260" s="62">
        <f t="shared" si="255"/>
        <v>0</v>
      </c>
      <c r="L260" s="62">
        <f t="shared" si="256"/>
        <v>0</v>
      </c>
      <c r="M260" s="62">
        <f t="shared" si="256"/>
        <v>0</v>
      </c>
      <c r="N260" s="62">
        <f t="shared" si="256"/>
        <v>0</v>
      </c>
      <c r="O260" s="62">
        <f t="shared" si="256"/>
        <v>0</v>
      </c>
      <c r="P260" s="62">
        <f t="shared" si="256"/>
        <v>0</v>
      </c>
      <c r="Q260" s="62">
        <f t="shared" si="256"/>
        <v>0</v>
      </c>
      <c r="R260" s="62">
        <f t="shared" si="256"/>
        <v>0</v>
      </c>
      <c r="S260" s="62">
        <f t="shared" si="256"/>
        <v>0</v>
      </c>
      <c r="T260" s="62">
        <f t="shared" si="256"/>
        <v>0</v>
      </c>
      <c r="U260" s="62">
        <f t="shared" si="256"/>
        <v>0</v>
      </c>
      <c r="V260" s="62">
        <f t="shared" si="257"/>
        <v>0</v>
      </c>
      <c r="W260" s="62">
        <f t="shared" si="257"/>
        <v>0</v>
      </c>
      <c r="X260" s="62">
        <f t="shared" si="257"/>
        <v>0</v>
      </c>
      <c r="Y260" s="62">
        <f t="shared" si="257"/>
        <v>0</v>
      </c>
      <c r="Z260" s="62">
        <f t="shared" si="257"/>
        <v>0</v>
      </c>
      <c r="AA260" s="62">
        <f t="shared" si="257"/>
        <v>0</v>
      </c>
      <c r="AB260" s="62">
        <f t="shared" si="257"/>
        <v>0</v>
      </c>
      <c r="AC260" s="62">
        <f t="shared" si="257"/>
        <v>0</v>
      </c>
    </row>
    <row r="261" spans="1:29" x14ac:dyDescent="0.25">
      <c r="A261" s="30" t="str">
        <f>A241</f>
        <v>Annual Mileage</v>
      </c>
      <c r="B261" s="62">
        <f t="shared" ref="B261:AC261" si="258">$B241+($C241-$B241)*(1-Q241)</f>
        <v>178500</v>
      </c>
      <c r="C261" s="62">
        <f t="shared" si="258"/>
        <v>178500</v>
      </c>
      <c r="D261" s="62">
        <f t="shared" si="258"/>
        <v>178500</v>
      </c>
      <c r="E261" s="62">
        <f t="shared" si="258"/>
        <v>178500</v>
      </c>
      <c r="F261" s="62">
        <f t="shared" si="258"/>
        <v>178500</v>
      </c>
      <c r="G261" s="62">
        <f t="shared" si="258"/>
        <v>178500</v>
      </c>
      <c r="H261" s="62">
        <f t="shared" si="258"/>
        <v>178500</v>
      </c>
      <c r="I261" s="62">
        <f t="shared" si="258"/>
        <v>178500</v>
      </c>
      <c r="J261" s="62">
        <f t="shared" si="258"/>
        <v>178500</v>
      </c>
      <c r="K261" s="62">
        <f t="shared" si="258"/>
        <v>178500</v>
      </c>
      <c r="L261" s="62">
        <f t="shared" si="258"/>
        <v>178500</v>
      </c>
      <c r="M261" s="62">
        <f t="shared" si="258"/>
        <v>178500</v>
      </c>
      <c r="N261" s="62">
        <f t="shared" si="258"/>
        <v>178500</v>
      </c>
      <c r="O261" s="62">
        <f t="shared" si="258"/>
        <v>178500</v>
      </c>
      <c r="P261" s="62">
        <f t="shared" si="258"/>
        <v>178500</v>
      </c>
      <c r="Q261" s="62">
        <f t="shared" si="258"/>
        <v>178500</v>
      </c>
      <c r="R261" s="62">
        <f t="shared" si="258"/>
        <v>178500</v>
      </c>
      <c r="S261" s="62">
        <f t="shared" si="258"/>
        <v>178500</v>
      </c>
      <c r="T261" s="62">
        <f t="shared" si="258"/>
        <v>178500</v>
      </c>
      <c r="U261" s="62">
        <f t="shared" si="258"/>
        <v>178500</v>
      </c>
      <c r="V261" s="62">
        <f t="shared" si="258"/>
        <v>178500</v>
      </c>
      <c r="W261" s="62">
        <f t="shared" si="258"/>
        <v>178500</v>
      </c>
      <c r="X261" s="62">
        <f t="shared" si="258"/>
        <v>178500</v>
      </c>
      <c r="Y261" s="62">
        <f t="shared" si="258"/>
        <v>178500</v>
      </c>
      <c r="Z261" s="62">
        <f t="shared" si="258"/>
        <v>178500</v>
      </c>
      <c r="AA261" s="62">
        <f t="shared" si="258"/>
        <v>178500</v>
      </c>
      <c r="AB261" s="62">
        <f t="shared" si="258"/>
        <v>178500</v>
      </c>
      <c r="AC261" s="62">
        <f t="shared" si="258"/>
        <v>178500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435922.78488425701</v>
      </c>
      <c r="C264" s="63">
        <f t="shared" ref="C264:AC264" si="259">((1+C249)^C256)*C249/(((1+C249)^C256)-1)*(C245)</f>
        <v>435922.78488425701</v>
      </c>
      <c r="D264" s="63">
        <f t="shared" si="259"/>
        <v>435922.78488425701</v>
      </c>
      <c r="E264" s="63">
        <f t="shared" si="259"/>
        <v>435922.78488425701</v>
      </c>
      <c r="F264" s="63">
        <f t="shared" si="259"/>
        <v>435922.78488425701</v>
      </c>
      <c r="G264" s="63">
        <f t="shared" si="259"/>
        <v>435922.78488425701</v>
      </c>
      <c r="H264" s="63">
        <f t="shared" si="259"/>
        <v>435922.78488425701</v>
      </c>
      <c r="I264" s="63">
        <f t="shared" si="259"/>
        <v>435922.78488425701</v>
      </c>
      <c r="J264" s="63">
        <f t="shared" si="259"/>
        <v>435922.78488425701</v>
      </c>
      <c r="K264" s="63">
        <f t="shared" si="259"/>
        <v>435922.78488425701</v>
      </c>
      <c r="L264" s="63">
        <f t="shared" si="259"/>
        <v>435922.78488425701</v>
      </c>
      <c r="M264" s="63">
        <f t="shared" si="259"/>
        <v>435922.78488425701</v>
      </c>
      <c r="N264" s="63">
        <f t="shared" si="259"/>
        <v>435922.78488425701</v>
      </c>
      <c r="O264" s="63">
        <f t="shared" si="259"/>
        <v>435922.78488425701</v>
      </c>
      <c r="P264" s="63">
        <f t="shared" si="259"/>
        <v>435922.78488425701</v>
      </c>
      <c r="Q264" s="63">
        <f t="shared" si="259"/>
        <v>435922.78488425701</v>
      </c>
      <c r="R264" s="63">
        <f t="shared" si="259"/>
        <v>435922.78488425701</v>
      </c>
      <c r="S264" s="63">
        <f t="shared" si="259"/>
        <v>435922.78488425701</v>
      </c>
      <c r="T264" s="63">
        <f t="shared" si="259"/>
        <v>435922.78488425701</v>
      </c>
      <c r="U264" s="63">
        <f t="shared" si="259"/>
        <v>435922.78488425701</v>
      </c>
      <c r="V264" s="63">
        <f t="shared" si="259"/>
        <v>435922.78488425701</v>
      </c>
      <c r="W264" s="63">
        <f t="shared" si="259"/>
        <v>435922.78488425701</v>
      </c>
      <c r="X264" s="63">
        <f t="shared" si="259"/>
        <v>435922.78488425701</v>
      </c>
      <c r="Y264" s="63">
        <f t="shared" si="259"/>
        <v>435922.78488425701</v>
      </c>
      <c r="Z264" s="63">
        <f t="shared" si="259"/>
        <v>435922.78488425701</v>
      </c>
      <c r="AA264" s="63">
        <f t="shared" si="259"/>
        <v>435922.78488425701</v>
      </c>
      <c r="AB264" s="63">
        <f t="shared" si="259"/>
        <v>435922.78488425701</v>
      </c>
      <c r="AC264" s="63">
        <f t="shared" si="259"/>
        <v>435922.78488425701</v>
      </c>
    </row>
    <row r="265" spans="1:29" x14ac:dyDescent="0.25">
      <c r="A265" s="30" t="str">
        <f>A246</f>
        <v>Residual value (vehicle)</v>
      </c>
      <c r="B265" s="62">
        <f>((1+B249)^B256)*B249/(((1+B249)^B256)-1)*(B246)</f>
        <v>-65388.417732638554</v>
      </c>
      <c r="C265" s="62">
        <f t="shared" ref="C265:AC265" si="260">((1+C249)^C256)*C249/(((1+C249)^C256)-1)*(C246)</f>
        <v>-65388.417732638554</v>
      </c>
      <c r="D265" s="62">
        <f t="shared" si="260"/>
        <v>-65388.417732638554</v>
      </c>
      <c r="E265" s="62">
        <f t="shared" si="260"/>
        <v>-65388.417732638554</v>
      </c>
      <c r="F265" s="62">
        <f t="shared" si="260"/>
        <v>-65388.417732638554</v>
      </c>
      <c r="G265" s="62">
        <f t="shared" si="260"/>
        <v>-65388.417732638554</v>
      </c>
      <c r="H265" s="62">
        <f t="shared" si="260"/>
        <v>-65388.417732638554</v>
      </c>
      <c r="I265" s="62">
        <f t="shared" si="260"/>
        <v>-65388.417732638554</v>
      </c>
      <c r="J265" s="62">
        <f t="shared" si="260"/>
        <v>-65388.417732638554</v>
      </c>
      <c r="K265" s="62">
        <f t="shared" si="260"/>
        <v>-65388.417732638554</v>
      </c>
      <c r="L265" s="62">
        <f t="shared" si="260"/>
        <v>-65388.417732638554</v>
      </c>
      <c r="M265" s="62">
        <f t="shared" si="260"/>
        <v>-65388.417732638554</v>
      </c>
      <c r="N265" s="62">
        <f t="shared" si="260"/>
        <v>-65388.417732638554</v>
      </c>
      <c r="O265" s="62">
        <f t="shared" si="260"/>
        <v>-65388.417732638554</v>
      </c>
      <c r="P265" s="62">
        <f t="shared" si="260"/>
        <v>-65388.417732638554</v>
      </c>
      <c r="Q265" s="62">
        <f t="shared" si="260"/>
        <v>-65388.417732638554</v>
      </c>
      <c r="R265" s="62">
        <f t="shared" si="260"/>
        <v>-65388.417732638554</v>
      </c>
      <c r="S265" s="62">
        <f t="shared" si="260"/>
        <v>-65388.417732638554</v>
      </c>
      <c r="T265" s="62">
        <f t="shared" si="260"/>
        <v>-65388.417732638554</v>
      </c>
      <c r="U265" s="62">
        <f t="shared" si="260"/>
        <v>-65388.417732638554</v>
      </c>
      <c r="V265" s="62">
        <f t="shared" si="260"/>
        <v>-65388.417732638554</v>
      </c>
      <c r="W265" s="62">
        <f t="shared" si="260"/>
        <v>-65388.417732638554</v>
      </c>
      <c r="X265" s="62">
        <f t="shared" si="260"/>
        <v>-65388.417732638554</v>
      </c>
      <c r="Y265" s="62">
        <f t="shared" si="260"/>
        <v>-65388.417732638554</v>
      </c>
      <c r="Z265" s="62">
        <f t="shared" si="260"/>
        <v>-65388.417732638554</v>
      </c>
      <c r="AA265" s="62">
        <f t="shared" si="260"/>
        <v>-65388.417732638554</v>
      </c>
      <c r="AB265" s="62">
        <f t="shared" si="260"/>
        <v>-65388.417732638554</v>
      </c>
      <c r="AC265" s="62">
        <f t="shared" si="260"/>
        <v>-65388.417732638554</v>
      </c>
    </row>
    <row r="266" spans="1:29" x14ac:dyDescent="0.25">
      <c r="A266" s="30" t="str">
        <f>A247</f>
        <v>Capex costumization</v>
      </c>
      <c r="B266" s="62">
        <f>((1+B249)^B257)*B249/(((1+B249)^B257)-1)*(B247)</f>
        <v>203416.95217213215</v>
      </c>
      <c r="C266" s="62">
        <f t="shared" ref="C266:AC266" si="261">((1+C249)^C257)*C249/(((1+C249)^C257)-1)*(C247)</f>
        <v>203416.95217213215</v>
      </c>
      <c r="D266" s="62">
        <f t="shared" si="261"/>
        <v>203416.95217213215</v>
      </c>
      <c r="E266" s="62">
        <f t="shared" si="261"/>
        <v>203416.95217213215</v>
      </c>
      <c r="F266" s="62">
        <f t="shared" si="261"/>
        <v>203416.95217213215</v>
      </c>
      <c r="G266" s="62">
        <f t="shared" si="261"/>
        <v>203416.95217213215</v>
      </c>
      <c r="H266" s="62">
        <f t="shared" si="261"/>
        <v>203416.95217213215</v>
      </c>
      <c r="I266" s="62">
        <f t="shared" si="261"/>
        <v>203416.95217213215</v>
      </c>
      <c r="J266" s="62">
        <f t="shared" si="261"/>
        <v>203416.95217213215</v>
      </c>
      <c r="K266" s="62">
        <f t="shared" si="261"/>
        <v>203416.95217213215</v>
      </c>
      <c r="L266" s="62">
        <f t="shared" si="261"/>
        <v>203416.95217213215</v>
      </c>
      <c r="M266" s="62">
        <f t="shared" si="261"/>
        <v>203416.95217213215</v>
      </c>
      <c r="N266" s="62">
        <f t="shared" si="261"/>
        <v>203416.95217213215</v>
      </c>
      <c r="O266" s="62">
        <f t="shared" si="261"/>
        <v>203416.95217213215</v>
      </c>
      <c r="P266" s="62">
        <f t="shared" si="261"/>
        <v>203416.95217213215</v>
      </c>
      <c r="Q266" s="62">
        <f t="shared" si="261"/>
        <v>203416.95217213215</v>
      </c>
      <c r="R266" s="62">
        <f t="shared" si="261"/>
        <v>203416.95217213215</v>
      </c>
      <c r="S266" s="62">
        <f t="shared" si="261"/>
        <v>203416.95217213215</v>
      </c>
      <c r="T266" s="62">
        <f t="shared" si="261"/>
        <v>203416.95217213215</v>
      </c>
      <c r="U266" s="62">
        <f t="shared" si="261"/>
        <v>203416.95217213215</v>
      </c>
      <c r="V266" s="62">
        <f t="shared" si="261"/>
        <v>203416.95217213215</v>
      </c>
      <c r="W266" s="62">
        <f t="shared" si="261"/>
        <v>203416.95217213215</v>
      </c>
      <c r="X266" s="62">
        <f t="shared" si="261"/>
        <v>203416.95217213215</v>
      </c>
      <c r="Y266" s="62">
        <f t="shared" si="261"/>
        <v>203416.95217213215</v>
      </c>
      <c r="Z266" s="62">
        <f t="shared" si="261"/>
        <v>203416.95217213215</v>
      </c>
      <c r="AA266" s="62">
        <f t="shared" si="261"/>
        <v>203416.95217213215</v>
      </c>
      <c r="AB266" s="62">
        <f t="shared" si="261"/>
        <v>203416.95217213215</v>
      </c>
      <c r="AC266" s="62">
        <f t="shared" si="261"/>
        <v>203416.95217213215</v>
      </c>
    </row>
    <row r="267" spans="1:29" x14ac:dyDescent="0.25">
      <c r="A267" s="30" t="str">
        <f>A248</f>
        <v>Residual value (costumization)</v>
      </c>
      <c r="B267" s="62">
        <f>((1+B249)^B257)*B249/(((1+B249)^B257)-1)*(B248)</f>
        <v>-10170.847608606608</v>
      </c>
      <c r="C267" s="62">
        <f t="shared" ref="C267:AC267" si="262">((1+C249)^C257)*C249/(((1+C249)^C257)-1)*(C248)</f>
        <v>-10170.847608606608</v>
      </c>
      <c r="D267" s="62">
        <f t="shared" si="262"/>
        <v>-10170.847608606608</v>
      </c>
      <c r="E267" s="62">
        <f t="shared" si="262"/>
        <v>-10170.847608606608</v>
      </c>
      <c r="F267" s="62">
        <f t="shared" si="262"/>
        <v>-10170.847608606608</v>
      </c>
      <c r="G267" s="62">
        <f t="shared" si="262"/>
        <v>-10170.847608606608</v>
      </c>
      <c r="H267" s="62">
        <f t="shared" si="262"/>
        <v>-10170.847608606608</v>
      </c>
      <c r="I267" s="62">
        <f t="shared" si="262"/>
        <v>-10170.847608606608</v>
      </c>
      <c r="J267" s="62">
        <f t="shared" si="262"/>
        <v>-10170.847608606608</v>
      </c>
      <c r="K267" s="62">
        <f t="shared" si="262"/>
        <v>-10170.847608606608</v>
      </c>
      <c r="L267" s="62">
        <f t="shared" si="262"/>
        <v>-10170.847608606608</v>
      </c>
      <c r="M267" s="62">
        <f t="shared" si="262"/>
        <v>-10170.847608606608</v>
      </c>
      <c r="N267" s="62">
        <f t="shared" si="262"/>
        <v>-10170.847608606608</v>
      </c>
      <c r="O267" s="62">
        <f t="shared" si="262"/>
        <v>-10170.847608606608</v>
      </c>
      <c r="P267" s="62">
        <f t="shared" si="262"/>
        <v>-10170.847608606608</v>
      </c>
      <c r="Q267" s="62">
        <f t="shared" si="262"/>
        <v>-10170.847608606608</v>
      </c>
      <c r="R267" s="62">
        <f t="shared" si="262"/>
        <v>-10170.847608606608</v>
      </c>
      <c r="S267" s="62">
        <f t="shared" si="262"/>
        <v>-10170.847608606608</v>
      </c>
      <c r="T267" s="62">
        <f t="shared" si="262"/>
        <v>-10170.847608606608</v>
      </c>
      <c r="U267" s="62">
        <f t="shared" si="262"/>
        <v>-10170.847608606608</v>
      </c>
      <c r="V267" s="62">
        <f t="shared" si="262"/>
        <v>-10170.847608606608</v>
      </c>
      <c r="W267" s="62">
        <f t="shared" si="262"/>
        <v>-10170.847608606608</v>
      </c>
      <c r="X267" s="62">
        <f t="shared" si="262"/>
        <v>-10170.847608606608</v>
      </c>
      <c r="Y267" s="62">
        <f t="shared" si="262"/>
        <v>-10170.847608606608</v>
      </c>
      <c r="Z267" s="62">
        <f t="shared" si="262"/>
        <v>-10170.847608606608</v>
      </c>
      <c r="AA267" s="62">
        <f t="shared" si="262"/>
        <v>-10170.847608606608</v>
      </c>
      <c r="AB267" s="62">
        <f t="shared" si="262"/>
        <v>-10170.847608606608</v>
      </c>
      <c r="AC267" s="62">
        <f t="shared" si="262"/>
        <v>-10170.847608606608</v>
      </c>
    </row>
    <row r="268" spans="1:29" x14ac:dyDescent="0.25">
      <c r="A268" s="30" t="str">
        <f t="shared" ref="A268:AC268" si="263">A250</f>
        <v>Opex fix (admin, crew, insurance)</v>
      </c>
      <c r="B268" s="62">
        <f t="shared" si="263"/>
        <v>610000</v>
      </c>
      <c r="C268" s="62">
        <f t="shared" si="263"/>
        <v>610000</v>
      </c>
      <c r="D268" s="62">
        <f t="shared" si="263"/>
        <v>610000</v>
      </c>
      <c r="E268" s="62">
        <f t="shared" si="263"/>
        <v>610000</v>
      </c>
      <c r="F268" s="62">
        <f t="shared" si="263"/>
        <v>610000</v>
      </c>
      <c r="G268" s="62">
        <f t="shared" si="263"/>
        <v>610000</v>
      </c>
      <c r="H268" s="62">
        <f t="shared" si="263"/>
        <v>610000</v>
      </c>
      <c r="I268" s="62">
        <f t="shared" si="263"/>
        <v>610000</v>
      </c>
      <c r="J268" s="62">
        <f t="shared" si="263"/>
        <v>610000</v>
      </c>
      <c r="K268" s="62">
        <f t="shared" si="263"/>
        <v>610000</v>
      </c>
      <c r="L268" s="62">
        <f t="shared" si="263"/>
        <v>610000</v>
      </c>
      <c r="M268" s="62">
        <f t="shared" si="263"/>
        <v>610000</v>
      </c>
      <c r="N268" s="62">
        <f t="shared" si="263"/>
        <v>610000</v>
      </c>
      <c r="O268" s="62">
        <f t="shared" si="263"/>
        <v>610000</v>
      </c>
      <c r="P268" s="62">
        <f t="shared" si="263"/>
        <v>610000</v>
      </c>
      <c r="Q268" s="62">
        <f t="shared" si="263"/>
        <v>610000</v>
      </c>
      <c r="R268" s="62">
        <f t="shared" si="263"/>
        <v>610000</v>
      </c>
      <c r="S268" s="62">
        <f t="shared" si="263"/>
        <v>610000</v>
      </c>
      <c r="T268" s="62">
        <f t="shared" si="263"/>
        <v>610000</v>
      </c>
      <c r="U268" s="62">
        <f t="shared" si="263"/>
        <v>610000</v>
      </c>
      <c r="V268" s="62">
        <f t="shared" si="263"/>
        <v>610000</v>
      </c>
      <c r="W268" s="62">
        <f t="shared" si="263"/>
        <v>610000</v>
      </c>
      <c r="X268" s="62">
        <f t="shared" si="263"/>
        <v>610000</v>
      </c>
      <c r="Y268" s="62">
        <f t="shared" si="263"/>
        <v>610000</v>
      </c>
      <c r="Z268" s="62">
        <f t="shared" si="263"/>
        <v>610000</v>
      </c>
      <c r="AA268" s="62">
        <f t="shared" si="263"/>
        <v>610000</v>
      </c>
      <c r="AB268" s="62">
        <f t="shared" si="263"/>
        <v>610000</v>
      </c>
      <c r="AC268" s="62">
        <f t="shared" si="263"/>
        <v>610000</v>
      </c>
    </row>
    <row r="269" spans="1:29" x14ac:dyDescent="0.25">
      <c r="A269" s="30" t="str">
        <f t="shared" ref="A269:AC269" si="264">A251</f>
        <v>Opex maintenance &amp; repair</v>
      </c>
      <c r="B269" s="62">
        <f t="shared" si="264"/>
        <v>650000</v>
      </c>
      <c r="C269" s="62">
        <f t="shared" si="264"/>
        <v>650000</v>
      </c>
      <c r="D269" s="62">
        <f t="shared" si="264"/>
        <v>650000</v>
      </c>
      <c r="E269" s="62">
        <f t="shared" si="264"/>
        <v>650000</v>
      </c>
      <c r="F269" s="62">
        <f t="shared" si="264"/>
        <v>650000</v>
      </c>
      <c r="G269" s="62">
        <f t="shared" si="264"/>
        <v>650000</v>
      </c>
      <c r="H269" s="62">
        <f t="shared" si="264"/>
        <v>650000</v>
      </c>
      <c r="I269" s="62">
        <f t="shared" si="264"/>
        <v>650000</v>
      </c>
      <c r="J269" s="62">
        <f t="shared" si="264"/>
        <v>650000</v>
      </c>
      <c r="K269" s="62">
        <f t="shared" si="264"/>
        <v>650000</v>
      </c>
      <c r="L269" s="62">
        <f t="shared" si="264"/>
        <v>650000</v>
      </c>
      <c r="M269" s="62">
        <f t="shared" si="264"/>
        <v>650000</v>
      </c>
      <c r="N269" s="62">
        <f t="shared" si="264"/>
        <v>650000</v>
      </c>
      <c r="O269" s="62">
        <f t="shared" si="264"/>
        <v>650000</v>
      </c>
      <c r="P269" s="62">
        <f t="shared" si="264"/>
        <v>650000</v>
      </c>
      <c r="Q269" s="62">
        <f t="shared" si="264"/>
        <v>650000</v>
      </c>
      <c r="R269" s="62">
        <f t="shared" si="264"/>
        <v>650000</v>
      </c>
      <c r="S269" s="62">
        <f t="shared" si="264"/>
        <v>650000</v>
      </c>
      <c r="T269" s="62">
        <f t="shared" si="264"/>
        <v>650000</v>
      </c>
      <c r="U269" s="62">
        <f t="shared" si="264"/>
        <v>650000</v>
      </c>
      <c r="V269" s="62">
        <f t="shared" si="264"/>
        <v>650000</v>
      </c>
      <c r="W269" s="62">
        <f t="shared" si="264"/>
        <v>650000</v>
      </c>
      <c r="X269" s="62">
        <f t="shared" si="264"/>
        <v>650000</v>
      </c>
      <c r="Y269" s="62">
        <f t="shared" si="264"/>
        <v>650000</v>
      </c>
      <c r="Z269" s="62">
        <f t="shared" si="264"/>
        <v>650000</v>
      </c>
      <c r="AA269" s="62">
        <f t="shared" si="264"/>
        <v>650000</v>
      </c>
      <c r="AB269" s="62">
        <f t="shared" si="264"/>
        <v>650000</v>
      </c>
      <c r="AC269" s="62">
        <f t="shared" si="264"/>
        <v>650000</v>
      </c>
    </row>
    <row r="270" spans="1:29" x14ac:dyDescent="0.25">
      <c r="A270" s="30" t="str">
        <f>A252</f>
        <v>Opex var (mode-fees, shunting)</v>
      </c>
      <c r="B270" s="62">
        <f>B252*B261</f>
        <v>650000</v>
      </c>
      <c r="C270" s="62">
        <f t="shared" ref="C270:AC270" si="265">C252*C261</f>
        <v>650000</v>
      </c>
      <c r="D270" s="62">
        <f t="shared" si="265"/>
        <v>650000</v>
      </c>
      <c r="E270" s="62">
        <f t="shared" si="265"/>
        <v>650000</v>
      </c>
      <c r="F270" s="62">
        <f t="shared" si="265"/>
        <v>650000</v>
      </c>
      <c r="G270" s="62">
        <f t="shared" si="265"/>
        <v>650000</v>
      </c>
      <c r="H270" s="62">
        <f t="shared" si="265"/>
        <v>650000</v>
      </c>
      <c r="I270" s="62">
        <f t="shared" si="265"/>
        <v>650000</v>
      </c>
      <c r="J270" s="62">
        <f t="shared" si="265"/>
        <v>650000</v>
      </c>
      <c r="K270" s="62">
        <f t="shared" si="265"/>
        <v>650000</v>
      </c>
      <c r="L270" s="62">
        <f t="shared" si="265"/>
        <v>650000</v>
      </c>
      <c r="M270" s="62">
        <f t="shared" si="265"/>
        <v>650000</v>
      </c>
      <c r="N270" s="62">
        <f t="shared" si="265"/>
        <v>650000</v>
      </c>
      <c r="O270" s="62">
        <f t="shared" si="265"/>
        <v>650000</v>
      </c>
      <c r="P270" s="62">
        <f t="shared" si="265"/>
        <v>650000</v>
      </c>
      <c r="Q270" s="62">
        <f t="shared" si="265"/>
        <v>650000</v>
      </c>
      <c r="R270" s="62">
        <f t="shared" si="265"/>
        <v>650000</v>
      </c>
      <c r="S270" s="62">
        <f t="shared" si="265"/>
        <v>650000</v>
      </c>
      <c r="T270" s="62">
        <f t="shared" si="265"/>
        <v>650000</v>
      </c>
      <c r="U270" s="62">
        <f t="shared" si="265"/>
        <v>650000</v>
      </c>
      <c r="V270" s="62">
        <f t="shared" si="265"/>
        <v>650000</v>
      </c>
      <c r="W270" s="62">
        <f t="shared" si="265"/>
        <v>650000</v>
      </c>
      <c r="X270" s="62">
        <f t="shared" si="265"/>
        <v>650000</v>
      </c>
      <c r="Y270" s="62">
        <f t="shared" si="265"/>
        <v>650000</v>
      </c>
      <c r="Z270" s="62">
        <f t="shared" si="265"/>
        <v>650000</v>
      </c>
      <c r="AA270" s="62">
        <f t="shared" si="265"/>
        <v>650000</v>
      </c>
      <c r="AB270" s="62">
        <f t="shared" si="265"/>
        <v>650000</v>
      </c>
      <c r="AC270" s="62">
        <f t="shared" si="265"/>
        <v>650000</v>
      </c>
    </row>
    <row r="271" spans="1:29" x14ac:dyDescent="0.25">
      <c r="A271" s="30" t="str">
        <f>A254</f>
        <v>Fuel Cost</v>
      </c>
      <c r="B271" s="62">
        <f>B253*B254*B261</f>
        <v>751111.57484136568</v>
      </c>
      <c r="C271" s="62">
        <f t="shared" ref="C271:AC271" si="266">C253*C254*C261</f>
        <v>749640.20406893163</v>
      </c>
      <c r="D271" s="62">
        <f t="shared" si="266"/>
        <v>747551.06849570631</v>
      </c>
      <c r="E271" s="62">
        <f t="shared" si="266"/>
        <v>744598.27611606359</v>
      </c>
      <c r="F271" s="62">
        <f t="shared" si="266"/>
        <v>740452.6088878325</v>
      </c>
      <c r="G271" s="62">
        <f t="shared" si="266"/>
        <v>734688.62651678594</v>
      </c>
      <c r="H271" s="62">
        <f t="shared" si="266"/>
        <v>726786.42231709033</v>
      </c>
      <c r="I271" s="62">
        <f t="shared" si="266"/>
        <v>716166.70663866785</v>
      </c>
      <c r="J271" s="62">
        <f t="shared" si="266"/>
        <v>702284.68666878145</v>
      </c>
      <c r="K271" s="62">
        <f t="shared" si="266"/>
        <v>684802.6288826263</v>
      </c>
      <c r="L271" s="62">
        <f t="shared" si="266"/>
        <v>663824.6613617877</v>
      </c>
      <c r="M271" s="62">
        <f t="shared" si="266"/>
        <v>640103.32837446698</v>
      </c>
      <c r="N271" s="62">
        <f t="shared" si="266"/>
        <v>615060.8144659329</v>
      </c>
      <c r="O271" s="62">
        <f t="shared" si="266"/>
        <v>590511.09039041016</v>
      </c>
      <c r="P271" s="62">
        <f t="shared" si="266"/>
        <v>568162.97124387894</v>
      </c>
      <c r="Q271" s="62">
        <f t="shared" si="266"/>
        <v>549170.25240269292</v>
      </c>
      <c r="R271" s="62">
        <f t="shared" si="266"/>
        <v>533960.48601413262</v>
      </c>
      <c r="S271" s="62">
        <f t="shared" si="266"/>
        <v>522354.75920205587</v>
      </c>
      <c r="T271" s="62">
        <f t="shared" si="266"/>
        <v>513823.61921454349</v>
      </c>
      <c r="U271" s="62">
        <f t="shared" si="266"/>
        <v>507723.97754061088</v>
      </c>
      <c r="V271" s="62">
        <f t="shared" si="266"/>
        <v>503449.02952013491</v>
      </c>
      <c r="W271" s="62">
        <f t="shared" si="266"/>
        <v>500494.77767914557</v>
      </c>
      <c r="X271" s="62">
        <f t="shared" si="266"/>
        <v>498473.03592834057</v>
      </c>
      <c r="Y271" s="62">
        <f t="shared" si="266"/>
        <v>497098.69195112609</v>
      </c>
      <c r="Z271" s="62">
        <f t="shared" si="266"/>
        <v>496168.68867462687</v>
      </c>
      <c r="AA271" s="62">
        <f t="shared" si="266"/>
        <v>495541.30749335821</v>
      </c>
      <c r="AB271" s="62">
        <f t="shared" si="266"/>
        <v>495118.95759869332</v>
      </c>
      <c r="AC271" s="62">
        <f t="shared" si="266"/>
        <v>494835.03304358089</v>
      </c>
    </row>
    <row r="272" spans="1:29" ht="15.75" thickBot="1" x14ac:dyDescent="0.3">
      <c r="A272" s="59" t="str">
        <f>A235</f>
        <v>Emission Cost</v>
      </c>
      <c r="B272" s="62">
        <f>B255*B261</f>
        <v>13039.654269385623</v>
      </c>
      <c r="C272" s="62">
        <f t="shared" ref="C272:AC272" si="267">C255*C261</f>
        <v>13027.237341387387</v>
      </c>
      <c r="D272" s="62">
        <f t="shared" si="267"/>
        <v>13009.462785522683</v>
      </c>
      <c r="E272" s="62">
        <f t="shared" si="267"/>
        <v>12984.035033395578</v>
      </c>
      <c r="F272" s="62">
        <f t="shared" si="267"/>
        <v>12947.693164693866</v>
      </c>
      <c r="G272" s="62">
        <f t="shared" si="267"/>
        <v>12895.825464253008</v>
      </c>
      <c r="H272" s="62">
        <f t="shared" si="267"/>
        <v>12821.953134285463</v>
      </c>
      <c r="I272" s="62">
        <f t="shared" si="267"/>
        <v>12717.065015462145</v>
      </c>
      <c r="J272" s="62">
        <f t="shared" si="267"/>
        <v>12568.815738610079</v>
      </c>
      <c r="K272" s="62">
        <f t="shared" si="267"/>
        <v>12360.676428548282</v>
      </c>
      <c r="L272" s="62">
        <f t="shared" si="267"/>
        <v>12071.287230653141</v>
      </c>
      <c r="M272" s="62">
        <f t="shared" si="267"/>
        <v>11674.545466410327</v>
      </c>
      <c r="N272" s="62">
        <f t="shared" si="267"/>
        <v>11141.367048396694</v>
      </c>
      <c r="O272" s="62">
        <f t="shared" si="267"/>
        <v>10444.399853557694</v>
      </c>
      <c r="P272" s="62">
        <f t="shared" si="267"/>
        <v>9566.6874744038923</v>
      </c>
      <c r="Q272" s="62">
        <f t="shared" si="267"/>
        <v>8513.4578141571128</v>
      </c>
      <c r="R272" s="62">
        <f t="shared" si="267"/>
        <v>7322.4934627241992</v>
      </c>
      <c r="S272" s="62">
        <f t="shared" si="267"/>
        <v>6065.1972833202499</v>
      </c>
      <c r="T272" s="62">
        <f t="shared" si="267"/>
        <v>4832.6423410204261</v>
      </c>
      <c r="U272" s="62">
        <f t="shared" si="267"/>
        <v>3710.6222066830942</v>
      </c>
      <c r="V272" s="62">
        <f t="shared" si="267"/>
        <v>2757.064871236083</v>
      </c>
      <c r="W272" s="62">
        <f t="shared" si="267"/>
        <v>1993.4362179862808</v>
      </c>
      <c r="X272" s="62">
        <f t="shared" si="267"/>
        <v>1410.7536632984488</v>
      </c>
      <c r="Y272" s="62">
        <f t="shared" si="267"/>
        <v>982.43525439445648</v>
      </c>
      <c r="Z272" s="62">
        <f t="shared" si="267"/>
        <v>676.1937883667581</v>
      </c>
      <c r="AA272" s="62">
        <f t="shared" si="267"/>
        <v>461.5637463140161</v>
      </c>
      <c r="AB272" s="62">
        <f t="shared" si="267"/>
        <v>313.24119506219733</v>
      </c>
      <c r="AC272" s="62">
        <f t="shared" si="267"/>
        <v>211.73668204434628</v>
      </c>
    </row>
    <row r="273" spans="1:29" ht="15.75" thickBot="1" x14ac:dyDescent="0.3">
      <c r="A273" s="31" t="s">
        <v>209</v>
      </c>
      <c r="B273" s="64">
        <f>B264+B265+B266+B267+B268+B269+B270+B271+B272</f>
        <v>3237931.7008258952</v>
      </c>
      <c r="C273" s="64">
        <f t="shared" ref="C273:AC273" si="268">C264+C265+C266+C267+C268+C269+C270+C271+C272</f>
        <v>3236447.9131254628</v>
      </c>
      <c r="D273" s="64">
        <f t="shared" si="268"/>
        <v>3234341.0029963725</v>
      </c>
      <c r="E273" s="64">
        <f t="shared" si="268"/>
        <v>3231362.7828646032</v>
      </c>
      <c r="F273" s="64">
        <f t="shared" si="268"/>
        <v>3227180.7737676702</v>
      </c>
      <c r="G273" s="64">
        <f t="shared" si="268"/>
        <v>3221364.9236961827</v>
      </c>
      <c r="H273" s="64">
        <f t="shared" si="268"/>
        <v>3213388.8471665196</v>
      </c>
      <c r="I273" s="64">
        <f t="shared" si="268"/>
        <v>3202664.2433692738</v>
      </c>
      <c r="J273" s="64">
        <f t="shared" si="268"/>
        <v>3188633.9741225354</v>
      </c>
      <c r="K273" s="64">
        <f t="shared" si="268"/>
        <v>3170943.777026318</v>
      </c>
      <c r="L273" s="64">
        <f t="shared" si="268"/>
        <v>3149676.4203075846</v>
      </c>
      <c r="M273" s="64">
        <f t="shared" si="268"/>
        <v>3125558.3455560212</v>
      </c>
      <c r="N273" s="64">
        <f t="shared" si="268"/>
        <v>3099982.6532294736</v>
      </c>
      <c r="O273" s="64">
        <f t="shared" si="268"/>
        <v>3074735.961959112</v>
      </c>
      <c r="P273" s="64">
        <f t="shared" si="268"/>
        <v>3051510.1304334267</v>
      </c>
      <c r="Q273" s="64">
        <f t="shared" si="268"/>
        <v>3031464.1819319939</v>
      </c>
      <c r="R273" s="64">
        <f t="shared" si="268"/>
        <v>3015063.4511920004</v>
      </c>
      <c r="S273" s="64">
        <f t="shared" si="268"/>
        <v>3002200.4282005196</v>
      </c>
      <c r="T273" s="64">
        <f t="shared" si="268"/>
        <v>2992436.733270708</v>
      </c>
      <c r="U273" s="64">
        <f t="shared" si="268"/>
        <v>2985215.071462438</v>
      </c>
      <c r="V273" s="64">
        <f t="shared" si="268"/>
        <v>2979986.566106515</v>
      </c>
      <c r="W273" s="64">
        <f t="shared" si="268"/>
        <v>2976268.6856122757</v>
      </c>
      <c r="X273" s="64">
        <f t="shared" si="268"/>
        <v>2973664.2613067832</v>
      </c>
      <c r="Y273" s="64">
        <f t="shared" si="268"/>
        <v>2971861.5989206643</v>
      </c>
      <c r="Z273" s="64">
        <f t="shared" si="268"/>
        <v>2970625.3541781376</v>
      </c>
      <c r="AA273" s="64">
        <f t="shared" si="268"/>
        <v>2969783.3429548163</v>
      </c>
      <c r="AB273" s="64">
        <f t="shared" si="268"/>
        <v>2969212.6705088993</v>
      </c>
      <c r="AC273" s="64">
        <f t="shared" si="268"/>
        <v>2968827.2414407693</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69">A264</f>
        <v>Capex vehicle</v>
      </c>
      <c r="B276" s="65">
        <f>((1+B249)^B256)*B249/(((1+B249)^B256)-1)*(B245)/B261</f>
        <v>2.4421444531330927</v>
      </c>
      <c r="C276" s="65">
        <f t="shared" ref="C276:AC276" si="270">((1+C249)^C256)*C249/(((1+C249)^C256)-1)*(C245)/C261</f>
        <v>2.4421444531330927</v>
      </c>
      <c r="D276" s="65">
        <f t="shared" si="270"/>
        <v>2.4421444531330927</v>
      </c>
      <c r="E276" s="65">
        <f t="shared" si="270"/>
        <v>2.4421444531330927</v>
      </c>
      <c r="F276" s="65">
        <f t="shared" si="270"/>
        <v>2.4421444531330927</v>
      </c>
      <c r="G276" s="65">
        <f t="shared" si="270"/>
        <v>2.4421444531330927</v>
      </c>
      <c r="H276" s="65">
        <f t="shared" si="270"/>
        <v>2.4421444531330927</v>
      </c>
      <c r="I276" s="65">
        <f t="shared" si="270"/>
        <v>2.4421444531330927</v>
      </c>
      <c r="J276" s="65">
        <f t="shared" si="270"/>
        <v>2.4421444531330927</v>
      </c>
      <c r="K276" s="65">
        <f t="shared" si="270"/>
        <v>2.4421444531330927</v>
      </c>
      <c r="L276" s="65">
        <f t="shared" si="270"/>
        <v>2.4421444531330927</v>
      </c>
      <c r="M276" s="65">
        <f t="shared" si="270"/>
        <v>2.4421444531330927</v>
      </c>
      <c r="N276" s="65">
        <f t="shared" si="270"/>
        <v>2.4421444531330927</v>
      </c>
      <c r="O276" s="65">
        <f t="shared" si="270"/>
        <v>2.4421444531330927</v>
      </c>
      <c r="P276" s="65">
        <f t="shared" si="270"/>
        <v>2.4421444531330927</v>
      </c>
      <c r="Q276" s="65">
        <f t="shared" si="270"/>
        <v>2.4421444531330927</v>
      </c>
      <c r="R276" s="65">
        <f t="shared" si="270"/>
        <v>2.4421444531330927</v>
      </c>
      <c r="S276" s="65">
        <f t="shared" si="270"/>
        <v>2.4421444531330927</v>
      </c>
      <c r="T276" s="65">
        <f t="shared" si="270"/>
        <v>2.4421444531330927</v>
      </c>
      <c r="U276" s="65">
        <f t="shared" si="270"/>
        <v>2.4421444531330927</v>
      </c>
      <c r="V276" s="65">
        <f t="shared" si="270"/>
        <v>2.4421444531330927</v>
      </c>
      <c r="W276" s="65">
        <f t="shared" si="270"/>
        <v>2.4421444531330927</v>
      </c>
      <c r="X276" s="65">
        <f t="shared" si="270"/>
        <v>2.4421444531330927</v>
      </c>
      <c r="Y276" s="65">
        <f t="shared" si="270"/>
        <v>2.4421444531330927</v>
      </c>
      <c r="Z276" s="65">
        <f t="shared" si="270"/>
        <v>2.4421444531330927</v>
      </c>
      <c r="AA276" s="65">
        <f t="shared" si="270"/>
        <v>2.4421444531330927</v>
      </c>
      <c r="AB276" s="65">
        <f t="shared" si="270"/>
        <v>2.4421444531330927</v>
      </c>
      <c r="AC276" s="65">
        <f t="shared" si="270"/>
        <v>2.4421444531330927</v>
      </c>
    </row>
    <row r="277" spans="1:29" x14ac:dyDescent="0.25">
      <c r="A277" s="30" t="str">
        <f t="shared" si="269"/>
        <v>Residual value (vehicle)</v>
      </c>
      <c r="B277" s="66">
        <f>((1+B249)^B256)*B249/(((1+B249)^B256)-1)*(B246)/B261</f>
        <v>-0.3663216679699639</v>
      </c>
      <c r="C277" s="66">
        <f t="shared" ref="C277:AC277" si="271">((1+C249)^C256)*C249/(((1+C249)^C256)-1)*(C246)/C261</f>
        <v>-0.3663216679699639</v>
      </c>
      <c r="D277" s="66">
        <f t="shared" si="271"/>
        <v>-0.3663216679699639</v>
      </c>
      <c r="E277" s="66">
        <f t="shared" si="271"/>
        <v>-0.3663216679699639</v>
      </c>
      <c r="F277" s="66">
        <f t="shared" si="271"/>
        <v>-0.3663216679699639</v>
      </c>
      <c r="G277" s="66">
        <f t="shared" si="271"/>
        <v>-0.3663216679699639</v>
      </c>
      <c r="H277" s="66">
        <f t="shared" si="271"/>
        <v>-0.3663216679699639</v>
      </c>
      <c r="I277" s="66">
        <f t="shared" si="271"/>
        <v>-0.3663216679699639</v>
      </c>
      <c r="J277" s="66">
        <f t="shared" si="271"/>
        <v>-0.3663216679699639</v>
      </c>
      <c r="K277" s="66">
        <f t="shared" si="271"/>
        <v>-0.3663216679699639</v>
      </c>
      <c r="L277" s="66">
        <f t="shared" si="271"/>
        <v>-0.3663216679699639</v>
      </c>
      <c r="M277" s="66">
        <f t="shared" si="271"/>
        <v>-0.3663216679699639</v>
      </c>
      <c r="N277" s="66">
        <f t="shared" si="271"/>
        <v>-0.3663216679699639</v>
      </c>
      <c r="O277" s="66">
        <f t="shared" si="271"/>
        <v>-0.3663216679699639</v>
      </c>
      <c r="P277" s="66">
        <f t="shared" si="271"/>
        <v>-0.3663216679699639</v>
      </c>
      <c r="Q277" s="66">
        <f t="shared" si="271"/>
        <v>-0.3663216679699639</v>
      </c>
      <c r="R277" s="66">
        <f t="shared" si="271"/>
        <v>-0.3663216679699639</v>
      </c>
      <c r="S277" s="66">
        <f t="shared" si="271"/>
        <v>-0.3663216679699639</v>
      </c>
      <c r="T277" s="66">
        <f t="shared" si="271"/>
        <v>-0.3663216679699639</v>
      </c>
      <c r="U277" s="66">
        <f t="shared" si="271"/>
        <v>-0.3663216679699639</v>
      </c>
      <c r="V277" s="66">
        <f t="shared" si="271"/>
        <v>-0.3663216679699639</v>
      </c>
      <c r="W277" s="66">
        <f t="shared" si="271"/>
        <v>-0.3663216679699639</v>
      </c>
      <c r="X277" s="66">
        <f t="shared" si="271"/>
        <v>-0.3663216679699639</v>
      </c>
      <c r="Y277" s="66">
        <f t="shared" si="271"/>
        <v>-0.3663216679699639</v>
      </c>
      <c r="Z277" s="66">
        <f t="shared" si="271"/>
        <v>-0.3663216679699639</v>
      </c>
      <c r="AA277" s="66">
        <f t="shared" si="271"/>
        <v>-0.3663216679699639</v>
      </c>
      <c r="AB277" s="66">
        <f t="shared" si="271"/>
        <v>-0.3663216679699639</v>
      </c>
      <c r="AC277" s="66">
        <f t="shared" si="271"/>
        <v>-0.3663216679699639</v>
      </c>
    </row>
    <row r="278" spans="1:29" x14ac:dyDescent="0.25">
      <c r="A278" s="30" t="str">
        <f t="shared" si="269"/>
        <v>Capex costumization</v>
      </c>
      <c r="B278" s="66">
        <f>((1+B249)^B257)*B249/(((1+B249)^B257)-1)*(B247)/B261</f>
        <v>1.1395907684713287</v>
      </c>
      <c r="C278" s="66">
        <f t="shared" ref="C278:AC278" si="272">((1+C249)^C257)*C249/(((1+C249)^C257)-1)*(C247)/C261</f>
        <v>1.1395907684713287</v>
      </c>
      <c r="D278" s="66">
        <f t="shared" si="272"/>
        <v>1.1395907684713287</v>
      </c>
      <c r="E278" s="66">
        <f t="shared" si="272"/>
        <v>1.1395907684713287</v>
      </c>
      <c r="F278" s="66">
        <f t="shared" si="272"/>
        <v>1.1395907684713287</v>
      </c>
      <c r="G278" s="66">
        <f t="shared" si="272"/>
        <v>1.1395907684713287</v>
      </c>
      <c r="H278" s="66">
        <f t="shared" si="272"/>
        <v>1.1395907684713287</v>
      </c>
      <c r="I278" s="66">
        <f t="shared" si="272"/>
        <v>1.1395907684713287</v>
      </c>
      <c r="J278" s="66">
        <f t="shared" si="272"/>
        <v>1.1395907684713287</v>
      </c>
      <c r="K278" s="66">
        <f t="shared" si="272"/>
        <v>1.1395907684713287</v>
      </c>
      <c r="L278" s="66">
        <f t="shared" si="272"/>
        <v>1.1395907684713287</v>
      </c>
      <c r="M278" s="66">
        <f t="shared" si="272"/>
        <v>1.1395907684713287</v>
      </c>
      <c r="N278" s="66">
        <f t="shared" si="272"/>
        <v>1.1395907684713287</v>
      </c>
      <c r="O278" s="66">
        <f t="shared" si="272"/>
        <v>1.1395907684713287</v>
      </c>
      <c r="P278" s="66">
        <f t="shared" si="272"/>
        <v>1.1395907684713287</v>
      </c>
      <c r="Q278" s="66">
        <f t="shared" si="272"/>
        <v>1.1395907684713287</v>
      </c>
      <c r="R278" s="66">
        <f t="shared" si="272"/>
        <v>1.1395907684713287</v>
      </c>
      <c r="S278" s="66">
        <f t="shared" si="272"/>
        <v>1.1395907684713287</v>
      </c>
      <c r="T278" s="66">
        <f t="shared" si="272"/>
        <v>1.1395907684713287</v>
      </c>
      <c r="U278" s="66">
        <f t="shared" si="272"/>
        <v>1.1395907684713287</v>
      </c>
      <c r="V278" s="66">
        <f t="shared" si="272"/>
        <v>1.1395907684713287</v>
      </c>
      <c r="W278" s="66">
        <f t="shared" si="272"/>
        <v>1.1395907684713287</v>
      </c>
      <c r="X278" s="66">
        <f t="shared" si="272"/>
        <v>1.1395907684713287</v>
      </c>
      <c r="Y278" s="66">
        <f t="shared" si="272"/>
        <v>1.1395907684713287</v>
      </c>
      <c r="Z278" s="66">
        <f t="shared" si="272"/>
        <v>1.1395907684713287</v>
      </c>
      <c r="AA278" s="66">
        <f t="shared" si="272"/>
        <v>1.1395907684713287</v>
      </c>
      <c r="AB278" s="66">
        <f t="shared" si="272"/>
        <v>1.1395907684713287</v>
      </c>
      <c r="AC278" s="66">
        <f t="shared" si="272"/>
        <v>1.1395907684713287</v>
      </c>
    </row>
    <row r="279" spans="1:29" x14ac:dyDescent="0.25">
      <c r="A279" s="30" t="str">
        <f t="shared" si="269"/>
        <v>Residual value (costumization)</v>
      </c>
      <c r="B279" s="66">
        <f>((1+B249)^B257)*B249/(((1+B249)^B257)-1)*(B248)/B261</f>
        <v>-5.6979538423566428E-2</v>
      </c>
      <c r="C279" s="66">
        <f t="shared" ref="C279:AC279" si="273">((1+C249)^C257)*C249/(((1+C249)^C257)-1)*(C248)/C261</f>
        <v>-5.6979538423566428E-2</v>
      </c>
      <c r="D279" s="66">
        <f t="shared" si="273"/>
        <v>-5.6979538423566428E-2</v>
      </c>
      <c r="E279" s="66">
        <f t="shared" si="273"/>
        <v>-5.6979538423566428E-2</v>
      </c>
      <c r="F279" s="66">
        <f t="shared" si="273"/>
        <v>-5.6979538423566428E-2</v>
      </c>
      <c r="G279" s="66">
        <f t="shared" si="273"/>
        <v>-5.6979538423566428E-2</v>
      </c>
      <c r="H279" s="66">
        <f t="shared" si="273"/>
        <v>-5.6979538423566428E-2</v>
      </c>
      <c r="I279" s="66">
        <f t="shared" si="273"/>
        <v>-5.6979538423566428E-2</v>
      </c>
      <c r="J279" s="66">
        <f t="shared" si="273"/>
        <v>-5.6979538423566428E-2</v>
      </c>
      <c r="K279" s="66">
        <f t="shared" si="273"/>
        <v>-5.6979538423566428E-2</v>
      </c>
      <c r="L279" s="66">
        <f t="shared" si="273"/>
        <v>-5.6979538423566428E-2</v>
      </c>
      <c r="M279" s="66">
        <f t="shared" si="273"/>
        <v>-5.6979538423566428E-2</v>
      </c>
      <c r="N279" s="66">
        <f t="shared" si="273"/>
        <v>-5.6979538423566428E-2</v>
      </c>
      <c r="O279" s="66">
        <f t="shared" si="273"/>
        <v>-5.6979538423566428E-2</v>
      </c>
      <c r="P279" s="66">
        <f t="shared" si="273"/>
        <v>-5.6979538423566428E-2</v>
      </c>
      <c r="Q279" s="66">
        <f t="shared" si="273"/>
        <v>-5.6979538423566428E-2</v>
      </c>
      <c r="R279" s="66">
        <f t="shared" si="273"/>
        <v>-5.6979538423566428E-2</v>
      </c>
      <c r="S279" s="66">
        <f t="shared" si="273"/>
        <v>-5.6979538423566428E-2</v>
      </c>
      <c r="T279" s="66">
        <f t="shared" si="273"/>
        <v>-5.6979538423566428E-2</v>
      </c>
      <c r="U279" s="66">
        <f t="shared" si="273"/>
        <v>-5.6979538423566428E-2</v>
      </c>
      <c r="V279" s="66">
        <f t="shared" si="273"/>
        <v>-5.6979538423566428E-2</v>
      </c>
      <c r="W279" s="66">
        <f t="shared" si="273"/>
        <v>-5.6979538423566428E-2</v>
      </c>
      <c r="X279" s="66">
        <f t="shared" si="273"/>
        <v>-5.6979538423566428E-2</v>
      </c>
      <c r="Y279" s="66">
        <f t="shared" si="273"/>
        <v>-5.6979538423566428E-2</v>
      </c>
      <c r="Z279" s="66">
        <f t="shared" si="273"/>
        <v>-5.6979538423566428E-2</v>
      </c>
      <c r="AA279" s="66">
        <f t="shared" si="273"/>
        <v>-5.6979538423566428E-2</v>
      </c>
      <c r="AB279" s="66">
        <f t="shared" si="273"/>
        <v>-5.6979538423566428E-2</v>
      </c>
      <c r="AC279" s="66">
        <f t="shared" si="273"/>
        <v>-5.6979538423566428E-2</v>
      </c>
    </row>
    <row r="280" spans="1:29" x14ac:dyDescent="0.25">
      <c r="A280" s="30" t="str">
        <f t="shared" si="269"/>
        <v>Opex fix (admin, crew, insurance)</v>
      </c>
      <c r="B280" s="66">
        <f>B250/B261</f>
        <v>3.4173669467787113</v>
      </c>
      <c r="C280" s="66">
        <f t="shared" ref="C280:AC280" si="274">C250/C261</f>
        <v>3.4173669467787113</v>
      </c>
      <c r="D280" s="66">
        <f t="shared" si="274"/>
        <v>3.4173669467787113</v>
      </c>
      <c r="E280" s="66">
        <f t="shared" si="274"/>
        <v>3.4173669467787113</v>
      </c>
      <c r="F280" s="66">
        <f t="shared" si="274"/>
        <v>3.4173669467787113</v>
      </c>
      <c r="G280" s="66">
        <f t="shared" si="274"/>
        <v>3.4173669467787113</v>
      </c>
      <c r="H280" s="66">
        <f t="shared" si="274"/>
        <v>3.4173669467787113</v>
      </c>
      <c r="I280" s="66">
        <f t="shared" si="274"/>
        <v>3.4173669467787113</v>
      </c>
      <c r="J280" s="66">
        <f t="shared" si="274"/>
        <v>3.4173669467787113</v>
      </c>
      <c r="K280" s="66">
        <f t="shared" si="274"/>
        <v>3.4173669467787113</v>
      </c>
      <c r="L280" s="66">
        <f t="shared" si="274"/>
        <v>3.4173669467787113</v>
      </c>
      <c r="M280" s="66">
        <f t="shared" si="274"/>
        <v>3.4173669467787113</v>
      </c>
      <c r="N280" s="66">
        <f t="shared" si="274"/>
        <v>3.4173669467787113</v>
      </c>
      <c r="O280" s="66">
        <f t="shared" si="274"/>
        <v>3.4173669467787113</v>
      </c>
      <c r="P280" s="66">
        <f t="shared" si="274"/>
        <v>3.4173669467787113</v>
      </c>
      <c r="Q280" s="66">
        <f t="shared" si="274"/>
        <v>3.4173669467787113</v>
      </c>
      <c r="R280" s="66">
        <f t="shared" si="274"/>
        <v>3.4173669467787113</v>
      </c>
      <c r="S280" s="66">
        <f t="shared" si="274"/>
        <v>3.4173669467787113</v>
      </c>
      <c r="T280" s="66">
        <f t="shared" si="274"/>
        <v>3.4173669467787113</v>
      </c>
      <c r="U280" s="66">
        <f t="shared" si="274"/>
        <v>3.4173669467787113</v>
      </c>
      <c r="V280" s="66">
        <f t="shared" si="274"/>
        <v>3.4173669467787113</v>
      </c>
      <c r="W280" s="66">
        <f t="shared" si="274"/>
        <v>3.4173669467787113</v>
      </c>
      <c r="X280" s="66">
        <f t="shared" si="274"/>
        <v>3.4173669467787113</v>
      </c>
      <c r="Y280" s="66">
        <f t="shared" si="274"/>
        <v>3.4173669467787113</v>
      </c>
      <c r="Z280" s="66">
        <f t="shared" si="274"/>
        <v>3.4173669467787113</v>
      </c>
      <c r="AA280" s="66">
        <f t="shared" si="274"/>
        <v>3.4173669467787113</v>
      </c>
      <c r="AB280" s="66">
        <f t="shared" si="274"/>
        <v>3.4173669467787113</v>
      </c>
      <c r="AC280" s="66">
        <f t="shared" si="274"/>
        <v>3.4173669467787113</v>
      </c>
    </row>
    <row r="281" spans="1:29" x14ac:dyDescent="0.25">
      <c r="A281" s="30" t="str">
        <f t="shared" si="269"/>
        <v>Opex maintenance &amp; repair</v>
      </c>
      <c r="B281" s="66">
        <f>B251/B261</f>
        <v>3.6414565826330532</v>
      </c>
      <c r="C281" s="66">
        <f t="shared" ref="C281:AC281" si="275">C251/C261</f>
        <v>3.6414565826330532</v>
      </c>
      <c r="D281" s="66">
        <f t="shared" si="275"/>
        <v>3.6414565826330532</v>
      </c>
      <c r="E281" s="66">
        <f t="shared" si="275"/>
        <v>3.6414565826330532</v>
      </c>
      <c r="F281" s="66">
        <f t="shared" si="275"/>
        <v>3.6414565826330532</v>
      </c>
      <c r="G281" s="66">
        <f t="shared" si="275"/>
        <v>3.6414565826330532</v>
      </c>
      <c r="H281" s="66">
        <f t="shared" si="275"/>
        <v>3.6414565826330532</v>
      </c>
      <c r="I281" s="66">
        <f t="shared" si="275"/>
        <v>3.6414565826330532</v>
      </c>
      <c r="J281" s="66">
        <f t="shared" si="275"/>
        <v>3.6414565826330532</v>
      </c>
      <c r="K281" s="66">
        <f t="shared" si="275"/>
        <v>3.6414565826330532</v>
      </c>
      <c r="L281" s="66">
        <f t="shared" si="275"/>
        <v>3.6414565826330532</v>
      </c>
      <c r="M281" s="66">
        <f t="shared" si="275"/>
        <v>3.6414565826330532</v>
      </c>
      <c r="N281" s="66">
        <f t="shared" si="275"/>
        <v>3.6414565826330532</v>
      </c>
      <c r="O281" s="66">
        <f t="shared" si="275"/>
        <v>3.6414565826330532</v>
      </c>
      <c r="P281" s="66">
        <f t="shared" si="275"/>
        <v>3.6414565826330532</v>
      </c>
      <c r="Q281" s="66">
        <f t="shared" si="275"/>
        <v>3.6414565826330532</v>
      </c>
      <c r="R281" s="66">
        <f t="shared" si="275"/>
        <v>3.6414565826330532</v>
      </c>
      <c r="S281" s="66">
        <f t="shared" si="275"/>
        <v>3.6414565826330532</v>
      </c>
      <c r="T281" s="66">
        <f t="shared" si="275"/>
        <v>3.6414565826330532</v>
      </c>
      <c r="U281" s="66">
        <f t="shared" si="275"/>
        <v>3.6414565826330532</v>
      </c>
      <c r="V281" s="66">
        <f t="shared" si="275"/>
        <v>3.6414565826330532</v>
      </c>
      <c r="W281" s="66">
        <f t="shared" si="275"/>
        <v>3.6414565826330532</v>
      </c>
      <c r="X281" s="66">
        <f t="shared" si="275"/>
        <v>3.6414565826330532</v>
      </c>
      <c r="Y281" s="66">
        <f t="shared" si="275"/>
        <v>3.6414565826330532</v>
      </c>
      <c r="Z281" s="66">
        <f t="shared" si="275"/>
        <v>3.6414565826330532</v>
      </c>
      <c r="AA281" s="66">
        <f t="shared" si="275"/>
        <v>3.6414565826330532</v>
      </c>
      <c r="AB281" s="66">
        <f t="shared" si="275"/>
        <v>3.6414565826330532</v>
      </c>
      <c r="AC281" s="66">
        <f t="shared" si="275"/>
        <v>3.6414565826330532</v>
      </c>
    </row>
    <row r="282" spans="1:29" x14ac:dyDescent="0.25">
      <c r="A282" s="30" t="str">
        <f t="shared" si="269"/>
        <v>Opex var (mode-fees, shunting)</v>
      </c>
      <c r="B282" s="66">
        <f>B252*B261/B261</f>
        <v>3.6414565826330532</v>
      </c>
      <c r="C282" s="66">
        <f t="shared" ref="C282:AC282" si="276">C252*C261/C261</f>
        <v>3.6414565826330532</v>
      </c>
      <c r="D282" s="66">
        <f t="shared" si="276"/>
        <v>3.6414565826330532</v>
      </c>
      <c r="E282" s="66">
        <f t="shared" si="276"/>
        <v>3.6414565826330532</v>
      </c>
      <c r="F282" s="66">
        <f t="shared" si="276"/>
        <v>3.6414565826330532</v>
      </c>
      <c r="G282" s="66">
        <f t="shared" si="276"/>
        <v>3.6414565826330532</v>
      </c>
      <c r="H282" s="66">
        <f t="shared" si="276"/>
        <v>3.6414565826330532</v>
      </c>
      <c r="I282" s="66">
        <f t="shared" si="276"/>
        <v>3.6414565826330532</v>
      </c>
      <c r="J282" s="66">
        <f t="shared" si="276"/>
        <v>3.6414565826330532</v>
      </c>
      <c r="K282" s="66">
        <f t="shared" si="276"/>
        <v>3.6414565826330532</v>
      </c>
      <c r="L282" s="66">
        <f t="shared" si="276"/>
        <v>3.6414565826330532</v>
      </c>
      <c r="M282" s="66">
        <f t="shared" si="276"/>
        <v>3.6414565826330532</v>
      </c>
      <c r="N282" s="66">
        <f t="shared" si="276"/>
        <v>3.6414565826330532</v>
      </c>
      <c r="O282" s="66">
        <f t="shared" si="276"/>
        <v>3.6414565826330532</v>
      </c>
      <c r="P282" s="66">
        <f t="shared" si="276"/>
        <v>3.6414565826330532</v>
      </c>
      <c r="Q282" s="66">
        <f t="shared" si="276"/>
        <v>3.6414565826330532</v>
      </c>
      <c r="R282" s="66">
        <f t="shared" si="276"/>
        <v>3.6414565826330532</v>
      </c>
      <c r="S282" s="66">
        <f t="shared" si="276"/>
        <v>3.6414565826330532</v>
      </c>
      <c r="T282" s="66">
        <f t="shared" si="276"/>
        <v>3.6414565826330532</v>
      </c>
      <c r="U282" s="66">
        <f t="shared" si="276"/>
        <v>3.6414565826330532</v>
      </c>
      <c r="V282" s="66">
        <f t="shared" si="276"/>
        <v>3.6414565826330532</v>
      </c>
      <c r="W282" s="66">
        <f t="shared" si="276"/>
        <v>3.6414565826330532</v>
      </c>
      <c r="X282" s="66">
        <f t="shared" si="276"/>
        <v>3.6414565826330532</v>
      </c>
      <c r="Y282" s="66">
        <f t="shared" si="276"/>
        <v>3.6414565826330532</v>
      </c>
      <c r="Z282" s="66">
        <f t="shared" si="276"/>
        <v>3.6414565826330532</v>
      </c>
      <c r="AA282" s="66">
        <f t="shared" si="276"/>
        <v>3.6414565826330532</v>
      </c>
      <c r="AB282" s="66">
        <f t="shared" si="276"/>
        <v>3.6414565826330532</v>
      </c>
      <c r="AC282" s="66">
        <f t="shared" si="276"/>
        <v>3.6414565826330532</v>
      </c>
    </row>
    <row r="283" spans="1:29" x14ac:dyDescent="0.25">
      <c r="A283" s="30" t="str">
        <f t="shared" si="269"/>
        <v>Fuel Cost</v>
      </c>
      <c r="B283" s="66">
        <f>B253*B254*B261/B261</f>
        <v>4.2079079823045697</v>
      </c>
      <c r="C283" s="66">
        <f t="shared" ref="C283:AC283" si="277">C253*C254*C261/C261</f>
        <v>4.1996650087895331</v>
      </c>
      <c r="D283" s="66">
        <f t="shared" si="277"/>
        <v>4.1879611680431728</v>
      </c>
      <c r="E283" s="66">
        <f t="shared" si="277"/>
        <v>4.171418913815482</v>
      </c>
      <c r="F283" s="66">
        <f t="shared" si="277"/>
        <v>4.1481938873267925</v>
      </c>
      <c r="G283" s="66">
        <f t="shared" si="277"/>
        <v>4.1159026695618257</v>
      </c>
      <c r="H283" s="66">
        <f t="shared" si="277"/>
        <v>4.0716326180229148</v>
      </c>
      <c r="I283" s="66">
        <f t="shared" si="277"/>
        <v>4.0121384125415567</v>
      </c>
      <c r="J283" s="66">
        <f t="shared" si="277"/>
        <v>3.9343679925421928</v>
      </c>
      <c r="K283" s="66">
        <f t="shared" si="277"/>
        <v>3.8364292934600912</v>
      </c>
      <c r="L283" s="66">
        <f t="shared" si="277"/>
        <v>3.7189056658923683</v>
      </c>
      <c r="M283" s="66">
        <f t="shared" si="277"/>
        <v>3.5860130441146607</v>
      </c>
      <c r="N283" s="66">
        <f t="shared" si="277"/>
        <v>3.4457188485486436</v>
      </c>
      <c r="O283" s="66">
        <f t="shared" si="277"/>
        <v>3.3081853803384322</v>
      </c>
      <c r="P283" s="66">
        <f t="shared" si="277"/>
        <v>3.1829858332990417</v>
      </c>
      <c r="Q283" s="66">
        <f t="shared" si="277"/>
        <v>3.0765840470739101</v>
      </c>
      <c r="R283" s="66">
        <f t="shared" si="277"/>
        <v>2.9913752717878577</v>
      </c>
      <c r="S283" s="66">
        <f t="shared" si="277"/>
        <v>2.9263571944092766</v>
      </c>
      <c r="T283" s="66">
        <f t="shared" si="277"/>
        <v>2.8785636930786751</v>
      </c>
      <c r="U283" s="66">
        <f t="shared" si="277"/>
        <v>2.844392031039837</v>
      </c>
      <c r="V283" s="66">
        <f t="shared" si="277"/>
        <v>2.8204427424097194</v>
      </c>
      <c r="W283" s="66">
        <f t="shared" si="277"/>
        <v>2.8038923119279864</v>
      </c>
      <c r="X283" s="66">
        <f t="shared" si="277"/>
        <v>2.7925660276097513</v>
      </c>
      <c r="Y283" s="66">
        <f t="shared" si="277"/>
        <v>2.784866621574936</v>
      </c>
      <c r="Z283" s="66">
        <f t="shared" si="277"/>
        <v>2.7796565191855849</v>
      </c>
      <c r="AA283" s="66">
        <f t="shared" si="277"/>
        <v>2.7761417786742757</v>
      </c>
      <c r="AB283" s="66">
        <f t="shared" si="277"/>
        <v>2.7737756728218113</v>
      </c>
      <c r="AC283" s="66">
        <f t="shared" si="277"/>
        <v>2.77218505906768</v>
      </c>
    </row>
    <row r="284" spans="1:29" ht="15.75" thickBot="1" x14ac:dyDescent="0.3">
      <c r="A284" s="59" t="str">
        <f t="shared" ref="A284" si="278">A272</f>
        <v>Emission Cost</v>
      </c>
      <c r="B284" s="66">
        <f>B255</f>
        <v>7.3051284422328416E-2</v>
      </c>
      <c r="C284" s="66">
        <f t="shared" ref="C284:AC284" si="279">C255</f>
        <v>7.2981721800489563E-2</v>
      </c>
      <c r="D284" s="66">
        <f t="shared" si="279"/>
        <v>7.2882144456709708E-2</v>
      </c>
      <c r="E284" s="66">
        <f t="shared" si="279"/>
        <v>7.2739692063840775E-2</v>
      </c>
      <c r="F284" s="66">
        <f t="shared" si="279"/>
        <v>7.2536096160749949E-2</v>
      </c>
      <c r="G284" s="66">
        <f t="shared" si="279"/>
        <v>7.2245520808140104E-2</v>
      </c>
      <c r="H284" s="66">
        <f t="shared" si="279"/>
        <v>7.183167022008663E-2</v>
      </c>
      <c r="I284" s="66">
        <f t="shared" si="279"/>
        <v>7.1244061711272524E-2</v>
      </c>
      <c r="J284" s="66">
        <f t="shared" si="279"/>
        <v>7.0413533549636295E-2</v>
      </c>
      <c r="K284" s="66">
        <f t="shared" si="279"/>
        <v>6.9247486994668248E-2</v>
      </c>
      <c r="L284" s="66">
        <f t="shared" si="279"/>
        <v>6.7626258995255692E-2</v>
      </c>
      <c r="M284" s="66">
        <f t="shared" si="279"/>
        <v>6.5403616058321165E-2</v>
      </c>
      <c r="N284" s="66">
        <f t="shared" si="279"/>
        <v>6.2416622119869432E-2</v>
      </c>
      <c r="O284" s="66">
        <f t="shared" si="279"/>
        <v>5.8512043997522092E-2</v>
      </c>
      <c r="P284" s="66">
        <f t="shared" si="279"/>
        <v>5.3594887811786507E-2</v>
      </c>
      <c r="Q284" s="66">
        <f t="shared" si="279"/>
        <v>4.7694441535894194E-2</v>
      </c>
      <c r="R284" s="66">
        <f t="shared" si="279"/>
        <v>4.1022372340191592E-2</v>
      </c>
      <c r="S284" s="66">
        <f t="shared" si="279"/>
        <v>3.3978696265099438E-2</v>
      </c>
      <c r="T284" s="66">
        <f t="shared" si="279"/>
        <v>2.7073626560338522E-2</v>
      </c>
      <c r="U284" s="66">
        <f t="shared" si="279"/>
        <v>2.0787799477216214E-2</v>
      </c>
      <c r="V284" s="66">
        <f t="shared" si="279"/>
        <v>1.5445741575552285E-2</v>
      </c>
      <c r="W284" s="66">
        <f t="shared" si="279"/>
        <v>1.1167709904685047E-2</v>
      </c>
      <c r="X284" s="66">
        <f t="shared" si="279"/>
        <v>7.903381867218201E-3</v>
      </c>
      <c r="Y284" s="66">
        <f t="shared" si="279"/>
        <v>5.5038389601930332E-3</v>
      </c>
      <c r="Z284" s="66">
        <f t="shared" si="279"/>
        <v>3.7882004950518661E-3</v>
      </c>
      <c r="AA284" s="66">
        <f t="shared" si="279"/>
        <v>2.5857912958768409E-3</v>
      </c>
      <c r="AB284" s="66">
        <f t="shared" si="279"/>
        <v>1.7548526334016656E-3</v>
      </c>
      <c r="AC284" s="66">
        <f t="shared" si="279"/>
        <v>1.1861998994081024E-3</v>
      </c>
    </row>
    <row r="285" spans="1:29" ht="15.75" thickBot="1" x14ac:dyDescent="0.3">
      <c r="A285" s="31" t="s">
        <v>63</v>
      </c>
      <c r="B285" s="76">
        <f>B276+B277+B278-B279+B280+B281+B282+B283+B284</f>
        <v>18.253632470829736</v>
      </c>
      <c r="C285" s="76">
        <f t="shared" ref="C285:AC285" si="280">C276+C277+C278-C279+C280+C281+C282+C283+C284</f>
        <v>18.245319934692862</v>
      </c>
      <c r="D285" s="76">
        <f t="shared" si="280"/>
        <v>18.233516516602723</v>
      </c>
      <c r="E285" s="76">
        <f t="shared" si="280"/>
        <v>18.216831809982164</v>
      </c>
      <c r="F285" s="76">
        <f t="shared" si="280"/>
        <v>18.193403187590381</v>
      </c>
      <c r="G285" s="76">
        <f t="shared" si="280"/>
        <v>18.160821394472805</v>
      </c>
      <c r="H285" s="76">
        <f t="shared" si="280"/>
        <v>18.116137492345839</v>
      </c>
      <c r="I285" s="76">
        <f t="shared" si="280"/>
        <v>18.056055678355669</v>
      </c>
      <c r="J285" s="76">
        <f t="shared" si="280"/>
        <v>17.977454730194669</v>
      </c>
      <c r="K285" s="76">
        <f t="shared" si="280"/>
        <v>17.878349984557602</v>
      </c>
      <c r="L285" s="76">
        <f t="shared" si="280"/>
        <v>17.759205128990462</v>
      </c>
      <c r="M285" s="76">
        <f t="shared" si="280"/>
        <v>17.624089864275824</v>
      </c>
      <c r="N285" s="76">
        <f t="shared" si="280"/>
        <v>17.480808674771353</v>
      </c>
      <c r="O285" s="76">
        <f t="shared" si="280"/>
        <v>17.339370628438793</v>
      </c>
      <c r="P285" s="76">
        <f t="shared" si="280"/>
        <v>17.20925392521367</v>
      </c>
      <c r="Q285" s="76">
        <f t="shared" si="280"/>
        <v>17.096951692712647</v>
      </c>
      <c r="R285" s="76">
        <f t="shared" si="280"/>
        <v>17.00507084823089</v>
      </c>
      <c r="S285" s="76">
        <f t="shared" si="280"/>
        <v>16.933009094777216</v>
      </c>
      <c r="T285" s="76">
        <f t="shared" si="280"/>
        <v>16.878310523741852</v>
      </c>
      <c r="U285" s="76">
        <f t="shared" si="280"/>
        <v>16.837853034619894</v>
      </c>
      <c r="V285" s="76">
        <f t="shared" si="280"/>
        <v>16.808561688088108</v>
      </c>
      <c r="W285" s="76">
        <f t="shared" si="280"/>
        <v>16.787733225935511</v>
      </c>
      <c r="X285" s="76">
        <f t="shared" si="280"/>
        <v>16.773142613579811</v>
      </c>
      <c r="Y285" s="76">
        <f t="shared" si="280"/>
        <v>16.763043664637969</v>
      </c>
      <c r="Z285" s="76">
        <f t="shared" si="280"/>
        <v>16.756117923783478</v>
      </c>
      <c r="AA285" s="76">
        <f t="shared" si="280"/>
        <v>16.751400774072994</v>
      </c>
      <c r="AB285" s="76">
        <f t="shared" si="280"/>
        <v>16.748203729558053</v>
      </c>
      <c r="AC285" s="76">
        <f t="shared" si="280"/>
        <v>16.746044463069929</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81">A264</f>
        <v>Capex vehicle</v>
      </c>
      <c r="B288" s="65">
        <f>((1+B249)^B256)*B249/(((1+B249)^B256)-1)*(B245)/B261/(B258)</f>
        <v>1.0902430594344164E-3</v>
      </c>
      <c r="C288" s="65">
        <f t="shared" ref="C288:AC288" si="282">((1+C249)^C256)*C249/(((1+C249)^C256)-1)*(C245)/C261/(C258)</f>
        <v>1.0902430594344164E-3</v>
      </c>
      <c r="D288" s="65">
        <f t="shared" si="282"/>
        <v>1.0902430594344164E-3</v>
      </c>
      <c r="E288" s="65">
        <f t="shared" si="282"/>
        <v>1.0902430594344164E-3</v>
      </c>
      <c r="F288" s="65">
        <f t="shared" si="282"/>
        <v>1.0902430594344164E-3</v>
      </c>
      <c r="G288" s="65">
        <f t="shared" si="282"/>
        <v>1.0902430594344164E-3</v>
      </c>
      <c r="H288" s="65">
        <f t="shared" si="282"/>
        <v>1.0902430594344164E-3</v>
      </c>
      <c r="I288" s="65">
        <f t="shared" si="282"/>
        <v>1.0902430594344164E-3</v>
      </c>
      <c r="J288" s="65">
        <f t="shared" si="282"/>
        <v>1.0902430594344164E-3</v>
      </c>
      <c r="K288" s="65">
        <f t="shared" si="282"/>
        <v>1.0902430594344164E-3</v>
      </c>
      <c r="L288" s="65">
        <f t="shared" si="282"/>
        <v>1.0902430594344164E-3</v>
      </c>
      <c r="M288" s="65">
        <f t="shared" si="282"/>
        <v>1.0902430594344164E-3</v>
      </c>
      <c r="N288" s="65">
        <f t="shared" si="282"/>
        <v>1.0902430594344164E-3</v>
      </c>
      <c r="O288" s="65">
        <f t="shared" si="282"/>
        <v>1.0902430594344164E-3</v>
      </c>
      <c r="P288" s="65">
        <f t="shared" si="282"/>
        <v>1.0902430594344164E-3</v>
      </c>
      <c r="Q288" s="65">
        <f t="shared" si="282"/>
        <v>1.0902430594344164E-3</v>
      </c>
      <c r="R288" s="65">
        <f t="shared" si="282"/>
        <v>1.0902430594344164E-3</v>
      </c>
      <c r="S288" s="65">
        <f t="shared" si="282"/>
        <v>1.0902430594344164E-3</v>
      </c>
      <c r="T288" s="65">
        <f t="shared" si="282"/>
        <v>1.0902430594344164E-3</v>
      </c>
      <c r="U288" s="65">
        <f t="shared" si="282"/>
        <v>1.0902430594344164E-3</v>
      </c>
      <c r="V288" s="65">
        <f t="shared" si="282"/>
        <v>1.0902430594344164E-3</v>
      </c>
      <c r="W288" s="65">
        <f t="shared" si="282"/>
        <v>1.0902430594344164E-3</v>
      </c>
      <c r="X288" s="65">
        <f t="shared" si="282"/>
        <v>1.0902430594344164E-3</v>
      </c>
      <c r="Y288" s="65">
        <f t="shared" si="282"/>
        <v>1.0902430594344164E-3</v>
      </c>
      <c r="Z288" s="65">
        <f t="shared" si="282"/>
        <v>1.0902430594344164E-3</v>
      </c>
      <c r="AA288" s="65">
        <f t="shared" si="282"/>
        <v>1.0902430594344164E-3</v>
      </c>
      <c r="AB288" s="65">
        <f t="shared" si="282"/>
        <v>1.0902430594344164E-3</v>
      </c>
      <c r="AC288" s="65">
        <f t="shared" si="282"/>
        <v>1.0902430594344164E-3</v>
      </c>
    </row>
    <row r="289" spans="1:29" x14ac:dyDescent="0.25">
      <c r="A289" s="30" t="str">
        <f t="shared" si="281"/>
        <v>Residual value (vehicle)</v>
      </c>
      <c r="B289" s="68">
        <f>((1+B249)^B256)*B249/(((1+B249)^B256)-1)*(B246)/B261/(B258)</f>
        <v>-1.6353645891516245E-4</v>
      </c>
      <c r="C289" s="68">
        <f t="shared" ref="C289:AC289" si="283">((1+C249)^C256)*C249/(((1+C249)^C256)-1)*(C246)/C261/(C258)</f>
        <v>-1.6353645891516245E-4</v>
      </c>
      <c r="D289" s="68">
        <f t="shared" si="283"/>
        <v>-1.6353645891516245E-4</v>
      </c>
      <c r="E289" s="68">
        <f t="shared" si="283"/>
        <v>-1.6353645891516245E-4</v>
      </c>
      <c r="F289" s="68">
        <f t="shared" si="283"/>
        <v>-1.6353645891516245E-4</v>
      </c>
      <c r="G289" s="68">
        <f t="shared" si="283"/>
        <v>-1.6353645891516245E-4</v>
      </c>
      <c r="H289" s="68">
        <f t="shared" si="283"/>
        <v>-1.6353645891516245E-4</v>
      </c>
      <c r="I289" s="68">
        <f t="shared" si="283"/>
        <v>-1.6353645891516245E-4</v>
      </c>
      <c r="J289" s="68">
        <f t="shared" si="283"/>
        <v>-1.6353645891516245E-4</v>
      </c>
      <c r="K289" s="68">
        <f t="shared" si="283"/>
        <v>-1.6353645891516245E-4</v>
      </c>
      <c r="L289" s="68">
        <f t="shared" si="283"/>
        <v>-1.6353645891516245E-4</v>
      </c>
      <c r="M289" s="68">
        <f t="shared" si="283"/>
        <v>-1.6353645891516245E-4</v>
      </c>
      <c r="N289" s="68">
        <f t="shared" si="283"/>
        <v>-1.6353645891516245E-4</v>
      </c>
      <c r="O289" s="68">
        <f t="shared" si="283"/>
        <v>-1.6353645891516245E-4</v>
      </c>
      <c r="P289" s="68">
        <f t="shared" si="283"/>
        <v>-1.6353645891516245E-4</v>
      </c>
      <c r="Q289" s="68">
        <f t="shared" si="283"/>
        <v>-1.6353645891516245E-4</v>
      </c>
      <c r="R289" s="68">
        <f t="shared" si="283"/>
        <v>-1.6353645891516245E-4</v>
      </c>
      <c r="S289" s="68">
        <f t="shared" si="283"/>
        <v>-1.6353645891516245E-4</v>
      </c>
      <c r="T289" s="68">
        <f t="shared" si="283"/>
        <v>-1.6353645891516245E-4</v>
      </c>
      <c r="U289" s="68">
        <f t="shared" si="283"/>
        <v>-1.6353645891516245E-4</v>
      </c>
      <c r="V289" s="68">
        <f t="shared" si="283"/>
        <v>-1.6353645891516245E-4</v>
      </c>
      <c r="W289" s="68">
        <f t="shared" si="283"/>
        <v>-1.6353645891516245E-4</v>
      </c>
      <c r="X289" s="68">
        <f t="shared" si="283"/>
        <v>-1.6353645891516245E-4</v>
      </c>
      <c r="Y289" s="68">
        <f t="shared" si="283"/>
        <v>-1.6353645891516245E-4</v>
      </c>
      <c r="Z289" s="68">
        <f t="shared" si="283"/>
        <v>-1.6353645891516245E-4</v>
      </c>
      <c r="AA289" s="68">
        <f t="shared" si="283"/>
        <v>-1.6353645891516245E-4</v>
      </c>
      <c r="AB289" s="68">
        <f t="shared" si="283"/>
        <v>-1.6353645891516245E-4</v>
      </c>
      <c r="AC289" s="68">
        <f t="shared" si="283"/>
        <v>-1.6353645891516245E-4</v>
      </c>
    </row>
    <row r="290" spans="1:29" x14ac:dyDescent="0.25">
      <c r="A290" s="30" t="str">
        <f t="shared" si="281"/>
        <v>Capex costumization</v>
      </c>
      <c r="B290" s="66">
        <f>((1+B249)^B257)*B249/(((1+B249)^B257)-1)*(B247)/B261/(B258)</f>
        <v>5.087458787818432E-4</v>
      </c>
      <c r="C290" s="66">
        <f t="shared" ref="C290:AC290" si="284">((1+C249)^C257)*C249/(((1+C249)^C257)-1)*(C247)/C261/(C258)</f>
        <v>5.087458787818432E-4</v>
      </c>
      <c r="D290" s="66">
        <f t="shared" si="284"/>
        <v>5.087458787818432E-4</v>
      </c>
      <c r="E290" s="66">
        <f t="shared" si="284"/>
        <v>5.087458787818432E-4</v>
      </c>
      <c r="F290" s="66">
        <f t="shared" si="284"/>
        <v>5.087458787818432E-4</v>
      </c>
      <c r="G290" s="66">
        <f t="shared" si="284"/>
        <v>5.087458787818432E-4</v>
      </c>
      <c r="H290" s="66">
        <f t="shared" si="284"/>
        <v>5.087458787818432E-4</v>
      </c>
      <c r="I290" s="66">
        <f t="shared" si="284"/>
        <v>5.087458787818432E-4</v>
      </c>
      <c r="J290" s="66">
        <f t="shared" si="284"/>
        <v>5.087458787818432E-4</v>
      </c>
      <c r="K290" s="66">
        <f t="shared" si="284"/>
        <v>5.087458787818432E-4</v>
      </c>
      <c r="L290" s="66">
        <f t="shared" si="284"/>
        <v>5.087458787818432E-4</v>
      </c>
      <c r="M290" s="66">
        <f t="shared" si="284"/>
        <v>5.087458787818432E-4</v>
      </c>
      <c r="N290" s="66">
        <f t="shared" si="284"/>
        <v>5.087458787818432E-4</v>
      </c>
      <c r="O290" s="66">
        <f t="shared" si="284"/>
        <v>5.087458787818432E-4</v>
      </c>
      <c r="P290" s="66">
        <f t="shared" si="284"/>
        <v>5.087458787818432E-4</v>
      </c>
      <c r="Q290" s="66">
        <f t="shared" si="284"/>
        <v>5.087458787818432E-4</v>
      </c>
      <c r="R290" s="66">
        <f t="shared" si="284"/>
        <v>5.087458787818432E-4</v>
      </c>
      <c r="S290" s="66">
        <f t="shared" si="284"/>
        <v>5.087458787818432E-4</v>
      </c>
      <c r="T290" s="66">
        <f t="shared" si="284"/>
        <v>5.087458787818432E-4</v>
      </c>
      <c r="U290" s="66">
        <f t="shared" si="284"/>
        <v>5.087458787818432E-4</v>
      </c>
      <c r="V290" s="66">
        <f t="shared" si="284"/>
        <v>5.087458787818432E-4</v>
      </c>
      <c r="W290" s="66">
        <f t="shared" si="284"/>
        <v>5.087458787818432E-4</v>
      </c>
      <c r="X290" s="66">
        <f t="shared" si="284"/>
        <v>5.087458787818432E-4</v>
      </c>
      <c r="Y290" s="66">
        <f t="shared" si="284"/>
        <v>5.087458787818432E-4</v>
      </c>
      <c r="Z290" s="66">
        <f t="shared" si="284"/>
        <v>5.087458787818432E-4</v>
      </c>
      <c r="AA290" s="66">
        <f t="shared" si="284"/>
        <v>5.087458787818432E-4</v>
      </c>
      <c r="AB290" s="66">
        <f t="shared" si="284"/>
        <v>5.087458787818432E-4</v>
      </c>
      <c r="AC290" s="66">
        <f t="shared" si="284"/>
        <v>5.087458787818432E-4</v>
      </c>
    </row>
    <row r="291" spans="1:29" x14ac:dyDescent="0.25">
      <c r="A291" s="30" t="str">
        <f t="shared" si="281"/>
        <v>Residual value (costumization)</v>
      </c>
      <c r="B291" s="69">
        <f>((1+B249)^B257)*B249/(((1+B249)^B257)-1)*(B248)/B261/(B258)</f>
        <v>-2.5437293939092156E-5</v>
      </c>
      <c r="C291" s="69">
        <f t="shared" ref="C291:AC291" si="285">((1+C249)^C257)*C249/(((1+C249)^C257)-1)*(C248)/C261/(C258)</f>
        <v>-2.5437293939092156E-5</v>
      </c>
      <c r="D291" s="69">
        <f t="shared" si="285"/>
        <v>-2.5437293939092156E-5</v>
      </c>
      <c r="E291" s="69">
        <f t="shared" si="285"/>
        <v>-2.5437293939092156E-5</v>
      </c>
      <c r="F291" s="69">
        <f t="shared" si="285"/>
        <v>-2.5437293939092156E-5</v>
      </c>
      <c r="G291" s="69">
        <f t="shared" si="285"/>
        <v>-2.5437293939092156E-5</v>
      </c>
      <c r="H291" s="69">
        <f t="shared" si="285"/>
        <v>-2.5437293939092156E-5</v>
      </c>
      <c r="I291" s="69">
        <f t="shared" si="285"/>
        <v>-2.5437293939092156E-5</v>
      </c>
      <c r="J291" s="69">
        <f t="shared" si="285"/>
        <v>-2.5437293939092156E-5</v>
      </c>
      <c r="K291" s="69">
        <f t="shared" si="285"/>
        <v>-2.5437293939092156E-5</v>
      </c>
      <c r="L291" s="69">
        <f t="shared" si="285"/>
        <v>-2.5437293939092156E-5</v>
      </c>
      <c r="M291" s="69">
        <f t="shared" si="285"/>
        <v>-2.5437293939092156E-5</v>
      </c>
      <c r="N291" s="69">
        <f t="shared" si="285"/>
        <v>-2.5437293939092156E-5</v>
      </c>
      <c r="O291" s="69">
        <f t="shared" si="285"/>
        <v>-2.5437293939092156E-5</v>
      </c>
      <c r="P291" s="69">
        <f t="shared" si="285"/>
        <v>-2.5437293939092156E-5</v>
      </c>
      <c r="Q291" s="69">
        <f t="shared" si="285"/>
        <v>-2.5437293939092156E-5</v>
      </c>
      <c r="R291" s="69">
        <f t="shared" si="285"/>
        <v>-2.5437293939092156E-5</v>
      </c>
      <c r="S291" s="69">
        <f t="shared" si="285"/>
        <v>-2.5437293939092156E-5</v>
      </c>
      <c r="T291" s="69">
        <f t="shared" si="285"/>
        <v>-2.5437293939092156E-5</v>
      </c>
      <c r="U291" s="69">
        <f t="shared" si="285"/>
        <v>-2.5437293939092156E-5</v>
      </c>
      <c r="V291" s="69">
        <f t="shared" si="285"/>
        <v>-2.5437293939092156E-5</v>
      </c>
      <c r="W291" s="69">
        <f t="shared" si="285"/>
        <v>-2.5437293939092156E-5</v>
      </c>
      <c r="X291" s="69">
        <f t="shared" si="285"/>
        <v>-2.5437293939092156E-5</v>
      </c>
      <c r="Y291" s="69">
        <f t="shared" si="285"/>
        <v>-2.5437293939092156E-5</v>
      </c>
      <c r="Z291" s="69">
        <f t="shared" si="285"/>
        <v>-2.5437293939092156E-5</v>
      </c>
      <c r="AA291" s="69">
        <f t="shared" si="285"/>
        <v>-2.5437293939092156E-5</v>
      </c>
      <c r="AB291" s="69">
        <f t="shared" si="285"/>
        <v>-2.5437293939092156E-5</v>
      </c>
      <c r="AC291" s="69">
        <f t="shared" si="285"/>
        <v>-2.5437293939092156E-5</v>
      </c>
    </row>
    <row r="292" spans="1:29" x14ac:dyDescent="0.25">
      <c r="A292" s="30" t="str">
        <f t="shared" si="281"/>
        <v>Opex fix (admin, crew, insurance)</v>
      </c>
      <c r="B292" s="66">
        <f>B250/B261/(B258)</f>
        <v>1.525610244097639E-3</v>
      </c>
      <c r="C292" s="66">
        <f t="shared" ref="C292:AC292" si="286">C250/C261/(C258)</f>
        <v>1.525610244097639E-3</v>
      </c>
      <c r="D292" s="66">
        <f t="shared" si="286"/>
        <v>1.525610244097639E-3</v>
      </c>
      <c r="E292" s="66">
        <f t="shared" si="286"/>
        <v>1.525610244097639E-3</v>
      </c>
      <c r="F292" s="66">
        <f t="shared" si="286"/>
        <v>1.525610244097639E-3</v>
      </c>
      <c r="G292" s="66">
        <f t="shared" si="286"/>
        <v>1.525610244097639E-3</v>
      </c>
      <c r="H292" s="66">
        <f t="shared" si="286"/>
        <v>1.525610244097639E-3</v>
      </c>
      <c r="I292" s="66">
        <f t="shared" si="286"/>
        <v>1.525610244097639E-3</v>
      </c>
      <c r="J292" s="66">
        <f t="shared" si="286"/>
        <v>1.525610244097639E-3</v>
      </c>
      <c r="K292" s="66">
        <f t="shared" si="286"/>
        <v>1.525610244097639E-3</v>
      </c>
      <c r="L292" s="66">
        <f t="shared" si="286"/>
        <v>1.525610244097639E-3</v>
      </c>
      <c r="M292" s="66">
        <f t="shared" si="286"/>
        <v>1.525610244097639E-3</v>
      </c>
      <c r="N292" s="66">
        <f t="shared" si="286"/>
        <v>1.525610244097639E-3</v>
      </c>
      <c r="O292" s="66">
        <f t="shared" si="286"/>
        <v>1.525610244097639E-3</v>
      </c>
      <c r="P292" s="66">
        <f t="shared" si="286"/>
        <v>1.525610244097639E-3</v>
      </c>
      <c r="Q292" s="66">
        <f t="shared" si="286"/>
        <v>1.525610244097639E-3</v>
      </c>
      <c r="R292" s="66">
        <f t="shared" si="286"/>
        <v>1.525610244097639E-3</v>
      </c>
      <c r="S292" s="66">
        <f t="shared" si="286"/>
        <v>1.525610244097639E-3</v>
      </c>
      <c r="T292" s="66">
        <f t="shared" si="286"/>
        <v>1.525610244097639E-3</v>
      </c>
      <c r="U292" s="66">
        <f t="shared" si="286"/>
        <v>1.525610244097639E-3</v>
      </c>
      <c r="V292" s="66">
        <f t="shared" si="286"/>
        <v>1.525610244097639E-3</v>
      </c>
      <c r="W292" s="66">
        <f t="shared" si="286"/>
        <v>1.525610244097639E-3</v>
      </c>
      <c r="X292" s="66">
        <f t="shared" si="286"/>
        <v>1.525610244097639E-3</v>
      </c>
      <c r="Y292" s="66">
        <f t="shared" si="286"/>
        <v>1.525610244097639E-3</v>
      </c>
      <c r="Z292" s="66">
        <f t="shared" si="286"/>
        <v>1.525610244097639E-3</v>
      </c>
      <c r="AA292" s="66">
        <f t="shared" si="286"/>
        <v>1.525610244097639E-3</v>
      </c>
      <c r="AB292" s="66">
        <f t="shared" si="286"/>
        <v>1.525610244097639E-3</v>
      </c>
      <c r="AC292" s="66">
        <f t="shared" si="286"/>
        <v>1.525610244097639E-3</v>
      </c>
    </row>
    <row r="293" spans="1:29" x14ac:dyDescent="0.25">
      <c r="A293" s="30" t="str">
        <f t="shared" si="281"/>
        <v>Opex maintenance &amp; repair</v>
      </c>
      <c r="B293" s="66">
        <f>B251/B261/(B258)</f>
        <v>1.6256502601040416E-3</v>
      </c>
      <c r="C293" s="66">
        <f t="shared" ref="C293:AC293" si="287">C251/C261/(C258)</f>
        <v>1.6256502601040416E-3</v>
      </c>
      <c r="D293" s="66">
        <f t="shared" si="287"/>
        <v>1.6256502601040416E-3</v>
      </c>
      <c r="E293" s="66">
        <f t="shared" si="287"/>
        <v>1.6256502601040416E-3</v>
      </c>
      <c r="F293" s="66">
        <f t="shared" si="287"/>
        <v>1.6256502601040416E-3</v>
      </c>
      <c r="G293" s="66">
        <f t="shared" si="287"/>
        <v>1.6256502601040416E-3</v>
      </c>
      <c r="H293" s="66">
        <f t="shared" si="287"/>
        <v>1.6256502601040416E-3</v>
      </c>
      <c r="I293" s="66">
        <f t="shared" si="287"/>
        <v>1.6256502601040416E-3</v>
      </c>
      <c r="J293" s="66">
        <f t="shared" si="287"/>
        <v>1.6256502601040416E-3</v>
      </c>
      <c r="K293" s="66">
        <f t="shared" si="287"/>
        <v>1.6256502601040416E-3</v>
      </c>
      <c r="L293" s="66">
        <f t="shared" si="287"/>
        <v>1.6256502601040416E-3</v>
      </c>
      <c r="M293" s="66">
        <f t="shared" si="287"/>
        <v>1.6256502601040416E-3</v>
      </c>
      <c r="N293" s="66">
        <f t="shared" si="287"/>
        <v>1.6256502601040416E-3</v>
      </c>
      <c r="O293" s="66">
        <f t="shared" si="287"/>
        <v>1.6256502601040416E-3</v>
      </c>
      <c r="P293" s="66">
        <f t="shared" si="287"/>
        <v>1.6256502601040416E-3</v>
      </c>
      <c r="Q293" s="66">
        <f t="shared" si="287"/>
        <v>1.6256502601040416E-3</v>
      </c>
      <c r="R293" s="66">
        <f t="shared" si="287"/>
        <v>1.6256502601040416E-3</v>
      </c>
      <c r="S293" s="66">
        <f t="shared" si="287"/>
        <v>1.6256502601040416E-3</v>
      </c>
      <c r="T293" s="66">
        <f t="shared" si="287"/>
        <v>1.6256502601040416E-3</v>
      </c>
      <c r="U293" s="66">
        <f t="shared" si="287"/>
        <v>1.6256502601040416E-3</v>
      </c>
      <c r="V293" s="66">
        <f t="shared" si="287"/>
        <v>1.6256502601040416E-3</v>
      </c>
      <c r="W293" s="66">
        <f t="shared" si="287"/>
        <v>1.6256502601040416E-3</v>
      </c>
      <c r="X293" s="66">
        <f t="shared" si="287"/>
        <v>1.6256502601040416E-3</v>
      </c>
      <c r="Y293" s="66">
        <f t="shared" si="287"/>
        <v>1.6256502601040416E-3</v>
      </c>
      <c r="Z293" s="66">
        <f t="shared" si="287"/>
        <v>1.6256502601040416E-3</v>
      </c>
      <c r="AA293" s="66">
        <f t="shared" si="287"/>
        <v>1.6256502601040416E-3</v>
      </c>
      <c r="AB293" s="66">
        <f t="shared" si="287"/>
        <v>1.6256502601040416E-3</v>
      </c>
      <c r="AC293" s="66">
        <f t="shared" si="287"/>
        <v>1.6256502601040416E-3</v>
      </c>
    </row>
    <row r="294" spans="1:29" x14ac:dyDescent="0.25">
      <c r="A294" s="30" t="str">
        <f t="shared" si="281"/>
        <v>Opex var (mode-fees, shunting)</v>
      </c>
      <c r="B294" s="66">
        <f>B252*B261/B261/(B258)</f>
        <v>1.6256502601040416E-3</v>
      </c>
      <c r="C294" s="66">
        <f t="shared" ref="C294:AC294" si="288">C252*C261/C261/(C258)</f>
        <v>1.6256502601040416E-3</v>
      </c>
      <c r="D294" s="66">
        <f t="shared" si="288"/>
        <v>1.6256502601040416E-3</v>
      </c>
      <c r="E294" s="66">
        <f t="shared" si="288"/>
        <v>1.6256502601040416E-3</v>
      </c>
      <c r="F294" s="66">
        <f t="shared" si="288"/>
        <v>1.6256502601040416E-3</v>
      </c>
      <c r="G294" s="66">
        <f t="shared" si="288"/>
        <v>1.6256502601040416E-3</v>
      </c>
      <c r="H294" s="66">
        <f t="shared" si="288"/>
        <v>1.6256502601040416E-3</v>
      </c>
      <c r="I294" s="66">
        <f t="shared" si="288"/>
        <v>1.6256502601040416E-3</v>
      </c>
      <c r="J294" s="66">
        <f t="shared" si="288"/>
        <v>1.6256502601040416E-3</v>
      </c>
      <c r="K294" s="66">
        <f t="shared" si="288"/>
        <v>1.6256502601040416E-3</v>
      </c>
      <c r="L294" s="66">
        <f t="shared" si="288"/>
        <v>1.6256502601040416E-3</v>
      </c>
      <c r="M294" s="66">
        <f t="shared" si="288"/>
        <v>1.6256502601040416E-3</v>
      </c>
      <c r="N294" s="66">
        <f t="shared" si="288"/>
        <v>1.6256502601040416E-3</v>
      </c>
      <c r="O294" s="66">
        <f t="shared" si="288"/>
        <v>1.6256502601040416E-3</v>
      </c>
      <c r="P294" s="66">
        <f t="shared" si="288"/>
        <v>1.6256502601040416E-3</v>
      </c>
      <c r="Q294" s="66">
        <f t="shared" si="288"/>
        <v>1.6256502601040416E-3</v>
      </c>
      <c r="R294" s="66">
        <f t="shared" si="288"/>
        <v>1.6256502601040416E-3</v>
      </c>
      <c r="S294" s="66">
        <f t="shared" si="288"/>
        <v>1.6256502601040416E-3</v>
      </c>
      <c r="T294" s="66">
        <f t="shared" si="288"/>
        <v>1.6256502601040416E-3</v>
      </c>
      <c r="U294" s="66">
        <f t="shared" si="288"/>
        <v>1.6256502601040416E-3</v>
      </c>
      <c r="V294" s="66">
        <f t="shared" si="288"/>
        <v>1.6256502601040416E-3</v>
      </c>
      <c r="W294" s="66">
        <f t="shared" si="288"/>
        <v>1.6256502601040416E-3</v>
      </c>
      <c r="X294" s="66">
        <f t="shared" si="288"/>
        <v>1.6256502601040416E-3</v>
      </c>
      <c r="Y294" s="66">
        <f t="shared" si="288"/>
        <v>1.6256502601040416E-3</v>
      </c>
      <c r="Z294" s="66">
        <f t="shared" si="288"/>
        <v>1.6256502601040416E-3</v>
      </c>
      <c r="AA294" s="66">
        <f t="shared" si="288"/>
        <v>1.6256502601040416E-3</v>
      </c>
      <c r="AB294" s="66">
        <f t="shared" si="288"/>
        <v>1.6256502601040416E-3</v>
      </c>
      <c r="AC294" s="66">
        <f t="shared" si="288"/>
        <v>1.6256502601040416E-3</v>
      </c>
    </row>
    <row r="295" spans="1:29" x14ac:dyDescent="0.25">
      <c r="A295" s="30" t="str">
        <f t="shared" si="281"/>
        <v>Fuel Cost</v>
      </c>
      <c r="B295" s="66">
        <f>B253*B254*B261/B261/(B258)</f>
        <v>1.8785303492431114E-3</v>
      </c>
      <c r="C295" s="66">
        <f t="shared" ref="C295:AC295" si="289">C253*C254*C261/C261/(C258)</f>
        <v>1.8748504503524701E-3</v>
      </c>
      <c r="D295" s="66">
        <f t="shared" si="289"/>
        <v>1.8696255214478449E-3</v>
      </c>
      <c r="E295" s="66">
        <f t="shared" si="289"/>
        <v>1.8622405865247687E-3</v>
      </c>
      <c r="F295" s="66">
        <f t="shared" si="289"/>
        <v>1.8518722711280324E-3</v>
      </c>
      <c r="G295" s="66">
        <f t="shared" si="289"/>
        <v>1.8374565489115294E-3</v>
      </c>
      <c r="H295" s="66">
        <f t="shared" si="289"/>
        <v>1.8176931330459441E-3</v>
      </c>
      <c r="I295" s="66">
        <f t="shared" si="289"/>
        <v>1.7911332198846236E-3</v>
      </c>
      <c r="J295" s="66">
        <f t="shared" si="289"/>
        <v>1.7564142823849075E-3</v>
      </c>
      <c r="K295" s="66">
        <f t="shared" si="289"/>
        <v>1.7126916488661122E-3</v>
      </c>
      <c r="L295" s="66">
        <f t="shared" si="289"/>
        <v>1.66022574370195E-3</v>
      </c>
      <c r="M295" s="66">
        <f t="shared" si="289"/>
        <v>1.6008986804083307E-3</v>
      </c>
      <c r="N295" s="66">
        <f t="shared" si="289"/>
        <v>1.5382673431020731E-3</v>
      </c>
      <c r="O295" s="66">
        <f t="shared" si="289"/>
        <v>1.4768684733653715E-3</v>
      </c>
      <c r="P295" s="66">
        <f t="shared" si="289"/>
        <v>1.4209758184370721E-3</v>
      </c>
      <c r="Q295" s="66">
        <f t="shared" si="289"/>
        <v>1.3734750210151385E-3</v>
      </c>
      <c r="R295" s="66">
        <f t="shared" si="289"/>
        <v>1.3354353891910078E-3</v>
      </c>
      <c r="S295" s="66">
        <f t="shared" si="289"/>
        <v>1.3064094617898556E-3</v>
      </c>
      <c r="T295" s="66">
        <f t="shared" si="289"/>
        <v>1.2850730772672656E-3</v>
      </c>
      <c r="U295" s="66">
        <f t="shared" si="289"/>
        <v>1.2698178709999273E-3</v>
      </c>
      <c r="V295" s="66">
        <f t="shared" si="289"/>
        <v>1.2591262242900533E-3</v>
      </c>
      <c r="W295" s="66">
        <f t="shared" si="289"/>
        <v>1.2517376392535654E-3</v>
      </c>
      <c r="X295" s="66">
        <f t="shared" si="289"/>
        <v>1.2466812623257819E-3</v>
      </c>
      <c r="Y295" s="66">
        <f t="shared" si="289"/>
        <v>1.2432440274888108E-3</v>
      </c>
      <c r="Z295" s="66">
        <f t="shared" si="289"/>
        <v>1.2409180889221361E-3</v>
      </c>
      <c r="AA295" s="66">
        <f t="shared" si="289"/>
        <v>1.2393490083367302E-3</v>
      </c>
      <c r="AB295" s="66">
        <f t="shared" si="289"/>
        <v>1.2382927110811657E-3</v>
      </c>
      <c r="AC295" s="66">
        <f t="shared" si="289"/>
        <v>1.2375826156552142E-3</v>
      </c>
    </row>
    <row r="296" spans="1:29" x14ac:dyDescent="0.25">
      <c r="A296" s="59" t="str">
        <f>A259</f>
        <v>Market failure (av. utilization)</v>
      </c>
      <c r="B296" s="66">
        <f t="shared" ref="B296:AC296" si="290">B285/B259-B285/B258</f>
        <v>1.0950142246731005E-2</v>
      </c>
      <c r="C296" s="66">
        <f t="shared" si="290"/>
        <v>1.0945155652787293E-2</v>
      </c>
      <c r="D296" s="66">
        <f t="shared" si="290"/>
        <v>1.0938074919278975E-2</v>
      </c>
      <c r="E296" s="66">
        <f t="shared" si="290"/>
        <v>1.0928065957439078E-2</v>
      </c>
      <c r="F296" s="66">
        <f t="shared" si="290"/>
        <v>1.0914011398805613E-2</v>
      </c>
      <c r="G296" s="66">
        <f t="shared" si="290"/>
        <v>1.0894465959295907E-2</v>
      </c>
      <c r="H296" s="66">
        <f t="shared" si="290"/>
        <v>1.0867660605062376E-2</v>
      </c>
      <c r="I296" s="66">
        <f t="shared" si="290"/>
        <v>1.0831618222227871E-2</v>
      </c>
      <c r="J296" s="66">
        <f t="shared" si="290"/>
        <v>1.0784466425758522E-2</v>
      </c>
      <c r="K296" s="66">
        <f t="shared" si="290"/>
        <v>1.0725014639173783E-2</v>
      </c>
      <c r="L296" s="66">
        <f t="shared" si="290"/>
        <v>1.0653541023250414E-2</v>
      </c>
      <c r="M296" s="66">
        <f t="shared" si="290"/>
        <v>1.0572486944250283E-2</v>
      </c>
      <c r="N296" s="66">
        <f t="shared" si="290"/>
        <v>1.0486534221751786E-2</v>
      </c>
      <c r="O296" s="66">
        <f t="shared" si="290"/>
        <v>1.0401687179448494E-2</v>
      </c>
      <c r="P296" s="66">
        <f t="shared" si="290"/>
        <v>1.0323631679466906E-2</v>
      </c>
      <c r="Q296" s="66">
        <f t="shared" si="290"/>
        <v>1.0256262873697596E-2</v>
      </c>
      <c r="R296" s="66">
        <f t="shared" si="290"/>
        <v>1.0201144621567078E-2</v>
      </c>
      <c r="S296" s="66">
        <f t="shared" si="290"/>
        <v>1.0157915612101286E-2</v>
      </c>
      <c r="T296" s="66">
        <f t="shared" si="290"/>
        <v>1.0125102574231302E-2</v>
      </c>
      <c r="U296" s="66">
        <f t="shared" si="290"/>
        <v>1.0100832596102895E-2</v>
      </c>
      <c r="V296" s="66">
        <f t="shared" si="290"/>
        <v>1.008326105730732E-2</v>
      </c>
      <c r="W296" s="66">
        <f t="shared" si="290"/>
        <v>1.0070766304620912E-2</v>
      </c>
      <c r="X296" s="66">
        <f t="shared" si="290"/>
        <v>1.0062013565624047E-2</v>
      </c>
      <c r="Y296" s="66">
        <f t="shared" si="290"/>
        <v>1.0055955323373781E-2</v>
      </c>
      <c r="Z296" s="66">
        <f t="shared" si="290"/>
        <v>1.0051800651823237E-2</v>
      </c>
      <c r="AA296" s="66">
        <f t="shared" si="290"/>
        <v>1.0048970888464546E-2</v>
      </c>
      <c r="AB296" s="66">
        <f t="shared" si="290"/>
        <v>1.0047053018568586E-2</v>
      </c>
      <c r="AC296" s="66">
        <f t="shared" si="290"/>
        <v>1.0045757699665276E-2</v>
      </c>
    </row>
    <row r="297" spans="1:29" x14ac:dyDescent="0.25">
      <c r="A297" s="59" t="str">
        <f>A260</f>
        <v>Payload loss (fuel)</v>
      </c>
      <c r="B297" s="66">
        <f>B285/(B258-B260)-B285/B258</f>
        <v>0</v>
      </c>
      <c r="C297" s="66">
        <f t="shared" ref="C297:AC297" si="291">C285/(C258-C260)-C285/C258</f>
        <v>0</v>
      </c>
      <c r="D297" s="66">
        <f t="shared" si="291"/>
        <v>0</v>
      </c>
      <c r="E297" s="66">
        <f t="shared" si="291"/>
        <v>0</v>
      </c>
      <c r="F297" s="66">
        <f t="shared" si="291"/>
        <v>0</v>
      </c>
      <c r="G297" s="66">
        <f t="shared" si="291"/>
        <v>0</v>
      </c>
      <c r="H297" s="66">
        <f t="shared" si="291"/>
        <v>0</v>
      </c>
      <c r="I297" s="66">
        <f t="shared" si="291"/>
        <v>0</v>
      </c>
      <c r="J297" s="66">
        <f t="shared" si="291"/>
        <v>0</v>
      </c>
      <c r="K297" s="66">
        <f t="shared" si="291"/>
        <v>0</v>
      </c>
      <c r="L297" s="66">
        <f t="shared" si="291"/>
        <v>0</v>
      </c>
      <c r="M297" s="66">
        <f t="shared" si="291"/>
        <v>0</v>
      </c>
      <c r="N297" s="66">
        <f t="shared" si="291"/>
        <v>0</v>
      </c>
      <c r="O297" s="66">
        <f t="shared" si="291"/>
        <v>0</v>
      </c>
      <c r="P297" s="66">
        <f t="shared" si="291"/>
        <v>0</v>
      </c>
      <c r="Q297" s="66">
        <f t="shared" si="291"/>
        <v>0</v>
      </c>
      <c r="R297" s="66">
        <f t="shared" si="291"/>
        <v>0</v>
      </c>
      <c r="S297" s="66">
        <f t="shared" si="291"/>
        <v>0</v>
      </c>
      <c r="T297" s="66">
        <f t="shared" si="291"/>
        <v>0</v>
      </c>
      <c r="U297" s="66">
        <f t="shared" si="291"/>
        <v>0</v>
      </c>
      <c r="V297" s="66">
        <f t="shared" si="291"/>
        <v>0</v>
      </c>
      <c r="W297" s="66">
        <f t="shared" si="291"/>
        <v>0</v>
      </c>
      <c r="X297" s="66">
        <f t="shared" si="291"/>
        <v>0</v>
      </c>
      <c r="Y297" s="66">
        <f t="shared" si="291"/>
        <v>0</v>
      </c>
      <c r="Z297" s="66">
        <f t="shared" si="291"/>
        <v>0</v>
      </c>
      <c r="AA297" s="66">
        <f t="shared" si="291"/>
        <v>0</v>
      </c>
      <c r="AB297" s="66">
        <f t="shared" si="291"/>
        <v>0</v>
      </c>
      <c r="AC297" s="66">
        <f t="shared" si="291"/>
        <v>0</v>
      </c>
    </row>
    <row r="298" spans="1:29" ht="15.75" thickBot="1" x14ac:dyDescent="0.3">
      <c r="A298" s="59" t="str">
        <f>A235</f>
        <v>Emission Cost</v>
      </c>
      <c r="B298" s="68">
        <f>B255*B261/B261/(B258)</f>
        <v>3.2612180545682326E-5</v>
      </c>
      <c r="C298" s="68">
        <f t="shared" ref="C298:AC298" si="292">C255*C261/C261/(C258)</f>
        <v>3.2581125803789985E-5</v>
      </c>
      <c r="D298" s="68">
        <f t="shared" si="292"/>
        <v>3.2536671632459692E-5</v>
      </c>
      <c r="E298" s="68">
        <f t="shared" si="292"/>
        <v>3.2473076814214629E-5</v>
      </c>
      <c r="F298" s="68">
        <f t="shared" si="292"/>
        <v>3.2382185786049084E-5</v>
      </c>
      <c r="G298" s="68">
        <f t="shared" si="292"/>
        <v>3.2252464646491119E-5</v>
      </c>
      <c r="H298" s="68">
        <f t="shared" si="292"/>
        <v>3.2067709919681529E-5</v>
      </c>
      <c r="I298" s="68">
        <f t="shared" si="292"/>
        <v>3.1805384692532378E-5</v>
      </c>
      <c r="J298" s="68">
        <f t="shared" si="292"/>
        <v>3.1434613191801918E-5</v>
      </c>
      <c r="K298" s="68">
        <f t="shared" si="292"/>
        <v>3.0914056694048323E-5</v>
      </c>
      <c r="L298" s="68">
        <f t="shared" si="292"/>
        <v>3.0190294194310576E-5</v>
      </c>
      <c r="M298" s="68">
        <f t="shared" si="292"/>
        <v>2.9198042883179091E-5</v>
      </c>
      <c r="N298" s="68">
        <f t="shared" si="292"/>
        <v>2.7864563446370286E-5</v>
      </c>
      <c r="O298" s="68">
        <f t="shared" si="292"/>
        <v>2.6121448213179506E-5</v>
      </c>
      <c r="P298" s="68">
        <f t="shared" si="292"/>
        <v>2.3926289201690408E-5</v>
      </c>
      <c r="Q298" s="68">
        <f t="shared" si="292"/>
        <v>2.1292161399952762E-5</v>
      </c>
      <c r="R298" s="68">
        <f t="shared" si="292"/>
        <v>1.8313559080442676E-5</v>
      </c>
      <c r="S298" s="68">
        <f t="shared" si="292"/>
        <v>1.5169060832633678E-5</v>
      </c>
      <c r="T298" s="68">
        <f t="shared" si="292"/>
        <v>1.2086440428722554E-5</v>
      </c>
      <c r="U298" s="68">
        <f t="shared" si="292"/>
        <v>9.2802676237572389E-6</v>
      </c>
      <c r="V298" s="68">
        <f t="shared" si="292"/>
        <v>6.8954203462286989E-6</v>
      </c>
      <c r="W298" s="68">
        <f t="shared" si="292"/>
        <v>4.9855847788772532E-6</v>
      </c>
      <c r="X298" s="68">
        <f t="shared" si="292"/>
        <v>3.528295476436697E-6</v>
      </c>
      <c r="Y298" s="68">
        <f t="shared" si="292"/>
        <v>2.4570709643718897E-6</v>
      </c>
      <c r="Z298" s="68">
        <f t="shared" si="292"/>
        <v>1.6911609352910116E-6</v>
      </c>
      <c r="AA298" s="68">
        <f t="shared" si="292"/>
        <v>1.1543711142307326E-6</v>
      </c>
      <c r="AB298" s="68">
        <f t="shared" si="292"/>
        <v>7.8341635419717214E-7</v>
      </c>
      <c r="AC298" s="68">
        <f t="shared" si="292"/>
        <v>5.295535265214743E-7</v>
      </c>
    </row>
    <row r="299" spans="1:29" ht="15.75" thickBot="1" x14ac:dyDescent="0.3">
      <c r="A299" s="31" t="s">
        <v>210</v>
      </c>
      <c r="B299" s="77">
        <f>B288+B289+B290+B291+B292+B293+B294+B295+B296+B297+B298</f>
        <v>1.904821072618753E-2</v>
      </c>
      <c r="C299" s="67">
        <f t="shared" ref="C299:AC299" si="293">C288+C289+C290+C291+C292+C293+C294+C295+C296+C297+C298</f>
        <v>1.9039513178611283E-2</v>
      </c>
      <c r="D299" s="67">
        <f t="shared" si="293"/>
        <v>1.9027163062027008E-2</v>
      </c>
      <c r="E299" s="67">
        <f t="shared" si="293"/>
        <v>1.9009705570445793E-2</v>
      </c>
      <c r="F299" s="67">
        <f t="shared" si="293"/>
        <v>1.8985191805387422E-2</v>
      </c>
      <c r="G299" s="67">
        <f t="shared" si="293"/>
        <v>1.8951100922521655E-2</v>
      </c>
      <c r="H299" s="67">
        <f t="shared" si="293"/>
        <v>1.8904347397695732E-2</v>
      </c>
      <c r="I299" s="67">
        <f t="shared" si="293"/>
        <v>1.8841482776472757E-2</v>
      </c>
      <c r="J299" s="67">
        <f t="shared" si="293"/>
        <v>1.8759241271002959E-2</v>
      </c>
      <c r="K299" s="67">
        <f t="shared" si="293"/>
        <v>1.8655546294401672E-2</v>
      </c>
      <c r="L299" s="67">
        <f t="shared" si="293"/>
        <v>1.8530883010814403E-2</v>
      </c>
      <c r="M299" s="67">
        <f t="shared" si="293"/>
        <v>1.8389509617209521E-2</v>
      </c>
      <c r="N299" s="67">
        <f t="shared" si="293"/>
        <v>1.8239592077967957E-2</v>
      </c>
      <c r="O299" s="67">
        <f t="shared" si="293"/>
        <v>1.8091603050694773E-2</v>
      </c>
      <c r="P299" s="67">
        <f t="shared" si="293"/>
        <v>1.7955459736773396E-2</v>
      </c>
      <c r="Q299" s="67">
        <f t="shared" si="293"/>
        <v>1.7837956005780413E-2</v>
      </c>
      <c r="R299" s="67">
        <f t="shared" si="293"/>
        <v>1.7741819519506256E-2</v>
      </c>
      <c r="S299" s="67">
        <f t="shared" si="293"/>
        <v>1.7666420084391503E-2</v>
      </c>
      <c r="T299" s="67">
        <f t="shared" si="293"/>
        <v>1.7609188041595017E-2</v>
      </c>
      <c r="U299" s="67">
        <f t="shared" si="293"/>
        <v>1.7566856684394307E-2</v>
      </c>
      <c r="V299" s="67">
        <f t="shared" si="293"/>
        <v>1.7536208651611332E-2</v>
      </c>
      <c r="W299" s="67">
        <f t="shared" si="293"/>
        <v>1.7514415478321083E-2</v>
      </c>
      <c r="X299" s="67">
        <f t="shared" si="293"/>
        <v>1.7499149073093995E-2</v>
      </c>
      <c r="Y299" s="67">
        <f t="shared" si="293"/>
        <v>1.7488582371494692E-2</v>
      </c>
      <c r="Z299" s="67">
        <f t="shared" si="293"/>
        <v>1.7481335851348392E-2</v>
      </c>
      <c r="AA299" s="67">
        <f t="shared" si="293"/>
        <v>1.7476400217583232E-2</v>
      </c>
      <c r="AB299" s="67">
        <f t="shared" si="293"/>
        <v>1.7473055095671677E-2</v>
      </c>
      <c r="AC299" s="67">
        <f t="shared" si="293"/>
        <v>1.7470795818514739E-2</v>
      </c>
    </row>
    <row r="301" spans="1:29" x14ac:dyDescent="0.25">
      <c r="B301" s="40"/>
    </row>
    <row r="324" spans="1:44" s="3" customFormat="1" ht="21" x14ac:dyDescent="0.35">
      <c r="A324" s="2" t="str">
        <f>'Parameter Input'!A126</f>
        <v>Railway long-haul: Break bulk</v>
      </c>
    </row>
    <row r="325" spans="1:44" s="3" customFormat="1" ht="21" x14ac:dyDescent="0.35">
      <c r="A325" s="2" t="s">
        <v>136</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Input'!$L$103</f>
        <v>5000000</v>
      </c>
      <c r="C334" s="42">
        <f>'Parameter Input'!$M$103</f>
        <v>5000000</v>
      </c>
      <c r="D334" s="1" t="s">
        <v>15</v>
      </c>
      <c r="L334" s="51">
        <f>'Parameter Input'!$O$103</f>
        <v>12</v>
      </c>
      <c r="M334" s="52">
        <v>0</v>
      </c>
      <c r="N334" s="52">
        <v>1</v>
      </c>
      <c r="O334" s="52">
        <f>'Parameter Input'!$P$103</f>
        <v>0.9</v>
      </c>
      <c r="P334" s="53">
        <f>'Parameter Input'!$Q$103</f>
        <v>0.4</v>
      </c>
      <c r="Q334" s="4">
        <f t="shared" ref="Q334:AR343" si="294">$N334+($M334-$N334)*((1/(1+EXP(-$P334*(Q$9-$L334)))^$O334))</f>
        <v>0.9867978615748374</v>
      </c>
      <c r="R334" s="4">
        <f t="shared" si="294"/>
        <v>0.98114509762858249</v>
      </c>
      <c r="S334" s="4">
        <f t="shared" si="294"/>
        <v>0.97311898315872036</v>
      </c>
      <c r="T334" s="4">
        <f t="shared" si="294"/>
        <v>0.96177484161592774</v>
      </c>
      <c r="U334" s="4">
        <f t="shared" si="294"/>
        <v>0.94584787155511363</v>
      </c>
      <c r="V334" s="4">
        <f t="shared" si="294"/>
        <v>0.92370360150141495</v>
      </c>
      <c r="W334" s="4">
        <f t="shared" si="294"/>
        <v>0.89334463567658451</v>
      </c>
      <c r="X334" s="4">
        <f t="shared" si="294"/>
        <v>0.85254543874327005</v>
      </c>
      <c r="Y334" s="4">
        <f t="shared" si="294"/>
        <v>0.79921300652623883</v>
      </c>
      <c r="Z334" s="4">
        <f t="shared" si="294"/>
        <v>0.73204982249993378</v>
      </c>
      <c r="AA334" s="4">
        <f t="shared" si="294"/>
        <v>0.65145592958786691</v>
      </c>
      <c r="AB334" s="4">
        <f t="shared" si="294"/>
        <v>0.56032247880849573</v>
      </c>
      <c r="AC334" s="4">
        <f t="shared" si="294"/>
        <v>0.46411326873185343</v>
      </c>
      <c r="AD334" s="4">
        <f t="shared" si="294"/>
        <v>0.36979727595523937</v>
      </c>
      <c r="AE334" s="4">
        <f t="shared" si="294"/>
        <v>0.28393948637231203</v>
      </c>
      <c r="AF334" s="4">
        <f t="shared" si="294"/>
        <v>0.21097259161117732</v>
      </c>
      <c r="AG334" s="4">
        <f t="shared" si="294"/>
        <v>0.15253917653798199</v>
      </c>
      <c r="AH334" s="4">
        <f t="shared" si="294"/>
        <v>0.10795188737709993</v>
      </c>
      <c r="AI334" s="4">
        <f t="shared" si="294"/>
        <v>7.5176653938091809E-2</v>
      </c>
      <c r="AJ334" s="4">
        <f t="shared" si="294"/>
        <v>5.1742836177502194E-2</v>
      </c>
      <c r="AK334" s="4">
        <f t="shared" si="294"/>
        <v>3.5319190625345942E-2</v>
      </c>
      <c r="AL334" s="4">
        <f t="shared" si="294"/>
        <v>2.3969442072658165E-2</v>
      </c>
      <c r="AM334" s="4">
        <f t="shared" si="294"/>
        <v>1.6202243558389728E-2</v>
      </c>
      <c r="AN334" s="4">
        <f t="shared" si="294"/>
        <v>1.0922240564108399E-2</v>
      </c>
      <c r="AO334" s="4">
        <f t="shared" si="294"/>
        <v>7.3493212906090566E-3</v>
      </c>
      <c r="AP334" s="4">
        <f t="shared" si="294"/>
        <v>4.9390262185057265E-3</v>
      </c>
      <c r="AQ334" s="4">
        <f t="shared" si="294"/>
        <v>3.3164275492956197E-3</v>
      </c>
      <c r="AR334" s="4">
        <f t="shared" si="294"/>
        <v>2.2256362146679809E-3</v>
      </c>
    </row>
    <row r="335" spans="1:44" x14ac:dyDescent="0.25">
      <c r="A335" s="24" t="s">
        <v>28</v>
      </c>
      <c r="B335" s="60">
        <f>'Parameter Input'!$L$104</f>
        <v>-750000</v>
      </c>
      <c r="C335" s="61">
        <f>'Parameter Input'!$M$104</f>
        <v>-750000</v>
      </c>
      <c r="D335" s="1" t="s">
        <v>15</v>
      </c>
      <c r="L335" s="54">
        <f>'Parameter Input'!$O$104</f>
        <v>12</v>
      </c>
      <c r="M335" s="37">
        <v>0</v>
      </c>
      <c r="N335" s="37">
        <v>1</v>
      </c>
      <c r="O335" s="37">
        <f>'Parameter Input'!$P$104</f>
        <v>0.9</v>
      </c>
      <c r="P335" s="55">
        <f>'Parameter Input'!$Q$104</f>
        <v>0.4</v>
      </c>
      <c r="Q335" s="4">
        <f t="shared" si="294"/>
        <v>0.9867978615748374</v>
      </c>
      <c r="R335" s="4">
        <f t="shared" si="294"/>
        <v>0.98114509762858249</v>
      </c>
      <c r="S335" s="4">
        <f t="shared" si="294"/>
        <v>0.97311898315872036</v>
      </c>
      <c r="T335" s="4">
        <f t="shared" si="294"/>
        <v>0.96177484161592774</v>
      </c>
      <c r="U335" s="4">
        <f t="shared" si="294"/>
        <v>0.94584787155511363</v>
      </c>
      <c r="V335" s="4">
        <f t="shared" si="294"/>
        <v>0.92370360150141495</v>
      </c>
      <c r="W335" s="4">
        <f t="shared" si="294"/>
        <v>0.89334463567658451</v>
      </c>
      <c r="X335" s="4">
        <f t="shared" si="294"/>
        <v>0.85254543874327005</v>
      </c>
      <c r="Y335" s="4">
        <f t="shared" si="294"/>
        <v>0.79921300652623883</v>
      </c>
      <c r="Z335" s="4">
        <f t="shared" si="294"/>
        <v>0.73204982249993378</v>
      </c>
      <c r="AA335" s="4">
        <f t="shared" si="294"/>
        <v>0.65145592958786691</v>
      </c>
      <c r="AB335" s="4">
        <f t="shared" si="294"/>
        <v>0.56032247880849573</v>
      </c>
      <c r="AC335" s="4">
        <f t="shared" si="294"/>
        <v>0.46411326873185343</v>
      </c>
      <c r="AD335" s="4">
        <f t="shared" si="294"/>
        <v>0.36979727595523937</v>
      </c>
      <c r="AE335" s="4">
        <f t="shared" si="294"/>
        <v>0.28393948637231203</v>
      </c>
      <c r="AF335" s="4">
        <f t="shared" si="294"/>
        <v>0.21097259161117732</v>
      </c>
      <c r="AG335" s="4">
        <f t="shared" si="294"/>
        <v>0.15253917653798199</v>
      </c>
      <c r="AH335" s="4">
        <f t="shared" si="294"/>
        <v>0.10795188737709993</v>
      </c>
      <c r="AI335" s="4">
        <f t="shared" si="294"/>
        <v>7.5176653938091809E-2</v>
      </c>
      <c r="AJ335" s="4">
        <f t="shared" si="294"/>
        <v>5.1742836177502194E-2</v>
      </c>
      <c r="AK335" s="4">
        <f t="shared" si="294"/>
        <v>3.5319190625345942E-2</v>
      </c>
      <c r="AL335" s="4">
        <f t="shared" si="294"/>
        <v>2.3969442072658165E-2</v>
      </c>
      <c r="AM335" s="4">
        <f t="shared" si="294"/>
        <v>1.6202243558389728E-2</v>
      </c>
      <c r="AN335" s="4">
        <f t="shared" si="294"/>
        <v>1.0922240564108399E-2</v>
      </c>
      <c r="AO335" s="4">
        <f t="shared" si="294"/>
        <v>7.3493212906090566E-3</v>
      </c>
      <c r="AP335" s="4">
        <f t="shared" si="294"/>
        <v>4.9390262185057265E-3</v>
      </c>
      <c r="AQ335" s="4">
        <f t="shared" si="294"/>
        <v>3.3164275492956197E-3</v>
      </c>
      <c r="AR335" s="4">
        <f t="shared" si="294"/>
        <v>2.2256362146679809E-3</v>
      </c>
    </row>
    <row r="336" spans="1:44" x14ac:dyDescent="0.25">
      <c r="A336" s="24" t="s">
        <v>14</v>
      </c>
      <c r="B336" s="43">
        <f>'Parameter Input'!B127</f>
        <v>4200000</v>
      </c>
      <c r="C336" s="44">
        <f>'Parameter Input'!C127</f>
        <v>4200000</v>
      </c>
      <c r="D336" s="1" t="s">
        <v>15</v>
      </c>
      <c r="L336" s="54">
        <f>'Parameter Input'!E127</f>
        <v>12</v>
      </c>
      <c r="M336" s="37">
        <v>0</v>
      </c>
      <c r="N336" s="37">
        <v>1</v>
      </c>
      <c r="O336" s="37">
        <f>'Parameter Input'!F127</f>
        <v>0.9</v>
      </c>
      <c r="P336" s="55">
        <f>'Parameter Input'!G127</f>
        <v>0.4</v>
      </c>
      <c r="Q336" s="4">
        <f t="shared" si="294"/>
        <v>0.9867978615748374</v>
      </c>
      <c r="R336" s="4">
        <f t="shared" si="294"/>
        <v>0.98114509762858249</v>
      </c>
      <c r="S336" s="4">
        <f t="shared" si="294"/>
        <v>0.97311898315872036</v>
      </c>
      <c r="T336" s="4">
        <f t="shared" si="294"/>
        <v>0.96177484161592774</v>
      </c>
      <c r="U336" s="4">
        <f t="shared" si="294"/>
        <v>0.94584787155511363</v>
      </c>
      <c r="V336" s="4">
        <f t="shared" si="294"/>
        <v>0.92370360150141495</v>
      </c>
      <c r="W336" s="4">
        <f t="shared" si="294"/>
        <v>0.89334463567658451</v>
      </c>
      <c r="X336" s="4">
        <f t="shared" si="294"/>
        <v>0.85254543874327005</v>
      </c>
      <c r="Y336" s="4">
        <f t="shared" si="294"/>
        <v>0.79921300652623883</v>
      </c>
      <c r="Z336" s="4">
        <f t="shared" si="294"/>
        <v>0.73204982249993378</v>
      </c>
      <c r="AA336" s="4">
        <f t="shared" si="294"/>
        <v>0.65145592958786691</v>
      </c>
      <c r="AB336" s="4">
        <f t="shared" si="294"/>
        <v>0.56032247880849573</v>
      </c>
      <c r="AC336" s="4">
        <f t="shared" si="294"/>
        <v>0.46411326873185343</v>
      </c>
      <c r="AD336" s="4">
        <f t="shared" si="294"/>
        <v>0.36979727595523937</v>
      </c>
      <c r="AE336" s="4">
        <f t="shared" si="294"/>
        <v>0.28393948637231203</v>
      </c>
      <c r="AF336" s="4">
        <f t="shared" si="294"/>
        <v>0.21097259161117732</v>
      </c>
      <c r="AG336" s="4">
        <f t="shared" si="294"/>
        <v>0.15253917653798199</v>
      </c>
      <c r="AH336" s="4">
        <f t="shared" si="294"/>
        <v>0.10795188737709993</v>
      </c>
      <c r="AI336" s="4">
        <f t="shared" si="294"/>
        <v>7.5176653938091809E-2</v>
      </c>
      <c r="AJ336" s="4">
        <f t="shared" si="294"/>
        <v>5.1742836177502194E-2</v>
      </c>
      <c r="AK336" s="4">
        <f t="shared" si="294"/>
        <v>3.5319190625345942E-2</v>
      </c>
      <c r="AL336" s="4">
        <f t="shared" si="294"/>
        <v>2.3969442072658165E-2</v>
      </c>
      <c r="AM336" s="4">
        <f t="shared" si="294"/>
        <v>1.6202243558389728E-2</v>
      </c>
      <c r="AN336" s="4">
        <f t="shared" si="294"/>
        <v>1.0922240564108399E-2</v>
      </c>
      <c r="AO336" s="4">
        <f t="shared" si="294"/>
        <v>7.3493212906090566E-3</v>
      </c>
      <c r="AP336" s="4">
        <f t="shared" si="294"/>
        <v>4.9390262185057265E-3</v>
      </c>
      <c r="AQ336" s="4">
        <f t="shared" si="294"/>
        <v>3.3164275492956197E-3</v>
      </c>
      <c r="AR336" s="4">
        <f t="shared" si="294"/>
        <v>2.2256362146679809E-3</v>
      </c>
    </row>
    <row r="337" spans="1:44" x14ac:dyDescent="0.25">
      <c r="A337" s="24" t="s">
        <v>25</v>
      </c>
      <c r="B337" s="60">
        <f>'Parameter Input'!B128</f>
        <v>-210000</v>
      </c>
      <c r="C337" s="61">
        <f>'Parameter Input'!C128</f>
        <v>-210000</v>
      </c>
      <c r="D337" s="1" t="s">
        <v>15</v>
      </c>
      <c r="L337" s="54">
        <f>'Parameter Input'!E128</f>
        <v>12</v>
      </c>
      <c r="M337" s="37">
        <v>0</v>
      </c>
      <c r="N337" s="37">
        <v>1</v>
      </c>
      <c r="O337" s="37">
        <f>'Parameter Input'!F128</f>
        <v>0.9</v>
      </c>
      <c r="P337" s="55">
        <f>'Parameter Input'!G128</f>
        <v>0.4</v>
      </c>
      <c r="Q337" s="4">
        <f t="shared" si="294"/>
        <v>0.9867978615748374</v>
      </c>
      <c r="R337" s="4">
        <f t="shared" si="294"/>
        <v>0.98114509762858249</v>
      </c>
      <c r="S337" s="4">
        <f t="shared" si="294"/>
        <v>0.97311898315872036</v>
      </c>
      <c r="T337" s="4">
        <f t="shared" si="294"/>
        <v>0.96177484161592774</v>
      </c>
      <c r="U337" s="4">
        <f t="shared" si="294"/>
        <v>0.94584787155511363</v>
      </c>
      <c r="V337" s="4">
        <f t="shared" si="294"/>
        <v>0.92370360150141495</v>
      </c>
      <c r="W337" s="4">
        <f t="shared" si="294"/>
        <v>0.89334463567658451</v>
      </c>
      <c r="X337" s="4">
        <f t="shared" si="294"/>
        <v>0.85254543874327005</v>
      </c>
      <c r="Y337" s="4">
        <f t="shared" si="294"/>
        <v>0.79921300652623883</v>
      </c>
      <c r="Z337" s="4">
        <f t="shared" si="294"/>
        <v>0.73204982249993378</v>
      </c>
      <c r="AA337" s="4">
        <f t="shared" si="294"/>
        <v>0.65145592958786691</v>
      </c>
      <c r="AB337" s="4">
        <f t="shared" si="294"/>
        <v>0.56032247880849573</v>
      </c>
      <c r="AC337" s="4">
        <f t="shared" si="294"/>
        <v>0.46411326873185343</v>
      </c>
      <c r="AD337" s="4">
        <f t="shared" si="294"/>
        <v>0.36979727595523937</v>
      </c>
      <c r="AE337" s="4">
        <f t="shared" si="294"/>
        <v>0.28393948637231203</v>
      </c>
      <c r="AF337" s="4">
        <f t="shared" si="294"/>
        <v>0.21097259161117732</v>
      </c>
      <c r="AG337" s="4">
        <f t="shared" si="294"/>
        <v>0.15253917653798199</v>
      </c>
      <c r="AH337" s="4">
        <f t="shared" si="294"/>
        <v>0.10795188737709993</v>
      </c>
      <c r="AI337" s="4">
        <f t="shared" si="294"/>
        <v>7.5176653938091809E-2</v>
      </c>
      <c r="AJ337" s="4">
        <f t="shared" si="294"/>
        <v>5.1742836177502194E-2</v>
      </c>
      <c r="AK337" s="4">
        <f t="shared" si="294"/>
        <v>3.5319190625345942E-2</v>
      </c>
      <c r="AL337" s="4">
        <f t="shared" si="294"/>
        <v>2.3969442072658165E-2</v>
      </c>
      <c r="AM337" s="4">
        <f t="shared" si="294"/>
        <v>1.6202243558389728E-2</v>
      </c>
      <c r="AN337" s="4">
        <f t="shared" si="294"/>
        <v>1.0922240564108399E-2</v>
      </c>
      <c r="AO337" s="4">
        <f t="shared" si="294"/>
        <v>7.3493212906090566E-3</v>
      </c>
      <c r="AP337" s="4">
        <f t="shared" si="294"/>
        <v>4.9390262185057265E-3</v>
      </c>
      <c r="AQ337" s="4">
        <f t="shared" si="294"/>
        <v>3.3164275492956197E-3</v>
      </c>
      <c r="AR337" s="4">
        <f t="shared" si="294"/>
        <v>2.2256362146679809E-3</v>
      </c>
    </row>
    <row r="338" spans="1:44" x14ac:dyDescent="0.25">
      <c r="A338" s="24" t="s">
        <v>79</v>
      </c>
      <c r="B338" s="45">
        <f>'Parameter Input'!$L$110</f>
        <v>0.06</v>
      </c>
      <c r="C338" s="46">
        <f>'Parameter Input'!$M$110</f>
        <v>0.06</v>
      </c>
      <c r="D338" s="1" t="s">
        <v>57</v>
      </c>
      <c r="L338" s="54">
        <f>'Parameter Input'!$O$110</f>
        <v>12</v>
      </c>
      <c r="M338" s="37">
        <v>0</v>
      </c>
      <c r="N338" s="37">
        <v>1</v>
      </c>
      <c r="O338" s="37">
        <f>'Parameter Input'!$P$110</f>
        <v>0.9</v>
      </c>
      <c r="P338" s="55">
        <f>'Parameter Input'!$Q$110</f>
        <v>0.4</v>
      </c>
      <c r="Q338" s="4">
        <f t="shared" si="294"/>
        <v>0.9867978615748374</v>
      </c>
      <c r="R338" s="4">
        <f t="shared" si="294"/>
        <v>0.98114509762858249</v>
      </c>
      <c r="S338" s="4">
        <f t="shared" si="294"/>
        <v>0.97311898315872036</v>
      </c>
      <c r="T338" s="4">
        <f t="shared" si="294"/>
        <v>0.96177484161592774</v>
      </c>
      <c r="U338" s="4">
        <f t="shared" si="294"/>
        <v>0.94584787155511363</v>
      </c>
      <c r="V338" s="4">
        <f t="shared" si="294"/>
        <v>0.92370360150141495</v>
      </c>
      <c r="W338" s="4">
        <f t="shared" si="294"/>
        <v>0.89334463567658451</v>
      </c>
      <c r="X338" s="4">
        <f t="shared" si="294"/>
        <v>0.85254543874327005</v>
      </c>
      <c r="Y338" s="4">
        <f t="shared" si="294"/>
        <v>0.79921300652623883</v>
      </c>
      <c r="Z338" s="4">
        <f t="shared" si="294"/>
        <v>0.73204982249993378</v>
      </c>
      <c r="AA338" s="4">
        <f t="shared" si="294"/>
        <v>0.65145592958786691</v>
      </c>
      <c r="AB338" s="4">
        <f t="shared" si="294"/>
        <v>0.56032247880849573</v>
      </c>
      <c r="AC338" s="4">
        <f t="shared" si="294"/>
        <v>0.46411326873185343</v>
      </c>
      <c r="AD338" s="4">
        <f t="shared" si="294"/>
        <v>0.36979727595523937</v>
      </c>
      <c r="AE338" s="4">
        <f t="shared" si="294"/>
        <v>0.28393948637231203</v>
      </c>
      <c r="AF338" s="4">
        <f t="shared" si="294"/>
        <v>0.21097259161117732</v>
      </c>
      <c r="AG338" s="4">
        <f t="shared" si="294"/>
        <v>0.15253917653798199</v>
      </c>
      <c r="AH338" s="4">
        <f t="shared" si="294"/>
        <v>0.10795188737709993</v>
      </c>
      <c r="AI338" s="4">
        <f t="shared" si="294"/>
        <v>7.5176653938091809E-2</v>
      </c>
      <c r="AJ338" s="4">
        <f t="shared" si="294"/>
        <v>5.1742836177502194E-2</v>
      </c>
      <c r="AK338" s="4">
        <f t="shared" si="294"/>
        <v>3.5319190625345942E-2</v>
      </c>
      <c r="AL338" s="4">
        <f t="shared" si="294"/>
        <v>2.3969442072658165E-2</v>
      </c>
      <c r="AM338" s="4">
        <f t="shared" si="294"/>
        <v>1.6202243558389728E-2</v>
      </c>
      <c r="AN338" s="4">
        <f t="shared" si="294"/>
        <v>1.0922240564108399E-2</v>
      </c>
      <c r="AO338" s="4">
        <f t="shared" si="294"/>
        <v>7.3493212906090566E-3</v>
      </c>
      <c r="AP338" s="4">
        <f t="shared" si="294"/>
        <v>4.9390262185057265E-3</v>
      </c>
      <c r="AQ338" s="4">
        <f t="shared" si="294"/>
        <v>3.3164275492956197E-3</v>
      </c>
      <c r="AR338" s="4">
        <f t="shared" si="294"/>
        <v>2.2256362146679809E-3</v>
      </c>
    </row>
    <row r="339" spans="1:44" x14ac:dyDescent="0.25">
      <c r="A339" s="24" t="s">
        <v>37</v>
      </c>
      <c r="B339" s="43">
        <f>'Parameter Input'!B129</f>
        <v>1450000</v>
      </c>
      <c r="C339" s="44">
        <f>'Parameter Input'!C129</f>
        <v>1450000</v>
      </c>
      <c r="D339" s="1" t="s">
        <v>38</v>
      </c>
      <c r="L339" s="54">
        <f>'Parameter Input'!E129</f>
        <v>12</v>
      </c>
      <c r="M339" s="37">
        <v>0</v>
      </c>
      <c r="N339" s="37">
        <v>1</v>
      </c>
      <c r="O339" s="37">
        <f>'Parameter Input'!F129</f>
        <v>0.9</v>
      </c>
      <c r="P339" s="55">
        <f>'Parameter Input'!G129</f>
        <v>0.4</v>
      </c>
      <c r="Q339" s="4">
        <f t="shared" si="294"/>
        <v>0.9867978615748374</v>
      </c>
      <c r="R339" s="4">
        <f t="shared" si="294"/>
        <v>0.98114509762858249</v>
      </c>
      <c r="S339" s="4">
        <f t="shared" si="294"/>
        <v>0.97311898315872036</v>
      </c>
      <c r="T339" s="4">
        <f t="shared" si="294"/>
        <v>0.96177484161592774</v>
      </c>
      <c r="U339" s="4">
        <f t="shared" si="294"/>
        <v>0.94584787155511363</v>
      </c>
      <c r="V339" s="4">
        <f t="shared" si="294"/>
        <v>0.92370360150141495</v>
      </c>
      <c r="W339" s="4">
        <f t="shared" si="294"/>
        <v>0.89334463567658451</v>
      </c>
      <c r="X339" s="4">
        <f t="shared" si="294"/>
        <v>0.85254543874327005</v>
      </c>
      <c r="Y339" s="4">
        <f t="shared" si="294"/>
        <v>0.79921300652623883</v>
      </c>
      <c r="Z339" s="4">
        <f t="shared" si="294"/>
        <v>0.73204982249993378</v>
      </c>
      <c r="AA339" s="4">
        <f t="shared" si="294"/>
        <v>0.65145592958786691</v>
      </c>
      <c r="AB339" s="4">
        <f t="shared" si="294"/>
        <v>0.56032247880849573</v>
      </c>
      <c r="AC339" s="4">
        <f t="shared" si="294"/>
        <v>0.46411326873185343</v>
      </c>
      <c r="AD339" s="4">
        <f t="shared" si="294"/>
        <v>0.36979727595523937</v>
      </c>
      <c r="AE339" s="4">
        <f t="shared" si="294"/>
        <v>0.28393948637231203</v>
      </c>
      <c r="AF339" s="4">
        <f t="shared" si="294"/>
        <v>0.21097259161117732</v>
      </c>
      <c r="AG339" s="4">
        <f t="shared" si="294"/>
        <v>0.15253917653798199</v>
      </c>
      <c r="AH339" s="4">
        <f t="shared" si="294"/>
        <v>0.10795188737709993</v>
      </c>
      <c r="AI339" s="4">
        <f t="shared" si="294"/>
        <v>7.5176653938091809E-2</v>
      </c>
      <c r="AJ339" s="4">
        <f t="shared" si="294"/>
        <v>5.1742836177502194E-2</v>
      </c>
      <c r="AK339" s="4">
        <f t="shared" si="294"/>
        <v>3.5319190625345942E-2</v>
      </c>
      <c r="AL339" s="4">
        <f t="shared" si="294"/>
        <v>2.3969442072658165E-2</v>
      </c>
      <c r="AM339" s="4">
        <f t="shared" si="294"/>
        <v>1.6202243558389728E-2</v>
      </c>
      <c r="AN339" s="4">
        <f t="shared" si="294"/>
        <v>1.0922240564108399E-2</v>
      </c>
      <c r="AO339" s="4">
        <f t="shared" si="294"/>
        <v>7.3493212906090566E-3</v>
      </c>
      <c r="AP339" s="4">
        <f t="shared" si="294"/>
        <v>4.9390262185057265E-3</v>
      </c>
      <c r="AQ339" s="4">
        <f t="shared" si="294"/>
        <v>3.3164275492956197E-3</v>
      </c>
      <c r="AR339" s="4">
        <f t="shared" si="294"/>
        <v>2.2256362146679809E-3</v>
      </c>
    </row>
    <row r="340" spans="1:44" x14ac:dyDescent="0.25">
      <c r="A340" s="24" t="s">
        <v>52</v>
      </c>
      <c r="B340" s="43">
        <f>'Parameter Input'!$L$106</f>
        <v>650000</v>
      </c>
      <c r="C340" s="44">
        <f>'Parameter Input'!$M$106</f>
        <v>650000</v>
      </c>
      <c r="D340" s="1" t="s">
        <v>38</v>
      </c>
      <c r="L340" s="54">
        <f>'Parameter Input'!$O$106</f>
        <v>12</v>
      </c>
      <c r="M340" s="37">
        <v>0</v>
      </c>
      <c r="N340" s="37">
        <v>1</v>
      </c>
      <c r="O340" s="37">
        <f>'Parameter Input'!$P$106</f>
        <v>0.9</v>
      </c>
      <c r="P340" s="55">
        <f>'Parameter Input'!$Q$106</f>
        <v>0.4</v>
      </c>
      <c r="Q340" s="4">
        <f t="shared" si="294"/>
        <v>0.9867978615748374</v>
      </c>
      <c r="R340" s="4">
        <f t="shared" si="294"/>
        <v>0.98114509762858249</v>
      </c>
      <c r="S340" s="4">
        <f t="shared" si="294"/>
        <v>0.97311898315872036</v>
      </c>
      <c r="T340" s="4">
        <f t="shared" si="294"/>
        <v>0.96177484161592774</v>
      </c>
      <c r="U340" s="4">
        <f t="shared" si="294"/>
        <v>0.94584787155511363</v>
      </c>
      <c r="V340" s="4">
        <f t="shared" si="294"/>
        <v>0.92370360150141495</v>
      </c>
      <c r="W340" s="4">
        <f t="shared" si="294"/>
        <v>0.89334463567658451</v>
      </c>
      <c r="X340" s="4">
        <f t="shared" si="294"/>
        <v>0.85254543874327005</v>
      </c>
      <c r="Y340" s="4">
        <f t="shared" si="294"/>
        <v>0.79921300652623883</v>
      </c>
      <c r="Z340" s="4">
        <f t="shared" si="294"/>
        <v>0.73204982249993378</v>
      </c>
      <c r="AA340" s="4">
        <f t="shared" si="294"/>
        <v>0.65145592958786691</v>
      </c>
      <c r="AB340" s="4">
        <f t="shared" si="294"/>
        <v>0.56032247880849573</v>
      </c>
      <c r="AC340" s="4">
        <f t="shared" si="294"/>
        <v>0.46411326873185343</v>
      </c>
      <c r="AD340" s="4">
        <f t="shared" si="294"/>
        <v>0.36979727595523937</v>
      </c>
      <c r="AE340" s="4">
        <f t="shared" si="294"/>
        <v>0.28393948637231203</v>
      </c>
      <c r="AF340" s="4">
        <f t="shared" si="294"/>
        <v>0.21097259161117732</v>
      </c>
      <c r="AG340" s="4">
        <f t="shared" si="294"/>
        <v>0.15253917653798199</v>
      </c>
      <c r="AH340" s="4">
        <f t="shared" si="294"/>
        <v>0.10795188737709993</v>
      </c>
      <c r="AI340" s="4">
        <f t="shared" si="294"/>
        <v>7.5176653938091809E-2</v>
      </c>
      <c r="AJ340" s="4">
        <f t="shared" si="294"/>
        <v>5.1742836177502194E-2</v>
      </c>
      <c r="AK340" s="4">
        <f t="shared" si="294"/>
        <v>3.5319190625345942E-2</v>
      </c>
      <c r="AL340" s="4">
        <f t="shared" si="294"/>
        <v>2.3969442072658165E-2</v>
      </c>
      <c r="AM340" s="4">
        <f t="shared" si="294"/>
        <v>1.6202243558389728E-2</v>
      </c>
      <c r="AN340" s="4">
        <f t="shared" si="294"/>
        <v>1.0922240564108399E-2</v>
      </c>
      <c r="AO340" s="4">
        <f t="shared" si="294"/>
        <v>7.3493212906090566E-3</v>
      </c>
      <c r="AP340" s="4">
        <f t="shared" si="294"/>
        <v>4.9390262185057265E-3</v>
      </c>
      <c r="AQ340" s="4">
        <f t="shared" si="294"/>
        <v>3.3164275492956197E-3</v>
      </c>
      <c r="AR340" s="4">
        <f t="shared" si="294"/>
        <v>2.2256362146679809E-3</v>
      </c>
    </row>
    <row r="341" spans="1:44" x14ac:dyDescent="0.25">
      <c r="A341" s="24" t="s">
        <v>287</v>
      </c>
      <c r="B341" s="45">
        <f>'Parameter Input'!B134</f>
        <v>8.9635854341736696</v>
      </c>
      <c r="C341" s="46">
        <f>'Parameter Input'!C134</f>
        <v>8.9635854341736696</v>
      </c>
      <c r="D341" s="1" t="s">
        <v>76</v>
      </c>
      <c r="L341" s="54">
        <f>'Parameter Input'!E134</f>
        <v>12</v>
      </c>
      <c r="M341" s="37">
        <v>0</v>
      </c>
      <c r="N341" s="37">
        <v>1</v>
      </c>
      <c r="O341" s="37">
        <f>'Parameter Input'!F134</f>
        <v>0.9</v>
      </c>
      <c r="P341" s="55">
        <f>'Parameter Input'!G134</f>
        <v>0.4</v>
      </c>
      <c r="Q341" s="4">
        <f t="shared" si="294"/>
        <v>0.9867978615748374</v>
      </c>
      <c r="R341" s="4">
        <f t="shared" si="294"/>
        <v>0.98114509762858249</v>
      </c>
      <c r="S341" s="4">
        <f t="shared" si="294"/>
        <v>0.97311898315872036</v>
      </c>
      <c r="T341" s="4">
        <f t="shared" si="294"/>
        <v>0.96177484161592774</v>
      </c>
      <c r="U341" s="4">
        <f t="shared" si="294"/>
        <v>0.94584787155511363</v>
      </c>
      <c r="V341" s="4">
        <f t="shared" si="294"/>
        <v>0.92370360150141495</v>
      </c>
      <c r="W341" s="4">
        <f t="shared" si="294"/>
        <v>0.89334463567658451</v>
      </c>
      <c r="X341" s="4">
        <f t="shared" si="294"/>
        <v>0.85254543874327005</v>
      </c>
      <c r="Y341" s="4">
        <f t="shared" si="294"/>
        <v>0.79921300652623883</v>
      </c>
      <c r="Z341" s="4">
        <f t="shared" si="294"/>
        <v>0.73204982249993378</v>
      </c>
      <c r="AA341" s="4">
        <f t="shared" si="294"/>
        <v>0.65145592958786691</v>
      </c>
      <c r="AB341" s="4">
        <f t="shared" si="294"/>
        <v>0.56032247880849573</v>
      </c>
      <c r="AC341" s="4">
        <f t="shared" si="294"/>
        <v>0.46411326873185343</v>
      </c>
      <c r="AD341" s="4">
        <f t="shared" si="294"/>
        <v>0.36979727595523937</v>
      </c>
      <c r="AE341" s="4">
        <f t="shared" si="294"/>
        <v>0.28393948637231203</v>
      </c>
      <c r="AF341" s="4">
        <f t="shared" si="294"/>
        <v>0.21097259161117732</v>
      </c>
      <c r="AG341" s="4">
        <f t="shared" si="294"/>
        <v>0.15253917653798199</v>
      </c>
      <c r="AH341" s="4">
        <f t="shared" si="294"/>
        <v>0.10795188737709993</v>
      </c>
      <c r="AI341" s="4">
        <f t="shared" si="294"/>
        <v>7.5176653938091809E-2</v>
      </c>
      <c r="AJ341" s="4">
        <f t="shared" si="294"/>
        <v>5.1742836177502194E-2</v>
      </c>
      <c r="AK341" s="4">
        <f t="shared" si="294"/>
        <v>3.5319190625345942E-2</v>
      </c>
      <c r="AL341" s="4">
        <f t="shared" si="294"/>
        <v>2.3969442072658165E-2</v>
      </c>
      <c r="AM341" s="4">
        <f t="shared" si="294"/>
        <v>1.6202243558389728E-2</v>
      </c>
      <c r="AN341" s="4">
        <f t="shared" si="294"/>
        <v>1.0922240564108399E-2</v>
      </c>
      <c r="AO341" s="4">
        <f t="shared" si="294"/>
        <v>7.3493212906090566E-3</v>
      </c>
      <c r="AP341" s="4">
        <f t="shared" si="294"/>
        <v>4.9390262185057265E-3</v>
      </c>
      <c r="AQ341" s="4">
        <f t="shared" si="294"/>
        <v>3.3164275492956197E-3</v>
      </c>
      <c r="AR341" s="4">
        <f t="shared" si="294"/>
        <v>2.2256362146679809E-3</v>
      </c>
    </row>
    <row r="342" spans="1:44" x14ac:dyDescent="0.25">
      <c r="A342" s="24" t="s">
        <v>59</v>
      </c>
      <c r="B342" s="47">
        <f>'Parameter Input'!$L$107</f>
        <v>31.614305882352937</v>
      </c>
      <c r="C342" s="48">
        <f>'Parameter Input'!$M$107</f>
        <v>31.614305882352937</v>
      </c>
      <c r="D342" s="1" t="s">
        <v>60</v>
      </c>
      <c r="L342" s="54">
        <f>'Parameter Input'!$O$107</f>
        <v>12</v>
      </c>
      <c r="M342" s="37">
        <v>0</v>
      </c>
      <c r="N342" s="37">
        <v>1</v>
      </c>
      <c r="O342" s="37">
        <f>'Parameter Input'!$P$107</f>
        <v>0.9</v>
      </c>
      <c r="P342" s="55">
        <f>'Parameter Input'!$Q$107</f>
        <v>0.4</v>
      </c>
      <c r="Q342" s="4">
        <f t="shared" si="294"/>
        <v>0.9867978615748374</v>
      </c>
      <c r="R342" s="4">
        <f t="shared" si="294"/>
        <v>0.98114509762858249</v>
      </c>
      <c r="S342" s="4">
        <f t="shared" si="294"/>
        <v>0.97311898315872036</v>
      </c>
      <c r="T342" s="4">
        <f t="shared" si="294"/>
        <v>0.96177484161592774</v>
      </c>
      <c r="U342" s="4">
        <f t="shared" si="294"/>
        <v>0.94584787155511363</v>
      </c>
      <c r="V342" s="4">
        <f t="shared" si="294"/>
        <v>0.92370360150141495</v>
      </c>
      <c r="W342" s="4">
        <f t="shared" si="294"/>
        <v>0.89334463567658451</v>
      </c>
      <c r="X342" s="4">
        <f t="shared" si="294"/>
        <v>0.85254543874327005</v>
      </c>
      <c r="Y342" s="4">
        <f t="shared" si="294"/>
        <v>0.79921300652623883</v>
      </c>
      <c r="Z342" s="4">
        <f t="shared" si="294"/>
        <v>0.73204982249993378</v>
      </c>
      <c r="AA342" s="4">
        <f t="shared" si="294"/>
        <v>0.65145592958786691</v>
      </c>
      <c r="AB342" s="4">
        <f t="shared" si="294"/>
        <v>0.56032247880849573</v>
      </c>
      <c r="AC342" s="4">
        <f t="shared" si="294"/>
        <v>0.46411326873185343</v>
      </c>
      <c r="AD342" s="4">
        <f t="shared" si="294"/>
        <v>0.36979727595523937</v>
      </c>
      <c r="AE342" s="4">
        <f t="shared" si="294"/>
        <v>0.28393948637231203</v>
      </c>
      <c r="AF342" s="4">
        <f t="shared" si="294"/>
        <v>0.21097259161117732</v>
      </c>
      <c r="AG342" s="4">
        <f t="shared" si="294"/>
        <v>0.15253917653798199</v>
      </c>
      <c r="AH342" s="4">
        <f t="shared" si="294"/>
        <v>0.10795188737709993</v>
      </c>
      <c r="AI342" s="4">
        <f t="shared" si="294"/>
        <v>7.5176653938091809E-2</v>
      </c>
      <c r="AJ342" s="4">
        <f t="shared" si="294"/>
        <v>5.1742836177502194E-2</v>
      </c>
      <c r="AK342" s="4">
        <f t="shared" si="294"/>
        <v>3.5319190625345942E-2</v>
      </c>
      <c r="AL342" s="4">
        <f t="shared" si="294"/>
        <v>2.3969442072658165E-2</v>
      </c>
      <c r="AM342" s="4">
        <f t="shared" si="294"/>
        <v>1.6202243558389728E-2</v>
      </c>
      <c r="AN342" s="4">
        <f t="shared" si="294"/>
        <v>1.0922240564108399E-2</v>
      </c>
      <c r="AO342" s="4">
        <f t="shared" si="294"/>
        <v>7.3493212906090566E-3</v>
      </c>
      <c r="AP342" s="4">
        <f t="shared" si="294"/>
        <v>4.9390262185057265E-3</v>
      </c>
      <c r="AQ342" s="4">
        <f t="shared" si="294"/>
        <v>3.3164275492956197E-3</v>
      </c>
      <c r="AR342" s="4">
        <f t="shared" si="294"/>
        <v>2.2256362146679809E-3</v>
      </c>
    </row>
    <row r="343" spans="1:44" x14ac:dyDescent="0.25">
      <c r="A343" s="24" t="s">
        <v>67</v>
      </c>
      <c r="B343" s="45">
        <f>'Parameter Input'!$L$108</f>
        <v>0.13371034051801745</v>
      </c>
      <c r="C343" s="46">
        <f>'Parameter Input'!$M$108</f>
        <v>8.7585019329602734E-2</v>
      </c>
      <c r="D343" s="1" t="s">
        <v>68</v>
      </c>
      <c r="L343" s="54">
        <f>'Parameter Input'!$O$108</f>
        <v>12</v>
      </c>
      <c r="M343" s="37">
        <v>0</v>
      </c>
      <c r="N343" s="37">
        <v>1</v>
      </c>
      <c r="O343" s="37">
        <f>'Parameter Input'!$P$108</f>
        <v>0.9</v>
      </c>
      <c r="P343" s="55">
        <f>'Parameter Input'!$Q$108</f>
        <v>0.4</v>
      </c>
      <c r="Q343" s="4">
        <f t="shared" si="294"/>
        <v>0.9867978615748374</v>
      </c>
      <c r="R343" s="4">
        <f t="shared" si="294"/>
        <v>0.98114509762858249</v>
      </c>
      <c r="S343" s="4">
        <f t="shared" si="294"/>
        <v>0.97311898315872036</v>
      </c>
      <c r="T343" s="4">
        <f t="shared" ref="T343:AI350" si="295">$N343+($M343-$N343)*((1/(1+EXP(-$P343*(T$9-$L343)))^$O343))</f>
        <v>0.96177484161592774</v>
      </c>
      <c r="U343" s="4">
        <f t="shared" si="295"/>
        <v>0.94584787155511363</v>
      </c>
      <c r="V343" s="4">
        <f t="shared" si="295"/>
        <v>0.92370360150141495</v>
      </c>
      <c r="W343" s="4">
        <f t="shared" si="295"/>
        <v>0.89334463567658451</v>
      </c>
      <c r="X343" s="4">
        <f t="shared" si="295"/>
        <v>0.85254543874327005</v>
      </c>
      <c r="Y343" s="4">
        <f t="shared" si="295"/>
        <v>0.79921300652623883</v>
      </c>
      <c r="Z343" s="4">
        <f t="shared" si="295"/>
        <v>0.73204982249993378</v>
      </c>
      <c r="AA343" s="4">
        <f t="shared" si="295"/>
        <v>0.65145592958786691</v>
      </c>
      <c r="AB343" s="4">
        <f t="shared" si="295"/>
        <v>0.56032247880849573</v>
      </c>
      <c r="AC343" s="4">
        <f t="shared" si="295"/>
        <v>0.46411326873185343</v>
      </c>
      <c r="AD343" s="4">
        <f t="shared" si="295"/>
        <v>0.36979727595523937</v>
      </c>
      <c r="AE343" s="4">
        <f t="shared" si="295"/>
        <v>0.28393948637231203</v>
      </c>
      <c r="AF343" s="4">
        <f t="shared" si="295"/>
        <v>0.21097259161117732</v>
      </c>
      <c r="AG343" s="4">
        <f t="shared" si="295"/>
        <v>0.15253917653798199</v>
      </c>
      <c r="AH343" s="4">
        <f t="shared" si="295"/>
        <v>0.10795188737709993</v>
      </c>
      <c r="AI343" s="4">
        <f t="shared" si="295"/>
        <v>7.5176653938091809E-2</v>
      </c>
      <c r="AJ343" s="4">
        <f t="shared" ref="AJ343:AR350" si="296">$N343+($M343-$N343)*((1/(1+EXP(-$P343*(AJ$9-$L343)))^$O343))</f>
        <v>5.1742836177502194E-2</v>
      </c>
      <c r="AK343" s="4">
        <f t="shared" si="296"/>
        <v>3.5319190625345942E-2</v>
      </c>
      <c r="AL343" s="4">
        <f t="shared" si="296"/>
        <v>2.3969442072658165E-2</v>
      </c>
      <c r="AM343" s="4">
        <f t="shared" si="296"/>
        <v>1.6202243558389728E-2</v>
      </c>
      <c r="AN343" s="4">
        <f t="shared" si="296"/>
        <v>1.0922240564108399E-2</v>
      </c>
      <c r="AO343" s="4">
        <f t="shared" si="296"/>
        <v>7.3493212906090566E-3</v>
      </c>
      <c r="AP343" s="4">
        <f t="shared" si="296"/>
        <v>4.9390262185057265E-3</v>
      </c>
      <c r="AQ343" s="4">
        <f t="shared" si="296"/>
        <v>3.3164275492956197E-3</v>
      </c>
      <c r="AR343" s="4">
        <f t="shared" si="296"/>
        <v>2.2256362146679809E-3</v>
      </c>
    </row>
    <row r="344" spans="1:44" x14ac:dyDescent="0.25">
      <c r="A344" s="24" t="s">
        <v>206</v>
      </c>
      <c r="B344" s="115">
        <f>'Parameter Input'!$L$111</f>
        <v>7.321207678018575E-2</v>
      </c>
      <c r="C344" s="116">
        <f>'Parameter Input'!$M$111</f>
        <v>0</v>
      </c>
      <c r="D344" s="1" t="s">
        <v>76</v>
      </c>
      <c r="L344" s="54">
        <f>'Parameter Input'!$O$111</f>
        <v>17</v>
      </c>
      <c r="M344" s="37">
        <v>0</v>
      </c>
      <c r="N344" s="37">
        <v>1</v>
      </c>
      <c r="O344" s="37">
        <f>'Parameter Input'!$P$111</f>
        <v>0.9</v>
      </c>
      <c r="P344" s="55">
        <f>'Parameter Input'!$Q$111</f>
        <v>0.4</v>
      </c>
      <c r="Q344" s="4">
        <f t="shared" ref="Q344:AR344" si="297">$N344+($M344-$N344)*((1/(1+EXP(-$P344*(Q$9-$L344)))^$O344))</f>
        <v>0.99780374543478534</v>
      </c>
      <c r="R344" s="4">
        <f t="shared" si="297"/>
        <v>0.99685359315256394</v>
      </c>
      <c r="S344" s="4">
        <f t="shared" si="297"/>
        <v>0.99549347132349975</v>
      </c>
      <c r="T344" s="4">
        <f t="shared" si="297"/>
        <v>0.99354772139898062</v>
      </c>
      <c r="U344" s="4">
        <f t="shared" si="297"/>
        <v>0.99076681540580536</v>
      </c>
      <c r="V344" s="4">
        <f t="shared" si="297"/>
        <v>0.9867978615748374</v>
      </c>
      <c r="W344" s="4">
        <f t="shared" si="297"/>
        <v>0.98114509762858249</v>
      </c>
      <c r="X344" s="4">
        <f t="shared" si="297"/>
        <v>0.97311898315872036</v>
      </c>
      <c r="Y344" s="4">
        <f t="shared" si="297"/>
        <v>0.96177484161592774</v>
      </c>
      <c r="Z344" s="4">
        <f t="shared" si="297"/>
        <v>0.94584787155511363</v>
      </c>
      <c r="AA344" s="4">
        <f t="shared" si="297"/>
        <v>0.92370360150141495</v>
      </c>
      <c r="AB344" s="4">
        <f t="shared" si="297"/>
        <v>0.89334463567658451</v>
      </c>
      <c r="AC344" s="4">
        <f t="shared" si="297"/>
        <v>0.85254543874327005</v>
      </c>
      <c r="AD344" s="4">
        <f t="shared" si="297"/>
        <v>0.79921300652623883</v>
      </c>
      <c r="AE344" s="4">
        <f t="shared" si="297"/>
        <v>0.73204982249993378</v>
      </c>
      <c r="AF344" s="4">
        <f t="shared" si="297"/>
        <v>0.65145592958786691</v>
      </c>
      <c r="AG344" s="4">
        <f t="shared" si="297"/>
        <v>0.56032247880849573</v>
      </c>
      <c r="AH344" s="4">
        <f t="shared" si="297"/>
        <v>0.46411326873185343</v>
      </c>
      <c r="AI344" s="4">
        <f t="shared" si="297"/>
        <v>0.36979727595523937</v>
      </c>
      <c r="AJ344" s="4">
        <f t="shared" si="297"/>
        <v>0.28393948637231203</v>
      </c>
      <c r="AK344" s="4">
        <f t="shared" si="297"/>
        <v>0.21097259161117732</v>
      </c>
      <c r="AL344" s="4">
        <f t="shared" si="297"/>
        <v>0.15253917653798199</v>
      </c>
      <c r="AM344" s="4">
        <f t="shared" si="297"/>
        <v>0.10795188737709993</v>
      </c>
      <c r="AN344" s="4">
        <f t="shared" si="297"/>
        <v>7.5176653938091809E-2</v>
      </c>
      <c r="AO344" s="4">
        <f t="shared" si="297"/>
        <v>5.1742836177502194E-2</v>
      </c>
      <c r="AP344" s="4">
        <f t="shared" si="297"/>
        <v>3.5319190625345942E-2</v>
      </c>
      <c r="AQ344" s="4">
        <f t="shared" si="297"/>
        <v>2.3969442072658165E-2</v>
      </c>
      <c r="AR344" s="4">
        <f t="shared" si="297"/>
        <v>1.6202243558389728E-2</v>
      </c>
    </row>
    <row r="345" spans="1:44" x14ac:dyDescent="0.25">
      <c r="A345" s="24" t="s">
        <v>41</v>
      </c>
      <c r="B345" s="43">
        <f>'Parameter Input'!$L$105</f>
        <v>20</v>
      </c>
      <c r="C345" s="44">
        <f>'Parameter Input'!$M$105</f>
        <v>20</v>
      </c>
      <c r="D345" s="1" t="s">
        <v>42</v>
      </c>
      <c r="L345" s="54">
        <f>'Parameter Input'!$O$105</f>
        <v>12</v>
      </c>
      <c r="M345" s="37">
        <v>0</v>
      </c>
      <c r="N345" s="37">
        <v>1</v>
      </c>
      <c r="O345" s="37">
        <f>'Parameter Input'!$P$105</f>
        <v>0.9</v>
      </c>
      <c r="P345" s="55">
        <f>'Parameter Input'!$Q$105</f>
        <v>0.4</v>
      </c>
      <c r="Q345" s="4">
        <f t="shared" ref="Q345:AF350" si="298">$N345+($M345-$N345)*((1/(1+EXP(-$P345*(Q$9-$L345)))^$O345))</f>
        <v>0.9867978615748374</v>
      </c>
      <c r="R345" s="4">
        <f t="shared" si="298"/>
        <v>0.98114509762858249</v>
      </c>
      <c r="S345" s="4">
        <f t="shared" si="298"/>
        <v>0.97311898315872036</v>
      </c>
      <c r="T345" s="4">
        <f t="shared" si="298"/>
        <v>0.96177484161592774</v>
      </c>
      <c r="U345" s="4">
        <f t="shared" si="298"/>
        <v>0.94584787155511363</v>
      </c>
      <c r="V345" s="4">
        <f t="shared" si="298"/>
        <v>0.92370360150141495</v>
      </c>
      <c r="W345" s="4">
        <f t="shared" si="298"/>
        <v>0.89334463567658451</v>
      </c>
      <c r="X345" s="4">
        <f t="shared" si="298"/>
        <v>0.85254543874327005</v>
      </c>
      <c r="Y345" s="4">
        <f t="shared" si="298"/>
        <v>0.79921300652623883</v>
      </c>
      <c r="Z345" s="4">
        <f t="shared" si="298"/>
        <v>0.73204982249993378</v>
      </c>
      <c r="AA345" s="4">
        <f t="shared" si="298"/>
        <v>0.65145592958786691</v>
      </c>
      <c r="AB345" s="4">
        <f t="shared" si="298"/>
        <v>0.56032247880849573</v>
      </c>
      <c r="AC345" s="4">
        <f t="shared" si="298"/>
        <v>0.46411326873185343</v>
      </c>
      <c r="AD345" s="4">
        <f t="shared" si="298"/>
        <v>0.36979727595523937</v>
      </c>
      <c r="AE345" s="4">
        <f t="shared" si="298"/>
        <v>0.28393948637231203</v>
      </c>
      <c r="AF345" s="4">
        <f t="shared" si="298"/>
        <v>0.21097259161117732</v>
      </c>
      <c r="AG345" s="4">
        <f t="shared" si="295"/>
        <v>0.15253917653798199</v>
      </c>
      <c r="AH345" s="4">
        <f t="shared" si="295"/>
        <v>0.10795188737709993</v>
      </c>
      <c r="AI345" s="4">
        <f t="shared" si="295"/>
        <v>7.5176653938091809E-2</v>
      </c>
      <c r="AJ345" s="4">
        <f t="shared" si="296"/>
        <v>5.1742836177502194E-2</v>
      </c>
      <c r="AK345" s="4">
        <f t="shared" si="296"/>
        <v>3.5319190625345942E-2</v>
      </c>
      <c r="AL345" s="4">
        <f t="shared" si="296"/>
        <v>2.3969442072658165E-2</v>
      </c>
      <c r="AM345" s="4">
        <f t="shared" si="296"/>
        <v>1.6202243558389728E-2</v>
      </c>
      <c r="AN345" s="4">
        <f t="shared" si="296"/>
        <v>1.0922240564108399E-2</v>
      </c>
      <c r="AO345" s="4">
        <f t="shared" si="296"/>
        <v>7.3493212906090566E-3</v>
      </c>
      <c r="AP345" s="4">
        <f t="shared" si="296"/>
        <v>4.9390262185057265E-3</v>
      </c>
      <c r="AQ345" s="4">
        <f t="shared" si="296"/>
        <v>3.3164275492956197E-3</v>
      </c>
      <c r="AR345" s="4">
        <f t="shared" si="296"/>
        <v>2.2256362146679809E-3</v>
      </c>
    </row>
    <row r="346" spans="1:44" x14ac:dyDescent="0.25">
      <c r="A346" s="24" t="s">
        <v>70</v>
      </c>
      <c r="B346" s="43">
        <f>'Parameter Input'!B133</f>
        <v>30</v>
      </c>
      <c r="C346" s="44">
        <f>'Parameter Input'!C133</f>
        <v>30</v>
      </c>
      <c r="D346" s="1" t="s">
        <v>42</v>
      </c>
      <c r="L346" s="54">
        <f>'Parameter Input'!E133</f>
        <v>12</v>
      </c>
      <c r="M346" s="37">
        <v>0</v>
      </c>
      <c r="N346" s="37">
        <v>1</v>
      </c>
      <c r="O346" s="37">
        <f>'Parameter Input'!F133</f>
        <v>0.9</v>
      </c>
      <c r="P346" s="55">
        <f>'Parameter Input'!G133</f>
        <v>0.4</v>
      </c>
      <c r="Q346" s="4">
        <f t="shared" si="298"/>
        <v>0.9867978615748374</v>
      </c>
      <c r="R346" s="4">
        <f t="shared" si="298"/>
        <v>0.98114509762858249</v>
      </c>
      <c r="S346" s="4">
        <f t="shared" si="298"/>
        <v>0.97311898315872036</v>
      </c>
      <c r="T346" s="4">
        <f t="shared" si="298"/>
        <v>0.96177484161592774</v>
      </c>
      <c r="U346" s="4">
        <f t="shared" si="298"/>
        <v>0.94584787155511363</v>
      </c>
      <c r="V346" s="4">
        <f t="shared" si="298"/>
        <v>0.92370360150141495</v>
      </c>
      <c r="W346" s="4">
        <f t="shared" si="298"/>
        <v>0.89334463567658451</v>
      </c>
      <c r="X346" s="4">
        <f t="shared" si="298"/>
        <v>0.85254543874327005</v>
      </c>
      <c r="Y346" s="4">
        <f t="shared" si="298"/>
        <v>0.79921300652623883</v>
      </c>
      <c r="Z346" s="4">
        <f t="shared" si="298"/>
        <v>0.73204982249993378</v>
      </c>
      <c r="AA346" s="4">
        <f t="shared" si="298"/>
        <v>0.65145592958786691</v>
      </c>
      <c r="AB346" s="4">
        <f t="shared" si="298"/>
        <v>0.56032247880849573</v>
      </c>
      <c r="AC346" s="4">
        <f t="shared" si="298"/>
        <v>0.46411326873185343</v>
      </c>
      <c r="AD346" s="4">
        <f t="shared" si="298"/>
        <v>0.36979727595523937</v>
      </c>
      <c r="AE346" s="4">
        <f t="shared" si="298"/>
        <v>0.28393948637231203</v>
      </c>
      <c r="AF346" s="4">
        <f t="shared" si="298"/>
        <v>0.21097259161117732</v>
      </c>
      <c r="AG346" s="4">
        <f t="shared" si="295"/>
        <v>0.15253917653798199</v>
      </c>
      <c r="AH346" s="4">
        <f t="shared" si="295"/>
        <v>0.10795188737709993</v>
      </c>
      <c r="AI346" s="4">
        <f t="shared" si="295"/>
        <v>7.5176653938091809E-2</v>
      </c>
      <c r="AJ346" s="4">
        <f t="shared" si="296"/>
        <v>5.1742836177502194E-2</v>
      </c>
      <c r="AK346" s="4">
        <f t="shared" si="296"/>
        <v>3.5319190625345942E-2</v>
      </c>
      <c r="AL346" s="4">
        <f t="shared" si="296"/>
        <v>2.3969442072658165E-2</v>
      </c>
      <c r="AM346" s="4">
        <f t="shared" si="296"/>
        <v>1.6202243558389728E-2</v>
      </c>
      <c r="AN346" s="4">
        <f t="shared" si="296"/>
        <v>1.0922240564108399E-2</v>
      </c>
      <c r="AO346" s="4">
        <f t="shared" si="296"/>
        <v>7.3493212906090566E-3</v>
      </c>
      <c r="AP346" s="4">
        <f t="shared" si="296"/>
        <v>4.9390262185057265E-3</v>
      </c>
      <c r="AQ346" s="4">
        <f t="shared" si="296"/>
        <v>3.3164275492956197E-3</v>
      </c>
      <c r="AR346" s="4">
        <f t="shared" si="296"/>
        <v>2.2256362146679809E-3</v>
      </c>
    </row>
    <row r="347" spans="1:44" x14ac:dyDescent="0.25">
      <c r="A347" s="24" t="s">
        <v>207</v>
      </c>
      <c r="B347" s="70">
        <f>'Parameter Input'!B130</f>
        <v>2240</v>
      </c>
      <c r="C347" s="71">
        <f>'Parameter Input'!C130</f>
        <v>2240</v>
      </c>
      <c r="D347" s="1" t="s">
        <v>49</v>
      </c>
      <c r="L347" s="54">
        <f>'Parameter Input'!E130</f>
        <v>12</v>
      </c>
      <c r="M347" s="37">
        <v>0</v>
      </c>
      <c r="N347" s="37">
        <v>1</v>
      </c>
      <c r="O347" s="37">
        <f>'Parameter Input'!F130</f>
        <v>0.9</v>
      </c>
      <c r="P347" s="55">
        <f>'Parameter Input'!G130</f>
        <v>0.4</v>
      </c>
      <c r="Q347" s="4">
        <f t="shared" si="298"/>
        <v>0.9867978615748374</v>
      </c>
      <c r="R347" s="4">
        <f t="shared" si="298"/>
        <v>0.98114509762858249</v>
      </c>
      <c r="S347" s="4">
        <f t="shared" si="298"/>
        <v>0.97311898315872036</v>
      </c>
      <c r="T347" s="4">
        <f t="shared" si="298"/>
        <v>0.96177484161592774</v>
      </c>
      <c r="U347" s="4">
        <f t="shared" si="298"/>
        <v>0.94584787155511363</v>
      </c>
      <c r="V347" s="4">
        <f t="shared" si="298"/>
        <v>0.92370360150141495</v>
      </c>
      <c r="W347" s="4">
        <f t="shared" si="298"/>
        <v>0.89334463567658451</v>
      </c>
      <c r="X347" s="4">
        <f t="shared" si="298"/>
        <v>0.85254543874327005</v>
      </c>
      <c r="Y347" s="4">
        <f t="shared" si="298"/>
        <v>0.79921300652623883</v>
      </c>
      <c r="Z347" s="4">
        <f t="shared" si="298"/>
        <v>0.73204982249993378</v>
      </c>
      <c r="AA347" s="4">
        <f t="shared" si="298"/>
        <v>0.65145592958786691</v>
      </c>
      <c r="AB347" s="4">
        <f t="shared" si="298"/>
        <v>0.56032247880849573</v>
      </c>
      <c r="AC347" s="4">
        <f t="shared" si="298"/>
        <v>0.46411326873185343</v>
      </c>
      <c r="AD347" s="4">
        <f t="shared" si="298"/>
        <v>0.36979727595523937</v>
      </c>
      <c r="AE347" s="4">
        <f t="shared" si="298"/>
        <v>0.28393948637231203</v>
      </c>
      <c r="AF347" s="4">
        <f t="shared" si="298"/>
        <v>0.21097259161117732</v>
      </c>
      <c r="AG347" s="4">
        <f t="shared" si="295"/>
        <v>0.15253917653798199</v>
      </c>
      <c r="AH347" s="4">
        <f t="shared" si="295"/>
        <v>0.10795188737709993</v>
      </c>
      <c r="AI347" s="4">
        <f t="shared" si="295"/>
        <v>7.5176653938091809E-2</v>
      </c>
      <c r="AJ347" s="4">
        <f t="shared" si="296"/>
        <v>5.1742836177502194E-2</v>
      </c>
      <c r="AK347" s="4">
        <f t="shared" si="296"/>
        <v>3.5319190625345942E-2</v>
      </c>
      <c r="AL347" s="4">
        <f t="shared" si="296"/>
        <v>2.3969442072658165E-2</v>
      </c>
      <c r="AM347" s="4">
        <f t="shared" si="296"/>
        <v>1.6202243558389728E-2</v>
      </c>
      <c r="AN347" s="4">
        <f t="shared" si="296"/>
        <v>1.0922240564108399E-2</v>
      </c>
      <c r="AO347" s="4">
        <f t="shared" si="296"/>
        <v>7.3493212906090566E-3</v>
      </c>
      <c r="AP347" s="4">
        <f t="shared" si="296"/>
        <v>4.9390262185057265E-3</v>
      </c>
      <c r="AQ347" s="4">
        <f t="shared" si="296"/>
        <v>3.3164275492956197E-3</v>
      </c>
      <c r="AR347" s="4">
        <f t="shared" si="296"/>
        <v>2.2256362146679809E-3</v>
      </c>
    </row>
    <row r="348" spans="1:44" x14ac:dyDescent="0.25">
      <c r="A348" s="24" t="s">
        <v>56</v>
      </c>
      <c r="B348" s="72">
        <f>'Parameter Input'!B131</f>
        <v>0.72000000000000008</v>
      </c>
      <c r="C348" s="73">
        <f>'Parameter Input'!C131</f>
        <v>0.72000000000000008</v>
      </c>
      <c r="D348" s="1" t="s">
        <v>57</v>
      </c>
      <c r="L348" s="54">
        <f>'Parameter Input'!E131</f>
        <v>12</v>
      </c>
      <c r="M348" s="37">
        <v>0</v>
      </c>
      <c r="N348" s="37">
        <v>1</v>
      </c>
      <c r="O348" s="37">
        <f>'Parameter Input'!F131</f>
        <v>0.9</v>
      </c>
      <c r="P348" s="55">
        <f>'Parameter Input'!G131</f>
        <v>0.4</v>
      </c>
      <c r="Q348" s="4">
        <f t="shared" si="298"/>
        <v>0.9867978615748374</v>
      </c>
      <c r="R348" s="4">
        <f t="shared" si="298"/>
        <v>0.98114509762858249</v>
      </c>
      <c r="S348" s="4">
        <f t="shared" si="298"/>
        <v>0.97311898315872036</v>
      </c>
      <c r="T348" s="4">
        <f t="shared" si="298"/>
        <v>0.96177484161592774</v>
      </c>
      <c r="U348" s="4">
        <f t="shared" si="298"/>
        <v>0.94584787155511363</v>
      </c>
      <c r="V348" s="4">
        <f t="shared" si="298"/>
        <v>0.92370360150141495</v>
      </c>
      <c r="W348" s="4">
        <f t="shared" si="298"/>
        <v>0.89334463567658451</v>
      </c>
      <c r="X348" s="4">
        <f t="shared" si="298"/>
        <v>0.85254543874327005</v>
      </c>
      <c r="Y348" s="4">
        <f t="shared" si="298"/>
        <v>0.79921300652623883</v>
      </c>
      <c r="Z348" s="4">
        <f t="shared" si="298"/>
        <v>0.73204982249993378</v>
      </c>
      <c r="AA348" s="4">
        <f t="shared" si="298"/>
        <v>0.65145592958786691</v>
      </c>
      <c r="AB348" s="4">
        <f t="shared" si="298"/>
        <v>0.56032247880849573</v>
      </c>
      <c r="AC348" s="4">
        <f t="shared" si="298"/>
        <v>0.46411326873185343</v>
      </c>
      <c r="AD348" s="4">
        <f t="shared" si="298"/>
        <v>0.36979727595523937</v>
      </c>
      <c r="AE348" s="4">
        <f t="shared" si="298"/>
        <v>0.28393948637231203</v>
      </c>
      <c r="AF348" s="4">
        <f t="shared" si="298"/>
        <v>0.21097259161117732</v>
      </c>
      <c r="AG348" s="4">
        <f t="shared" si="295"/>
        <v>0.15253917653798199</v>
      </c>
      <c r="AH348" s="4">
        <f t="shared" si="295"/>
        <v>0.10795188737709993</v>
      </c>
      <c r="AI348" s="4">
        <f t="shared" si="295"/>
        <v>7.5176653938091809E-2</v>
      </c>
      <c r="AJ348" s="4">
        <f t="shared" si="296"/>
        <v>5.1742836177502194E-2</v>
      </c>
      <c r="AK348" s="4">
        <f t="shared" si="296"/>
        <v>3.5319190625345942E-2</v>
      </c>
      <c r="AL348" s="4">
        <f t="shared" si="296"/>
        <v>2.3969442072658165E-2</v>
      </c>
      <c r="AM348" s="4">
        <f t="shared" si="296"/>
        <v>1.6202243558389728E-2</v>
      </c>
      <c r="AN348" s="4">
        <f t="shared" si="296"/>
        <v>1.0922240564108399E-2</v>
      </c>
      <c r="AO348" s="4">
        <f t="shared" si="296"/>
        <v>7.3493212906090566E-3</v>
      </c>
      <c r="AP348" s="4">
        <f t="shared" si="296"/>
        <v>4.9390262185057265E-3</v>
      </c>
      <c r="AQ348" s="4">
        <f t="shared" si="296"/>
        <v>3.3164275492956197E-3</v>
      </c>
      <c r="AR348" s="4">
        <f t="shared" si="296"/>
        <v>2.2256362146679809E-3</v>
      </c>
    </row>
    <row r="349" spans="1:44" x14ac:dyDescent="0.25">
      <c r="A349" s="24" t="s">
        <v>73</v>
      </c>
      <c r="B349" s="72">
        <f>'Parameter Input'!$L$109</f>
        <v>0</v>
      </c>
      <c r="C349" s="73">
        <f>'Parameter Input'!$M$109</f>
        <v>0</v>
      </c>
      <c r="D349" s="1" t="s">
        <v>57</v>
      </c>
      <c r="L349" s="54">
        <f>'Parameter Input'!$O$109</f>
        <v>12</v>
      </c>
      <c r="M349" s="37">
        <v>0</v>
      </c>
      <c r="N349" s="37">
        <v>1</v>
      </c>
      <c r="O349" s="37">
        <f>'Parameter Input'!$P$109</f>
        <v>0.9</v>
      </c>
      <c r="P349" s="55">
        <f>'Parameter Input'!$Q$109</f>
        <v>0.4</v>
      </c>
      <c r="Q349" s="4">
        <f t="shared" si="298"/>
        <v>0.9867978615748374</v>
      </c>
      <c r="R349" s="4">
        <f t="shared" si="298"/>
        <v>0.98114509762858249</v>
      </c>
      <c r="S349" s="4">
        <f t="shared" si="298"/>
        <v>0.97311898315872036</v>
      </c>
      <c r="T349" s="4">
        <f t="shared" si="298"/>
        <v>0.96177484161592774</v>
      </c>
      <c r="U349" s="4">
        <f t="shared" si="298"/>
        <v>0.94584787155511363</v>
      </c>
      <c r="V349" s="4">
        <f t="shared" si="298"/>
        <v>0.92370360150141495</v>
      </c>
      <c r="W349" s="4">
        <f t="shared" si="298"/>
        <v>0.89334463567658451</v>
      </c>
      <c r="X349" s="4">
        <f t="shared" si="298"/>
        <v>0.85254543874327005</v>
      </c>
      <c r="Y349" s="4">
        <f t="shared" si="298"/>
        <v>0.79921300652623883</v>
      </c>
      <c r="Z349" s="4">
        <f t="shared" si="298"/>
        <v>0.73204982249993378</v>
      </c>
      <c r="AA349" s="4">
        <f t="shared" si="298"/>
        <v>0.65145592958786691</v>
      </c>
      <c r="AB349" s="4">
        <f t="shared" si="298"/>
        <v>0.56032247880849573</v>
      </c>
      <c r="AC349" s="4">
        <f t="shared" si="298"/>
        <v>0.46411326873185343</v>
      </c>
      <c r="AD349" s="4">
        <f t="shared" si="298"/>
        <v>0.36979727595523937</v>
      </c>
      <c r="AE349" s="4">
        <f t="shared" si="298"/>
        <v>0.28393948637231203</v>
      </c>
      <c r="AF349" s="4">
        <f t="shared" si="298"/>
        <v>0.21097259161117732</v>
      </c>
      <c r="AG349" s="4">
        <f t="shared" si="295"/>
        <v>0.15253917653798199</v>
      </c>
      <c r="AH349" s="4">
        <f t="shared" si="295"/>
        <v>0.10795188737709993</v>
      </c>
      <c r="AI349" s="4">
        <f t="shared" si="295"/>
        <v>7.5176653938091809E-2</v>
      </c>
      <c r="AJ349" s="4">
        <f t="shared" si="296"/>
        <v>5.1742836177502194E-2</v>
      </c>
      <c r="AK349" s="4">
        <f t="shared" si="296"/>
        <v>3.5319190625345942E-2</v>
      </c>
      <c r="AL349" s="4">
        <f t="shared" si="296"/>
        <v>2.3969442072658165E-2</v>
      </c>
      <c r="AM349" s="4">
        <f t="shared" si="296"/>
        <v>1.6202243558389728E-2</v>
      </c>
      <c r="AN349" s="4">
        <f t="shared" si="296"/>
        <v>1.0922240564108399E-2</v>
      </c>
      <c r="AO349" s="4">
        <f t="shared" si="296"/>
        <v>7.3493212906090566E-3</v>
      </c>
      <c r="AP349" s="4">
        <f t="shared" si="296"/>
        <v>4.9390262185057265E-3</v>
      </c>
      <c r="AQ349" s="4">
        <f t="shared" si="296"/>
        <v>3.3164275492956197E-3</v>
      </c>
      <c r="AR349" s="4">
        <f t="shared" si="296"/>
        <v>2.2256362146679809E-3</v>
      </c>
    </row>
    <row r="350" spans="1:44" ht="15.75" thickBot="1" x14ac:dyDescent="0.3">
      <c r="A350" s="24" t="s">
        <v>64</v>
      </c>
      <c r="B350" s="74">
        <f>'Parameter Input'!B132</f>
        <v>178500</v>
      </c>
      <c r="C350" s="75">
        <f>'Parameter Input'!C132</f>
        <v>178500</v>
      </c>
      <c r="D350" s="1" t="s">
        <v>65</v>
      </c>
      <c r="L350" s="56">
        <f>'Parameter Input'!E132</f>
        <v>12</v>
      </c>
      <c r="M350" s="57">
        <v>0</v>
      </c>
      <c r="N350" s="57">
        <v>1</v>
      </c>
      <c r="O350" s="57">
        <f>'Parameter Input'!F132</f>
        <v>0.9</v>
      </c>
      <c r="P350" s="58">
        <f>'Parameter Input'!G132</f>
        <v>0.4</v>
      </c>
      <c r="Q350" s="4">
        <f t="shared" si="298"/>
        <v>0.9867978615748374</v>
      </c>
      <c r="R350" s="4">
        <f t="shared" si="298"/>
        <v>0.98114509762858249</v>
      </c>
      <c r="S350" s="4">
        <f t="shared" si="298"/>
        <v>0.97311898315872036</v>
      </c>
      <c r="T350" s="4">
        <f t="shared" si="298"/>
        <v>0.96177484161592774</v>
      </c>
      <c r="U350" s="4">
        <f t="shared" si="298"/>
        <v>0.94584787155511363</v>
      </c>
      <c r="V350" s="4">
        <f t="shared" si="298"/>
        <v>0.92370360150141495</v>
      </c>
      <c r="W350" s="4">
        <f t="shared" si="298"/>
        <v>0.89334463567658451</v>
      </c>
      <c r="X350" s="4">
        <f t="shared" si="298"/>
        <v>0.85254543874327005</v>
      </c>
      <c r="Y350" s="4">
        <f t="shared" si="298"/>
        <v>0.79921300652623883</v>
      </c>
      <c r="Z350" s="4">
        <f t="shared" si="298"/>
        <v>0.73204982249993378</v>
      </c>
      <c r="AA350" s="4">
        <f t="shared" si="298"/>
        <v>0.65145592958786691</v>
      </c>
      <c r="AB350" s="4">
        <f t="shared" si="298"/>
        <v>0.56032247880849573</v>
      </c>
      <c r="AC350" s="4">
        <f t="shared" si="298"/>
        <v>0.46411326873185343</v>
      </c>
      <c r="AD350" s="4">
        <f t="shared" si="298"/>
        <v>0.36979727595523937</v>
      </c>
      <c r="AE350" s="4">
        <f t="shared" si="298"/>
        <v>0.28393948637231203</v>
      </c>
      <c r="AF350" s="4">
        <f t="shared" si="298"/>
        <v>0.21097259161117732</v>
      </c>
      <c r="AG350" s="4">
        <f t="shared" si="295"/>
        <v>0.15253917653798199</v>
      </c>
      <c r="AH350" s="4">
        <f t="shared" si="295"/>
        <v>0.10795188737709993</v>
      </c>
      <c r="AI350" s="4">
        <f t="shared" si="295"/>
        <v>7.5176653938091809E-2</v>
      </c>
      <c r="AJ350" s="4">
        <f t="shared" si="296"/>
        <v>5.1742836177502194E-2</v>
      </c>
      <c r="AK350" s="4">
        <f t="shared" si="296"/>
        <v>3.5319190625345942E-2</v>
      </c>
      <c r="AL350" s="4">
        <f t="shared" si="296"/>
        <v>2.3969442072658165E-2</v>
      </c>
      <c r="AM350" s="4">
        <f t="shared" si="296"/>
        <v>1.6202243558389728E-2</v>
      </c>
      <c r="AN350" s="4">
        <f t="shared" si="296"/>
        <v>1.0922240564108399E-2</v>
      </c>
      <c r="AO350" s="4">
        <f t="shared" si="296"/>
        <v>7.3493212906090566E-3</v>
      </c>
      <c r="AP350" s="4">
        <f t="shared" si="296"/>
        <v>4.9390262185057265E-3</v>
      </c>
      <c r="AQ350" s="4">
        <f t="shared" si="296"/>
        <v>3.3164275492956197E-3</v>
      </c>
      <c r="AR350" s="4">
        <f t="shared" si="296"/>
        <v>2.2256362146679809E-3</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99">A334</f>
        <v>Capex vehicle</v>
      </c>
      <c r="B354" s="62">
        <f t="shared" ref="B354:B363" si="300">$B334+($C334-$B334)*(1-Q334)</f>
        <v>5000000</v>
      </c>
      <c r="C354" s="62">
        <f t="shared" ref="C354:C363" si="301">$B334+($C334-$B334)*(1-R334)</f>
        <v>5000000</v>
      </c>
      <c r="D354" s="62">
        <f t="shared" ref="D354:D363" si="302">$B334+($C334-$B334)*(1-S334)</f>
        <v>5000000</v>
      </c>
      <c r="E354" s="62">
        <f t="shared" ref="E354:E363" si="303">$B334+($C334-$B334)*(1-T334)</f>
        <v>5000000</v>
      </c>
      <c r="F354" s="62">
        <f t="shared" ref="F354:F363" si="304">$B334+($C334-$B334)*(1-U334)</f>
        <v>5000000</v>
      </c>
      <c r="G354" s="62">
        <f t="shared" ref="G354:G363" si="305">$B334+($C334-$B334)*(1-V334)</f>
        <v>5000000</v>
      </c>
      <c r="H354" s="62">
        <f t="shared" ref="H354:H363" si="306">$B334+($C334-$B334)*(1-W334)</f>
        <v>5000000</v>
      </c>
      <c r="I354" s="62">
        <f t="shared" ref="I354:I363" si="307">$B334+($C334-$B334)*(1-X334)</f>
        <v>5000000</v>
      </c>
      <c r="J354" s="62">
        <f t="shared" ref="J354:J363" si="308">$B334+($C334-$B334)*(1-Y334)</f>
        <v>5000000</v>
      </c>
      <c r="K354" s="62">
        <f t="shared" ref="K354:K363" si="309">$B334+($C334-$B334)*(1-Z334)</f>
        <v>5000000</v>
      </c>
      <c r="L354" s="62">
        <f t="shared" ref="L354:L363" si="310">$B334+($C334-$B334)*(1-AA334)</f>
        <v>5000000</v>
      </c>
      <c r="M354" s="62">
        <f t="shared" ref="M354:M363" si="311">$B334+($C334-$B334)*(1-AB334)</f>
        <v>5000000</v>
      </c>
      <c r="N354" s="62">
        <f t="shared" ref="N354:N363" si="312">$B334+($C334-$B334)*(1-AC334)</f>
        <v>5000000</v>
      </c>
      <c r="O354" s="62">
        <f t="shared" ref="O354:O363" si="313">$B334+($C334-$B334)*(1-AD334)</f>
        <v>5000000</v>
      </c>
      <c r="P354" s="62">
        <f t="shared" ref="P354:P363" si="314">$B334+($C334-$B334)*(1-AE334)</f>
        <v>5000000</v>
      </c>
      <c r="Q354" s="62">
        <f t="shared" ref="Q354:Q363" si="315">$B334+($C334-$B334)*(1-AF334)</f>
        <v>5000000</v>
      </c>
      <c r="R354" s="62">
        <f t="shared" ref="R354:R363" si="316">$B334+($C334-$B334)*(1-AG334)</f>
        <v>5000000</v>
      </c>
      <c r="S354" s="62">
        <f t="shared" ref="S354:S363" si="317">$B334+($C334-$B334)*(1-AH334)</f>
        <v>5000000</v>
      </c>
      <c r="T354" s="62">
        <f t="shared" ref="T354:T363" si="318">$B334+($C334-$B334)*(1-AI334)</f>
        <v>5000000</v>
      </c>
      <c r="U354" s="62">
        <f t="shared" ref="U354:U363" si="319">$B334+($C334-$B334)*(1-AJ334)</f>
        <v>5000000</v>
      </c>
      <c r="V354" s="62">
        <f t="shared" ref="V354:V363" si="320">$B334+($C334-$B334)*(1-AK334)</f>
        <v>5000000</v>
      </c>
      <c r="W354" s="62">
        <f t="shared" ref="W354:W363" si="321">$B334+($C334-$B334)*(1-AL334)</f>
        <v>5000000</v>
      </c>
      <c r="X354" s="62">
        <f t="shared" ref="X354:X363" si="322">$B334+($C334-$B334)*(1-AM334)</f>
        <v>5000000</v>
      </c>
      <c r="Y354" s="62">
        <f t="shared" ref="Y354:Y363" si="323">$B334+($C334-$B334)*(1-AN334)</f>
        <v>5000000</v>
      </c>
      <c r="Z354" s="62">
        <f t="shared" ref="Z354:Z363" si="324">$B334+($C334-$B334)*(1-AO334)</f>
        <v>5000000</v>
      </c>
      <c r="AA354" s="62">
        <f t="shared" ref="AA354:AA363" si="325">$B334+($C334-$B334)*(1-AP334)</f>
        <v>5000000</v>
      </c>
      <c r="AB354" s="62">
        <f t="shared" ref="AB354:AB363" si="326">$B334+($C334-$B334)*(1-AQ334)</f>
        <v>5000000</v>
      </c>
      <c r="AC354" s="62">
        <f t="shared" ref="AC354:AC363" si="327">$B334+($C334-$B334)*(1-AR334)</f>
        <v>5000000</v>
      </c>
    </row>
    <row r="355" spans="1:29" x14ac:dyDescent="0.25">
      <c r="A355" s="30" t="str">
        <f t="shared" si="299"/>
        <v>Residual value (vehicle)</v>
      </c>
      <c r="B355" s="62">
        <f t="shared" si="300"/>
        <v>-750000</v>
      </c>
      <c r="C355" s="62">
        <f t="shared" si="301"/>
        <v>-750000</v>
      </c>
      <c r="D355" s="62">
        <f t="shared" si="302"/>
        <v>-750000</v>
      </c>
      <c r="E355" s="62">
        <f t="shared" si="303"/>
        <v>-750000</v>
      </c>
      <c r="F355" s="62">
        <f t="shared" si="304"/>
        <v>-750000</v>
      </c>
      <c r="G355" s="62">
        <f t="shared" si="305"/>
        <v>-750000</v>
      </c>
      <c r="H355" s="62">
        <f t="shared" si="306"/>
        <v>-750000</v>
      </c>
      <c r="I355" s="62">
        <f t="shared" si="307"/>
        <v>-750000</v>
      </c>
      <c r="J355" s="62">
        <f t="shared" si="308"/>
        <v>-750000</v>
      </c>
      <c r="K355" s="62">
        <f t="shared" si="309"/>
        <v>-750000</v>
      </c>
      <c r="L355" s="62">
        <f t="shared" si="310"/>
        <v>-750000</v>
      </c>
      <c r="M355" s="62">
        <f t="shared" si="311"/>
        <v>-750000</v>
      </c>
      <c r="N355" s="62">
        <f t="shared" si="312"/>
        <v>-750000</v>
      </c>
      <c r="O355" s="62">
        <f t="shared" si="313"/>
        <v>-750000</v>
      </c>
      <c r="P355" s="62">
        <f t="shared" si="314"/>
        <v>-750000</v>
      </c>
      <c r="Q355" s="62">
        <f t="shared" si="315"/>
        <v>-750000</v>
      </c>
      <c r="R355" s="62">
        <f t="shared" si="316"/>
        <v>-750000</v>
      </c>
      <c r="S355" s="62">
        <f t="shared" si="317"/>
        <v>-750000</v>
      </c>
      <c r="T355" s="62">
        <f t="shared" si="318"/>
        <v>-750000</v>
      </c>
      <c r="U355" s="62">
        <f t="shared" si="319"/>
        <v>-750000</v>
      </c>
      <c r="V355" s="62">
        <f t="shared" si="320"/>
        <v>-750000</v>
      </c>
      <c r="W355" s="62">
        <f t="shared" si="321"/>
        <v>-750000</v>
      </c>
      <c r="X355" s="62">
        <f t="shared" si="322"/>
        <v>-750000</v>
      </c>
      <c r="Y355" s="62">
        <f t="shared" si="323"/>
        <v>-750000</v>
      </c>
      <c r="Z355" s="62">
        <f t="shared" si="324"/>
        <v>-750000</v>
      </c>
      <c r="AA355" s="62">
        <f t="shared" si="325"/>
        <v>-750000</v>
      </c>
      <c r="AB355" s="62">
        <f t="shared" si="326"/>
        <v>-750000</v>
      </c>
      <c r="AC355" s="62">
        <f t="shared" si="327"/>
        <v>-750000</v>
      </c>
    </row>
    <row r="356" spans="1:29" x14ac:dyDescent="0.25">
      <c r="A356" s="30" t="str">
        <f t="shared" si="299"/>
        <v>Capex costumization</v>
      </c>
      <c r="B356" s="62">
        <f t="shared" si="300"/>
        <v>4200000</v>
      </c>
      <c r="C356" s="62">
        <f t="shared" si="301"/>
        <v>4200000</v>
      </c>
      <c r="D356" s="62">
        <f t="shared" si="302"/>
        <v>4200000</v>
      </c>
      <c r="E356" s="62">
        <f t="shared" si="303"/>
        <v>4200000</v>
      </c>
      <c r="F356" s="62">
        <f t="shared" si="304"/>
        <v>4200000</v>
      </c>
      <c r="G356" s="62">
        <f t="shared" si="305"/>
        <v>4200000</v>
      </c>
      <c r="H356" s="62">
        <f t="shared" si="306"/>
        <v>4200000</v>
      </c>
      <c r="I356" s="62">
        <f t="shared" si="307"/>
        <v>4200000</v>
      </c>
      <c r="J356" s="62">
        <f t="shared" si="308"/>
        <v>4200000</v>
      </c>
      <c r="K356" s="62">
        <f t="shared" si="309"/>
        <v>4200000</v>
      </c>
      <c r="L356" s="62">
        <f t="shared" si="310"/>
        <v>4200000</v>
      </c>
      <c r="M356" s="62">
        <f t="shared" si="311"/>
        <v>4200000</v>
      </c>
      <c r="N356" s="62">
        <f t="shared" si="312"/>
        <v>4200000</v>
      </c>
      <c r="O356" s="62">
        <f t="shared" si="313"/>
        <v>4200000</v>
      </c>
      <c r="P356" s="62">
        <f t="shared" si="314"/>
        <v>4200000</v>
      </c>
      <c r="Q356" s="62">
        <f t="shared" si="315"/>
        <v>4200000</v>
      </c>
      <c r="R356" s="62">
        <f t="shared" si="316"/>
        <v>4200000</v>
      </c>
      <c r="S356" s="62">
        <f t="shared" si="317"/>
        <v>4200000</v>
      </c>
      <c r="T356" s="62">
        <f t="shared" si="318"/>
        <v>4200000</v>
      </c>
      <c r="U356" s="62">
        <f t="shared" si="319"/>
        <v>4200000</v>
      </c>
      <c r="V356" s="62">
        <f t="shared" si="320"/>
        <v>4200000</v>
      </c>
      <c r="W356" s="62">
        <f t="shared" si="321"/>
        <v>4200000</v>
      </c>
      <c r="X356" s="62">
        <f t="shared" si="322"/>
        <v>4200000</v>
      </c>
      <c r="Y356" s="62">
        <f t="shared" si="323"/>
        <v>4200000</v>
      </c>
      <c r="Z356" s="62">
        <f t="shared" si="324"/>
        <v>4200000</v>
      </c>
      <c r="AA356" s="62">
        <f t="shared" si="325"/>
        <v>4200000</v>
      </c>
      <c r="AB356" s="62">
        <f t="shared" si="326"/>
        <v>4200000</v>
      </c>
      <c r="AC356" s="62">
        <f t="shared" si="327"/>
        <v>4200000</v>
      </c>
    </row>
    <row r="357" spans="1:29" x14ac:dyDescent="0.25">
      <c r="A357" s="30" t="str">
        <f t="shared" si="299"/>
        <v>Residual value (costumization)</v>
      </c>
      <c r="B357" s="62">
        <f t="shared" si="300"/>
        <v>-210000</v>
      </c>
      <c r="C357" s="62">
        <f t="shared" si="301"/>
        <v>-210000</v>
      </c>
      <c r="D357" s="62">
        <f t="shared" si="302"/>
        <v>-210000</v>
      </c>
      <c r="E357" s="62">
        <f t="shared" si="303"/>
        <v>-210000</v>
      </c>
      <c r="F357" s="62">
        <f t="shared" si="304"/>
        <v>-210000</v>
      </c>
      <c r="G357" s="62">
        <f t="shared" si="305"/>
        <v>-210000</v>
      </c>
      <c r="H357" s="62">
        <f t="shared" si="306"/>
        <v>-210000</v>
      </c>
      <c r="I357" s="62">
        <f t="shared" si="307"/>
        <v>-210000</v>
      </c>
      <c r="J357" s="62">
        <f t="shared" si="308"/>
        <v>-210000</v>
      </c>
      <c r="K357" s="62">
        <f t="shared" si="309"/>
        <v>-210000</v>
      </c>
      <c r="L357" s="62">
        <f t="shared" si="310"/>
        <v>-210000</v>
      </c>
      <c r="M357" s="62">
        <f t="shared" si="311"/>
        <v>-210000</v>
      </c>
      <c r="N357" s="62">
        <f t="shared" si="312"/>
        <v>-210000</v>
      </c>
      <c r="O357" s="62">
        <f t="shared" si="313"/>
        <v>-210000</v>
      </c>
      <c r="P357" s="62">
        <f t="shared" si="314"/>
        <v>-210000</v>
      </c>
      <c r="Q357" s="62">
        <f t="shared" si="315"/>
        <v>-210000</v>
      </c>
      <c r="R357" s="62">
        <f t="shared" si="316"/>
        <v>-210000</v>
      </c>
      <c r="S357" s="62">
        <f t="shared" si="317"/>
        <v>-210000</v>
      </c>
      <c r="T357" s="62">
        <f t="shared" si="318"/>
        <v>-210000</v>
      </c>
      <c r="U357" s="62">
        <f t="shared" si="319"/>
        <v>-210000</v>
      </c>
      <c r="V357" s="62">
        <f t="shared" si="320"/>
        <v>-210000</v>
      </c>
      <c r="W357" s="62">
        <f t="shared" si="321"/>
        <v>-210000</v>
      </c>
      <c r="X357" s="62">
        <f t="shared" si="322"/>
        <v>-210000</v>
      </c>
      <c r="Y357" s="62">
        <f t="shared" si="323"/>
        <v>-210000</v>
      </c>
      <c r="Z357" s="62">
        <f t="shared" si="324"/>
        <v>-210000</v>
      </c>
      <c r="AA357" s="62">
        <f t="shared" si="325"/>
        <v>-210000</v>
      </c>
      <c r="AB357" s="62">
        <f t="shared" si="326"/>
        <v>-210000</v>
      </c>
      <c r="AC357" s="62">
        <f t="shared" si="327"/>
        <v>-210000</v>
      </c>
    </row>
    <row r="358" spans="1:29" x14ac:dyDescent="0.25">
      <c r="A358" s="30" t="str">
        <f t="shared" si="299"/>
        <v>WACC</v>
      </c>
      <c r="B358" s="62">
        <f t="shared" si="300"/>
        <v>0.06</v>
      </c>
      <c r="C358" s="62">
        <f t="shared" si="301"/>
        <v>0.06</v>
      </c>
      <c r="D358" s="62">
        <f t="shared" si="302"/>
        <v>0.06</v>
      </c>
      <c r="E358" s="62">
        <f t="shared" si="303"/>
        <v>0.06</v>
      </c>
      <c r="F358" s="62">
        <f t="shared" si="304"/>
        <v>0.06</v>
      </c>
      <c r="G358" s="62">
        <f t="shared" si="305"/>
        <v>0.06</v>
      </c>
      <c r="H358" s="62">
        <f t="shared" si="306"/>
        <v>0.06</v>
      </c>
      <c r="I358" s="62">
        <f t="shared" si="307"/>
        <v>0.06</v>
      </c>
      <c r="J358" s="62">
        <f t="shared" si="308"/>
        <v>0.06</v>
      </c>
      <c r="K358" s="62">
        <f t="shared" si="309"/>
        <v>0.06</v>
      </c>
      <c r="L358" s="62">
        <f t="shared" si="310"/>
        <v>0.06</v>
      </c>
      <c r="M358" s="62">
        <f t="shared" si="311"/>
        <v>0.06</v>
      </c>
      <c r="N358" s="62">
        <f t="shared" si="312"/>
        <v>0.06</v>
      </c>
      <c r="O358" s="62">
        <f t="shared" si="313"/>
        <v>0.06</v>
      </c>
      <c r="P358" s="62">
        <f t="shared" si="314"/>
        <v>0.06</v>
      </c>
      <c r="Q358" s="62">
        <f t="shared" si="315"/>
        <v>0.06</v>
      </c>
      <c r="R358" s="62">
        <f t="shared" si="316"/>
        <v>0.06</v>
      </c>
      <c r="S358" s="62">
        <f t="shared" si="317"/>
        <v>0.06</v>
      </c>
      <c r="T358" s="62">
        <f t="shared" si="318"/>
        <v>0.06</v>
      </c>
      <c r="U358" s="62">
        <f t="shared" si="319"/>
        <v>0.06</v>
      </c>
      <c r="V358" s="62">
        <f t="shared" si="320"/>
        <v>0.06</v>
      </c>
      <c r="W358" s="62">
        <f t="shared" si="321"/>
        <v>0.06</v>
      </c>
      <c r="X358" s="62">
        <f t="shared" si="322"/>
        <v>0.06</v>
      </c>
      <c r="Y358" s="62">
        <f t="shared" si="323"/>
        <v>0.06</v>
      </c>
      <c r="Z358" s="62">
        <f t="shared" si="324"/>
        <v>0.06</v>
      </c>
      <c r="AA358" s="62">
        <f t="shared" si="325"/>
        <v>0.06</v>
      </c>
      <c r="AB358" s="62">
        <f t="shared" si="326"/>
        <v>0.06</v>
      </c>
      <c r="AC358" s="62">
        <f t="shared" si="327"/>
        <v>0.06</v>
      </c>
    </row>
    <row r="359" spans="1:29" x14ac:dyDescent="0.25">
      <c r="A359" s="30" t="str">
        <f t="shared" si="299"/>
        <v>Opex fix (admin, crew, insurance)</v>
      </c>
      <c r="B359" s="62">
        <f t="shared" si="300"/>
        <v>1450000</v>
      </c>
      <c r="C359" s="62">
        <f t="shared" si="301"/>
        <v>1450000</v>
      </c>
      <c r="D359" s="62">
        <f t="shared" si="302"/>
        <v>1450000</v>
      </c>
      <c r="E359" s="62">
        <f t="shared" si="303"/>
        <v>1450000</v>
      </c>
      <c r="F359" s="62">
        <f t="shared" si="304"/>
        <v>1450000</v>
      </c>
      <c r="G359" s="62">
        <f t="shared" si="305"/>
        <v>1450000</v>
      </c>
      <c r="H359" s="62">
        <f t="shared" si="306"/>
        <v>1450000</v>
      </c>
      <c r="I359" s="62">
        <f t="shared" si="307"/>
        <v>1450000</v>
      </c>
      <c r="J359" s="62">
        <f t="shared" si="308"/>
        <v>1450000</v>
      </c>
      <c r="K359" s="62">
        <f t="shared" si="309"/>
        <v>1450000</v>
      </c>
      <c r="L359" s="62">
        <f t="shared" si="310"/>
        <v>1450000</v>
      </c>
      <c r="M359" s="62">
        <f t="shared" si="311"/>
        <v>1450000</v>
      </c>
      <c r="N359" s="62">
        <f t="shared" si="312"/>
        <v>1450000</v>
      </c>
      <c r="O359" s="62">
        <f t="shared" si="313"/>
        <v>1450000</v>
      </c>
      <c r="P359" s="62">
        <f t="shared" si="314"/>
        <v>1450000</v>
      </c>
      <c r="Q359" s="62">
        <f t="shared" si="315"/>
        <v>1450000</v>
      </c>
      <c r="R359" s="62">
        <f t="shared" si="316"/>
        <v>1450000</v>
      </c>
      <c r="S359" s="62">
        <f t="shared" si="317"/>
        <v>1450000</v>
      </c>
      <c r="T359" s="62">
        <f t="shared" si="318"/>
        <v>1450000</v>
      </c>
      <c r="U359" s="62">
        <f t="shared" si="319"/>
        <v>1450000</v>
      </c>
      <c r="V359" s="62">
        <f t="shared" si="320"/>
        <v>1450000</v>
      </c>
      <c r="W359" s="62">
        <f t="shared" si="321"/>
        <v>1450000</v>
      </c>
      <c r="X359" s="62">
        <f t="shared" si="322"/>
        <v>1450000</v>
      </c>
      <c r="Y359" s="62">
        <f t="shared" si="323"/>
        <v>1450000</v>
      </c>
      <c r="Z359" s="62">
        <f t="shared" si="324"/>
        <v>1450000</v>
      </c>
      <c r="AA359" s="62">
        <f t="shared" si="325"/>
        <v>1450000</v>
      </c>
      <c r="AB359" s="62">
        <f t="shared" si="326"/>
        <v>1450000</v>
      </c>
      <c r="AC359" s="62">
        <f t="shared" si="327"/>
        <v>1450000</v>
      </c>
    </row>
    <row r="360" spans="1:29" x14ac:dyDescent="0.25">
      <c r="A360" s="30" t="str">
        <f t="shared" si="299"/>
        <v>Opex maintenance &amp; repair</v>
      </c>
      <c r="B360" s="62">
        <f t="shared" si="300"/>
        <v>650000</v>
      </c>
      <c r="C360" s="62">
        <f t="shared" si="301"/>
        <v>650000</v>
      </c>
      <c r="D360" s="62">
        <f t="shared" si="302"/>
        <v>650000</v>
      </c>
      <c r="E360" s="62">
        <f t="shared" si="303"/>
        <v>650000</v>
      </c>
      <c r="F360" s="62">
        <f t="shared" si="304"/>
        <v>650000</v>
      </c>
      <c r="G360" s="62">
        <f t="shared" si="305"/>
        <v>650000</v>
      </c>
      <c r="H360" s="62">
        <f t="shared" si="306"/>
        <v>650000</v>
      </c>
      <c r="I360" s="62">
        <f t="shared" si="307"/>
        <v>650000</v>
      </c>
      <c r="J360" s="62">
        <f t="shared" si="308"/>
        <v>650000</v>
      </c>
      <c r="K360" s="62">
        <f t="shared" si="309"/>
        <v>650000</v>
      </c>
      <c r="L360" s="62">
        <f t="shared" si="310"/>
        <v>650000</v>
      </c>
      <c r="M360" s="62">
        <f t="shared" si="311"/>
        <v>650000</v>
      </c>
      <c r="N360" s="62">
        <f t="shared" si="312"/>
        <v>650000</v>
      </c>
      <c r="O360" s="62">
        <f t="shared" si="313"/>
        <v>650000</v>
      </c>
      <c r="P360" s="62">
        <f t="shared" si="314"/>
        <v>650000</v>
      </c>
      <c r="Q360" s="62">
        <f t="shared" si="315"/>
        <v>650000</v>
      </c>
      <c r="R360" s="62">
        <f t="shared" si="316"/>
        <v>650000</v>
      </c>
      <c r="S360" s="62">
        <f t="shared" si="317"/>
        <v>650000</v>
      </c>
      <c r="T360" s="62">
        <f t="shared" si="318"/>
        <v>650000</v>
      </c>
      <c r="U360" s="62">
        <f t="shared" si="319"/>
        <v>650000</v>
      </c>
      <c r="V360" s="62">
        <f t="shared" si="320"/>
        <v>650000</v>
      </c>
      <c r="W360" s="62">
        <f t="shared" si="321"/>
        <v>650000</v>
      </c>
      <c r="X360" s="62">
        <f t="shared" si="322"/>
        <v>650000</v>
      </c>
      <c r="Y360" s="62">
        <f t="shared" si="323"/>
        <v>650000</v>
      </c>
      <c r="Z360" s="62">
        <f t="shared" si="324"/>
        <v>650000</v>
      </c>
      <c r="AA360" s="62">
        <f t="shared" si="325"/>
        <v>650000</v>
      </c>
      <c r="AB360" s="62">
        <f t="shared" si="326"/>
        <v>650000</v>
      </c>
      <c r="AC360" s="62">
        <f t="shared" si="327"/>
        <v>650000</v>
      </c>
    </row>
    <row r="361" spans="1:29" x14ac:dyDescent="0.25">
      <c r="A361" s="30" t="str">
        <f t="shared" si="299"/>
        <v>Opex var (mode-fees, shunting)</v>
      </c>
      <c r="B361" s="62">
        <f t="shared" si="300"/>
        <v>8.9635854341736696</v>
      </c>
      <c r="C361" s="62">
        <f t="shared" si="301"/>
        <v>8.9635854341736696</v>
      </c>
      <c r="D361" s="62">
        <f t="shared" si="302"/>
        <v>8.9635854341736696</v>
      </c>
      <c r="E361" s="62">
        <f t="shared" si="303"/>
        <v>8.9635854341736696</v>
      </c>
      <c r="F361" s="62">
        <f t="shared" si="304"/>
        <v>8.9635854341736696</v>
      </c>
      <c r="G361" s="62">
        <f t="shared" si="305"/>
        <v>8.9635854341736696</v>
      </c>
      <c r="H361" s="62">
        <f t="shared" si="306"/>
        <v>8.9635854341736696</v>
      </c>
      <c r="I361" s="62">
        <f t="shared" si="307"/>
        <v>8.9635854341736696</v>
      </c>
      <c r="J361" s="62">
        <f t="shared" si="308"/>
        <v>8.9635854341736696</v>
      </c>
      <c r="K361" s="62">
        <f t="shared" si="309"/>
        <v>8.9635854341736696</v>
      </c>
      <c r="L361" s="62">
        <f t="shared" si="310"/>
        <v>8.9635854341736696</v>
      </c>
      <c r="M361" s="62">
        <f t="shared" si="311"/>
        <v>8.9635854341736696</v>
      </c>
      <c r="N361" s="62">
        <f t="shared" si="312"/>
        <v>8.9635854341736696</v>
      </c>
      <c r="O361" s="62">
        <f t="shared" si="313"/>
        <v>8.9635854341736696</v>
      </c>
      <c r="P361" s="62">
        <f t="shared" si="314"/>
        <v>8.9635854341736696</v>
      </c>
      <c r="Q361" s="62">
        <f t="shared" si="315"/>
        <v>8.9635854341736696</v>
      </c>
      <c r="R361" s="62">
        <f t="shared" si="316"/>
        <v>8.9635854341736696</v>
      </c>
      <c r="S361" s="62">
        <f t="shared" si="317"/>
        <v>8.9635854341736696</v>
      </c>
      <c r="T361" s="62">
        <f t="shared" si="318"/>
        <v>8.9635854341736696</v>
      </c>
      <c r="U361" s="62">
        <f t="shared" si="319"/>
        <v>8.9635854341736696</v>
      </c>
      <c r="V361" s="62">
        <f t="shared" si="320"/>
        <v>8.9635854341736696</v>
      </c>
      <c r="W361" s="62">
        <f t="shared" si="321"/>
        <v>8.9635854341736696</v>
      </c>
      <c r="X361" s="62">
        <f t="shared" si="322"/>
        <v>8.9635854341736696</v>
      </c>
      <c r="Y361" s="62">
        <f t="shared" si="323"/>
        <v>8.9635854341736696</v>
      </c>
      <c r="Z361" s="62">
        <f t="shared" si="324"/>
        <v>8.9635854341736696</v>
      </c>
      <c r="AA361" s="62">
        <f t="shared" si="325"/>
        <v>8.9635854341736696</v>
      </c>
      <c r="AB361" s="62">
        <f t="shared" si="326"/>
        <v>8.9635854341736696</v>
      </c>
      <c r="AC361" s="62">
        <f t="shared" si="327"/>
        <v>8.9635854341736696</v>
      </c>
    </row>
    <row r="362" spans="1:29" x14ac:dyDescent="0.25">
      <c r="A362" s="30" t="str">
        <f t="shared" si="299"/>
        <v>Fuel Economy</v>
      </c>
      <c r="B362" s="62">
        <f t="shared" si="300"/>
        <v>31.614305882352937</v>
      </c>
      <c r="C362" s="62">
        <f t="shared" si="301"/>
        <v>31.614305882352937</v>
      </c>
      <c r="D362" s="62">
        <f t="shared" si="302"/>
        <v>31.614305882352937</v>
      </c>
      <c r="E362" s="62">
        <f t="shared" si="303"/>
        <v>31.614305882352937</v>
      </c>
      <c r="F362" s="62">
        <f t="shared" si="304"/>
        <v>31.614305882352937</v>
      </c>
      <c r="G362" s="62">
        <f t="shared" si="305"/>
        <v>31.614305882352937</v>
      </c>
      <c r="H362" s="62">
        <f t="shared" si="306"/>
        <v>31.614305882352937</v>
      </c>
      <c r="I362" s="62">
        <f t="shared" si="307"/>
        <v>31.614305882352937</v>
      </c>
      <c r="J362" s="62">
        <f t="shared" si="308"/>
        <v>31.614305882352937</v>
      </c>
      <c r="K362" s="62">
        <f t="shared" si="309"/>
        <v>31.614305882352937</v>
      </c>
      <c r="L362" s="62">
        <f t="shared" si="310"/>
        <v>31.614305882352937</v>
      </c>
      <c r="M362" s="62">
        <f t="shared" si="311"/>
        <v>31.614305882352937</v>
      </c>
      <c r="N362" s="62">
        <f t="shared" si="312"/>
        <v>31.614305882352937</v>
      </c>
      <c r="O362" s="62">
        <f t="shared" si="313"/>
        <v>31.614305882352937</v>
      </c>
      <c r="P362" s="62">
        <f t="shared" si="314"/>
        <v>31.614305882352937</v>
      </c>
      <c r="Q362" s="62">
        <f t="shared" si="315"/>
        <v>31.614305882352937</v>
      </c>
      <c r="R362" s="62">
        <f t="shared" si="316"/>
        <v>31.614305882352937</v>
      </c>
      <c r="S362" s="62">
        <f t="shared" si="317"/>
        <v>31.614305882352937</v>
      </c>
      <c r="T362" s="62">
        <f t="shared" si="318"/>
        <v>31.614305882352937</v>
      </c>
      <c r="U362" s="62">
        <f t="shared" si="319"/>
        <v>31.614305882352937</v>
      </c>
      <c r="V362" s="62">
        <f t="shared" si="320"/>
        <v>31.614305882352937</v>
      </c>
      <c r="W362" s="62">
        <f t="shared" si="321"/>
        <v>31.614305882352937</v>
      </c>
      <c r="X362" s="62">
        <f t="shared" si="322"/>
        <v>31.614305882352937</v>
      </c>
      <c r="Y362" s="62">
        <f t="shared" si="323"/>
        <v>31.614305882352937</v>
      </c>
      <c r="Z362" s="62">
        <f t="shared" si="324"/>
        <v>31.614305882352937</v>
      </c>
      <c r="AA362" s="62">
        <f t="shared" si="325"/>
        <v>31.614305882352937</v>
      </c>
      <c r="AB362" s="62">
        <f t="shared" si="326"/>
        <v>31.614305882352937</v>
      </c>
      <c r="AC362" s="62">
        <f t="shared" si="327"/>
        <v>31.614305882352937</v>
      </c>
    </row>
    <row r="363" spans="1:29" x14ac:dyDescent="0.25">
      <c r="A363" s="30" t="str">
        <f t="shared" si="299"/>
        <v>Fuel Cost</v>
      </c>
      <c r="B363" s="62">
        <f t="shared" si="300"/>
        <v>0.1331013876427829</v>
      </c>
      <c r="C363" s="62">
        <f t="shared" si="301"/>
        <v>0.13284065209015961</v>
      </c>
      <c r="D363" s="62">
        <f t="shared" si="302"/>
        <v>0.13247044498234223</v>
      </c>
      <c r="E363" s="62">
        <f t="shared" si="303"/>
        <v>0.13194719281007408</v>
      </c>
      <c r="F363" s="62">
        <f t="shared" si="304"/>
        <v>0.13121255620046077</v>
      </c>
      <c r="G363" s="62">
        <f t="shared" si="305"/>
        <v>0.13019114463175094</v>
      </c>
      <c r="H363" s="62">
        <f t="shared" si="306"/>
        <v>0.12879082758213251</v>
      </c>
      <c r="I363" s="62">
        <f t="shared" si="307"/>
        <v>0.126908951519354</v>
      </c>
      <c r="J363" s="62">
        <f t="shared" si="308"/>
        <v>0.12444897595358409</v>
      </c>
      <c r="K363" s="62">
        <f t="shared" si="309"/>
        <v>0.12135105251833415</v>
      </c>
      <c r="L363" s="62">
        <f t="shared" si="310"/>
        <v>0.11763363332194038</v>
      </c>
      <c r="M363" s="62">
        <f t="shared" si="311"/>
        <v>0.11343007363373329</v>
      </c>
      <c r="N363" s="62">
        <f t="shared" si="312"/>
        <v>0.10899239291766451</v>
      </c>
      <c r="O363" s="62">
        <f t="shared" si="313"/>
        <v>0.10464203745763898</v>
      </c>
      <c r="P363" s="62">
        <f t="shared" si="314"/>
        <v>0.10068181933659913</v>
      </c>
      <c r="Q363" s="62">
        <f t="shared" si="315"/>
        <v>9.7316197879620536E-2</v>
      </c>
      <c r="R363" s="62">
        <f t="shared" si="316"/>
        <v>9.4620937841233446E-2</v>
      </c>
      <c r="S363" s="62">
        <f t="shared" si="317"/>
        <v>9.2564334807767046E-2</v>
      </c>
      <c r="T363" s="62">
        <f t="shared" si="318"/>
        <v>9.1052566638367527E-2</v>
      </c>
      <c r="U363" s="62">
        <f t="shared" si="319"/>
        <v>8.9971674267489546E-2</v>
      </c>
      <c r="V363" s="62">
        <f t="shared" si="320"/>
        <v>8.9214128341311663E-2</v>
      </c>
      <c r="W363" s="62">
        <f t="shared" si="321"/>
        <v>8.8690617543911193E-2</v>
      </c>
      <c r="X363" s="62">
        <f t="shared" si="322"/>
        <v>8.833235301770638E-2</v>
      </c>
      <c r="Y363" s="62">
        <f t="shared" si="323"/>
        <v>8.8088811183719362E-2</v>
      </c>
      <c r="Z363" s="62">
        <f t="shared" si="324"/>
        <v>8.7924009134648928E-2</v>
      </c>
      <c r="AA363" s="62">
        <f t="shared" si="325"/>
        <v>8.7812833500289317E-2</v>
      </c>
      <c r="AB363" s="62">
        <f t="shared" si="326"/>
        <v>8.7737990615512101E-2</v>
      </c>
      <c r="AC363" s="62">
        <f t="shared" si="327"/>
        <v>8.768767751485286E-2</v>
      </c>
    </row>
    <row r="364" spans="1:29" x14ac:dyDescent="0.25">
      <c r="A364" s="30" t="str">
        <f t="shared" ref="A364" si="328">A344</f>
        <v>Emission Cost</v>
      </c>
      <c r="B364" s="66">
        <f>$B344+($C344-$B344)*(1-Q344)</f>
        <v>7.3051284422328416E-2</v>
      </c>
      <c r="C364" s="66">
        <f t="shared" ref="C364" si="329">$B344+($C344-$B344)*(1-R344)</f>
        <v>7.2981721800489563E-2</v>
      </c>
      <c r="D364" s="66">
        <f t="shared" ref="D364" si="330">$B344+($C344-$B344)*(1-S344)</f>
        <v>7.2882144456709708E-2</v>
      </c>
      <c r="E364" s="66">
        <f t="shared" ref="E364" si="331">$B344+($C344-$B344)*(1-T344)</f>
        <v>7.2739692063840775E-2</v>
      </c>
      <c r="F364" s="66">
        <f t="shared" ref="F364" si="332">$B344+($C344-$B344)*(1-U344)</f>
        <v>7.2536096160749949E-2</v>
      </c>
      <c r="G364" s="66">
        <f t="shared" ref="G364" si="333">$B344+($C344-$B344)*(1-V344)</f>
        <v>7.2245520808140104E-2</v>
      </c>
      <c r="H364" s="66">
        <f t="shared" ref="H364" si="334">$B344+($C344-$B344)*(1-W344)</f>
        <v>7.183167022008663E-2</v>
      </c>
      <c r="I364" s="66">
        <f t="shared" ref="I364" si="335">$B344+($C344-$B344)*(1-X344)</f>
        <v>7.1244061711272524E-2</v>
      </c>
      <c r="J364" s="66">
        <f t="shared" ref="J364" si="336">$B344+($C344-$B344)*(1-Y344)</f>
        <v>7.0413533549636295E-2</v>
      </c>
      <c r="K364" s="66">
        <f t="shared" ref="K364" si="337">$B344+($C344-$B344)*(1-Z344)</f>
        <v>6.9247486994668248E-2</v>
      </c>
      <c r="L364" s="66">
        <f t="shared" ref="L364" si="338">$B344+($C344-$B344)*(1-AA344)</f>
        <v>6.7626258995255692E-2</v>
      </c>
      <c r="M364" s="66">
        <f t="shared" ref="M364" si="339">$B344+($C344-$B344)*(1-AB344)</f>
        <v>6.5403616058321165E-2</v>
      </c>
      <c r="N364" s="66">
        <f t="shared" ref="N364" si="340">$B344+($C344-$B344)*(1-AC344)</f>
        <v>6.2416622119869432E-2</v>
      </c>
      <c r="O364" s="66">
        <f t="shared" ref="O364" si="341">$B344+($C344-$B344)*(1-AD344)</f>
        <v>5.8512043997522092E-2</v>
      </c>
      <c r="P364" s="66">
        <f t="shared" ref="P364" si="342">$B344+($C344-$B344)*(1-AE344)</f>
        <v>5.3594887811786507E-2</v>
      </c>
      <c r="Q364" s="66">
        <f t="shared" ref="Q364" si="343">$B344+($C344-$B344)*(1-AF344)</f>
        <v>4.7694441535894194E-2</v>
      </c>
      <c r="R364" s="66">
        <f t="shared" ref="R364" si="344">$B344+($C344-$B344)*(1-AG344)</f>
        <v>4.1022372340191592E-2</v>
      </c>
      <c r="S364" s="66">
        <f t="shared" ref="S364" si="345">$B344+($C344-$B344)*(1-AH344)</f>
        <v>3.3978696265099438E-2</v>
      </c>
      <c r="T364" s="66">
        <f t="shared" ref="T364" si="346">$B344+($C344-$B344)*(1-AI344)</f>
        <v>2.7073626560338522E-2</v>
      </c>
      <c r="U364" s="66">
        <f t="shared" ref="U364" si="347">$B344+($C344-$B344)*(1-AJ344)</f>
        <v>2.0787799477216214E-2</v>
      </c>
      <c r="V364" s="66">
        <f t="shared" ref="V364" si="348">$B344+($C344-$B344)*(1-AK344)</f>
        <v>1.5445741575552285E-2</v>
      </c>
      <c r="W364" s="66">
        <f t="shared" ref="W364" si="349">$B344+($C344-$B344)*(1-AL344)</f>
        <v>1.1167709904685047E-2</v>
      </c>
      <c r="X364" s="66">
        <f t="shared" ref="X364" si="350">$B344+($C344-$B344)*(1-AM344)</f>
        <v>7.903381867218201E-3</v>
      </c>
      <c r="Y364" s="66">
        <f t="shared" ref="Y364" si="351">$B344+($C344-$B344)*(1-AN344)</f>
        <v>5.5038389601930332E-3</v>
      </c>
      <c r="Z364" s="66">
        <f t="shared" ref="Z364" si="352">$B344+($C344-$B344)*(1-AO344)</f>
        <v>3.7882004950518661E-3</v>
      </c>
      <c r="AA364" s="66">
        <f t="shared" ref="AA364" si="353">$B344+($C344-$B344)*(1-AP344)</f>
        <v>2.5857912958768409E-3</v>
      </c>
      <c r="AB364" s="66">
        <f t="shared" ref="AB364" si="354">$B344+($C344-$B344)*(1-AQ344)</f>
        <v>1.7548526334016656E-3</v>
      </c>
      <c r="AC364" s="66">
        <f t="shared" ref="AC364" si="355">$B344+($C344-$B344)*(1-AR344)</f>
        <v>1.1861998994081024E-3</v>
      </c>
    </row>
    <row r="365" spans="1:29" x14ac:dyDescent="0.25">
      <c r="A365" s="30" t="str">
        <f>A345</f>
        <v>Lifetime vehicle</v>
      </c>
      <c r="B365" s="62">
        <f>$B345+($C345-$B345)*(1-Q345)</f>
        <v>20</v>
      </c>
      <c r="C365" s="62">
        <f t="shared" ref="C365:L367" si="356">$B345+($C345-$B345)*(1-R345)</f>
        <v>20</v>
      </c>
      <c r="D365" s="62">
        <f t="shared" si="356"/>
        <v>20</v>
      </c>
      <c r="E365" s="62">
        <f t="shared" si="356"/>
        <v>20</v>
      </c>
      <c r="F365" s="62">
        <f t="shared" si="356"/>
        <v>20</v>
      </c>
      <c r="G365" s="62">
        <f t="shared" si="356"/>
        <v>20</v>
      </c>
      <c r="H365" s="62">
        <f t="shared" si="356"/>
        <v>20</v>
      </c>
      <c r="I365" s="62">
        <f t="shared" si="356"/>
        <v>20</v>
      </c>
      <c r="J365" s="62">
        <f t="shared" si="356"/>
        <v>20</v>
      </c>
      <c r="K365" s="62">
        <f t="shared" si="356"/>
        <v>20</v>
      </c>
      <c r="L365" s="62">
        <f t="shared" si="356"/>
        <v>20</v>
      </c>
      <c r="M365" s="62">
        <f t="shared" ref="M365:V367" si="357">$B345+($C345-$B345)*(1-AB345)</f>
        <v>20</v>
      </c>
      <c r="N365" s="62">
        <f t="shared" si="357"/>
        <v>20</v>
      </c>
      <c r="O365" s="62">
        <f t="shared" si="357"/>
        <v>20</v>
      </c>
      <c r="P365" s="62">
        <f t="shared" si="357"/>
        <v>20</v>
      </c>
      <c r="Q365" s="62">
        <f t="shared" si="357"/>
        <v>20</v>
      </c>
      <c r="R365" s="62">
        <f t="shared" si="357"/>
        <v>20</v>
      </c>
      <c r="S365" s="62">
        <f t="shared" si="357"/>
        <v>20</v>
      </c>
      <c r="T365" s="62">
        <f t="shared" si="357"/>
        <v>20</v>
      </c>
      <c r="U365" s="62">
        <f t="shared" si="357"/>
        <v>20</v>
      </c>
      <c r="V365" s="62">
        <f t="shared" si="357"/>
        <v>20</v>
      </c>
      <c r="W365" s="62">
        <f t="shared" ref="W365:AC367" si="358">$B345+($C345-$B345)*(1-AL345)</f>
        <v>20</v>
      </c>
      <c r="X365" s="62">
        <f t="shared" si="358"/>
        <v>20</v>
      </c>
      <c r="Y365" s="62">
        <f t="shared" si="358"/>
        <v>20</v>
      </c>
      <c r="Z365" s="62">
        <f t="shared" si="358"/>
        <v>20</v>
      </c>
      <c r="AA365" s="62">
        <f t="shared" si="358"/>
        <v>20</v>
      </c>
      <c r="AB365" s="62">
        <f t="shared" si="358"/>
        <v>20</v>
      </c>
      <c r="AC365" s="62">
        <f t="shared" si="358"/>
        <v>20</v>
      </c>
    </row>
    <row r="366" spans="1:29" x14ac:dyDescent="0.25">
      <c r="A366" s="30" t="str">
        <f>A346</f>
        <v>Lifetime costumization</v>
      </c>
      <c r="B366" s="62">
        <f>$B346+($C346-$B346)*(1-Q346)</f>
        <v>30</v>
      </c>
      <c r="C366" s="62">
        <f t="shared" si="356"/>
        <v>30</v>
      </c>
      <c r="D366" s="62">
        <f t="shared" si="356"/>
        <v>30</v>
      </c>
      <c r="E366" s="62">
        <f t="shared" si="356"/>
        <v>30</v>
      </c>
      <c r="F366" s="62">
        <f t="shared" si="356"/>
        <v>30</v>
      </c>
      <c r="G366" s="62">
        <f t="shared" si="356"/>
        <v>30</v>
      </c>
      <c r="H366" s="62">
        <f t="shared" si="356"/>
        <v>30</v>
      </c>
      <c r="I366" s="62">
        <f t="shared" si="356"/>
        <v>30</v>
      </c>
      <c r="J366" s="62">
        <f t="shared" si="356"/>
        <v>30</v>
      </c>
      <c r="K366" s="62">
        <f t="shared" si="356"/>
        <v>30</v>
      </c>
      <c r="L366" s="62">
        <f t="shared" si="356"/>
        <v>30</v>
      </c>
      <c r="M366" s="62">
        <f t="shared" si="357"/>
        <v>30</v>
      </c>
      <c r="N366" s="62">
        <f t="shared" si="357"/>
        <v>30</v>
      </c>
      <c r="O366" s="62">
        <f t="shared" si="357"/>
        <v>30</v>
      </c>
      <c r="P366" s="62">
        <f t="shared" si="357"/>
        <v>30</v>
      </c>
      <c r="Q366" s="62">
        <f t="shared" si="357"/>
        <v>30</v>
      </c>
      <c r="R366" s="62">
        <f t="shared" si="357"/>
        <v>30</v>
      </c>
      <c r="S366" s="62">
        <f t="shared" si="357"/>
        <v>30</v>
      </c>
      <c r="T366" s="62">
        <f t="shared" si="357"/>
        <v>30</v>
      </c>
      <c r="U366" s="62">
        <f t="shared" si="357"/>
        <v>30</v>
      </c>
      <c r="V366" s="62">
        <f t="shared" si="357"/>
        <v>30</v>
      </c>
      <c r="W366" s="62">
        <f t="shared" si="358"/>
        <v>30</v>
      </c>
      <c r="X366" s="62">
        <f t="shared" si="358"/>
        <v>30</v>
      </c>
      <c r="Y366" s="62">
        <f t="shared" si="358"/>
        <v>30</v>
      </c>
      <c r="Z366" s="62">
        <f t="shared" si="358"/>
        <v>30</v>
      </c>
      <c r="AA366" s="62">
        <f t="shared" si="358"/>
        <v>30</v>
      </c>
      <c r="AB366" s="62">
        <f t="shared" si="358"/>
        <v>30</v>
      </c>
      <c r="AC366" s="62">
        <f t="shared" si="358"/>
        <v>30</v>
      </c>
    </row>
    <row r="367" spans="1:29" x14ac:dyDescent="0.25">
      <c r="A367" s="30" t="str">
        <f>A347</f>
        <v>Tonnage .</v>
      </c>
      <c r="B367" s="62">
        <f>$B347+($C347-$B347)*(1-Q347)</f>
        <v>2240</v>
      </c>
      <c r="C367" s="62">
        <f t="shared" si="356"/>
        <v>2240</v>
      </c>
      <c r="D367" s="62">
        <f t="shared" si="356"/>
        <v>2240</v>
      </c>
      <c r="E367" s="62">
        <f t="shared" si="356"/>
        <v>2240</v>
      </c>
      <c r="F367" s="62">
        <f t="shared" si="356"/>
        <v>2240</v>
      </c>
      <c r="G367" s="62">
        <f t="shared" si="356"/>
        <v>2240</v>
      </c>
      <c r="H367" s="62">
        <f t="shared" si="356"/>
        <v>2240</v>
      </c>
      <c r="I367" s="62">
        <f t="shared" si="356"/>
        <v>2240</v>
      </c>
      <c r="J367" s="62">
        <f t="shared" si="356"/>
        <v>2240</v>
      </c>
      <c r="K367" s="62">
        <f t="shared" si="356"/>
        <v>2240</v>
      </c>
      <c r="L367" s="62">
        <f t="shared" si="356"/>
        <v>2240</v>
      </c>
      <c r="M367" s="62">
        <f t="shared" si="357"/>
        <v>2240</v>
      </c>
      <c r="N367" s="62">
        <f t="shared" si="357"/>
        <v>2240</v>
      </c>
      <c r="O367" s="62">
        <f t="shared" si="357"/>
        <v>2240</v>
      </c>
      <c r="P367" s="62">
        <f t="shared" si="357"/>
        <v>2240</v>
      </c>
      <c r="Q367" s="62">
        <f t="shared" si="357"/>
        <v>2240</v>
      </c>
      <c r="R367" s="62">
        <f t="shared" si="357"/>
        <v>2240</v>
      </c>
      <c r="S367" s="62">
        <f t="shared" si="357"/>
        <v>2240</v>
      </c>
      <c r="T367" s="62">
        <f t="shared" si="357"/>
        <v>2240</v>
      </c>
      <c r="U367" s="62">
        <f t="shared" si="357"/>
        <v>2240</v>
      </c>
      <c r="V367" s="62">
        <f t="shared" si="357"/>
        <v>2240</v>
      </c>
      <c r="W367" s="62">
        <f t="shared" si="358"/>
        <v>2240</v>
      </c>
      <c r="X367" s="62">
        <f t="shared" si="358"/>
        <v>2240</v>
      </c>
      <c r="Y367" s="62">
        <f t="shared" si="358"/>
        <v>2240</v>
      </c>
      <c r="Z367" s="62">
        <f t="shared" si="358"/>
        <v>2240</v>
      </c>
      <c r="AA367" s="62">
        <f t="shared" si="358"/>
        <v>2240</v>
      </c>
      <c r="AB367" s="62">
        <f t="shared" si="358"/>
        <v>2240</v>
      </c>
      <c r="AC367" s="62">
        <f t="shared" si="358"/>
        <v>2240</v>
      </c>
    </row>
    <row r="368" spans="1:29" x14ac:dyDescent="0.25">
      <c r="A368" s="30" t="str">
        <f>A348</f>
        <v>Market failure (av. utilization)</v>
      </c>
      <c r="B368" s="62">
        <f t="shared" ref="B368:K369" si="359">($B348+($C348-$B348)*(1-Q348))*B$44</f>
        <v>1612.8000000000002</v>
      </c>
      <c r="C368" s="62">
        <f t="shared" si="359"/>
        <v>1612.8000000000002</v>
      </c>
      <c r="D368" s="62">
        <f t="shared" si="359"/>
        <v>1612.8000000000002</v>
      </c>
      <c r="E368" s="62">
        <f t="shared" si="359"/>
        <v>1612.8000000000002</v>
      </c>
      <c r="F368" s="62">
        <f t="shared" si="359"/>
        <v>1612.8000000000002</v>
      </c>
      <c r="G368" s="62">
        <f t="shared" si="359"/>
        <v>1612.8000000000002</v>
      </c>
      <c r="H368" s="62">
        <f t="shared" si="359"/>
        <v>1612.8000000000002</v>
      </c>
      <c r="I368" s="62">
        <f t="shared" si="359"/>
        <v>1612.8000000000002</v>
      </c>
      <c r="J368" s="62">
        <f t="shared" si="359"/>
        <v>1612.8000000000002</v>
      </c>
      <c r="K368" s="62">
        <f t="shared" si="359"/>
        <v>1612.8000000000002</v>
      </c>
      <c r="L368" s="62">
        <f t="shared" ref="L368:U369" si="360">($B348+($C348-$B348)*(1-AA348))*L$44</f>
        <v>1612.8000000000002</v>
      </c>
      <c r="M368" s="62">
        <f t="shared" si="360"/>
        <v>1612.8000000000002</v>
      </c>
      <c r="N368" s="62">
        <f t="shared" si="360"/>
        <v>1612.8000000000002</v>
      </c>
      <c r="O368" s="62">
        <f t="shared" si="360"/>
        <v>1612.8000000000002</v>
      </c>
      <c r="P368" s="62">
        <f t="shared" si="360"/>
        <v>1612.8000000000002</v>
      </c>
      <c r="Q368" s="62">
        <f t="shared" si="360"/>
        <v>1612.8000000000002</v>
      </c>
      <c r="R368" s="62">
        <f t="shared" si="360"/>
        <v>1612.8000000000002</v>
      </c>
      <c r="S368" s="62">
        <f t="shared" si="360"/>
        <v>1612.8000000000002</v>
      </c>
      <c r="T368" s="62">
        <f t="shared" si="360"/>
        <v>1612.8000000000002</v>
      </c>
      <c r="U368" s="62">
        <f t="shared" si="360"/>
        <v>1612.8000000000002</v>
      </c>
      <c r="V368" s="62">
        <f t="shared" ref="V368:AC369" si="361">($B348+($C348-$B348)*(1-AK348))*V$44</f>
        <v>1612.8000000000002</v>
      </c>
      <c r="W368" s="62">
        <f t="shared" si="361"/>
        <v>1612.8000000000002</v>
      </c>
      <c r="X368" s="62">
        <f t="shared" si="361"/>
        <v>1612.8000000000002</v>
      </c>
      <c r="Y368" s="62">
        <f t="shared" si="361"/>
        <v>1612.8000000000002</v>
      </c>
      <c r="Z368" s="62">
        <f t="shared" si="361"/>
        <v>1612.8000000000002</v>
      </c>
      <c r="AA368" s="62">
        <f t="shared" si="361"/>
        <v>1612.8000000000002</v>
      </c>
      <c r="AB368" s="62">
        <f t="shared" si="361"/>
        <v>1612.8000000000002</v>
      </c>
      <c r="AC368" s="62">
        <f t="shared" si="361"/>
        <v>1612.8000000000002</v>
      </c>
    </row>
    <row r="369" spans="1:29" x14ac:dyDescent="0.25">
      <c r="A369" s="30" t="s">
        <v>73</v>
      </c>
      <c r="B369" s="62">
        <f t="shared" si="359"/>
        <v>0</v>
      </c>
      <c r="C369" s="62">
        <f t="shared" si="359"/>
        <v>0</v>
      </c>
      <c r="D369" s="62">
        <f t="shared" si="359"/>
        <v>0</v>
      </c>
      <c r="E369" s="62">
        <f t="shared" si="359"/>
        <v>0</v>
      </c>
      <c r="F369" s="62">
        <f t="shared" si="359"/>
        <v>0</v>
      </c>
      <c r="G369" s="62">
        <f t="shared" si="359"/>
        <v>0</v>
      </c>
      <c r="H369" s="62">
        <f t="shared" si="359"/>
        <v>0</v>
      </c>
      <c r="I369" s="62">
        <f t="shared" si="359"/>
        <v>0</v>
      </c>
      <c r="J369" s="62">
        <f t="shared" si="359"/>
        <v>0</v>
      </c>
      <c r="K369" s="62">
        <f t="shared" si="359"/>
        <v>0</v>
      </c>
      <c r="L369" s="62">
        <f t="shared" si="360"/>
        <v>0</v>
      </c>
      <c r="M369" s="62">
        <f t="shared" si="360"/>
        <v>0</v>
      </c>
      <c r="N369" s="62">
        <f t="shared" si="360"/>
        <v>0</v>
      </c>
      <c r="O369" s="62">
        <f t="shared" si="360"/>
        <v>0</v>
      </c>
      <c r="P369" s="62">
        <f t="shared" si="360"/>
        <v>0</v>
      </c>
      <c r="Q369" s="62">
        <f t="shared" si="360"/>
        <v>0</v>
      </c>
      <c r="R369" s="62">
        <f t="shared" si="360"/>
        <v>0</v>
      </c>
      <c r="S369" s="62">
        <f t="shared" si="360"/>
        <v>0</v>
      </c>
      <c r="T369" s="62">
        <f t="shared" si="360"/>
        <v>0</v>
      </c>
      <c r="U369" s="62">
        <f t="shared" si="360"/>
        <v>0</v>
      </c>
      <c r="V369" s="62">
        <f t="shared" si="361"/>
        <v>0</v>
      </c>
      <c r="W369" s="62">
        <f t="shared" si="361"/>
        <v>0</v>
      </c>
      <c r="X369" s="62">
        <f t="shared" si="361"/>
        <v>0</v>
      </c>
      <c r="Y369" s="62">
        <f t="shared" si="361"/>
        <v>0</v>
      </c>
      <c r="Z369" s="62">
        <f t="shared" si="361"/>
        <v>0</v>
      </c>
      <c r="AA369" s="62">
        <f t="shared" si="361"/>
        <v>0</v>
      </c>
      <c r="AB369" s="62">
        <f t="shared" si="361"/>
        <v>0</v>
      </c>
      <c r="AC369" s="62">
        <f t="shared" si="361"/>
        <v>0</v>
      </c>
    </row>
    <row r="370" spans="1:29" x14ac:dyDescent="0.25">
      <c r="A370" s="30" t="str">
        <f>A350</f>
        <v>Annual Mileage</v>
      </c>
      <c r="B370" s="62">
        <f t="shared" ref="B370:AC370" si="362">$B350+($C350-$B350)*(1-Q350)</f>
        <v>178500</v>
      </c>
      <c r="C370" s="62">
        <f t="shared" si="362"/>
        <v>178500</v>
      </c>
      <c r="D370" s="62">
        <f t="shared" si="362"/>
        <v>178500</v>
      </c>
      <c r="E370" s="62">
        <f t="shared" si="362"/>
        <v>178500</v>
      </c>
      <c r="F370" s="62">
        <f t="shared" si="362"/>
        <v>178500</v>
      </c>
      <c r="G370" s="62">
        <f t="shared" si="362"/>
        <v>178500</v>
      </c>
      <c r="H370" s="62">
        <f t="shared" si="362"/>
        <v>178500</v>
      </c>
      <c r="I370" s="62">
        <f t="shared" si="362"/>
        <v>178500</v>
      </c>
      <c r="J370" s="62">
        <f t="shared" si="362"/>
        <v>178500</v>
      </c>
      <c r="K370" s="62">
        <f t="shared" si="362"/>
        <v>178500</v>
      </c>
      <c r="L370" s="62">
        <f t="shared" si="362"/>
        <v>178500</v>
      </c>
      <c r="M370" s="62">
        <f t="shared" si="362"/>
        <v>178500</v>
      </c>
      <c r="N370" s="62">
        <f t="shared" si="362"/>
        <v>178500</v>
      </c>
      <c r="O370" s="62">
        <f t="shared" si="362"/>
        <v>178500</v>
      </c>
      <c r="P370" s="62">
        <f t="shared" si="362"/>
        <v>178500</v>
      </c>
      <c r="Q370" s="62">
        <f t="shared" si="362"/>
        <v>178500</v>
      </c>
      <c r="R370" s="62">
        <f t="shared" si="362"/>
        <v>178500</v>
      </c>
      <c r="S370" s="62">
        <f t="shared" si="362"/>
        <v>178500</v>
      </c>
      <c r="T370" s="62">
        <f t="shared" si="362"/>
        <v>178500</v>
      </c>
      <c r="U370" s="62">
        <f t="shared" si="362"/>
        <v>178500</v>
      </c>
      <c r="V370" s="62">
        <f t="shared" si="362"/>
        <v>178500</v>
      </c>
      <c r="W370" s="62">
        <f t="shared" si="362"/>
        <v>178500</v>
      </c>
      <c r="X370" s="62">
        <f t="shared" si="362"/>
        <v>178500</v>
      </c>
      <c r="Y370" s="62">
        <f t="shared" si="362"/>
        <v>178500</v>
      </c>
      <c r="Z370" s="62">
        <f t="shared" si="362"/>
        <v>178500</v>
      </c>
      <c r="AA370" s="62">
        <f t="shared" si="362"/>
        <v>178500</v>
      </c>
      <c r="AB370" s="62">
        <f t="shared" si="362"/>
        <v>178500</v>
      </c>
      <c r="AC370" s="62">
        <f t="shared" si="362"/>
        <v>178500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435922.78488425701</v>
      </c>
      <c r="C373" s="63">
        <f t="shared" ref="C373:AC373" si="363">((1+C358)^C365)*C358/(((1+C358)^C365)-1)*(C354)</f>
        <v>435922.78488425701</v>
      </c>
      <c r="D373" s="63">
        <f t="shared" si="363"/>
        <v>435922.78488425701</v>
      </c>
      <c r="E373" s="63">
        <f t="shared" si="363"/>
        <v>435922.78488425701</v>
      </c>
      <c r="F373" s="63">
        <f t="shared" si="363"/>
        <v>435922.78488425701</v>
      </c>
      <c r="G373" s="63">
        <f t="shared" si="363"/>
        <v>435922.78488425701</v>
      </c>
      <c r="H373" s="63">
        <f t="shared" si="363"/>
        <v>435922.78488425701</v>
      </c>
      <c r="I373" s="63">
        <f t="shared" si="363"/>
        <v>435922.78488425701</v>
      </c>
      <c r="J373" s="63">
        <f t="shared" si="363"/>
        <v>435922.78488425701</v>
      </c>
      <c r="K373" s="63">
        <f t="shared" si="363"/>
        <v>435922.78488425701</v>
      </c>
      <c r="L373" s="63">
        <f t="shared" si="363"/>
        <v>435922.78488425701</v>
      </c>
      <c r="M373" s="63">
        <f t="shared" si="363"/>
        <v>435922.78488425701</v>
      </c>
      <c r="N373" s="63">
        <f t="shared" si="363"/>
        <v>435922.78488425701</v>
      </c>
      <c r="O373" s="63">
        <f t="shared" si="363"/>
        <v>435922.78488425701</v>
      </c>
      <c r="P373" s="63">
        <f t="shared" si="363"/>
        <v>435922.78488425701</v>
      </c>
      <c r="Q373" s="63">
        <f t="shared" si="363"/>
        <v>435922.78488425701</v>
      </c>
      <c r="R373" s="63">
        <f t="shared" si="363"/>
        <v>435922.78488425701</v>
      </c>
      <c r="S373" s="63">
        <f t="shared" si="363"/>
        <v>435922.78488425701</v>
      </c>
      <c r="T373" s="63">
        <f t="shared" si="363"/>
        <v>435922.78488425701</v>
      </c>
      <c r="U373" s="63">
        <f t="shared" si="363"/>
        <v>435922.78488425701</v>
      </c>
      <c r="V373" s="63">
        <f t="shared" si="363"/>
        <v>435922.78488425701</v>
      </c>
      <c r="W373" s="63">
        <f t="shared" si="363"/>
        <v>435922.78488425701</v>
      </c>
      <c r="X373" s="63">
        <f t="shared" si="363"/>
        <v>435922.78488425701</v>
      </c>
      <c r="Y373" s="63">
        <f t="shared" si="363"/>
        <v>435922.78488425701</v>
      </c>
      <c r="Z373" s="63">
        <f t="shared" si="363"/>
        <v>435922.78488425701</v>
      </c>
      <c r="AA373" s="63">
        <f t="shared" si="363"/>
        <v>435922.78488425701</v>
      </c>
      <c r="AB373" s="63">
        <f t="shared" si="363"/>
        <v>435922.78488425701</v>
      </c>
      <c r="AC373" s="63">
        <f t="shared" si="363"/>
        <v>435922.78488425701</v>
      </c>
    </row>
    <row r="374" spans="1:29" x14ac:dyDescent="0.25">
      <c r="A374" s="30" t="str">
        <f>A355</f>
        <v>Residual value (vehicle)</v>
      </c>
      <c r="B374" s="62">
        <f>((1+B358)^B365)*B358/(((1+B358)^B365)-1)*(B355)</f>
        <v>-65388.417732638554</v>
      </c>
      <c r="C374" s="62">
        <f t="shared" ref="C374:AC374" si="364">((1+C358)^C365)*C358/(((1+C358)^C365)-1)*(C355)</f>
        <v>-65388.417732638554</v>
      </c>
      <c r="D374" s="62">
        <f t="shared" si="364"/>
        <v>-65388.417732638554</v>
      </c>
      <c r="E374" s="62">
        <f t="shared" si="364"/>
        <v>-65388.417732638554</v>
      </c>
      <c r="F374" s="62">
        <f t="shared" si="364"/>
        <v>-65388.417732638554</v>
      </c>
      <c r="G374" s="62">
        <f t="shared" si="364"/>
        <v>-65388.417732638554</v>
      </c>
      <c r="H374" s="62">
        <f t="shared" si="364"/>
        <v>-65388.417732638554</v>
      </c>
      <c r="I374" s="62">
        <f t="shared" si="364"/>
        <v>-65388.417732638554</v>
      </c>
      <c r="J374" s="62">
        <f t="shared" si="364"/>
        <v>-65388.417732638554</v>
      </c>
      <c r="K374" s="62">
        <f t="shared" si="364"/>
        <v>-65388.417732638554</v>
      </c>
      <c r="L374" s="62">
        <f t="shared" si="364"/>
        <v>-65388.417732638554</v>
      </c>
      <c r="M374" s="62">
        <f t="shared" si="364"/>
        <v>-65388.417732638554</v>
      </c>
      <c r="N374" s="62">
        <f t="shared" si="364"/>
        <v>-65388.417732638554</v>
      </c>
      <c r="O374" s="62">
        <f t="shared" si="364"/>
        <v>-65388.417732638554</v>
      </c>
      <c r="P374" s="62">
        <f t="shared" si="364"/>
        <v>-65388.417732638554</v>
      </c>
      <c r="Q374" s="62">
        <f t="shared" si="364"/>
        <v>-65388.417732638554</v>
      </c>
      <c r="R374" s="62">
        <f t="shared" si="364"/>
        <v>-65388.417732638554</v>
      </c>
      <c r="S374" s="62">
        <f t="shared" si="364"/>
        <v>-65388.417732638554</v>
      </c>
      <c r="T374" s="62">
        <f t="shared" si="364"/>
        <v>-65388.417732638554</v>
      </c>
      <c r="U374" s="62">
        <f t="shared" si="364"/>
        <v>-65388.417732638554</v>
      </c>
      <c r="V374" s="62">
        <f t="shared" si="364"/>
        <v>-65388.417732638554</v>
      </c>
      <c r="W374" s="62">
        <f t="shared" si="364"/>
        <v>-65388.417732638554</v>
      </c>
      <c r="X374" s="62">
        <f t="shared" si="364"/>
        <v>-65388.417732638554</v>
      </c>
      <c r="Y374" s="62">
        <f t="shared" si="364"/>
        <v>-65388.417732638554</v>
      </c>
      <c r="Z374" s="62">
        <f t="shared" si="364"/>
        <v>-65388.417732638554</v>
      </c>
      <c r="AA374" s="62">
        <f t="shared" si="364"/>
        <v>-65388.417732638554</v>
      </c>
      <c r="AB374" s="62">
        <f t="shared" si="364"/>
        <v>-65388.417732638554</v>
      </c>
      <c r="AC374" s="62">
        <f t="shared" si="364"/>
        <v>-65388.417732638554</v>
      </c>
    </row>
    <row r="375" spans="1:29" x14ac:dyDescent="0.25">
      <c r="A375" s="30" t="str">
        <f>A356</f>
        <v>Capex costumization</v>
      </c>
      <c r="B375" s="62">
        <f>((1+B358)^B366)*B358/(((1+B358)^B366)-1)*(B356)</f>
        <v>305125.4282581982</v>
      </c>
      <c r="C375" s="62">
        <f t="shared" ref="C375:AC375" si="365">((1+C358)^C366)*C358/(((1+C358)^C366)-1)*(C356)</f>
        <v>305125.4282581982</v>
      </c>
      <c r="D375" s="62">
        <f t="shared" si="365"/>
        <v>305125.4282581982</v>
      </c>
      <c r="E375" s="62">
        <f t="shared" si="365"/>
        <v>305125.4282581982</v>
      </c>
      <c r="F375" s="62">
        <f t="shared" si="365"/>
        <v>305125.4282581982</v>
      </c>
      <c r="G375" s="62">
        <f t="shared" si="365"/>
        <v>305125.4282581982</v>
      </c>
      <c r="H375" s="62">
        <f t="shared" si="365"/>
        <v>305125.4282581982</v>
      </c>
      <c r="I375" s="62">
        <f t="shared" si="365"/>
        <v>305125.4282581982</v>
      </c>
      <c r="J375" s="62">
        <f t="shared" si="365"/>
        <v>305125.4282581982</v>
      </c>
      <c r="K375" s="62">
        <f t="shared" si="365"/>
        <v>305125.4282581982</v>
      </c>
      <c r="L375" s="62">
        <f t="shared" si="365"/>
        <v>305125.4282581982</v>
      </c>
      <c r="M375" s="62">
        <f t="shared" si="365"/>
        <v>305125.4282581982</v>
      </c>
      <c r="N375" s="62">
        <f t="shared" si="365"/>
        <v>305125.4282581982</v>
      </c>
      <c r="O375" s="62">
        <f t="shared" si="365"/>
        <v>305125.4282581982</v>
      </c>
      <c r="P375" s="62">
        <f t="shared" si="365"/>
        <v>305125.4282581982</v>
      </c>
      <c r="Q375" s="62">
        <f t="shared" si="365"/>
        <v>305125.4282581982</v>
      </c>
      <c r="R375" s="62">
        <f t="shared" si="365"/>
        <v>305125.4282581982</v>
      </c>
      <c r="S375" s="62">
        <f t="shared" si="365"/>
        <v>305125.4282581982</v>
      </c>
      <c r="T375" s="62">
        <f t="shared" si="365"/>
        <v>305125.4282581982</v>
      </c>
      <c r="U375" s="62">
        <f t="shared" si="365"/>
        <v>305125.4282581982</v>
      </c>
      <c r="V375" s="62">
        <f t="shared" si="365"/>
        <v>305125.4282581982</v>
      </c>
      <c r="W375" s="62">
        <f t="shared" si="365"/>
        <v>305125.4282581982</v>
      </c>
      <c r="X375" s="62">
        <f t="shared" si="365"/>
        <v>305125.4282581982</v>
      </c>
      <c r="Y375" s="62">
        <f t="shared" si="365"/>
        <v>305125.4282581982</v>
      </c>
      <c r="Z375" s="62">
        <f t="shared" si="365"/>
        <v>305125.4282581982</v>
      </c>
      <c r="AA375" s="62">
        <f t="shared" si="365"/>
        <v>305125.4282581982</v>
      </c>
      <c r="AB375" s="62">
        <f t="shared" si="365"/>
        <v>305125.4282581982</v>
      </c>
      <c r="AC375" s="62">
        <f t="shared" si="365"/>
        <v>305125.4282581982</v>
      </c>
    </row>
    <row r="376" spans="1:29" x14ac:dyDescent="0.25">
      <c r="A376" s="30" t="str">
        <f>A357</f>
        <v>Residual value (costumization)</v>
      </c>
      <c r="B376" s="62">
        <f>((1+B358)^B366)*B358/(((1+B358)^B366)-1)*(B357)</f>
        <v>-15256.271412909911</v>
      </c>
      <c r="C376" s="62">
        <f t="shared" ref="C376:AC376" si="366">((1+C358)^C366)*C358/(((1+C358)^C366)-1)*(C357)</f>
        <v>-15256.271412909911</v>
      </c>
      <c r="D376" s="62">
        <f t="shared" si="366"/>
        <v>-15256.271412909911</v>
      </c>
      <c r="E376" s="62">
        <f t="shared" si="366"/>
        <v>-15256.271412909911</v>
      </c>
      <c r="F376" s="62">
        <f t="shared" si="366"/>
        <v>-15256.271412909911</v>
      </c>
      <c r="G376" s="62">
        <f t="shared" si="366"/>
        <v>-15256.271412909911</v>
      </c>
      <c r="H376" s="62">
        <f t="shared" si="366"/>
        <v>-15256.271412909911</v>
      </c>
      <c r="I376" s="62">
        <f t="shared" si="366"/>
        <v>-15256.271412909911</v>
      </c>
      <c r="J376" s="62">
        <f t="shared" si="366"/>
        <v>-15256.271412909911</v>
      </c>
      <c r="K376" s="62">
        <f t="shared" si="366"/>
        <v>-15256.271412909911</v>
      </c>
      <c r="L376" s="62">
        <f t="shared" si="366"/>
        <v>-15256.271412909911</v>
      </c>
      <c r="M376" s="62">
        <f t="shared" si="366"/>
        <v>-15256.271412909911</v>
      </c>
      <c r="N376" s="62">
        <f t="shared" si="366"/>
        <v>-15256.271412909911</v>
      </c>
      <c r="O376" s="62">
        <f t="shared" si="366"/>
        <v>-15256.271412909911</v>
      </c>
      <c r="P376" s="62">
        <f t="shared" si="366"/>
        <v>-15256.271412909911</v>
      </c>
      <c r="Q376" s="62">
        <f t="shared" si="366"/>
        <v>-15256.271412909911</v>
      </c>
      <c r="R376" s="62">
        <f t="shared" si="366"/>
        <v>-15256.271412909911</v>
      </c>
      <c r="S376" s="62">
        <f t="shared" si="366"/>
        <v>-15256.271412909911</v>
      </c>
      <c r="T376" s="62">
        <f t="shared" si="366"/>
        <v>-15256.271412909911</v>
      </c>
      <c r="U376" s="62">
        <f t="shared" si="366"/>
        <v>-15256.271412909911</v>
      </c>
      <c r="V376" s="62">
        <f t="shared" si="366"/>
        <v>-15256.271412909911</v>
      </c>
      <c r="W376" s="62">
        <f t="shared" si="366"/>
        <v>-15256.271412909911</v>
      </c>
      <c r="X376" s="62">
        <f t="shared" si="366"/>
        <v>-15256.271412909911</v>
      </c>
      <c r="Y376" s="62">
        <f t="shared" si="366"/>
        <v>-15256.271412909911</v>
      </c>
      <c r="Z376" s="62">
        <f t="shared" si="366"/>
        <v>-15256.271412909911</v>
      </c>
      <c r="AA376" s="62">
        <f t="shared" si="366"/>
        <v>-15256.271412909911</v>
      </c>
      <c r="AB376" s="62">
        <f t="shared" si="366"/>
        <v>-15256.271412909911</v>
      </c>
      <c r="AC376" s="62">
        <f t="shared" si="366"/>
        <v>-15256.271412909911</v>
      </c>
    </row>
    <row r="377" spans="1:29" x14ac:dyDescent="0.25">
      <c r="A377" s="30" t="str">
        <f t="shared" ref="A377:AC377" si="367">A359</f>
        <v>Opex fix (admin, crew, insurance)</v>
      </c>
      <c r="B377" s="62">
        <f t="shared" si="367"/>
        <v>1450000</v>
      </c>
      <c r="C377" s="62">
        <f t="shared" si="367"/>
        <v>1450000</v>
      </c>
      <c r="D377" s="62">
        <f t="shared" si="367"/>
        <v>1450000</v>
      </c>
      <c r="E377" s="62">
        <f t="shared" si="367"/>
        <v>1450000</v>
      </c>
      <c r="F377" s="62">
        <f t="shared" si="367"/>
        <v>1450000</v>
      </c>
      <c r="G377" s="62">
        <f t="shared" si="367"/>
        <v>1450000</v>
      </c>
      <c r="H377" s="62">
        <f t="shared" si="367"/>
        <v>1450000</v>
      </c>
      <c r="I377" s="62">
        <f t="shared" si="367"/>
        <v>1450000</v>
      </c>
      <c r="J377" s="62">
        <f t="shared" si="367"/>
        <v>1450000</v>
      </c>
      <c r="K377" s="62">
        <f t="shared" si="367"/>
        <v>1450000</v>
      </c>
      <c r="L377" s="62">
        <f t="shared" si="367"/>
        <v>1450000</v>
      </c>
      <c r="M377" s="62">
        <f t="shared" si="367"/>
        <v>1450000</v>
      </c>
      <c r="N377" s="62">
        <f t="shared" si="367"/>
        <v>1450000</v>
      </c>
      <c r="O377" s="62">
        <f t="shared" si="367"/>
        <v>1450000</v>
      </c>
      <c r="P377" s="62">
        <f t="shared" si="367"/>
        <v>1450000</v>
      </c>
      <c r="Q377" s="62">
        <f t="shared" si="367"/>
        <v>1450000</v>
      </c>
      <c r="R377" s="62">
        <f t="shared" si="367"/>
        <v>1450000</v>
      </c>
      <c r="S377" s="62">
        <f t="shared" si="367"/>
        <v>1450000</v>
      </c>
      <c r="T377" s="62">
        <f t="shared" si="367"/>
        <v>1450000</v>
      </c>
      <c r="U377" s="62">
        <f t="shared" si="367"/>
        <v>1450000</v>
      </c>
      <c r="V377" s="62">
        <f t="shared" si="367"/>
        <v>1450000</v>
      </c>
      <c r="W377" s="62">
        <f t="shared" si="367"/>
        <v>1450000</v>
      </c>
      <c r="X377" s="62">
        <f t="shared" si="367"/>
        <v>1450000</v>
      </c>
      <c r="Y377" s="62">
        <f t="shared" si="367"/>
        <v>1450000</v>
      </c>
      <c r="Z377" s="62">
        <f t="shared" si="367"/>
        <v>1450000</v>
      </c>
      <c r="AA377" s="62">
        <f t="shared" si="367"/>
        <v>1450000</v>
      </c>
      <c r="AB377" s="62">
        <f t="shared" si="367"/>
        <v>1450000</v>
      </c>
      <c r="AC377" s="62">
        <f t="shared" si="367"/>
        <v>1450000</v>
      </c>
    </row>
    <row r="378" spans="1:29" x14ac:dyDescent="0.25">
      <c r="A378" s="30" t="str">
        <f t="shared" ref="A378:AC378" si="368">A360</f>
        <v>Opex maintenance &amp; repair</v>
      </c>
      <c r="B378" s="62">
        <f t="shared" si="368"/>
        <v>650000</v>
      </c>
      <c r="C378" s="62">
        <f t="shared" si="368"/>
        <v>650000</v>
      </c>
      <c r="D378" s="62">
        <f t="shared" si="368"/>
        <v>650000</v>
      </c>
      <c r="E378" s="62">
        <f t="shared" si="368"/>
        <v>650000</v>
      </c>
      <c r="F378" s="62">
        <f t="shared" si="368"/>
        <v>650000</v>
      </c>
      <c r="G378" s="62">
        <f t="shared" si="368"/>
        <v>650000</v>
      </c>
      <c r="H378" s="62">
        <f t="shared" si="368"/>
        <v>650000</v>
      </c>
      <c r="I378" s="62">
        <f t="shared" si="368"/>
        <v>650000</v>
      </c>
      <c r="J378" s="62">
        <f t="shared" si="368"/>
        <v>650000</v>
      </c>
      <c r="K378" s="62">
        <f t="shared" si="368"/>
        <v>650000</v>
      </c>
      <c r="L378" s="62">
        <f t="shared" si="368"/>
        <v>650000</v>
      </c>
      <c r="M378" s="62">
        <f t="shared" si="368"/>
        <v>650000</v>
      </c>
      <c r="N378" s="62">
        <f t="shared" si="368"/>
        <v>650000</v>
      </c>
      <c r="O378" s="62">
        <f t="shared" si="368"/>
        <v>650000</v>
      </c>
      <c r="P378" s="62">
        <f t="shared" si="368"/>
        <v>650000</v>
      </c>
      <c r="Q378" s="62">
        <f t="shared" si="368"/>
        <v>650000</v>
      </c>
      <c r="R378" s="62">
        <f t="shared" si="368"/>
        <v>650000</v>
      </c>
      <c r="S378" s="62">
        <f t="shared" si="368"/>
        <v>650000</v>
      </c>
      <c r="T378" s="62">
        <f t="shared" si="368"/>
        <v>650000</v>
      </c>
      <c r="U378" s="62">
        <f t="shared" si="368"/>
        <v>650000</v>
      </c>
      <c r="V378" s="62">
        <f t="shared" si="368"/>
        <v>650000</v>
      </c>
      <c r="W378" s="62">
        <f t="shared" si="368"/>
        <v>650000</v>
      </c>
      <c r="X378" s="62">
        <f t="shared" si="368"/>
        <v>650000</v>
      </c>
      <c r="Y378" s="62">
        <f t="shared" si="368"/>
        <v>650000</v>
      </c>
      <c r="Z378" s="62">
        <f t="shared" si="368"/>
        <v>650000</v>
      </c>
      <c r="AA378" s="62">
        <f t="shared" si="368"/>
        <v>650000</v>
      </c>
      <c r="AB378" s="62">
        <f t="shared" si="368"/>
        <v>650000</v>
      </c>
      <c r="AC378" s="62">
        <f t="shared" si="368"/>
        <v>650000</v>
      </c>
    </row>
    <row r="379" spans="1:29" x14ac:dyDescent="0.25">
      <c r="A379" s="30" t="str">
        <f>A361</f>
        <v>Opex var (mode-fees, shunting)</v>
      </c>
      <c r="B379" s="62">
        <f>B361*B370</f>
        <v>1600000</v>
      </c>
      <c r="C379" s="62">
        <f t="shared" ref="C379:AC379" si="369">C361*C370</f>
        <v>1600000</v>
      </c>
      <c r="D379" s="62">
        <f t="shared" si="369"/>
        <v>1600000</v>
      </c>
      <c r="E379" s="62">
        <f t="shared" si="369"/>
        <v>1600000</v>
      </c>
      <c r="F379" s="62">
        <f t="shared" si="369"/>
        <v>1600000</v>
      </c>
      <c r="G379" s="62">
        <f t="shared" si="369"/>
        <v>1600000</v>
      </c>
      <c r="H379" s="62">
        <f t="shared" si="369"/>
        <v>1600000</v>
      </c>
      <c r="I379" s="62">
        <f t="shared" si="369"/>
        <v>1600000</v>
      </c>
      <c r="J379" s="62">
        <f t="shared" si="369"/>
        <v>1600000</v>
      </c>
      <c r="K379" s="62">
        <f t="shared" si="369"/>
        <v>1600000</v>
      </c>
      <c r="L379" s="62">
        <f t="shared" si="369"/>
        <v>1600000</v>
      </c>
      <c r="M379" s="62">
        <f t="shared" si="369"/>
        <v>1600000</v>
      </c>
      <c r="N379" s="62">
        <f t="shared" si="369"/>
        <v>1600000</v>
      </c>
      <c r="O379" s="62">
        <f t="shared" si="369"/>
        <v>1600000</v>
      </c>
      <c r="P379" s="62">
        <f t="shared" si="369"/>
        <v>1600000</v>
      </c>
      <c r="Q379" s="62">
        <f t="shared" si="369"/>
        <v>1600000</v>
      </c>
      <c r="R379" s="62">
        <f t="shared" si="369"/>
        <v>1600000</v>
      </c>
      <c r="S379" s="62">
        <f t="shared" si="369"/>
        <v>1600000</v>
      </c>
      <c r="T379" s="62">
        <f t="shared" si="369"/>
        <v>1600000</v>
      </c>
      <c r="U379" s="62">
        <f t="shared" si="369"/>
        <v>1600000</v>
      </c>
      <c r="V379" s="62">
        <f t="shared" si="369"/>
        <v>1600000</v>
      </c>
      <c r="W379" s="62">
        <f t="shared" si="369"/>
        <v>1600000</v>
      </c>
      <c r="X379" s="62">
        <f t="shared" si="369"/>
        <v>1600000</v>
      </c>
      <c r="Y379" s="62">
        <f t="shared" si="369"/>
        <v>1600000</v>
      </c>
      <c r="Z379" s="62">
        <f t="shared" si="369"/>
        <v>1600000</v>
      </c>
      <c r="AA379" s="62">
        <f t="shared" si="369"/>
        <v>1600000</v>
      </c>
      <c r="AB379" s="62">
        <f t="shared" si="369"/>
        <v>1600000</v>
      </c>
      <c r="AC379" s="62">
        <f t="shared" si="369"/>
        <v>1600000</v>
      </c>
    </row>
    <row r="380" spans="1:29" x14ac:dyDescent="0.25">
      <c r="A380" s="30" t="str">
        <f>A363</f>
        <v>Fuel Cost</v>
      </c>
      <c r="B380" s="62">
        <f>B362*B363*B370</f>
        <v>751111.57484136568</v>
      </c>
      <c r="C380" s="62">
        <f t="shared" ref="C380:AC380" si="370">C362*C363*C370</f>
        <v>749640.20406893163</v>
      </c>
      <c r="D380" s="62">
        <f t="shared" si="370"/>
        <v>747551.06849570631</v>
      </c>
      <c r="E380" s="62">
        <f t="shared" si="370"/>
        <v>744598.27611606359</v>
      </c>
      <c r="F380" s="62">
        <f t="shared" si="370"/>
        <v>740452.6088878325</v>
      </c>
      <c r="G380" s="62">
        <f t="shared" si="370"/>
        <v>734688.62651678594</v>
      </c>
      <c r="H380" s="62">
        <f t="shared" si="370"/>
        <v>726786.42231709033</v>
      </c>
      <c r="I380" s="62">
        <f t="shared" si="370"/>
        <v>716166.70663866785</v>
      </c>
      <c r="J380" s="62">
        <f t="shared" si="370"/>
        <v>702284.68666878145</v>
      </c>
      <c r="K380" s="62">
        <f t="shared" si="370"/>
        <v>684802.6288826263</v>
      </c>
      <c r="L380" s="62">
        <f t="shared" si="370"/>
        <v>663824.6613617877</v>
      </c>
      <c r="M380" s="62">
        <f t="shared" si="370"/>
        <v>640103.32837446698</v>
      </c>
      <c r="N380" s="62">
        <f t="shared" si="370"/>
        <v>615060.8144659329</v>
      </c>
      <c r="O380" s="62">
        <f t="shared" si="370"/>
        <v>590511.09039041016</v>
      </c>
      <c r="P380" s="62">
        <f t="shared" si="370"/>
        <v>568162.97124387894</v>
      </c>
      <c r="Q380" s="62">
        <f t="shared" si="370"/>
        <v>549170.25240269292</v>
      </c>
      <c r="R380" s="62">
        <f t="shared" si="370"/>
        <v>533960.48601413262</v>
      </c>
      <c r="S380" s="62">
        <f t="shared" si="370"/>
        <v>522354.75920205587</v>
      </c>
      <c r="T380" s="62">
        <f t="shared" si="370"/>
        <v>513823.61921454349</v>
      </c>
      <c r="U380" s="62">
        <f t="shared" si="370"/>
        <v>507723.97754061088</v>
      </c>
      <c r="V380" s="62">
        <f t="shared" si="370"/>
        <v>503449.02952013491</v>
      </c>
      <c r="W380" s="62">
        <f t="shared" si="370"/>
        <v>500494.77767914557</v>
      </c>
      <c r="X380" s="62">
        <f t="shared" si="370"/>
        <v>498473.03592834057</v>
      </c>
      <c r="Y380" s="62">
        <f t="shared" si="370"/>
        <v>497098.69195112609</v>
      </c>
      <c r="Z380" s="62">
        <f t="shared" si="370"/>
        <v>496168.68867462687</v>
      </c>
      <c r="AA380" s="62">
        <f t="shared" si="370"/>
        <v>495541.30749335821</v>
      </c>
      <c r="AB380" s="62">
        <f t="shared" si="370"/>
        <v>495118.95759869332</v>
      </c>
      <c r="AC380" s="62">
        <f t="shared" si="370"/>
        <v>494835.03304358089</v>
      </c>
    </row>
    <row r="381" spans="1:29" ht="15.75" thickBot="1" x14ac:dyDescent="0.3">
      <c r="A381" s="59" t="str">
        <f>A344</f>
        <v>Emission Cost</v>
      </c>
      <c r="B381" s="62">
        <f>B364*B370</f>
        <v>13039.654269385623</v>
      </c>
      <c r="C381" s="62">
        <f t="shared" ref="C381:AC381" si="371">C364*C370</f>
        <v>13027.237341387387</v>
      </c>
      <c r="D381" s="62">
        <f t="shared" si="371"/>
        <v>13009.462785522683</v>
      </c>
      <c r="E381" s="62">
        <f t="shared" si="371"/>
        <v>12984.035033395578</v>
      </c>
      <c r="F381" s="62">
        <f t="shared" si="371"/>
        <v>12947.693164693866</v>
      </c>
      <c r="G381" s="62">
        <f t="shared" si="371"/>
        <v>12895.825464253008</v>
      </c>
      <c r="H381" s="62">
        <f t="shared" si="371"/>
        <v>12821.953134285463</v>
      </c>
      <c r="I381" s="62">
        <f t="shared" si="371"/>
        <v>12717.065015462145</v>
      </c>
      <c r="J381" s="62">
        <f t="shared" si="371"/>
        <v>12568.815738610079</v>
      </c>
      <c r="K381" s="62">
        <f t="shared" si="371"/>
        <v>12360.676428548282</v>
      </c>
      <c r="L381" s="62">
        <f t="shared" si="371"/>
        <v>12071.287230653141</v>
      </c>
      <c r="M381" s="62">
        <f t="shared" si="371"/>
        <v>11674.545466410327</v>
      </c>
      <c r="N381" s="62">
        <f t="shared" si="371"/>
        <v>11141.367048396694</v>
      </c>
      <c r="O381" s="62">
        <f t="shared" si="371"/>
        <v>10444.399853557694</v>
      </c>
      <c r="P381" s="62">
        <f t="shared" si="371"/>
        <v>9566.6874744038923</v>
      </c>
      <c r="Q381" s="62">
        <f t="shared" si="371"/>
        <v>8513.4578141571128</v>
      </c>
      <c r="R381" s="62">
        <f t="shared" si="371"/>
        <v>7322.4934627241992</v>
      </c>
      <c r="S381" s="62">
        <f t="shared" si="371"/>
        <v>6065.1972833202499</v>
      </c>
      <c r="T381" s="62">
        <f t="shared" si="371"/>
        <v>4832.6423410204261</v>
      </c>
      <c r="U381" s="62">
        <f t="shared" si="371"/>
        <v>3710.6222066830942</v>
      </c>
      <c r="V381" s="62">
        <f t="shared" si="371"/>
        <v>2757.064871236083</v>
      </c>
      <c r="W381" s="62">
        <f t="shared" si="371"/>
        <v>1993.4362179862808</v>
      </c>
      <c r="X381" s="62">
        <f t="shared" si="371"/>
        <v>1410.7536632984488</v>
      </c>
      <c r="Y381" s="62">
        <f t="shared" si="371"/>
        <v>982.43525439445648</v>
      </c>
      <c r="Z381" s="62">
        <f t="shared" si="371"/>
        <v>676.1937883667581</v>
      </c>
      <c r="AA381" s="62">
        <f t="shared" si="371"/>
        <v>461.5637463140161</v>
      </c>
      <c r="AB381" s="62">
        <f t="shared" si="371"/>
        <v>313.24119506219733</v>
      </c>
      <c r="AC381" s="62">
        <f t="shared" si="371"/>
        <v>211.73668204434628</v>
      </c>
    </row>
    <row r="382" spans="1:29" ht="15.75" thickBot="1" x14ac:dyDescent="0.3">
      <c r="A382" s="31" t="s">
        <v>209</v>
      </c>
      <c r="B382" s="64">
        <f>B373+B374+B375+B376+B377+B378+B379+B380+B381</f>
        <v>5124554.7531076577</v>
      </c>
      <c r="C382" s="64">
        <f t="shared" ref="C382:AC382" si="372">C373+C374+C375+C376+C377+C378+C379+C380+C381</f>
        <v>5123070.9654072253</v>
      </c>
      <c r="D382" s="64">
        <f t="shared" si="372"/>
        <v>5120964.0552781355</v>
      </c>
      <c r="E382" s="64">
        <f t="shared" si="372"/>
        <v>5117985.8351463657</v>
      </c>
      <c r="F382" s="64">
        <f t="shared" si="372"/>
        <v>5113803.8260494331</v>
      </c>
      <c r="G382" s="64">
        <f t="shared" si="372"/>
        <v>5107987.9759779451</v>
      </c>
      <c r="H382" s="64">
        <f t="shared" si="372"/>
        <v>5100011.8994482821</v>
      </c>
      <c r="I382" s="64">
        <f t="shared" si="372"/>
        <v>5089287.2956510363</v>
      </c>
      <c r="J382" s="64">
        <f t="shared" si="372"/>
        <v>5075257.0264042979</v>
      </c>
      <c r="K382" s="64">
        <f t="shared" si="372"/>
        <v>5057566.8293080805</v>
      </c>
      <c r="L382" s="64">
        <f t="shared" si="372"/>
        <v>5036299.4725893466</v>
      </c>
      <c r="M382" s="64">
        <f t="shared" si="372"/>
        <v>5012181.3978377832</v>
      </c>
      <c r="N382" s="64">
        <f t="shared" si="372"/>
        <v>4986605.7055112356</v>
      </c>
      <c r="O382" s="64">
        <f t="shared" si="372"/>
        <v>4961359.014240874</v>
      </c>
      <c r="P382" s="64">
        <f t="shared" si="372"/>
        <v>4938133.1827151887</v>
      </c>
      <c r="Q382" s="64">
        <f t="shared" si="372"/>
        <v>4918087.2342137564</v>
      </c>
      <c r="R382" s="64">
        <f t="shared" si="372"/>
        <v>4901686.5034737634</v>
      </c>
      <c r="S382" s="64">
        <f t="shared" si="372"/>
        <v>4888823.4804822821</v>
      </c>
      <c r="T382" s="64">
        <f t="shared" si="372"/>
        <v>4879059.78555247</v>
      </c>
      <c r="U382" s="64">
        <f t="shared" si="372"/>
        <v>4871838.1237442009</v>
      </c>
      <c r="V382" s="64">
        <f t="shared" si="372"/>
        <v>4866609.6183882775</v>
      </c>
      <c r="W382" s="64">
        <f t="shared" si="372"/>
        <v>4862891.7378940377</v>
      </c>
      <c r="X382" s="64">
        <f t="shared" si="372"/>
        <v>4860287.3135885457</v>
      </c>
      <c r="Y382" s="64">
        <f t="shared" si="372"/>
        <v>4858484.6512024263</v>
      </c>
      <c r="Z382" s="64">
        <f t="shared" si="372"/>
        <v>4857248.4064598996</v>
      </c>
      <c r="AA382" s="64">
        <f t="shared" si="372"/>
        <v>4856406.3952365778</v>
      </c>
      <c r="AB382" s="64">
        <f t="shared" si="372"/>
        <v>4855835.7227906622</v>
      </c>
      <c r="AC382" s="64">
        <f t="shared" si="372"/>
        <v>4855450.2937225318</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373">A373</f>
        <v>Capex vehicle</v>
      </c>
      <c r="B385" s="65">
        <f>((1+B358)^B365)*B358/(((1+B358)^B365)-1)*(B354)/B370</f>
        <v>2.4421444531330927</v>
      </c>
      <c r="C385" s="65">
        <f t="shared" ref="C385:AC385" si="374">((1+C358)^C365)*C358/(((1+C358)^C365)-1)*(C354)/C370</f>
        <v>2.4421444531330927</v>
      </c>
      <c r="D385" s="65">
        <f t="shared" si="374"/>
        <v>2.4421444531330927</v>
      </c>
      <c r="E385" s="65">
        <f t="shared" si="374"/>
        <v>2.4421444531330927</v>
      </c>
      <c r="F385" s="65">
        <f t="shared" si="374"/>
        <v>2.4421444531330927</v>
      </c>
      <c r="G385" s="65">
        <f t="shared" si="374"/>
        <v>2.4421444531330927</v>
      </c>
      <c r="H385" s="65">
        <f t="shared" si="374"/>
        <v>2.4421444531330927</v>
      </c>
      <c r="I385" s="65">
        <f t="shared" si="374"/>
        <v>2.4421444531330927</v>
      </c>
      <c r="J385" s="65">
        <f t="shared" si="374"/>
        <v>2.4421444531330927</v>
      </c>
      <c r="K385" s="65">
        <f t="shared" si="374"/>
        <v>2.4421444531330927</v>
      </c>
      <c r="L385" s="65">
        <f t="shared" si="374"/>
        <v>2.4421444531330927</v>
      </c>
      <c r="M385" s="65">
        <f t="shared" si="374"/>
        <v>2.4421444531330927</v>
      </c>
      <c r="N385" s="65">
        <f t="shared" si="374"/>
        <v>2.4421444531330927</v>
      </c>
      <c r="O385" s="65">
        <f t="shared" si="374"/>
        <v>2.4421444531330927</v>
      </c>
      <c r="P385" s="65">
        <f t="shared" si="374"/>
        <v>2.4421444531330927</v>
      </c>
      <c r="Q385" s="65">
        <f t="shared" si="374"/>
        <v>2.4421444531330927</v>
      </c>
      <c r="R385" s="65">
        <f t="shared" si="374"/>
        <v>2.4421444531330927</v>
      </c>
      <c r="S385" s="65">
        <f t="shared" si="374"/>
        <v>2.4421444531330927</v>
      </c>
      <c r="T385" s="65">
        <f t="shared" si="374"/>
        <v>2.4421444531330927</v>
      </c>
      <c r="U385" s="65">
        <f t="shared" si="374"/>
        <v>2.4421444531330927</v>
      </c>
      <c r="V385" s="65">
        <f t="shared" si="374"/>
        <v>2.4421444531330927</v>
      </c>
      <c r="W385" s="65">
        <f t="shared" si="374"/>
        <v>2.4421444531330927</v>
      </c>
      <c r="X385" s="65">
        <f t="shared" si="374"/>
        <v>2.4421444531330927</v>
      </c>
      <c r="Y385" s="65">
        <f t="shared" si="374"/>
        <v>2.4421444531330927</v>
      </c>
      <c r="Z385" s="65">
        <f t="shared" si="374"/>
        <v>2.4421444531330927</v>
      </c>
      <c r="AA385" s="65">
        <f t="shared" si="374"/>
        <v>2.4421444531330927</v>
      </c>
      <c r="AB385" s="65">
        <f t="shared" si="374"/>
        <v>2.4421444531330927</v>
      </c>
      <c r="AC385" s="65">
        <f t="shared" si="374"/>
        <v>2.4421444531330927</v>
      </c>
    </row>
    <row r="386" spans="1:29" x14ac:dyDescent="0.25">
      <c r="A386" s="30" t="str">
        <f t="shared" si="373"/>
        <v>Residual value (vehicle)</v>
      </c>
      <c r="B386" s="66">
        <f>((1+B358)^B365)*B358/(((1+B358)^B365)-1)*(B355)/B370</f>
        <v>-0.3663216679699639</v>
      </c>
      <c r="C386" s="66">
        <f t="shared" ref="C386:AC386" si="375">((1+C358)^C365)*C358/(((1+C358)^C365)-1)*(C355)/C370</f>
        <v>-0.3663216679699639</v>
      </c>
      <c r="D386" s="66">
        <f t="shared" si="375"/>
        <v>-0.3663216679699639</v>
      </c>
      <c r="E386" s="66">
        <f t="shared" si="375"/>
        <v>-0.3663216679699639</v>
      </c>
      <c r="F386" s="66">
        <f t="shared" si="375"/>
        <v>-0.3663216679699639</v>
      </c>
      <c r="G386" s="66">
        <f t="shared" si="375"/>
        <v>-0.3663216679699639</v>
      </c>
      <c r="H386" s="66">
        <f t="shared" si="375"/>
        <v>-0.3663216679699639</v>
      </c>
      <c r="I386" s="66">
        <f t="shared" si="375"/>
        <v>-0.3663216679699639</v>
      </c>
      <c r="J386" s="66">
        <f t="shared" si="375"/>
        <v>-0.3663216679699639</v>
      </c>
      <c r="K386" s="66">
        <f t="shared" si="375"/>
        <v>-0.3663216679699639</v>
      </c>
      <c r="L386" s="66">
        <f t="shared" si="375"/>
        <v>-0.3663216679699639</v>
      </c>
      <c r="M386" s="66">
        <f t="shared" si="375"/>
        <v>-0.3663216679699639</v>
      </c>
      <c r="N386" s="66">
        <f t="shared" si="375"/>
        <v>-0.3663216679699639</v>
      </c>
      <c r="O386" s="66">
        <f t="shared" si="375"/>
        <v>-0.3663216679699639</v>
      </c>
      <c r="P386" s="66">
        <f t="shared" si="375"/>
        <v>-0.3663216679699639</v>
      </c>
      <c r="Q386" s="66">
        <f t="shared" si="375"/>
        <v>-0.3663216679699639</v>
      </c>
      <c r="R386" s="66">
        <f t="shared" si="375"/>
        <v>-0.3663216679699639</v>
      </c>
      <c r="S386" s="66">
        <f t="shared" si="375"/>
        <v>-0.3663216679699639</v>
      </c>
      <c r="T386" s="66">
        <f t="shared" si="375"/>
        <v>-0.3663216679699639</v>
      </c>
      <c r="U386" s="66">
        <f t="shared" si="375"/>
        <v>-0.3663216679699639</v>
      </c>
      <c r="V386" s="66">
        <f t="shared" si="375"/>
        <v>-0.3663216679699639</v>
      </c>
      <c r="W386" s="66">
        <f t="shared" si="375"/>
        <v>-0.3663216679699639</v>
      </c>
      <c r="X386" s="66">
        <f t="shared" si="375"/>
        <v>-0.3663216679699639</v>
      </c>
      <c r="Y386" s="66">
        <f t="shared" si="375"/>
        <v>-0.3663216679699639</v>
      </c>
      <c r="Z386" s="66">
        <f t="shared" si="375"/>
        <v>-0.3663216679699639</v>
      </c>
      <c r="AA386" s="66">
        <f t="shared" si="375"/>
        <v>-0.3663216679699639</v>
      </c>
      <c r="AB386" s="66">
        <f t="shared" si="375"/>
        <v>-0.3663216679699639</v>
      </c>
      <c r="AC386" s="66">
        <f t="shared" si="375"/>
        <v>-0.3663216679699639</v>
      </c>
    </row>
    <row r="387" spans="1:29" x14ac:dyDescent="0.25">
      <c r="A387" s="30" t="str">
        <f t="shared" si="373"/>
        <v>Capex costumization</v>
      </c>
      <c r="B387" s="66">
        <f>((1+B358)^B366)*B358/(((1+B358)^B366)-1)*(B356)/B370</f>
        <v>1.7093861527069927</v>
      </c>
      <c r="C387" s="66">
        <f t="shared" ref="C387:AC387" si="376">((1+C358)^C366)*C358/(((1+C358)^C366)-1)*(C356)/C370</f>
        <v>1.7093861527069927</v>
      </c>
      <c r="D387" s="66">
        <f t="shared" si="376"/>
        <v>1.7093861527069927</v>
      </c>
      <c r="E387" s="66">
        <f t="shared" si="376"/>
        <v>1.7093861527069927</v>
      </c>
      <c r="F387" s="66">
        <f t="shared" si="376"/>
        <v>1.7093861527069927</v>
      </c>
      <c r="G387" s="66">
        <f t="shared" si="376"/>
        <v>1.7093861527069927</v>
      </c>
      <c r="H387" s="66">
        <f t="shared" si="376"/>
        <v>1.7093861527069927</v>
      </c>
      <c r="I387" s="66">
        <f t="shared" si="376"/>
        <v>1.7093861527069927</v>
      </c>
      <c r="J387" s="66">
        <f t="shared" si="376"/>
        <v>1.7093861527069927</v>
      </c>
      <c r="K387" s="66">
        <f t="shared" si="376"/>
        <v>1.7093861527069927</v>
      </c>
      <c r="L387" s="66">
        <f t="shared" si="376"/>
        <v>1.7093861527069927</v>
      </c>
      <c r="M387" s="66">
        <f t="shared" si="376"/>
        <v>1.7093861527069927</v>
      </c>
      <c r="N387" s="66">
        <f t="shared" si="376"/>
        <v>1.7093861527069927</v>
      </c>
      <c r="O387" s="66">
        <f t="shared" si="376"/>
        <v>1.7093861527069927</v>
      </c>
      <c r="P387" s="66">
        <f t="shared" si="376"/>
        <v>1.7093861527069927</v>
      </c>
      <c r="Q387" s="66">
        <f t="shared" si="376"/>
        <v>1.7093861527069927</v>
      </c>
      <c r="R387" s="66">
        <f t="shared" si="376"/>
        <v>1.7093861527069927</v>
      </c>
      <c r="S387" s="66">
        <f t="shared" si="376"/>
        <v>1.7093861527069927</v>
      </c>
      <c r="T387" s="66">
        <f t="shared" si="376"/>
        <v>1.7093861527069927</v>
      </c>
      <c r="U387" s="66">
        <f t="shared" si="376"/>
        <v>1.7093861527069927</v>
      </c>
      <c r="V387" s="66">
        <f t="shared" si="376"/>
        <v>1.7093861527069927</v>
      </c>
      <c r="W387" s="66">
        <f t="shared" si="376"/>
        <v>1.7093861527069927</v>
      </c>
      <c r="X387" s="66">
        <f t="shared" si="376"/>
        <v>1.7093861527069927</v>
      </c>
      <c r="Y387" s="66">
        <f t="shared" si="376"/>
        <v>1.7093861527069927</v>
      </c>
      <c r="Z387" s="66">
        <f t="shared" si="376"/>
        <v>1.7093861527069927</v>
      </c>
      <c r="AA387" s="66">
        <f t="shared" si="376"/>
        <v>1.7093861527069927</v>
      </c>
      <c r="AB387" s="66">
        <f t="shared" si="376"/>
        <v>1.7093861527069927</v>
      </c>
      <c r="AC387" s="66">
        <f t="shared" si="376"/>
        <v>1.7093861527069927</v>
      </c>
    </row>
    <row r="388" spans="1:29" x14ac:dyDescent="0.25">
      <c r="A388" s="30" t="str">
        <f t="shared" si="373"/>
        <v>Residual value (costumization)</v>
      </c>
      <c r="B388" s="66">
        <f>((1+B358)^B366)*B358/(((1+B358)^B366)-1)*(B357)/B370</f>
        <v>-8.5469307635349642E-2</v>
      </c>
      <c r="C388" s="66">
        <f t="shared" ref="C388:AC388" si="377">((1+C358)^C366)*C358/(((1+C358)^C366)-1)*(C357)/C370</f>
        <v>-8.5469307635349642E-2</v>
      </c>
      <c r="D388" s="66">
        <f t="shared" si="377"/>
        <v>-8.5469307635349642E-2</v>
      </c>
      <c r="E388" s="66">
        <f t="shared" si="377"/>
        <v>-8.5469307635349642E-2</v>
      </c>
      <c r="F388" s="66">
        <f t="shared" si="377"/>
        <v>-8.5469307635349642E-2</v>
      </c>
      <c r="G388" s="66">
        <f t="shared" si="377"/>
        <v>-8.5469307635349642E-2</v>
      </c>
      <c r="H388" s="66">
        <f t="shared" si="377"/>
        <v>-8.5469307635349642E-2</v>
      </c>
      <c r="I388" s="66">
        <f t="shared" si="377"/>
        <v>-8.5469307635349642E-2</v>
      </c>
      <c r="J388" s="66">
        <f t="shared" si="377"/>
        <v>-8.5469307635349642E-2</v>
      </c>
      <c r="K388" s="66">
        <f t="shared" si="377"/>
        <v>-8.5469307635349642E-2</v>
      </c>
      <c r="L388" s="66">
        <f t="shared" si="377"/>
        <v>-8.5469307635349642E-2</v>
      </c>
      <c r="M388" s="66">
        <f t="shared" si="377"/>
        <v>-8.5469307635349642E-2</v>
      </c>
      <c r="N388" s="66">
        <f t="shared" si="377"/>
        <v>-8.5469307635349642E-2</v>
      </c>
      <c r="O388" s="66">
        <f t="shared" si="377"/>
        <v>-8.5469307635349642E-2</v>
      </c>
      <c r="P388" s="66">
        <f t="shared" si="377"/>
        <v>-8.5469307635349642E-2</v>
      </c>
      <c r="Q388" s="66">
        <f t="shared" si="377"/>
        <v>-8.5469307635349642E-2</v>
      </c>
      <c r="R388" s="66">
        <f t="shared" si="377"/>
        <v>-8.5469307635349642E-2</v>
      </c>
      <c r="S388" s="66">
        <f t="shared" si="377"/>
        <v>-8.5469307635349642E-2</v>
      </c>
      <c r="T388" s="66">
        <f t="shared" si="377"/>
        <v>-8.5469307635349642E-2</v>
      </c>
      <c r="U388" s="66">
        <f t="shared" si="377"/>
        <v>-8.5469307635349642E-2</v>
      </c>
      <c r="V388" s="66">
        <f t="shared" si="377"/>
        <v>-8.5469307635349642E-2</v>
      </c>
      <c r="W388" s="66">
        <f t="shared" si="377"/>
        <v>-8.5469307635349642E-2</v>
      </c>
      <c r="X388" s="66">
        <f t="shared" si="377"/>
        <v>-8.5469307635349642E-2</v>
      </c>
      <c r="Y388" s="66">
        <f t="shared" si="377"/>
        <v>-8.5469307635349642E-2</v>
      </c>
      <c r="Z388" s="66">
        <f t="shared" si="377"/>
        <v>-8.5469307635349642E-2</v>
      </c>
      <c r="AA388" s="66">
        <f t="shared" si="377"/>
        <v>-8.5469307635349642E-2</v>
      </c>
      <c r="AB388" s="66">
        <f t="shared" si="377"/>
        <v>-8.5469307635349642E-2</v>
      </c>
      <c r="AC388" s="66">
        <f t="shared" si="377"/>
        <v>-8.5469307635349642E-2</v>
      </c>
    </row>
    <row r="389" spans="1:29" x14ac:dyDescent="0.25">
      <c r="A389" s="30" t="str">
        <f t="shared" si="373"/>
        <v>Opex fix (admin, crew, insurance)</v>
      </c>
      <c r="B389" s="66">
        <f>B359/B370</f>
        <v>8.1232492997198875</v>
      </c>
      <c r="C389" s="66">
        <f t="shared" ref="C389:AC389" si="378">C359/C370</f>
        <v>8.1232492997198875</v>
      </c>
      <c r="D389" s="66">
        <f t="shared" si="378"/>
        <v>8.1232492997198875</v>
      </c>
      <c r="E389" s="66">
        <f t="shared" si="378"/>
        <v>8.1232492997198875</v>
      </c>
      <c r="F389" s="66">
        <f t="shared" si="378"/>
        <v>8.1232492997198875</v>
      </c>
      <c r="G389" s="66">
        <f t="shared" si="378"/>
        <v>8.1232492997198875</v>
      </c>
      <c r="H389" s="66">
        <f t="shared" si="378"/>
        <v>8.1232492997198875</v>
      </c>
      <c r="I389" s="66">
        <f t="shared" si="378"/>
        <v>8.1232492997198875</v>
      </c>
      <c r="J389" s="66">
        <f t="shared" si="378"/>
        <v>8.1232492997198875</v>
      </c>
      <c r="K389" s="66">
        <f t="shared" si="378"/>
        <v>8.1232492997198875</v>
      </c>
      <c r="L389" s="66">
        <f t="shared" si="378"/>
        <v>8.1232492997198875</v>
      </c>
      <c r="M389" s="66">
        <f t="shared" si="378"/>
        <v>8.1232492997198875</v>
      </c>
      <c r="N389" s="66">
        <f t="shared" si="378"/>
        <v>8.1232492997198875</v>
      </c>
      <c r="O389" s="66">
        <f t="shared" si="378"/>
        <v>8.1232492997198875</v>
      </c>
      <c r="P389" s="66">
        <f t="shared" si="378"/>
        <v>8.1232492997198875</v>
      </c>
      <c r="Q389" s="66">
        <f t="shared" si="378"/>
        <v>8.1232492997198875</v>
      </c>
      <c r="R389" s="66">
        <f t="shared" si="378"/>
        <v>8.1232492997198875</v>
      </c>
      <c r="S389" s="66">
        <f t="shared" si="378"/>
        <v>8.1232492997198875</v>
      </c>
      <c r="T389" s="66">
        <f t="shared" si="378"/>
        <v>8.1232492997198875</v>
      </c>
      <c r="U389" s="66">
        <f t="shared" si="378"/>
        <v>8.1232492997198875</v>
      </c>
      <c r="V389" s="66">
        <f t="shared" si="378"/>
        <v>8.1232492997198875</v>
      </c>
      <c r="W389" s="66">
        <f t="shared" si="378"/>
        <v>8.1232492997198875</v>
      </c>
      <c r="X389" s="66">
        <f t="shared" si="378"/>
        <v>8.1232492997198875</v>
      </c>
      <c r="Y389" s="66">
        <f t="shared" si="378"/>
        <v>8.1232492997198875</v>
      </c>
      <c r="Z389" s="66">
        <f t="shared" si="378"/>
        <v>8.1232492997198875</v>
      </c>
      <c r="AA389" s="66">
        <f t="shared" si="378"/>
        <v>8.1232492997198875</v>
      </c>
      <c r="AB389" s="66">
        <f t="shared" si="378"/>
        <v>8.1232492997198875</v>
      </c>
      <c r="AC389" s="66">
        <f t="shared" si="378"/>
        <v>8.1232492997198875</v>
      </c>
    </row>
    <row r="390" spans="1:29" x14ac:dyDescent="0.25">
      <c r="A390" s="30" t="str">
        <f t="shared" si="373"/>
        <v>Opex maintenance &amp; repair</v>
      </c>
      <c r="B390" s="66">
        <f>B360/B370</f>
        <v>3.6414565826330532</v>
      </c>
      <c r="C390" s="66">
        <f t="shared" ref="C390:AC390" si="379">C360/C370</f>
        <v>3.6414565826330532</v>
      </c>
      <c r="D390" s="66">
        <f t="shared" si="379"/>
        <v>3.6414565826330532</v>
      </c>
      <c r="E390" s="66">
        <f t="shared" si="379"/>
        <v>3.6414565826330532</v>
      </c>
      <c r="F390" s="66">
        <f t="shared" si="379"/>
        <v>3.6414565826330532</v>
      </c>
      <c r="G390" s="66">
        <f t="shared" si="379"/>
        <v>3.6414565826330532</v>
      </c>
      <c r="H390" s="66">
        <f t="shared" si="379"/>
        <v>3.6414565826330532</v>
      </c>
      <c r="I390" s="66">
        <f t="shared" si="379"/>
        <v>3.6414565826330532</v>
      </c>
      <c r="J390" s="66">
        <f t="shared" si="379"/>
        <v>3.6414565826330532</v>
      </c>
      <c r="K390" s="66">
        <f t="shared" si="379"/>
        <v>3.6414565826330532</v>
      </c>
      <c r="L390" s="66">
        <f t="shared" si="379"/>
        <v>3.6414565826330532</v>
      </c>
      <c r="M390" s="66">
        <f t="shared" si="379"/>
        <v>3.6414565826330532</v>
      </c>
      <c r="N390" s="66">
        <f t="shared" si="379"/>
        <v>3.6414565826330532</v>
      </c>
      <c r="O390" s="66">
        <f t="shared" si="379"/>
        <v>3.6414565826330532</v>
      </c>
      <c r="P390" s="66">
        <f t="shared" si="379"/>
        <v>3.6414565826330532</v>
      </c>
      <c r="Q390" s="66">
        <f t="shared" si="379"/>
        <v>3.6414565826330532</v>
      </c>
      <c r="R390" s="66">
        <f t="shared" si="379"/>
        <v>3.6414565826330532</v>
      </c>
      <c r="S390" s="66">
        <f t="shared" si="379"/>
        <v>3.6414565826330532</v>
      </c>
      <c r="T390" s="66">
        <f t="shared" si="379"/>
        <v>3.6414565826330532</v>
      </c>
      <c r="U390" s="66">
        <f t="shared" si="379"/>
        <v>3.6414565826330532</v>
      </c>
      <c r="V390" s="66">
        <f t="shared" si="379"/>
        <v>3.6414565826330532</v>
      </c>
      <c r="W390" s="66">
        <f t="shared" si="379"/>
        <v>3.6414565826330532</v>
      </c>
      <c r="X390" s="66">
        <f t="shared" si="379"/>
        <v>3.6414565826330532</v>
      </c>
      <c r="Y390" s="66">
        <f t="shared" si="379"/>
        <v>3.6414565826330532</v>
      </c>
      <c r="Z390" s="66">
        <f t="shared" si="379"/>
        <v>3.6414565826330532</v>
      </c>
      <c r="AA390" s="66">
        <f t="shared" si="379"/>
        <v>3.6414565826330532</v>
      </c>
      <c r="AB390" s="66">
        <f t="shared" si="379"/>
        <v>3.6414565826330532</v>
      </c>
      <c r="AC390" s="66">
        <f t="shared" si="379"/>
        <v>3.6414565826330532</v>
      </c>
    </row>
    <row r="391" spans="1:29" x14ac:dyDescent="0.25">
      <c r="A391" s="30" t="str">
        <f t="shared" si="373"/>
        <v>Opex var (mode-fees, shunting)</v>
      </c>
      <c r="B391" s="66">
        <f>B361*B370/B370</f>
        <v>8.9635854341736696</v>
      </c>
      <c r="C391" s="66">
        <f t="shared" ref="C391:AC391" si="380">C361*C370/C370</f>
        <v>8.9635854341736696</v>
      </c>
      <c r="D391" s="66">
        <f t="shared" si="380"/>
        <v>8.9635854341736696</v>
      </c>
      <c r="E391" s="66">
        <f t="shared" si="380"/>
        <v>8.9635854341736696</v>
      </c>
      <c r="F391" s="66">
        <f t="shared" si="380"/>
        <v>8.9635854341736696</v>
      </c>
      <c r="G391" s="66">
        <f t="shared" si="380"/>
        <v>8.9635854341736696</v>
      </c>
      <c r="H391" s="66">
        <f t="shared" si="380"/>
        <v>8.9635854341736696</v>
      </c>
      <c r="I391" s="66">
        <f t="shared" si="380"/>
        <v>8.9635854341736696</v>
      </c>
      <c r="J391" s="66">
        <f t="shared" si="380"/>
        <v>8.9635854341736696</v>
      </c>
      <c r="K391" s="66">
        <f t="shared" si="380"/>
        <v>8.9635854341736696</v>
      </c>
      <c r="L391" s="66">
        <f t="shared" si="380"/>
        <v>8.9635854341736696</v>
      </c>
      <c r="M391" s="66">
        <f t="shared" si="380"/>
        <v>8.9635854341736696</v>
      </c>
      <c r="N391" s="66">
        <f t="shared" si="380"/>
        <v>8.9635854341736696</v>
      </c>
      <c r="O391" s="66">
        <f t="shared" si="380"/>
        <v>8.9635854341736696</v>
      </c>
      <c r="P391" s="66">
        <f t="shared" si="380"/>
        <v>8.9635854341736696</v>
      </c>
      <c r="Q391" s="66">
        <f t="shared" si="380"/>
        <v>8.9635854341736696</v>
      </c>
      <c r="R391" s="66">
        <f t="shared" si="380"/>
        <v>8.9635854341736696</v>
      </c>
      <c r="S391" s="66">
        <f t="shared" si="380"/>
        <v>8.9635854341736696</v>
      </c>
      <c r="T391" s="66">
        <f t="shared" si="380"/>
        <v>8.9635854341736696</v>
      </c>
      <c r="U391" s="66">
        <f t="shared" si="380"/>
        <v>8.9635854341736696</v>
      </c>
      <c r="V391" s="66">
        <f t="shared" si="380"/>
        <v>8.9635854341736696</v>
      </c>
      <c r="W391" s="66">
        <f t="shared" si="380"/>
        <v>8.9635854341736696</v>
      </c>
      <c r="X391" s="66">
        <f t="shared" si="380"/>
        <v>8.9635854341736696</v>
      </c>
      <c r="Y391" s="66">
        <f t="shared" si="380"/>
        <v>8.9635854341736696</v>
      </c>
      <c r="Z391" s="66">
        <f t="shared" si="380"/>
        <v>8.9635854341736696</v>
      </c>
      <c r="AA391" s="66">
        <f t="shared" si="380"/>
        <v>8.9635854341736696</v>
      </c>
      <c r="AB391" s="66">
        <f t="shared" si="380"/>
        <v>8.9635854341736696</v>
      </c>
      <c r="AC391" s="66">
        <f t="shared" si="380"/>
        <v>8.9635854341736696</v>
      </c>
    </row>
    <row r="392" spans="1:29" x14ac:dyDescent="0.25">
      <c r="A392" s="30" t="str">
        <f t="shared" si="373"/>
        <v>Fuel Cost</v>
      </c>
      <c r="B392" s="66">
        <f>B362*B363*B370/B370</f>
        <v>4.2079079823045697</v>
      </c>
      <c r="C392" s="66">
        <f t="shared" ref="C392:AC392" si="381">C362*C363*C370/C370</f>
        <v>4.1996650087895331</v>
      </c>
      <c r="D392" s="66">
        <f t="shared" si="381"/>
        <v>4.1879611680431728</v>
      </c>
      <c r="E392" s="66">
        <f t="shared" si="381"/>
        <v>4.171418913815482</v>
      </c>
      <c r="F392" s="66">
        <f t="shared" si="381"/>
        <v>4.1481938873267925</v>
      </c>
      <c r="G392" s="66">
        <f t="shared" si="381"/>
        <v>4.1159026695618257</v>
      </c>
      <c r="H392" s="66">
        <f t="shared" si="381"/>
        <v>4.0716326180229148</v>
      </c>
      <c r="I392" s="66">
        <f t="shared" si="381"/>
        <v>4.0121384125415567</v>
      </c>
      <c r="J392" s="66">
        <f t="shared" si="381"/>
        <v>3.9343679925421928</v>
      </c>
      <c r="K392" s="66">
        <f t="shared" si="381"/>
        <v>3.8364292934600912</v>
      </c>
      <c r="L392" s="66">
        <f t="shared" si="381"/>
        <v>3.7189056658923683</v>
      </c>
      <c r="M392" s="66">
        <f t="shared" si="381"/>
        <v>3.5860130441146607</v>
      </c>
      <c r="N392" s="66">
        <f t="shared" si="381"/>
        <v>3.4457188485486436</v>
      </c>
      <c r="O392" s="66">
        <f t="shared" si="381"/>
        <v>3.3081853803384322</v>
      </c>
      <c r="P392" s="66">
        <f t="shared" si="381"/>
        <v>3.1829858332990417</v>
      </c>
      <c r="Q392" s="66">
        <f t="shared" si="381"/>
        <v>3.0765840470739101</v>
      </c>
      <c r="R392" s="66">
        <f t="shared" si="381"/>
        <v>2.9913752717878577</v>
      </c>
      <c r="S392" s="66">
        <f t="shared" si="381"/>
        <v>2.9263571944092766</v>
      </c>
      <c r="T392" s="66">
        <f t="shared" si="381"/>
        <v>2.8785636930786751</v>
      </c>
      <c r="U392" s="66">
        <f t="shared" si="381"/>
        <v>2.844392031039837</v>
      </c>
      <c r="V392" s="66">
        <f t="shared" si="381"/>
        <v>2.8204427424097194</v>
      </c>
      <c r="W392" s="66">
        <f t="shared" si="381"/>
        <v>2.8038923119279864</v>
      </c>
      <c r="X392" s="66">
        <f t="shared" si="381"/>
        <v>2.7925660276097513</v>
      </c>
      <c r="Y392" s="66">
        <f t="shared" si="381"/>
        <v>2.784866621574936</v>
      </c>
      <c r="Z392" s="66">
        <f t="shared" si="381"/>
        <v>2.7796565191855849</v>
      </c>
      <c r="AA392" s="66">
        <f t="shared" si="381"/>
        <v>2.7761417786742757</v>
      </c>
      <c r="AB392" s="66">
        <f t="shared" si="381"/>
        <v>2.7737756728218113</v>
      </c>
      <c r="AC392" s="66">
        <f t="shared" si="381"/>
        <v>2.77218505906768</v>
      </c>
    </row>
    <row r="393" spans="1:29" ht="15.75" thickBot="1" x14ac:dyDescent="0.3">
      <c r="A393" s="59" t="str">
        <f t="shared" ref="A393" si="382">A381</f>
        <v>Emission Cost</v>
      </c>
      <c r="B393" s="66">
        <f>B364</f>
        <v>7.3051284422328416E-2</v>
      </c>
      <c r="C393" s="66">
        <f t="shared" ref="C393:AC393" si="383">C364</f>
        <v>7.2981721800489563E-2</v>
      </c>
      <c r="D393" s="66">
        <f t="shared" si="383"/>
        <v>7.2882144456709708E-2</v>
      </c>
      <c r="E393" s="66">
        <f t="shared" si="383"/>
        <v>7.2739692063840775E-2</v>
      </c>
      <c r="F393" s="66">
        <f t="shared" si="383"/>
        <v>7.2536096160749949E-2</v>
      </c>
      <c r="G393" s="66">
        <f t="shared" si="383"/>
        <v>7.2245520808140104E-2</v>
      </c>
      <c r="H393" s="66">
        <f t="shared" si="383"/>
        <v>7.183167022008663E-2</v>
      </c>
      <c r="I393" s="66">
        <f t="shared" si="383"/>
        <v>7.1244061711272524E-2</v>
      </c>
      <c r="J393" s="66">
        <f t="shared" si="383"/>
        <v>7.0413533549636295E-2</v>
      </c>
      <c r="K393" s="66">
        <f t="shared" si="383"/>
        <v>6.9247486994668248E-2</v>
      </c>
      <c r="L393" s="66">
        <f t="shared" si="383"/>
        <v>6.7626258995255692E-2</v>
      </c>
      <c r="M393" s="66">
        <f t="shared" si="383"/>
        <v>6.5403616058321165E-2</v>
      </c>
      <c r="N393" s="66">
        <f t="shared" si="383"/>
        <v>6.2416622119869432E-2</v>
      </c>
      <c r="O393" s="66">
        <f t="shared" si="383"/>
        <v>5.8512043997522092E-2</v>
      </c>
      <c r="P393" s="66">
        <f t="shared" si="383"/>
        <v>5.3594887811786507E-2</v>
      </c>
      <c r="Q393" s="66">
        <f t="shared" si="383"/>
        <v>4.7694441535894194E-2</v>
      </c>
      <c r="R393" s="66">
        <f t="shared" si="383"/>
        <v>4.1022372340191592E-2</v>
      </c>
      <c r="S393" s="66">
        <f t="shared" si="383"/>
        <v>3.3978696265099438E-2</v>
      </c>
      <c r="T393" s="66">
        <f t="shared" si="383"/>
        <v>2.7073626560338522E-2</v>
      </c>
      <c r="U393" s="66">
        <f t="shared" si="383"/>
        <v>2.0787799477216214E-2</v>
      </c>
      <c r="V393" s="66">
        <f t="shared" si="383"/>
        <v>1.5445741575552285E-2</v>
      </c>
      <c r="W393" s="66">
        <f t="shared" si="383"/>
        <v>1.1167709904685047E-2</v>
      </c>
      <c r="X393" s="66">
        <f t="shared" si="383"/>
        <v>7.903381867218201E-3</v>
      </c>
      <c r="Y393" s="66">
        <f t="shared" si="383"/>
        <v>5.5038389601930332E-3</v>
      </c>
      <c r="Z393" s="66">
        <f t="shared" si="383"/>
        <v>3.7882004950518661E-3</v>
      </c>
      <c r="AA393" s="66">
        <f t="shared" si="383"/>
        <v>2.5857912958768409E-3</v>
      </c>
      <c r="AB393" s="66">
        <f t="shared" si="383"/>
        <v>1.7548526334016656E-3</v>
      </c>
      <c r="AC393" s="66">
        <f t="shared" si="383"/>
        <v>1.1861998994081024E-3</v>
      </c>
    </row>
    <row r="394" spans="1:29" ht="15.75" thickBot="1" x14ac:dyDescent="0.3">
      <c r="A394" s="31" t="s">
        <v>63</v>
      </c>
      <c r="B394" s="76">
        <f>B385+B386+B387-B388+B389+B390+B391+B392+B393</f>
        <v>28.879928828758977</v>
      </c>
      <c r="C394" s="76">
        <f t="shared" ref="C394:AC394" si="384">C385+C386+C387-C388+C389+C390+C391+C392+C393</f>
        <v>28.871616292622104</v>
      </c>
      <c r="D394" s="76">
        <f t="shared" si="384"/>
        <v>28.859812874531965</v>
      </c>
      <c r="E394" s="76">
        <f t="shared" si="384"/>
        <v>28.843128167911406</v>
      </c>
      <c r="F394" s="76">
        <f t="shared" si="384"/>
        <v>28.819699545519622</v>
      </c>
      <c r="G394" s="76">
        <f t="shared" si="384"/>
        <v>28.787117752402047</v>
      </c>
      <c r="H394" s="76">
        <f t="shared" si="384"/>
        <v>28.742433850275081</v>
      </c>
      <c r="I394" s="76">
        <f t="shared" si="384"/>
        <v>28.682352036284911</v>
      </c>
      <c r="J394" s="76">
        <f t="shared" si="384"/>
        <v>28.603751088123911</v>
      </c>
      <c r="K394" s="76">
        <f t="shared" si="384"/>
        <v>28.504646342486843</v>
      </c>
      <c r="L394" s="76">
        <f t="shared" si="384"/>
        <v>28.385501486919704</v>
      </c>
      <c r="M394" s="76">
        <f t="shared" si="384"/>
        <v>28.250386222205066</v>
      </c>
      <c r="N394" s="76">
        <f t="shared" si="384"/>
        <v>28.107105032700595</v>
      </c>
      <c r="O394" s="76">
        <f t="shared" si="384"/>
        <v>27.965666986368035</v>
      </c>
      <c r="P394" s="76">
        <f t="shared" si="384"/>
        <v>27.835550283142911</v>
      </c>
      <c r="Q394" s="76">
        <f t="shared" si="384"/>
        <v>27.723248050641889</v>
      </c>
      <c r="R394" s="76">
        <f t="shared" si="384"/>
        <v>27.631367206160132</v>
      </c>
      <c r="S394" s="76">
        <f t="shared" si="384"/>
        <v>27.559305452706457</v>
      </c>
      <c r="T394" s="76">
        <f t="shared" si="384"/>
        <v>27.504606881671094</v>
      </c>
      <c r="U394" s="76">
        <f t="shared" si="384"/>
        <v>27.464149392549135</v>
      </c>
      <c r="V394" s="76">
        <f t="shared" si="384"/>
        <v>27.43485804601735</v>
      </c>
      <c r="W394" s="76">
        <f t="shared" si="384"/>
        <v>27.414029583864753</v>
      </c>
      <c r="X394" s="76">
        <f t="shared" si="384"/>
        <v>27.399438971509053</v>
      </c>
      <c r="Y394" s="76">
        <f t="shared" si="384"/>
        <v>27.389340022567211</v>
      </c>
      <c r="Z394" s="76">
        <f t="shared" si="384"/>
        <v>27.38241428171272</v>
      </c>
      <c r="AA394" s="76">
        <f t="shared" si="384"/>
        <v>27.377697132002236</v>
      </c>
      <c r="AB394" s="76">
        <f t="shared" si="384"/>
        <v>27.374500087487295</v>
      </c>
      <c r="AC394" s="76">
        <f t="shared" si="384"/>
        <v>27.37234082099917</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385">A373</f>
        <v>Capex vehicle</v>
      </c>
      <c r="B397" s="65">
        <f>((1+B358)^B365)*B358/(((1+B358)^B365)-1)*(B354)/B370/(B367)</f>
        <v>1.0902430594344164E-3</v>
      </c>
      <c r="C397" s="65">
        <f t="shared" ref="C397:AC397" si="386">((1+C358)^C365)*C358/(((1+C358)^C365)-1)*(C354)/C370/(C367)</f>
        <v>1.0902430594344164E-3</v>
      </c>
      <c r="D397" s="65">
        <f t="shared" si="386"/>
        <v>1.0902430594344164E-3</v>
      </c>
      <c r="E397" s="65">
        <f t="shared" si="386"/>
        <v>1.0902430594344164E-3</v>
      </c>
      <c r="F397" s="65">
        <f t="shared" si="386"/>
        <v>1.0902430594344164E-3</v>
      </c>
      <c r="G397" s="65">
        <f t="shared" si="386"/>
        <v>1.0902430594344164E-3</v>
      </c>
      <c r="H397" s="65">
        <f t="shared" si="386"/>
        <v>1.0902430594344164E-3</v>
      </c>
      <c r="I397" s="65">
        <f t="shared" si="386"/>
        <v>1.0902430594344164E-3</v>
      </c>
      <c r="J397" s="65">
        <f t="shared" si="386"/>
        <v>1.0902430594344164E-3</v>
      </c>
      <c r="K397" s="65">
        <f t="shared" si="386"/>
        <v>1.0902430594344164E-3</v>
      </c>
      <c r="L397" s="65">
        <f t="shared" si="386"/>
        <v>1.0902430594344164E-3</v>
      </c>
      <c r="M397" s="65">
        <f t="shared" si="386"/>
        <v>1.0902430594344164E-3</v>
      </c>
      <c r="N397" s="65">
        <f t="shared" si="386"/>
        <v>1.0902430594344164E-3</v>
      </c>
      <c r="O397" s="65">
        <f t="shared" si="386"/>
        <v>1.0902430594344164E-3</v>
      </c>
      <c r="P397" s="65">
        <f t="shared" si="386"/>
        <v>1.0902430594344164E-3</v>
      </c>
      <c r="Q397" s="65">
        <f t="shared" si="386"/>
        <v>1.0902430594344164E-3</v>
      </c>
      <c r="R397" s="65">
        <f t="shared" si="386"/>
        <v>1.0902430594344164E-3</v>
      </c>
      <c r="S397" s="65">
        <f t="shared" si="386"/>
        <v>1.0902430594344164E-3</v>
      </c>
      <c r="T397" s="65">
        <f t="shared" si="386"/>
        <v>1.0902430594344164E-3</v>
      </c>
      <c r="U397" s="65">
        <f t="shared" si="386"/>
        <v>1.0902430594344164E-3</v>
      </c>
      <c r="V397" s="65">
        <f t="shared" si="386"/>
        <v>1.0902430594344164E-3</v>
      </c>
      <c r="W397" s="65">
        <f t="shared" si="386"/>
        <v>1.0902430594344164E-3</v>
      </c>
      <c r="X397" s="65">
        <f t="shared" si="386"/>
        <v>1.0902430594344164E-3</v>
      </c>
      <c r="Y397" s="65">
        <f t="shared" si="386"/>
        <v>1.0902430594344164E-3</v>
      </c>
      <c r="Z397" s="65">
        <f t="shared" si="386"/>
        <v>1.0902430594344164E-3</v>
      </c>
      <c r="AA397" s="65">
        <f t="shared" si="386"/>
        <v>1.0902430594344164E-3</v>
      </c>
      <c r="AB397" s="65">
        <f t="shared" si="386"/>
        <v>1.0902430594344164E-3</v>
      </c>
      <c r="AC397" s="65">
        <f t="shared" si="386"/>
        <v>1.0902430594344164E-3</v>
      </c>
    </row>
    <row r="398" spans="1:29" x14ac:dyDescent="0.25">
      <c r="A398" s="30" t="str">
        <f t="shared" si="385"/>
        <v>Residual value (vehicle)</v>
      </c>
      <c r="B398" s="68">
        <f>((1+B358)^B365)*B358/(((1+B358)^B365)-1)*(B355)/B370/(B367)</f>
        <v>-1.6353645891516245E-4</v>
      </c>
      <c r="C398" s="68">
        <f t="shared" ref="C398:AC398" si="387">((1+C358)^C365)*C358/(((1+C358)^C365)-1)*(C355)/C370/(C367)</f>
        <v>-1.6353645891516245E-4</v>
      </c>
      <c r="D398" s="68">
        <f t="shared" si="387"/>
        <v>-1.6353645891516245E-4</v>
      </c>
      <c r="E398" s="68">
        <f t="shared" si="387"/>
        <v>-1.6353645891516245E-4</v>
      </c>
      <c r="F398" s="68">
        <f t="shared" si="387"/>
        <v>-1.6353645891516245E-4</v>
      </c>
      <c r="G398" s="68">
        <f t="shared" si="387"/>
        <v>-1.6353645891516245E-4</v>
      </c>
      <c r="H398" s="68">
        <f t="shared" si="387"/>
        <v>-1.6353645891516245E-4</v>
      </c>
      <c r="I398" s="68">
        <f t="shared" si="387"/>
        <v>-1.6353645891516245E-4</v>
      </c>
      <c r="J398" s="68">
        <f t="shared" si="387"/>
        <v>-1.6353645891516245E-4</v>
      </c>
      <c r="K398" s="68">
        <f t="shared" si="387"/>
        <v>-1.6353645891516245E-4</v>
      </c>
      <c r="L398" s="68">
        <f t="shared" si="387"/>
        <v>-1.6353645891516245E-4</v>
      </c>
      <c r="M398" s="68">
        <f t="shared" si="387"/>
        <v>-1.6353645891516245E-4</v>
      </c>
      <c r="N398" s="68">
        <f t="shared" si="387"/>
        <v>-1.6353645891516245E-4</v>
      </c>
      <c r="O398" s="68">
        <f t="shared" si="387"/>
        <v>-1.6353645891516245E-4</v>
      </c>
      <c r="P398" s="68">
        <f t="shared" si="387"/>
        <v>-1.6353645891516245E-4</v>
      </c>
      <c r="Q398" s="68">
        <f t="shared" si="387"/>
        <v>-1.6353645891516245E-4</v>
      </c>
      <c r="R398" s="68">
        <f t="shared" si="387"/>
        <v>-1.6353645891516245E-4</v>
      </c>
      <c r="S398" s="68">
        <f t="shared" si="387"/>
        <v>-1.6353645891516245E-4</v>
      </c>
      <c r="T398" s="68">
        <f t="shared" si="387"/>
        <v>-1.6353645891516245E-4</v>
      </c>
      <c r="U398" s="68">
        <f t="shared" si="387"/>
        <v>-1.6353645891516245E-4</v>
      </c>
      <c r="V398" s="68">
        <f t="shared" si="387"/>
        <v>-1.6353645891516245E-4</v>
      </c>
      <c r="W398" s="68">
        <f t="shared" si="387"/>
        <v>-1.6353645891516245E-4</v>
      </c>
      <c r="X398" s="68">
        <f t="shared" si="387"/>
        <v>-1.6353645891516245E-4</v>
      </c>
      <c r="Y398" s="68">
        <f t="shared" si="387"/>
        <v>-1.6353645891516245E-4</v>
      </c>
      <c r="Z398" s="68">
        <f t="shared" si="387"/>
        <v>-1.6353645891516245E-4</v>
      </c>
      <c r="AA398" s="68">
        <f t="shared" si="387"/>
        <v>-1.6353645891516245E-4</v>
      </c>
      <c r="AB398" s="68">
        <f t="shared" si="387"/>
        <v>-1.6353645891516245E-4</v>
      </c>
      <c r="AC398" s="68">
        <f t="shared" si="387"/>
        <v>-1.6353645891516245E-4</v>
      </c>
    </row>
    <row r="399" spans="1:29" x14ac:dyDescent="0.25">
      <c r="A399" s="30" t="str">
        <f t="shared" si="385"/>
        <v>Capex costumization</v>
      </c>
      <c r="B399" s="66">
        <f>((1+B358)^B366)*B358/(((1+B358)^B366)-1)*(B356)/B370/(B367)</f>
        <v>7.6311881817276459E-4</v>
      </c>
      <c r="C399" s="66">
        <f t="shared" ref="C399:AC399" si="388">((1+C358)^C366)*C358/(((1+C358)^C366)-1)*(C356)/C370/(C367)</f>
        <v>7.6311881817276459E-4</v>
      </c>
      <c r="D399" s="66">
        <f t="shared" si="388"/>
        <v>7.6311881817276459E-4</v>
      </c>
      <c r="E399" s="66">
        <f t="shared" si="388"/>
        <v>7.6311881817276459E-4</v>
      </c>
      <c r="F399" s="66">
        <f t="shared" si="388"/>
        <v>7.6311881817276459E-4</v>
      </c>
      <c r="G399" s="66">
        <f t="shared" si="388"/>
        <v>7.6311881817276459E-4</v>
      </c>
      <c r="H399" s="66">
        <f t="shared" si="388"/>
        <v>7.6311881817276459E-4</v>
      </c>
      <c r="I399" s="66">
        <f t="shared" si="388"/>
        <v>7.6311881817276459E-4</v>
      </c>
      <c r="J399" s="66">
        <f t="shared" si="388"/>
        <v>7.6311881817276459E-4</v>
      </c>
      <c r="K399" s="66">
        <f t="shared" si="388"/>
        <v>7.6311881817276459E-4</v>
      </c>
      <c r="L399" s="66">
        <f t="shared" si="388"/>
        <v>7.6311881817276459E-4</v>
      </c>
      <c r="M399" s="66">
        <f t="shared" si="388"/>
        <v>7.6311881817276459E-4</v>
      </c>
      <c r="N399" s="66">
        <f t="shared" si="388"/>
        <v>7.6311881817276459E-4</v>
      </c>
      <c r="O399" s="66">
        <f t="shared" si="388"/>
        <v>7.6311881817276459E-4</v>
      </c>
      <c r="P399" s="66">
        <f t="shared" si="388"/>
        <v>7.6311881817276459E-4</v>
      </c>
      <c r="Q399" s="66">
        <f t="shared" si="388"/>
        <v>7.6311881817276459E-4</v>
      </c>
      <c r="R399" s="66">
        <f t="shared" si="388"/>
        <v>7.6311881817276459E-4</v>
      </c>
      <c r="S399" s="66">
        <f t="shared" si="388"/>
        <v>7.6311881817276459E-4</v>
      </c>
      <c r="T399" s="66">
        <f t="shared" si="388"/>
        <v>7.6311881817276459E-4</v>
      </c>
      <c r="U399" s="66">
        <f t="shared" si="388"/>
        <v>7.6311881817276459E-4</v>
      </c>
      <c r="V399" s="66">
        <f t="shared" si="388"/>
        <v>7.6311881817276459E-4</v>
      </c>
      <c r="W399" s="66">
        <f t="shared" si="388"/>
        <v>7.6311881817276459E-4</v>
      </c>
      <c r="X399" s="66">
        <f t="shared" si="388"/>
        <v>7.6311881817276459E-4</v>
      </c>
      <c r="Y399" s="66">
        <f t="shared" si="388"/>
        <v>7.6311881817276459E-4</v>
      </c>
      <c r="Z399" s="66">
        <f t="shared" si="388"/>
        <v>7.6311881817276459E-4</v>
      </c>
      <c r="AA399" s="66">
        <f t="shared" si="388"/>
        <v>7.6311881817276459E-4</v>
      </c>
      <c r="AB399" s="66">
        <f t="shared" si="388"/>
        <v>7.6311881817276459E-4</v>
      </c>
      <c r="AC399" s="66">
        <f t="shared" si="388"/>
        <v>7.6311881817276459E-4</v>
      </c>
    </row>
    <row r="400" spans="1:29" x14ac:dyDescent="0.25">
      <c r="A400" s="30" t="str">
        <f t="shared" si="385"/>
        <v>Residual value (costumization)</v>
      </c>
      <c r="B400" s="69">
        <f>((1+B358)^B366)*B358/(((1+B358)^B366)-1)*(B357)/B370/(B367)</f>
        <v>-3.8155940908638231E-5</v>
      </c>
      <c r="C400" s="69">
        <f t="shared" ref="C400:AC400" si="389">((1+C358)^C366)*C358/(((1+C358)^C366)-1)*(C357)/C370/(C367)</f>
        <v>-3.8155940908638231E-5</v>
      </c>
      <c r="D400" s="69">
        <f t="shared" si="389"/>
        <v>-3.8155940908638231E-5</v>
      </c>
      <c r="E400" s="69">
        <f t="shared" si="389"/>
        <v>-3.8155940908638231E-5</v>
      </c>
      <c r="F400" s="69">
        <f t="shared" si="389"/>
        <v>-3.8155940908638231E-5</v>
      </c>
      <c r="G400" s="69">
        <f t="shared" si="389"/>
        <v>-3.8155940908638231E-5</v>
      </c>
      <c r="H400" s="69">
        <f t="shared" si="389"/>
        <v>-3.8155940908638231E-5</v>
      </c>
      <c r="I400" s="69">
        <f t="shared" si="389"/>
        <v>-3.8155940908638231E-5</v>
      </c>
      <c r="J400" s="69">
        <f t="shared" si="389"/>
        <v>-3.8155940908638231E-5</v>
      </c>
      <c r="K400" s="69">
        <f t="shared" si="389"/>
        <v>-3.8155940908638231E-5</v>
      </c>
      <c r="L400" s="69">
        <f t="shared" si="389"/>
        <v>-3.8155940908638231E-5</v>
      </c>
      <c r="M400" s="69">
        <f t="shared" si="389"/>
        <v>-3.8155940908638231E-5</v>
      </c>
      <c r="N400" s="69">
        <f t="shared" si="389"/>
        <v>-3.8155940908638231E-5</v>
      </c>
      <c r="O400" s="69">
        <f t="shared" si="389"/>
        <v>-3.8155940908638231E-5</v>
      </c>
      <c r="P400" s="69">
        <f t="shared" si="389"/>
        <v>-3.8155940908638231E-5</v>
      </c>
      <c r="Q400" s="69">
        <f t="shared" si="389"/>
        <v>-3.8155940908638231E-5</v>
      </c>
      <c r="R400" s="69">
        <f t="shared" si="389"/>
        <v>-3.8155940908638231E-5</v>
      </c>
      <c r="S400" s="69">
        <f t="shared" si="389"/>
        <v>-3.8155940908638231E-5</v>
      </c>
      <c r="T400" s="69">
        <f t="shared" si="389"/>
        <v>-3.8155940908638231E-5</v>
      </c>
      <c r="U400" s="69">
        <f t="shared" si="389"/>
        <v>-3.8155940908638231E-5</v>
      </c>
      <c r="V400" s="69">
        <f t="shared" si="389"/>
        <v>-3.8155940908638231E-5</v>
      </c>
      <c r="W400" s="69">
        <f t="shared" si="389"/>
        <v>-3.8155940908638231E-5</v>
      </c>
      <c r="X400" s="69">
        <f t="shared" si="389"/>
        <v>-3.8155940908638231E-5</v>
      </c>
      <c r="Y400" s="69">
        <f t="shared" si="389"/>
        <v>-3.8155940908638231E-5</v>
      </c>
      <c r="Z400" s="69">
        <f t="shared" si="389"/>
        <v>-3.8155940908638231E-5</v>
      </c>
      <c r="AA400" s="69">
        <f t="shared" si="389"/>
        <v>-3.8155940908638231E-5</v>
      </c>
      <c r="AB400" s="69">
        <f t="shared" si="389"/>
        <v>-3.8155940908638231E-5</v>
      </c>
      <c r="AC400" s="69">
        <f t="shared" si="389"/>
        <v>-3.8155940908638231E-5</v>
      </c>
    </row>
    <row r="401" spans="1:29" x14ac:dyDescent="0.25">
      <c r="A401" s="30" t="str">
        <f t="shared" si="385"/>
        <v>Opex fix (admin, crew, insurance)</v>
      </c>
      <c r="B401" s="66">
        <f>B359/B370/(B367)</f>
        <v>3.6264505802320927E-3</v>
      </c>
      <c r="C401" s="66">
        <f t="shared" ref="C401:AC401" si="390">C359/C370/(C367)</f>
        <v>3.6264505802320927E-3</v>
      </c>
      <c r="D401" s="66">
        <f t="shared" si="390"/>
        <v>3.6264505802320927E-3</v>
      </c>
      <c r="E401" s="66">
        <f t="shared" si="390"/>
        <v>3.6264505802320927E-3</v>
      </c>
      <c r="F401" s="66">
        <f t="shared" si="390"/>
        <v>3.6264505802320927E-3</v>
      </c>
      <c r="G401" s="66">
        <f t="shared" si="390"/>
        <v>3.6264505802320927E-3</v>
      </c>
      <c r="H401" s="66">
        <f t="shared" si="390"/>
        <v>3.6264505802320927E-3</v>
      </c>
      <c r="I401" s="66">
        <f t="shared" si="390"/>
        <v>3.6264505802320927E-3</v>
      </c>
      <c r="J401" s="66">
        <f t="shared" si="390"/>
        <v>3.6264505802320927E-3</v>
      </c>
      <c r="K401" s="66">
        <f t="shared" si="390"/>
        <v>3.6264505802320927E-3</v>
      </c>
      <c r="L401" s="66">
        <f t="shared" si="390"/>
        <v>3.6264505802320927E-3</v>
      </c>
      <c r="M401" s="66">
        <f t="shared" si="390"/>
        <v>3.6264505802320927E-3</v>
      </c>
      <c r="N401" s="66">
        <f t="shared" si="390"/>
        <v>3.6264505802320927E-3</v>
      </c>
      <c r="O401" s="66">
        <f t="shared" si="390"/>
        <v>3.6264505802320927E-3</v>
      </c>
      <c r="P401" s="66">
        <f t="shared" si="390"/>
        <v>3.6264505802320927E-3</v>
      </c>
      <c r="Q401" s="66">
        <f t="shared" si="390"/>
        <v>3.6264505802320927E-3</v>
      </c>
      <c r="R401" s="66">
        <f t="shared" si="390"/>
        <v>3.6264505802320927E-3</v>
      </c>
      <c r="S401" s="66">
        <f t="shared" si="390"/>
        <v>3.6264505802320927E-3</v>
      </c>
      <c r="T401" s="66">
        <f t="shared" si="390"/>
        <v>3.6264505802320927E-3</v>
      </c>
      <c r="U401" s="66">
        <f t="shared" si="390"/>
        <v>3.6264505802320927E-3</v>
      </c>
      <c r="V401" s="66">
        <f t="shared" si="390"/>
        <v>3.6264505802320927E-3</v>
      </c>
      <c r="W401" s="66">
        <f t="shared" si="390"/>
        <v>3.6264505802320927E-3</v>
      </c>
      <c r="X401" s="66">
        <f t="shared" si="390"/>
        <v>3.6264505802320927E-3</v>
      </c>
      <c r="Y401" s="66">
        <f t="shared" si="390"/>
        <v>3.6264505802320927E-3</v>
      </c>
      <c r="Z401" s="66">
        <f t="shared" si="390"/>
        <v>3.6264505802320927E-3</v>
      </c>
      <c r="AA401" s="66">
        <f t="shared" si="390"/>
        <v>3.6264505802320927E-3</v>
      </c>
      <c r="AB401" s="66">
        <f t="shared" si="390"/>
        <v>3.6264505802320927E-3</v>
      </c>
      <c r="AC401" s="66">
        <f t="shared" si="390"/>
        <v>3.6264505802320927E-3</v>
      </c>
    </row>
    <row r="402" spans="1:29" x14ac:dyDescent="0.25">
      <c r="A402" s="30" t="str">
        <f t="shared" si="385"/>
        <v>Opex maintenance &amp; repair</v>
      </c>
      <c r="B402" s="66">
        <f>B360/B370/(B367)</f>
        <v>1.6256502601040416E-3</v>
      </c>
      <c r="C402" s="66">
        <f t="shared" ref="C402:AC402" si="391">C360/C370/(C367)</f>
        <v>1.6256502601040416E-3</v>
      </c>
      <c r="D402" s="66">
        <f t="shared" si="391"/>
        <v>1.6256502601040416E-3</v>
      </c>
      <c r="E402" s="66">
        <f t="shared" si="391"/>
        <v>1.6256502601040416E-3</v>
      </c>
      <c r="F402" s="66">
        <f t="shared" si="391"/>
        <v>1.6256502601040416E-3</v>
      </c>
      <c r="G402" s="66">
        <f t="shared" si="391"/>
        <v>1.6256502601040416E-3</v>
      </c>
      <c r="H402" s="66">
        <f t="shared" si="391"/>
        <v>1.6256502601040416E-3</v>
      </c>
      <c r="I402" s="66">
        <f t="shared" si="391"/>
        <v>1.6256502601040416E-3</v>
      </c>
      <c r="J402" s="66">
        <f t="shared" si="391"/>
        <v>1.6256502601040416E-3</v>
      </c>
      <c r="K402" s="66">
        <f t="shared" si="391"/>
        <v>1.6256502601040416E-3</v>
      </c>
      <c r="L402" s="66">
        <f t="shared" si="391"/>
        <v>1.6256502601040416E-3</v>
      </c>
      <c r="M402" s="66">
        <f t="shared" si="391"/>
        <v>1.6256502601040416E-3</v>
      </c>
      <c r="N402" s="66">
        <f t="shared" si="391"/>
        <v>1.6256502601040416E-3</v>
      </c>
      <c r="O402" s="66">
        <f t="shared" si="391"/>
        <v>1.6256502601040416E-3</v>
      </c>
      <c r="P402" s="66">
        <f t="shared" si="391"/>
        <v>1.6256502601040416E-3</v>
      </c>
      <c r="Q402" s="66">
        <f t="shared" si="391"/>
        <v>1.6256502601040416E-3</v>
      </c>
      <c r="R402" s="66">
        <f t="shared" si="391"/>
        <v>1.6256502601040416E-3</v>
      </c>
      <c r="S402" s="66">
        <f t="shared" si="391"/>
        <v>1.6256502601040416E-3</v>
      </c>
      <c r="T402" s="66">
        <f t="shared" si="391"/>
        <v>1.6256502601040416E-3</v>
      </c>
      <c r="U402" s="66">
        <f t="shared" si="391"/>
        <v>1.6256502601040416E-3</v>
      </c>
      <c r="V402" s="66">
        <f t="shared" si="391"/>
        <v>1.6256502601040416E-3</v>
      </c>
      <c r="W402" s="66">
        <f t="shared" si="391"/>
        <v>1.6256502601040416E-3</v>
      </c>
      <c r="X402" s="66">
        <f t="shared" si="391"/>
        <v>1.6256502601040416E-3</v>
      </c>
      <c r="Y402" s="66">
        <f t="shared" si="391"/>
        <v>1.6256502601040416E-3</v>
      </c>
      <c r="Z402" s="66">
        <f t="shared" si="391"/>
        <v>1.6256502601040416E-3</v>
      </c>
      <c r="AA402" s="66">
        <f t="shared" si="391"/>
        <v>1.6256502601040416E-3</v>
      </c>
      <c r="AB402" s="66">
        <f t="shared" si="391"/>
        <v>1.6256502601040416E-3</v>
      </c>
      <c r="AC402" s="66">
        <f t="shared" si="391"/>
        <v>1.6256502601040416E-3</v>
      </c>
    </row>
    <row r="403" spans="1:29" x14ac:dyDescent="0.25">
      <c r="A403" s="30" t="str">
        <f t="shared" si="385"/>
        <v>Opex var (mode-fees, shunting)</v>
      </c>
      <c r="B403" s="66">
        <f>B361*B370/B370/(B367)</f>
        <v>4.0016006402561026E-3</v>
      </c>
      <c r="C403" s="66">
        <f t="shared" ref="C403:AC403" si="392">C361*C370/C370/(C367)</f>
        <v>4.0016006402561026E-3</v>
      </c>
      <c r="D403" s="66">
        <f t="shared" si="392"/>
        <v>4.0016006402561026E-3</v>
      </c>
      <c r="E403" s="66">
        <f t="shared" si="392"/>
        <v>4.0016006402561026E-3</v>
      </c>
      <c r="F403" s="66">
        <f t="shared" si="392"/>
        <v>4.0016006402561026E-3</v>
      </c>
      <c r="G403" s="66">
        <f t="shared" si="392"/>
        <v>4.0016006402561026E-3</v>
      </c>
      <c r="H403" s="66">
        <f t="shared" si="392"/>
        <v>4.0016006402561026E-3</v>
      </c>
      <c r="I403" s="66">
        <f t="shared" si="392"/>
        <v>4.0016006402561026E-3</v>
      </c>
      <c r="J403" s="66">
        <f t="shared" si="392"/>
        <v>4.0016006402561026E-3</v>
      </c>
      <c r="K403" s="66">
        <f t="shared" si="392"/>
        <v>4.0016006402561026E-3</v>
      </c>
      <c r="L403" s="66">
        <f t="shared" si="392"/>
        <v>4.0016006402561026E-3</v>
      </c>
      <c r="M403" s="66">
        <f t="shared" si="392"/>
        <v>4.0016006402561026E-3</v>
      </c>
      <c r="N403" s="66">
        <f t="shared" si="392"/>
        <v>4.0016006402561026E-3</v>
      </c>
      <c r="O403" s="66">
        <f t="shared" si="392"/>
        <v>4.0016006402561026E-3</v>
      </c>
      <c r="P403" s="66">
        <f t="shared" si="392"/>
        <v>4.0016006402561026E-3</v>
      </c>
      <c r="Q403" s="66">
        <f t="shared" si="392"/>
        <v>4.0016006402561026E-3</v>
      </c>
      <c r="R403" s="66">
        <f t="shared" si="392"/>
        <v>4.0016006402561026E-3</v>
      </c>
      <c r="S403" s="66">
        <f t="shared" si="392"/>
        <v>4.0016006402561026E-3</v>
      </c>
      <c r="T403" s="66">
        <f t="shared" si="392"/>
        <v>4.0016006402561026E-3</v>
      </c>
      <c r="U403" s="66">
        <f t="shared" si="392"/>
        <v>4.0016006402561026E-3</v>
      </c>
      <c r="V403" s="66">
        <f t="shared" si="392"/>
        <v>4.0016006402561026E-3</v>
      </c>
      <c r="W403" s="66">
        <f t="shared" si="392"/>
        <v>4.0016006402561026E-3</v>
      </c>
      <c r="X403" s="66">
        <f t="shared" si="392"/>
        <v>4.0016006402561026E-3</v>
      </c>
      <c r="Y403" s="66">
        <f t="shared" si="392"/>
        <v>4.0016006402561026E-3</v>
      </c>
      <c r="Z403" s="66">
        <f t="shared" si="392"/>
        <v>4.0016006402561026E-3</v>
      </c>
      <c r="AA403" s="66">
        <f t="shared" si="392"/>
        <v>4.0016006402561026E-3</v>
      </c>
      <c r="AB403" s="66">
        <f t="shared" si="392"/>
        <v>4.0016006402561026E-3</v>
      </c>
      <c r="AC403" s="66">
        <f t="shared" si="392"/>
        <v>4.0016006402561026E-3</v>
      </c>
    </row>
    <row r="404" spans="1:29" x14ac:dyDescent="0.25">
      <c r="A404" s="30" t="str">
        <f t="shared" si="385"/>
        <v>Fuel Cost</v>
      </c>
      <c r="B404" s="66">
        <f>B362*B363*B370/B370/(B367)</f>
        <v>1.8785303492431114E-3</v>
      </c>
      <c r="C404" s="66">
        <f t="shared" ref="C404:AC404" si="393">C362*C363*C370/C370/(C367)</f>
        <v>1.8748504503524701E-3</v>
      </c>
      <c r="D404" s="66">
        <f t="shared" si="393"/>
        <v>1.8696255214478449E-3</v>
      </c>
      <c r="E404" s="66">
        <f t="shared" si="393"/>
        <v>1.8622405865247687E-3</v>
      </c>
      <c r="F404" s="66">
        <f t="shared" si="393"/>
        <v>1.8518722711280324E-3</v>
      </c>
      <c r="G404" s="66">
        <f t="shared" si="393"/>
        <v>1.8374565489115294E-3</v>
      </c>
      <c r="H404" s="66">
        <f t="shared" si="393"/>
        <v>1.8176931330459441E-3</v>
      </c>
      <c r="I404" s="66">
        <f t="shared" si="393"/>
        <v>1.7911332198846236E-3</v>
      </c>
      <c r="J404" s="66">
        <f t="shared" si="393"/>
        <v>1.7564142823849075E-3</v>
      </c>
      <c r="K404" s="66">
        <f t="shared" si="393"/>
        <v>1.7126916488661122E-3</v>
      </c>
      <c r="L404" s="66">
        <f t="shared" si="393"/>
        <v>1.66022574370195E-3</v>
      </c>
      <c r="M404" s="66">
        <f t="shared" si="393"/>
        <v>1.6008986804083307E-3</v>
      </c>
      <c r="N404" s="66">
        <f t="shared" si="393"/>
        <v>1.5382673431020731E-3</v>
      </c>
      <c r="O404" s="66">
        <f t="shared" si="393"/>
        <v>1.4768684733653715E-3</v>
      </c>
      <c r="P404" s="66">
        <f t="shared" si="393"/>
        <v>1.4209758184370721E-3</v>
      </c>
      <c r="Q404" s="66">
        <f t="shared" si="393"/>
        <v>1.3734750210151385E-3</v>
      </c>
      <c r="R404" s="66">
        <f t="shared" si="393"/>
        <v>1.3354353891910078E-3</v>
      </c>
      <c r="S404" s="66">
        <f t="shared" si="393"/>
        <v>1.3064094617898556E-3</v>
      </c>
      <c r="T404" s="66">
        <f t="shared" si="393"/>
        <v>1.2850730772672656E-3</v>
      </c>
      <c r="U404" s="66">
        <f t="shared" si="393"/>
        <v>1.2698178709999273E-3</v>
      </c>
      <c r="V404" s="66">
        <f t="shared" si="393"/>
        <v>1.2591262242900533E-3</v>
      </c>
      <c r="W404" s="66">
        <f t="shared" si="393"/>
        <v>1.2517376392535654E-3</v>
      </c>
      <c r="X404" s="66">
        <f t="shared" si="393"/>
        <v>1.2466812623257819E-3</v>
      </c>
      <c r="Y404" s="66">
        <f t="shared" si="393"/>
        <v>1.2432440274888108E-3</v>
      </c>
      <c r="Z404" s="66">
        <f t="shared" si="393"/>
        <v>1.2409180889221361E-3</v>
      </c>
      <c r="AA404" s="66">
        <f t="shared" si="393"/>
        <v>1.2393490083367302E-3</v>
      </c>
      <c r="AB404" s="66">
        <f t="shared" si="393"/>
        <v>1.2382927110811657E-3</v>
      </c>
      <c r="AC404" s="66">
        <f t="shared" si="393"/>
        <v>1.2375826156552142E-3</v>
      </c>
    </row>
    <row r="405" spans="1:29" x14ac:dyDescent="0.25">
      <c r="A405" s="59" t="str">
        <f>A368</f>
        <v>Market failure (av. utilization)</v>
      </c>
      <c r="B405" s="66">
        <f t="shared" ref="B405:AC405" si="394">B394/B368-B394/B367</f>
        <v>5.0138765327706527E-3</v>
      </c>
      <c r="C405" s="66">
        <f t="shared" si="394"/>
        <v>5.0124333841357789E-3</v>
      </c>
      <c r="D405" s="66">
        <f t="shared" si="394"/>
        <v>5.0103841796062427E-3</v>
      </c>
      <c r="E405" s="66">
        <f t="shared" si="394"/>
        <v>5.0074875291512833E-3</v>
      </c>
      <c r="F405" s="66">
        <f t="shared" si="394"/>
        <v>5.0034200599860437E-3</v>
      </c>
      <c r="G405" s="66">
        <f t="shared" si="394"/>
        <v>4.9977634986809079E-3</v>
      </c>
      <c r="H405" s="66">
        <f t="shared" si="394"/>
        <v>4.9900058767838647E-3</v>
      </c>
      <c r="I405" s="66">
        <f t="shared" si="394"/>
        <v>4.9795750062994609E-3</v>
      </c>
      <c r="J405" s="66">
        <f t="shared" si="394"/>
        <v>4.9659290083548437E-3</v>
      </c>
      <c r="K405" s="66">
        <f t="shared" si="394"/>
        <v>4.9487233233484092E-3</v>
      </c>
      <c r="L405" s="66">
        <f t="shared" si="394"/>
        <v>4.9280384525902249E-3</v>
      </c>
      <c r="M405" s="66">
        <f t="shared" si="394"/>
        <v>4.9045809413550447E-3</v>
      </c>
      <c r="N405" s="66">
        <f t="shared" si="394"/>
        <v>4.8797057348438505E-3</v>
      </c>
      <c r="O405" s="66">
        <f t="shared" si="394"/>
        <v>4.8551505184666697E-3</v>
      </c>
      <c r="P405" s="66">
        <f t="shared" si="394"/>
        <v>4.8325608130456426E-3</v>
      </c>
      <c r="Q405" s="66">
        <f t="shared" si="394"/>
        <v>4.8130638976808804E-3</v>
      </c>
      <c r="R405" s="66">
        <f t="shared" si="394"/>
        <v>4.7971123621805747E-3</v>
      </c>
      <c r="S405" s="66">
        <f t="shared" si="394"/>
        <v>4.7846016410948693E-3</v>
      </c>
      <c r="T405" s="66">
        <f t="shared" si="394"/>
        <v>4.7751053614012284E-3</v>
      </c>
      <c r="U405" s="66">
        <f t="shared" si="394"/>
        <v>4.7680814917619996E-3</v>
      </c>
      <c r="V405" s="66">
        <f t="shared" si="394"/>
        <v>4.7629961885446749E-3</v>
      </c>
      <c r="W405" s="66">
        <f t="shared" si="394"/>
        <v>4.7593801360876296E-3</v>
      </c>
      <c r="X405" s="66">
        <f t="shared" si="394"/>
        <v>4.7568470436647661E-3</v>
      </c>
      <c r="Y405" s="66">
        <f t="shared" si="394"/>
        <v>4.7550937539179144E-3</v>
      </c>
      <c r="Z405" s="66">
        <f t="shared" si="394"/>
        <v>4.7538913683529017E-3</v>
      </c>
      <c r="AA405" s="66">
        <f t="shared" si="394"/>
        <v>4.7530724187503856E-3</v>
      </c>
      <c r="AB405" s="66">
        <f t="shared" si="394"/>
        <v>4.7525173762998744E-3</v>
      </c>
      <c r="AC405" s="66">
        <f t="shared" si="394"/>
        <v>4.7521425036456868E-3</v>
      </c>
    </row>
    <row r="406" spans="1:29" x14ac:dyDescent="0.25">
      <c r="A406" s="59" t="str">
        <f>A369</f>
        <v>Payload loss (fuel)</v>
      </c>
      <c r="B406" s="66">
        <f>B394/(B367-B369)-B394/B367</f>
        <v>0</v>
      </c>
      <c r="C406" s="66">
        <f t="shared" ref="C406:AC406" si="395">C394/(C367-C369)-C394/C367</f>
        <v>0</v>
      </c>
      <c r="D406" s="66">
        <f t="shared" si="395"/>
        <v>0</v>
      </c>
      <c r="E406" s="66">
        <f t="shared" si="395"/>
        <v>0</v>
      </c>
      <c r="F406" s="66">
        <f t="shared" si="395"/>
        <v>0</v>
      </c>
      <c r="G406" s="66">
        <f t="shared" si="395"/>
        <v>0</v>
      </c>
      <c r="H406" s="66">
        <f t="shared" si="395"/>
        <v>0</v>
      </c>
      <c r="I406" s="66">
        <f t="shared" si="395"/>
        <v>0</v>
      </c>
      <c r="J406" s="66">
        <f t="shared" si="395"/>
        <v>0</v>
      </c>
      <c r="K406" s="66">
        <f t="shared" si="395"/>
        <v>0</v>
      </c>
      <c r="L406" s="66">
        <f t="shared" si="395"/>
        <v>0</v>
      </c>
      <c r="M406" s="66">
        <f t="shared" si="395"/>
        <v>0</v>
      </c>
      <c r="N406" s="66">
        <f t="shared" si="395"/>
        <v>0</v>
      </c>
      <c r="O406" s="66">
        <f t="shared" si="395"/>
        <v>0</v>
      </c>
      <c r="P406" s="66">
        <f t="shared" si="395"/>
        <v>0</v>
      </c>
      <c r="Q406" s="66">
        <f t="shared" si="395"/>
        <v>0</v>
      </c>
      <c r="R406" s="66">
        <f t="shared" si="395"/>
        <v>0</v>
      </c>
      <c r="S406" s="66">
        <f t="shared" si="395"/>
        <v>0</v>
      </c>
      <c r="T406" s="66">
        <f t="shared" si="395"/>
        <v>0</v>
      </c>
      <c r="U406" s="66">
        <f t="shared" si="395"/>
        <v>0</v>
      </c>
      <c r="V406" s="66">
        <f t="shared" si="395"/>
        <v>0</v>
      </c>
      <c r="W406" s="66">
        <f t="shared" si="395"/>
        <v>0</v>
      </c>
      <c r="X406" s="66">
        <f t="shared" si="395"/>
        <v>0</v>
      </c>
      <c r="Y406" s="66">
        <f t="shared" si="395"/>
        <v>0</v>
      </c>
      <c r="Z406" s="66">
        <f t="shared" si="395"/>
        <v>0</v>
      </c>
      <c r="AA406" s="66">
        <f t="shared" si="395"/>
        <v>0</v>
      </c>
      <c r="AB406" s="66">
        <f t="shared" si="395"/>
        <v>0</v>
      </c>
      <c r="AC406" s="66">
        <f t="shared" si="395"/>
        <v>0</v>
      </c>
    </row>
    <row r="407" spans="1:29" ht="15.75" thickBot="1" x14ac:dyDescent="0.3">
      <c r="A407" s="59" t="str">
        <f>A344</f>
        <v>Emission Cost</v>
      </c>
      <c r="B407" s="68">
        <f>B364*B370/B370/(B367)</f>
        <v>3.2612180545682326E-5</v>
      </c>
      <c r="C407" s="68">
        <f t="shared" ref="C407:AC407" si="396">C364*C370/C370/(C367)</f>
        <v>3.2581125803789985E-5</v>
      </c>
      <c r="D407" s="68">
        <f t="shared" si="396"/>
        <v>3.2536671632459692E-5</v>
      </c>
      <c r="E407" s="68">
        <f t="shared" si="396"/>
        <v>3.2473076814214629E-5</v>
      </c>
      <c r="F407" s="68">
        <f t="shared" si="396"/>
        <v>3.2382185786049084E-5</v>
      </c>
      <c r="G407" s="68">
        <f t="shared" si="396"/>
        <v>3.2252464646491119E-5</v>
      </c>
      <c r="H407" s="68">
        <f t="shared" si="396"/>
        <v>3.2067709919681529E-5</v>
      </c>
      <c r="I407" s="68">
        <f t="shared" si="396"/>
        <v>3.1805384692532378E-5</v>
      </c>
      <c r="J407" s="68">
        <f t="shared" si="396"/>
        <v>3.1434613191801918E-5</v>
      </c>
      <c r="K407" s="68">
        <f t="shared" si="396"/>
        <v>3.0914056694048323E-5</v>
      </c>
      <c r="L407" s="68">
        <f t="shared" si="396"/>
        <v>3.0190294194310576E-5</v>
      </c>
      <c r="M407" s="68">
        <f t="shared" si="396"/>
        <v>2.9198042883179091E-5</v>
      </c>
      <c r="N407" s="68">
        <f t="shared" si="396"/>
        <v>2.7864563446370286E-5</v>
      </c>
      <c r="O407" s="68">
        <f t="shared" si="396"/>
        <v>2.6121448213179506E-5</v>
      </c>
      <c r="P407" s="68">
        <f t="shared" si="396"/>
        <v>2.3926289201690408E-5</v>
      </c>
      <c r="Q407" s="68">
        <f t="shared" si="396"/>
        <v>2.1292161399952762E-5</v>
      </c>
      <c r="R407" s="68">
        <f t="shared" si="396"/>
        <v>1.8313559080442676E-5</v>
      </c>
      <c r="S407" s="68">
        <f t="shared" si="396"/>
        <v>1.5169060832633678E-5</v>
      </c>
      <c r="T407" s="68">
        <f t="shared" si="396"/>
        <v>1.2086440428722554E-5</v>
      </c>
      <c r="U407" s="68">
        <f t="shared" si="396"/>
        <v>9.2802676237572389E-6</v>
      </c>
      <c r="V407" s="68">
        <f t="shared" si="396"/>
        <v>6.8954203462286989E-6</v>
      </c>
      <c r="W407" s="68">
        <f t="shared" si="396"/>
        <v>4.9855847788772532E-6</v>
      </c>
      <c r="X407" s="68">
        <f t="shared" si="396"/>
        <v>3.528295476436697E-6</v>
      </c>
      <c r="Y407" s="68">
        <f t="shared" si="396"/>
        <v>2.4570709643718897E-6</v>
      </c>
      <c r="Z407" s="68">
        <f t="shared" si="396"/>
        <v>1.6911609352910116E-6</v>
      </c>
      <c r="AA407" s="68">
        <f t="shared" si="396"/>
        <v>1.1543711142307326E-6</v>
      </c>
      <c r="AB407" s="68">
        <f t="shared" si="396"/>
        <v>7.8341635419717214E-7</v>
      </c>
      <c r="AC407" s="68">
        <f t="shared" si="396"/>
        <v>5.295535265214743E-7</v>
      </c>
    </row>
    <row r="408" spans="1:29" ht="15.75" thickBot="1" x14ac:dyDescent="0.3">
      <c r="A408" s="31" t="s">
        <v>210</v>
      </c>
      <c r="B408" s="77">
        <f>B397+B398+B399+B400+B401+B402+B403+B404+B405+B406+B407</f>
        <v>1.7830390020935068E-2</v>
      </c>
      <c r="C408" s="67">
        <f t="shared" ref="C408:AC408" si="397">C397+C398+C399+C400+C401+C402+C403+C404+C405+C406+C407</f>
        <v>1.7825235918667658E-2</v>
      </c>
      <c r="D408" s="67">
        <f t="shared" si="397"/>
        <v>1.7817917331062166E-2</v>
      </c>
      <c r="E408" s="67">
        <f t="shared" si="397"/>
        <v>1.7807572150865886E-2</v>
      </c>
      <c r="F408" s="67">
        <f t="shared" si="397"/>
        <v>1.7793045475275743E-2</v>
      </c>
      <c r="G408" s="67">
        <f t="shared" si="397"/>
        <v>1.7772843470614547E-2</v>
      </c>
      <c r="H408" s="67">
        <f t="shared" si="397"/>
        <v>1.7745137678125109E-2</v>
      </c>
      <c r="I408" s="67">
        <f t="shared" si="397"/>
        <v>1.7707884569252236E-2</v>
      </c>
      <c r="J408" s="67">
        <f t="shared" si="397"/>
        <v>1.7659148862307173E-2</v>
      </c>
      <c r="K408" s="67">
        <f t="shared" si="397"/>
        <v>1.759769998728419E-2</v>
      </c>
      <c r="L408" s="67">
        <f t="shared" si="397"/>
        <v>1.7523825448862104E-2</v>
      </c>
      <c r="M408" s="67">
        <f t="shared" si="397"/>
        <v>1.7440048623022172E-2</v>
      </c>
      <c r="N408" s="67">
        <f t="shared" si="397"/>
        <v>1.7351208599767912E-2</v>
      </c>
      <c r="O408" s="67">
        <f t="shared" si="397"/>
        <v>1.726351139842084E-2</v>
      </c>
      <c r="P408" s="67">
        <f t="shared" si="397"/>
        <v>1.7182833879060021E-2</v>
      </c>
      <c r="Q408" s="67">
        <f t="shared" si="397"/>
        <v>1.7113202038471588E-2</v>
      </c>
      <c r="R408" s="67">
        <f t="shared" si="397"/>
        <v>1.7056232268827642E-2</v>
      </c>
      <c r="S408" s="67">
        <f t="shared" si="397"/>
        <v>1.7011551122092974E-2</v>
      </c>
      <c r="T408" s="67">
        <f t="shared" si="397"/>
        <v>1.6977635837472832E-2</v>
      </c>
      <c r="U408" s="67">
        <f t="shared" si="397"/>
        <v>1.69525505887613E-2</v>
      </c>
      <c r="V408" s="67">
        <f t="shared" si="397"/>
        <v>1.6934388791556575E-2</v>
      </c>
      <c r="W408" s="67">
        <f t="shared" si="397"/>
        <v>1.692147431849569E-2</v>
      </c>
      <c r="X408" s="67">
        <f t="shared" si="397"/>
        <v>1.6912427559842604E-2</v>
      </c>
      <c r="Y408" s="67">
        <f t="shared" si="397"/>
        <v>1.6906165810746714E-2</v>
      </c>
      <c r="Z408" s="67">
        <f t="shared" si="397"/>
        <v>1.6901871576585945E-2</v>
      </c>
      <c r="AA408" s="67">
        <f t="shared" si="397"/>
        <v>1.6898946756576962E-2</v>
      </c>
      <c r="AB408" s="67">
        <f t="shared" si="397"/>
        <v>1.6896964462110857E-2</v>
      </c>
      <c r="AC408" s="67">
        <f t="shared" si="397"/>
        <v>1.6895625631203039E-2</v>
      </c>
    </row>
    <row r="410" spans="1:29" x14ac:dyDescent="0.25">
      <c r="B410" s="40"/>
    </row>
    <row r="429" spans="1:1" s="3" customFormat="1" ht="21" x14ac:dyDescent="0.35">
      <c r="A429" s="2" t="str">
        <f>'Parameter Input'!A137</f>
        <v>Railway long-haul:  Neo bulk</v>
      </c>
    </row>
    <row r="430" spans="1:1" s="3" customFormat="1" ht="21" x14ac:dyDescent="0.35">
      <c r="A430" s="2" t="s">
        <v>136</v>
      </c>
    </row>
    <row r="431" spans="1:1" x14ac:dyDescent="0.25">
      <c r="A431" s="33" t="s">
        <v>195</v>
      </c>
    </row>
    <row r="432" spans="1:1" x14ac:dyDescent="0.25">
      <c r="A432" s="33" t="s">
        <v>196</v>
      </c>
    </row>
    <row r="433" spans="1:44" ht="15.75" thickBot="1" x14ac:dyDescent="0.3">
      <c r="A433" s="34" t="s">
        <v>197</v>
      </c>
      <c r="B433" s="34"/>
    </row>
    <row r="434" spans="1:44" ht="15.75" thickBot="1" x14ac:dyDescent="0.3">
      <c r="A434" s="39" t="s">
        <v>198</v>
      </c>
      <c r="B434" s="35"/>
    </row>
    <row r="435" spans="1:44" ht="15.75" thickBot="1" x14ac:dyDescent="0.3">
      <c r="A435" s="38" t="s">
        <v>199</v>
      </c>
      <c r="B435" s="36"/>
    </row>
    <row r="436" spans="1:44" ht="15.75" thickBot="1" x14ac:dyDescent="0.3"/>
    <row r="437" spans="1:44" x14ac:dyDescent="0.25">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18</v>
      </c>
      <c r="B439" s="41">
        <f>'Parameter Input'!$L$103</f>
        <v>5000000</v>
      </c>
      <c r="C439" s="42">
        <f>'Parameter Input'!$M$103</f>
        <v>5000000</v>
      </c>
      <c r="D439" s="1" t="s">
        <v>15</v>
      </c>
      <c r="L439" s="51">
        <f>'Parameter Input'!$O$103</f>
        <v>12</v>
      </c>
      <c r="M439" s="52">
        <v>0</v>
      </c>
      <c r="N439" s="52">
        <v>1</v>
      </c>
      <c r="O439" s="52">
        <f>'Parameter Input'!$P$103</f>
        <v>0.9</v>
      </c>
      <c r="P439" s="53">
        <f>'Parameter Input'!$Q$103</f>
        <v>0.4</v>
      </c>
      <c r="Q439" s="4">
        <f t="shared" ref="Q439:AR448" si="398">$N439+($M439-$N439)*((1/(1+EXP(-$P439*(Q$9-$L439)))^$O439))</f>
        <v>0.9867978615748374</v>
      </c>
      <c r="R439" s="4">
        <f t="shared" si="398"/>
        <v>0.98114509762858249</v>
      </c>
      <c r="S439" s="4">
        <f t="shared" si="398"/>
        <v>0.97311898315872036</v>
      </c>
      <c r="T439" s="4">
        <f t="shared" si="398"/>
        <v>0.96177484161592774</v>
      </c>
      <c r="U439" s="4">
        <f t="shared" si="398"/>
        <v>0.94584787155511363</v>
      </c>
      <c r="V439" s="4">
        <f t="shared" si="398"/>
        <v>0.92370360150141495</v>
      </c>
      <c r="W439" s="4">
        <f t="shared" si="398"/>
        <v>0.89334463567658451</v>
      </c>
      <c r="X439" s="4">
        <f t="shared" si="398"/>
        <v>0.85254543874327005</v>
      </c>
      <c r="Y439" s="4">
        <f t="shared" si="398"/>
        <v>0.79921300652623883</v>
      </c>
      <c r="Z439" s="4">
        <f t="shared" si="398"/>
        <v>0.73204982249993378</v>
      </c>
      <c r="AA439" s="4">
        <f t="shared" si="398"/>
        <v>0.65145592958786691</v>
      </c>
      <c r="AB439" s="4">
        <f t="shared" si="398"/>
        <v>0.56032247880849573</v>
      </c>
      <c r="AC439" s="4">
        <f t="shared" si="398"/>
        <v>0.46411326873185343</v>
      </c>
      <c r="AD439" s="4">
        <f t="shared" si="398"/>
        <v>0.36979727595523937</v>
      </c>
      <c r="AE439" s="4">
        <f t="shared" si="398"/>
        <v>0.28393948637231203</v>
      </c>
      <c r="AF439" s="4">
        <f t="shared" si="398"/>
        <v>0.21097259161117732</v>
      </c>
      <c r="AG439" s="4">
        <f t="shared" si="398"/>
        <v>0.15253917653798199</v>
      </c>
      <c r="AH439" s="4">
        <f t="shared" si="398"/>
        <v>0.10795188737709993</v>
      </c>
      <c r="AI439" s="4">
        <f t="shared" si="398"/>
        <v>7.5176653938091809E-2</v>
      </c>
      <c r="AJ439" s="4">
        <f t="shared" si="398"/>
        <v>5.1742836177502194E-2</v>
      </c>
      <c r="AK439" s="4">
        <f t="shared" si="398"/>
        <v>3.5319190625345942E-2</v>
      </c>
      <c r="AL439" s="4">
        <f t="shared" si="398"/>
        <v>2.3969442072658165E-2</v>
      </c>
      <c r="AM439" s="4">
        <f t="shared" si="398"/>
        <v>1.6202243558389728E-2</v>
      </c>
      <c r="AN439" s="4">
        <f t="shared" si="398"/>
        <v>1.0922240564108399E-2</v>
      </c>
      <c r="AO439" s="4">
        <f t="shared" si="398"/>
        <v>7.3493212906090566E-3</v>
      </c>
      <c r="AP439" s="4">
        <f t="shared" si="398"/>
        <v>4.9390262185057265E-3</v>
      </c>
      <c r="AQ439" s="4">
        <f t="shared" si="398"/>
        <v>3.3164275492956197E-3</v>
      </c>
      <c r="AR439" s="4">
        <f t="shared" si="398"/>
        <v>2.2256362146679809E-3</v>
      </c>
    </row>
    <row r="440" spans="1:44" x14ac:dyDescent="0.25">
      <c r="A440" s="24" t="s">
        <v>28</v>
      </c>
      <c r="B440" s="60">
        <f>'Parameter Input'!$L$104</f>
        <v>-750000</v>
      </c>
      <c r="C440" s="61">
        <f>'Parameter Input'!$M$104</f>
        <v>-750000</v>
      </c>
      <c r="D440" s="1" t="s">
        <v>15</v>
      </c>
      <c r="L440" s="54">
        <f>'Parameter Input'!$O$104</f>
        <v>12</v>
      </c>
      <c r="M440" s="37">
        <v>0</v>
      </c>
      <c r="N440" s="37">
        <v>1</v>
      </c>
      <c r="O440" s="37">
        <f>'Parameter Input'!$P$104</f>
        <v>0.9</v>
      </c>
      <c r="P440" s="55">
        <f>'Parameter Input'!$Q$104</f>
        <v>0.4</v>
      </c>
      <c r="Q440" s="4">
        <f t="shared" si="398"/>
        <v>0.9867978615748374</v>
      </c>
      <c r="R440" s="4">
        <f t="shared" si="398"/>
        <v>0.98114509762858249</v>
      </c>
      <c r="S440" s="4">
        <f t="shared" si="398"/>
        <v>0.97311898315872036</v>
      </c>
      <c r="T440" s="4">
        <f t="shared" si="398"/>
        <v>0.96177484161592774</v>
      </c>
      <c r="U440" s="4">
        <f t="shared" si="398"/>
        <v>0.94584787155511363</v>
      </c>
      <c r="V440" s="4">
        <f t="shared" si="398"/>
        <v>0.92370360150141495</v>
      </c>
      <c r="W440" s="4">
        <f t="shared" si="398"/>
        <v>0.89334463567658451</v>
      </c>
      <c r="X440" s="4">
        <f t="shared" si="398"/>
        <v>0.85254543874327005</v>
      </c>
      <c r="Y440" s="4">
        <f t="shared" si="398"/>
        <v>0.79921300652623883</v>
      </c>
      <c r="Z440" s="4">
        <f t="shared" si="398"/>
        <v>0.73204982249993378</v>
      </c>
      <c r="AA440" s="4">
        <f t="shared" si="398"/>
        <v>0.65145592958786691</v>
      </c>
      <c r="AB440" s="4">
        <f t="shared" si="398"/>
        <v>0.56032247880849573</v>
      </c>
      <c r="AC440" s="4">
        <f t="shared" si="398"/>
        <v>0.46411326873185343</v>
      </c>
      <c r="AD440" s="4">
        <f t="shared" si="398"/>
        <v>0.36979727595523937</v>
      </c>
      <c r="AE440" s="4">
        <f t="shared" si="398"/>
        <v>0.28393948637231203</v>
      </c>
      <c r="AF440" s="4">
        <f t="shared" si="398"/>
        <v>0.21097259161117732</v>
      </c>
      <c r="AG440" s="4">
        <f t="shared" si="398"/>
        <v>0.15253917653798199</v>
      </c>
      <c r="AH440" s="4">
        <f t="shared" si="398"/>
        <v>0.10795188737709993</v>
      </c>
      <c r="AI440" s="4">
        <f t="shared" si="398"/>
        <v>7.5176653938091809E-2</v>
      </c>
      <c r="AJ440" s="4">
        <f t="shared" si="398"/>
        <v>5.1742836177502194E-2</v>
      </c>
      <c r="AK440" s="4">
        <f t="shared" si="398"/>
        <v>3.5319190625345942E-2</v>
      </c>
      <c r="AL440" s="4">
        <f t="shared" si="398"/>
        <v>2.3969442072658165E-2</v>
      </c>
      <c r="AM440" s="4">
        <f t="shared" si="398"/>
        <v>1.6202243558389728E-2</v>
      </c>
      <c r="AN440" s="4">
        <f t="shared" si="398"/>
        <v>1.0922240564108399E-2</v>
      </c>
      <c r="AO440" s="4">
        <f t="shared" si="398"/>
        <v>7.3493212906090566E-3</v>
      </c>
      <c r="AP440" s="4">
        <f t="shared" si="398"/>
        <v>4.9390262185057265E-3</v>
      </c>
      <c r="AQ440" s="4">
        <f t="shared" si="398"/>
        <v>3.3164275492956197E-3</v>
      </c>
      <c r="AR440" s="4">
        <f t="shared" si="398"/>
        <v>2.2256362146679809E-3</v>
      </c>
    </row>
    <row r="441" spans="1:44" x14ac:dyDescent="0.25">
      <c r="A441" s="24" t="s">
        <v>14</v>
      </c>
      <c r="B441" s="43">
        <f>'Parameter Input'!B138</f>
        <v>3500000</v>
      </c>
      <c r="C441" s="44">
        <f>'Parameter Input'!C138</f>
        <v>3500000</v>
      </c>
      <c r="D441" s="1" t="s">
        <v>15</v>
      </c>
      <c r="L441" s="54">
        <f>'Parameter Input'!E138</f>
        <v>12</v>
      </c>
      <c r="M441" s="37">
        <v>0</v>
      </c>
      <c r="N441" s="37">
        <v>1</v>
      </c>
      <c r="O441" s="37">
        <f>'Parameter Input'!F138</f>
        <v>0.9</v>
      </c>
      <c r="P441" s="55">
        <f>'Parameter Input'!G138</f>
        <v>0.4</v>
      </c>
      <c r="Q441" s="4">
        <f t="shared" si="398"/>
        <v>0.9867978615748374</v>
      </c>
      <c r="R441" s="4">
        <f t="shared" si="398"/>
        <v>0.98114509762858249</v>
      </c>
      <c r="S441" s="4">
        <f t="shared" si="398"/>
        <v>0.97311898315872036</v>
      </c>
      <c r="T441" s="4">
        <f t="shared" si="398"/>
        <v>0.96177484161592774</v>
      </c>
      <c r="U441" s="4">
        <f t="shared" si="398"/>
        <v>0.94584787155511363</v>
      </c>
      <c r="V441" s="4">
        <f t="shared" si="398"/>
        <v>0.92370360150141495</v>
      </c>
      <c r="W441" s="4">
        <f t="shared" si="398"/>
        <v>0.89334463567658451</v>
      </c>
      <c r="X441" s="4">
        <f t="shared" si="398"/>
        <v>0.85254543874327005</v>
      </c>
      <c r="Y441" s="4">
        <f t="shared" si="398"/>
        <v>0.79921300652623883</v>
      </c>
      <c r="Z441" s="4">
        <f t="shared" si="398"/>
        <v>0.73204982249993378</v>
      </c>
      <c r="AA441" s="4">
        <f t="shared" si="398"/>
        <v>0.65145592958786691</v>
      </c>
      <c r="AB441" s="4">
        <f t="shared" si="398"/>
        <v>0.56032247880849573</v>
      </c>
      <c r="AC441" s="4">
        <f t="shared" si="398"/>
        <v>0.46411326873185343</v>
      </c>
      <c r="AD441" s="4">
        <f t="shared" si="398"/>
        <v>0.36979727595523937</v>
      </c>
      <c r="AE441" s="4">
        <f t="shared" si="398"/>
        <v>0.28393948637231203</v>
      </c>
      <c r="AF441" s="4">
        <f t="shared" si="398"/>
        <v>0.21097259161117732</v>
      </c>
      <c r="AG441" s="4">
        <f t="shared" si="398"/>
        <v>0.15253917653798199</v>
      </c>
      <c r="AH441" s="4">
        <f t="shared" si="398"/>
        <v>0.10795188737709993</v>
      </c>
      <c r="AI441" s="4">
        <f t="shared" si="398"/>
        <v>7.5176653938091809E-2</v>
      </c>
      <c r="AJ441" s="4">
        <f t="shared" si="398"/>
        <v>5.1742836177502194E-2</v>
      </c>
      <c r="AK441" s="4">
        <f t="shared" si="398"/>
        <v>3.5319190625345942E-2</v>
      </c>
      <c r="AL441" s="4">
        <f t="shared" si="398"/>
        <v>2.3969442072658165E-2</v>
      </c>
      <c r="AM441" s="4">
        <f t="shared" si="398"/>
        <v>1.6202243558389728E-2</v>
      </c>
      <c r="AN441" s="4">
        <f t="shared" si="398"/>
        <v>1.0922240564108399E-2</v>
      </c>
      <c r="AO441" s="4">
        <f t="shared" si="398"/>
        <v>7.3493212906090566E-3</v>
      </c>
      <c r="AP441" s="4">
        <f t="shared" si="398"/>
        <v>4.9390262185057265E-3</v>
      </c>
      <c r="AQ441" s="4">
        <f t="shared" si="398"/>
        <v>3.3164275492956197E-3</v>
      </c>
      <c r="AR441" s="4">
        <f t="shared" si="398"/>
        <v>2.2256362146679809E-3</v>
      </c>
    </row>
    <row r="442" spans="1:44" x14ac:dyDescent="0.25">
      <c r="A442" s="24" t="s">
        <v>25</v>
      </c>
      <c r="B442" s="60">
        <f>'Parameter Input'!B139</f>
        <v>-175000</v>
      </c>
      <c r="C442" s="61">
        <f>'Parameter Input'!C139</f>
        <v>-175000</v>
      </c>
      <c r="D442" s="1" t="s">
        <v>15</v>
      </c>
      <c r="L442" s="54">
        <f>'Parameter Input'!E139</f>
        <v>12</v>
      </c>
      <c r="M442" s="37">
        <v>0</v>
      </c>
      <c r="N442" s="37">
        <v>1</v>
      </c>
      <c r="O442" s="37">
        <f>'Parameter Input'!F139</f>
        <v>0.9</v>
      </c>
      <c r="P442" s="55">
        <f>'Parameter Input'!G139</f>
        <v>0.4</v>
      </c>
      <c r="Q442" s="4">
        <f t="shared" si="398"/>
        <v>0.9867978615748374</v>
      </c>
      <c r="R442" s="4">
        <f t="shared" si="398"/>
        <v>0.98114509762858249</v>
      </c>
      <c r="S442" s="4">
        <f t="shared" si="398"/>
        <v>0.97311898315872036</v>
      </c>
      <c r="T442" s="4">
        <f t="shared" si="398"/>
        <v>0.96177484161592774</v>
      </c>
      <c r="U442" s="4">
        <f t="shared" si="398"/>
        <v>0.94584787155511363</v>
      </c>
      <c r="V442" s="4">
        <f t="shared" si="398"/>
        <v>0.92370360150141495</v>
      </c>
      <c r="W442" s="4">
        <f t="shared" si="398"/>
        <v>0.89334463567658451</v>
      </c>
      <c r="X442" s="4">
        <f t="shared" si="398"/>
        <v>0.85254543874327005</v>
      </c>
      <c r="Y442" s="4">
        <f t="shared" si="398"/>
        <v>0.79921300652623883</v>
      </c>
      <c r="Z442" s="4">
        <f t="shared" si="398"/>
        <v>0.73204982249993378</v>
      </c>
      <c r="AA442" s="4">
        <f t="shared" si="398"/>
        <v>0.65145592958786691</v>
      </c>
      <c r="AB442" s="4">
        <f t="shared" si="398"/>
        <v>0.56032247880849573</v>
      </c>
      <c r="AC442" s="4">
        <f t="shared" si="398"/>
        <v>0.46411326873185343</v>
      </c>
      <c r="AD442" s="4">
        <f t="shared" si="398"/>
        <v>0.36979727595523937</v>
      </c>
      <c r="AE442" s="4">
        <f t="shared" si="398"/>
        <v>0.28393948637231203</v>
      </c>
      <c r="AF442" s="4">
        <f t="shared" si="398"/>
        <v>0.21097259161117732</v>
      </c>
      <c r="AG442" s="4">
        <f t="shared" si="398"/>
        <v>0.15253917653798199</v>
      </c>
      <c r="AH442" s="4">
        <f t="shared" si="398"/>
        <v>0.10795188737709993</v>
      </c>
      <c r="AI442" s="4">
        <f t="shared" si="398"/>
        <v>7.5176653938091809E-2</v>
      </c>
      <c r="AJ442" s="4">
        <f t="shared" si="398"/>
        <v>5.1742836177502194E-2</v>
      </c>
      <c r="AK442" s="4">
        <f t="shared" si="398"/>
        <v>3.5319190625345942E-2</v>
      </c>
      <c r="AL442" s="4">
        <f t="shared" si="398"/>
        <v>2.3969442072658165E-2</v>
      </c>
      <c r="AM442" s="4">
        <f t="shared" si="398"/>
        <v>1.6202243558389728E-2</v>
      </c>
      <c r="AN442" s="4">
        <f t="shared" si="398"/>
        <v>1.0922240564108399E-2</v>
      </c>
      <c r="AO442" s="4">
        <f t="shared" si="398"/>
        <v>7.3493212906090566E-3</v>
      </c>
      <c r="AP442" s="4">
        <f t="shared" si="398"/>
        <v>4.9390262185057265E-3</v>
      </c>
      <c r="AQ442" s="4">
        <f t="shared" si="398"/>
        <v>3.3164275492956197E-3</v>
      </c>
      <c r="AR442" s="4">
        <f t="shared" si="398"/>
        <v>2.2256362146679809E-3</v>
      </c>
    </row>
    <row r="443" spans="1:44" x14ac:dyDescent="0.25">
      <c r="A443" s="24" t="s">
        <v>79</v>
      </c>
      <c r="B443" s="45">
        <f>'Parameter Input'!$L$110</f>
        <v>0.06</v>
      </c>
      <c r="C443" s="46">
        <f>'Parameter Input'!$M$110</f>
        <v>0.06</v>
      </c>
      <c r="D443" s="1" t="s">
        <v>57</v>
      </c>
      <c r="L443" s="54">
        <f>'Parameter Input'!$O$110</f>
        <v>12</v>
      </c>
      <c r="M443" s="37">
        <v>0</v>
      </c>
      <c r="N443" s="37">
        <v>1</v>
      </c>
      <c r="O443" s="37">
        <f>'Parameter Input'!$P$110</f>
        <v>0.9</v>
      </c>
      <c r="P443" s="55">
        <f>'Parameter Input'!$Q$110</f>
        <v>0.4</v>
      </c>
      <c r="Q443" s="4">
        <f t="shared" si="398"/>
        <v>0.9867978615748374</v>
      </c>
      <c r="R443" s="4">
        <f t="shared" si="398"/>
        <v>0.98114509762858249</v>
      </c>
      <c r="S443" s="4">
        <f t="shared" si="398"/>
        <v>0.97311898315872036</v>
      </c>
      <c r="T443" s="4">
        <f t="shared" si="398"/>
        <v>0.96177484161592774</v>
      </c>
      <c r="U443" s="4">
        <f t="shared" si="398"/>
        <v>0.94584787155511363</v>
      </c>
      <c r="V443" s="4">
        <f t="shared" si="398"/>
        <v>0.92370360150141495</v>
      </c>
      <c r="W443" s="4">
        <f t="shared" si="398"/>
        <v>0.89334463567658451</v>
      </c>
      <c r="X443" s="4">
        <f t="shared" si="398"/>
        <v>0.85254543874327005</v>
      </c>
      <c r="Y443" s="4">
        <f t="shared" si="398"/>
        <v>0.79921300652623883</v>
      </c>
      <c r="Z443" s="4">
        <f t="shared" si="398"/>
        <v>0.73204982249993378</v>
      </c>
      <c r="AA443" s="4">
        <f t="shared" si="398"/>
        <v>0.65145592958786691</v>
      </c>
      <c r="AB443" s="4">
        <f t="shared" si="398"/>
        <v>0.56032247880849573</v>
      </c>
      <c r="AC443" s="4">
        <f t="shared" si="398"/>
        <v>0.46411326873185343</v>
      </c>
      <c r="AD443" s="4">
        <f t="shared" si="398"/>
        <v>0.36979727595523937</v>
      </c>
      <c r="AE443" s="4">
        <f t="shared" si="398"/>
        <v>0.28393948637231203</v>
      </c>
      <c r="AF443" s="4">
        <f t="shared" si="398"/>
        <v>0.21097259161117732</v>
      </c>
      <c r="AG443" s="4">
        <f t="shared" si="398"/>
        <v>0.15253917653798199</v>
      </c>
      <c r="AH443" s="4">
        <f t="shared" si="398"/>
        <v>0.10795188737709993</v>
      </c>
      <c r="AI443" s="4">
        <f t="shared" si="398"/>
        <v>7.5176653938091809E-2</v>
      </c>
      <c r="AJ443" s="4">
        <f t="shared" si="398"/>
        <v>5.1742836177502194E-2</v>
      </c>
      <c r="AK443" s="4">
        <f t="shared" si="398"/>
        <v>3.5319190625345942E-2</v>
      </c>
      <c r="AL443" s="4">
        <f t="shared" si="398"/>
        <v>2.3969442072658165E-2</v>
      </c>
      <c r="AM443" s="4">
        <f t="shared" si="398"/>
        <v>1.6202243558389728E-2</v>
      </c>
      <c r="AN443" s="4">
        <f t="shared" si="398"/>
        <v>1.0922240564108399E-2</v>
      </c>
      <c r="AO443" s="4">
        <f t="shared" si="398"/>
        <v>7.3493212906090566E-3</v>
      </c>
      <c r="AP443" s="4">
        <f t="shared" si="398"/>
        <v>4.9390262185057265E-3</v>
      </c>
      <c r="AQ443" s="4">
        <f t="shared" si="398"/>
        <v>3.3164275492956197E-3</v>
      </c>
      <c r="AR443" s="4">
        <f t="shared" si="398"/>
        <v>2.2256362146679809E-3</v>
      </c>
    </row>
    <row r="444" spans="1:44" x14ac:dyDescent="0.25">
      <c r="A444" s="24" t="s">
        <v>37</v>
      </c>
      <c r="B444" s="43">
        <f>'Parameter Input'!B140</f>
        <v>650000</v>
      </c>
      <c r="C444" s="44">
        <f>'Parameter Input'!C140</f>
        <v>650000</v>
      </c>
      <c r="D444" s="1" t="s">
        <v>38</v>
      </c>
      <c r="L444" s="54">
        <f>'Parameter Input'!E140</f>
        <v>12</v>
      </c>
      <c r="M444" s="37">
        <v>0</v>
      </c>
      <c r="N444" s="37">
        <v>1</v>
      </c>
      <c r="O444" s="37">
        <f>'Parameter Input'!F140</f>
        <v>0.9</v>
      </c>
      <c r="P444" s="55">
        <f>'Parameter Input'!G140</f>
        <v>0.4</v>
      </c>
      <c r="Q444" s="4">
        <f t="shared" si="398"/>
        <v>0.9867978615748374</v>
      </c>
      <c r="R444" s="4">
        <f t="shared" si="398"/>
        <v>0.98114509762858249</v>
      </c>
      <c r="S444" s="4">
        <f t="shared" si="398"/>
        <v>0.97311898315872036</v>
      </c>
      <c r="T444" s="4">
        <f t="shared" si="398"/>
        <v>0.96177484161592774</v>
      </c>
      <c r="U444" s="4">
        <f t="shared" si="398"/>
        <v>0.94584787155511363</v>
      </c>
      <c r="V444" s="4">
        <f t="shared" si="398"/>
        <v>0.92370360150141495</v>
      </c>
      <c r="W444" s="4">
        <f t="shared" si="398"/>
        <v>0.89334463567658451</v>
      </c>
      <c r="X444" s="4">
        <f t="shared" si="398"/>
        <v>0.85254543874327005</v>
      </c>
      <c r="Y444" s="4">
        <f t="shared" si="398"/>
        <v>0.79921300652623883</v>
      </c>
      <c r="Z444" s="4">
        <f t="shared" si="398"/>
        <v>0.73204982249993378</v>
      </c>
      <c r="AA444" s="4">
        <f t="shared" si="398"/>
        <v>0.65145592958786691</v>
      </c>
      <c r="AB444" s="4">
        <f t="shared" si="398"/>
        <v>0.56032247880849573</v>
      </c>
      <c r="AC444" s="4">
        <f t="shared" si="398"/>
        <v>0.46411326873185343</v>
      </c>
      <c r="AD444" s="4">
        <f t="shared" si="398"/>
        <v>0.36979727595523937</v>
      </c>
      <c r="AE444" s="4">
        <f t="shared" si="398"/>
        <v>0.28393948637231203</v>
      </c>
      <c r="AF444" s="4">
        <f t="shared" si="398"/>
        <v>0.21097259161117732</v>
      </c>
      <c r="AG444" s="4">
        <f t="shared" si="398"/>
        <v>0.15253917653798199</v>
      </c>
      <c r="AH444" s="4">
        <f t="shared" si="398"/>
        <v>0.10795188737709993</v>
      </c>
      <c r="AI444" s="4">
        <f t="shared" si="398"/>
        <v>7.5176653938091809E-2</v>
      </c>
      <c r="AJ444" s="4">
        <f t="shared" si="398"/>
        <v>5.1742836177502194E-2</v>
      </c>
      <c r="AK444" s="4">
        <f t="shared" si="398"/>
        <v>3.5319190625345942E-2</v>
      </c>
      <c r="AL444" s="4">
        <f t="shared" si="398"/>
        <v>2.3969442072658165E-2</v>
      </c>
      <c r="AM444" s="4">
        <f t="shared" si="398"/>
        <v>1.6202243558389728E-2</v>
      </c>
      <c r="AN444" s="4">
        <f t="shared" si="398"/>
        <v>1.0922240564108399E-2</v>
      </c>
      <c r="AO444" s="4">
        <f t="shared" si="398"/>
        <v>7.3493212906090566E-3</v>
      </c>
      <c r="AP444" s="4">
        <f t="shared" si="398"/>
        <v>4.9390262185057265E-3</v>
      </c>
      <c r="AQ444" s="4">
        <f t="shared" si="398"/>
        <v>3.3164275492956197E-3</v>
      </c>
      <c r="AR444" s="4">
        <f t="shared" si="398"/>
        <v>2.2256362146679809E-3</v>
      </c>
    </row>
    <row r="445" spans="1:44" x14ac:dyDescent="0.25">
      <c r="A445" s="24" t="s">
        <v>52</v>
      </c>
      <c r="B445" s="43">
        <f>'Parameter Input'!$L$106</f>
        <v>650000</v>
      </c>
      <c r="C445" s="44">
        <f>'Parameter Input'!$M$106</f>
        <v>650000</v>
      </c>
      <c r="D445" s="1" t="s">
        <v>38</v>
      </c>
      <c r="L445" s="54">
        <f>'Parameter Input'!$O$106</f>
        <v>12</v>
      </c>
      <c r="M445" s="37">
        <v>0</v>
      </c>
      <c r="N445" s="37">
        <v>1</v>
      </c>
      <c r="O445" s="37">
        <f>'Parameter Input'!$P$106</f>
        <v>0.9</v>
      </c>
      <c r="P445" s="55">
        <f>'Parameter Input'!$Q$106</f>
        <v>0.4</v>
      </c>
      <c r="Q445" s="4">
        <f t="shared" si="398"/>
        <v>0.9867978615748374</v>
      </c>
      <c r="R445" s="4">
        <f t="shared" si="398"/>
        <v>0.98114509762858249</v>
      </c>
      <c r="S445" s="4">
        <f t="shared" si="398"/>
        <v>0.97311898315872036</v>
      </c>
      <c r="T445" s="4">
        <f t="shared" si="398"/>
        <v>0.96177484161592774</v>
      </c>
      <c r="U445" s="4">
        <f t="shared" si="398"/>
        <v>0.94584787155511363</v>
      </c>
      <c r="V445" s="4">
        <f t="shared" si="398"/>
        <v>0.92370360150141495</v>
      </c>
      <c r="W445" s="4">
        <f t="shared" si="398"/>
        <v>0.89334463567658451</v>
      </c>
      <c r="X445" s="4">
        <f t="shared" si="398"/>
        <v>0.85254543874327005</v>
      </c>
      <c r="Y445" s="4">
        <f t="shared" si="398"/>
        <v>0.79921300652623883</v>
      </c>
      <c r="Z445" s="4">
        <f t="shared" si="398"/>
        <v>0.73204982249993378</v>
      </c>
      <c r="AA445" s="4">
        <f t="shared" si="398"/>
        <v>0.65145592958786691</v>
      </c>
      <c r="AB445" s="4">
        <f t="shared" si="398"/>
        <v>0.56032247880849573</v>
      </c>
      <c r="AC445" s="4">
        <f t="shared" si="398"/>
        <v>0.46411326873185343</v>
      </c>
      <c r="AD445" s="4">
        <f t="shared" si="398"/>
        <v>0.36979727595523937</v>
      </c>
      <c r="AE445" s="4">
        <f t="shared" si="398"/>
        <v>0.28393948637231203</v>
      </c>
      <c r="AF445" s="4">
        <f t="shared" si="398"/>
        <v>0.21097259161117732</v>
      </c>
      <c r="AG445" s="4">
        <f t="shared" si="398"/>
        <v>0.15253917653798199</v>
      </c>
      <c r="AH445" s="4">
        <f t="shared" si="398"/>
        <v>0.10795188737709993</v>
      </c>
      <c r="AI445" s="4">
        <f t="shared" si="398"/>
        <v>7.5176653938091809E-2</v>
      </c>
      <c r="AJ445" s="4">
        <f t="shared" si="398"/>
        <v>5.1742836177502194E-2</v>
      </c>
      <c r="AK445" s="4">
        <f t="shared" si="398"/>
        <v>3.5319190625345942E-2</v>
      </c>
      <c r="AL445" s="4">
        <f t="shared" si="398"/>
        <v>2.3969442072658165E-2</v>
      </c>
      <c r="AM445" s="4">
        <f t="shared" si="398"/>
        <v>1.6202243558389728E-2</v>
      </c>
      <c r="AN445" s="4">
        <f t="shared" si="398"/>
        <v>1.0922240564108399E-2</v>
      </c>
      <c r="AO445" s="4">
        <f t="shared" si="398"/>
        <v>7.3493212906090566E-3</v>
      </c>
      <c r="AP445" s="4">
        <f t="shared" si="398"/>
        <v>4.9390262185057265E-3</v>
      </c>
      <c r="AQ445" s="4">
        <f t="shared" si="398"/>
        <v>3.3164275492956197E-3</v>
      </c>
      <c r="AR445" s="4">
        <f t="shared" si="398"/>
        <v>2.2256362146679809E-3</v>
      </c>
    </row>
    <row r="446" spans="1:44" x14ac:dyDescent="0.25">
      <c r="A446" s="24" t="s">
        <v>287</v>
      </c>
      <c r="B446" s="45">
        <f>'Parameter Input'!B145</f>
        <v>3.9215686274509802</v>
      </c>
      <c r="C446" s="46">
        <f>'Parameter Input'!C145</f>
        <v>3.9215686274509802</v>
      </c>
      <c r="D446" s="1" t="s">
        <v>76</v>
      </c>
      <c r="L446" s="54">
        <f>'Parameter Input'!E145</f>
        <v>12</v>
      </c>
      <c r="M446" s="37">
        <v>0</v>
      </c>
      <c r="N446" s="37">
        <v>1</v>
      </c>
      <c r="O446" s="37">
        <f>'Parameter Input'!F145</f>
        <v>0.9</v>
      </c>
      <c r="P446" s="55">
        <f>'Parameter Input'!G145</f>
        <v>0.4</v>
      </c>
      <c r="Q446" s="4">
        <f t="shared" si="398"/>
        <v>0.9867978615748374</v>
      </c>
      <c r="R446" s="4">
        <f t="shared" si="398"/>
        <v>0.98114509762858249</v>
      </c>
      <c r="S446" s="4">
        <f t="shared" si="398"/>
        <v>0.97311898315872036</v>
      </c>
      <c r="T446" s="4">
        <f t="shared" si="398"/>
        <v>0.96177484161592774</v>
      </c>
      <c r="U446" s="4">
        <f t="shared" si="398"/>
        <v>0.94584787155511363</v>
      </c>
      <c r="V446" s="4">
        <f t="shared" si="398"/>
        <v>0.92370360150141495</v>
      </c>
      <c r="W446" s="4">
        <f t="shared" si="398"/>
        <v>0.89334463567658451</v>
      </c>
      <c r="X446" s="4">
        <f t="shared" si="398"/>
        <v>0.85254543874327005</v>
      </c>
      <c r="Y446" s="4">
        <f t="shared" si="398"/>
        <v>0.79921300652623883</v>
      </c>
      <c r="Z446" s="4">
        <f t="shared" si="398"/>
        <v>0.73204982249993378</v>
      </c>
      <c r="AA446" s="4">
        <f t="shared" si="398"/>
        <v>0.65145592958786691</v>
      </c>
      <c r="AB446" s="4">
        <f t="shared" si="398"/>
        <v>0.56032247880849573</v>
      </c>
      <c r="AC446" s="4">
        <f t="shared" si="398"/>
        <v>0.46411326873185343</v>
      </c>
      <c r="AD446" s="4">
        <f t="shared" si="398"/>
        <v>0.36979727595523937</v>
      </c>
      <c r="AE446" s="4">
        <f t="shared" si="398"/>
        <v>0.28393948637231203</v>
      </c>
      <c r="AF446" s="4">
        <f t="shared" si="398"/>
        <v>0.21097259161117732</v>
      </c>
      <c r="AG446" s="4">
        <f t="shared" si="398"/>
        <v>0.15253917653798199</v>
      </c>
      <c r="AH446" s="4">
        <f t="shared" si="398"/>
        <v>0.10795188737709993</v>
      </c>
      <c r="AI446" s="4">
        <f t="shared" si="398"/>
        <v>7.5176653938091809E-2</v>
      </c>
      <c r="AJ446" s="4">
        <f t="shared" si="398"/>
        <v>5.1742836177502194E-2</v>
      </c>
      <c r="AK446" s="4">
        <f t="shared" si="398"/>
        <v>3.5319190625345942E-2</v>
      </c>
      <c r="AL446" s="4">
        <f t="shared" si="398"/>
        <v>2.3969442072658165E-2</v>
      </c>
      <c r="AM446" s="4">
        <f t="shared" si="398"/>
        <v>1.6202243558389728E-2</v>
      </c>
      <c r="AN446" s="4">
        <f t="shared" si="398"/>
        <v>1.0922240564108399E-2</v>
      </c>
      <c r="AO446" s="4">
        <f t="shared" si="398"/>
        <v>7.3493212906090566E-3</v>
      </c>
      <c r="AP446" s="4">
        <f t="shared" si="398"/>
        <v>4.9390262185057265E-3</v>
      </c>
      <c r="AQ446" s="4">
        <f t="shared" si="398"/>
        <v>3.3164275492956197E-3</v>
      </c>
      <c r="AR446" s="4">
        <f t="shared" si="398"/>
        <v>2.2256362146679809E-3</v>
      </c>
    </row>
    <row r="447" spans="1:44" x14ac:dyDescent="0.25">
      <c r="A447" s="24" t="s">
        <v>59</v>
      </c>
      <c r="B447" s="47">
        <f>'Parameter Input'!$L$107</f>
        <v>31.614305882352937</v>
      </c>
      <c r="C447" s="48">
        <f>'Parameter Input'!$M$107</f>
        <v>31.614305882352937</v>
      </c>
      <c r="D447" s="1" t="s">
        <v>60</v>
      </c>
      <c r="L447" s="54">
        <f>'Parameter Input'!$O$107</f>
        <v>12</v>
      </c>
      <c r="M447" s="37">
        <v>0</v>
      </c>
      <c r="N447" s="37">
        <v>1</v>
      </c>
      <c r="O447" s="37">
        <f>'Parameter Input'!$P$107</f>
        <v>0.9</v>
      </c>
      <c r="P447" s="55">
        <f>'Parameter Input'!$Q$107</f>
        <v>0.4</v>
      </c>
      <c r="Q447" s="4">
        <f t="shared" si="398"/>
        <v>0.9867978615748374</v>
      </c>
      <c r="R447" s="4">
        <f t="shared" si="398"/>
        <v>0.98114509762858249</v>
      </c>
      <c r="S447" s="4">
        <f t="shared" si="398"/>
        <v>0.97311898315872036</v>
      </c>
      <c r="T447" s="4">
        <f t="shared" si="398"/>
        <v>0.96177484161592774</v>
      </c>
      <c r="U447" s="4">
        <f t="shared" si="398"/>
        <v>0.94584787155511363</v>
      </c>
      <c r="V447" s="4">
        <f t="shared" si="398"/>
        <v>0.92370360150141495</v>
      </c>
      <c r="W447" s="4">
        <f t="shared" si="398"/>
        <v>0.89334463567658451</v>
      </c>
      <c r="X447" s="4">
        <f t="shared" si="398"/>
        <v>0.85254543874327005</v>
      </c>
      <c r="Y447" s="4">
        <f t="shared" si="398"/>
        <v>0.79921300652623883</v>
      </c>
      <c r="Z447" s="4">
        <f t="shared" si="398"/>
        <v>0.73204982249993378</v>
      </c>
      <c r="AA447" s="4">
        <f t="shared" si="398"/>
        <v>0.65145592958786691</v>
      </c>
      <c r="AB447" s="4">
        <f t="shared" si="398"/>
        <v>0.56032247880849573</v>
      </c>
      <c r="AC447" s="4">
        <f t="shared" si="398"/>
        <v>0.46411326873185343</v>
      </c>
      <c r="AD447" s="4">
        <f t="shared" si="398"/>
        <v>0.36979727595523937</v>
      </c>
      <c r="AE447" s="4">
        <f t="shared" si="398"/>
        <v>0.28393948637231203</v>
      </c>
      <c r="AF447" s="4">
        <f t="shared" si="398"/>
        <v>0.21097259161117732</v>
      </c>
      <c r="AG447" s="4">
        <f t="shared" si="398"/>
        <v>0.15253917653798199</v>
      </c>
      <c r="AH447" s="4">
        <f t="shared" si="398"/>
        <v>0.10795188737709993</v>
      </c>
      <c r="AI447" s="4">
        <f t="shared" si="398"/>
        <v>7.5176653938091809E-2</v>
      </c>
      <c r="AJ447" s="4">
        <f t="shared" si="398"/>
        <v>5.1742836177502194E-2</v>
      </c>
      <c r="AK447" s="4">
        <f t="shared" si="398"/>
        <v>3.5319190625345942E-2</v>
      </c>
      <c r="AL447" s="4">
        <f t="shared" si="398"/>
        <v>2.3969442072658165E-2</v>
      </c>
      <c r="AM447" s="4">
        <f t="shared" si="398"/>
        <v>1.6202243558389728E-2</v>
      </c>
      <c r="AN447" s="4">
        <f t="shared" si="398"/>
        <v>1.0922240564108399E-2</v>
      </c>
      <c r="AO447" s="4">
        <f t="shared" si="398"/>
        <v>7.3493212906090566E-3</v>
      </c>
      <c r="AP447" s="4">
        <f t="shared" si="398"/>
        <v>4.9390262185057265E-3</v>
      </c>
      <c r="AQ447" s="4">
        <f t="shared" si="398"/>
        <v>3.3164275492956197E-3</v>
      </c>
      <c r="AR447" s="4">
        <f t="shared" si="398"/>
        <v>2.2256362146679809E-3</v>
      </c>
    </row>
    <row r="448" spans="1:44" x14ac:dyDescent="0.25">
      <c r="A448" s="24" t="s">
        <v>67</v>
      </c>
      <c r="B448" s="45">
        <f>'Parameter Input'!$L$108</f>
        <v>0.13371034051801745</v>
      </c>
      <c r="C448" s="46">
        <f>'Parameter Input'!$M$108</f>
        <v>8.7585019329602734E-2</v>
      </c>
      <c r="D448" s="1" t="s">
        <v>68</v>
      </c>
      <c r="L448" s="54">
        <f>'Parameter Input'!$O$108</f>
        <v>12</v>
      </c>
      <c r="M448" s="37">
        <v>0</v>
      </c>
      <c r="N448" s="37">
        <v>1</v>
      </c>
      <c r="O448" s="37">
        <f>'Parameter Input'!$P$108</f>
        <v>0.9</v>
      </c>
      <c r="P448" s="55">
        <f>'Parameter Input'!$Q$108</f>
        <v>0.4</v>
      </c>
      <c r="Q448" s="4">
        <f t="shared" si="398"/>
        <v>0.9867978615748374</v>
      </c>
      <c r="R448" s="4">
        <f t="shared" si="398"/>
        <v>0.98114509762858249</v>
      </c>
      <c r="S448" s="4">
        <f t="shared" si="398"/>
        <v>0.97311898315872036</v>
      </c>
      <c r="T448" s="4">
        <f t="shared" ref="T448:AI455" si="399">$N448+($M448-$N448)*((1/(1+EXP(-$P448*(T$9-$L448)))^$O448))</f>
        <v>0.96177484161592774</v>
      </c>
      <c r="U448" s="4">
        <f t="shared" si="399"/>
        <v>0.94584787155511363</v>
      </c>
      <c r="V448" s="4">
        <f t="shared" si="399"/>
        <v>0.92370360150141495</v>
      </c>
      <c r="W448" s="4">
        <f t="shared" si="399"/>
        <v>0.89334463567658451</v>
      </c>
      <c r="X448" s="4">
        <f t="shared" si="399"/>
        <v>0.85254543874327005</v>
      </c>
      <c r="Y448" s="4">
        <f t="shared" si="399"/>
        <v>0.79921300652623883</v>
      </c>
      <c r="Z448" s="4">
        <f t="shared" si="399"/>
        <v>0.73204982249993378</v>
      </c>
      <c r="AA448" s="4">
        <f t="shared" si="399"/>
        <v>0.65145592958786691</v>
      </c>
      <c r="AB448" s="4">
        <f t="shared" si="399"/>
        <v>0.56032247880849573</v>
      </c>
      <c r="AC448" s="4">
        <f t="shared" si="399"/>
        <v>0.46411326873185343</v>
      </c>
      <c r="AD448" s="4">
        <f t="shared" si="399"/>
        <v>0.36979727595523937</v>
      </c>
      <c r="AE448" s="4">
        <f t="shared" si="399"/>
        <v>0.28393948637231203</v>
      </c>
      <c r="AF448" s="4">
        <f t="shared" si="399"/>
        <v>0.21097259161117732</v>
      </c>
      <c r="AG448" s="4">
        <f t="shared" si="399"/>
        <v>0.15253917653798199</v>
      </c>
      <c r="AH448" s="4">
        <f t="shared" si="399"/>
        <v>0.10795188737709993</v>
      </c>
      <c r="AI448" s="4">
        <f t="shared" si="399"/>
        <v>7.5176653938091809E-2</v>
      </c>
      <c r="AJ448" s="4">
        <f t="shared" ref="AJ448:AR455" si="400">$N448+($M448-$N448)*((1/(1+EXP(-$P448*(AJ$9-$L448)))^$O448))</f>
        <v>5.1742836177502194E-2</v>
      </c>
      <c r="AK448" s="4">
        <f t="shared" si="400"/>
        <v>3.5319190625345942E-2</v>
      </c>
      <c r="AL448" s="4">
        <f t="shared" si="400"/>
        <v>2.3969442072658165E-2</v>
      </c>
      <c r="AM448" s="4">
        <f t="shared" si="400"/>
        <v>1.6202243558389728E-2</v>
      </c>
      <c r="AN448" s="4">
        <f t="shared" si="400"/>
        <v>1.0922240564108399E-2</v>
      </c>
      <c r="AO448" s="4">
        <f t="shared" si="400"/>
        <v>7.3493212906090566E-3</v>
      </c>
      <c r="AP448" s="4">
        <f t="shared" si="400"/>
        <v>4.9390262185057265E-3</v>
      </c>
      <c r="AQ448" s="4">
        <f t="shared" si="400"/>
        <v>3.3164275492956197E-3</v>
      </c>
      <c r="AR448" s="4">
        <f t="shared" si="400"/>
        <v>2.2256362146679809E-3</v>
      </c>
    </row>
    <row r="449" spans="1:44" x14ac:dyDescent="0.25">
      <c r="A449" s="24" t="s">
        <v>206</v>
      </c>
      <c r="B449" s="115">
        <f>'Parameter Input'!$L$111</f>
        <v>7.321207678018575E-2</v>
      </c>
      <c r="C449" s="116">
        <f>'Parameter Input'!$M$111</f>
        <v>0</v>
      </c>
      <c r="D449" s="1" t="s">
        <v>76</v>
      </c>
      <c r="L449" s="54">
        <f>'Parameter Input'!$O$111</f>
        <v>17</v>
      </c>
      <c r="M449" s="37">
        <v>0</v>
      </c>
      <c r="N449" s="37">
        <v>1</v>
      </c>
      <c r="O449" s="37">
        <f>'Parameter Input'!$P$111</f>
        <v>0.9</v>
      </c>
      <c r="P449" s="55">
        <f>'Parameter Input'!$Q$111</f>
        <v>0.4</v>
      </c>
      <c r="Q449" s="4">
        <f t="shared" ref="Q449:AR449" si="401">$N449+($M449-$N449)*((1/(1+EXP(-$P449*(Q$9-$L449)))^$O449))</f>
        <v>0.99780374543478534</v>
      </c>
      <c r="R449" s="4">
        <f t="shared" si="401"/>
        <v>0.99685359315256394</v>
      </c>
      <c r="S449" s="4">
        <f t="shared" si="401"/>
        <v>0.99549347132349975</v>
      </c>
      <c r="T449" s="4">
        <f t="shared" si="401"/>
        <v>0.99354772139898062</v>
      </c>
      <c r="U449" s="4">
        <f t="shared" si="401"/>
        <v>0.99076681540580536</v>
      </c>
      <c r="V449" s="4">
        <f t="shared" si="401"/>
        <v>0.9867978615748374</v>
      </c>
      <c r="W449" s="4">
        <f t="shared" si="401"/>
        <v>0.98114509762858249</v>
      </c>
      <c r="X449" s="4">
        <f t="shared" si="401"/>
        <v>0.97311898315872036</v>
      </c>
      <c r="Y449" s="4">
        <f t="shared" si="401"/>
        <v>0.96177484161592774</v>
      </c>
      <c r="Z449" s="4">
        <f t="shared" si="401"/>
        <v>0.94584787155511363</v>
      </c>
      <c r="AA449" s="4">
        <f t="shared" si="401"/>
        <v>0.92370360150141495</v>
      </c>
      <c r="AB449" s="4">
        <f t="shared" si="401"/>
        <v>0.89334463567658451</v>
      </c>
      <c r="AC449" s="4">
        <f t="shared" si="401"/>
        <v>0.85254543874327005</v>
      </c>
      <c r="AD449" s="4">
        <f t="shared" si="401"/>
        <v>0.79921300652623883</v>
      </c>
      <c r="AE449" s="4">
        <f t="shared" si="401"/>
        <v>0.73204982249993378</v>
      </c>
      <c r="AF449" s="4">
        <f t="shared" si="401"/>
        <v>0.65145592958786691</v>
      </c>
      <c r="AG449" s="4">
        <f t="shared" si="401"/>
        <v>0.56032247880849573</v>
      </c>
      <c r="AH449" s="4">
        <f t="shared" si="401"/>
        <v>0.46411326873185343</v>
      </c>
      <c r="AI449" s="4">
        <f t="shared" si="401"/>
        <v>0.36979727595523937</v>
      </c>
      <c r="AJ449" s="4">
        <f t="shared" si="401"/>
        <v>0.28393948637231203</v>
      </c>
      <c r="AK449" s="4">
        <f t="shared" si="401"/>
        <v>0.21097259161117732</v>
      </c>
      <c r="AL449" s="4">
        <f t="shared" si="401"/>
        <v>0.15253917653798199</v>
      </c>
      <c r="AM449" s="4">
        <f t="shared" si="401"/>
        <v>0.10795188737709993</v>
      </c>
      <c r="AN449" s="4">
        <f t="shared" si="401"/>
        <v>7.5176653938091809E-2</v>
      </c>
      <c r="AO449" s="4">
        <f t="shared" si="401"/>
        <v>5.1742836177502194E-2</v>
      </c>
      <c r="AP449" s="4">
        <f t="shared" si="401"/>
        <v>3.5319190625345942E-2</v>
      </c>
      <c r="AQ449" s="4">
        <f t="shared" si="401"/>
        <v>2.3969442072658165E-2</v>
      </c>
      <c r="AR449" s="4">
        <f t="shared" si="401"/>
        <v>1.6202243558389728E-2</v>
      </c>
    </row>
    <row r="450" spans="1:44" x14ac:dyDescent="0.25">
      <c r="A450" s="24" t="s">
        <v>41</v>
      </c>
      <c r="B450" s="43">
        <f>'Parameter Input'!$L$105</f>
        <v>20</v>
      </c>
      <c r="C450" s="44">
        <f>'Parameter Input'!$M$105</f>
        <v>20</v>
      </c>
      <c r="D450" s="1" t="s">
        <v>42</v>
      </c>
      <c r="L450" s="54">
        <f>'Parameter Input'!$O$105</f>
        <v>12</v>
      </c>
      <c r="M450" s="37">
        <v>0</v>
      </c>
      <c r="N450" s="37">
        <v>1</v>
      </c>
      <c r="O450" s="37">
        <f>'Parameter Input'!$P$105</f>
        <v>0.9</v>
      </c>
      <c r="P450" s="55">
        <f>'Parameter Input'!$Q$105</f>
        <v>0.4</v>
      </c>
      <c r="Q450" s="4">
        <f t="shared" ref="Q450:AF455" si="402">$N450+($M450-$N450)*((1/(1+EXP(-$P450*(Q$9-$L450)))^$O450))</f>
        <v>0.9867978615748374</v>
      </c>
      <c r="R450" s="4">
        <f t="shared" si="402"/>
        <v>0.98114509762858249</v>
      </c>
      <c r="S450" s="4">
        <f t="shared" si="402"/>
        <v>0.97311898315872036</v>
      </c>
      <c r="T450" s="4">
        <f t="shared" si="402"/>
        <v>0.96177484161592774</v>
      </c>
      <c r="U450" s="4">
        <f t="shared" si="402"/>
        <v>0.94584787155511363</v>
      </c>
      <c r="V450" s="4">
        <f t="shared" si="402"/>
        <v>0.92370360150141495</v>
      </c>
      <c r="W450" s="4">
        <f t="shared" si="402"/>
        <v>0.89334463567658451</v>
      </c>
      <c r="X450" s="4">
        <f t="shared" si="402"/>
        <v>0.85254543874327005</v>
      </c>
      <c r="Y450" s="4">
        <f t="shared" si="402"/>
        <v>0.79921300652623883</v>
      </c>
      <c r="Z450" s="4">
        <f t="shared" si="402"/>
        <v>0.73204982249993378</v>
      </c>
      <c r="AA450" s="4">
        <f t="shared" si="402"/>
        <v>0.65145592958786691</v>
      </c>
      <c r="AB450" s="4">
        <f t="shared" si="402"/>
        <v>0.56032247880849573</v>
      </c>
      <c r="AC450" s="4">
        <f t="shared" si="402"/>
        <v>0.46411326873185343</v>
      </c>
      <c r="AD450" s="4">
        <f t="shared" si="402"/>
        <v>0.36979727595523937</v>
      </c>
      <c r="AE450" s="4">
        <f t="shared" si="402"/>
        <v>0.28393948637231203</v>
      </c>
      <c r="AF450" s="4">
        <f t="shared" si="402"/>
        <v>0.21097259161117732</v>
      </c>
      <c r="AG450" s="4">
        <f t="shared" si="399"/>
        <v>0.15253917653798199</v>
      </c>
      <c r="AH450" s="4">
        <f t="shared" si="399"/>
        <v>0.10795188737709993</v>
      </c>
      <c r="AI450" s="4">
        <f t="shared" si="399"/>
        <v>7.5176653938091809E-2</v>
      </c>
      <c r="AJ450" s="4">
        <f t="shared" si="400"/>
        <v>5.1742836177502194E-2</v>
      </c>
      <c r="AK450" s="4">
        <f t="shared" si="400"/>
        <v>3.5319190625345942E-2</v>
      </c>
      <c r="AL450" s="4">
        <f t="shared" si="400"/>
        <v>2.3969442072658165E-2</v>
      </c>
      <c r="AM450" s="4">
        <f t="shared" si="400"/>
        <v>1.6202243558389728E-2</v>
      </c>
      <c r="AN450" s="4">
        <f t="shared" si="400"/>
        <v>1.0922240564108399E-2</v>
      </c>
      <c r="AO450" s="4">
        <f t="shared" si="400"/>
        <v>7.3493212906090566E-3</v>
      </c>
      <c r="AP450" s="4">
        <f t="shared" si="400"/>
        <v>4.9390262185057265E-3</v>
      </c>
      <c r="AQ450" s="4">
        <f t="shared" si="400"/>
        <v>3.3164275492956197E-3</v>
      </c>
      <c r="AR450" s="4">
        <f t="shared" si="400"/>
        <v>2.2256362146679809E-3</v>
      </c>
    </row>
    <row r="451" spans="1:44" x14ac:dyDescent="0.25">
      <c r="A451" s="24" t="s">
        <v>70</v>
      </c>
      <c r="B451" s="43">
        <f>'Parameter Input'!B144</f>
        <v>30</v>
      </c>
      <c r="C451" s="44">
        <f>'Parameter Input'!C144</f>
        <v>30</v>
      </c>
      <c r="D451" s="1" t="s">
        <v>42</v>
      </c>
      <c r="L451" s="54">
        <f>'Parameter Input'!E144</f>
        <v>12</v>
      </c>
      <c r="M451" s="37">
        <v>0</v>
      </c>
      <c r="N451" s="37">
        <v>1</v>
      </c>
      <c r="O451" s="37">
        <f>'Parameter Input'!F144</f>
        <v>0.9</v>
      </c>
      <c r="P451" s="55">
        <f>'Parameter Input'!G144</f>
        <v>0.4</v>
      </c>
      <c r="Q451" s="4">
        <f t="shared" si="402"/>
        <v>0.9867978615748374</v>
      </c>
      <c r="R451" s="4">
        <f t="shared" si="402"/>
        <v>0.98114509762858249</v>
      </c>
      <c r="S451" s="4">
        <f t="shared" si="402"/>
        <v>0.97311898315872036</v>
      </c>
      <c r="T451" s="4">
        <f t="shared" si="402"/>
        <v>0.96177484161592774</v>
      </c>
      <c r="U451" s="4">
        <f t="shared" si="402"/>
        <v>0.94584787155511363</v>
      </c>
      <c r="V451" s="4">
        <f t="shared" si="402"/>
        <v>0.92370360150141495</v>
      </c>
      <c r="W451" s="4">
        <f t="shared" si="402"/>
        <v>0.89334463567658451</v>
      </c>
      <c r="X451" s="4">
        <f t="shared" si="402"/>
        <v>0.85254543874327005</v>
      </c>
      <c r="Y451" s="4">
        <f t="shared" si="402"/>
        <v>0.79921300652623883</v>
      </c>
      <c r="Z451" s="4">
        <f t="shared" si="402"/>
        <v>0.73204982249993378</v>
      </c>
      <c r="AA451" s="4">
        <f t="shared" si="402"/>
        <v>0.65145592958786691</v>
      </c>
      <c r="AB451" s="4">
        <f t="shared" si="402"/>
        <v>0.56032247880849573</v>
      </c>
      <c r="AC451" s="4">
        <f t="shared" si="402"/>
        <v>0.46411326873185343</v>
      </c>
      <c r="AD451" s="4">
        <f t="shared" si="402"/>
        <v>0.36979727595523937</v>
      </c>
      <c r="AE451" s="4">
        <f t="shared" si="402"/>
        <v>0.28393948637231203</v>
      </c>
      <c r="AF451" s="4">
        <f t="shared" si="402"/>
        <v>0.21097259161117732</v>
      </c>
      <c r="AG451" s="4">
        <f t="shared" si="399"/>
        <v>0.15253917653798199</v>
      </c>
      <c r="AH451" s="4">
        <f t="shared" si="399"/>
        <v>0.10795188737709993</v>
      </c>
      <c r="AI451" s="4">
        <f t="shared" si="399"/>
        <v>7.5176653938091809E-2</v>
      </c>
      <c r="AJ451" s="4">
        <f t="shared" si="400"/>
        <v>5.1742836177502194E-2</v>
      </c>
      <c r="AK451" s="4">
        <f t="shared" si="400"/>
        <v>3.5319190625345942E-2</v>
      </c>
      <c r="AL451" s="4">
        <f t="shared" si="400"/>
        <v>2.3969442072658165E-2</v>
      </c>
      <c r="AM451" s="4">
        <f t="shared" si="400"/>
        <v>1.6202243558389728E-2</v>
      </c>
      <c r="AN451" s="4">
        <f t="shared" si="400"/>
        <v>1.0922240564108399E-2</v>
      </c>
      <c r="AO451" s="4">
        <f t="shared" si="400"/>
        <v>7.3493212906090566E-3</v>
      </c>
      <c r="AP451" s="4">
        <f t="shared" si="400"/>
        <v>4.9390262185057265E-3</v>
      </c>
      <c r="AQ451" s="4">
        <f t="shared" si="400"/>
        <v>3.3164275492956197E-3</v>
      </c>
      <c r="AR451" s="4">
        <f t="shared" si="400"/>
        <v>2.2256362146679809E-3</v>
      </c>
    </row>
    <row r="452" spans="1:44" x14ac:dyDescent="0.25">
      <c r="A452" s="24" t="s">
        <v>207</v>
      </c>
      <c r="B452" s="70">
        <f>'Parameter Input'!B141</f>
        <v>2800</v>
      </c>
      <c r="C452" s="71">
        <f>'Parameter Input'!C141</f>
        <v>2800</v>
      </c>
      <c r="D452" s="1" t="s">
        <v>49</v>
      </c>
      <c r="L452" s="54">
        <f>'Parameter Input'!E141</f>
        <v>12</v>
      </c>
      <c r="M452" s="37">
        <v>0</v>
      </c>
      <c r="N452" s="37">
        <v>1</v>
      </c>
      <c r="O452" s="37">
        <f>'Parameter Input'!F141</f>
        <v>0.9</v>
      </c>
      <c r="P452" s="55">
        <f>'Parameter Input'!G141</f>
        <v>0.4</v>
      </c>
      <c r="Q452" s="4">
        <f t="shared" si="402"/>
        <v>0.9867978615748374</v>
      </c>
      <c r="R452" s="4">
        <f t="shared" si="402"/>
        <v>0.98114509762858249</v>
      </c>
      <c r="S452" s="4">
        <f t="shared" si="402"/>
        <v>0.97311898315872036</v>
      </c>
      <c r="T452" s="4">
        <f t="shared" si="402"/>
        <v>0.96177484161592774</v>
      </c>
      <c r="U452" s="4">
        <f t="shared" si="402"/>
        <v>0.94584787155511363</v>
      </c>
      <c r="V452" s="4">
        <f t="shared" si="402"/>
        <v>0.92370360150141495</v>
      </c>
      <c r="W452" s="4">
        <f t="shared" si="402"/>
        <v>0.89334463567658451</v>
      </c>
      <c r="X452" s="4">
        <f t="shared" si="402"/>
        <v>0.85254543874327005</v>
      </c>
      <c r="Y452" s="4">
        <f t="shared" si="402"/>
        <v>0.79921300652623883</v>
      </c>
      <c r="Z452" s="4">
        <f t="shared" si="402"/>
        <v>0.73204982249993378</v>
      </c>
      <c r="AA452" s="4">
        <f t="shared" si="402"/>
        <v>0.65145592958786691</v>
      </c>
      <c r="AB452" s="4">
        <f t="shared" si="402"/>
        <v>0.56032247880849573</v>
      </c>
      <c r="AC452" s="4">
        <f t="shared" si="402"/>
        <v>0.46411326873185343</v>
      </c>
      <c r="AD452" s="4">
        <f t="shared" si="402"/>
        <v>0.36979727595523937</v>
      </c>
      <c r="AE452" s="4">
        <f t="shared" si="402"/>
        <v>0.28393948637231203</v>
      </c>
      <c r="AF452" s="4">
        <f t="shared" si="402"/>
        <v>0.21097259161117732</v>
      </c>
      <c r="AG452" s="4">
        <f t="shared" si="399"/>
        <v>0.15253917653798199</v>
      </c>
      <c r="AH452" s="4">
        <f t="shared" si="399"/>
        <v>0.10795188737709993</v>
      </c>
      <c r="AI452" s="4">
        <f t="shared" si="399"/>
        <v>7.5176653938091809E-2</v>
      </c>
      <c r="AJ452" s="4">
        <f t="shared" si="400"/>
        <v>5.1742836177502194E-2</v>
      </c>
      <c r="AK452" s="4">
        <f t="shared" si="400"/>
        <v>3.5319190625345942E-2</v>
      </c>
      <c r="AL452" s="4">
        <f t="shared" si="400"/>
        <v>2.3969442072658165E-2</v>
      </c>
      <c r="AM452" s="4">
        <f t="shared" si="400"/>
        <v>1.6202243558389728E-2</v>
      </c>
      <c r="AN452" s="4">
        <f t="shared" si="400"/>
        <v>1.0922240564108399E-2</v>
      </c>
      <c r="AO452" s="4">
        <f t="shared" si="400"/>
        <v>7.3493212906090566E-3</v>
      </c>
      <c r="AP452" s="4">
        <f t="shared" si="400"/>
        <v>4.9390262185057265E-3</v>
      </c>
      <c r="AQ452" s="4">
        <f t="shared" si="400"/>
        <v>3.3164275492956197E-3</v>
      </c>
      <c r="AR452" s="4">
        <f t="shared" si="400"/>
        <v>2.2256362146679809E-3</v>
      </c>
    </row>
    <row r="453" spans="1:44" x14ac:dyDescent="0.25">
      <c r="A453" s="24" t="s">
        <v>56</v>
      </c>
      <c r="B453" s="72">
        <f>'Parameter Input'!B142</f>
        <v>0.42666666666666669</v>
      </c>
      <c r="C453" s="73">
        <f>'Parameter Input'!C142</f>
        <v>0.42666666666666669</v>
      </c>
      <c r="D453" s="1" t="s">
        <v>57</v>
      </c>
      <c r="L453" s="54">
        <f>'Parameter Input'!E142</f>
        <v>12</v>
      </c>
      <c r="M453" s="37">
        <v>0</v>
      </c>
      <c r="N453" s="37">
        <v>1</v>
      </c>
      <c r="O453" s="37">
        <f>'Parameter Input'!F142</f>
        <v>0.9</v>
      </c>
      <c r="P453" s="55">
        <f>'Parameter Input'!G142</f>
        <v>0.4</v>
      </c>
      <c r="Q453" s="4">
        <f t="shared" si="402"/>
        <v>0.9867978615748374</v>
      </c>
      <c r="R453" s="4">
        <f t="shared" si="402"/>
        <v>0.98114509762858249</v>
      </c>
      <c r="S453" s="4">
        <f t="shared" si="402"/>
        <v>0.97311898315872036</v>
      </c>
      <c r="T453" s="4">
        <f t="shared" si="402"/>
        <v>0.96177484161592774</v>
      </c>
      <c r="U453" s="4">
        <f t="shared" si="402"/>
        <v>0.94584787155511363</v>
      </c>
      <c r="V453" s="4">
        <f t="shared" si="402"/>
        <v>0.92370360150141495</v>
      </c>
      <c r="W453" s="4">
        <f t="shared" si="402"/>
        <v>0.89334463567658451</v>
      </c>
      <c r="X453" s="4">
        <f t="shared" si="402"/>
        <v>0.85254543874327005</v>
      </c>
      <c r="Y453" s="4">
        <f t="shared" si="402"/>
        <v>0.79921300652623883</v>
      </c>
      <c r="Z453" s="4">
        <f t="shared" si="402"/>
        <v>0.73204982249993378</v>
      </c>
      <c r="AA453" s="4">
        <f t="shared" si="402"/>
        <v>0.65145592958786691</v>
      </c>
      <c r="AB453" s="4">
        <f t="shared" si="402"/>
        <v>0.56032247880849573</v>
      </c>
      <c r="AC453" s="4">
        <f t="shared" si="402"/>
        <v>0.46411326873185343</v>
      </c>
      <c r="AD453" s="4">
        <f t="shared" si="402"/>
        <v>0.36979727595523937</v>
      </c>
      <c r="AE453" s="4">
        <f t="shared" si="402"/>
        <v>0.28393948637231203</v>
      </c>
      <c r="AF453" s="4">
        <f t="shared" si="402"/>
        <v>0.21097259161117732</v>
      </c>
      <c r="AG453" s="4">
        <f t="shared" si="399"/>
        <v>0.15253917653798199</v>
      </c>
      <c r="AH453" s="4">
        <f t="shared" si="399"/>
        <v>0.10795188737709993</v>
      </c>
      <c r="AI453" s="4">
        <f t="shared" si="399"/>
        <v>7.5176653938091809E-2</v>
      </c>
      <c r="AJ453" s="4">
        <f t="shared" si="400"/>
        <v>5.1742836177502194E-2</v>
      </c>
      <c r="AK453" s="4">
        <f t="shared" si="400"/>
        <v>3.5319190625345942E-2</v>
      </c>
      <c r="AL453" s="4">
        <f t="shared" si="400"/>
        <v>2.3969442072658165E-2</v>
      </c>
      <c r="AM453" s="4">
        <f t="shared" si="400"/>
        <v>1.6202243558389728E-2</v>
      </c>
      <c r="AN453" s="4">
        <f t="shared" si="400"/>
        <v>1.0922240564108399E-2</v>
      </c>
      <c r="AO453" s="4">
        <f t="shared" si="400"/>
        <v>7.3493212906090566E-3</v>
      </c>
      <c r="AP453" s="4">
        <f t="shared" si="400"/>
        <v>4.9390262185057265E-3</v>
      </c>
      <c r="AQ453" s="4">
        <f t="shared" si="400"/>
        <v>3.3164275492956197E-3</v>
      </c>
      <c r="AR453" s="4">
        <f t="shared" si="400"/>
        <v>2.2256362146679809E-3</v>
      </c>
    </row>
    <row r="454" spans="1:44" x14ac:dyDescent="0.25">
      <c r="A454" s="24" t="s">
        <v>73</v>
      </c>
      <c r="B454" s="72">
        <f>'Parameter Input'!$L$109</f>
        <v>0</v>
      </c>
      <c r="C454" s="73">
        <f>'Parameter Input'!$M$109</f>
        <v>0</v>
      </c>
      <c r="D454" s="1" t="s">
        <v>57</v>
      </c>
      <c r="L454" s="54">
        <f>'Parameter Input'!$O$109</f>
        <v>12</v>
      </c>
      <c r="M454" s="37">
        <v>0</v>
      </c>
      <c r="N454" s="37">
        <v>1</v>
      </c>
      <c r="O454" s="37">
        <f>'Parameter Input'!$P$109</f>
        <v>0.9</v>
      </c>
      <c r="P454" s="55">
        <f>'Parameter Input'!$Q$109</f>
        <v>0.4</v>
      </c>
      <c r="Q454" s="4">
        <f t="shared" si="402"/>
        <v>0.9867978615748374</v>
      </c>
      <c r="R454" s="4">
        <f t="shared" si="402"/>
        <v>0.98114509762858249</v>
      </c>
      <c r="S454" s="4">
        <f t="shared" si="402"/>
        <v>0.97311898315872036</v>
      </c>
      <c r="T454" s="4">
        <f t="shared" si="402"/>
        <v>0.96177484161592774</v>
      </c>
      <c r="U454" s="4">
        <f t="shared" si="402"/>
        <v>0.94584787155511363</v>
      </c>
      <c r="V454" s="4">
        <f t="shared" si="402"/>
        <v>0.92370360150141495</v>
      </c>
      <c r="W454" s="4">
        <f t="shared" si="402"/>
        <v>0.89334463567658451</v>
      </c>
      <c r="X454" s="4">
        <f t="shared" si="402"/>
        <v>0.85254543874327005</v>
      </c>
      <c r="Y454" s="4">
        <f t="shared" si="402"/>
        <v>0.79921300652623883</v>
      </c>
      <c r="Z454" s="4">
        <f t="shared" si="402"/>
        <v>0.73204982249993378</v>
      </c>
      <c r="AA454" s="4">
        <f t="shared" si="402"/>
        <v>0.65145592958786691</v>
      </c>
      <c r="AB454" s="4">
        <f t="shared" si="402"/>
        <v>0.56032247880849573</v>
      </c>
      <c r="AC454" s="4">
        <f t="shared" si="402"/>
        <v>0.46411326873185343</v>
      </c>
      <c r="AD454" s="4">
        <f t="shared" si="402"/>
        <v>0.36979727595523937</v>
      </c>
      <c r="AE454" s="4">
        <f t="shared" si="402"/>
        <v>0.28393948637231203</v>
      </c>
      <c r="AF454" s="4">
        <f t="shared" si="402"/>
        <v>0.21097259161117732</v>
      </c>
      <c r="AG454" s="4">
        <f t="shared" si="399"/>
        <v>0.15253917653798199</v>
      </c>
      <c r="AH454" s="4">
        <f t="shared" si="399"/>
        <v>0.10795188737709993</v>
      </c>
      <c r="AI454" s="4">
        <f t="shared" si="399"/>
        <v>7.5176653938091809E-2</v>
      </c>
      <c r="AJ454" s="4">
        <f t="shared" si="400"/>
        <v>5.1742836177502194E-2</v>
      </c>
      <c r="AK454" s="4">
        <f t="shared" si="400"/>
        <v>3.5319190625345942E-2</v>
      </c>
      <c r="AL454" s="4">
        <f t="shared" si="400"/>
        <v>2.3969442072658165E-2</v>
      </c>
      <c r="AM454" s="4">
        <f t="shared" si="400"/>
        <v>1.6202243558389728E-2</v>
      </c>
      <c r="AN454" s="4">
        <f t="shared" si="400"/>
        <v>1.0922240564108399E-2</v>
      </c>
      <c r="AO454" s="4">
        <f t="shared" si="400"/>
        <v>7.3493212906090566E-3</v>
      </c>
      <c r="AP454" s="4">
        <f t="shared" si="400"/>
        <v>4.9390262185057265E-3</v>
      </c>
      <c r="AQ454" s="4">
        <f t="shared" si="400"/>
        <v>3.3164275492956197E-3</v>
      </c>
      <c r="AR454" s="4">
        <f t="shared" si="400"/>
        <v>2.2256362146679809E-3</v>
      </c>
    </row>
    <row r="455" spans="1:44" ht="15.75" thickBot="1" x14ac:dyDescent="0.3">
      <c r="A455" s="24" t="s">
        <v>64</v>
      </c>
      <c r="B455" s="74">
        <f>'Parameter Input'!B143</f>
        <v>178500</v>
      </c>
      <c r="C455" s="75">
        <f>'Parameter Input'!C143</f>
        <v>178500</v>
      </c>
      <c r="D455" s="1" t="s">
        <v>65</v>
      </c>
      <c r="L455" s="56">
        <f>'Parameter Input'!E143</f>
        <v>12</v>
      </c>
      <c r="M455" s="57">
        <v>0</v>
      </c>
      <c r="N455" s="57">
        <v>1</v>
      </c>
      <c r="O455" s="57">
        <f>'Parameter Input'!F143</f>
        <v>0.9</v>
      </c>
      <c r="P455" s="58">
        <f>'Parameter Input'!G143</f>
        <v>0.4</v>
      </c>
      <c r="Q455" s="4">
        <f t="shared" si="402"/>
        <v>0.9867978615748374</v>
      </c>
      <c r="R455" s="4">
        <f t="shared" si="402"/>
        <v>0.98114509762858249</v>
      </c>
      <c r="S455" s="4">
        <f t="shared" si="402"/>
        <v>0.97311898315872036</v>
      </c>
      <c r="T455" s="4">
        <f t="shared" si="402"/>
        <v>0.96177484161592774</v>
      </c>
      <c r="U455" s="4">
        <f t="shared" si="402"/>
        <v>0.94584787155511363</v>
      </c>
      <c r="V455" s="4">
        <f t="shared" si="402"/>
        <v>0.92370360150141495</v>
      </c>
      <c r="W455" s="4">
        <f t="shared" si="402"/>
        <v>0.89334463567658451</v>
      </c>
      <c r="X455" s="4">
        <f t="shared" si="402"/>
        <v>0.85254543874327005</v>
      </c>
      <c r="Y455" s="4">
        <f t="shared" si="402"/>
        <v>0.79921300652623883</v>
      </c>
      <c r="Z455" s="4">
        <f t="shared" si="402"/>
        <v>0.73204982249993378</v>
      </c>
      <c r="AA455" s="4">
        <f t="shared" si="402"/>
        <v>0.65145592958786691</v>
      </c>
      <c r="AB455" s="4">
        <f t="shared" si="402"/>
        <v>0.56032247880849573</v>
      </c>
      <c r="AC455" s="4">
        <f t="shared" si="402"/>
        <v>0.46411326873185343</v>
      </c>
      <c r="AD455" s="4">
        <f t="shared" si="402"/>
        <v>0.36979727595523937</v>
      </c>
      <c r="AE455" s="4">
        <f t="shared" si="402"/>
        <v>0.28393948637231203</v>
      </c>
      <c r="AF455" s="4">
        <f t="shared" si="402"/>
        <v>0.21097259161117732</v>
      </c>
      <c r="AG455" s="4">
        <f t="shared" si="399"/>
        <v>0.15253917653798199</v>
      </c>
      <c r="AH455" s="4">
        <f t="shared" si="399"/>
        <v>0.10795188737709993</v>
      </c>
      <c r="AI455" s="4">
        <f t="shared" si="399"/>
        <v>7.5176653938091809E-2</v>
      </c>
      <c r="AJ455" s="4">
        <f t="shared" si="400"/>
        <v>5.1742836177502194E-2</v>
      </c>
      <c r="AK455" s="4">
        <f t="shared" si="400"/>
        <v>3.5319190625345942E-2</v>
      </c>
      <c r="AL455" s="4">
        <f t="shared" si="400"/>
        <v>2.3969442072658165E-2</v>
      </c>
      <c r="AM455" s="4">
        <f t="shared" si="400"/>
        <v>1.6202243558389728E-2</v>
      </c>
      <c r="AN455" s="4">
        <f t="shared" si="400"/>
        <v>1.0922240564108399E-2</v>
      </c>
      <c r="AO455" s="4">
        <f t="shared" si="400"/>
        <v>7.3493212906090566E-3</v>
      </c>
      <c r="AP455" s="4">
        <f t="shared" si="400"/>
        <v>4.9390262185057265E-3</v>
      </c>
      <c r="AQ455" s="4">
        <f t="shared" si="400"/>
        <v>3.3164275492956197E-3</v>
      </c>
      <c r="AR455" s="4">
        <f t="shared" si="400"/>
        <v>2.2256362146679809E-3</v>
      </c>
    </row>
    <row r="456" spans="1:44" x14ac:dyDescent="0.25">
      <c r="A456" s="25"/>
      <c r="B456" s="40"/>
    </row>
    <row r="457" spans="1:44" ht="15.75" thickBot="1" x14ac:dyDescent="0.3"/>
    <row r="458" spans="1:44" ht="15.75" thickBot="1" x14ac:dyDescent="0.3">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68" si="403">A439</f>
        <v>Capex vehicle</v>
      </c>
      <c r="B459" s="62">
        <f t="shared" ref="B459:B468" si="404">$B439+($C439-$B439)*(1-Q439)</f>
        <v>5000000</v>
      </c>
      <c r="C459" s="62">
        <f t="shared" ref="C459:C468" si="405">$B439+($C439-$B439)*(1-R439)</f>
        <v>5000000</v>
      </c>
      <c r="D459" s="62">
        <f t="shared" ref="D459:D468" si="406">$B439+($C439-$B439)*(1-S439)</f>
        <v>5000000</v>
      </c>
      <c r="E459" s="62">
        <f t="shared" ref="E459:E468" si="407">$B439+($C439-$B439)*(1-T439)</f>
        <v>5000000</v>
      </c>
      <c r="F459" s="62">
        <f t="shared" ref="F459:F468" si="408">$B439+($C439-$B439)*(1-U439)</f>
        <v>5000000</v>
      </c>
      <c r="G459" s="62">
        <f t="shared" ref="G459:G468" si="409">$B439+($C439-$B439)*(1-V439)</f>
        <v>5000000</v>
      </c>
      <c r="H459" s="62">
        <f t="shared" ref="H459:H468" si="410">$B439+($C439-$B439)*(1-W439)</f>
        <v>5000000</v>
      </c>
      <c r="I459" s="62">
        <f t="shared" ref="I459:I468" si="411">$B439+($C439-$B439)*(1-X439)</f>
        <v>5000000</v>
      </c>
      <c r="J459" s="62">
        <f t="shared" ref="J459:J468" si="412">$B439+($C439-$B439)*(1-Y439)</f>
        <v>5000000</v>
      </c>
      <c r="K459" s="62">
        <f t="shared" ref="K459:K468" si="413">$B439+($C439-$B439)*(1-Z439)</f>
        <v>5000000</v>
      </c>
      <c r="L459" s="62">
        <f t="shared" ref="L459:L468" si="414">$B439+($C439-$B439)*(1-AA439)</f>
        <v>5000000</v>
      </c>
      <c r="M459" s="62">
        <f t="shared" ref="M459:M468" si="415">$B439+($C439-$B439)*(1-AB439)</f>
        <v>5000000</v>
      </c>
      <c r="N459" s="62">
        <f t="shared" ref="N459:N468" si="416">$B439+($C439-$B439)*(1-AC439)</f>
        <v>5000000</v>
      </c>
      <c r="O459" s="62">
        <f t="shared" ref="O459:O468" si="417">$B439+($C439-$B439)*(1-AD439)</f>
        <v>5000000</v>
      </c>
      <c r="P459" s="62">
        <f t="shared" ref="P459:P468" si="418">$B439+($C439-$B439)*(1-AE439)</f>
        <v>5000000</v>
      </c>
      <c r="Q459" s="62">
        <f t="shared" ref="Q459:Q468" si="419">$B439+($C439-$B439)*(1-AF439)</f>
        <v>5000000</v>
      </c>
      <c r="R459" s="62">
        <f t="shared" ref="R459:R468" si="420">$B439+($C439-$B439)*(1-AG439)</f>
        <v>5000000</v>
      </c>
      <c r="S459" s="62">
        <f t="shared" ref="S459:S468" si="421">$B439+($C439-$B439)*(1-AH439)</f>
        <v>5000000</v>
      </c>
      <c r="T459" s="62">
        <f t="shared" ref="T459:T468" si="422">$B439+($C439-$B439)*(1-AI439)</f>
        <v>5000000</v>
      </c>
      <c r="U459" s="62">
        <f t="shared" ref="U459:U468" si="423">$B439+($C439-$B439)*(1-AJ439)</f>
        <v>5000000</v>
      </c>
      <c r="V459" s="62">
        <f t="shared" ref="V459:V468" si="424">$B439+($C439-$B439)*(1-AK439)</f>
        <v>5000000</v>
      </c>
      <c r="W459" s="62">
        <f t="shared" ref="W459:W468" si="425">$B439+($C439-$B439)*(1-AL439)</f>
        <v>5000000</v>
      </c>
      <c r="X459" s="62">
        <f t="shared" ref="X459:X468" si="426">$B439+($C439-$B439)*(1-AM439)</f>
        <v>5000000</v>
      </c>
      <c r="Y459" s="62">
        <f t="shared" ref="Y459:Y468" si="427">$B439+($C439-$B439)*(1-AN439)</f>
        <v>5000000</v>
      </c>
      <c r="Z459" s="62">
        <f t="shared" ref="Z459:Z468" si="428">$B439+($C439-$B439)*(1-AO439)</f>
        <v>5000000</v>
      </c>
      <c r="AA459" s="62">
        <f t="shared" ref="AA459:AA468" si="429">$B439+($C439-$B439)*(1-AP439)</f>
        <v>5000000</v>
      </c>
      <c r="AB459" s="62">
        <f t="shared" ref="AB459:AB468" si="430">$B439+($C439-$B439)*(1-AQ439)</f>
        <v>5000000</v>
      </c>
      <c r="AC459" s="62">
        <f t="shared" ref="AC459:AC468" si="431">$B439+($C439-$B439)*(1-AR439)</f>
        <v>5000000</v>
      </c>
    </row>
    <row r="460" spans="1:44" x14ac:dyDescent="0.25">
      <c r="A460" s="30" t="str">
        <f t="shared" si="403"/>
        <v>Residual value (vehicle)</v>
      </c>
      <c r="B460" s="62">
        <f t="shared" si="404"/>
        <v>-750000</v>
      </c>
      <c r="C460" s="62">
        <f t="shared" si="405"/>
        <v>-750000</v>
      </c>
      <c r="D460" s="62">
        <f t="shared" si="406"/>
        <v>-750000</v>
      </c>
      <c r="E460" s="62">
        <f t="shared" si="407"/>
        <v>-750000</v>
      </c>
      <c r="F460" s="62">
        <f t="shared" si="408"/>
        <v>-750000</v>
      </c>
      <c r="G460" s="62">
        <f t="shared" si="409"/>
        <v>-750000</v>
      </c>
      <c r="H460" s="62">
        <f t="shared" si="410"/>
        <v>-750000</v>
      </c>
      <c r="I460" s="62">
        <f t="shared" si="411"/>
        <v>-750000</v>
      </c>
      <c r="J460" s="62">
        <f t="shared" si="412"/>
        <v>-750000</v>
      </c>
      <c r="K460" s="62">
        <f t="shared" si="413"/>
        <v>-750000</v>
      </c>
      <c r="L460" s="62">
        <f t="shared" si="414"/>
        <v>-750000</v>
      </c>
      <c r="M460" s="62">
        <f t="shared" si="415"/>
        <v>-750000</v>
      </c>
      <c r="N460" s="62">
        <f t="shared" si="416"/>
        <v>-750000</v>
      </c>
      <c r="O460" s="62">
        <f t="shared" si="417"/>
        <v>-750000</v>
      </c>
      <c r="P460" s="62">
        <f t="shared" si="418"/>
        <v>-750000</v>
      </c>
      <c r="Q460" s="62">
        <f t="shared" si="419"/>
        <v>-750000</v>
      </c>
      <c r="R460" s="62">
        <f t="shared" si="420"/>
        <v>-750000</v>
      </c>
      <c r="S460" s="62">
        <f t="shared" si="421"/>
        <v>-750000</v>
      </c>
      <c r="T460" s="62">
        <f t="shared" si="422"/>
        <v>-750000</v>
      </c>
      <c r="U460" s="62">
        <f t="shared" si="423"/>
        <v>-750000</v>
      </c>
      <c r="V460" s="62">
        <f t="shared" si="424"/>
        <v>-750000</v>
      </c>
      <c r="W460" s="62">
        <f t="shared" si="425"/>
        <v>-750000</v>
      </c>
      <c r="X460" s="62">
        <f t="shared" si="426"/>
        <v>-750000</v>
      </c>
      <c r="Y460" s="62">
        <f t="shared" si="427"/>
        <v>-750000</v>
      </c>
      <c r="Z460" s="62">
        <f t="shared" si="428"/>
        <v>-750000</v>
      </c>
      <c r="AA460" s="62">
        <f t="shared" si="429"/>
        <v>-750000</v>
      </c>
      <c r="AB460" s="62">
        <f t="shared" si="430"/>
        <v>-750000</v>
      </c>
      <c r="AC460" s="62">
        <f t="shared" si="431"/>
        <v>-750000</v>
      </c>
    </row>
    <row r="461" spans="1:44" x14ac:dyDescent="0.25">
      <c r="A461" s="30" t="str">
        <f t="shared" si="403"/>
        <v>Capex costumization</v>
      </c>
      <c r="B461" s="62">
        <f t="shared" si="404"/>
        <v>3500000</v>
      </c>
      <c r="C461" s="62">
        <f t="shared" si="405"/>
        <v>3500000</v>
      </c>
      <c r="D461" s="62">
        <f t="shared" si="406"/>
        <v>3500000</v>
      </c>
      <c r="E461" s="62">
        <f t="shared" si="407"/>
        <v>3500000</v>
      </c>
      <c r="F461" s="62">
        <f t="shared" si="408"/>
        <v>3500000</v>
      </c>
      <c r="G461" s="62">
        <f t="shared" si="409"/>
        <v>3500000</v>
      </c>
      <c r="H461" s="62">
        <f t="shared" si="410"/>
        <v>3500000</v>
      </c>
      <c r="I461" s="62">
        <f t="shared" si="411"/>
        <v>3500000</v>
      </c>
      <c r="J461" s="62">
        <f t="shared" si="412"/>
        <v>3500000</v>
      </c>
      <c r="K461" s="62">
        <f t="shared" si="413"/>
        <v>3500000</v>
      </c>
      <c r="L461" s="62">
        <f t="shared" si="414"/>
        <v>3500000</v>
      </c>
      <c r="M461" s="62">
        <f t="shared" si="415"/>
        <v>3500000</v>
      </c>
      <c r="N461" s="62">
        <f t="shared" si="416"/>
        <v>3500000</v>
      </c>
      <c r="O461" s="62">
        <f t="shared" si="417"/>
        <v>3500000</v>
      </c>
      <c r="P461" s="62">
        <f t="shared" si="418"/>
        <v>3500000</v>
      </c>
      <c r="Q461" s="62">
        <f t="shared" si="419"/>
        <v>3500000</v>
      </c>
      <c r="R461" s="62">
        <f t="shared" si="420"/>
        <v>3500000</v>
      </c>
      <c r="S461" s="62">
        <f t="shared" si="421"/>
        <v>3500000</v>
      </c>
      <c r="T461" s="62">
        <f t="shared" si="422"/>
        <v>3500000</v>
      </c>
      <c r="U461" s="62">
        <f t="shared" si="423"/>
        <v>3500000</v>
      </c>
      <c r="V461" s="62">
        <f t="shared" si="424"/>
        <v>3500000</v>
      </c>
      <c r="W461" s="62">
        <f t="shared" si="425"/>
        <v>3500000</v>
      </c>
      <c r="X461" s="62">
        <f t="shared" si="426"/>
        <v>3500000</v>
      </c>
      <c r="Y461" s="62">
        <f t="shared" si="427"/>
        <v>3500000</v>
      </c>
      <c r="Z461" s="62">
        <f t="shared" si="428"/>
        <v>3500000</v>
      </c>
      <c r="AA461" s="62">
        <f t="shared" si="429"/>
        <v>3500000</v>
      </c>
      <c r="AB461" s="62">
        <f t="shared" si="430"/>
        <v>3500000</v>
      </c>
      <c r="AC461" s="62">
        <f t="shared" si="431"/>
        <v>3500000</v>
      </c>
    </row>
    <row r="462" spans="1:44" x14ac:dyDescent="0.25">
      <c r="A462" s="30" t="str">
        <f t="shared" si="403"/>
        <v>Residual value (costumization)</v>
      </c>
      <c r="B462" s="62">
        <f t="shared" si="404"/>
        <v>-175000</v>
      </c>
      <c r="C462" s="62">
        <f t="shared" si="405"/>
        <v>-175000</v>
      </c>
      <c r="D462" s="62">
        <f t="shared" si="406"/>
        <v>-175000</v>
      </c>
      <c r="E462" s="62">
        <f t="shared" si="407"/>
        <v>-175000</v>
      </c>
      <c r="F462" s="62">
        <f t="shared" si="408"/>
        <v>-175000</v>
      </c>
      <c r="G462" s="62">
        <f t="shared" si="409"/>
        <v>-175000</v>
      </c>
      <c r="H462" s="62">
        <f t="shared" si="410"/>
        <v>-175000</v>
      </c>
      <c r="I462" s="62">
        <f t="shared" si="411"/>
        <v>-175000</v>
      </c>
      <c r="J462" s="62">
        <f t="shared" si="412"/>
        <v>-175000</v>
      </c>
      <c r="K462" s="62">
        <f t="shared" si="413"/>
        <v>-175000</v>
      </c>
      <c r="L462" s="62">
        <f t="shared" si="414"/>
        <v>-175000</v>
      </c>
      <c r="M462" s="62">
        <f t="shared" si="415"/>
        <v>-175000</v>
      </c>
      <c r="N462" s="62">
        <f t="shared" si="416"/>
        <v>-175000</v>
      </c>
      <c r="O462" s="62">
        <f t="shared" si="417"/>
        <v>-175000</v>
      </c>
      <c r="P462" s="62">
        <f t="shared" si="418"/>
        <v>-175000</v>
      </c>
      <c r="Q462" s="62">
        <f t="shared" si="419"/>
        <v>-175000</v>
      </c>
      <c r="R462" s="62">
        <f t="shared" si="420"/>
        <v>-175000</v>
      </c>
      <c r="S462" s="62">
        <f t="shared" si="421"/>
        <v>-175000</v>
      </c>
      <c r="T462" s="62">
        <f t="shared" si="422"/>
        <v>-175000</v>
      </c>
      <c r="U462" s="62">
        <f t="shared" si="423"/>
        <v>-175000</v>
      </c>
      <c r="V462" s="62">
        <f t="shared" si="424"/>
        <v>-175000</v>
      </c>
      <c r="W462" s="62">
        <f t="shared" si="425"/>
        <v>-175000</v>
      </c>
      <c r="X462" s="62">
        <f t="shared" si="426"/>
        <v>-175000</v>
      </c>
      <c r="Y462" s="62">
        <f t="shared" si="427"/>
        <v>-175000</v>
      </c>
      <c r="Z462" s="62">
        <f t="shared" si="428"/>
        <v>-175000</v>
      </c>
      <c r="AA462" s="62">
        <f t="shared" si="429"/>
        <v>-175000</v>
      </c>
      <c r="AB462" s="62">
        <f t="shared" si="430"/>
        <v>-175000</v>
      </c>
      <c r="AC462" s="62">
        <f t="shared" si="431"/>
        <v>-175000</v>
      </c>
    </row>
    <row r="463" spans="1:44" x14ac:dyDescent="0.25">
      <c r="A463" s="30" t="str">
        <f t="shared" si="403"/>
        <v>WACC</v>
      </c>
      <c r="B463" s="62">
        <f t="shared" si="404"/>
        <v>0.06</v>
      </c>
      <c r="C463" s="62">
        <f t="shared" si="405"/>
        <v>0.06</v>
      </c>
      <c r="D463" s="62">
        <f t="shared" si="406"/>
        <v>0.06</v>
      </c>
      <c r="E463" s="62">
        <f t="shared" si="407"/>
        <v>0.06</v>
      </c>
      <c r="F463" s="62">
        <f t="shared" si="408"/>
        <v>0.06</v>
      </c>
      <c r="G463" s="62">
        <f t="shared" si="409"/>
        <v>0.06</v>
      </c>
      <c r="H463" s="62">
        <f t="shared" si="410"/>
        <v>0.06</v>
      </c>
      <c r="I463" s="62">
        <f t="shared" si="411"/>
        <v>0.06</v>
      </c>
      <c r="J463" s="62">
        <f t="shared" si="412"/>
        <v>0.06</v>
      </c>
      <c r="K463" s="62">
        <f t="shared" si="413"/>
        <v>0.06</v>
      </c>
      <c r="L463" s="62">
        <f t="shared" si="414"/>
        <v>0.06</v>
      </c>
      <c r="M463" s="62">
        <f t="shared" si="415"/>
        <v>0.06</v>
      </c>
      <c r="N463" s="62">
        <f t="shared" si="416"/>
        <v>0.06</v>
      </c>
      <c r="O463" s="62">
        <f t="shared" si="417"/>
        <v>0.06</v>
      </c>
      <c r="P463" s="62">
        <f t="shared" si="418"/>
        <v>0.06</v>
      </c>
      <c r="Q463" s="62">
        <f t="shared" si="419"/>
        <v>0.06</v>
      </c>
      <c r="R463" s="62">
        <f t="shared" si="420"/>
        <v>0.06</v>
      </c>
      <c r="S463" s="62">
        <f t="shared" si="421"/>
        <v>0.06</v>
      </c>
      <c r="T463" s="62">
        <f t="shared" si="422"/>
        <v>0.06</v>
      </c>
      <c r="U463" s="62">
        <f t="shared" si="423"/>
        <v>0.06</v>
      </c>
      <c r="V463" s="62">
        <f t="shared" si="424"/>
        <v>0.06</v>
      </c>
      <c r="W463" s="62">
        <f t="shared" si="425"/>
        <v>0.06</v>
      </c>
      <c r="X463" s="62">
        <f t="shared" si="426"/>
        <v>0.06</v>
      </c>
      <c r="Y463" s="62">
        <f t="shared" si="427"/>
        <v>0.06</v>
      </c>
      <c r="Z463" s="62">
        <f t="shared" si="428"/>
        <v>0.06</v>
      </c>
      <c r="AA463" s="62">
        <f t="shared" si="429"/>
        <v>0.06</v>
      </c>
      <c r="AB463" s="62">
        <f t="shared" si="430"/>
        <v>0.06</v>
      </c>
      <c r="AC463" s="62">
        <f t="shared" si="431"/>
        <v>0.06</v>
      </c>
    </row>
    <row r="464" spans="1:44" x14ac:dyDescent="0.25">
      <c r="A464" s="30" t="str">
        <f t="shared" si="403"/>
        <v>Opex fix (admin, crew, insurance)</v>
      </c>
      <c r="B464" s="62">
        <f t="shared" si="404"/>
        <v>650000</v>
      </c>
      <c r="C464" s="62">
        <f t="shared" si="405"/>
        <v>650000</v>
      </c>
      <c r="D464" s="62">
        <f t="shared" si="406"/>
        <v>650000</v>
      </c>
      <c r="E464" s="62">
        <f t="shared" si="407"/>
        <v>650000</v>
      </c>
      <c r="F464" s="62">
        <f t="shared" si="408"/>
        <v>650000</v>
      </c>
      <c r="G464" s="62">
        <f t="shared" si="409"/>
        <v>650000</v>
      </c>
      <c r="H464" s="62">
        <f t="shared" si="410"/>
        <v>650000</v>
      </c>
      <c r="I464" s="62">
        <f t="shared" si="411"/>
        <v>650000</v>
      </c>
      <c r="J464" s="62">
        <f t="shared" si="412"/>
        <v>650000</v>
      </c>
      <c r="K464" s="62">
        <f t="shared" si="413"/>
        <v>650000</v>
      </c>
      <c r="L464" s="62">
        <f t="shared" si="414"/>
        <v>650000</v>
      </c>
      <c r="M464" s="62">
        <f t="shared" si="415"/>
        <v>650000</v>
      </c>
      <c r="N464" s="62">
        <f t="shared" si="416"/>
        <v>650000</v>
      </c>
      <c r="O464" s="62">
        <f t="shared" si="417"/>
        <v>650000</v>
      </c>
      <c r="P464" s="62">
        <f t="shared" si="418"/>
        <v>650000</v>
      </c>
      <c r="Q464" s="62">
        <f t="shared" si="419"/>
        <v>650000</v>
      </c>
      <c r="R464" s="62">
        <f t="shared" si="420"/>
        <v>650000</v>
      </c>
      <c r="S464" s="62">
        <f t="shared" si="421"/>
        <v>650000</v>
      </c>
      <c r="T464" s="62">
        <f t="shared" si="422"/>
        <v>650000</v>
      </c>
      <c r="U464" s="62">
        <f t="shared" si="423"/>
        <v>650000</v>
      </c>
      <c r="V464" s="62">
        <f t="shared" si="424"/>
        <v>650000</v>
      </c>
      <c r="W464" s="62">
        <f t="shared" si="425"/>
        <v>650000</v>
      </c>
      <c r="X464" s="62">
        <f t="shared" si="426"/>
        <v>650000</v>
      </c>
      <c r="Y464" s="62">
        <f t="shared" si="427"/>
        <v>650000</v>
      </c>
      <c r="Z464" s="62">
        <f t="shared" si="428"/>
        <v>650000</v>
      </c>
      <c r="AA464" s="62">
        <f t="shared" si="429"/>
        <v>650000</v>
      </c>
      <c r="AB464" s="62">
        <f t="shared" si="430"/>
        <v>650000</v>
      </c>
      <c r="AC464" s="62">
        <f t="shared" si="431"/>
        <v>650000</v>
      </c>
    </row>
    <row r="465" spans="1:29" x14ac:dyDescent="0.25">
      <c r="A465" s="30" t="str">
        <f t="shared" si="403"/>
        <v>Opex maintenance &amp; repair</v>
      </c>
      <c r="B465" s="62">
        <f t="shared" si="404"/>
        <v>650000</v>
      </c>
      <c r="C465" s="62">
        <f t="shared" si="405"/>
        <v>650000</v>
      </c>
      <c r="D465" s="62">
        <f t="shared" si="406"/>
        <v>650000</v>
      </c>
      <c r="E465" s="62">
        <f t="shared" si="407"/>
        <v>650000</v>
      </c>
      <c r="F465" s="62">
        <f t="shared" si="408"/>
        <v>650000</v>
      </c>
      <c r="G465" s="62">
        <f t="shared" si="409"/>
        <v>650000</v>
      </c>
      <c r="H465" s="62">
        <f t="shared" si="410"/>
        <v>650000</v>
      </c>
      <c r="I465" s="62">
        <f t="shared" si="411"/>
        <v>650000</v>
      </c>
      <c r="J465" s="62">
        <f t="shared" si="412"/>
        <v>650000</v>
      </c>
      <c r="K465" s="62">
        <f t="shared" si="413"/>
        <v>650000</v>
      </c>
      <c r="L465" s="62">
        <f t="shared" si="414"/>
        <v>650000</v>
      </c>
      <c r="M465" s="62">
        <f t="shared" si="415"/>
        <v>650000</v>
      </c>
      <c r="N465" s="62">
        <f t="shared" si="416"/>
        <v>650000</v>
      </c>
      <c r="O465" s="62">
        <f t="shared" si="417"/>
        <v>650000</v>
      </c>
      <c r="P465" s="62">
        <f t="shared" si="418"/>
        <v>650000</v>
      </c>
      <c r="Q465" s="62">
        <f t="shared" si="419"/>
        <v>650000</v>
      </c>
      <c r="R465" s="62">
        <f t="shared" si="420"/>
        <v>650000</v>
      </c>
      <c r="S465" s="62">
        <f t="shared" si="421"/>
        <v>650000</v>
      </c>
      <c r="T465" s="62">
        <f t="shared" si="422"/>
        <v>650000</v>
      </c>
      <c r="U465" s="62">
        <f t="shared" si="423"/>
        <v>650000</v>
      </c>
      <c r="V465" s="62">
        <f t="shared" si="424"/>
        <v>650000</v>
      </c>
      <c r="W465" s="62">
        <f t="shared" si="425"/>
        <v>650000</v>
      </c>
      <c r="X465" s="62">
        <f t="shared" si="426"/>
        <v>650000</v>
      </c>
      <c r="Y465" s="62">
        <f t="shared" si="427"/>
        <v>650000</v>
      </c>
      <c r="Z465" s="62">
        <f t="shared" si="428"/>
        <v>650000</v>
      </c>
      <c r="AA465" s="62">
        <f t="shared" si="429"/>
        <v>650000</v>
      </c>
      <c r="AB465" s="62">
        <f t="shared" si="430"/>
        <v>650000</v>
      </c>
      <c r="AC465" s="62">
        <f t="shared" si="431"/>
        <v>650000</v>
      </c>
    </row>
    <row r="466" spans="1:29" x14ac:dyDescent="0.25">
      <c r="A466" s="30" t="str">
        <f t="shared" si="403"/>
        <v>Opex var (mode-fees, shunting)</v>
      </c>
      <c r="B466" s="62">
        <f t="shared" si="404"/>
        <v>3.9215686274509802</v>
      </c>
      <c r="C466" s="62">
        <f t="shared" si="405"/>
        <v>3.9215686274509802</v>
      </c>
      <c r="D466" s="62">
        <f t="shared" si="406"/>
        <v>3.9215686274509802</v>
      </c>
      <c r="E466" s="62">
        <f t="shared" si="407"/>
        <v>3.9215686274509802</v>
      </c>
      <c r="F466" s="62">
        <f t="shared" si="408"/>
        <v>3.9215686274509802</v>
      </c>
      <c r="G466" s="62">
        <f t="shared" si="409"/>
        <v>3.9215686274509802</v>
      </c>
      <c r="H466" s="62">
        <f t="shared" si="410"/>
        <v>3.9215686274509802</v>
      </c>
      <c r="I466" s="62">
        <f t="shared" si="411"/>
        <v>3.9215686274509802</v>
      </c>
      <c r="J466" s="62">
        <f t="shared" si="412"/>
        <v>3.9215686274509802</v>
      </c>
      <c r="K466" s="62">
        <f t="shared" si="413"/>
        <v>3.9215686274509802</v>
      </c>
      <c r="L466" s="62">
        <f t="shared" si="414"/>
        <v>3.9215686274509802</v>
      </c>
      <c r="M466" s="62">
        <f t="shared" si="415"/>
        <v>3.9215686274509802</v>
      </c>
      <c r="N466" s="62">
        <f t="shared" si="416"/>
        <v>3.9215686274509802</v>
      </c>
      <c r="O466" s="62">
        <f t="shared" si="417"/>
        <v>3.9215686274509802</v>
      </c>
      <c r="P466" s="62">
        <f t="shared" si="418"/>
        <v>3.9215686274509802</v>
      </c>
      <c r="Q466" s="62">
        <f t="shared" si="419"/>
        <v>3.9215686274509802</v>
      </c>
      <c r="R466" s="62">
        <f t="shared" si="420"/>
        <v>3.9215686274509802</v>
      </c>
      <c r="S466" s="62">
        <f t="shared" si="421"/>
        <v>3.9215686274509802</v>
      </c>
      <c r="T466" s="62">
        <f t="shared" si="422"/>
        <v>3.9215686274509802</v>
      </c>
      <c r="U466" s="62">
        <f t="shared" si="423"/>
        <v>3.9215686274509802</v>
      </c>
      <c r="V466" s="62">
        <f t="shared" si="424"/>
        <v>3.9215686274509802</v>
      </c>
      <c r="W466" s="62">
        <f t="shared" si="425"/>
        <v>3.9215686274509802</v>
      </c>
      <c r="X466" s="62">
        <f t="shared" si="426"/>
        <v>3.9215686274509802</v>
      </c>
      <c r="Y466" s="62">
        <f t="shared" si="427"/>
        <v>3.9215686274509802</v>
      </c>
      <c r="Z466" s="62">
        <f t="shared" si="428"/>
        <v>3.9215686274509802</v>
      </c>
      <c r="AA466" s="62">
        <f t="shared" si="429"/>
        <v>3.9215686274509802</v>
      </c>
      <c r="AB466" s="62">
        <f t="shared" si="430"/>
        <v>3.9215686274509802</v>
      </c>
      <c r="AC466" s="62">
        <f t="shared" si="431"/>
        <v>3.9215686274509802</v>
      </c>
    </row>
    <row r="467" spans="1:29" x14ac:dyDescent="0.25">
      <c r="A467" s="30" t="str">
        <f t="shared" si="403"/>
        <v>Fuel Economy</v>
      </c>
      <c r="B467" s="62">
        <f t="shared" si="404"/>
        <v>31.614305882352937</v>
      </c>
      <c r="C467" s="62">
        <f t="shared" si="405"/>
        <v>31.614305882352937</v>
      </c>
      <c r="D467" s="62">
        <f t="shared" si="406"/>
        <v>31.614305882352937</v>
      </c>
      <c r="E467" s="62">
        <f t="shared" si="407"/>
        <v>31.614305882352937</v>
      </c>
      <c r="F467" s="62">
        <f t="shared" si="408"/>
        <v>31.614305882352937</v>
      </c>
      <c r="G467" s="62">
        <f t="shared" si="409"/>
        <v>31.614305882352937</v>
      </c>
      <c r="H467" s="62">
        <f t="shared" si="410"/>
        <v>31.614305882352937</v>
      </c>
      <c r="I467" s="62">
        <f t="shared" si="411"/>
        <v>31.614305882352937</v>
      </c>
      <c r="J467" s="62">
        <f t="shared" si="412"/>
        <v>31.614305882352937</v>
      </c>
      <c r="K467" s="62">
        <f t="shared" si="413"/>
        <v>31.614305882352937</v>
      </c>
      <c r="L467" s="62">
        <f t="shared" si="414"/>
        <v>31.614305882352937</v>
      </c>
      <c r="M467" s="62">
        <f t="shared" si="415"/>
        <v>31.614305882352937</v>
      </c>
      <c r="N467" s="62">
        <f t="shared" si="416"/>
        <v>31.614305882352937</v>
      </c>
      <c r="O467" s="62">
        <f t="shared" si="417"/>
        <v>31.614305882352937</v>
      </c>
      <c r="P467" s="62">
        <f t="shared" si="418"/>
        <v>31.614305882352937</v>
      </c>
      <c r="Q467" s="62">
        <f t="shared" si="419"/>
        <v>31.614305882352937</v>
      </c>
      <c r="R467" s="62">
        <f t="shared" si="420"/>
        <v>31.614305882352937</v>
      </c>
      <c r="S467" s="62">
        <f t="shared" si="421"/>
        <v>31.614305882352937</v>
      </c>
      <c r="T467" s="62">
        <f t="shared" si="422"/>
        <v>31.614305882352937</v>
      </c>
      <c r="U467" s="62">
        <f t="shared" si="423"/>
        <v>31.614305882352937</v>
      </c>
      <c r="V467" s="62">
        <f t="shared" si="424"/>
        <v>31.614305882352937</v>
      </c>
      <c r="W467" s="62">
        <f t="shared" si="425"/>
        <v>31.614305882352937</v>
      </c>
      <c r="X467" s="62">
        <f t="shared" si="426"/>
        <v>31.614305882352937</v>
      </c>
      <c r="Y467" s="62">
        <f t="shared" si="427"/>
        <v>31.614305882352937</v>
      </c>
      <c r="Z467" s="62">
        <f t="shared" si="428"/>
        <v>31.614305882352937</v>
      </c>
      <c r="AA467" s="62">
        <f t="shared" si="429"/>
        <v>31.614305882352937</v>
      </c>
      <c r="AB467" s="62">
        <f t="shared" si="430"/>
        <v>31.614305882352937</v>
      </c>
      <c r="AC467" s="62">
        <f t="shared" si="431"/>
        <v>31.614305882352937</v>
      </c>
    </row>
    <row r="468" spans="1:29" x14ac:dyDescent="0.25">
      <c r="A468" s="30" t="str">
        <f t="shared" si="403"/>
        <v>Fuel Cost</v>
      </c>
      <c r="B468" s="62">
        <f t="shared" si="404"/>
        <v>0.1331013876427829</v>
      </c>
      <c r="C468" s="62">
        <f t="shared" si="405"/>
        <v>0.13284065209015961</v>
      </c>
      <c r="D468" s="62">
        <f t="shared" si="406"/>
        <v>0.13247044498234223</v>
      </c>
      <c r="E468" s="62">
        <f t="shared" si="407"/>
        <v>0.13194719281007408</v>
      </c>
      <c r="F468" s="62">
        <f t="shared" si="408"/>
        <v>0.13121255620046077</v>
      </c>
      <c r="G468" s="62">
        <f t="shared" si="409"/>
        <v>0.13019114463175094</v>
      </c>
      <c r="H468" s="62">
        <f t="shared" si="410"/>
        <v>0.12879082758213251</v>
      </c>
      <c r="I468" s="62">
        <f t="shared" si="411"/>
        <v>0.126908951519354</v>
      </c>
      <c r="J468" s="62">
        <f t="shared" si="412"/>
        <v>0.12444897595358409</v>
      </c>
      <c r="K468" s="62">
        <f t="shared" si="413"/>
        <v>0.12135105251833415</v>
      </c>
      <c r="L468" s="62">
        <f t="shared" si="414"/>
        <v>0.11763363332194038</v>
      </c>
      <c r="M468" s="62">
        <f t="shared" si="415"/>
        <v>0.11343007363373329</v>
      </c>
      <c r="N468" s="62">
        <f t="shared" si="416"/>
        <v>0.10899239291766451</v>
      </c>
      <c r="O468" s="62">
        <f t="shared" si="417"/>
        <v>0.10464203745763898</v>
      </c>
      <c r="P468" s="62">
        <f t="shared" si="418"/>
        <v>0.10068181933659913</v>
      </c>
      <c r="Q468" s="62">
        <f t="shared" si="419"/>
        <v>9.7316197879620536E-2</v>
      </c>
      <c r="R468" s="62">
        <f t="shared" si="420"/>
        <v>9.4620937841233446E-2</v>
      </c>
      <c r="S468" s="62">
        <f t="shared" si="421"/>
        <v>9.2564334807767046E-2</v>
      </c>
      <c r="T468" s="62">
        <f t="shared" si="422"/>
        <v>9.1052566638367527E-2</v>
      </c>
      <c r="U468" s="62">
        <f t="shared" si="423"/>
        <v>8.9971674267489546E-2</v>
      </c>
      <c r="V468" s="62">
        <f t="shared" si="424"/>
        <v>8.9214128341311663E-2</v>
      </c>
      <c r="W468" s="62">
        <f t="shared" si="425"/>
        <v>8.8690617543911193E-2</v>
      </c>
      <c r="X468" s="62">
        <f t="shared" si="426"/>
        <v>8.833235301770638E-2</v>
      </c>
      <c r="Y468" s="62">
        <f t="shared" si="427"/>
        <v>8.8088811183719362E-2</v>
      </c>
      <c r="Z468" s="62">
        <f t="shared" si="428"/>
        <v>8.7924009134648928E-2</v>
      </c>
      <c r="AA468" s="62">
        <f t="shared" si="429"/>
        <v>8.7812833500289317E-2</v>
      </c>
      <c r="AB468" s="62">
        <f t="shared" si="430"/>
        <v>8.7737990615512101E-2</v>
      </c>
      <c r="AC468" s="62">
        <f t="shared" si="431"/>
        <v>8.768767751485286E-2</v>
      </c>
    </row>
    <row r="469" spans="1:29" x14ac:dyDescent="0.25">
      <c r="A469" s="30" t="str">
        <f t="shared" ref="A469" si="432">A449</f>
        <v>Emission Cost</v>
      </c>
      <c r="B469" s="66">
        <f>$B449+($C449-$B449)*(1-Q449)</f>
        <v>7.3051284422328416E-2</v>
      </c>
      <c r="C469" s="66">
        <f t="shared" ref="C469" si="433">$B449+($C449-$B449)*(1-R449)</f>
        <v>7.2981721800489563E-2</v>
      </c>
      <c r="D469" s="66">
        <f t="shared" ref="D469" si="434">$B449+($C449-$B449)*(1-S449)</f>
        <v>7.2882144456709708E-2</v>
      </c>
      <c r="E469" s="66">
        <f t="shared" ref="E469" si="435">$B449+($C449-$B449)*(1-T449)</f>
        <v>7.2739692063840775E-2</v>
      </c>
      <c r="F469" s="66">
        <f t="shared" ref="F469" si="436">$B449+($C449-$B449)*(1-U449)</f>
        <v>7.2536096160749949E-2</v>
      </c>
      <c r="G469" s="66">
        <f t="shared" ref="G469" si="437">$B449+($C449-$B449)*(1-V449)</f>
        <v>7.2245520808140104E-2</v>
      </c>
      <c r="H469" s="66">
        <f t="shared" ref="H469" si="438">$B449+($C449-$B449)*(1-W449)</f>
        <v>7.183167022008663E-2</v>
      </c>
      <c r="I469" s="66">
        <f t="shared" ref="I469" si="439">$B449+($C449-$B449)*(1-X449)</f>
        <v>7.1244061711272524E-2</v>
      </c>
      <c r="J469" s="66">
        <f t="shared" ref="J469" si="440">$B449+($C449-$B449)*(1-Y449)</f>
        <v>7.0413533549636295E-2</v>
      </c>
      <c r="K469" s="66">
        <f t="shared" ref="K469" si="441">$B449+($C449-$B449)*(1-Z449)</f>
        <v>6.9247486994668248E-2</v>
      </c>
      <c r="L469" s="66">
        <f t="shared" ref="L469" si="442">$B449+($C449-$B449)*(1-AA449)</f>
        <v>6.7626258995255692E-2</v>
      </c>
      <c r="M469" s="66">
        <f t="shared" ref="M469" si="443">$B449+($C449-$B449)*(1-AB449)</f>
        <v>6.5403616058321165E-2</v>
      </c>
      <c r="N469" s="66">
        <f t="shared" ref="N469" si="444">$B449+($C449-$B449)*(1-AC449)</f>
        <v>6.2416622119869432E-2</v>
      </c>
      <c r="O469" s="66">
        <f t="shared" ref="O469" si="445">$B449+($C449-$B449)*(1-AD449)</f>
        <v>5.8512043997522092E-2</v>
      </c>
      <c r="P469" s="66">
        <f t="shared" ref="P469" si="446">$B449+($C449-$B449)*(1-AE449)</f>
        <v>5.3594887811786507E-2</v>
      </c>
      <c r="Q469" s="66">
        <f t="shared" ref="Q469" si="447">$B449+($C449-$B449)*(1-AF449)</f>
        <v>4.7694441535894194E-2</v>
      </c>
      <c r="R469" s="66">
        <f t="shared" ref="R469" si="448">$B449+($C449-$B449)*(1-AG449)</f>
        <v>4.1022372340191592E-2</v>
      </c>
      <c r="S469" s="66">
        <f t="shared" ref="S469" si="449">$B449+($C449-$B449)*(1-AH449)</f>
        <v>3.3978696265099438E-2</v>
      </c>
      <c r="T469" s="66">
        <f t="shared" ref="T469" si="450">$B449+($C449-$B449)*(1-AI449)</f>
        <v>2.7073626560338522E-2</v>
      </c>
      <c r="U469" s="66">
        <f t="shared" ref="U469" si="451">$B449+($C449-$B449)*(1-AJ449)</f>
        <v>2.0787799477216214E-2</v>
      </c>
      <c r="V469" s="66">
        <f t="shared" ref="V469" si="452">$B449+($C449-$B449)*(1-AK449)</f>
        <v>1.5445741575552285E-2</v>
      </c>
      <c r="W469" s="66">
        <f t="shared" ref="W469" si="453">$B449+($C449-$B449)*(1-AL449)</f>
        <v>1.1167709904685047E-2</v>
      </c>
      <c r="X469" s="66">
        <f t="shared" ref="X469" si="454">$B449+($C449-$B449)*(1-AM449)</f>
        <v>7.903381867218201E-3</v>
      </c>
      <c r="Y469" s="66">
        <f t="shared" ref="Y469" si="455">$B449+($C449-$B449)*(1-AN449)</f>
        <v>5.5038389601930332E-3</v>
      </c>
      <c r="Z469" s="66">
        <f t="shared" ref="Z469" si="456">$B449+($C449-$B449)*(1-AO449)</f>
        <v>3.7882004950518661E-3</v>
      </c>
      <c r="AA469" s="66">
        <f t="shared" ref="AA469" si="457">$B449+($C449-$B449)*(1-AP449)</f>
        <v>2.5857912958768409E-3</v>
      </c>
      <c r="AB469" s="66">
        <f t="shared" ref="AB469" si="458">$B449+($C449-$B449)*(1-AQ449)</f>
        <v>1.7548526334016656E-3</v>
      </c>
      <c r="AC469" s="66">
        <f t="shared" ref="AC469" si="459">$B449+($C449-$B449)*(1-AR449)</f>
        <v>1.1861998994081024E-3</v>
      </c>
    </row>
    <row r="470" spans="1:29" x14ac:dyDescent="0.25">
      <c r="A470" s="30" t="str">
        <f>A450</f>
        <v>Lifetime vehicle</v>
      </c>
      <c r="B470" s="62">
        <f>$B450+($C450-$B450)*(1-Q450)</f>
        <v>20</v>
      </c>
      <c r="C470" s="62">
        <f t="shared" ref="C470:L472" si="460">$B450+($C450-$B450)*(1-R450)</f>
        <v>20</v>
      </c>
      <c r="D470" s="62">
        <f t="shared" si="460"/>
        <v>20</v>
      </c>
      <c r="E470" s="62">
        <f t="shared" si="460"/>
        <v>20</v>
      </c>
      <c r="F470" s="62">
        <f t="shared" si="460"/>
        <v>20</v>
      </c>
      <c r="G470" s="62">
        <f t="shared" si="460"/>
        <v>20</v>
      </c>
      <c r="H470" s="62">
        <f t="shared" si="460"/>
        <v>20</v>
      </c>
      <c r="I470" s="62">
        <f t="shared" si="460"/>
        <v>20</v>
      </c>
      <c r="J470" s="62">
        <f t="shared" si="460"/>
        <v>20</v>
      </c>
      <c r="K470" s="62">
        <f t="shared" si="460"/>
        <v>20</v>
      </c>
      <c r="L470" s="62">
        <f t="shared" si="460"/>
        <v>20</v>
      </c>
      <c r="M470" s="62">
        <f t="shared" ref="M470:V472" si="461">$B450+($C450-$B450)*(1-AB450)</f>
        <v>20</v>
      </c>
      <c r="N470" s="62">
        <f t="shared" si="461"/>
        <v>20</v>
      </c>
      <c r="O470" s="62">
        <f t="shared" si="461"/>
        <v>20</v>
      </c>
      <c r="P470" s="62">
        <f t="shared" si="461"/>
        <v>20</v>
      </c>
      <c r="Q470" s="62">
        <f t="shared" si="461"/>
        <v>20</v>
      </c>
      <c r="R470" s="62">
        <f t="shared" si="461"/>
        <v>20</v>
      </c>
      <c r="S470" s="62">
        <f t="shared" si="461"/>
        <v>20</v>
      </c>
      <c r="T470" s="62">
        <f t="shared" si="461"/>
        <v>20</v>
      </c>
      <c r="U470" s="62">
        <f t="shared" si="461"/>
        <v>20</v>
      </c>
      <c r="V470" s="62">
        <f t="shared" si="461"/>
        <v>20</v>
      </c>
      <c r="W470" s="62">
        <f t="shared" ref="W470:AC472" si="462">$B450+($C450-$B450)*(1-AL450)</f>
        <v>20</v>
      </c>
      <c r="X470" s="62">
        <f t="shared" si="462"/>
        <v>20</v>
      </c>
      <c r="Y470" s="62">
        <f t="shared" si="462"/>
        <v>20</v>
      </c>
      <c r="Z470" s="62">
        <f t="shared" si="462"/>
        <v>20</v>
      </c>
      <c r="AA470" s="62">
        <f t="shared" si="462"/>
        <v>20</v>
      </c>
      <c r="AB470" s="62">
        <f t="shared" si="462"/>
        <v>20</v>
      </c>
      <c r="AC470" s="62">
        <f t="shared" si="462"/>
        <v>20</v>
      </c>
    </row>
    <row r="471" spans="1:29" x14ac:dyDescent="0.25">
      <c r="A471" s="30" t="str">
        <f>A451</f>
        <v>Lifetime costumization</v>
      </c>
      <c r="B471" s="62">
        <f>$B451+($C451-$B451)*(1-Q451)</f>
        <v>30</v>
      </c>
      <c r="C471" s="62">
        <f t="shared" si="460"/>
        <v>30</v>
      </c>
      <c r="D471" s="62">
        <f t="shared" si="460"/>
        <v>30</v>
      </c>
      <c r="E471" s="62">
        <f t="shared" si="460"/>
        <v>30</v>
      </c>
      <c r="F471" s="62">
        <f t="shared" si="460"/>
        <v>30</v>
      </c>
      <c r="G471" s="62">
        <f t="shared" si="460"/>
        <v>30</v>
      </c>
      <c r="H471" s="62">
        <f t="shared" si="460"/>
        <v>30</v>
      </c>
      <c r="I471" s="62">
        <f t="shared" si="460"/>
        <v>30</v>
      </c>
      <c r="J471" s="62">
        <f t="shared" si="460"/>
        <v>30</v>
      </c>
      <c r="K471" s="62">
        <f t="shared" si="460"/>
        <v>30</v>
      </c>
      <c r="L471" s="62">
        <f t="shared" si="460"/>
        <v>30</v>
      </c>
      <c r="M471" s="62">
        <f t="shared" si="461"/>
        <v>30</v>
      </c>
      <c r="N471" s="62">
        <f t="shared" si="461"/>
        <v>30</v>
      </c>
      <c r="O471" s="62">
        <f t="shared" si="461"/>
        <v>30</v>
      </c>
      <c r="P471" s="62">
        <f t="shared" si="461"/>
        <v>30</v>
      </c>
      <c r="Q471" s="62">
        <f t="shared" si="461"/>
        <v>30</v>
      </c>
      <c r="R471" s="62">
        <f t="shared" si="461"/>
        <v>30</v>
      </c>
      <c r="S471" s="62">
        <f t="shared" si="461"/>
        <v>30</v>
      </c>
      <c r="T471" s="62">
        <f t="shared" si="461"/>
        <v>30</v>
      </c>
      <c r="U471" s="62">
        <f t="shared" si="461"/>
        <v>30</v>
      </c>
      <c r="V471" s="62">
        <f t="shared" si="461"/>
        <v>30</v>
      </c>
      <c r="W471" s="62">
        <f t="shared" si="462"/>
        <v>30</v>
      </c>
      <c r="X471" s="62">
        <f t="shared" si="462"/>
        <v>30</v>
      </c>
      <c r="Y471" s="62">
        <f t="shared" si="462"/>
        <v>30</v>
      </c>
      <c r="Z471" s="62">
        <f t="shared" si="462"/>
        <v>30</v>
      </c>
      <c r="AA471" s="62">
        <f t="shared" si="462"/>
        <v>30</v>
      </c>
      <c r="AB471" s="62">
        <f t="shared" si="462"/>
        <v>30</v>
      </c>
      <c r="AC471" s="62">
        <f t="shared" si="462"/>
        <v>30</v>
      </c>
    </row>
    <row r="472" spans="1:29" x14ac:dyDescent="0.25">
      <c r="A472" s="30" t="str">
        <f>A452</f>
        <v>Tonnage .</v>
      </c>
      <c r="B472" s="62">
        <f>$B452+($C452-$B452)*(1-Q452)</f>
        <v>2800</v>
      </c>
      <c r="C472" s="62">
        <f t="shared" si="460"/>
        <v>2800</v>
      </c>
      <c r="D472" s="62">
        <f t="shared" si="460"/>
        <v>2800</v>
      </c>
      <c r="E472" s="62">
        <f t="shared" si="460"/>
        <v>2800</v>
      </c>
      <c r="F472" s="62">
        <f t="shared" si="460"/>
        <v>2800</v>
      </c>
      <c r="G472" s="62">
        <f t="shared" si="460"/>
        <v>2800</v>
      </c>
      <c r="H472" s="62">
        <f t="shared" si="460"/>
        <v>2800</v>
      </c>
      <c r="I472" s="62">
        <f t="shared" si="460"/>
        <v>2800</v>
      </c>
      <c r="J472" s="62">
        <f t="shared" si="460"/>
        <v>2800</v>
      </c>
      <c r="K472" s="62">
        <f t="shared" si="460"/>
        <v>2800</v>
      </c>
      <c r="L472" s="62">
        <f t="shared" si="460"/>
        <v>2800</v>
      </c>
      <c r="M472" s="62">
        <f t="shared" si="461"/>
        <v>2800</v>
      </c>
      <c r="N472" s="62">
        <f t="shared" si="461"/>
        <v>2800</v>
      </c>
      <c r="O472" s="62">
        <f t="shared" si="461"/>
        <v>2800</v>
      </c>
      <c r="P472" s="62">
        <f t="shared" si="461"/>
        <v>2800</v>
      </c>
      <c r="Q472" s="62">
        <f t="shared" si="461"/>
        <v>2800</v>
      </c>
      <c r="R472" s="62">
        <f t="shared" si="461"/>
        <v>2800</v>
      </c>
      <c r="S472" s="62">
        <f t="shared" si="461"/>
        <v>2800</v>
      </c>
      <c r="T472" s="62">
        <f t="shared" si="461"/>
        <v>2800</v>
      </c>
      <c r="U472" s="62">
        <f t="shared" si="461"/>
        <v>2800</v>
      </c>
      <c r="V472" s="62">
        <f t="shared" si="461"/>
        <v>2800</v>
      </c>
      <c r="W472" s="62">
        <f t="shared" si="462"/>
        <v>2800</v>
      </c>
      <c r="X472" s="62">
        <f t="shared" si="462"/>
        <v>2800</v>
      </c>
      <c r="Y472" s="62">
        <f t="shared" si="462"/>
        <v>2800</v>
      </c>
      <c r="Z472" s="62">
        <f t="shared" si="462"/>
        <v>2800</v>
      </c>
      <c r="AA472" s="62">
        <f t="shared" si="462"/>
        <v>2800</v>
      </c>
      <c r="AB472" s="62">
        <f t="shared" si="462"/>
        <v>2800</v>
      </c>
      <c r="AC472" s="62">
        <f t="shared" si="462"/>
        <v>2800</v>
      </c>
    </row>
    <row r="473" spans="1:29" x14ac:dyDescent="0.25">
      <c r="A473" s="30" t="str">
        <f>A453</f>
        <v>Market failure (av. utilization)</v>
      </c>
      <c r="B473" s="62">
        <f t="shared" ref="B473:K474" si="463">($B453+($C453-$B453)*(1-Q453))*B$44</f>
        <v>955.73333333333335</v>
      </c>
      <c r="C473" s="62">
        <f t="shared" si="463"/>
        <v>955.73333333333335</v>
      </c>
      <c r="D473" s="62">
        <f t="shared" si="463"/>
        <v>955.73333333333335</v>
      </c>
      <c r="E473" s="62">
        <f t="shared" si="463"/>
        <v>955.73333333333335</v>
      </c>
      <c r="F473" s="62">
        <f t="shared" si="463"/>
        <v>955.73333333333335</v>
      </c>
      <c r="G473" s="62">
        <f t="shared" si="463"/>
        <v>955.73333333333335</v>
      </c>
      <c r="H473" s="62">
        <f t="shared" si="463"/>
        <v>955.73333333333335</v>
      </c>
      <c r="I473" s="62">
        <f t="shared" si="463"/>
        <v>955.73333333333335</v>
      </c>
      <c r="J473" s="62">
        <f t="shared" si="463"/>
        <v>955.73333333333335</v>
      </c>
      <c r="K473" s="62">
        <f t="shared" si="463"/>
        <v>955.73333333333335</v>
      </c>
      <c r="L473" s="62">
        <f t="shared" ref="L473:U474" si="464">($B453+($C453-$B453)*(1-AA453))*L$44</f>
        <v>955.73333333333335</v>
      </c>
      <c r="M473" s="62">
        <f t="shared" si="464"/>
        <v>955.73333333333335</v>
      </c>
      <c r="N473" s="62">
        <f t="shared" si="464"/>
        <v>955.73333333333335</v>
      </c>
      <c r="O473" s="62">
        <f t="shared" si="464"/>
        <v>955.73333333333335</v>
      </c>
      <c r="P473" s="62">
        <f t="shared" si="464"/>
        <v>955.73333333333335</v>
      </c>
      <c r="Q473" s="62">
        <f t="shared" si="464"/>
        <v>955.73333333333335</v>
      </c>
      <c r="R473" s="62">
        <f t="shared" si="464"/>
        <v>955.73333333333335</v>
      </c>
      <c r="S473" s="62">
        <f t="shared" si="464"/>
        <v>955.73333333333335</v>
      </c>
      <c r="T473" s="62">
        <f t="shared" si="464"/>
        <v>955.73333333333335</v>
      </c>
      <c r="U473" s="62">
        <f t="shared" si="464"/>
        <v>955.73333333333335</v>
      </c>
      <c r="V473" s="62">
        <f t="shared" ref="V473:AC474" si="465">($B453+($C453-$B453)*(1-AK453))*V$44</f>
        <v>955.73333333333335</v>
      </c>
      <c r="W473" s="62">
        <f t="shared" si="465"/>
        <v>955.73333333333335</v>
      </c>
      <c r="X473" s="62">
        <f t="shared" si="465"/>
        <v>955.73333333333335</v>
      </c>
      <c r="Y473" s="62">
        <f t="shared" si="465"/>
        <v>955.73333333333335</v>
      </c>
      <c r="Z473" s="62">
        <f t="shared" si="465"/>
        <v>955.73333333333335</v>
      </c>
      <c r="AA473" s="62">
        <f t="shared" si="465"/>
        <v>955.73333333333335</v>
      </c>
      <c r="AB473" s="62">
        <f t="shared" si="465"/>
        <v>955.73333333333335</v>
      </c>
      <c r="AC473" s="62">
        <f t="shared" si="465"/>
        <v>955.73333333333335</v>
      </c>
    </row>
    <row r="474" spans="1:29" x14ac:dyDescent="0.25">
      <c r="A474" s="30" t="s">
        <v>73</v>
      </c>
      <c r="B474" s="62">
        <f t="shared" si="463"/>
        <v>0</v>
      </c>
      <c r="C474" s="62">
        <f t="shared" si="463"/>
        <v>0</v>
      </c>
      <c r="D474" s="62">
        <f t="shared" si="463"/>
        <v>0</v>
      </c>
      <c r="E474" s="62">
        <f t="shared" si="463"/>
        <v>0</v>
      </c>
      <c r="F474" s="62">
        <f t="shared" si="463"/>
        <v>0</v>
      </c>
      <c r="G474" s="62">
        <f t="shared" si="463"/>
        <v>0</v>
      </c>
      <c r="H474" s="62">
        <f t="shared" si="463"/>
        <v>0</v>
      </c>
      <c r="I474" s="62">
        <f t="shared" si="463"/>
        <v>0</v>
      </c>
      <c r="J474" s="62">
        <f t="shared" si="463"/>
        <v>0</v>
      </c>
      <c r="K474" s="62">
        <f t="shared" si="463"/>
        <v>0</v>
      </c>
      <c r="L474" s="62">
        <f t="shared" si="464"/>
        <v>0</v>
      </c>
      <c r="M474" s="62">
        <f t="shared" si="464"/>
        <v>0</v>
      </c>
      <c r="N474" s="62">
        <f t="shared" si="464"/>
        <v>0</v>
      </c>
      <c r="O474" s="62">
        <f t="shared" si="464"/>
        <v>0</v>
      </c>
      <c r="P474" s="62">
        <f t="shared" si="464"/>
        <v>0</v>
      </c>
      <c r="Q474" s="62">
        <f t="shared" si="464"/>
        <v>0</v>
      </c>
      <c r="R474" s="62">
        <f t="shared" si="464"/>
        <v>0</v>
      </c>
      <c r="S474" s="62">
        <f t="shared" si="464"/>
        <v>0</v>
      </c>
      <c r="T474" s="62">
        <f t="shared" si="464"/>
        <v>0</v>
      </c>
      <c r="U474" s="62">
        <f t="shared" si="464"/>
        <v>0</v>
      </c>
      <c r="V474" s="62">
        <f t="shared" si="465"/>
        <v>0</v>
      </c>
      <c r="W474" s="62">
        <f t="shared" si="465"/>
        <v>0</v>
      </c>
      <c r="X474" s="62">
        <f t="shared" si="465"/>
        <v>0</v>
      </c>
      <c r="Y474" s="62">
        <f t="shared" si="465"/>
        <v>0</v>
      </c>
      <c r="Z474" s="62">
        <f t="shared" si="465"/>
        <v>0</v>
      </c>
      <c r="AA474" s="62">
        <f t="shared" si="465"/>
        <v>0</v>
      </c>
      <c r="AB474" s="62">
        <f t="shared" si="465"/>
        <v>0</v>
      </c>
      <c r="AC474" s="62">
        <f t="shared" si="465"/>
        <v>0</v>
      </c>
    </row>
    <row r="475" spans="1:29" x14ac:dyDescent="0.25">
      <c r="A475" s="30" t="str">
        <f>A455</f>
        <v>Annual Mileage</v>
      </c>
      <c r="B475" s="62">
        <f t="shared" ref="B475:AC475" si="466">$B455+($C455-$B455)*(1-Q455)</f>
        <v>178500</v>
      </c>
      <c r="C475" s="62">
        <f t="shared" si="466"/>
        <v>178500</v>
      </c>
      <c r="D475" s="62">
        <f t="shared" si="466"/>
        <v>178500</v>
      </c>
      <c r="E475" s="62">
        <f t="shared" si="466"/>
        <v>178500</v>
      </c>
      <c r="F475" s="62">
        <f t="shared" si="466"/>
        <v>178500</v>
      </c>
      <c r="G475" s="62">
        <f t="shared" si="466"/>
        <v>178500</v>
      </c>
      <c r="H475" s="62">
        <f t="shared" si="466"/>
        <v>178500</v>
      </c>
      <c r="I475" s="62">
        <f t="shared" si="466"/>
        <v>178500</v>
      </c>
      <c r="J475" s="62">
        <f t="shared" si="466"/>
        <v>178500</v>
      </c>
      <c r="K475" s="62">
        <f t="shared" si="466"/>
        <v>178500</v>
      </c>
      <c r="L475" s="62">
        <f t="shared" si="466"/>
        <v>178500</v>
      </c>
      <c r="M475" s="62">
        <f t="shared" si="466"/>
        <v>178500</v>
      </c>
      <c r="N475" s="62">
        <f t="shared" si="466"/>
        <v>178500</v>
      </c>
      <c r="O475" s="62">
        <f t="shared" si="466"/>
        <v>178500</v>
      </c>
      <c r="P475" s="62">
        <f t="shared" si="466"/>
        <v>178500</v>
      </c>
      <c r="Q475" s="62">
        <f t="shared" si="466"/>
        <v>178500</v>
      </c>
      <c r="R475" s="62">
        <f t="shared" si="466"/>
        <v>178500</v>
      </c>
      <c r="S475" s="62">
        <f t="shared" si="466"/>
        <v>178500</v>
      </c>
      <c r="T475" s="62">
        <f t="shared" si="466"/>
        <v>178500</v>
      </c>
      <c r="U475" s="62">
        <f t="shared" si="466"/>
        <v>178500</v>
      </c>
      <c r="V475" s="62">
        <f t="shared" si="466"/>
        <v>178500</v>
      </c>
      <c r="W475" s="62">
        <f t="shared" si="466"/>
        <v>178500</v>
      </c>
      <c r="X475" s="62">
        <f t="shared" si="466"/>
        <v>178500</v>
      </c>
      <c r="Y475" s="62">
        <f t="shared" si="466"/>
        <v>178500</v>
      </c>
      <c r="Z475" s="62">
        <f t="shared" si="466"/>
        <v>178500</v>
      </c>
      <c r="AA475" s="62">
        <f t="shared" si="466"/>
        <v>178500</v>
      </c>
      <c r="AB475" s="62">
        <f t="shared" si="466"/>
        <v>178500</v>
      </c>
      <c r="AC475" s="62">
        <f t="shared" si="466"/>
        <v>178500</v>
      </c>
    </row>
    <row r="476" spans="1:29" ht="15.75" thickBot="1" x14ac:dyDescent="0.3">
      <c r="AC476" s="32"/>
    </row>
    <row r="477" spans="1:29" ht="15.75" thickBot="1" x14ac:dyDescent="0.3">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435922.78488425701</v>
      </c>
      <c r="C478" s="63">
        <f t="shared" ref="C478:AC478" si="467">((1+C463)^C470)*C463/(((1+C463)^C470)-1)*(C459)</f>
        <v>435922.78488425701</v>
      </c>
      <c r="D478" s="63">
        <f t="shared" si="467"/>
        <v>435922.78488425701</v>
      </c>
      <c r="E478" s="63">
        <f t="shared" si="467"/>
        <v>435922.78488425701</v>
      </c>
      <c r="F478" s="63">
        <f t="shared" si="467"/>
        <v>435922.78488425701</v>
      </c>
      <c r="G478" s="63">
        <f t="shared" si="467"/>
        <v>435922.78488425701</v>
      </c>
      <c r="H478" s="63">
        <f t="shared" si="467"/>
        <v>435922.78488425701</v>
      </c>
      <c r="I478" s="63">
        <f t="shared" si="467"/>
        <v>435922.78488425701</v>
      </c>
      <c r="J478" s="63">
        <f t="shared" si="467"/>
        <v>435922.78488425701</v>
      </c>
      <c r="K478" s="63">
        <f t="shared" si="467"/>
        <v>435922.78488425701</v>
      </c>
      <c r="L478" s="63">
        <f t="shared" si="467"/>
        <v>435922.78488425701</v>
      </c>
      <c r="M478" s="63">
        <f t="shared" si="467"/>
        <v>435922.78488425701</v>
      </c>
      <c r="N478" s="63">
        <f t="shared" si="467"/>
        <v>435922.78488425701</v>
      </c>
      <c r="O478" s="63">
        <f t="shared" si="467"/>
        <v>435922.78488425701</v>
      </c>
      <c r="P478" s="63">
        <f t="shared" si="467"/>
        <v>435922.78488425701</v>
      </c>
      <c r="Q478" s="63">
        <f t="shared" si="467"/>
        <v>435922.78488425701</v>
      </c>
      <c r="R478" s="63">
        <f t="shared" si="467"/>
        <v>435922.78488425701</v>
      </c>
      <c r="S478" s="63">
        <f t="shared" si="467"/>
        <v>435922.78488425701</v>
      </c>
      <c r="T478" s="63">
        <f t="shared" si="467"/>
        <v>435922.78488425701</v>
      </c>
      <c r="U478" s="63">
        <f t="shared" si="467"/>
        <v>435922.78488425701</v>
      </c>
      <c r="V478" s="63">
        <f t="shared" si="467"/>
        <v>435922.78488425701</v>
      </c>
      <c r="W478" s="63">
        <f t="shared" si="467"/>
        <v>435922.78488425701</v>
      </c>
      <c r="X478" s="63">
        <f t="shared" si="467"/>
        <v>435922.78488425701</v>
      </c>
      <c r="Y478" s="63">
        <f t="shared" si="467"/>
        <v>435922.78488425701</v>
      </c>
      <c r="Z478" s="63">
        <f t="shared" si="467"/>
        <v>435922.78488425701</v>
      </c>
      <c r="AA478" s="63">
        <f t="shared" si="467"/>
        <v>435922.78488425701</v>
      </c>
      <c r="AB478" s="63">
        <f t="shared" si="467"/>
        <v>435922.78488425701</v>
      </c>
      <c r="AC478" s="63">
        <f t="shared" si="467"/>
        <v>435922.78488425701</v>
      </c>
    </row>
    <row r="479" spans="1:29" x14ac:dyDescent="0.25">
      <c r="A479" s="30" t="str">
        <f>A460</f>
        <v>Residual value (vehicle)</v>
      </c>
      <c r="B479" s="62">
        <f>((1+B463)^B470)*B463/(((1+B463)^B470)-1)*(B460)</f>
        <v>-65388.417732638554</v>
      </c>
      <c r="C479" s="62">
        <f t="shared" ref="C479:AC479" si="468">((1+C463)^C470)*C463/(((1+C463)^C470)-1)*(C460)</f>
        <v>-65388.417732638554</v>
      </c>
      <c r="D479" s="62">
        <f t="shared" si="468"/>
        <v>-65388.417732638554</v>
      </c>
      <c r="E479" s="62">
        <f t="shared" si="468"/>
        <v>-65388.417732638554</v>
      </c>
      <c r="F479" s="62">
        <f t="shared" si="468"/>
        <v>-65388.417732638554</v>
      </c>
      <c r="G479" s="62">
        <f t="shared" si="468"/>
        <v>-65388.417732638554</v>
      </c>
      <c r="H479" s="62">
        <f t="shared" si="468"/>
        <v>-65388.417732638554</v>
      </c>
      <c r="I479" s="62">
        <f t="shared" si="468"/>
        <v>-65388.417732638554</v>
      </c>
      <c r="J479" s="62">
        <f t="shared" si="468"/>
        <v>-65388.417732638554</v>
      </c>
      <c r="K479" s="62">
        <f t="shared" si="468"/>
        <v>-65388.417732638554</v>
      </c>
      <c r="L479" s="62">
        <f t="shared" si="468"/>
        <v>-65388.417732638554</v>
      </c>
      <c r="M479" s="62">
        <f t="shared" si="468"/>
        <v>-65388.417732638554</v>
      </c>
      <c r="N479" s="62">
        <f t="shared" si="468"/>
        <v>-65388.417732638554</v>
      </c>
      <c r="O479" s="62">
        <f t="shared" si="468"/>
        <v>-65388.417732638554</v>
      </c>
      <c r="P479" s="62">
        <f t="shared" si="468"/>
        <v>-65388.417732638554</v>
      </c>
      <c r="Q479" s="62">
        <f t="shared" si="468"/>
        <v>-65388.417732638554</v>
      </c>
      <c r="R479" s="62">
        <f t="shared" si="468"/>
        <v>-65388.417732638554</v>
      </c>
      <c r="S479" s="62">
        <f t="shared" si="468"/>
        <v>-65388.417732638554</v>
      </c>
      <c r="T479" s="62">
        <f t="shared" si="468"/>
        <v>-65388.417732638554</v>
      </c>
      <c r="U479" s="62">
        <f t="shared" si="468"/>
        <v>-65388.417732638554</v>
      </c>
      <c r="V479" s="62">
        <f t="shared" si="468"/>
        <v>-65388.417732638554</v>
      </c>
      <c r="W479" s="62">
        <f t="shared" si="468"/>
        <v>-65388.417732638554</v>
      </c>
      <c r="X479" s="62">
        <f t="shared" si="468"/>
        <v>-65388.417732638554</v>
      </c>
      <c r="Y479" s="62">
        <f t="shared" si="468"/>
        <v>-65388.417732638554</v>
      </c>
      <c r="Z479" s="62">
        <f t="shared" si="468"/>
        <v>-65388.417732638554</v>
      </c>
      <c r="AA479" s="62">
        <f t="shared" si="468"/>
        <v>-65388.417732638554</v>
      </c>
      <c r="AB479" s="62">
        <f t="shared" si="468"/>
        <v>-65388.417732638554</v>
      </c>
      <c r="AC479" s="62">
        <f t="shared" si="468"/>
        <v>-65388.417732638554</v>
      </c>
    </row>
    <row r="480" spans="1:29" x14ac:dyDescent="0.25">
      <c r="A480" s="30" t="str">
        <f>A461</f>
        <v>Capex costumization</v>
      </c>
      <c r="B480" s="62">
        <f>((1+B463)^B471)*B463/(((1+B463)^B471)-1)*(B461)</f>
        <v>254271.19021516517</v>
      </c>
      <c r="C480" s="62">
        <f t="shared" ref="C480:AC480" si="469">((1+C463)^C471)*C463/(((1+C463)^C471)-1)*(C461)</f>
        <v>254271.19021516517</v>
      </c>
      <c r="D480" s="62">
        <f t="shared" si="469"/>
        <v>254271.19021516517</v>
      </c>
      <c r="E480" s="62">
        <f t="shared" si="469"/>
        <v>254271.19021516517</v>
      </c>
      <c r="F480" s="62">
        <f t="shared" si="469"/>
        <v>254271.19021516517</v>
      </c>
      <c r="G480" s="62">
        <f t="shared" si="469"/>
        <v>254271.19021516517</v>
      </c>
      <c r="H480" s="62">
        <f t="shared" si="469"/>
        <v>254271.19021516517</v>
      </c>
      <c r="I480" s="62">
        <f t="shared" si="469"/>
        <v>254271.19021516517</v>
      </c>
      <c r="J480" s="62">
        <f t="shared" si="469"/>
        <v>254271.19021516517</v>
      </c>
      <c r="K480" s="62">
        <f t="shared" si="469"/>
        <v>254271.19021516517</v>
      </c>
      <c r="L480" s="62">
        <f t="shared" si="469"/>
        <v>254271.19021516517</v>
      </c>
      <c r="M480" s="62">
        <f t="shared" si="469"/>
        <v>254271.19021516517</v>
      </c>
      <c r="N480" s="62">
        <f t="shared" si="469"/>
        <v>254271.19021516517</v>
      </c>
      <c r="O480" s="62">
        <f t="shared" si="469"/>
        <v>254271.19021516517</v>
      </c>
      <c r="P480" s="62">
        <f t="shared" si="469"/>
        <v>254271.19021516517</v>
      </c>
      <c r="Q480" s="62">
        <f t="shared" si="469"/>
        <v>254271.19021516517</v>
      </c>
      <c r="R480" s="62">
        <f t="shared" si="469"/>
        <v>254271.19021516517</v>
      </c>
      <c r="S480" s="62">
        <f t="shared" si="469"/>
        <v>254271.19021516517</v>
      </c>
      <c r="T480" s="62">
        <f t="shared" si="469"/>
        <v>254271.19021516517</v>
      </c>
      <c r="U480" s="62">
        <f t="shared" si="469"/>
        <v>254271.19021516517</v>
      </c>
      <c r="V480" s="62">
        <f t="shared" si="469"/>
        <v>254271.19021516517</v>
      </c>
      <c r="W480" s="62">
        <f t="shared" si="469"/>
        <v>254271.19021516517</v>
      </c>
      <c r="X480" s="62">
        <f t="shared" si="469"/>
        <v>254271.19021516517</v>
      </c>
      <c r="Y480" s="62">
        <f t="shared" si="469"/>
        <v>254271.19021516517</v>
      </c>
      <c r="Z480" s="62">
        <f t="shared" si="469"/>
        <v>254271.19021516517</v>
      </c>
      <c r="AA480" s="62">
        <f t="shared" si="469"/>
        <v>254271.19021516517</v>
      </c>
      <c r="AB480" s="62">
        <f t="shared" si="469"/>
        <v>254271.19021516517</v>
      </c>
      <c r="AC480" s="62">
        <f t="shared" si="469"/>
        <v>254271.19021516517</v>
      </c>
    </row>
    <row r="481" spans="1:29" x14ac:dyDescent="0.25">
      <c r="A481" s="30" t="str">
        <f>A462</f>
        <v>Residual value (costumization)</v>
      </c>
      <c r="B481" s="62">
        <f>((1+B463)^B471)*B463/(((1+B463)^B471)-1)*(B462)</f>
        <v>-12713.559510758259</v>
      </c>
      <c r="C481" s="62">
        <f t="shared" ref="C481:AC481" si="470">((1+C463)^C471)*C463/(((1+C463)^C471)-1)*(C462)</f>
        <v>-12713.559510758259</v>
      </c>
      <c r="D481" s="62">
        <f t="shared" si="470"/>
        <v>-12713.559510758259</v>
      </c>
      <c r="E481" s="62">
        <f t="shared" si="470"/>
        <v>-12713.559510758259</v>
      </c>
      <c r="F481" s="62">
        <f t="shared" si="470"/>
        <v>-12713.559510758259</v>
      </c>
      <c r="G481" s="62">
        <f t="shared" si="470"/>
        <v>-12713.559510758259</v>
      </c>
      <c r="H481" s="62">
        <f t="shared" si="470"/>
        <v>-12713.559510758259</v>
      </c>
      <c r="I481" s="62">
        <f t="shared" si="470"/>
        <v>-12713.559510758259</v>
      </c>
      <c r="J481" s="62">
        <f t="shared" si="470"/>
        <v>-12713.559510758259</v>
      </c>
      <c r="K481" s="62">
        <f t="shared" si="470"/>
        <v>-12713.559510758259</v>
      </c>
      <c r="L481" s="62">
        <f t="shared" si="470"/>
        <v>-12713.559510758259</v>
      </c>
      <c r="M481" s="62">
        <f t="shared" si="470"/>
        <v>-12713.559510758259</v>
      </c>
      <c r="N481" s="62">
        <f t="shared" si="470"/>
        <v>-12713.559510758259</v>
      </c>
      <c r="O481" s="62">
        <f t="shared" si="470"/>
        <v>-12713.559510758259</v>
      </c>
      <c r="P481" s="62">
        <f t="shared" si="470"/>
        <v>-12713.559510758259</v>
      </c>
      <c r="Q481" s="62">
        <f t="shared" si="470"/>
        <v>-12713.559510758259</v>
      </c>
      <c r="R481" s="62">
        <f t="shared" si="470"/>
        <v>-12713.559510758259</v>
      </c>
      <c r="S481" s="62">
        <f t="shared" si="470"/>
        <v>-12713.559510758259</v>
      </c>
      <c r="T481" s="62">
        <f t="shared" si="470"/>
        <v>-12713.559510758259</v>
      </c>
      <c r="U481" s="62">
        <f t="shared" si="470"/>
        <v>-12713.559510758259</v>
      </c>
      <c r="V481" s="62">
        <f t="shared" si="470"/>
        <v>-12713.559510758259</v>
      </c>
      <c r="W481" s="62">
        <f t="shared" si="470"/>
        <v>-12713.559510758259</v>
      </c>
      <c r="X481" s="62">
        <f t="shared" si="470"/>
        <v>-12713.559510758259</v>
      </c>
      <c r="Y481" s="62">
        <f t="shared" si="470"/>
        <v>-12713.559510758259</v>
      </c>
      <c r="Z481" s="62">
        <f t="shared" si="470"/>
        <v>-12713.559510758259</v>
      </c>
      <c r="AA481" s="62">
        <f t="shared" si="470"/>
        <v>-12713.559510758259</v>
      </c>
      <c r="AB481" s="62">
        <f t="shared" si="470"/>
        <v>-12713.559510758259</v>
      </c>
      <c r="AC481" s="62">
        <f t="shared" si="470"/>
        <v>-12713.559510758259</v>
      </c>
    </row>
    <row r="482" spans="1:29" x14ac:dyDescent="0.25">
      <c r="A482" s="30" t="str">
        <f t="shared" ref="A482:AC482" si="471">A464</f>
        <v>Opex fix (admin, crew, insurance)</v>
      </c>
      <c r="B482" s="62">
        <f t="shared" si="471"/>
        <v>650000</v>
      </c>
      <c r="C482" s="62">
        <f t="shared" si="471"/>
        <v>650000</v>
      </c>
      <c r="D482" s="62">
        <f t="shared" si="471"/>
        <v>650000</v>
      </c>
      <c r="E482" s="62">
        <f t="shared" si="471"/>
        <v>650000</v>
      </c>
      <c r="F482" s="62">
        <f t="shared" si="471"/>
        <v>650000</v>
      </c>
      <c r="G482" s="62">
        <f t="shared" si="471"/>
        <v>650000</v>
      </c>
      <c r="H482" s="62">
        <f t="shared" si="471"/>
        <v>650000</v>
      </c>
      <c r="I482" s="62">
        <f t="shared" si="471"/>
        <v>650000</v>
      </c>
      <c r="J482" s="62">
        <f t="shared" si="471"/>
        <v>650000</v>
      </c>
      <c r="K482" s="62">
        <f t="shared" si="471"/>
        <v>650000</v>
      </c>
      <c r="L482" s="62">
        <f t="shared" si="471"/>
        <v>650000</v>
      </c>
      <c r="M482" s="62">
        <f t="shared" si="471"/>
        <v>650000</v>
      </c>
      <c r="N482" s="62">
        <f t="shared" si="471"/>
        <v>650000</v>
      </c>
      <c r="O482" s="62">
        <f t="shared" si="471"/>
        <v>650000</v>
      </c>
      <c r="P482" s="62">
        <f t="shared" si="471"/>
        <v>650000</v>
      </c>
      <c r="Q482" s="62">
        <f t="shared" si="471"/>
        <v>650000</v>
      </c>
      <c r="R482" s="62">
        <f t="shared" si="471"/>
        <v>650000</v>
      </c>
      <c r="S482" s="62">
        <f t="shared" si="471"/>
        <v>650000</v>
      </c>
      <c r="T482" s="62">
        <f t="shared" si="471"/>
        <v>650000</v>
      </c>
      <c r="U482" s="62">
        <f t="shared" si="471"/>
        <v>650000</v>
      </c>
      <c r="V482" s="62">
        <f t="shared" si="471"/>
        <v>650000</v>
      </c>
      <c r="W482" s="62">
        <f t="shared" si="471"/>
        <v>650000</v>
      </c>
      <c r="X482" s="62">
        <f t="shared" si="471"/>
        <v>650000</v>
      </c>
      <c r="Y482" s="62">
        <f t="shared" si="471"/>
        <v>650000</v>
      </c>
      <c r="Z482" s="62">
        <f t="shared" si="471"/>
        <v>650000</v>
      </c>
      <c r="AA482" s="62">
        <f t="shared" si="471"/>
        <v>650000</v>
      </c>
      <c r="AB482" s="62">
        <f t="shared" si="471"/>
        <v>650000</v>
      </c>
      <c r="AC482" s="62">
        <f t="shared" si="471"/>
        <v>650000</v>
      </c>
    </row>
    <row r="483" spans="1:29" x14ac:dyDescent="0.25">
      <c r="A483" s="30" t="str">
        <f t="shared" ref="A483:AC483" si="472">A465</f>
        <v>Opex maintenance &amp; repair</v>
      </c>
      <c r="B483" s="62">
        <f t="shared" si="472"/>
        <v>650000</v>
      </c>
      <c r="C483" s="62">
        <f t="shared" si="472"/>
        <v>650000</v>
      </c>
      <c r="D483" s="62">
        <f t="shared" si="472"/>
        <v>650000</v>
      </c>
      <c r="E483" s="62">
        <f t="shared" si="472"/>
        <v>650000</v>
      </c>
      <c r="F483" s="62">
        <f t="shared" si="472"/>
        <v>650000</v>
      </c>
      <c r="G483" s="62">
        <f t="shared" si="472"/>
        <v>650000</v>
      </c>
      <c r="H483" s="62">
        <f t="shared" si="472"/>
        <v>650000</v>
      </c>
      <c r="I483" s="62">
        <f t="shared" si="472"/>
        <v>650000</v>
      </c>
      <c r="J483" s="62">
        <f t="shared" si="472"/>
        <v>650000</v>
      </c>
      <c r="K483" s="62">
        <f t="shared" si="472"/>
        <v>650000</v>
      </c>
      <c r="L483" s="62">
        <f t="shared" si="472"/>
        <v>650000</v>
      </c>
      <c r="M483" s="62">
        <f t="shared" si="472"/>
        <v>650000</v>
      </c>
      <c r="N483" s="62">
        <f t="shared" si="472"/>
        <v>650000</v>
      </c>
      <c r="O483" s="62">
        <f t="shared" si="472"/>
        <v>650000</v>
      </c>
      <c r="P483" s="62">
        <f t="shared" si="472"/>
        <v>650000</v>
      </c>
      <c r="Q483" s="62">
        <f t="shared" si="472"/>
        <v>650000</v>
      </c>
      <c r="R483" s="62">
        <f t="shared" si="472"/>
        <v>650000</v>
      </c>
      <c r="S483" s="62">
        <f t="shared" si="472"/>
        <v>650000</v>
      </c>
      <c r="T483" s="62">
        <f t="shared" si="472"/>
        <v>650000</v>
      </c>
      <c r="U483" s="62">
        <f t="shared" si="472"/>
        <v>650000</v>
      </c>
      <c r="V483" s="62">
        <f t="shared" si="472"/>
        <v>650000</v>
      </c>
      <c r="W483" s="62">
        <f t="shared" si="472"/>
        <v>650000</v>
      </c>
      <c r="X483" s="62">
        <f t="shared" si="472"/>
        <v>650000</v>
      </c>
      <c r="Y483" s="62">
        <f t="shared" si="472"/>
        <v>650000</v>
      </c>
      <c r="Z483" s="62">
        <f t="shared" si="472"/>
        <v>650000</v>
      </c>
      <c r="AA483" s="62">
        <f t="shared" si="472"/>
        <v>650000</v>
      </c>
      <c r="AB483" s="62">
        <f t="shared" si="472"/>
        <v>650000</v>
      </c>
      <c r="AC483" s="62">
        <f t="shared" si="472"/>
        <v>650000</v>
      </c>
    </row>
    <row r="484" spans="1:29" x14ac:dyDescent="0.25">
      <c r="A484" s="30" t="str">
        <f>A466</f>
        <v>Opex var (mode-fees, shunting)</v>
      </c>
      <c r="B484" s="62">
        <f>B466*B475</f>
        <v>700000</v>
      </c>
      <c r="C484" s="62">
        <f t="shared" ref="C484:AC484" si="473">C466*C475</f>
        <v>700000</v>
      </c>
      <c r="D484" s="62">
        <f t="shared" si="473"/>
        <v>700000</v>
      </c>
      <c r="E484" s="62">
        <f t="shared" si="473"/>
        <v>700000</v>
      </c>
      <c r="F484" s="62">
        <f t="shared" si="473"/>
        <v>700000</v>
      </c>
      <c r="G484" s="62">
        <f t="shared" si="473"/>
        <v>700000</v>
      </c>
      <c r="H484" s="62">
        <f t="shared" si="473"/>
        <v>700000</v>
      </c>
      <c r="I484" s="62">
        <f t="shared" si="473"/>
        <v>700000</v>
      </c>
      <c r="J484" s="62">
        <f t="shared" si="473"/>
        <v>700000</v>
      </c>
      <c r="K484" s="62">
        <f t="shared" si="473"/>
        <v>700000</v>
      </c>
      <c r="L484" s="62">
        <f t="shared" si="473"/>
        <v>700000</v>
      </c>
      <c r="M484" s="62">
        <f t="shared" si="473"/>
        <v>700000</v>
      </c>
      <c r="N484" s="62">
        <f t="shared" si="473"/>
        <v>700000</v>
      </c>
      <c r="O484" s="62">
        <f t="shared" si="473"/>
        <v>700000</v>
      </c>
      <c r="P484" s="62">
        <f t="shared" si="473"/>
        <v>700000</v>
      </c>
      <c r="Q484" s="62">
        <f t="shared" si="473"/>
        <v>700000</v>
      </c>
      <c r="R484" s="62">
        <f t="shared" si="473"/>
        <v>700000</v>
      </c>
      <c r="S484" s="62">
        <f t="shared" si="473"/>
        <v>700000</v>
      </c>
      <c r="T484" s="62">
        <f t="shared" si="473"/>
        <v>700000</v>
      </c>
      <c r="U484" s="62">
        <f t="shared" si="473"/>
        <v>700000</v>
      </c>
      <c r="V484" s="62">
        <f t="shared" si="473"/>
        <v>700000</v>
      </c>
      <c r="W484" s="62">
        <f t="shared" si="473"/>
        <v>700000</v>
      </c>
      <c r="X484" s="62">
        <f t="shared" si="473"/>
        <v>700000</v>
      </c>
      <c r="Y484" s="62">
        <f t="shared" si="473"/>
        <v>700000</v>
      </c>
      <c r="Z484" s="62">
        <f t="shared" si="473"/>
        <v>700000</v>
      </c>
      <c r="AA484" s="62">
        <f t="shared" si="473"/>
        <v>700000</v>
      </c>
      <c r="AB484" s="62">
        <f t="shared" si="473"/>
        <v>700000</v>
      </c>
      <c r="AC484" s="62">
        <f t="shared" si="473"/>
        <v>700000</v>
      </c>
    </row>
    <row r="485" spans="1:29" x14ac:dyDescent="0.25">
      <c r="A485" s="30" t="str">
        <f>A468</f>
        <v>Fuel Cost</v>
      </c>
      <c r="B485" s="62">
        <f>B467*B468*B475</f>
        <v>751111.57484136568</v>
      </c>
      <c r="C485" s="62">
        <f t="shared" ref="C485:AC485" si="474">C467*C468*C475</f>
        <v>749640.20406893163</v>
      </c>
      <c r="D485" s="62">
        <f t="shared" si="474"/>
        <v>747551.06849570631</v>
      </c>
      <c r="E485" s="62">
        <f t="shared" si="474"/>
        <v>744598.27611606359</v>
      </c>
      <c r="F485" s="62">
        <f t="shared" si="474"/>
        <v>740452.6088878325</v>
      </c>
      <c r="G485" s="62">
        <f t="shared" si="474"/>
        <v>734688.62651678594</v>
      </c>
      <c r="H485" s="62">
        <f t="shared" si="474"/>
        <v>726786.42231709033</v>
      </c>
      <c r="I485" s="62">
        <f t="shared" si="474"/>
        <v>716166.70663866785</v>
      </c>
      <c r="J485" s="62">
        <f t="shared" si="474"/>
        <v>702284.68666878145</v>
      </c>
      <c r="K485" s="62">
        <f t="shared" si="474"/>
        <v>684802.6288826263</v>
      </c>
      <c r="L485" s="62">
        <f t="shared" si="474"/>
        <v>663824.6613617877</v>
      </c>
      <c r="M485" s="62">
        <f t="shared" si="474"/>
        <v>640103.32837446698</v>
      </c>
      <c r="N485" s="62">
        <f t="shared" si="474"/>
        <v>615060.8144659329</v>
      </c>
      <c r="O485" s="62">
        <f t="shared" si="474"/>
        <v>590511.09039041016</v>
      </c>
      <c r="P485" s="62">
        <f t="shared" si="474"/>
        <v>568162.97124387894</v>
      </c>
      <c r="Q485" s="62">
        <f t="shared" si="474"/>
        <v>549170.25240269292</v>
      </c>
      <c r="R485" s="62">
        <f t="shared" si="474"/>
        <v>533960.48601413262</v>
      </c>
      <c r="S485" s="62">
        <f t="shared" si="474"/>
        <v>522354.75920205587</v>
      </c>
      <c r="T485" s="62">
        <f t="shared" si="474"/>
        <v>513823.61921454349</v>
      </c>
      <c r="U485" s="62">
        <f t="shared" si="474"/>
        <v>507723.97754061088</v>
      </c>
      <c r="V485" s="62">
        <f t="shared" si="474"/>
        <v>503449.02952013491</v>
      </c>
      <c r="W485" s="62">
        <f t="shared" si="474"/>
        <v>500494.77767914557</v>
      </c>
      <c r="X485" s="62">
        <f t="shared" si="474"/>
        <v>498473.03592834057</v>
      </c>
      <c r="Y485" s="62">
        <f t="shared" si="474"/>
        <v>497098.69195112609</v>
      </c>
      <c r="Z485" s="62">
        <f t="shared" si="474"/>
        <v>496168.68867462687</v>
      </c>
      <c r="AA485" s="62">
        <f t="shared" si="474"/>
        <v>495541.30749335821</v>
      </c>
      <c r="AB485" s="62">
        <f t="shared" si="474"/>
        <v>495118.95759869332</v>
      </c>
      <c r="AC485" s="62">
        <f t="shared" si="474"/>
        <v>494835.03304358089</v>
      </c>
    </row>
    <row r="486" spans="1:29" ht="15.75" thickBot="1" x14ac:dyDescent="0.3">
      <c r="A486" s="59" t="str">
        <f>A449</f>
        <v>Emission Cost</v>
      </c>
      <c r="B486" s="62">
        <f>B469*B475</f>
        <v>13039.654269385623</v>
      </c>
      <c r="C486" s="62">
        <f t="shared" ref="C486:AC486" si="475">C469*C475</f>
        <v>13027.237341387387</v>
      </c>
      <c r="D486" s="62">
        <f t="shared" si="475"/>
        <v>13009.462785522683</v>
      </c>
      <c r="E486" s="62">
        <f t="shared" si="475"/>
        <v>12984.035033395578</v>
      </c>
      <c r="F486" s="62">
        <f t="shared" si="475"/>
        <v>12947.693164693866</v>
      </c>
      <c r="G486" s="62">
        <f t="shared" si="475"/>
        <v>12895.825464253008</v>
      </c>
      <c r="H486" s="62">
        <f t="shared" si="475"/>
        <v>12821.953134285463</v>
      </c>
      <c r="I486" s="62">
        <f t="shared" si="475"/>
        <v>12717.065015462145</v>
      </c>
      <c r="J486" s="62">
        <f t="shared" si="475"/>
        <v>12568.815738610079</v>
      </c>
      <c r="K486" s="62">
        <f t="shared" si="475"/>
        <v>12360.676428548282</v>
      </c>
      <c r="L486" s="62">
        <f t="shared" si="475"/>
        <v>12071.287230653141</v>
      </c>
      <c r="M486" s="62">
        <f t="shared" si="475"/>
        <v>11674.545466410327</v>
      </c>
      <c r="N486" s="62">
        <f t="shared" si="475"/>
        <v>11141.367048396694</v>
      </c>
      <c r="O486" s="62">
        <f t="shared" si="475"/>
        <v>10444.399853557694</v>
      </c>
      <c r="P486" s="62">
        <f t="shared" si="475"/>
        <v>9566.6874744038923</v>
      </c>
      <c r="Q486" s="62">
        <f t="shared" si="475"/>
        <v>8513.4578141571128</v>
      </c>
      <c r="R486" s="62">
        <f t="shared" si="475"/>
        <v>7322.4934627241992</v>
      </c>
      <c r="S486" s="62">
        <f t="shared" si="475"/>
        <v>6065.1972833202499</v>
      </c>
      <c r="T486" s="62">
        <f t="shared" si="475"/>
        <v>4832.6423410204261</v>
      </c>
      <c r="U486" s="62">
        <f t="shared" si="475"/>
        <v>3710.6222066830942</v>
      </c>
      <c r="V486" s="62">
        <f t="shared" si="475"/>
        <v>2757.064871236083</v>
      </c>
      <c r="W486" s="62">
        <f t="shared" si="475"/>
        <v>1993.4362179862808</v>
      </c>
      <c r="X486" s="62">
        <f t="shared" si="475"/>
        <v>1410.7536632984488</v>
      </c>
      <c r="Y486" s="62">
        <f t="shared" si="475"/>
        <v>982.43525439445648</v>
      </c>
      <c r="Z486" s="62">
        <f t="shared" si="475"/>
        <v>676.1937883667581</v>
      </c>
      <c r="AA486" s="62">
        <f t="shared" si="475"/>
        <v>461.5637463140161</v>
      </c>
      <c r="AB486" s="62">
        <f t="shared" si="475"/>
        <v>313.24119506219733</v>
      </c>
      <c r="AC486" s="62">
        <f t="shared" si="475"/>
        <v>211.73668204434628</v>
      </c>
    </row>
    <row r="487" spans="1:29" ht="15.75" thickBot="1" x14ac:dyDescent="0.3">
      <c r="A487" s="31" t="s">
        <v>209</v>
      </c>
      <c r="B487" s="64">
        <f>B478+B479+B480+B481+B482+B483+B484+B485+B486</f>
        <v>3376243.2269667769</v>
      </c>
      <c r="C487" s="64">
        <f t="shared" ref="C487:AC487" si="476">C478+C479+C480+C481+C482+C483+C484+C485+C486</f>
        <v>3374759.4392663445</v>
      </c>
      <c r="D487" s="64">
        <f t="shared" si="476"/>
        <v>3372652.5291372542</v>
      </c>
      <c r="E487" s="64">
        <f t="shared" si="476"/>
        <v>3369674.3090054849</v>
      </c>
      <c r="F487" s="64">
        <f t="shared" si="476"/>
        <v>3365492.2999085519</v>
      </c>
      <c r="G487" s="64">
        <f t="shared" si="476"/>
        <v>3359676.4498370644</v>
      </c>
      <c r="H487" s="64">
        <f t="shared" si="476"/>
        <v>3351700.3733074013</v>
      </c>
      <c r="I487" s="64">
        <f t="shared" si="476"/>
        <v>3340975.7695101555</v>
      </c>
      <c r="J487" s="64">
        <f t="shared" si="476"/>
        <v>3326945.5002634171</v>
      </c>
      <c r="K487" s="64">
        <f t="shared" si="476"/>
        <v>3309255.3031671997</v>
      </c>
      <c r="L487" s="64">
        <f t="shared" si="476"/>
        <v>3287987.9464484663</v>
      </c>
      <c r="M487" s="64">
        <f t="shared" si="476"/>
        <v>3263869.8716969029</v>
      </c>
      <c r="N487" s="64">
        <f t="shared" si="476"/>
        <v>3238294.1793703553</v>
      </c>
      <c r="O487" s="64">
        <f t="shared" si="476"/>
        <v>3213047.4880999937</v>
      </c>
      <c r="P487" s="64">
        <f t="shared" si="476"/>
        <v>3189821.6565743084</v>
      </c>
      <c r="Q487" s="64">
        <f t="shared" si="476"/>
        <v>3169775.7080728756</v>
      </c>
      <c r="R487" s="64">
        <f t="shared" si="476"/>
        <v>3153374.9773328821</v>
      </c>
      <c r="S487" s="64">
        <f t="shared" si="476"/>
        <v>3140511.9543414013</v>
      </c>
      <c r="T487" s="64">
        <f t="shared" si="476"/>
        <v>3130748.2594115897</v>
      </c>
      <c r="U487" s="64">
        <f t="shared" si="476"/>
        <v>3123526.5976033197</v>
      </c>
      <c r="V487" s="64">
        <f t="shared" si="476"/>
        <v>3118298.0922473967</v>
      </c>
      <c r="W487" s="64">
        <f t="shared" si="476"/>
        <v>3114580.2117531574</v>
      </c>
      <c r="X487" s="64">
        <f t="shared" si="476"/>
        <v>3111975.7874476649</v>
      </c>
      <c r="Y487" s="64">
        <f t="shared" si="476"/>
        <v>3110173.125061546</v>
      </c>
      <c r="Z487" s="64">
        <f t="shared" si="476"/>
        <v>3108936.8803190193</v>
      </c>
      <c r="AA487" s="64">
        <f t="shared" si="476"/>
        <v>3108094.869095698</v>
      </c>
      <c r="AB487" s="64">
        <f t="shared" si="476"/>
        <v>3107524.196649781</v>
      </c>
      <c r="AC487" s="64">
        <f t="shared" si="476"/>
        <v>3107138.767581651</v>
      </c>
    </row>
    <row r="488" spans="1:29" ht="15.75" thickBot="1" x14ac:dyDescent="0.3">
      <c r="AC488" s="32"/>
    </row>
    <row r="489" spans="1:29" ht="15.75" thickBot="1" x14ac:dyDescent="0.3">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477">A478</f>
        <v>Capex vehicle</v>
      </c>
      <c r="B490" s="65">
        <f>((1+B463)^B470)*B463/(((1+B463)^B470)-1)*(B459)/B475</f>
        <v>2.4421444531330927</v>
      </c>
      <c r="C490" s="65">
        <f t="shared" ref="C490:AC490" si="478">((1+C463)^C470)*C463/(((1+C463)^C470)-1)*(C459)/C475</f>
        <v>2.4421444531330927</v>
      </c>
      <c r="D490" s="65">
        <f t="shared" si="478"/>
        <v>2.4421444531330927</v>
      </c>
      <c r="E490" s="65">
        <f t="shared" si="478"/>
        <v>2.4421444531330927</v>
      </c>
      <c r="F490" s="65">
        <f t="shared" si="478"/>
        <v>2.4421444531330927</v>
      </c>
      <c r="G490" s="65">
        <f t="shared" si="478"/>
        <v>2.4421444531330927</v>
      </c>
      <c r="H490" s="65">
        <f t="shared" si="478"/>
        <v>2.4421444531330927</v>
      </c>
      <c r="I490" s="65">
        <f t="shared" si="478"/>
        <v>2.4421444531330927</v>
      </c>
      <c r="J490" s="65">
        <f t="shared" si="478"/>
        <v>2.4421444531330927</v>
      </c>
      <c r="K490" s="65">
        <f t="shared" si="478"/>
        <v>2.4421444531330927</v>
      </c>
      <c r="L490" s="65">
        <f t="shared" si="478"/>
        <v>2.4421444531330927</v>
      </c>
      <c r="M490" s="65">
        <f t="shared" si="478"/>
        <v>2.4421444531330927</v>
      </c>
      <c r="N490" s="65">
        <f t="shared" si="478"/>
        <v>2.4421444531330927</v>
      </c>
      <c r="O490" s="65">
        <f t="shared" si="478"/>
        <v>2.4421444531330927</v>
      </c>
      <c r="P490" s="65">
        <f t="shared" si="478"/>
        <v>2.4421444531330927</v>
      </c>
      <c r="Q490" s="65">
        <f t="shared" si="478"/>
        <v>2.4421444531330927</v>
      </c>
      <c r="R490" s="65">
        <f t="shared" si="478"/>
        <v>2.4421444531330927</v>
      </c>
      <c r="S490" s="65">
        <f t="shared" si="478"/>
        <v>2.4421444531330927</v>
      </c>
      <c r="T490" s="65">
        <f t="shared" si="478"/>
        <v>2.4421444531330927</v>
      </c>
      <c r="U490" s="65">
        <f t="shared" si="478"/>
        <v>2.4421444531330927</v>
      </c>
      <c r="V490" s="65">
        <f t="shared" si="478"/>
        <v>2.4421444531330927</v>
      </c>
      <c r="W490" s="65">
        <f t="shared" si="478"/>
        <v>2.4421444531330927</v>
      </c>
      <c r="X490" s="65">
        <f t="shared" si="478"/>
        <v>2.4421444531330927</v>
      </c>
      <c r="Y490" s="65">
        <f t="shared" si="478"/>
        <v>2.4421444531330927</v>
      </c>
      <c r="Z490" s="65">
        <f t="shared" si="478"/>
        <v>2.4421444531330927</v>
      </c>
      <c r="AA490" s="65">
        <f t="shared" si="478"/>
        <v>2.4421444531330927</v>
      </c>
      <c r="AB490" s="65">
        <f t="shared" si="478"/>
        <v>2.4421444531330927</v>
      </c>
      <c r="AC490" s="65">
        <f t="shared" si="478"/>
        <v>2.4421444531330927</v>
      </c>
    </row>
    <row r="491" spans="1:29" x14ac:dyDescent="0.25">
      <c r="A491" s="30" t="str">
        <f t="shared" si="477"/>
        <v>Residual value (vehicle)</v>
      </c>
      <c r="B491" s="66">
        <f>((1+B463)^B470)*B463/(((1+B463)^B470)-1)*(B460)/B475</f>
        <v>-0.3663216679699639</v>
      </c>
      <c r="C491" s="66">
        <f t="shared" ref="C491:AC491" si="479">((1+C463)^C470)*C463/(((1+C463)^C470)-1)*(C460)/C475</f>
        <v>-0.3663216679699639</v>
      </c>
      <c r="D491" s="66">
        <f t="shared" si="479"/>
        <v>-0.3663216679699639</v>
      </c>
      <c r="E491" s="66">
        <f t="shared" si="479"/>
        <v>-0.3663216679699639</v>
      </c>
      <c r="F491" s="66">
        <f t="shared" si="479"/>
        <v>-0.3663216679699639</v>
      </c>
      <c r="G491" s="66">
        <f t="shared" si="479"/>
        <v>-0.3663216679699639</v>
      </c>
      <c r="H491" s="66">
        <f t="shared" si="479"/>
        <v>-0.3663216679699639</v>
      </c>
      <c r="I491" s="66">
        <f t="shared" si="479"/>
        <v>-0.3663216679699639</v>
      </c>
      <c r="J491" s="66">
        <f t="shared" si="479"/>
        <v>-0.3663216679699639</v>
      </c>
      <c r="K491" s="66">
        <f t="shared" si="479"/>
        <v>-0.3663216679699639</v>
      </c>
      <c r="L491" s="66">
        <f t="shared" si="479"/>
        <v>-0.3663216679699639</v>
      </c>
      <c r="M491" s="66">
        <f t="shared" si="479"/>
        <v>-0.3663216679699639</v>
      </c>
      <c r="N491" s="66">
        <f t="shared" si="479"/>
        <v>-0.3663216679699639</v>
      </c>
      <c r="O491" s="66">
        <f t="shared" si="479"/>
        <v>-0.3663216679699639</v>
      </c>
      <c r="P491" s="66">
        <f t="shared" si="479"/>
        <v>-0.3663216679699639</v>
      </c>
      <c r="Q491" s="66">
        <f t="shared" si="479"/>
        <v>-0.3663216679699639</v>
      </c>
      <c r="R491" s="66">
        <f t="shared" si="479"/>
        <v>-0.3663216679699639</v>
      </c>
      <c r="S491" s="66">
        <f t="shared" si="479"/>
        <v>-0.3663216679699639</v>
      </c>
      <c r="T491" s="66">
        <f t="shared" si="479"/>
        <v>-0.3663216679699639</v>
      </c>
      <c r="U491" s="66">
        <f t="shared" si="479"/>
        <v>-0.3663216679699639</v>
      </c>
      <c r="V491" s="66">
        <f t="shared" si="479"/>
        <v>-0.3663216679699639</v>
      </c>
      <c r="W491" s="66">
        <f t="shared" si="479"/>
        <v>-0.3663216679699639</v>
      </c>
      <c r="X491" s="66">
        <f t="shared" si="479"/>
        <v>-0.3663216679699639</v>
      </c>
      <c r="Y491" s="66">
        <f t="shared" si="479"/>
        <v>-0.3663216679699639</v>
      </c>
      <c r="Z491" s="66">
        <f t="shared" si="479"/>
        <v>-0.3663216679699639</v>
      </c>
      <c r="AA491" s="66">
        <f t="shared" si="479"/>
        <v>-0.3663216679699639</v>
      </c>
      <c r="AB491" s="66">
        <f t="shared" si="479"/>
        <v>-0.3663216679699639</v>
      </c>
      <c r="AC491" s="66">
        <f t="shared" si="479"/>
        <v>-0.3663216679699639</v>
      </c>
    </row>
    <row r="492" spans="1:29" x14ac:dyDescent="0.25">
      <c r="A492" s="30" t="str">
        <f t="shared" si="477"/>
        <v>Capex costumization</v>
      </c>
      <c r="B492" s="66">
        <f>((1+B463)^B471)*B463/(((1+B463)^B471)-1)*(B461)/B475</f>
        <v>1.4244884605891606</v>
      </c>
      <c r="C492" s="66">
        <f t="shared" ref="C492:AC492" si="480">((1+C463)^C471)*C463/(((1+C463)^C471)-1)*(C461)/C475</f>
        <v>1.4244884605891606</v>
      </c>
      <c r="D492" s="66">
        <f t="shared" si="480"/>
        <v>1.4244884605891606</v>
      </c>
      <c r="E492" s="66">
        <f t="shared" si="480"/>
        <v>1.4244884605891606</v>
      </c>
      <c r="F492" s="66">
        <f t="shared" si="480"/>
        <v>1.4244884605891606</v>
      </c>
      <c r="G492" s="66">
        <f t="shared" si="480"/>
        <v>1.4244884605891606</v>
      </c>
      <c r="H492" s="66">
        <f t="shared" si="480"/>
        <v>1.4244884605891606</v>
      </c>
      <c r="I492" s="66">
        <f t="shared" si="480"/>
        <v>1.4244884605891606</v>
      </c>
      <c r="J492" s="66">
        <f t="shared" si="480"/>
        <v>1.4244884605891606</v>
      </c>
      <c r="K492" s="66">
        <f t="shared" si="480"/>
        <v>1.4244884605891606</v>
      </c>
      <c r="L492" s="66">
        <f t="shared" si="480"/>
        <v>1.4244884605891606</v>
      </c>
      <c r="M492" s="66">
        <f t="shared" si="480"/>
        <v>1.4244884605891606</v>
      </c>
      <c r="N492" s="66">
        <f t="shared" si="480"/>
        <v>1.4244884605891606</v>
      </c>
      <c r="O492" s="66">
        <f t="shared" si="480"/>
        <v>1.4244884605891606</v>
      </c>
      <c r="P492" s="66">
        <f t="shared" si="480"/>
        <v>1.4244884605891606</v>
      </c>
      <c r="Q492" s="66">
        <f t="shared" si="480"/>
        <v>1.4244884605891606</v>
      </c>
      <c r="R492" s="66">
        <f t="shared" si="480"/>
        <v>1.4244884605891606</v>
      </c>
      <c r="S492" s="66">
        <f t="shared" si="480"/>
        <v>1.4244884605891606</v>
      </c>
      <c r="T492" s="66">
        <f t="shared" si="480"/>
        <v>1.4244884605891606</v>
      </c>
      <c r="U492" s="66">
        <f t="shared" si="480"/>
        <v>1.4244884605891606</v>
      </c>
      <c r="V492" s="66">
        <f t="shared" si="480"/>
        <v>1.4244884605891606</v>
      </c>
      <c r="W492" s="66">
        <f t="shared" si="480"/>
        <v>1.4244884605891606</v>
      </c>
      <c r="X492" s="66">
        <f t="shared" si="480"/>
        <v>1.4244884605891606</v>
      </c>
      <c r="Y492" s="66">
        <f t="shared" si="480"/>
        <v>1.4244884605891606</v>
      </c>
      <c r="Z492" s="66">
        <f t="shared" si="480"/>
        <v>1.4244884605891606</v>
      </c>
      <c r="AA492" s="66">
        <f t="shared" si="480"/>
        <v>1.4244884605891606</v>
      </c>
      <c r="AB492" s="66">
        <f t="shared" si="480"/>
        <v>1.4244884605891606</v>
      </c>
      <c r="AC492" s="66">
        <f t="shared" si="480"/>
        <v>1.4244884605891606</v>
      </c>
    </row>
    <row r="493" spans="1:29" x14ac:dyDescent="0.25">
      <c r="A493" s="30" t="str">
        <f t="shared" si="477"/>
        <v>Residual value (costumization)</v>
      </c>
      <c r="B493" s="66">
        <f>((1+B463)^B471)*B463/(((1+B463)^B471)-1)*(B462)/B475</f>
        <v>-7.1224423029458042E-2</v>
      </c>
      <c r="C493" s="66">
        <f t="shared" ref="C493:AC493" si="481">((1+C463)^C471)*C463/(((1+C463)^C471)-1)*(C462)/C475</f>
        <v>-7.1224423029458042E-2</v>
      </c>
      <c r="D493" s="66">
        <f t="shared" si="481"/>
        <v>-7.1224423029458042E-2</v>
      </c>
      <c r="E493" s="66">
        <f t="shared" si="481"/>
        <v>-7.1224423029458042E-2</v>
      </c>
      <c r="F493" s="66">
        <f t="shared" si="481"/>
        <v>-7.1224423029458042E-2</v>
      </c>
      <c r="G493" s="66">
        <f t="shared" si="481"/>
        <v>-7.1224423029458042E-2</v>
      </c>
      <c r="H493" s="66">
        <f t="shared" si="481"/>
        <v>-7.1224423029458042E-2</v>
      </c>
      <c r="I493" s="66">
        <f t="shared" si="481"/>
        <v>-7.1224423029458042E-2</v>
      </c>
      <c r="J493" s="66">
        <f t="shared" si="481"/>
        <v>-7.1224423029458042E-2</v>
      </c>
      <c r="K493" s="66">
        <f t="shared" si="481"/>
        <v>-7.1224423029458042E-2</v>
      </c>
      <c r="L493" s="66">
        <f t="shared" si="481"/>
        <v>-7.1224423029458042E-2</v>
      </c>
      <c r="M493" s="66">
        <f t="shared" si="481"/>
        <v>-7.1224423029458042E-2</v>
      </c>
      <c r="N493" s="66">
        <f t="shared" si="481"/>
        <v>-7.1224423029458042E-2</v>
      </c>
      <c r="O493" s="66">
        <f t="shared" si="481"/>
        <v>-7.1224423029458042E-2</v>
      </c>
      <c r="P493" s="66">
        <f t="shared" si="481"/>
        <v>-7.1224423029458042E-2</v>
      </c>
      <c r="Q493" s="66">
        <f t="shared" si="481"/>
        <v>-7.1224423029458042E-2</v>
      </c>
      <c r="R493" s="66">
        <f t="shared" si="481"/>
        <v>-7.1224423029458042E-2</v>
      </c>
      <c r="S493" s="66">
        <f t="shared" si="481"/>
        <v>-7.1224423029458042E-2</v>
      </c>
      <c r="T493" s="66">
        <f t="shared" si="481"/>
        <v>-7.1224423029458042E-2</v>
      </c>
      <c r="U493" s="66">
        <f t="shared" si="481"/>
        <v>-7.1224423029458042E-2</v>
      </c>
      <c r="V493" s="66">
        <f t="shared" si="481"/>
        <v>-7.1224423029458042E-2</v>
      </c>
      <c r="W493" s="66">
        <f t="shared" si="481"/>
        <v>-7.1224423029458042E-2</v>
      </c>
      <c r="X493" s="66">
        <f t="shared" si="481"/>
        <v>-7.1224423029458042E-2</v>
      </c>
      <c r="Y493" s="66">
        <f t="shared" si="481"/>
        <v>-7.1224423029458042E-2</v>
      </c>
      <c r="Z493" s="66">
        <f t="shared" si="481"/>
        <v>-7.1224423029458042E-2</v>
      </c>
      <c r="AA493" s="66">
        <f t="shared" si="481"/>
        <v>-7.1224423029458042E-2</v>
      </c>
      <c r="AB493" s="66">
        <f t="shared" si="481"/>
        <v>-7.1224423029458042E-2</v>
      </c>
      <c r="AC493" s="66">
        <f t="shared" si="481"/>
        <v>-7.1224423029458042E-2</v>
      </c>
    </row>
    <row r="494" spans="1:29" x14ac:dyDescent="0.25">
      <c r="A494" s="30" t="str">
        <f t="shared" si="477"/>
        <v>Opex fix (admin, crew, insurance)</v>
      </c>
      <c r="B494" s="66">
        <f>B464/B475</f>
        <v>3.6414565826330532</v>
      </c>
      <c r="C494" s="66">
        <f t="shared" ref="C494:AC494" si="482">C464/C475</f>
        <v>3.6414565826330532</v>
      </c>
      <c r="D494" s="66">
        <f t="shared" si="482"/>
        <v>3.6414565826330532</v>
      </c>
      <c r="E494" s="66">
        <f t="shared" si="482"/>
        <v>3.6414565826330532</v>
      </c>
      <c r="F494" s="66">
        <f t="shared" si="482"/>
        <v>3.6414565826330532</v>
      </c>
      <c r="G494" s="66">
        <f t="shared" si="482"/>
        <v>3.6414565826330532</v>
      </c>
      <c r="H494" s="66">
        <f t="shared" si="482"/>
        <v>3.6414565826330532</v>
      </c>
      <c r="I494" s="66">
        <f t="shared" si="482"/>
        <v>3.6414565826330532</v>
      </c>
      <c r="J494" s="66">
        <f t="shared" si="482"/>
        <v>3.6414565826330532</v>
      </c>
      <c r="K494" s="66">
        <f t="shared" si="482"/>
        <v>3.6414565826330532</v>
      </c>
      <c r="L494" s="66">
        <f t="shared" si="482"/>
        <v>3.6414565826330532</v>
      </c>
      <c r="M494" s="66">
        <f t="shared" si="482"/>
        <v>3.6414565826330532</v>
      </c>
      <c r="N494" s="66">
        <f t="shared" si="482"/>
        <v>3.6414565826330532</v>
      </c>
      <c r="O494" s="66">
        <f t="shared" si="482"/>
        <v>3.6414565826330532</v>
      </c>
      <c r="P494" s="66">
        <f t="shared" si="482"/>
        <v>3.6414565826330532</v>
      </c>
      <c r="Q494" s="66">
        <f t="shared" si="482"/>
        <v>3.6414565826330532</v>
      </c>
      <c r="R494" s="66">
        <f t="shared" si="482"/>
        <v>3.6414565826330532</v>
      </c>
      <c r="S494" s="66">
        <f t="shared" si="482"/>
        <v>3.6414565826330532</v>
      </c>
      <c r="T494" s="66">
        <f t="shared" si="482"/>
        <v>3.6414565826330532</v>
      </c>
      <c r="U494" s="66">
        <f t="shared" si="482"/>
        <v>3.6414565826330532</v>
      </c>
      <c r="V494" s="66">
        <f t="shared" si="482"/>
        <v>3.6414565826330532</v>
      </c>
      <c r="W494" s="66">
        <f t="shared" si="482"/>
        <v>3.6414565826330532</v>
      </c>
      <c r="X494" s="66">
        <f t="shared" si="482"/>
        <v>3.6414565826330532</v>
      </c>
      <c r="Y494" s="66">
        <f t="shared" si="482"/>
        <v>3.6414565826330532</v>
      </c>
      <c r="Z494" s="66">
        <f t="shared" si="482"/>
        <v>3.6414565826330532</v>
      </c>
      <c r="AA494" s="66">
        <f t="shared" si="482"/>
        <v>3.6414565826330532</v>
      </c>
      <c r="AB494" s="66">
        <f t="shared" si="482"/>
        <v>3.6414565826330532</v>
      </c>
      <c r="AC494" s="66">
        <f t="shared" si="482"/>
        <v>3.6414565826330532</v>
      </c>
    </row>
    <row r="495" spans="1:29" x14ac:dyDescent="0.25">
      <c r="A495" s="30" t="str">
        <f t="shared" si="477"/>
        <v>Opex maintenance &amp; repair</v>
      </c>
      <c r="B495" s="66">
        <f>B465/B475</f>
        <v>3.6414565826330532</v>
      </c>
      <c r="C495" s="66">
        <f t="shared" ref="C495:AC495" si="483">C465/C475</f>
        <v>3.6414565826330532</v>
      </c>
      <c r="D495" s="66">
        <f t="shared" si="483"/>
        <v>3.6414565826330532</v>
      </c>
      <c r="E495" s="66">
        <f t="shared" si="483"/>
        <v>3.6414565826330532</v>
      </c>
      <c r="F495" s="66">
        <f t="shared" si="483"/>
        <v>3.6414565826330532</v>
      </c>
      <c r="G495" s="66">
        <f t="shared" si="483"/>
        <v>3.6414565826330532</v>
      </c>
      <c r="H495" s="66">
        <f t="shared" si="483"/>
        <v>3.6414565826330532</v>
      </c>
      <c r="I495" s="66">
        <f t="shared" si="483"/>
        <v>3.6414565826330532</v>
      </c>
      <c r="J495" s="66">
        <f t="shared" si="483"/>
        <v>3.6414565826330532</v>
      </c>
      <c r="K495" s="66">
        <f t="shared" si="483"/>
        <v>3.6414565826330532</v>
      </c>
      <c r="L495" s="66">
        <f t="shared" si="483"/>
        <v>3.6414565826330532</v>
      </c>
      <c r="M495" s="66">
        <f t="shared" si="483"/>
        <v>3.6414565826330532</v>
      </c>
      <c r="N495" s="66">
        <f t="shared" si="483"/>
        <v>3.6414565826330532</v>
      </c>
      <c r="O495" s="66">
        <f t="shared" si="483"/>
        <v>3.6414565826330532</v>
      </c>
      <c r="P495" s="66">
        <f t="shared" si="483"/>
        <v>3.6414565826330532</v>
      </c>
      <c r="Q495" s="66">
        <f t="shared" si="483"/>
        <v>3.6414565826330532</v>
      </c>
      <c r="R495" s="66">
        <f t="shared" si="483"/>
        <v>3.6414565826330532</v>
      </c>
      <c r="S495" s="66">
        <f t="shared" si="483"/>
        <v>3.6414565826330532</v>
      </c>
      <c r="T495" s="66">
        <f t="shared" si="483"/>
        <v>3.6414565826330532</v>
      </c>
      <c r="U495" s="66">
        <f t="shared" si="483"/>
        <v>3.6414565826330532</v>
      </c>
      <c r="V495" s="66">
        <f t="shared" si="483"/>
        <v>3.6414565826330532</v>
      </c>
      <c r="W495" s="66">
        <f t="shared" si="483"/>
        <v>3.6414565826330532</v>
      </c>
      <c r="X495" s="66">
        <f t="shared" si="483"/>
        <v>3.6414565826330532</v>
      </c>
      <c r="Y495" s="66">
        <f t="shared" si="483"/>
        <v>3.6414565826330532</v>
      </c>
      <c r="Z495" s="66">
        <f t="shared" si="483"/>
        <v>3.6414565826330532</v>
      </c>
      <c r="AA495" s="66">
        <f t="shared" si="483"/>
        <v>3.6414565826330532</v>
      </c>
      <c r="AB495" s="66">
        <f t="shared" si="483"/>
        <v>3.6414565826330532</v>
      </c>
      <c r="AC495" s="66">
        <f t="shared" si="483"/>
        <v>3.6414565826330532</v>
      </c>
    </row>
    <row r="496" spans="1:29" x14ac:dyDescent="0.25">
      <c r="A496" s="30" t="str">
        <f t="shared" si="477"/>
        <v>Opex var (mode-fees, shunting)</v>
      </c>
      <c r="B496" s="66">
        <f>B466*B475/B475</f>
        <v>3.9215686274509802</v>
      </c>
      <c r="C496" s="66">
        <f t="shared" ref="C496:AC496" si="484">C466*C475/C475</f>
        <v>3.9215686274509802</v>
      </c>
      <c r="D496" s="66">
        <f t="shared" si="484"/>
        <v>3.9215686274509802</v>
      </c>
      <c r="E496" s="66">
        <f t="shared" si="484"/>
        <v>3.9215686274509802</v>
      </c>
      <c r="F496" s="66">
        <f t="shared" si="484"/>
        <v>3.9215686274509802</v>
      </c>
      <c r="G496" s="66">
        <f t="shared" si="484"/>
        <v>3.9215686274509802</v>
      </c>
      <c r="H496" s="66">
        <f t="shared" si="484"/>
        <v>3.9215686274509802</v>
      </c>
      <c r="I496" s="66">
        <f t="shared" si="484"/>
        <v>3.9215686274509802</v>
      </c>
      <c r="J496" s="66">
        <f t="shared" si="484"/>
        <v>3.9215686274509802</v>
      </c>
      <c r="K496" s="66">
        <f t="shared" si="484"/>
        <v>3.9215686274509802</v>
      </c>
      <c r="L496" s="66">
        <f t="shared" si="484"/>
        <v>3.9215686274509802</v>
      </c>
      <c r="M496" s="66">
        <f t="shared" si="484"/>
        <v>3.9215686274509802</v>
      </c>
      <c r="N496" s="66">
        <f t="shared" si="484"/>
        <v>3.9215686274509802</v>
      </c>
      <c r="O496" s="66">
        <f t="shared" si="484"/>
        <v>3.9215686274509802</v>
      </c>
      <c r="P496" s="66">
        <f t="shared" si="484"/>
        <v>3.9215686274509802</v>
      </c>
      <c r="Q496" s="66">
        <f t="shared" si="484"/>
        <v>3.9215686274509802</v>
      </c>
      <c r="R496" s="66">
        <f t="shared" si="484"/>
        <v>3.9215686274509802</v>
      </c>
      <c r="S496" s="66">
        <f t="shared" si="484"/>
        <v>3.9215686274509802</v>
      </c>
      <c r="T496" s="66">
        <f t="shared" si="484"/>
        <v>3.9215686274509802</v>
      </c>
      <c r="U496" s="66">
        <f t="shared" si="484"/>
        <v>3.9215686274509802</v>
      </c>
      <c r="V496" s="66">
        <f t="shared" si="484"/>
        <v>3.9215686274509802</v>
      </c>
      <c r="W496" s="66">
        <f t="shared" si="484"/>
        <v>3.9215686274509802</v>
      </c>
      <c r="X496" s="66">
        <f t="shared" si="484"/>
        <v>3.9215686274509802</v>
      </c>
      <c r="Y496" s="66">
        <f t="shared" si="484"/>
        <v>3.9215686274509802</v>
      </c>
      <c r="Z496" s="66">
        <f t="shared" si="484"/>
        <v>3.9215686274509802</v>
      </c>
      <c r="AA496" s="66">
        <f t="shared" si="484"/>
        <v>3.9215686274509802</v>
      </c>
      <c r="AB496" s="66">
        <f t="shared" si="484"/>
        <v>3.9215686274509802</v>
      </c>
      <c r="AC496" s="66">
        <f t="shared" si="484"/>
        <v>3.9215686274509802</v>
      </c>
    </row>
    <row r="497" spans="1:29" x14ac:dyDescent="0.25">
      <c r="A497" s="30" t="str">
        <f t="shared" si="477"/>
        <v>Fuel Cost</v>
      </c>
      <c r="B497" s="66">
        <f>B467*B468*B475/B475</f>
        <v>4.2079079823045697</v>
      </c>
      <c r="C497" s="66">
        <f t="shared" ref="C497:AC497" si="485">C467*C468*C475/C475</f>
        <v>4.1996650087895331</v>
      </c>
      <c r="D497" s="66">
        <f t="shared" si="485"/>
        <v>4.1879611680431728</v>
      </c>
      <c r="E497" s="66">
        <f t="shared" si="485"/>
        <v>4.171418913815482</v>
      </c>
      <c r="F497" s="66">
        <f t="shared" si="485"/>
        <v>4.1481938873267925</v>
      </c>
      <c r="G497" s="66">
        <f t="shared" si="485"/>
        <v>4.1159026695618257</v>
      </c>
      <c r="H497" s="66">
        <f t="shared" si="485"/>
        <v>4.0716326180229148</v>
      </c>
      <c r="I497" s="66">
        <f t="shared" si="485"/>
        <v>4.0121384125415567</v>
      </c>
      <c r="J497" s="66">
        <f t="shared" si="485"/>
        <v>3.9343679925421928</v>
      </c>
      <c r="K497" s="66">
        <f t="shared" si="485"/>
        <v>3.8364292934600912</v>
      </c>
      <c r="L497" s="66">
        <f t="shared" si="485"/>
        <v>3.7189056658923683</v>
      </c>
      <c r="M497" s="66">
        <f t="shared" si="485"/>
        <v>3.5860130441146607</v>
      </c>
      <c r="N497" s="66">
        <f t="shared" si="485"/>
        <v>3.4457188485486436</v>
      </c>
      <c r="O497" s="66">
        <f t="shared" si="485"/>
        <v>3.3081853803384322</v>
      </c>
      <c r="P497" s="66">
        <f t="shared" si="485"/>
        <v>3.1829858332990417</v>
      </c>
      <c r="Q497" s="66">
        <f t="shared" si="485"/>
        <v>3.0765840470739101</v>
      </c>
      <c r="R497" s="66">
        <f t="shared" si="485"/>
        <v>2.9913752717878577</v>
      </c>
      <c r="S497" s="66">
        <f t="shared" si="485"/>
        <v>2.9263571944092766</v>
      </c>
      <c r="T497" s="66">
        <f t="shared" si="485"/>
        <v>2.8785636930786751</v>
      </c>
      <c r="U497" s="66">
        <f t="shared" si="485"/>
        <v>2.844392031039837</v>
      </c>
      <c r="V497" s="66">
        <f t="shared" si="485"/>
        <v>2.8204427424097194</v>
      </c>
      <c r="W497" s="66">
        <f t="shared" si="485"/>
        <v>2.8038923119279864</v>
      </c>
      <c r="X497" s="66">
        <f t="shared" si="485"/>
        <v>2.7925660276097513</v>
      </c>
      <c r="Y497" s="66">
        <f t="shared" si="485"/>
        <v>2.784866621574936</v>
      </c>
      <c r="Z497" s="66">
        <f t="shared" si="485"/>
        <v>2.7796565191855849</v>
      </c>
      <c r="AA497" s="66">
        <f t="shared" si="485"/>
        <v>2.7761417786742757</v>
      </c>
      <c r="AB497" s="66">
        <f t="shared" si="485"/>
        <v>2.7737756728218113</v>
      </c>
      <c r="AC497" s="66">
        <f t="shared" si="485"/>
        <v>2.77218505906768</v>
      </c>
    </row>
    <row r="498" spans="1:29" ht="15.75" thickBot="1" x14ac:dyDescent="0.3">
      <c r="A498" s="59" t="str">
        <f t="shared" ref="A498" si="486">A486</f>
        <v>Emission Cost</v>
      </c>
      <c r="B498" s="66">
        <f>B469</f>
        <v>7.3051284422328416E-2</v>
      </c>
      <c r="C498" s="66">
        <f t="shared" ref="C498:AC498" si="487">C469</f>
        <v>7.2981721800489563E-2</v>
      </c>
      <c r="D498" s="66">
        <f t="shared" si="487"/>
        <v>7.2882144456709708E-2</v>
      </c>
      <c r="E498" s="66">
        <f t="shared" si="487"/>
        <v>7.2739692063840775E-2</v>
      </c>
      <c r="F498" s="66">
        <f t="shared" si="487"/>
        <v>7.2536096160749949E-2</v>
      </c>
      <c r="G498" s="66">
        <f t="shared" si="487"/>
        <v>7.2245520808140104E-2</v>
      </c>
      <c r="H498" s="66">
        <f t="shared" si="487"/>
        <v>7.183167022008663E-2</v>
      </c>
      <c r="I498" s="66">
        <f t="shared" si="487"/>
        <v>7.1244061711272524E-2</v>
      </c>
      <c r="J498" s="66">
        <f t="shared" si="487"/>
        <v>7.0413533549636295E-2</v>
      </c>
      <c r="K498" s="66">
        <f t="shared" si="487"/>
        <v>6.9247486994668248E-2</v>
      </c>
      <c r="L498" s="66">
        <f t="shared" si="487"/>
        <v>6.7626258995255692E-2</v>
      </c>
      <c r="M498" s="66">
        <f t="shared" si="487"/>
        <v>6.5403616058321165E-2</v>
      </c>
      <c r="N498" s="66">
        <f t="shared" si="487"/>
        <v>6.2416622119869432E-2</v>
      </c>
      <c r="O498" s="66">
        <f t="shared" si="487"/>
        <v>5.8512043997522092E-2</v>
      </c>
      <c r="P498" s="66">
        <f t="shared" si="487"/>
        <v>5.3594887811786507E-2</v>
      </c>
      <c r="Q498" s="66">
        <f t="shared" si="487"/>
        <v>4.7694441535894194E-2</v>
      </c>
      <c r="R498" s="66">
        <f t="shared" si="487"/>
        <v>4.1022372340191592E-2</v>
      </c>
      <c r="S498" s="66">
        <f t="shared" si="487"/>
        <v>3.3978696265099438E-2</v>
      </c>
      <c r="T498" s="66">
        <f t="shared" si="487"/>
        <v>2.7073626560338522E-2</v>
      </c>
      <c r="U498" s="66">
        <f t="shared" si="487"/>
        <v>2.0787799477216214E-2</v>
      </c>
      <c r="V498" s="66">
        <f t="shared" si="487"/>
        <v>1.5445741575552285E-2</v>
      </c>
      <c r="W498" s="66">
        <f t="shared" si="487"/>
        <v>1.1167709904685047E-2</v>
      </c>
      <c r="X498" s="66">
        <f t="shared" si="487"/>
        <v>7.903381867218201E-3</v>
      </c>
      <c r="Y498" s="66">
        <f t="shared" si="487"/>
        <v>5.5038389601930332E-3</v>
      </c>
      <c r="Z498" s="66">
        <f t="shared" si="487"/>
        <v>3.7882004950518661E-3</v>
      </c>
      <c r="AA498" s="66">
        <f t="shared" si="487"/>
        <v>2.5857912958768409E-3</v>
      </c>
      <c r="AB498" s="66">
        <f t="shared" si="487"/>
        <v>1.7548526334016656E-3</v>
      </c>
      <c r="AC498" s="66">
        <f t="shared" si="487"/>
        <v>1.1861998994081024E-3</v>
      </c>
    </row>
    <row r="499" spans="1:29" ht="15.75" thickBot="1" x14ac:dyDescent="0.3">
      <c r="A499" s="31" t="s">
        <v>63</v>
      </c>
      <c r="B499" s="76">
        <f>B490+B491+B492-B493+B494+B495+B496+B497+B498</f>
        <v>19.056976728225731</v>
      </c>
      <c r="C499" s="76">
        <f t="shared" ref="C499:AC499" si="488">C490+C491+C492-C493+C494+C495+C496+C497+C498</f>
        <v>19.048664192088857</v>
      </c>
      <c r="D499" s="76">
        <f t="shared" si="488"/>
        <v>19.036860773998718</v>
      </c>
      <c r="E499" s="76">
        <f t="shared" si="488"/>
        <v>19.020176067378159</v>
      </c>
      <c r="F499" s="76">
        <f t="shared" si="488"/>
        <v>18.996747444986379</v>
      </c>
      <c r="G499" s="76">
        <f t="shared" si="488"/>
        <v>18.9641656518688</v>
      </c>
      <c r="H499" s="76">
        <f t="shared" si="488"/>
        <v>18.919481749741834</v>
      </c>
      <c r="I499" s="76">
        <f t="shared" si="488"/>
        <v>18.859399935751664</v>
      </c>
      <c r="J499" s="76">
        <f t="shared" si="488"/>
        <v>18.780798987590664</v>
      </c>
      <c r="K499" s="76">
        <f t="shared" si="488"/>
        <v>18.681694241953597</v>
      </c>
      <c r="L499" s="76">
        <f t="shared" si="488"/>
        <v>18.562549386386458</v>
      </c>
      <c r="M499" s="76">
        <f t="shared" si="488"/>
        <v>18.427434121671819</v>
      </c>
      <c r="N499" s="76">
        <f t="shared" si="488"/>
        <v>18.284152932167348</v>
      </c>
      <c r="O499" s="76">
        <f t="shared" si="488"/>
        <v>18.142714885834788</v>
      </c>
      <c r="P499" s="76">
        <f t="shared" si="488"/>
        <v>18.012598182609665</v>
      </c>
      <c r="Q499" s="76">
        <f t="shared" si="488"/>
        <v>17.900295950108642</v>
      </c>
      <c r="R499" s="76">
        <f t="shared" si="488"/>
        <v>17.808415105626882</v>
      </c>
      <c r="S499" s="76">
        <f t="shared" si="488"/>
        <v>17.736353352173211</v>
      </c>
      <c r="T499" s="76">
        <f t="shared" si="488"/>
        <v>17.681654781137848</v>
      </c>
      <c r="U499" s="76">
        <f t="shared" si="488"/>
        <v>17.641197292015889</v>
      </c>
      <c r="V499" s="76">
        <f t="shared" si="488"/>
        <v>17.611905945484107</v>
      </c>
      <c r="W499" s="76">
        <f t="shared" si="488"/>
        <v>17.591077483331507</v>
      </c>
      <c r="X499" s="76">
        <f t="shared" si="488"/>
        <v>17.576486870975806</v>
      </c>
      <c r="Y499" s="76">
        <f t="shared" si="488"/>
        <v>17.566387922033964</v>
      </c>
      <c r="Z499" s="76">
        <f t="shared" si="488"/>
        <v>17.559462181179473</v>
      </c>
      <c r="AA499" s="76">
        <f t="shared" si="488"/>
        <v>17.55474503146899</v>
      </c>
      <c r="AB499" s="76">
        <f t="shared" si="488"/>
        <v>17.551547986954045</v>
      </c>
      <c r="AC499" s="76">
        <f t="shared" si="488"/>
        <v>17.549388720465924</v>
      </c>
    </row>
    <row r="500" spans="1:29" ht="15.75" thickBot="1" x14ac:dyDescent="0.3"/>
    <row r="501" spans="1:29" ht="15.75" thickBot="1" x14ac:dyDescent="0.3">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489">A478</f>
        <v>Capex vehicle</v>
      </c>
      <c r="B502" s="65">
        <f>((1+B463)^B470)*B463/(((1+B463)^B470)-1)*(B459)/B475/(B472)</f>
        <v>8.7219444754753307E-4</v>
      </c>
      <c r="C502" s="65">
        <f t="shared" ref="C502:AC502" si="490">((1+C463)^C470)*C463/(((1+C463)^C470)-1)*(C459)/C475/(C472)</f>
        <v>8.7219444754753307E-4</v>
      </c>
      <c r="D502" s="65">
        <f t="shared" si="490"/>
        <v>8.7219444754753307E-4</v>
      </c>
      <c r="E502" s="65">
        <f t="shared" si="490"/>
        <v>8.7219444754753307E-4</v>
      </c>
      <c r="F502" s="65">
        <f t="shared" si="490"/>
        <v>8.7219444754753307E-4</v>
      </c>
      <c r="G502" s="65">
        <f t="shared" si="490"/>
        <v>8.7219444754753307E-4</v>
      </c>
      <c r="H502" s="65">
        <f t="shared" si="490"/>
        <v>8.7219444754753307E-4</v>
      </c>
      <c r="I502" s="65">
        <f t="shared" si="490"/>
        <v>8.7219444754753307E-4</v>
      </c>
      <c r="J502" s="65">
        <f t="shared" si="490"/>
        <v>8.7219444754753307E-4</v>
      </c>
      <c r="K502" s="65">
        <f t="shared" si="490"/>
        <v>8.7219444754753307E-4</v>
      </c>
      <c r="L502" s="65">
        <f t="shared" si="490"/>
        <v>8.7219444754753307E-4</v>
      </c>
      <c r="M502" s="65">
        <f t="shared" si="490"/>
        <v>8.7219444754753307E-4</v>
      </c>
      <c r="N502" s="65">
        <f t="shared" si="490"/>
        <v>8.7219444754753307E-4</v>
      </c>
      <c r="O502" s="65">
        <f t="shared" si="490"/>
        <v>8.7219444754753307E-4</v>
      </c>
      <c r="P502" s="65">
        <f t="shared" si="490"/>
        <v>8.7219444754753307E-4</v>
      </c>
      <c r="Q502" s="65">
        <f t="shared" si="490"/>
        <v>8.7219444754753307E-4</v>
      </c>
      <c r="R502" s="65">
        <f t="shared" si="490"/>
        <v>8.7219444754753307E-4</v>
      </c>
      <c r="S502" s="65">
        <f t="shared" si="490"/>
        <v>8.7219444754753307E-4</v>
      </c>
      <c r="T502" s="65">
        <f t="shared" si="490"/>
        <v>8.7219444754753307E-4</v>
      </c>
      <c r="U502" s="65">
        <f t="shared" si="490"/>
        <v>8.7219444754753307E-4</v>
      </c>
      <c r="V502" s="65">
        <f t="shared" si="490"/>
        <v>8.7219444754753307E-4</v>
      </c>
      <c r="W502" s="65">
        <f t="shared" si="490"/>
        <v>8.7219444754753307E-4</v>
      </c>
      <c r="X502" s="65">
        <f t="shared" si="490"/>
        <v>8.7219444754753307E-4</v>
      </c>
      <c r="Y502" s="65">
        <f t="shared" si="490"/>
        <v>8.7219444754753307E-4</v>
      </c>
      <c r="Z502" s="65">
        <f t="shared" si="490"/>
        <v>8.7219444754753307E-4</v>
      </c>
      <c r="AA502" s="65">
        <f t="shared" si="490"/>
        <v>8.7219444754753307E-4</v>
      </c>
      <c r="AB502" s="65">
        <f t="shared" si="490"/>
        <v>8.7219444754753307E-4</v>
      </c>
      <c r="AC502" s="65">
        <f t="shared" si="490"/>
        <v>8.7219444754753307E-4</v>
      </c>
    </row>
    <row r="503" spans="1:29" x14ac:dyDescent="0.25">
      <c r="A503" s="30" t="str">
        <f t="shared" si="489"/>
        <v>Residual value (vehicle)</v>
      </c>
      <c r="B503" s="68">
        <f>((1+B463)^B470)*B463/(((1+B463)^B470)-1)*(B460)/B475/(B472)</f>
        <v>-1.3082916713212997E-4</v>
      </c>
      <c r="C503" s="68">
        <f t="shared" ref="C503:AC503" si="491">((1+C463)^C470)*C463/(((1+C463)^C470)-1)*(C460)/C475/(C472)</f>
        <v>-1.3082916713212997E-4</v>
      </c>
      <c r="D503" s="68">
        <f t="shared" si="491"/>
        <v>-1.3082916713212997E-4</v>
      </c>
      <c r="E503" s="68">
        <f t="shared" si="491"/>
        <v>-1.3082916713212997E-4</v>
      </c>
      <c r="F503" s="68">
        <f t="shared" si="491"/>
        <v>-1.3082916713212997E-4</v>
      </c>
      <c r="G503" s="68">
        <f t="shared" si="491"/>
        <v>-1.3082916713212997E-4</v>
      </c>
      <c r="H503" s="68">
        <f t="shared" si="491"/>
        <v>-1.3082916713212997E-4</v>
      </c>
      <c r="I503" s="68">
        <f t="shared" si="491"/>
        <v>-1.3082916713212997E-4</v>
      </c>
      <c r="J503" s="68">
        <f t="shared" si="491"/>
        <v>-1.3082916713212997E-4</v>
      </c>
      <c r="K503" s="68">
        <f t="shared" si="491"/>
        <v>-1.3082916713212997E-4</v>
      </c>
      <c r="L503" s="68">
        <f t="shared" si="491"/>
        <v>-1.3082916713212997E-4</v>
      </c>
      <c r="M503" s="68">
        <f t="shared" si="491"/>
        <v>-1.3082916713212997E-4</v>
      </c>
      <c r="N503" s="68">
        <f t="shared" si="491"/>
        <v>-1.3082916713212997E-4</v>
      </c>
      <c r="O503" s="68">
        <f t="shared" si="491"/>
        <v>-1.3082916713212997E-4</v>
      </c>
      <c r="P503" s="68">
        <f t="shared" si="491"/>
        <v>-1.3082916713212997E-4</v>
      </c>
      <c r="Q503" s="68">
        <f t="shared" si="491"/>
        <v>-1.3082916713212997E-4</v>
      </c>
      <c r="R503" s="68">
        <f t="shared" si="491"/>
        <v>-1.3082916713212997E-4</v>
      </c>
      <c r="S503" s="68">
        <f t="shared" si="491"/>
        <v>-1.3082916713212997E-4</v>
      </c>
      <c r="T503" s="68">
        <f t="shared" si="491"/>
        <v>-1.3082916713212997E-4</v>
      </c>
      <c r="U503" s="68">
        <f t="shared" si="491"/>
        <v>-1.3082916713212997E-4</v>
      </c>
      <c r="V503" s="68">
        <f t="shared" si="491"/>
        <v>-1.3082916713212997E-4</v>
      </c>
      <c r="W503" s="68">
        <f t="shared" si="491"/>
        <v>-1.3082916713212997E-4</v>
      </c>
      <c r="X503" s="68">
        <f t="shared" si="491"/>
        <v>-1.3082916713212997E-4</v>
      </c>
      <c r="Y503" s="68">
        <f t="shared" si="491"/>
        <v>-1.3082916713212997E-4</v>
      </c>
      <c r="Z503" s="68">
        <f t="shared" si="491"/>
        <v>-1.3082916713212997E-4</v>
      </c>
      <c r="AA503" s="68">
        <f t="shared" si="491"/>
        <v>-1.3082916713212997E-4</v>
      </c>
      <c r="AB503" s="68">
        <f t="shared" si="491"/>
        <v>-1.3082916713212997E-4</v>
      </c>
      <c r="AC503" s="68">
        <f t="shared" si="491"/>
        <v>-1.3082916713212997E-4</v>
      </c>
    </row>
    <row r="504" spans="1:29" x14ac:dyDescent="0.25">
      <c r="A504" s="30" t="str">
        <f t="shared" si="489"/>
        <v>Capex costumization</v>
      </c>
      <c r="B504" s="66">
        <f>((1+B463)^B471)*B463/(((1+B463)^B471)-1)*(B461)/B475/(B472)</f>
        <v>5.0874587878184309E-4</v>
      </c>
      <c r="C504" s="66">
        <f t="shared" ref="C504:AC504" si="492">((1+C463)^C471)*C463/(((1+C463)^C471)-1)*(C461)/C475/(C472)</f>
        <v>5.0874587878184309E-4</v>
      </c>
      <c r="D504" s="66">
        <f t="shared" si="492"/>
        <v>5.0874587878184309E-4</v>
      </c>
      <c r="E504" s="66">
        <f t="shared" si="492"/>
        <v>5.0874587878184309E-4</v>
      </c>
      <c r="F504" s="66">
        <f t="shared" si="492"/>
        <v>5.0874587878184309E-4</v>
      </c>
      <c r="G504" s="66">
        <f t="shared" si="492"/>
        <v>5.0874587878184309E-4</v>
      </c>
      <c r="H504" s="66">
        <f t="shared" si="492"/>
        <v>5.0874587878184309E-4</v>
      </c>
      <c r="I504" s="66">
        <f t="shared" si="492"/>
        <v>5.0874587878184309E-4</v>
      </c>
      <c r="J504" s="66">
        <f t="shared" si="492"/>
        <v>5.0874587878184309E-4</v>
      </c>
      <c r="K504" s="66">
        <f t="shared" si="492"/>
        <v>5.0874587878184309E-4</v>
      </c>
      <c r="L504" s="66">
        <f t="shared" si="492"/>
        <v>5.0874587878184309E-4</v>
      </c>
      <c r="M504" s="66">
        <f t="shared" si="492"/>
        <v>5.0874587878184309E-4</v>
      </c>
      <c r="N504" s="66">
        <f t="shared" si="492"/>
        <v>5.0874587878184309E-4</v>
      </c>
      <c r="O504" s="66">
        <f t="shared" si="492"/>
        <v>5.0874587878184309E-4</v>
      </c>
      <c r="P504" s="66">
        <f t="shared" si="492"/>
        <v>5.0874587878184309E-4</v>
      </c>
      <c r="Q504" s="66">
        <f t="shared" si="492"/>
        <v>5.0874587878184309E-4</v>
      </c>
      <c r="R504" s="66">
        <f t="shared" si="492"/>
        <v>5.0874587878184309E-4</v>
      </c>
      <c r="S504" s="66">
        <f t="shared" si="492"/>
        <v>5.0874587878184309E-4</v>
      </c>
      <c r="T504" s="66">
        <f t="shared" si="492"/>
        <v>5.0874587878184309E-4</v>
      </c>
      <c r="U504" s="66">
        <f t="shared" si="492"/>
        <v>5.0874587878184309E-4</v>
      </c>
      <c r="V504" s="66">
        <f t="shared" si="492"/>
        <v>5.0874587878184309E-4</v>
      </c>
      <c r="W504" s="66">
        <f t="shared" si="492"/>
        <v>5.0874587878184309E-4</v>
      </c>
      <c r="X504" s="66">
        <f t="shared" si="492"/>
        <v>5.0874587878184309E-4</v>
      </c>
      <c r="Y504" s="66">
        <f t="shared" si="492"/>
        <v>5.0874587878184309E-4</v>
      </c>
      <c r="Z504" s="66">
        <f t="shared" si="492"/>
        <v>5.0874587878184309E-4</v>
      </c>
      <c r="AA504" s="66">
        <f t="shared" si="492"/>
        <v>5.0874587878184309E-4</v>
      </c>
      <c r="AB504" s="66">
        <f t="shared" si="492"/>
        <v>5.0874587878184309E-4</v>
      </c>
      <c r="AC504" s="66">
        <f t="shared" si="492"/>
        <v>5.0874587878184309E-4</v>
      </c>
    </row>
    <row r="505" spans="1:29" x14ac:dyDescent="0.25">
      <c r="A505" s="30" t="str">
        <f t="shared" si="489"/>
        <v>Residual value (costumization)</v>
      </c>
      <c r="B505" s="69">
        <f>((1+B463)^B471)*B463/(((1+B463)^B471)-1)*(B462)/B475/(B472)</f>
        <v>-2.5437293939092159E-5</v>
      </c>
      <c r="C505" s="69">
        <f t="shared" ref="C505:AC505" si="493">((1+C463)^C471)*C463/(((1+C463)^C471)-1)*(C462)/C475/(C472)</f>
        <v>-2.5437293939092159E-5</v>
      </c>
      <c r="D505" s="69">
        <f t="shared" si="493"/>
        <v>-2.5437293939092159E-5</v>
      </c>
      <c r="E505" s="69">
        <f t="shared" si="493"/>
        <v>-2.5437293939092159E-5</v>
      </c>
      <c r="F505" s="69">
        <f t="shared" si="493"/>
        <v>-2.5437293939092159E-5</v>
      </c>
      <c r="G505" s="69">
        <f t="shared" si="493"/>
        <v>-2.5437293939092159E-5</v>
      </c>
      <c r="H505" s="69">
        <f t="shared" si="493"/>
        <v>-2.5437293939092159E-5</v>
      </c>
      <c r="I505" s="69">
        <f t="shared" si="493"/>
        <v>-2.5437293939092159E-5</v>
      </c>
      <c r="J505" s="69">
        <f t="shared" si="493"/>
        <v>-2.5437293939092159E-5</v>
      </c>
      <c r="K505" s="69">
        <f t="shared" si="493"/>
        <v>-2.5437293939092159E-5</v>
      </c>
      <c r="L505" s="69">
        <f t="shared" si="493"/>
        <v>-2.5437293939092159E-5</v>
      </c>
      <c r="M505" s="69">
        <f t="shared" si="493"/>
        <v>-2.5437293939092159E-5</v>
      </c>
      <c r="N505" s="69">
        <f t="shared" si="493"/>
        <v>-2.5437293939092159E-5</v>
      </c>
      <c r="O505" s="69">
        <f t="shared" si="493"/>
        <v>-2.5437293939092159E-5</v>
      </c>
      <c r="P505" s="69">
        <f t="shared" si="493"/>
        <v>-2.5437293939092159E-5</v>
      </c>
      <c r="Q505" s="69">
        <f t="shared" si="493"/>
        <v>-2.5437293939092159E-5</v>
      </c>
      <c r="R505" s="69">
        <f t="shared" si="493"/>
        <v>-2.5437293939092159E-5</v>
      </c>
      <c r="S505" s="69">
        <f t="shared" si="493"/>
        <v>-2.5437293939092159E-5</v>
      </c>
      <c r="T505" s="69">
        <f t="shared" si="493"/>
        <v>-2.5437293939092159E-5</v>
      </c>
      <c r="U505" s="69">
        <f t="shared" si="493"/>
        <v>-2.5437293939092159E-5</v>
      </c>
      <c r="V505" s="69">
        <f t="shared" si="493"/>
        <v>-2.5437293939092159E-5</v>
      </c>
      <c r="W505" s="69">
        <f t="shared" si="493"/>
        <v>-2.5437293939092159E-5</v>
      </c>
      <c r="X505" s="69">
        <f t="shared" si="493"/>
        <v>-2.5437293939092159E-5</v>
      </c>
      <c r="Y505" s="69">
        <f t="shared" si="493"/>
        <v>-2.5437293939092159E-5</v>
      </c>
      <c r="Z505" s="69">
        <f t="shared" si="493"/>
        <v>-2.5437293939092159E-5</v>
      </c>
      <c r="AA505" s="69">
        <f t="shared" si="493"/>
        <v>-2.5437293939092159E-5</v>
      </c>
      <c r="AB505" s="69">
        <f t="shared" si="493"/>
        <v>-2.5437293939092159E-5</v>
      </c>
      <c r="AC505" s="69">
        <f t="shared" si="493"/>
        <v>-2.5437293939092159E-5</v>
      </c>
    </row>
    <row r="506" spans="1:29" x14ac:dyDescent="0.25">
      <c r="A506" s="30" t="str">
        <f t="shared" si="489"/>
        <v>Opex fix (admin, crew, insurance)</v>
      </c>
      <c r="B506" s="66">
        <f>B464/B475/(B472)</f>
        <v>1.3005202080832333E-3</v>
      </c>
      <c r="C506" s="66">
        <f t="shared" ref="C506:AC506" si="494">C464/C475/(C472)</f>
        <v>1.3005202080832333E-3</v>
      </c>
      <c r="D506" s="66">
        <f t="shared" si="494"/>
        <v>1.3005202080832333E-3</v>
      </c>
      <c r="E506" s="66">
        <f t="shared" si="494"/>
        <v>1.3005202080832333E-3</v>
      </c>
      <c r="F506" s="66">
        <f t="shared" si="494"/>
        <v>1.3005202080832333E-3</v>
      </c>
      <c r="G506" s="66">
        <f t="shared" si="494"/>
        <v>1.3005202080832333E-3</v>
      </c>
      <c r="H506" s="66">
        <f t="shared" si="494"/>
        <v>1.3005202080832333E-3</v>
      </c>
      <c r="I506" s="66">
        <f t="shared" si="494"/>
        <v>1.3005202080832333E-3</v>
      </c>
      <c r="J506" s="66">
        <f t="shared" si="494"/>
        <v>1.3005202080832333E-3</v>
      </c>
      <c r="K506" s="66">
        <f t="shared" si="494"/>
        <v>1.3005202080832333E-3</v>
      </c>
      <c r="L506" s="66">
        <f t="shared" si="494"/>
        <v>1.3005202080832333E-3</v>
      </c>
      <c r="M506" s="66">
        <f t="shared" si="494"/>
        <v>1.3005202080832333E-3</v>
      </c>
      <c r="N506" s="66">
        <f t="shared" si="494"/>
        <v>1.3005202080832333E-3</v>
      </c>
      <c r="O506" s="66">
        <f t="shared" si="494"/>
        <v>1.3005202080832333E-3</v>
      </c>
      <c r="P506" s="66">
        <f t="shared" si="494"/>
        <v>1.3005202080832333E-3</v>
      </c>
      <c r="Q506" s="66">
        <f t="shared" si="494"/>
        <v>1.3005202080832333E-3</v>
      </c>
      <c r="R506" s="66">
        <f t="shared" si="494"/>
        <v>1.3005202080832333E-3</v>
      </c>
      <c r="S506" s="66">
        <f t="shared" si="494"/>
        <v>1.3005202080832333E-3</v>
      </c>
      <c r="T506" s="66">
        <f t="shared" si="494"/>
        <v>1.3005202080832333E-3</v>
      </c>
      <c r="U506" s="66">
        <f t="shared" si="494"/>
        <v>1.3005202080832333E-3</v>
      </c>
      <c r="V506" s="66">
        <f t="shared" si="494"/>
        <v>1.3005202080832333E-3</v>
      </c>
      <c r="W506" s="66">
        <f t="shared" si="494"/>
        <v>1.3005202080832333E-3</v>
      </c>
      <c r="X506" s="66">
        <f t="shared" si="494"/>
        <v>1.3005202080832333E-3</v>
      </c>
      <c r="Y506" s="66">
        <f t="shared" si="494"/>
        <v>1.3005202080832333E-3</v>
      </c>
      <c r="Z506" s="66">
        <f t="shared" si="494"/>
        <v>1.3005202080832333E-3</v>
      </c>
      <c r="AA506" s="66">
        <f t="shared" si="494"/>
        <v>1.3005202080832333E-3</v>
      </c>
      <c r="AB506" s="66">
        <f t="shared" si="494"/>
        <v>1.3005202080832333E-3</v>
      </c>
      <c r="AC506" s="66">
        <f t="shared" si="494"/>
        <v>1.3005202080832333E-3</v>
      </c>
    </row>
    <row r="507" spans="1:29" x14ac:dyDescent="0.25">
      <c r="A507" s="30" t="str">
        <f t="shared" si="489"/>
        <v>Opex maintenance &amp; repair</v>
      </c>
      <c r="B507" s="66">
        <f>B465/B475/(B472)</f>
        <v>1.3005202080832333E-3</v>
      </c>
      <c r="C507" s="66">
        <f t="shared" ref="C507:AC507" si="495">C465/C475/(C472)</f>
        <v>1.3005202080832333E-3</v>
      </c>
      <c r="D507" s="66">
        <f t="shared" si="495"/>
        <v>1.3005202080832333E-3</v>
      </c>
      <c r="E507" s="66">
        <f t="shared" si="495"/>
        <v>1.3005202080832333E-3</v>
      </c>
      <c r="F507" s="66">
        <f t="shared" si="495"/>
        <v>1.3005202080832333E-3</v>
      </c>
      <c r="G507" s="66">
        <f t="shared" si="495"/>
        <v>1.3005202080832333E-3</v>
      </c>
      <c r="H507" s="66">
        <f t="shared" si="495"/>
        <v>1.3005202080832333E-3</v>
      </c>
      <c r="I507" s="66">
        <f t="shared" si="495"/>
        <v>1.3005202080832333E-3</v>
      </c>
      <c r="J507" s="66">
        <f t="shared" si="495"/>
        <v>1.3005202080832333E-3</v>
      </c>
      <c r="K507" s="66">
        <f t="shared" si="495"/>
        <v>1.3005202080832333E-3</v>
      </c>
      <c r="L507" s="66">
        <f t="shared" si="495"/>
        <v>1.3005202080832333E-3</v>
      </c>
      <c r="M507" s="66">
        <f t="shared" si="495"/>
        <v>1.3005202080832333E-3</v>
      </c>
      <c r="N507" s="66">
        <f t="shared" si="495"/>
        <v>1.3005202080832333E-3</v>
      </c>
      <c r="O507" s="66">
        <f t="shared" si="495"/>
        <v>1.3005202080832333E-3</v>
      </c>
      <c r="P507" s="66">
        <f t="shared" si="495"/>
        <v>1.3005202080832333E-3</v>
      </c>
      <c r="Q507" s="66">
        <f t="shared" si="495"/>
        <v>1.3005202080832333E-3</v>
      </c>
      <c r="R507" s="66">
        <f t="shared" si="495"/>
        <v>1.3005202080832333E-3</v>
      </c>
      <c r="S507" s="66">
        <f t="shared" si="495"/>
        <v>1.3005202080832333E-3</v>
      </c>
      <c r="T507" s="66">
        <f t="shared" si="495"/>
        <v>1.3005202080832333E-3</v>
      </c>
      <c r="U507" s="66">
        <f t="shared" si="495"/>
        <v>1.3005202080832333E-3</v>
      </c>
      <c r="V507" s="66">
        <f t="shared" si="495"/>
        <v>1.3005202080832333E-3</v>
      </c>
      <c r="W507" s="66">
        <f t="shared" si="495"/>
        <v>1.3005202080832333E-3</v>
      </c>
      <c r="X507" s="66">
        <f t="shared" si="495"/>
        <v>1.3005202080832333E-3</v>
      </c>
      <c r="Y507" s="66">
        <f t="shared" si="495"/>
        <v>1.3005202080832333E-3</v>
      </c>
      <c r="Z507" s="66">
        <f t="shared" si="495"/>
        <v>1.3005202080832333E-3</v>
      </c>
      <c r="AA507" s="66">
        <f t="shared" si="495"/>
        <v>1.3005202080832333E-3</v>
      </c>
      <c r="AB507" s="66">
        <f t="shared" si="495"/>
        <v>1.3005202080832333E-3</v>
      </c>
      <c r="AC507" s="66">
        <f t="shared" si="495"/>
        <v>1.3005202080832333E-3</v>
      </c>
    </row>
    <row r="508" spans="1:29" x14ac:dyDescent="0.25">
      <c r="A508" s="30" t="str">
        <f t="shared" si="489"/>
        <v>Opex var (mode-fees, shunting)</v>
      </c>
      <c r="B508" s="66">
        <f>B466*B475/B475/(B472)</f>
        <v>1.4005602240896359E-3</v>
      </c>
      <c r="C508" s="66">
        <f t="shared" ref="C508:AC508" si="496">C466*C475/C475/(C472)</f>
        <v>1.4005602240896359E-3</v>
      </c>
      <c r="D508" s="66">
        <f t="shared" si="496"/>
        <v>1.4005602240896359E-3</v>
      </c>
      <c r="E508" s="66">
        <f t="shared" si="496"/>
        <v>1.4005602240896359E-3</v>
      </c>
      <c r="F508" s="66">
        <f t="shared" si="496"/>
        <v>1.4005602240896359E-3</v>
      </c>
      <c r="G508" s="66">
        <f t="shared" si="496"/>
        <v>1.4005602240896359E-3</v>
      </c>
      <c r="H508" s="66">
        <f t="shared" si="496"/>
        <v>1.4005602240896359E-3</v>
      </c>
      <c r="I508" s="66">
        <f t="shared" si="496"/>
        <v>1.4005602240896359E-3</v>
      </c>
      <c r="J508" s="66">
        <f t="shared" si="496"/>
        <v>1.4005602240896359E-3</v>
      </c>
      <c r="K508" s="66">
        <f t="shared" si="496"/>
        <v>1.4005602240896359E-3</v>
      </c>
      <c r="L508" s="66">
        <f t="shared" si="496"/>
        <v>1.4005602240896359E-3</v>
      </c>
      <c r="M508" s="66">
        <f t="shared" si="496"/>
        <v>1.4005602240896359E-3</v>
      </c>
      <c r="N508" s="66">
        <f t="shared" si="496"/>
        <v>1.4005602240896359E-3</v>
      </c>
      <c r="O508" s="66">
        <f t="shared" si="496"/>
        <v>1.4005602240896359E-3</v>
      </c>
      <c r="P508" s="66">
        <f t="shared" si="496"/>
        <v>1.4005602240896359E-3</v>
      </c>
      <c r="Q508" s="66">
        <f t="shared" si="496"/>
        <v>1.4005602240896359E-3</v>
      </c>
      <c r="R508" s="66">
        <f t="shared" si="496"/>
        <v>1.4005602240896359E-3</v>
      </c>
      <c r="S508" s="66">
        <f t="shared" si="496"/>
        <v>1.4005602240896359E-3</v>
      </c>
      <c r="T508" s="66">
        <f t="shared" si="496"/>
        <v>1.4005602240896359E-3</v>
      </c>
      <c r="U508" s="66">
        <f t="shared" si="496"/>
        <v>1.4005602240896359E-3</v>
      </c>
      <c r="V508" s="66">
        <f t="shared" si="496"/>
        <v>1.4005602240896359E-3</v>
      </c>
      <c r="W508" s="66">
        <f t="shared" si="496"/>
        <v>1.4005602240896359E-3</v>
      </c>
      <c r="X508" s="66">
        <f t="shared" si="496"/>
        <v>1.4005602240896359E-3</v>
      </c>
      <c r="Y508" s="66">
        <f t="shared" si="496"/>
        <v>1.4005602240896359E-3</v>
      </c>
      <c r="Z508" s="66">
        <f t="shared" si="496"/>
        <v>1.4005602240896359E-3</v>
      </c>
      <c r="AA508" s="66">
        <f t="shared" si="496"/>
        <v>1.4005602240896359E-3</v>
      </c>
      <c r="AB508" s="66">
        <f t="shared" si="496"/>
        <v>1.4005602240896359E-3</v>
      </c>
      <c r="AC508" s="66">
        <f t="shared" si="496"/>
        <v>1.4005602240896359E-3</v>
      </c>
    </row>
    <row r="509" spans="1:29" x14ac:dyDescent="0.25">
      <c r="A509" s="30" t="str">
        <f t="shared" si="489"/>
        <v>Fuel Cost</v>
      </c>
      <c r="B509" s="66">
        <f>B467*B468*B475/B475/(B472)</f>
        <v>1.5028242793944891E-3</v>
      </c>
      <c r="C509" s="66">
        <f t="shared" ref="C509:AC509" si="497">C467*C468*C475/C475/(C472)</f>
        <v>1.499880360281976E-3</v>
      </c>
      <c r="D509" s="66">
        <f t="shared" si="497"/>
        <v>1.495700417158276E-3</v>
      </c>
      <c r="E509" s="66">
        <f t="shared" si="497"/>
        <v>1.4897924692198151E-3</v>
      </c>
      <c r="F509" s="66">
        <f t="shared" si="497"/>
        <v>1.4814978169024259E-3</v>
      </c>
      <c r="G509" s="66">
        <f t="shared" si="497"/>
        <v>1.4699652391292235E-3</v>
      </c>
      <c r="H509" s="66">
        <f t="shared" si="497"/>
        <v>1.4541545064367552E-3</v>
      </c>
      <c r="I509" s="66">
        <f t="shared" si="497"/>
        <v>1.4329065759076988E-3</v>
      </c>
      <c r="J509" s="66">
        <f t="shared" si="497"/>
        <v>1.4051314259079261E-3</v>
      </c>
      <c r="K509" s="66">
        <f t="shared" si="497"/>
        <v>1.3701533190928897E-3</v>
      </c>
      <c r="L509" s="66">
        <f t="shared" si="497"/>
        <v>1.32818059496156E-3</v>
      </c>
      <c r="M509" s="66">
        <f t="shared" si="497"/>
        <v>1.2807189443266645E-3</v>
      </c>
      <c r="N509" s="66">
        <f t="shared" si="497"/>
        <v>1.2306138744816585E-3</v>
      </c>
      <c r="O509" s="66">
        <f t="shared" si="497"/>
        <v>1.1814947786922972E-3</v>
      </c>
      <c r="P509" s="66">
        <f t="shared" si="497"/>
        <v>1.1367806547496577E-3</v>
      </c>
      <c r="Q509" s="66">
        <f t="shared" si="497"/>
        <v>1.0987800168121107E-3</v>
      </c>
      <c r="R509" s="66">
        <f t="shared" si="497"/>
        <v>1.0683483113528064E-3</v>
      </c>
      <c r="S509" s="66">
        <f t="shared" si="497"/>
        <v>1.0451275694318845E-3</v>
      </c>
      <c r="T509" s="66">
        <f t="shared" si="497"/>
        <v>1.0280584618138125E-3</v>
      </c>
      <c r="U509" s="66">
        <f t="shared" si="497"/>
        <v>1.0158542967999417E-3</v>
      </c>
      <c r="V509" s="66">
        <f t="shared" si="497"/>
        <v>1.0073009794320427E-3</v>
      </c>
      <c r="W509" s="66">
        <f t="shared" si="497"/>
        <v>1.0013901114028522E-3</v>
      </c>
      <c r="X509" s="66">
        <f t="shared" si="497"/>
        <v>9.9734500986062551E-4</v>
      </c>
      <c r="Y509" s="66">
        <f t="shared" si="497"/>
        <v>9.9459522199104862E-4</v>
      </c>
      <c r="Z509" s="66">
        <f t="shared" si="497"/>
        <v>9.9273447113770882E-4</v>
      </c>
      <c r="AA509" s="66">
        <f t="shared" si="497"/>
        <v>9.9147920666938427E-4</v>
      </c>
      <c r="AB509" s="66">
        <f t="shared" si="497"/>
        <v>9.9063416886493267E-4</v>
      </c>
      <c r="AC509" s="66">
        <f t="shared" si="497"/>
        <v>9.9006609252417143E-4</v>
      </c>
    </row>
    <row r="510" spans="1:29" x14ac:dyDescent="0.25">
      <c r="A510" s="59" t="str">
        <f>A473</f>
        <v>Market failure (av. utilization)</v>
      </c>
      <c r="B510" s="66">
        <f t="shared" ref="B510:AC510" si="498">B499/B473-B499/B472</f>
        <v>1.3133574921517174E-2</v>
      </c>
      <c r="C510" s="66">
        <f t="shared" si="498"/>
        <v>1.3127846136846952E-2</v>
      </c>
      <c r="D510" s="66">
        <f t="shared" si="498"/>
        <v>1.3119711526723445E-2</v>
      </c>
      <c r="E510" s="66">
        <f t="shared" si="498"/>
        <v>1.3108212858935283E-2</v>
      </c>
      <c r="F510" s="66">
        <f t="shared" si="498"/>
        <v>1.3092066459016841E-2</v>
      </c>
      <c r="G510" s="66">
        <f t="shared" si="498"/>
        <v>1.3069611930835921E-2</v>
      </c>
      <c r="H510" s="66">
        <f t="shared" si="498"/>
        <v>1.3038816942483907E-2</v>
      </c>
      <c r="I510" s="66">
        <f t="shared" si="498"/>
        <v>1.2997410111971711E-2</v>
      </c>
      <c r="J510" s="66">
        <f t="shared" si="498"/>
        <v>1.2943240373702269E-2</v>
      </c>
      <c r="K510" s="66">
        <f t="shared" si="498"/>
        <v>1.2874939949114223E-2</v>
      </c>
      <c r="L510" s="66">
        <f t="shared" si="498"/>
        <v>1.2792828399658077E-2</v>
      </c>
      <c r="M510" s="66">
        <f t="shared" si="498"/>
        <v>1.2699710457736994E-2</v>
      </c>
      <c r="N510" s="66">
        <f t="shared" si="498"/>
        <v>1.2600964771889885E-2</v>
      </c>
      <c r="O510" s="66">
        <f t="shared" si="498"/>
        <v>1.2503489332592613E-2</v>
      </c>
      <c r="P510" s="66">
        <f t="shared" si="498"/>
        <v>1.2413816269823068E-2</v>
      </c>
      <c r="Q510" s="66">
        <f t="shared" si="498"/>
        <v>1.2336420479009024E-2</v>
      </c>
      <c r="R510" s="66">
        <f t="shared" si="498"/>
        <v>1.2273098580049775E-2</v>
      </c>
      <c r="S510" s="66">
        <f t="shared" si="498"/>
        <v>1.2223435485454192E-2</v>
      </c>
      <c r="T510" s="66">
        <f t="shared" si="498"/>
        <v>1.2185738646598908E-2</v>
      </c>
      <c r="U510" s="66">
        <f t="shared" si="498"/>
        <v>1.2157856392656038E-2</v>
      </c>
      <c r="V510" s="66">
        <f t="shared" si="498"/>
        <v>1.2137669555062987E-2</v>
      </c>
      <c r="W510" s="66">
        <f t="shared" si="498"/>
        <v>1.212331511825581E-2</v>
      </c>
      <c r="X510" s="66">
        <f t="shared" si="498"/>
        <v>1.2113259646012901E-2</v>
      </c>
      <c r="Y510" s="66">
        <f t="shared" si="498"/>
        <v>1.2106299711892827E-2</v>
      </c>
      <c r="Z510" s="66">
        <f t="shared" si="498"/>
        <v>1.2101526670623131E-2</v>
      </c>
      <c r="AA510" s="66">
        <f t="shared" si="498"/>
        <v>1.2098275733183148E-2</v>
      </c>
      <c r="AB510" s="66">
        <f t="shared" si="498"/>
        <v>1.2096072412884067E-2</v>
      </c>
      <c r="AC510" s="66">
        <f t="shared" si="498"/>
        <v>1.2094584302330031E-2</v>
      </c>
    </row>
    <row r="511" spans="1:29" x14ac:dyDescent="0.25">
      <c r="A511" s="59" t="str">
        <f>A474</f>
        <v>Payload loss (fuel)</v>
      </c>
      <c r="B511" s="66">
        <f>B499/(B472-B474)-B499/B472</f>
        <v>0</v>
      </c>
      <c r="C511" s="66">
        <f t="shared" ref="C511:AC511" si="499">C499/(C472-C474)-C499/C472</f>
        <v>0</v>
      </c>
      <c r="D511" s="66">
        <f t="shared" si="499"/>
        <v>0</v>
      </c>
      <c r="E511" s="66">
        <f t="shared" si="499"/>
        <v>0</v>
      </c>
      <c r="F511" s="66">
        <f t="shared" si="499"/>
        <v>0</v>
      </c>
      <c r="G511" s="66">
        <f t="shared" si="499"/>
        <v>0</v>
      </c>
      <c r="H511" s="66">
        <f t="shared" si="499"/>
        <v>0</v>
      </c>
      <c r="I511" s="66">
        <f t="shared" si="499"/>
        <v>0</v>
      </c>
      <c r="J511" s="66">
        <f t="shared" si="499"/>
        <v>0</v>
      </c>
      <c r="K511" s="66">
        <f t="shared" si="499"/>
        <v>0</v>
      </c>
      <c r="L511" s="66">
        <f t="shared" si="499"/>
        <v>0</v>
      </c>
      <c r="M511" s="66">
        <f t="shared" si="499"/>
        <v>0</v>
      </c>
      <c r="N511" s="66">
        <f t="shared" si="499"/>
        <v>0</v>
      </c>
      <c r="O511" s="66">
        <f t="shared" si="499"/>
        <v>0</v>
      </c>
      <c r="P511" s="66">
        <f t="shared" si="499"/>
        <v>0</v>
      </c>
      <c r="Q511" s="66">
        <f t="shared" si="499"/>
        <v>0</v>
      </c>
      <c r="R511" s="66">
        <f t="shared" si="499"/>
        <v>0</v>
      </c>
      <c r="S511" s="66">
        <f t="shared" si="499"/>
        <v>0</v>
      </c>
      <c r="T511" s="66">
        <f t="shared" si="499"/>
        <v>0</v>
      </c>
      <c r="U511" s="66">
        <f t="shared" si="499"/>
        <v>0</v>
      </c>
      <c r="V511" s="66">
        <f t="shared" si="499"/>
        <v>0</v>
      </c>
      <c r="W511" s="66">
        <f t="shared" si="499"/>
        <v>0</v>
      </c>
      <c r="X511" s="66">
        <f t="shared" si="499"/>
        <v>0</v>
      </c>
      <c r="Y511" s="66">
        <f t="shared" si="499"/>
        <v>0</v>
      </c>
      <c r="Z511" s="66">
        <f t="shared" si="499"/>
        <v>0</v>
      </c>
      <c r="AA511" s="66">
        <f t="shared" si="499"/>
        <v>0</v>
      </c>
      <c r="AB511" s="66">
        <f t="shared" si="499"/>
        <v>0</v>
      </c>
      <c r="AC511" s="66">
        <f t="shared" si="499"/>
        <v>0</v>
      </c>
    </row>
    <row r="512" spans="1:29" ht="15.75" thickBot="1" x14ac:dyDescent="0.3">
      <c r="A512" s="59" t="str">
        <f>A449</f>
        <v>Emission Cost</v>
      </c>
      <c r="B512" s="68">
        <f>B469*B475/B475/(B472)</f>
        <v>2.6089744436545862E-5</v>
      </c>
      <c r="C512" s="68">
        <f t="shared" ref="C512:AC512" si="500">C469*C475/C475/(C472)</f>
        <v>2.6064900643031986E-5</v>
      </c>
      <c r="D512" s="68">
        <f t="shared" si="500"/>
        <v>2.6029337305967751E-5</v>
      </c>
      <c r="E512" s="68">
        <f t="shared" si="500"/>
        <v>2.5978461451371706E-5</v>
      </c>
      <c r="F512" s="68">
        <f t="shared" si="500"/>
        <v>2.5905748628839269E-5</v>
      </c>
      <c r="G512" s="68">
        <f t="shared" si="500"/>
        <v>2.5801971717192895E-5</v>
      </c>
      <c r="H512" s="68">
        <f t="shared" si="500"/>
        <v>2.5654167935745224E-5</v>
      </c>
      <c r="I512" s="68">
        <f t="shared" si="500"/>
        <v>2.5444307754025903E-5</v>
      </c>
      <c r="J512" s="68">
        <f t="shared" si="500"/>
        <v>2.5147690553441535E-5</v>
      </c>
      <c r="K512" s="68">
        <f t="shared" si="500"/>
        <v>2.473124535523866E-5</v>
      </c>
      <c r="L512" s="68">
        <f t="shared" si="500"/>
        <v>2.415223535544846E-5</v>
      </c>
      <c r="M512" s="68">
        <f t="shared" si="500"/>
        <v>2.3358434306543273E-5</v>
      </c>
      <c r="N512" s="68">
        <f t="shared" si="500"/>
        <v>2.2291650757096228E-5</v>
      </c>
      <c r="O512" s="68">
        <f t="shared" si="500"/>
        <v>2.0897158570543604E-5</v>
      </c>
      <c r="P512" s="68">
        <f t="shared" si="500"/>
        <v>1.9141031361352326E-5</v>
      </c>
      <c r="Q512" s="68">
        <f t="shared" si="500"/>
        <v>1.7033729119962209E-5</v>
      </c>
      <c r="R512" s="68">
        <f t="shared" si="500"/>
        <v>1.465084726435414E-5</v>
      </c>
      <c r="S512" s="68">
        <f t="shared" si="500"/>
        <v>1.2135248666106942E-5</v>
      </c>
      <c r="T512" s="68">
        <f t="shared" si="500"/>
        <v>9.6691523429780442E-6</v>
      </c>
      <c r="U512" s="68">
        <f t="shared" si="500"/>
        <v>7.4242140990057907E-6</v>
      </c>
      <c r="V512" s="68">
        <f t="shared" si="500"/>
        <v>5.5163362769829588E-6</v>
      </c>
      <c r="W512" s="68">
        <f t="shared" si="500"/>
        <v>3.9884678231018022E-6</v>
      </c>
      <c r="X512" s="68">
        <f t="shared" si="500"/>
        <v>2.8226363811493573E-6</v>
      </c>
      <c r="Y512" s="68">
        <f t="shared" si="500"/>
        <v>1.9656567714975117E-6</v>
      </c>
      <c r="Z512" s="68">
        <f t="shared" si="500"/>
        <v>1.3529287482328092E-6</v>
      </c>
      <c r="AA512" s="68">
        <f t="shared" si="500"/>
        <v>9.2349689138458607E-7</v>
      </c>
      <c r="AB512" s="68">
        <f t="shared" si="500"/>
        <v>6.2673308335773771E-7</v>
      </c>
      <c r="AC512" s="68">
        <f t="shared" si="500"/>
        <v>4.2364282121717942E-7</v>
      </c>
    </row>
    <row r="513" spans="1:29" ht="15.75" thickBot="1" x14ac:dyDescent="0.3">
      <c r="A513" s="31" t="s">
        <v>210</v>
      </c>
      <c r="B513" s="76">
        <f>B502+B503+B504+B505+B506+B507+B508+B509+B510+B511+B512</f>
        <v>1.9888763450862466E-2</v>
      </c>
      <c r="C513" s="67">
        <f t="shared" ref="C513:AC513" si="501">C502+C503+C504+C505+C506+C507+C508+C509+C510+C511+C512</f>
        <v>1.9880065903286219E-2</v>
      </c>
      <c r="D513" s="67">
        <f t="shared" si="501"/>
        <v>1.9867715786701944E-2</v>
      </c>
      <c r="E513" s="67">
        <f t="shared" si="501"/>
        <v>1.9850258295120729E-2</v>
      </c>
      <c r="F513" s="67">
        <f t="shared" si="501"/>
        <v>1.9825744530062361E-2</v>
      </c>
      <c r="G513" s="67">
        <f t="shared" si="501"/>
        <v>1.9791653647196594E-2</v>
      </c>
      <c r="H513" s="67">
        <f t="shared" si="501"/>
        <v>1.9744900122370665E-2</v>
      </c>
      <c r="I513" s="67">
        <f t="shared" si="501"/>
        <v>1.9682035501147693E-2</v>
      </c>
      <c r="J513" s="67">
        <f t="shared" si="501"/>
        <v>1.9599793995677892E-2</v>
      </c>
      <c r="K513" s="67">
        <f t="shared" si="501"/>
        <v>1.9496099019076608E-2</v>
      </c>
      <c r="L513" s="67">
        <f t="shared" si="501"/>
        <v>1.9371435735489342E-2</v>
      </c>
      <c r="M513" s="67">
        <f t="shared" si="501"/>
        <v>1.9230062341884457E-2</v>
      </c>
      <c r="N513" s="67">
        <f t="shared" si="501"/>
        <v>1.9080144802642893E-2</v>
      </c>
      <c r="O513" s="67">
        <f t="shared" si="501"/>
        <v>1.8932155775369712E-2</v>
      </c>
      <c r="P513" s="67">
        <f t="shared" si="501"/>
        <v>1.8796012461448332E-2</v>
      </c>
      <c r="Q513" s="67">
        <f t="shared" si="501"/>
        <v>1.8678508730455352E-2</v>
      </c>
      <c r="R513" s="67">
        <f t="shared" si="501"/>
        <v>1.8582372244181192E-2</v>
      </c>
      <c r="S513" s="67">
        <f t="shared" si="501"/>
        <v>1.8506972809066442E-2</v>
      </c>
      <c r="T513" s="67">
        <f t="shared" si="501"/>
        <v>1.8449740766269956E-2</v>
      </c>
      <c r="U513" s="67">
        <f t="shared" si="501"/>
        <v>1.840740940906924E-2</v>
      </c>
      <c r="V513" s="67">
        <f t="shared" si="501"/>
        <v>1.8376761376286268E-2</v>
      </c>
      <c r="W513" s="67">
        <f t="shared" si="501"/>
        <v>1.8354968202996022E-2</v>
      </c>
      <c r="X513" s="67">
        <f t="shared" si="501"/>
        <v>1.8339701797768931E-2</v>
      </c>
      <c r="Y513" s="67">
        <f t="shared" si="501"/>
        <v>1.8329135096169631E-2</v>
      </c>
      <c r="Z513" s="67">
        <f t="shared" si="501"/>
        <v>1.8321888576023331E-2</v>
      </c>
      <c r="AA513" s="67">
        <f t="shared" si="501"/>
        <v>1.8316952942258175E-2</v>
      </c>
      <c r="AB513" s="67">
        <f t="shared" si="501"/>
        <v>1.8313607820346616E-2</v>
      </c>
      <c r="AC513" s="67">
        <f t="shared" si="501"/>
        <v>1.8311348543189675E-2</v>
      </c>
    </row>
    <row r="515" spans="1:29" x14ac:dyDescent="0.25">
      <c r="B515" s="40"/>
    </row>
  </sheetData>
  <conditionalFormatting sqref="Q11:AR20 Q22:AR27">
    <cfRule type="colorScale" priority="50">
      <colorScale>
        <cfvo type="min"/>
        <cfvo type="max"/>
        <color rgb="FFFF7128"/>
        <color rgb="FFFFEF9C"/>
      </colorScale>
    </cfRule>
    <cfRule type="colorScale" priority="46">
      <colorScale>
        <cfvo type="min"/>
        <cfvo type="max"/>
        <color rgb="FFFF7128"/>
        <color rgb="FFFFEF9C"/>
      </colorScale>
    </cfRule>
    <cfRule type="colorScale" priority="47">
      <colorScale>
        <cfvo type="min"/>
        <cfvo type="percentile" val="50"/>
        <cfvo type="max"/>
        <color rgb="FFF8696B"/>
        <color rgb="FFFFEB84"/>
        <color rgb="FF63BE7B"/>
      </colorScale>
    </cfRule>
    <cfRule type="colorScale" priority="48">
      <colorScale>
        <cfvo type="min"/>
        <cfvo type="percentile" val="50"/>
        <cfvo type="max"/>
        <color theme="5" tint="-0.249977111117893"/>
        <color theme="7" tint="0.79998168889431442"/>
        <color theme="7" tint="0.39997558519241921"/>
      </colorScale>
    </cfRule>
    <cfRule type="colorScale" priority="49">
      <colorScale>
        <cfvo type="min"/>
        <cfvo type="percentile" val="50"/>
        <cfvo type="max"/>
        <color rgb="FFF8696B"/>
        <color rgb="FFFFEB84"/>
        <color rgb="FF63BE7B"/>
      </colorScale>
    </cfRule>
  </conditionalFormatting>
  <conditionalFormatting sqref="Q21:AR21">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26 Q128:AR133">
    <cfRule type="colorScale" priority="45">
      <colorScale>
        <cfvo type="min"/>
        <cfvo type="max"/>
        <color rgb="FFFF7128"/>
        <color rgb="FFFFEF9C"/>
      </colorScale>
    </cfRule>
    <cfRule type="colorScale" priority="43">
      <colorScale>
        <cfvo type="min"/>
        <cfvo type="percentile" val="50"/>
        <cfvo type="max"/>
        <color theme="5" tint="-0.249977111117893"/>
        <color theme="7" tint="0.79998168889431442"/>
        <color theme="7" tint="0.39997558519241921"/>
      </colorScale>
    </cfRule>
    <cfRule type="colorScale" priority="42">
      <colorScale>
        <cfvo type="min"/>
        <cfvo type="percentile" val="50"/>
        <cfvo type="max"/>
        <color rgb="FFF8696B"/>
        <color rgb="FFFFEB84"/>
        <color rgb="FF63BE7B"/>
      </colorScale>
    </cfRule>
    <cfRule type="colorScale" priority="41">
      <colorScale>
        <cfvo type="min"/>
        <cfvo type="max"/>
        <color rgb="FFFF7128"/>
        <color rgb="FFFFEF9C"/>
      </colorScale>
    </cfRule>
    <cfRule type="colorScale" priority="44">
      <colorScale>
        <cfvo type="min"/>
        <cfvo type="percentile" val="50"/>
        <cfvo type="max"/>
        <color rgb="FFF8696B"/>
        <color rgb="FFFFEB84"/>
        <color rgb="FF63BE7B"/>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40">
      <colorScale>
        <cfvo type="min"/>
        <cfvo type="max"/>
        <color rgb="FFFF7128"/>
        <color rgb="FFFFEF9C"/>
      </colorScale>
    </cfRule>
    <cfRule type="colorScale" priority="39">
      <colorScale>
        <cfvo type="min"/>
        <cfvo type="percentile" val="50"/>
        <cfvo type="max"/>
        <color rgb="FFF8696B"/>
        <color rgb="FFFFEB84"/>
        <color rgb="FF63BE7B"/>
      </colorScale>
    </cfRule>
    <cfRule type="colorScale" priority="37">
      <colorScale>
        <cfvo type="min"/>
        <cfvo type="percentile" val="50"/>
        <cfvo type="max"/>
        <color rgb="FFF8696B"/>
        <color rgb="FFFFEB84"/>
        <color rgb="FF63BE7B"/>
      </colorScale>
    </cfRule>
    <cfRule type="colorScale" priority="36">
      <colorScale>
        <cfvo type="min"/>
        <cfvo type="max"/>
        <color rgb="FFFF7128"/>
        <color rgb="FFFFEF9C"/>
      </colorScale>
    </cfRule>
    <cfRule type="colorScale" priority="38">
      <colorScale>
        <cfvo type="min"/>
        <cfvo type="percentile" val="50"/>
        <cfvo type="max"/>
        <color theme="5" tint="-0.249977111117893"/>
        <color theme="7" tint="0.79998168889431442"/>
        <color theme="7" tint="0.39997558519241921"/>
      </colorScale>
    </cfRule>
  </conditionalFormatting>
  <conditionalFormatting sqref="Q235:AR235">
    <cfRule type="colorScale" priority="13">
      <colorScale>
        <cfvo type="min"/>
        <cfvo type="percentile" val="50"/>
        <cfvo type="max"/>
        <color theme="5" tint="-0.249977111117893"/>
        <color theme="7" tint="0.79998168889431442"/>
        <color theme="7" tint="0.39997558519241921"/>
      </colorScale>
    </cfRule>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32">
      <colorScale>
        <cfvo type="min"/>
        <cfvo type="percentile" val="50"/>
        <cfvo type="max"/>
        <color rgb="FFF8696B"/>
        <color rgb="FFFFEB84"/>
        <color rgb="FF63BE7B"/>
      </colorScale>
    </cfRule>
    <cfRule type="colorScale" priority="31">
      <colorScale>
        <cfvo type="min"/>
        <cfvo type="max"/>
        <color rgb="FFFF7128"/>
        <color rgb="FFFFEF9C"/>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344:AR344">
    <cfRule type="colorScale" priority="10">
      <colorScale>
        <cfvo type="min"/>
        <cfvo type="max"/>
        <color rgb="FFFF7128"/>
        <color rgb="FFFFEF9C"/>
      </colorScale>
    </cfRule>
    <cfRule type="colorScale" priority="9">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onditionalFormatting>
  <conditionalFormatting sqref="Q439:AR448 Q450:AR455">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D819E-B885-438D-8F75-CC09C776D5C8}">
  <sheetPr>
    <tabColor rgb="FFC00000"/>
  </sheetPr>
  <dimension ref="A1:BA515"/>
  <sheetViews>
    <sheetView topLeftCell="A439" zoomScale="80" zoomScaleNormal="80" workbookViewId="0">
      <selection activeCell="R488" sqref="R488"/>
    </sheetView>
  </sheetViews>
  <sheetFormatPr defaultColWidth="9.140625" defaultRowHeight="15" x14ac:dyDescent="0.25"/>
  <cols>
    <col min="1" max="1" width="38.5703125" style="4" customWidth="1"/>
    <col min="2" max="4" width="14.85546875" style="4" bestFit="1" customWidth="1"/>
    <col min="5" max="5" width="28" style="4" bestFit="1" customWidth="1"/>
    <col min="6" max="11" width="14.85546875" style="4" bestFit="1" customWidth="1"/>
    <col min="12" max="12" width="24.42578125" style="4" bestFit="1" customWidth="1"/>
    <col min="13" max="29" width="14.85546875" style="4" bestFit="1" customWidth="1"/>
    <col min="30" max="44" width="13.5703125" style="4" bestFit="1" customWidth="1"/>
    <col min="45" max="45" width="9.140625" style="4"/>
    <col min="46" max="46" width="35.140625" style="4" bestFit="1" customWidth="1"/>
    <col min="47" max="48" width="11.42578125" style="4" bestFit="1" customWidth="1"/>
    <col min="49" max="49" width="8.5703125" style="4" bestFit="1" customWidth="1"/>
    <col min="50" max="50" width="21.42578125" style="4" bestFit="1" customWidth="1"/>
    <col min="51" max="52" width="4.42578125" style="4" bestFit="1" customWidth="1"/>
    <col min="53" max="53" width="7" style="4" bestFit="1" customWidth="1"/>
    <col min="54" max="54" width="9.140625" style="4"/>
    <col min="55" max="55" width="31.5703125" style="4" bestFit="1" customWidth="1"/>
    <col min="56" max="57" width="9.5703125" style="4" bestFit="1" customWidth="1"/>
    <col min="58" max="58" width="11.42578125" style="4" bestFit="1" customWidth="1"/>
    <col min="59" max="59" width="8" style="4" bestFit="1" customWidth="1"/>
    <col min="60" max="61" width="4.42578125" style="4" bestFit="1" customWidth="1"/>
    <col min="62" max="62" width="7" style="4" bestFit="1" customWidth="1"/>
    <col min="63" max="63" width="9.140625" style="4"/>
    <col min="64" max="64" width="31.5703125" style="4" bestFit="1" customWidth="1"/>
    <col min="65" max="66" width="9.5703125" style="4" bestFit="1" customWidth="1"/>
    <col min="67" max="67" width="8.5703125" style="4" bestFit="1" customWidth="1"/>
    <col min="68" max="68" width="3.42578125" style="4" bestFit="1" customWidth="1"/>
    <col min="69" max="70" width="4.42578125" style="4" bestFit="1" customWidth="1"/>
    <col min="71" max="16384" width="9.140625" style="4"/>
  </cols>
  <sheetData>
    <row r="1" spans="1:53" s="3" customFormat="1" ht="21" x14ac:dyDescent="0.35">
      <c r="A1" s="2" t="str">
        <f>'Parameter Input'!A90</f>
        <v>Railway long-haul: Dry bulk</v>
      </c>
    </row>
    <row r="2" spans="1:53" s="3" customFormat="1" ht="21" x14ac:dyDescent="0.35">
      <c r="A2" s="2" t="s">
        <v>87</v>
      </c>
    </row>
    <row r="3" spans="1:53" x14ac:dyDescent="0.25">
      <c r="A3" s="33" t="s">
        <v>195</v>
      </c>
    </row>
    <row r="4" spans="1:53" x14ac:dyDescent="0.25">
      <c r="A4" s="33" t="s">
        <v>196</v>
      </c>
    </row>
    <row r="5" spans="1:53" ht="15.75" thickBot="1" x14ac:dyDescent="0.3">
      <c r="A5" s="34" t="s">
        <v>197</v>
      </c>
      <c r="B5" s="34"/>
    </row>
    <row r="6" spans="1:53" ht="15.75" thickBot="1" x14ac:dyDescent="0.3">
      <c r="A6" s="39" t="s">
        <v>198</v>
      </c>
      <c r="B6" s="35"/>
    </row>
    <row r="7" spans="1:53" ht="15.75" thickBot="1" x14ac:dyDescent="0.3">
      <c r="A7" s="38" t="s">
        <v>199</v>
      </c>
      <c r="B7" s="36"/>
    </row>
    <row r="8" spans="1:53" ht="15.75" thickBot="1" x14ac:dyDescent="0.3"/>
    <row r="9" spans="1:53"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c r="AT9" s="82"/>
      <c r="AU9" s="83"/>
      <c r="AV9" s="83"/>
      <c r="AW9" s="83"/>
      <c r="AX9" s="83" t="str">
        <f>L9</f>
        <v>Input Sigmoid function</v>
      </c>
      <c r="AY9" s="83"/>
      <c r="AZ9" s="83"/>
      <c r="BA9" s="84" t="s">
        <v>3</v>
      </c>
    </row>
    <row r="10" spans="1:53"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c r="AT10" s="85"/>
      <c r="AU10" s="80">
        <f>B9</f>
        <v>2023</v>
      </c>
      <c r="AV10" s="80">
        <f>C9</f>
        <v>2050</v>
      </c>
      <c r="AW10" s="80" t="str">
        <f>D10</f>
        <v>Unit</v>
      </c>
      <c r="AX10" s="80" t="str">
        <f>L10</f>
        <v>midway</v>
      </c>
      <c r="AY10" s="80" t="str">
        <f t="shared" ref="AY10:AZ12" si="0">O10</f>
        <v>a</v>
      </c>
      <c r="AZ10" s="80" t="str">
        <f t="shared" si="0"/>
        <v>k</v>
      </c>
      <c r="BA10" s="86"/>
    </row>
    <row r="11" spans="1:53" x14ac:dyDescent="0.25">
      <c r="A11" s="24" t="s">
        <v>18</v>
      </c>
      <c r="B11" s="41">
        <f>'Parameter Input'!$L$115</f>
        <v>10000000</v>
      </c>
      <c r="C11" s="42">
        <f>'Parameter Input'!$M$115</f>
        <v>6250000</v>
      </c>
      <c r="D11" s="1" t="s">
        <v>15</v>
      </c>
      <c r="L11" s="51">
        <f>'Parameter Input'!$O$115</f>
        <v>12</v>
      </c>
      <c r="M11" s="52">
        <v>0</v>
      </c>
      <c r="N11" s="52">
        <v>1</v>
      </c>
      <c r="O11" s="52">
        <f>'Parameter Input'!$P$115</f>
        <v>0.9</v>
      </c>
      <c r="P11" s="53">
        <f>'Parameter Input'!$Q$115</f>
        <v>0.4</v>
      </c>
      <c r="Q11" s="4">
        <f t="shared" ref="Q11:AR20" si="1">$N11+($M11-$N11)*((1/(1+EXP(-$P11*(Q$9-$L11)))^$O11))</f>
        <v>0.9867978615748374</v>
      </c>
      <c r="R11" s="4">
        <f t="shared" si="1"/>
        <v>0.98114509762858249</v>
      </c>
      <c r="S11" s="4">
        <f t="shared" si="1"/>
        <v>0.97311898315872036</v>
      </c>
      <c r="T11" s="4">
        <f t="shared" si="1"/>
        <v>0.96177484161592774</v>
      </c>
      <c r="U11" s="4">
        <f t="shared" si="1"/>
        <v>0.94584787155511363</v>
      </c>
      <c r="V11" s="4">
        <f t="shared" si="1"/>
        <v>0.92370360150141495</v>
      </c>
      <c r="W11" s="4">
        <f t="shared" si="1"/>
        <v>0.89334463567658451</v>
      </c>
      <c r="X11" s="4">
        <f t="shared" si="1"/>
        <v>0.85254543874327005</v>
      </c>
      <c r="Y11" s="4">
        <f t="shared" si="1"/>
        <v>0.79921300652623883</v>
      </c>
      <c r="Z11" s="4">
        <f t="shared" si="1"/>
        <v>0.73204982249993378</v>
      </c>
      <c r="AA11" s="4">
        <f t="shared" si="1"/>
        <v>0.65145592958786691</v>
      </c>
      <c r="AB11" s="4">
        <f t="shared" si="1"/>
        <v>0.56032247880849573</v>
      </c>
      <c r="AC11" s="4">
        <f t="shared" si="1"/>
        <v>0.46411326873185343</v>
      </c>
      <c r="AD11" s="4">
        <f t="shared" si="1"/>
        <v>0.36979727595523937</v>
      </c>
      <c r="AE11" s="4">
        <f t="shared" si="1"/>
        <v>0.28393948637231203</v>
      </c>
      <c r="AF11" s="4">
        <f t="shared" si="1"/>
        <v>0.21097259161117732</v>
      </c>
      <c r="AG11" s="4">
        <f t="shared" si="1"/>
        <v>0.15253917653798199</v>
      </c>
      <c r="AH11" s="4">
        <f t="shared" si="1"/>
        <v>0.10795188737709993</v>
      </c>
      <c r="AI11" s="4">
        <f t="shared" si="1"/>
        <v>7.5176653938091809E-2</v>
      </c>
      <c r="AJ11" s="4">
        <f t="shared" si="1"/>
        <v>5.1742836177502194E-2</v>
      </c>
      <c r="AK11" s="4">
        <f t="shared" si="1"/>
        <v>3.5319190625345942E-2</v>
      </c>
      <c r="AL11" s="4">
        <f t="shared" si="1"/>
        <v>2.3969442072658165E-2</v>
      </c>
      <c r="AM11" s="4">
        <f t="shared" si="1"/>
        <v>1.6202243558389728E-2</v>
      </c>
      <c r="AN11" s="4">
        <f t="shared" si="1"/>
        <v>1.0922240564108399E-2</v>
      </c>
      <c r="AO11" s="4">
        <f t="shared" si="1"/>
        <v>7.3493212906090566E-3</v>
      </c>
      <c r="AP11" s="4">
        <f t="shared" si="1"/>
        <v>4.9390262185057265E-3</v>
      </c>
      <c r="AQ11" s="4">
        <f t="shared" si="1"/>
        <v>3.3164275492956197E-3</v>
      </c>
      <c r="AR11" s="4">
        <f t="shared" si="1"/>
        <v>2.2256362146679809E-3</v>
      </c>
      <c r="AT11" s="85" t="str">
        <f t="shared" ref="AT11:AV12" si="2">A11</f>
        <v>Capex vehicle</v>
      </c>
      <c r="AU11" s="81">
        <f t="shared" si="2"/>
        <v>10000000</v>
      </c>
      <c r="AV11" s="81">
        <f t="shared" si="2"/>
        <v>6250000</v>
      </c>
      <c r="AW11" s="81" t="str">
        <f>D11</f>
        <v>[€]</v>
      </c>
      <c r="AX11" s="80">
        <f>L11</f>
        <v>12</v>
      </c>
      <c r="AY11" s="80">
        <f t="shared" si="0"/>
        <v>0.9</v>
      </c>
      <c r="AZ11" s="80">
        <f t="shared" si="0"/>
        <v>0.4</v>
      </c>
      <c r="BA11" s="86"/>
    </row>
    <row r="12" spans="1:53" x14ac:dyDescent="0.25">
      <c r="A12" s="24" t="s">
        <v>28</v>
      </c>
      <c r="B12" s="60">
        <f>'Parameter Input'!$L$116</f>
        <v>-500000</v>
      </c>
      <c r="C12" s="61">
        <f>'Parameter Input'!$M$116</f>
        <v>-937500</v>
      </c>
      <c r="D12" s="1" t="s">
        <v>15</v>
      </c>
      <c r="L12" s="54">
        <f>'Parameter Input'!$O$116</f>
        <v>12</v>
      </c>
      <c r="M12" s="37">
        <v>0</v>
      </c>
      <c r="N12" s="37">
        <v>1</v>
      </c>
      <c r="O12" s="37">
        <f>'Parameter Input'!$P$116</f>
        <v>0.9</v>
      </c>
      <c r="P12" s="55">
        <f>'Parameter Input'!$Q$116</f>
        <v>0.4</v>
      </c>
      <c r="Q12" s="4">
        <f t="shared" si="1"/>
        <v>0.9867978615748374</v>
      </c>
      <c r="R12" s="4">
        <f t="shared" si="1"/>
        <v>0.98114509762858249</v>
      </c>
      <c r="S12" s="4">
        <f t="shared" si="1"/>
        <v>0.97311898315872036</v>
      </c>
      <c r="T12" s="4">
        <f t="shared" si="1"/>
        <v>0.96177484161592774</v>
      </c>
      <c r="U12" s="4">
        <f t="shared" si="1"/>
        <v>0.94584787155511363</v>
      </c>
      <c r="V12" s="4">
        <f t="shared" si="1"/>
        <v>0.92370360150141495</v>
      </c>
      <c r="W12" s="4">
        <f t="shared" si="1"/>
        <v>0.89334463567658451</v>
      </c>
      <c r="X12" s="4">
        <f t="shared" si="1"/>
        <v>0.85254543874327005</v>
      </c>
      <c r="Y12" s="4">
        <f t="shared" si="1"/>
        <v>0.79921300652623883</v>
      </c>
      <c r="Z12" s="4">
        <f t="shared" si="1"/>
        <v>0.73204982249993378</v>
      </c>
      <c r="AA12" s="4">
        <f t="shared" si="1"/>
        <v>0.65145592958786691</v>
      </c>
      <c r="AB12" s="4">
        <f t="shared" si="1"/>
        <v>0.56032247880849573</v>
      </c>
      <c r="AC12" s="4">
        <f t="shared" si="1"/>
        <v>0.46411326873185343</v>
      </c>
      <c r="AD12" s="4">
        <f t="shared" si="1"/>
        <v>0.36979727595523937</v>
      </c>
      <c r="AE12" s="4">
        <f t="shared" si="1"/>
        <v>0.28393948637231203</v>
      </c>
      <c r="AF12" s="4">
        <f t="shared" si="1"/>
        <v>0.21097259161117732</v>
      </c>
      <c r="AG12" s="4">
        <f t="shared" si="1"/>
        <v>0.15253917653798199</v>
      </c>
      <c r="AH12" s="4">
        <f t="shared" si="1"/>
        <v>0.10795188737709993</v>
      </c>
      <c r="AI12" s="4">
        <f t="shared" si="1"/>
        <v>7.5176653938091809E-2</v>
      </c>
      <c r="AJ12" s="4">
        <f t="shared" si="1"/>
        <v>5.1742836177502194E-2</v>
      </c>
      <c r="AK12" s="4">
        <f t="shared" si="1"/>
        <v>3.5319190625345942E-2</v>
      </c>
      <c r="AL12" s="4">
        <f t="shared" si="1"/>
        <v>2.3969442072658165E-2</v>
      </c>
      <c r="AM12" s="4">
        <f t="shared" si="1"/>
        <v>1.6202243558389728E-2</v>
      </c>
      <c r="AN12" s="4">
        <f t="shared" si="1"/>
        <v>1.0922240564108399E-2</v>
      </c>
      <c r="AO12" s="4">
        <f t="shared" si="1"/>
        <v>7.3493212906090566E-3</v>
      </c>
      <c r="AP12" s="4">
        <f t="shared" si="1"/>
        <v>4.9390262185057265E-3</v>
      </c>
      <c r="AQ12" s="4">
        <f t="shared" si="1"/>
        <v>3.3164275492956197E-3</v>
      </c>
      <c r="AR12" s="4">
        <f t="shared" si="1"/>
        <v>2.2256362146679809E-3</v>
      </c>
      <c r="AT12" s="85" t="str">
        <f t="shared" si="2"/>
        <v>Residual value (vehicle)</v>
      </c>
      <c r="AU12" s="81">
        <f t="shared" si="2"/>
        <v>-500000</v>
      </c>
      <c r="AV12" s="81">
        <f t="shared" si="2"/>
        <v>-937500</v>
      </c>
      <c r="AW12" s="81" t="str">
        <f>D12</f>
        <v>[€]</v>
      </c>
      <c r="AX12" s="80">
        <f>L12</f>
        <v>12</v>
      </c>
      <c r="AY12" s="80">
        <f t="shared" si="0"/>
        <v>0.9</v>
      </c>
      <c r="AZ12" s="80">
        <f t="shared" si="0"/>
        <v>0.4</v>
      </c>
      <c r="BA12" s="86"/>
    </row>
    <row r="13" spans="1:53" x14ac:dyDescent="0.25">
      <c r="A13" s="24" t="s">
        <v>14</v>
      </c>
      <c r="B13" s="43">
        <f>'Parameter Input'!B91</f>
        <v>4200000</v>
      </c>
      <c r="C13" s="44">
        <f>'Parameter Input'!C91</f>
        <v>4200000</v>
      </c>
      <c r="D13" s="1" t="s">
        <v>15</v>
      </c>
      <c r="L13" s="54">
        <f>'Parameter Input'!E91</f>
        <v>12</v>
      </c>
      <c r="M13" s="37">
        <v>0</v>
      </c>
      <c r="N13" s="37">
        <v>1</v>
      </c>
      <c r="O13" s="37">
        <f>'Parameter Input'!F91</f>
        <v>0.9</v>
      </c>
      <c r="P13" s="55">
        <f>'Parameter Input'!G91</f>
        <v>0.4</v>
      </c>
      <c r="Q13" s="4">
        <f t="shared" si="1"/>
        <v>0.9867978615748374</v>
      </c>
      <c r="R13" s="4">
        <f t="shared" si="1"/>
        <v>0.98114509762858249</v>
      </c>
      <c r="S13" s="4">
        <f t="shared" si="1"/>
        <v>0.97311898315872036</v>
      </c>
      <c r="T13" s="4">
        <f t="shared" si="1"/>
        <v>0.96177484161592774</v>
      </c>
      <c r="U13" s="4">
        <f t="shared" si="1"/>
        <v>0.94584787155511363</v>
      </c>
      <c r="V13" s="4">
        <f t="shared" si="1"/>
        <v>0.92370360150141495</v>
      </c>
      <c r="W13" s="4">
        <f t="shared" si="1"/>
        <v>0.89334463567658451</v>
      </c>
      <c r="X13" s="4">
        <f t="shared" si="1"/>
        <v>0.85254543874327005</v>
      </c>
      <c r="Y13" s="4">
        <f t="shared" si="1"/>
        <v>0.79921300652623883</v>
      </c>
      <c r="Z13" s="4">
        <f t="shared" si="1"/>
        <v>0.73204982249993378</v>
      </c>
      <c r="AA13" s="4">
        <f t="shared" si="1"/>
        <v>0.65145592958786691</v>
      </c>
      <c r="AB13" s="4">
        <f t="shared" si="1"/>
        <v>0.56032247880849573</v>
      </c>
      <c r="AC13" s="4">
        <f t="shared" si="1"/>
        <v>0.46411326873185343</v>
      </c>
      <c r="AD13" s="4">
        <f t="shared" si="1"/>
        <v>0.36979727595523937</v>
      </c>
      <c r="AE13" s="4">
        <f t="shared" si="1"/>
        <v>0.28393948637231203</v>
      </c>
      <c r="AF13" s="4">
        <f t="shared" si="1"/>
        <v>0.21097259161117732</v>
      </c>
      <c r="AG13" s="4">
        <f t="shared" si="1"/>
        <v>0.15253917653798199</v>
      </c>
      <c r="AH13" s="4">
        <f t="shared" si="1"/>
        <v>0.10795188737709993</v>
      </c>
      <c r="AI13" s="4">
        <f t="shared" si="1"/>
        <v>7.5176653938091809E-2</v>
      </c>
      <c r="AJ13" s="4">
        <f t="shared" si="1"/>
        <v>5.1742836177502194E-2</v>
      </c>
      <c r="AK13" s="4">
        <f t="shared" si="1"/>
        <v>3.5319190625345942E-2</v>
      </c>
      <c r="AL13" s="4">
        <f t="shared" si="1"/>
        <v>2.3969442072658165E-2</v>
      </c>
      <c r="AM13" s="4">
        <f t="shared" si="1"/>
        <v>1.6202243558389728E-2</v>
      </c>
      <c r="AN13" s="4">
        <f t="shared" si="1"/>
        <v>1.0922240564108399E-2</v>
      </c>
      <c r="AO13" s="4">
        <f t="shared" si="1"/>
        <v>7.3493212906090566E-3</v>
      </c>
      <c r="AP13" s="4">
        <f t="shared" si="1"/>
        <v>4.9390262185057265E-3</v>
      </c>
      <c r="AQ13" s="4">
        <f t="shared" si="1"/>
        <v>3.3164275492956197E-3</v>
      </c>
      <c r="AR13" s="4">
        <f t="shared" si="1"/>
        <v>2.2256362146679809E-3</v>
      </c>
      <c r="AT13" s="85" t="str">
        <f t="shared" ref="AT13:AW14" si="3">A15</f>
        <v>WACC</v>
      </c>
      <c r="AU13" s="81">
        <f t="shared" si="3"/>
        <v>0.06</v>
      </c>
      <c r="AV13" s="81">
        <f t="shared" si="3"/>
        <v>0.06</v>
      </c>
      <c r="AW13" s="81" t="str">
        <f t="shared" si="3"/>
        <v>[%]</v>
      </c>
      <c r="AX13" s="80">
        <f>L15</f>
        <v>12</v>
      </c>
      <c r="AY13" s="80">
        <f>O15</f>
        <v>0.9</v>
      </c>
      <c r="AZ13" s="80">
        <f>P15</f>
        <v>0.4</v>
      </c>
      <c r="BA13" s="86"/>
    </row>
    <row r="14" spans="1:53" x14ac:dyDescent="0.25">
      <c r="A14" s="24" t="s">
        <v>25</v>
      </c>
      <c r="B14" s="60">
        <f>'Parameter Input'!B92</f>
        <v>-210000</v>
      </c>
      <c r="C14" s="61">
        <f>'Parameter Input'!C92</f>
        <v>-210000</v>
      </c>
      <c r="D14" s="1" t="s">
        <v>15</v>
      </c>
      <c r="L14" s="54">
        <f>'Parameter Input'!E92</f>
        <v>12</v>
      </c>
      <c r="M14" s="37">
        <v>0</v>
      </c>
      <c r="N14" s="37">
        <v>1</v>
      </c>
      <c r="O14" s="37">
        <f>'Parameter Input'!F92</f>
        <v>0.9</v>
      </c>
      <c r="P14" s="55">
        <f>'Parameter Input'!G92</f>
        <v>0.4</v>
      </c>
      <c r="Q14" s="4">
        <f t="shared" si="1"/>
        <v>0.9867978615748374</v>
      </c>
      <c r="R14" s="4">
        <f t="shared" si="1"/>
        <v>0.98114509762858249</v>
      </c>
      <c r="S14" s="4">
        <f t="shared" si="1"/>
        <v>0.97311898315872036</v>
      </c>
      <c r="T14" s="4">
        <f t="shared" si="1"/>
        <v>0.96177484161592774</v>
      </c>
      <c r="U14" s="4">
        <f t="shared" si="1"/>
        <v>0.94584787155511363</v>
      </c>
      <c r="V14" s="4">
        <f t="shared" si="1"/>
        <v>0.92370360150141495</v>
      </c>
      <c r="W14" s="4">
        <f t="shared" si="1"/>
        <v>0.89334463567658451</v>
      </c>
      <c r="X14" s="4">
        <f t="shared" si="1"/>
        <v>0.85254543874327005</v>
      </c>
      <c r="Y14" s="4">
        <f t="shared" si="1"/>
        <v>0.79921300652623883</v>
      </c>
      <c r="Z14" s="4">
        <f t="shared" si="1"/>
        <v>0.73204982249993378</v>
      </c>
      <c r="AA14" s="4">
        <f t="shared" si="1"/>
        <v>0.65145592958786691</v>
      </c>
      <c r="AB14" s="4">
        <f t="shared" si="1"/>
        <v>0.56032247880849573</v>
      </c>
      <c r="AC14" s="4">
        <f t="shared" si="1"/>
        <v>0.46411326873185343</v>
      </c>
      <c r="AD14" s="4">
        <f t="shared" si="1"/>
        <v>0.36979727595523937</v>
      </c>
      <c r="AE14" s="4">
        <f t="shared" si="1"/>
        <v>0.28393948637231203</v>
      </c>
      <c r="AF14" s="4">
        <f t="shared" si="1"/>
        <v>0.21097259161117732</v>
      </c>
      <c r="AG14" s="4">
        <f t="shared" si="1"/>
        <v>0.15253917653798199</v>
      </c>
      <c r="AH14" s="4">
        <f t="shared" si="1"/>
        <v>0.10795188737709993</v>
      </c>
      <c r="AI14" s="4">
        <f t="shared" si="1"/>
        <v>7.5176653938091809E-2</v>
      </c>
      <c r="AJ14" s="4">
        <f t="shared" si="1"/>
        <v>5.1742836177502194E-2</v>
      </c>
      <c r="AK14" s="4">
        <f t="shared" si="1"/>
        <v>3.5319190625345942E-2</v>
      </c>
      <c r="AL14" s="4">
        <f t="shared" si="1"/>
        <v>2.3969442072658165E-2</v>
      </c>
      <c r="AM14" s="4">
        <f t="shared" si="1"/>
        <v>1.6202243558389728E-2</v>
      </c>
      <c r="AN14" s="4">
        <f t="shared" si="1"/>
        <v>1.0922240564108399E-2</v>
      </c>
      <c r="AO14" s="4">
        <f t="shared" si="1"/>
        <v>7.3493212906090566E-3</v>
      </c>
      <c r="AP14" s="4">
        <f t="shared" si="1"/>
        <v>4.9390262185057265E-3</v>
      </c>
      <c r="AQ14" s="4">
        <f t="shared" si="1"/>
        <v>3.3164275492956197E-3</v>
      </c>
      <c r="AR14" s="4">
        <f t="shared" si="1"/>
        <v>2.2256362146679809E-3</v>
      </c>
      <c r="AT14" s="85" t="str">
        <f t="shared" si="3"/>
        <v>Opex fix (admin, crew, insurance)</v>
      </c>
      <c r="AU14" s="81">
        <f t="shared" si="3"/>
        <v>650000</v>
      </c>
      <c r="AV14" s="81">
        <f t="shared" si="3"/>
        <v>650000</v>
      </c>
      <c r="AW14" s="81" t="str">
        <f t="shared" si="3"/>
        <v>[€/a]</v>
      </c>
      <c r="AX14" s="80">
        <f>L16</f>
        <v>12</v>
      </c>
      <c r="AY14" s="80">
        <f>O16</f>
        <v>0.9</v>
      </c>
      <c r="AZ14" s="80">
        <f>P16</f>
        <v>0.4</v>
      </c>
      <c r="BA14" s="86"/>
    </row>
    <row r="15" spans="1:53" x14ac:dyDescent="0.25">
      <c r="A15" s="24" t="s">
        <v>79</v>
      </c>
      <c r="B15" s="45">
        <f>'Parameter Input'!$L$122</f>
        <v>0.06</v>
      </c>
      <c r="C15" s="46">
        <f>'Parameter Input'!$M$122</f>
        <v>0.06</v>
      </c>
      <c r="D15" s="1" t="s">
        <v>57</v>
      </c>
      <c r="L15" s="54">
        <f>'Parameter Input'!$O$122</f>
        <v>12</v>
      </c>
      <c r="M15" s="37">
        <v>0</v>
      </c>
      <c r="N15" s="37">
        <v>1</v>
      </c>
      <c r="O15" s="37">
        <f>'Parameter Input'!$P$122</f>
        <v>0.9</v>
      </c>
      <c r="P15" s="55">
        <f>'Parameter Input'!$Q$122</f>
        <v>0.4</v>
      </c>
      <c r="Q15" s="4">
        <f t="shared" si="1"/>
        <v>0.9867978615748374</v>
      </c>
      <c r="R15" s="4">
        <f t="shared" si="1"/>
        <v>0.98114509762858249</v>
      </c>
      <c r="S15" s="4">
        <f t="shared" si="1"/>
        <v>0.97311898315872036</v>
      </c>
      <c r="T15" s="4">
        <f t="shared" si="1"/>
        <v>0.96177484161592774</v>
      </c>
      <c r="U15" s="4">
        <f t="shared" si="1"/>
        <v>0.94584787155511363</v>
      </c>
      <c r="V15" s="4">
        <f t="shared" si="1"/>
        <v>0.92370360150141495</v>
      </c>
      <c r="W15" s="4">
        <f t="shared" si="1"/>
        <v>0.89334463567658451</v>
      </c>
      <c r="X15" s="4">
        <f t="shared" si="1"/>
        <v>0.85254543874327005</v>
      </c>
      <c r="Y15" s="4">
        <f t="shared" si="1"/>
        <v>0.79921300652623883</v>
      </c>
      <c r="Z15" s="4">
        <f t="shared" si="1"/>
        <v>0.73204982249993378</v>
      </c>
      <c r="AA15" s="4">
        <f t="shared" si="1"/>
        <v>0.65145592958786691</v>
      </c>
      <c r="AB15" s="4">
        <f t="shared" si="1"/>
        <v>0.56032247880849573</v>
      </c>
      <c r="AC15" s="4">
        <f t="shared" si="1"/>
        <v>0.46411326873185343</v>
      </c>
      <c r="AD15" s="4">
        <f t="shared" si="1"/>
        <v>0.36979727595523937</v>
      </c>
      <c r="AE15" s="4">
        <f t="shared" si="1"/>
        <v>0.28393948637231203</v>
      </c>
      <c r="AF15" s="4">
        <f t="shared" si="1"/>
        <v>0.21097259161117732</v>
      </c>
      <c r="AG15" s="4">
        <f t="shared" si="1"/>
        <v>0.15253917653798199</v>
      </c>
      <c r="AH15" s="4">
        <f t="shared" si="1"/>
        <v>0.10795188737709993</v>
      </c>
      <c r="AI15" s="4">
        <f t="shared" si="1"/>
        <v>7.5176653938091809E-2</v>
      </c>
      <c r="AJ15" s="4">
        <f t="shared" si="1"/>
        <v>5.1742836177502194E-2</v>
      </c>
      <c r="AK15" s="4">
        <f t="shared" si="1"/>
        <v>3.5319190625345942E-2</v>
      </c>
      <c r="AL15" s="4">
        <f t="shared" si="1"/>
        <v>2.3969442072658165E-2</v>
      </c>
      <c r="AM15" s="4">
        <f t="shared" si="1"/>
        <v>1.6202243558389728E-2</v>
      </c>
      <c r="AN15" s="4">
        <f t="shared" si="1"/>
        <v>1.0922240564108399E-2</v>
      </c>
      <c r="AO15" s="4">
        <f t="shared" si="1"/>
        <v>7.3493212906090566E-3</v>
      </c>
      <c r="AP15" s="4">
        <f t="shared" si="1"/>
        <v>4.9390262185057265E-3</v>
      </c>
      <c r="AQ15" s="4">
        <f t="shared" si="1"/>
        <v>3.3164275492956197E-3</v>
      </c>
      <c r="AR15" s="4">
        <f t="shared" si="1"/>
        <v>2.2256362146679809E-3</v>
      </c>
      <c r="AT15" s="85" t="str">
        <f>A18</f>
        <v>Opex var (mode-fees, shunting)</v>
      </c>
      <c r="AU15" s="81">
        <f>B18</f>
        <v>3.9215686274509802</v>
      </c>
      <c r="AV15" s="81">
        <f>C18</f>
        <v>3.9215686274509802</v>
      </c>
      <c r="AW15" s="81" t="str">
        <f>D18</f>
        <v>[€/km]</v>
      </c>
      <c r="AX15" s="80">
        <f>L18</f>
        <v>12</v>
      </c>
      <c r="AY15" s="80">
        <f>O18</f>
        <v>0.9</v>
      </c>
      <c r="AZ15" s="80">
        <f>P18</f>
        <v>0.4</v>
      </c>
      <c r="BA15" s="86"/>
    </row>
    <row r="16" spans="1:53" x14ac:dyDescent="0.25">
      <c r="A16" s="24" t="s">
        <v>37</v>
      </c>
      <c r="B16" s="43">
        <f>'Parameter Input'!B93</f>
        <v>650000</v>
      </c>
      <c r="C16" s="44">
        <f>'Parameter Input'!C93</f>
        <v>650000</v>
      </c>
      <c r="D16" s="1" t="s">
        <v>38</v>
      </c>
      <c r="L16" s="54">
        <f>'Parameter Input'!E93</f>
        <v>12</v>
      </c>
      <c r="M16" s="37">
        <v>0</v>
      </c>
      <c r="N16" s="37">
        <v>1</v>
      </c>
      <c r="O16" s="37">
        <f>'Parameter Input'!F93</f>
        <v>0.9</v>
      </c>
      <c r="P16" s="55">
        <f>'Parameter Input'!G93</f>
        <v>0.4</v>
      </c>
      <c r="Q16" s="4">
        <f t="shared" si="1"/>
        <v>0.9867978615748374</v>
      </c>
      <c r="R16" s="4">
        <f t="shared" si="1"/>
        <v>0.98114509762858249</v>
      </c>
      <c r="S16" s="4">
        <f t="shared" si="1"/>
        <v>0.97311898315872036</v>
      </c>
      <c r="T16" s="4">
        <f t="shared" si="1"/>
        <v>0.96177484161592774</v>
      </c>
      <c r="U16" s="4">
        <f t="shared" si="1"/>
        <v>0.94584787155511363</v>
      </c>
      <c r="V16" s="4">
        <f t="shared" si="1"/>
        <v>0.92370360150141495</v>
      </c>
      <c r="W16" s="4">
        <f t="shared" si="1"/>
        <v>0.89334463567658451</v>
      </c>
      <c r="X16" s="4">
        <f t="shared" si="1"/>
        <v>0.85254543874327005</v>
      </c>
      <c r="Y16" s="4">
        <f t="shared" si="1"/>
        <v>0.79921300652623883</v>
      </c>
      <c r="Z16" s="4">
        <f t="shared" si="1"/>
        <v>0.73204982249993378</v>
      </c>
      <c r="AA16" s="4">
        <f t="shared" si="1"/>
        <v>0.65145592958786691</v>
      </c>
      <c r="AB16" s="4">
        <f t="shared" si="1"/>
        <v>0.56032247880849573</v>
      </c>
      <c r="AC16" s="4">
        <f t="shared" si="1"/>
        <v>0.46411326873185343</v>
      </c>
      <c r="AD16" s="4">
        <f t="shared" si="1"/>
        <v>0.36979727595523937</v>
      </c>
      <c r="AE16" s="4">
        <f t="shared" si="1"/>
        <v>0.28393948637231203</v>
      </c>
      <c r="AF16" s="4">
        <f t="shared" si="1"/>
        <v>0.21097259161117732</v>
      </c>
      <c r="AG16" s="4">
        <f t="shared" si="1"/>
        <v>0.15253917653798199</v>
      </c>
      <c r="AH16" s="4">
        <f t="shared" si="1"/>
        <v>0.10795188737709993</v>
      </c>
      <c r="AI16" s="4">
        <f t="shared" si="1"/>
        <v>7.5176653938091809E-2</v>
      </c>
      <c r="AJ16" s="4">
        <f t="shared" si="1"/>
        <v>5.1742836177502194E-2</v>
      </c>
      <c r="AK16" s="4">
        <f t="shared" si="1"/>
        <v>3.5319190625345942E-2</v>
      </c>
      <c r="AL16" s="4">
        <f t="shared" si="1"/>
        <v>2.3969442072658165E-2</v>
      </c>
      <c r="AM16" s="4">
        <f t="shared" si="1"/>
        <v>1.6202243558389728E-2</v>
      </c>
      <c r="AN16" s="4">
        <f t="shared" si="1"/>
        <v>1.0922240564108399E-2</v>
      </c>
      <c r="AO16" s="4">
        <f t="shared" si="1"/>
        <v>7.3493212906090566E-3</v>
      </c>
      <c r="AP16" s="4">
        <f t="shared" si="1"/>
        <v>4.9390262185057265E-3</v>
      </c>
      <c r="AQ16" s="4">
        <f t="shared" si="1"/>
        <v>3.3164275492956197E-3</v>
      </c>
      <c r="AR16" s="4">
        <f t="shared" si="1"/>
        <v>2.2256362146679809E-3</v>
      </c>
      <c r="AT16" s="85" t="str">
        <f t="shared" ref="AT16:AW17" si="4">A22</f>
        <v>Lifetime vehicle</v>
      </c>
      <c r="AU16" s="81">
        <f t="shared" si="4"/>
        <v>20</v>
      </c>
      <c r="AV16" s="81">
        <f t="shared" si="4"/>
        <v>20</v>
      </c>
      <c r="AW16" s="81" t="str">
        <f t="shared" si="4"/>
        <v>[a]</v>
      </c>
      <c r="AX16" s="80">
        <f>L22</f>
        <v>12</v>
      </c>
      <c r="AY16" s="80">
        <f>O22</f>
        <v>0.9</v>
      </c>
      <c r="AZ16" s="80">
        <f>P22</f>
        <v>0.4</v>
      </c>
      <c r="BA16" s="86"/>
    </row>
    <row r="17" spans="1:53" x14ac:dyDescent="0.25">
      <c r="A17" s="24" t="s">
        <v>52</v>
      </c>
      <c r="B17" s="43">
        <f>'Parameter Input'!$L$118</f>
        <v>1300000</v>
      </c>
      <c r="C17" s="44">
        <f>'Parameter Input'!$M$118</f>
        <v>812500</v>
      </c>
      <c r="D17" s="1" t="s">
        <v>38</v>
      </c>
      <c r="L17" s="54">
        <f>'Parameter Input'!$O$118</f>
        <v>12</v>
      </c>
      <c r="M17" s="37">
        <v>0</v>
      </c>
      <c r="N17" s="37">
        <v>1</v>
      </c>
      <c r="O17" s="37">
        <f>'Parameter Input'!$P$118</f>
        <v>0.9</v>
      </c>
      <c r="P17" s="55">
        <f>'Parameter Input'!$Q$118</f>
        <v>0.4</v>
      </c>
      <c r="Q17" s="4">
        <f t="shared" si="1"/>
        <v>0.9867978615748374</v>
      </c>
      <c r="R17" s="4">
        <f t="shared" si="1"/>
        <v>0.98114509762858249</v>
      </c>
      <c r="S17" s="4">
        <f t="shared" si="1"/>
        <v>0.97311898315872036</v>
      </c>
      <c r="T17" s="4">
        <f t="shared" si="1"/>
        <v>0.96177484161592774</v>
      </c>
      <c r="U17" s="4">
        <f t="shared" si="1"/>
        <v>0.94584787155511363</v>
      </c>
      <c r="V17" s="4">
        <f t="shared" si="1"/>
        <v>0.92370360150141495</v>
      </c>
      <c r="W17" s="4">
        <f t="shared" si="1"/>
        <v>0.89334463567658451</v>
      </c>
      <c r="X17" s="4">
        <f t="shared" si="1"/>
        <v>0.85254543874327005</v>
      </c>
      <c r="Y17" s="4">
        <f t="shared" si="1"/>
        <v>0.79921300652623883</v>
      </c>
      <c r="Z17" s="4">
        <f t="shared" si="1"/>
        <v>0.73204982249993378</v>
      </c>
      <c r="AA17" s="4">
        <f t="shared" si="1"/>
        <v>0.65145592958786691</v>
      </c>
      <c r="AB17" s="4">
        <f t="shared" si="1"/>
        <v>0.56032247880849573</v>
      </c>
      <c r="AC17" s="4">
        <f t="shared" si="1"/>
        <v>0.46411326873185343</v>
      </c>
      <c r="AD17" s="4">
        <f t="shared" si="1"/>
        <v>0.36979727595523937</v>
      </c>
      <c r="AE17" s="4">
        <f t="shared" si="1"/>
        <v>0.28393948637231203</v>
      </c>
      <c r="AF17" s="4">
        <f t="shared" si="1"/>
        <v>0.21097259161117732</v>
      </c>
      <c r="AG17" s="4">
        <f t="shared" si="1"/>
        <v>0.15253917653798199</v>
      </c>
      <c r="AH17" s="4">
        <f t="shared" si="1"/>
        <v>0.10795188737709993</v>
      </c>
      <c r="AI17" s="4">
        <f t="shared" si="1"/>
        <v>7.5176653938091809E-2</v>
      </c>
      <c r="AJ17" s="4">
        <f t="shared" si="1"/>
        <v>5.1742836177502194E-2</v>
      </c>
      <c r="AK17" s="4">
        <f t="shared" si="1"/>
        <v>3.5319190625345942E-2</v>
      </c>
      <c r="AL17" s="4">
        <f t="shared" si="1"/>
        <v>2.3969442072658165E-2</v>
      </c>
      <c r="AM17" s="4">
        <f t="shared" si="1"/>
        <v>1.6202243558389728E-2</v>
      </c>
      <c r="AN17" s="4">
        <f t="shared" si="1"/>
        <v>1.0922240564108399E-2</v>
      </c>
      <c r="AO17" s="4">
        <f t="shared" si="1"/>
        <v>7.3493212906090566E-3</v>
      </c>
      <c r="AP17" s="4">
        <f t="shared" si="1"/>
        <v>4.9390262185057265E-3</v>
      </c>
      <c r="AQ17" s="4">
        <f t="shared" si="1"/>
        <v>3.3164275492956197E-3</v>
      </c>
      <c r="AR17" s="4">
        <f t="shared" si="1"/>
        <v>2.2256362146679809E-3</v>
      </c>
      <c r="AT17" s="85" t="str">
        <f t="shared" si="4"/>
        <v>Lifetime costumization</v>
      </c>
      <c r="AU17" s="81">
        <f t="shared" si="4"/>
        <v>30</v>
      </c>
      <c r="AV17" s="81">
        <f t="shared" si="4"/>
        <v>30</v>
      </c>
      <c r="AW17" s="81" t="str">
        <f t="shared" si="4"/>
        <v>[a]</v>
      </c>
      <c r="AX17" s="80">
        <f>L23</f>
        <v>12</v>
      </c>
      <c r="AY17" s="80">
        <f>O23</f>
        <v>0.9</v>
      </c>
      <c r="AZ17" s="80">
        <f>P23</f>
        <v>0.4</v>
      </c>
      <c r="BA17" s="86"/>
    </row>
    <row r="18" spans="1:53" ht="15.75" thickBot="1" x14ac:dyDescent="0.3">
      <c r="A18" s="24" t="s">
        <v>287</v>
      </c>
      <c r="B18" s="45">
        <f>'Parameter Input'!B98</f>
        <v>3.9215686274509802</v>
      </c>
      <c r="C18" s="46">
        <f>'Parameter Input'!C98</f>
        <v>3.9215686274509802</v>
      </c>
      <c r="D18" s="1" t="s">
        <v>76</v>
      </c>
      <c r="L18" s="54">
        <f>'Parameter Input'!E98</f>
        <v>12</v>
      </c>
      <c r="M18" s="37">
        <v>0</v>
      </c>
      <c r="N18" s="37">
        <v>1</v>
      </c>
      <c r="O18" s="37">
        <f>'Parameter Input'!F98</f>
        <v>0.9</v>
      </c>
      <c r="P18" s="55">
        <f>'Parameter Input'!G98</f>
        <v>0.4</v>
      </c>
      <c r="Q18" s="4">
        <f t="shared" si="1"/>
        <v>0.9867978615748374</v>
      </c>
      <c r="R18" s="4">
        <f t="shared" si="1"/>
        <v>0.98114509762858249</v>
      </c>
      <c r="S18" s="4">
        <f t="shared" si="1"/>
        <v>0.97311898315872036</v>
      </c>
      <c r="T18" s="4">
        <f t="shared" si="1"/>
        <v>0.96177484161592774</v>
      </c>
      <c r="U18" s="4">
        <f t="shared" si="1"/>
        <v>0.94584787155511363</v>
      </c>
      <c r="V18" s="4">
        <f t="shared" si="1"/>
        <v>0.92370360150141495</v>
      </c>
      <c r="W18" s="4">
        <f t="shared" si="1"/>
        <v>0.89334463567658451</v>
      </c>
      <c r="X18" s="4">
        <f t="shared" si="1"/>
        <v>0.85254543874327005</v>
      </c>
      <c r="Y18" s="4">
        <f t="shared" si="1"/>
        <v>0.79921300652623883</v>
      </c>
      <c r="Z18" s="4">
        <f t="shared" si="1"/>
        <v>0.73204982249993378</v>
      </c>
      <c r="AA18" s="4">
        <f t="shared" si="1"/>
        <v>0.65145592958786691</v>
      </c>
      <c r="AB18" s="4">
        <f t="shared" si="1"/>
        <v>0.56032247880849573</v>
      </c>
      <c r="AC18" s="4">
        <f t="shared" si="1"/>
        <v>0.46411326873185343</v>
      </c>
      <c r="AD18" s="4">
        <f t="shared" si="1"/>
        <v>0.36979727595523937</v>
      </c>
      <c r="AE18" s="4">
        <f t="shared" si="1"/>
        <v>0.28393948637231203</v>
      </c>
      <c r="AF18" s="4">
        <f t="shared" si="1"/>
        <v>0.21097259161117732</v>
      </c>
      <c r="AG18" s="4">
        <f t="shared" si="1"/>
        <v>0.15253917653798199</v>
      </c>
      <c r="AH18" s="4">
        <f t="shared" si="1"/>
        <v>0.10795188737709993</v>
      </c>
      <c r="AI18" s="4">
        <f t="shared" si="1"/>
        <v>7.5176653938091809E-2</v>
      </c>
      <c r="AJ18" s="4">
        <f t="shared" si="1"/>
        <v>5.1742836177502194E-2</v>
      </c>
      <c r="AK18" s="4">
        <f t="shared" si="1"/>
        <v>3.5319190625345942E-2</v>
      </c>
      <c r="AL18" s="4">
        <f t="shared" si="1"/>
        <v>2.3969442072658165E-2</v>
      </c>
      <c r="AM18" s="4">
        <f t="shared" si="1"/>
        <v>1.6202243558389728E-2</v>
      </c>
      <c r="AN18" s="4">
        <f t="shared" si="1"/>
        <v>1.0922240564108399E-2</v>
      </c>
      <c r="AO18" s="4">
        <f t="shared" si="1"/>
        <v>7.3493212906090566E-3</v>
      </c>
      <c r="AP18" s="4">
        <f t="shared" si="1"/>
        <v>4.9390262185057265E-3</v>
      </c>
      <c r="AQ18" s="4">
        <f t="shared" si="1"/>
        <v>3.3164275492956197E-3</v>
      </c>
      <c r="AR18" s="4">
        <f t="shared" si="1"/>
        <v>2.2256362146679809E-3</v>
      </c>
    </row>
    <row r="19" spans="1:53" x14ac:dyDescent="0.25">
      <c r="A19" s="24" t="s">
        <v>59</v>
      </c>
      <c r="B19" s="47">
        <f>'Parameter Input'!$L$119</f>
        <v>33.590199999999996</v>
      </c>
      <c r="C19" s="48">
        <f>'Parameter Input'!$M$119</f>
        <v>33.590199999999996</v>
      </c>
      <c r="D19" s="1" t="s">
        <v>60</v>
      </c>
      <c r="L19" s="54">
        <f>'Parameter Input'!$O$119</f>
        <v>12</v>
      </c>
      <c r="M19" s="37">
        <v>0</v>
      </c>
      <c r="N19" s="37">
        <v>1</v>
      </c>
      <c r="O19" s="37">
        <f>'Parameter Input'!$P$119</f>
        <v>0.9</v>
      </c>
      <c r="P19" s="55">
        <f>'Parameter Input'!$Q$119</f>
        <v>0.4</v>
      </c>
      <c r="Q19" s="4">
        <f t="shared" si="1"/>
        <v>0.9867978615748374</v>
      </c>
      <c r="R19" s="4">
        <f t="shared" si="1"/>
        <v>0.98114509762858249</v>
      </c>
      <c r="S19" s="4">
        <f t="shared" si="1"/>
        <v>0.97311898315872036</v>
      </c>
      <c r="T19" s="4">
        <f t="shared" si="1"/>
        <v>0.96177484161592774</v>
      </c>
      <c r="U19" s="4">
        <f t="shared" si="1"/>
        <v>0.94584787155511363</v>
      </c>
      <c r="V19" s="4">
        <f t="shared" si="1"/>
        <v>0.92370360150141495</v>
      </c>
      <c r="W19" s="4">
        <f t="shared" si="1"/>
        <v>0.89334463567658451</v>
      </c>
      <c r="X19" s="4">
        <f t="shared" si="1"/>
        <v>0.85254543874327005</v>
      </c>
      <c r="Y19" s="4">
        <f t="shared" si="1"/>
        <v>0.79921300652623883</v>
      </c>
      <c r="Z19" s="4">
        <f t="shared" si="1"/>
        <v>0.73204982249993378</v>
      </c>
      <c r="AA19" s="4">
        <f t="shared" si="1"/>
        <v>0.65145592958786691</v>
      </c>
      <c r="AB19" s="4">
        <f t="shared" si="1"/>
        <v>0.56032247880849573</v>
      </c>
      <c r="AC19" s="4">
        <f t="shared" si="1"/>
        <v>0.46411326873185343</v>
      </c>
      <c r="AD19" s="4">
        <f t="shared" si="1"/>
        <v>0.36979727595523937</v>
      </c>
      <c r="AE19" s="4">
        <f t="shared" si="1"/>
        <v>0.28393948637231203</v>
      </c>
      <c r="AF19" s="4">
        <f t="shared" si="1"/>
        <v>0.21097259161117732</v>
      </c>
      <c r="AG19" s="4">
        <f t="shared" si="1"/>
        <v>0.15253917653798199</v>
      </c>
      <c r="AH19" s="4">
        <f t="shared" si="1"/>
        <v>0.10795188737709993</v>
      </c>
      <c r="AI19" s="4">
        <f t="shared" si="1"/>
        <v>7.5176653938091809E-2</v>
      </c>
      <c r="AJ19" s="4">
        <f t="shared" si="1"/>
        <v>5.1742836177502194E-2</v>
      </c>
      <c r="AK19" s="4">
        <f t="shared" si="1"/>
        <v>3.5319190625345942E-2</v>
      </c>
      <c r="AL19" s="4">
        <f t="shared" si="1"/>
        <v>2.3969442072658165E-2</v>
      </c>
      <c r="AM19" s="4">
        <f t="shared" si="1"/>
        <v>1.6202243558389728E-2</v>
      </c>
      <c r="AN19" s="4">
        <f t="shared" si="1"/>
        <v>1.0922240564108399E-2</v>
      </c>
      <c r="AO19" s="4">
        <f t="shared" si="1"/>
        <v>7.3493212906090566E-3</v>
      </c>
      <c r="AP19" s="4">
        <f t="shared" si="1"/>
        <v>4.9390262185057265E-3</v>
      </c>
      <c r="AQ19" s="4">
        <f t="shared" si="1"/>
        <v>3.3164275492956197E-3</v>
      </c>
      <c r="AR19" s="4">
        <f t="shared" si="1"/>
        <v>2.2256362146679809E-3</v>
      </c>
      <c r="AT19" s="82" t="str">
        <f>A1</f>
        <v>Railway long-haul: Dry bulk</v>
      </c>
      <c r="AU19" s="83"/>
      <c r="AV19" s="83"/>
      <c r="AW19" s="83"/>
      <c r="AX19" s="83"/>
      <c r="AY19" s="83"/>
      <c r="AZ19" s="83"/>
      <c r="BA19" s="84"/>
    </row>
    <row r="20" spans="1:53" x14ac:dyDescent="0.25">
      <c r="A20" s="24" t="s">
        <v>67</v>
      </c>
      <c r="B20" s="45">
        <f>'Parameter Input'!$L$120</f>
        <v>0.13371034051801745</v>
      </c>
      <c r="C20" s="46">
        <f>'Parameter Input'!$M$120</f>
        <v>8.7585019329602734E-2</v>
      </c>
      <c r="D20" s="1" t="s">
        <v>68</v>
      </c>
      <c r="L20" s="54">
        <f>'Parameter Input'!$O$120</f>
        <v>12</v>
      </c>
      <c r="M20" s="37">
        <v>0</v>
      </c>
      <c r="N20" s="37">
        <v>1</v>
      </c>
      <c r="O20" s="37">
        <f>'Parameter Input'!$P$120</f>
        <v>0.9</v>
      </c>
      <c r="P20" s="55">
        <f>'Parameter Input'!$Q$120</f>
        <v>0.4</v>
      </c>
      <c r="Q20" s="4">
        <f t="shared" si="1"/>
        <v>0.9867978615748374</v>
      </c>
      <c r="R20" s="4">
        <f t="shared" si="1"/>
        <v>0.98114509762858249</v>
      </c>
      <c r="S20" s="4">
        <f t="shared" si="1"/>
        <v>0.97311898315872036</v>
      </c>
      <c r="T20" s="4">
        <f t="shared" ref="T20:AR27" si="5">$N20+($M20-$N20)*((1/(1+EXP(-$P20*(T$9-$L20)))^$O20))</f>
        <v>0.96177484161592774</v>
      </c>
      <c r="U20" s="4">
        <f t="shared" si="5"/>
        <v>0.94584787155511363</v>
      </c>
      <c r="V20" s="4">
        <f t="shared" si="5"/>
        <v>0.92370360150141495</v>
      </c>
      <c r="W20" s="4">
        <f t="shared" si="5"/>
        <v>0.89334463567658451</v>
      </c>
      <c r="X20" s="4">
        <f t="shared" si="5"/>
        <v>0.85254543874327005</v>
      </c>
      <c r="Y20" s="4">
        <f t="shared" si="5"/>
        <v>0.79921300652623883</v>
      </c>
      <c r="Z20" s="4">
        <f t="shared" si="5"/>
        <v>0.73204982249993378</v>
      </c>
      <c r="AA20" s="4">
        <f t="shared" si="5"/>
        <v>0.65145592958786691</v>
      </c>
      <c r="AB20" s="4">
        <f t="shared" si="5"/>
        <v>0.56032247880849573</v>
      </c>
      <c r="AC20" s="4">
        <f t="shared" si="5"/>
        <v>0.46411326873185343</v>
      </c>
      <c r="AD20" s="4">
        <f t="shared" si="5"/>
        <v>0.36979727595523937</v>
      </c>
      <c r="AE20" s="4">
        <f t="shared" si="5"/>
        <v>0.28393948637231203</v>
      </c>
      <c r="AF20" s="4">
        <f t="shared" si="5"/>
        <v>0.21097259161117732</v>
      </c>
      <c r="AG20" s="4">
        <f t="shared" si="5"/>
        <v>0.15253917653798199</v>
      </c>
      <c r="AH20" s="4">
        <f t="shared" si="5"/>
        <v>0.10795188737709993</v>
      </c>
      <c r="AI20" s="4">
        <f t="shared" si="5"/>
        <v>7.5176653938091809E-2</v>
      </c>
      <c r="AJ20" s="4">
        <f t="shared" si="5"/>
        <v>5.1742836177502194E-2</v>
      </c>
      <c r="AK20" s="4">
        <f t="shared" si="5"/>
        <v>3.5319190625345942E-2</v>
      </c>
      <c r="AL20" s="4">
        <f t="shared" si="5"/>
        <v>2.3969442072658165E-2</v>
      </c>
      <c r="AM20" s="4">
        <f t="shared" si="5"/>
        <v>1.6202243558389728E-2</v>
      </c>
      <c r="AN20" s="4">
        <f t="shared" si="5"/>
        <v>1.0922240564108399E-2</v>
      </c>
      <c r="AO20" s="4">
        <f t="shared" si="5"/>
        <v>7.3493212906090566E-3</v>
      </c>
      <c r="AP20" s="4">
        <f t="shared" si="5"/>
        <v>4.9390262185057265E-3</v>
      </c>
      <c r="AQ20" s="4">
        <f t="shared" si="5"/>
        <v>3.3164275492956197E-3</v>
      </c>
      <c r="AR20" s="4">
        <f t="shared" si="5"/>
        <v>2.2256362146679809E-3</v>
      </c>
      <c r="AT20" s="85" t="str">
        <f>A2</f>
        <v>Battery</v>
      </c>
      <c r="AU20" s="80"/>
      <c r="AV20" s="80"/>
      <c r="AW20" s="80"/>
      <c r="AX20" s="80"/>
      <c r="AY20" s="80"/>
      <c r="AZ20" s="80"/>
      <c r="BA20" s="86"/>
    </row>
    <row r="21" spans="1:53" x14ac:dyDescent="0.25">
      <c r="A21" s="24" t="s">
        <v>206</v>
      </c>
      <c r="B21" s="115">
        <f>'Parameter Input'!$L$123</f>
        <v>7.7787831578947364E-2</v>
      </c>
      <c r="C21" s="116">
        <f>'Parameter Input'!$M$123</f>
        <v>0</v>
      </c>
      <c r="D21" s="1" t="s">
        <v>76</v>
      </c>
      <c r="L21" s="54">
        <f>'Parameter Input'!$O$123</f>
        <v>17</v>
      </c>
      <c r="M21" s="37">
        <v>0</v>
      </c>
      <c r="N21" s="37">
        <v>1</v>
      </c>
      <c r="O21" s="37">
        <f>'Parameter Input'!$P$123</f>
        <v>0.9</v>
      </c>
      <c r="P21" s="55">
        <f>'Parameter Input'!$Q$123</f>
        <v>0.4</v>
      </c>
      <c r="Q21" s="4">
        <f t="shared" ref="Q21:AR21" si="6">$N21+($M21-$N21)*((1/(1+EXP(-$P21*(Q$9-$L21)))^$O21))</f>
        <v>0.99780374543478534</v>
      </c>
      <c r="R21" s="4">
        <f t="shared" si="6"/>
        <v>0.99685359315256394</v>
      </c>
      <c r="S21" s="4">
        <f t="shared" si="6"/>
        <v>0.99549347132349975</v>
      </c>
      <c r="T21" s="4">
        <f t="shared" si="6"/>
        <v>0.99354772139898062</v>
      </c>
      <c r="U21" s="4">
        <f t="shared" si="6"/>
        <v>0.99076681540580536</v>
      </c>
      <c r="V21" s="4">
        <f t="shared" si="6"/>
        <v>0.9867978615748374</v>
      </c>
      <c r="W21" s="4">
        <f t="shared" si="6"/>
        <v>0.98114509762858249</v>
      </c>
      <c r="X21" s="4">
        <f t="shared" si="6"/>
        <v>0.97311898315872036</v>
      </c>
      <c r="Y21" s="4">
        <f t="shared" si="6"/>
        <v>0.96177484161592774</v>
      </c>
      <c r="Z21" s="4">
        <f t="shared" si="6"/>
        <v>0.94584787155511363</v>
      </c>
      <c r="AA21" s="4">
        <f t="shared" si="6"/>
        <v>0.92370360150141495</v>
      </c>
      <c r="AB21" s="4">
        <f t="shared" si="6"/>
        <v>0.89334463567658451</v>
      </c>
      <c r="AC21" s="4">
        <f t="shared" si="6"/>
        <v>0.85254543874327005</v>
      </c>
      <c r="AD21" s="4">
        <f t="shared" si="6"/>
        <v>0.79921300652623883</v>
      </c>
      <c r="AE21" s="4">
        <f t="shared" si="6"/>
        <v>0.73204982249993378</v>
      </c>
      <c r="AF21" s="4">
        <f t="shared" si="6"/>
        <v>0.65145592958786691</v>
      </c>
      <c r="AG21" s="4">
        <f t="shared" si="6"/>
        <v>0.56032247880849573</v>
      </c>
      <c r="AH21" s="4">
        <f t="shared" si="6"/>
        <v>0.46411326873185343</v>
      </c>
      <c r="AI21" s="4">
        <f t="shared" si="6"/>
        <v>0.36979727595523937</v>
      </c>
      <c r="AJ21" s="4">
        <f t="shared" si="6"/>
        <v>0.28393948637231203</v>
      </c>
      <c r="AK21" s="4">
        <f t="shared" si="6"/>
        <v>0.21097259161117732</v>
      </c>
      <c r="AL21" s="4">
        <f t="shared" si="6"/>
        <v>0.15253917653798199</v>
      </c>
      <c r="AM21" s="4">
        <f t="shared" si="6"/>
        <v>0.10795188737709993</v>
      </c>
      <c r="AN21" s="4">
        <f t="shared" si="6"/>
        <v>7.5176653938091809E-2</v>
      </c>
      <c r="AO21" s="4">
        <f t="shared" si="6"/>
        <v>5.1742836177502194E-2</v>
      </c>
      <c r="AP21" s="4">
        <f t="shared" si="6"/>
        <v>3.5319190625345942E-2</v>
      </c>
      <c r="AQ21" s="4">
        <f t="shared" si="6"/>
        <v>2.3969442072658165E-2</v>
      </c>
      <c r="AR21" s="4">
        <f t="shared" si="6"/>
        <v>1.6202243558389728E-2</v>
      </c>
    </row>
    <row r="22" spans="1:53" x14ac:dyDescent="0.25">
      <c r="A22" s="24" t="s">
        <v>41</v>
      </c>
      <c r="B22" s="43">
        <f>'Parameter Input'!$L$117</f>
        <v>20</v>
      </c>
      <c r="C22" s="44">
        <f>'Parameter Input'!$M$117</f>
        <v>20</v>
      </c>
      <c r="D22" s="1" t="s">
        <v>42</v>
      </c>
      <c r="L22" s="54">
        <f>'Parameter Input'!$O$117</f>
        <v>12</v>
      </c>
      <c r="M22" s="37">
        <v>0</v>
      </c>
      <c r="N22" s="37">
        <v>1</v>
      </c>
      <c r="O22" s="37">
        <f>'Parameter Input'!$P$117</f>
        <v>0.9</v>
      </c>
      <c r="P22" s="55">
        <f>'Parameter Input'!$Q$117</f>
        <v>0.4</v>
      </c>
      <c r="Q22" s="4">
        <f t="shared" ref="Q22:AF27" si="7">$N22+($M22-$N22)*((1/(1+EXP(-$P22*(Q$9-$L22)))^$O22))</f>
        <v>0.9867978615748374</v>
      </c>
      <c r="R22" s="4">
        <f t="shared" si="7"/>
        <v>0.98114509762858249</v>
      </c>
      <c r="S22" s="4">
        <f t="shared" si="7"/>
        <v>0.97311898315872036</v>
      </c>
      <c r="T22" s="4">
        <f t="shared" si="7"/>
        <v>0.96177484161592774</v>
      </c>
      <c r="U22" s="4">
        <f t="shared" si="7"/>
        <v>0.94584787155511363</v>
      </c>
      <c r="V22" s="4">
        <f t="shared" si="7"/>
        <v>0.92370360150141495</v>
      </c>
      <c r="W22" s="4">
        <f t="shared" si="7"/>
        <v>0.89334463567658451</v>
      </c>
      <c r="X22" s="4">
        <f t="shared" si="7"/>
        <v>0.85254543874327005</v>
      </c>
      <c r="Y22" s="4">
        <f t="shared" si="7"/>
        <v>0.79921300652623883</v>
      </c>
      <c r="Z22" s="4">
        <f t="shared" si="7"/>
        <v>0.73204982249993378</v>
      </c>
      <c r="AA22" s="4">
        <f t="shared" si="7"/>
        <v>0.65145592958786691</v>
      </c>
      <c r="AB22" s="4">
        <f t="shared" si="7"/>
        <v>0.56032247880849573</v>
      </c>
      <c r="AC22" s="4">
        <f t="shared" si="7"/>
        <v>0.46411326873185343</v>
      </c>
      <c r="AD22" s="4">
        <f t="shared" si="7"/>
        <v>0.36979727595523937</v>
      </c>
      <c r="AE22" s="4">
        <f t="shared" si="7"/>
        <v>0.28393948637231203</v>
      </c>
      <c r="AF22" s="4">
        <f t="shared" si="7"/>
        <v>0.21097259161117732</v>
      </c>
      <c r="AG22" s="4">
        <f t="shared" si="5"/>
        <v>0.15253917653798199</v>
      </c>
      <c r="AH22" s="4">
        <f t="shared" si="5"/>
        <v>0.10795188737709993</v>
      </c>
      <c r="AI22" s="4">
        <f t="shared" si="5"/>
        <v>7.5176653938091809E-2</v>
      </c>
      <c r="AJ22" s="4">
        <f t="shared" si="5"/>
        <v>5.1742836177502194E-2</v>
      </c>
      <c r="AK22" s="4">
        <f t="shared" si="5"/>
        <v>3.5319190625345942E-2</v>
      </c>
      <c r="AL22" s="4">
        <f t="shared" si="5"/>
        <v>2.3969442072658165E-2</v>
      </c>
      <c r="AM22" s="4">
        <f t="shared" si="5"/>
        <v>1.6202243558389728E-2</v>
      </c>
      <c r="AN22" s="4">
        <f t="shared" si="5"/>
        <v>1.0922240564108399E-2</v>
      </c>
      <c r="AO22" s="4">
        <f t="shared" si="5"/>
        <v>7.3493212906090566E-3</v>
      </c>
      <c r="AP22" s="4">
        <f t="shared" si="5"/>
        <v>4.9390262185057265E-3</v>
      </c>
      <c r="AQ22" s="4">
        <f t="shared" si="5"/>
        <v>3.3164275492956197E-3</v>
      </c>
      <c r="AR22" s="4">
        <f t="shared" si="5"/>
        <v>2.2256362146679809E-3</v>
      </c>
      <c r="AT22" s="85" t="str">
        <f t="shared" ref="AT22:AW23" si="8">A13</f>
        <v>Capex costumization</v>
      </c>
      <c r="AU22" s="81">
        <f t="shared" si="8"/>
        <v>4200000</v>
      </c>
      <c r="AV22" s="81">
        <f t="shared" si="8"/>
        <v>4200000</v>
      </c>
      <c r="AW22" s="81" t="str">
        <f t="shared" si="8"/>
        <v>[€]</v>
      </c>
      <c r="AX22" s="80">
        <f>L13</f>
        <v>12</v>
      </c>
      <c r="AY22" s="80">
        <f>O13</f>
        <v>0.9</v>
      </c>
      <c r="AZ22" s="80">
        <f>P13</f>
        <v>0.4</v>
      </c>
      <c r="BA22" s="86"/>
    </row>
    <row r="23" spans="1:53" x14ac:dyDescent="0.25">
      <c r="A23" s="24" t="s">
        <v>70</v>
      </c>
      <c r="B23" s="43">
        <f>'Parameter Input'!B97</f>
        <v>30</v>
      </c>
      <c r="C23" s="44">
        <f>'Parameter Input'!C97</f>
        <v>30</v>
      </c>
      <c r="D23" s="1" t="s">
        <v>42</v>
      </c>
      <c r="L23" s="54">
        <f>'Parameter Input'!E97</f>
        <v>12</v>
      </c>
      <c r="M23" s="37">
        <v>0</v>
      </c>
      <c r="N23" s="37">
        <v>1</v>
      </c>
      <c r="O23" s="37">
        <f>'Parameter Input'!F97</f>
        <v>0.9</v>
      </c>
      <c r="P23" s="55">
        <f>'Parameter Input'!G97</f>
        <v>0.4</v>
      </c>
      <c r="Q23" s="4">
        <f t="shared" si="7"/>
        <v>0.9867978615748374</v>
      </c>
      <c r="R23" s="4">
        <f t="shared" si="7"/>
        <v>0.98114509762858249</v>
      </c>
      <c r="S23" s="4">
        <f t="shared" si="7"/>
        <v>0.97311898315872036</v>
      </c>
      <c r="T23" s="4">
        <f t="shared" si="7"/>
        <v>0.96177484161592774</v>
      </c>
      <c r="U23" s="4">
        <f t="shared" si="7"/>
        <v>0.94584787155511363</v>
      </c>
      <c r="V23" s="4">
        <f t="shared" si="7"/>
        <v>0.92370360150141495</v>
      </c>
      <c r="W23" s="4">
        <f t="shared" si="7"/>
        <v>0.89334463567658451</v>
      </c>
      <c r="X23" s="4">
        <f t="shared" si="7"/>
        <v>0.85254543874327005</v>
      </c>
      <c r="Y23" s="4">
        <f t="shared" si="7"/>
        <v>0.79921300652623883</v>
      </c>
      <c r="Z23" s="4">
        <f t="shared" si="7"/>
        <v>0.73204982249993378</v>
      </c>
      <c r="AA23" s="4">
        <f t="shared" si="7"/>
        <v>0.65145592958786691</v>
      </c>
      <c r="AB23" s="4">
        <f t="shared" si="7"/>
        <v>0.56032247880849573</v>
      </c>
      <c r="AC23" s="4">
        <f t="shared" si="7"/>
        <v>0.46411326873185343</v>
      </c>
      <c r="AD23" s="4">
        <f t="shared" si="7"/>
        <v>0.36979727595523937</v>
      </c>
      <c r="AE23" s="4">
        <f t="shared" si="7"/>
        <v>0.28393948637231203</v>
      </c>
      <c r="AF23" s="4">
        <f t="shared" si="7"/>
        <v>0.21097259161117732</v>
      </c>
      <c r="AG23" s="4">
        <f t="shared" si="5"/>
        <v>0.15253917653798199</v>
      </c>
      <c r="AH23" s="4">
        <f t="shared" si="5"/>
        <v>0.10795188737709993</v>
      </c>
      <c r="AI23" s="4">
        <f t="shared" si="5"/>
        <v>7.5176653938091809E-2</v>
      </c>
      <c r="AJ23" s="4">
        <f t="shared" si="5"/>
        <v>5.1742836177502194E-2</v>
      </c>
      <c r="AK23" s="4">
        <f t="shared" si="5"/>
        <v>3.5319190625345942E-2</v>
      </c>
      <c r="AL23" s="4">
        <f t="shared" si="5"/>
        <v>2.3969442072658165E-2</v>
      </c>
      <c r="AM23" s="4">
        <f t="shared" si="5"/>
        <v>1.6202243558389728E-2</v>
      </c>
      <c r="AN23" s="4">
        <f t="shared" si="5"/>
        <v>1.0922240564108399E-2</v>
      </c>
      <c r="AO23" s="4">
        <f t="shared" si="5"/>
        <v>7.3493212906090566E-3</v>
      </c>
      <c r="AP23" s="4">
        <f t="shared" si="5"/>
        <v>4.9390262185057265E-3</v>
      </c>
      <c r="AQ23" s="4">
        <f t="shared" si="5"/>
        <v>3.3164275492956197E-3</v>
      </c>
      <c r="AR23" s="4">
        <f t="shared" si="5"/>
        <v>2.2256362146679809E-3</v>
      </c>
      <c r="AT23" s="85" t="str">
        <f t="shared" si="8"/>
        <v>Residual value (costumization)</v>
      </c>
      <c r="AU23" s="81">
        <f t="shared" si="8"/>
        <v>-210000</v>
      </c>
      <c r="AV23" s="81">
        <f t="shared" si="8"/>
        <v>-210000</v>
      </c>
      <c r="AW23" s="81" t="str">
        <f t="shared" si="8"/>
        <v>[€]</v>
      </c>
      <c r="AX23" s="80">
        <f>L14</f>
        <v>12</v>
      </c>
      <c r="AY23" s="80">
        <f>O14</f>
        <v>0.9</v>
      </c>
      <c r="AZ23" s="80">
        <f>P14</f>
        <v>0.4</v>
      </c>
      <c r="BA23" s="86"/>
    </row>
    <row r="24" spans="1:53" x14ac:dyDescent="0.25">
      <c r="A24" s="24" t="s">
        <v>48</v>
      </c>
      <c r="B24" s="70">
        <f>'Parameter Input'!B94</f>
        <v>2240</v>
      </c>
      <c r="C24" s="71">
        <f>'Parameter Input'!C94</f>
        <v>2240</v>
      </c>
      <c r="D24" s="1" t="s">
        <v>49</v>
      </c>
      <c r="L24" s="54">
        <f>'Parameter Input'!E94</f>
        <v>12</v>
      </c>
      <c r="M24" s="37">
        <v>0</v>
      </c>
      <c r="N24" s="37">
        <v>1</v>
      </c>
      <c r="O24" s="37">
        <f>'Parameter Input'!F94</f>
        <v>0.9</v>
      </c>
      <c r="P24" s="55">
        <f>'Parameter Input'!G94</f>
        <v>0.4</v>
      </c>
      <c r="Q24" s="4">
        <f t="shared" si="7"/>
        <v>0.9867978615748374</v>
      </c>
      <c r="R24" s="4">
        <f t="shared" si="7"/>
        <v>0.98114509762858249</v>
      </c>
      <c r="S24" s="4">
        <f t="shared" si="7"/>
        <v>0.97311898315872036</v>
      </c>
      <c r="T24" s="4">
        <f t="shared" si="7"/>
        <v>0.96177484161592774</v>
      </c>
      <c r="U24" s="4">
        <f t="shared" si="7"/>
        <v>0.94584787155511363</v>
      </c>
      <c r="V24" s="4">
        <f t="shared" si="7"/>
        <v>0.92370360150141495</v>
      </c>
      <c r="W24" s="4">
        <f t="shared" si="7"/>
        <v>0.89334463567658451</v>
      </c>
      <c r="X24" s="4">
        <f t="shared" si="7"/>
        <v>0.85254543874327005</v>
      </c>
      <c r="Y24" s="4">
        <f t="shared" si="7"/>
        <v>0.79921300652623883</v>
      </c>
      <c r="Z24" s="4">
        <f t="shared" si="7"/>
        <v>0.73204982249993378</v>
      </c>
      <c r="AA24" s="4">
        <f t="shared" si="7"/>
        <v>0.65145592958786691</v>
      </c>
      <c r="AB24" s="4">
        <f t="shared" si="7"/>
        <v>0.56032247880849573</v>
      </c>
      <c r="AC24" s="4">
        <f t="shared" si="7"/>
        <v>0.46411326873185343</v>
      </c>
      <c r="AD24" s="4">
        <f t="shared" si="7"/>
        <v>0.36979727595523937</v>
      </c>
      <c r="AE24" s="4">
        <f t="shared" si="7"/>
        <v>0.28393948637231203</v>
      </c>
      <c r="AF24" s="4">
        <f t="shared" si="7"/>
        <v>0.21097259161117732</v>
      </c>
      <c r="AG24" s="4">
        <f t="shared" si="5"/>
        <v>0.15253917653798199</v>
      </c>
      <c r="AH24" s="4">
        <f t="shared" si="5"/>
        <v>0.10795188737709993</v>
      </c>
      <c r="AI24" s="4">
        <f t="shared" si="5"/>
        <v>7.5176653938091809E-2</v>
      </c>
      <c r="AJ24" s="4">
        <f t="shared" si="5"/>
        <v>5.1742836177502194E-2</v>
      </c>
      <c r="AK24" s="4">
        <f t="shared" si="5"/>
        <v>3.5319190625345942E-2</v>
      </c>
      <c r="AL24" s="4">
        <f t="shared" si="5"/>
        <v>2.3969442072658165E-2</v>
      </c>
      <c r="AM24" s="4">
        <f t="shared" si="5"/>
        <v>1.6202243558389728E-2</v>
      </c>
      <c r="AN24" s="4">
        <f t="shared" si="5"/>
        <v>1.0922240564108399E-2</v>
      </c>
      <c r="AO24" s="4">
        <f t="shared" si="5"/>
        <v>7.3493212906090566E-3</v>
      </c>
      <c r="AP24" s="4">
        <f t="shared" si="5"/>
        <v>4.9390262185057265E-3</v>
      </c>
      <c r="AQ24" s="4">
        <f t="shared" si="5"/>
        <v>3.3164275492956197E-3</v>
      </c>
      <c r="AR24" s="4">
        <f t="shared" si="5"/>
        <v>2.2256362146679809E-3</v>
      </c>
      <c r="AT24" s="85" t="str">
        <f t="shared" ref="AT24:AW27" si="9">A24</f>
        <v xml:space="preserve">Tonnage </v>
      </c>
      <c r="AU24" s="81">
        <f t="shared" si="9"/>
        <v>2240</v>
      </c>
      <c r="AV24" s="81">
        <f t="shared" si="9"/>
        <v>2240</v>
      </c>
      <c r="AW24" s="81" t="str">
        <f t="shared" si="9"/>
        <v>[t]</v>
      </c>
      <c r="AX24" s="80">
        <f>L24</f>
        <v>12</v>
      </c>
      <c r="AY24" s="80">
        <f t="shared" ref="AY24:AZ27" si="10">O24</f>
        <v>0.9</v>
      </c>
      <c r="AZ24" s="80">
        <f t="shared" si="10"/>
        <v>0.4</v>
      </c>
      <c r="BA24" s="86"/>
    </row>
    <row r="25" spans="1:53" x14ac:dyDescent="0.25">
      <c r="A25" s="24" t="s">
        <v>56</v>
      </c>
      <c r="B25" s="72">
        <f>'Parameter Input'!B95</f>
        <v>0.64</v>
      </c>
      <c r="C25" s="73">
        <f>'Parameter Input'!C95</f>
        <v>0.64</v>
      </c>
      <c r="D25" s="1" t="s">
        <v>57</v>
      </c>
      <c r="L25" s="54">
        <f>'Parameter Input'!E95</f>
        <v>12</v>
      </c>
      <c r="M25" s="37">
        <v>0</v>
      </c>
      <c r="N25" s="37">
        <v>1</v>
      </c>
      <c r="O25" s="37">
        <f>'Parameter Input'!F95</f>
        <v>0.9</v>
      </c>
      <c r="P25" s="55">
        <f>'Parameter Input'!G95</f>
        <v>0.4</v>
      </c>
      <c r="Q25" s="4">
        <f t="shared" si="7"/>
        <v>0.9867978615748374</v>
      </c>
      <c r="R25" s="4">
        <f t="shared" si="7"/>
        <v>0.98114509762858249</v>
      </c>
      <c r="S25" s="4">
        <f t="shared" si="7"/>
        <v>0.97311898315872036</v>
      </c>
      <c r="T25" s="4">
        <f t="shared" si="7"/>
        <v>0.96177484161592774</v>
      </c>
      <c r="U25" s="4">
        <f t="shared" si="7"/>
        <v>0.94584787155511363</v>
      </c>
      <c r="V25" s="4">
        <f t="shared" si="7"/>
        <v>0.92370360150141495</v>
      </c>
      <c r="W25" s="4">
        <f t="shared" si="7"/>
        <v>0.89334463567658451</v>
      </c>
      <c r="X25" s="4">
        <f t="shared" si="7"/>
        <v>0.85254543874327005</v>
      </c>
      <c r="Y25" s="4">
        <f t="shared" si="7"/>
        <v>0.79921300652623883</v>
      </c>
      <c r="Z25" s="4">
        <f t="shared" si="7"/>
        <v>0.73204982249993378</v>
      </c>
      <c r="AA25" s="4">
        <f t="shared" si="7"/>
        <v>0.65145592958786691</v>
      </c>
      <c r="AB25" s="4">
        <f t="shared" si="7"/>
        <v>0.56032247880849573</v>
      </c>
      <c r="AC25" s="4">
        <f t="shared" si="7"/>
        <v>0.46411326873185343</v>
      </c>
      <c r="AD25" s="4">
        <f t="shared" si="7"/>
        <v>0.36979727595523937</v>
      </c>
      <c r="AE25" s="4">
        <f t="shared" si="7"/>
        <v>0.28393948637231203</v>
      </c>
      <c r="AF25" s="4">
        <f t="shared" si="7"/>
        <v>0.21097259161117732</v>
      </c>
      <c r="AG25" s="4">
        <f t="shared" si="5"/>
        <v>0.15253917653798199</v>
      </c>
      <c r="AH25" s="4">
        <f t="shared" si="5"/>
        <v>0.10795188737709993</v>
      </c>
      <c r="AI25" s="4">
        <f t="shared" si="5"/>
        <v>7.5176653938091809E-2</v>
      </c>
      <c r="AJ25" s="4">
        <f t="shared" si="5"/>
        <v>5.1742836177502194E-2</v>
      </c>
      <c r="AK25" s="4">
        <f t="shared" si="5"/>
        <v>3.5319190625345942E-2</v>
      </c>
      <c r="AL25" s="4">
        <f t="shared" si="5"/>
        <v>2.3969442072658165E-2</v>
      </c>
      <c r="AM25" s="4">
        <f t="shared" si="5"/>
        <v>1.6202243558389728E-2</v>
      </c>
      <c r="AN25" s="4">
        <f t="shared" si="5"/>
        <v>1.0922240564108399E-2</v>
      </c>
      <c r="AO25" s="4">
        <f t="shared" si="5"/>
        <v>7.3493212906090566E-3</v>
      </c>
      <c r="AP25" s="4">
        <f t="shared" si="5"/>
        <v>4.9390262185057265E-3</v>
      </c>
      <c r="AQ25" s="4">
        <f t="shared" si="5"/>
        <v>3.3164275492956197E-3</v>
      </c>
      <c r="AR25" s="4">
        <f t="shared" si="5"/>
        <v>2.2256362146679809E-3</v>
      </c>
      <c r="AT25" s="85" t="str">
        <f t="shared" si="9"/>
        <v>Market failure (av. utilization)</v>
      </c>
      <c r="AU25" s="81">
        <f t="shared" si="9"/>
        <v>0.64</v>
      </c>
      <c r="AV25" s="81">
        <f t="shared" si="9"/>
        <v>0.64</v>
      </c>
      <c r="AW25" s="81" t="str">
        <f t="shared" si="9"/>
        <v>[%]</v>
      </c>
      <c r="AX25" s="80">
        <f>L25</f>
        <v>12</v>
      </c>
      <c r="AY25" s="80">
        <f t="shared" si="10"/>
        <v>0.9</v>
      </c>
      <c r="AZ25" s="80">
        <f t="shared" si="10"/>
        <v>0.4</v>
      </c>
      <c r="BA25" s="86"/>
    </row>
    <row r="26" spans="1:53" x14ac:dyDescent="0.25">
      <c r="A26" s="24" t="s">
        <v>73</v>
      </c>
      <c r="B26" s="72">
        <f>'Parameter Input'!$L$121</f>
        <v>3.5714285714285712E-2</v>
      </c>
      <c r="C26" s="73">
        <f>'Parameter Input'!$M$121</f>
        <v>1.7857142857142856E-2</v>
      </c>
      <c r="D26" s="1" t="s">
        <v>57</v>
      </c>
      <c r="L26" s="54">
        <f>'Parameter Input'!$O$121</f>
        <v>12</v>
      </c>
      <c r="M26" s="37">
        <v>0</v>
      </c>
      <c r="N26" s="37">
        <v>1</v>
      </c>
      <c r="O26" s="37">
        <f>'Parameter Input'!$P$121</f>
        <v>0.9</v>
      </c>
      <c r="P26" s="55">
        <f>'Parameter Input'!$Q$121</f>
        <v>0.4</v>
      </c>
      <c r="Q26" s="4">
        <f t="shared" si="7"/>
        <v>0.9867978615748374</v>
      </c>
      <c r="R26" s="4">
        <f t="shared" si="7"/>
        <v>0.98114509762858249</v>
      </c>
      <c r="S26" s="4">
        <f t="shared" si="7"/>
        <v>0.97311898315872036</v>
      </c>
      <c r="T26" s="4">
        <f t="shared" si="7"/>
        <v>0.96177484161592774</v>
      </c>
      <c r="U26" s="4">
        <f t="shared" si="7"/>
        <v>0.94584787155511363</v>
      </c>
      <c r="V26" s="4">
        <f t="shared" si="7"/>
        <v>0.92370360150141495</v>
      </c>
      <c r="W26" s="4">
        <f t="shared" si="7"/>
        <v>0.89334463567658451</v>
      </c>
      <c r="X26" s="4">
        <f t="shared" si="7"/>
        <v>0.85254543874327005</v>
      </c>
      <c r="Y26" s="4">
        <f t="shared" si="7"/>
        <v>0.79921300652623883</v>
      </c>
      <c r="Z26" s="4">
        <f t="shared" si="7"/>
        <v>0.73204982249993378</v>
      </c>
      <c r="AA26" s="4">
        <f t="shared" si="7"/>
        <v>0.65145592958786691</v>
      </c>
      <c r="AB26" s="4">
        <f t="shared" si="7"/>
        <v>0.56032247880849573</v>
      </c>
      <c r="AC26" s="4">
        <f t="shared" si="7"/>
        <v>0.46411326873185343</v>
      </c>
      <c r="AD26" s="4">
        <f t="shared" si="7"/>
        <v>0.36979727595523937</v>
      </c>
      <c r="AE26" s="4">
        <f t="shared" si="7"/>
        <v>0.28393948637231203</v>
      </c>
      <c r="AF26" s="4">
        <f t="shared" si="7"/>
        <v>0.21097259161117732</v>
      </c>
      <c r="AG26" s="4">
        <f t="shared" si="5"/>
        <v>0.15253917653798199</v>
      </c>
      <c r="AH26" s="4">
        <f t="shared" si="5"/>
        <v>0.10795188737709993</v>
      </c>
      <c r="AI26" s="4">
        <f t="shared" si="5"/>
        <v>7.5176653938091809E-2</v>
      </c>
      <c r="AJ26" s="4">
        <f t="shared" si="5"/>
        <v>5.1742836177502194E-2</v>
      </c>
      <c r="AK26" s="4">
        <f t="shared" si="5"/>
        <v>3.5319190625345942E-2</v>
      </c>
      <c r="AL26" s="4">
        <f t="shared" si="5"/>
        <v>2.3969442072658165E-2</v>
      </c>
      <c r="AM26" s="4">
        <f t="shared" si="5"/>
        <v>1.6202243558389728E-2</v>
      </c>
      <c r="AN26" s="4">
        <f t="shared" si="5"/>
        <v>1.0922240564108399E-2</v>
      </c>
      <c r="AO26" s="4">
        <f t="shared" si="5"/>
        <v>7.3493212906090566E-3</v>
      </c>
      <c r="AP26" s="4">
        <f t="shared" si="5"/>
        <v>4.9390262185057265E-3</v>
      </c>
      <c r="AQ26" s="4">
        <f t="shared" si="5"/>
        <v>3.3164275492956197E-3</v>
      </c>
      <c r="AR26" s="4">
        <f t="shared" si="5"/>
        <v>2.2256362146679809E-3</v>
      </c>
      <c r="AT26" s="85" t="str">
        <f t="shared" si="9"/>
        <v>Payload loss (fuel)</v>
      </c>
      <c r="AU26" s="81">
        <f t="shared" si="9"/>
        <v>3.5714285714285712E-2</v>
      </c>
      <c r="AV26" s="81">
        <f t="shared" si="9"/>
        <v>1.7857142857142856E-2</v>
      </c>
      <c r="AW26" s="81" t="str">
        <f t="shared" si="9"/>
        <v>[%]</v>
      </c>
      <c r="AX26" s="80">
        <f>L26</f>
        <v>12</v>
      </c>
      <c r="AY26" s="80">
        <f t="shared" si="10"/>
        <v>0.9</v>
      </c>
      <c r="AZ26" s="80">
        <f t="shared" si="10"/>
        <v>0.4</v>
      </c>
      <c r="BA26" s="86"/>
    </row>
    <row r="27" spans="1:53" ht="15.75" thickBot="1" x14ac:dyDescent="0.3">
      <c r="A27" s="24" t="s">
        <v>64</v>
      </c>
      <c r="B27" s="74">
        <f>'Parameter Input'!B96</f>
        <v>178500</v>
      </c>
      <c r="C27" s="75">
        <f>'Parameter Input'!C96</f>
        <v>178500</v>
      </c>
      <c r="D27" s="1" t="s">
        <v>65</v>
      </c>
      <c r="L27" s="56">
        <f>'Parameter Input'!E96</f>
        <v>12</v>
      </c>
      <c r="M27" s="57">
        <v>0</v>
      </c>
      <c r="N27" s="57">
        <v>1</v>
      </c>
      <c r="O27" s="57">
        <f>'Parameter Input'!F96</f>
        <v>0.9</v>
      </c>
      <c r="P27" s="58">
        <f>'Parameter Input'!G96</f>
        <v>0.4</v>
      </c>
      <c r="Q27" s="4">
        <f t="shared" si="7"/>
        <v>0.9867978615748374</v>
      </c>
      <c r="R27" s="4">
        <f t="shared" si="7"/>
        <v>0.98114509762858249</v>
      </c>
      <c r="S27" s="4">
        <f t="shared" si="7"/>
        <v>0.97311898315872036</v>
      </c>
      <c r="T27" s="4">
        <f t="shared" si="7"/>
        <v>0.96177484161592774</v>
      </c>
      <c r="U27" s="4">
        <f t="shared" si="7"/>
        <v>0.94584787155511363</v>
      </c>
      <c r="V27" s="4">
        <f t="shared" si="7"/>
        <v>0.92370360150141495</v>
      </c>
      <c r="W27" s="4">
        <f t="shared" si="7"/>
        <v>0.89334463567658451</v>
      </c>
      <c r="X27" s="4">
        <f t="shared" si="7"/>
        <v>0.85254543874327005</v>
      </c>
      <c r="Y27" s="4">
        <f t="shared" si="7"/>
        <v>0.79921300652623883</v>
      </c>
      <c r="Z27" s="4">
        <f t="shared" si="7"/>
        <v>0.73204982249993378</v>
      </c>
      <c r="AA27" s="4">
        <f t="shared" si="7"/>
        <v>0.65145592958786691</v>
      </c>
      <c r="AB27" s="4">
        <f t="shared" si="7"/>
        <v>0.56032247880849573</v>
      </c>
      <c r="AC27" s="4">
        <f t="shared" si="7"/>
        <v>0.46411326873185343</v>
      </c>
      <c r="AD27" s="4">
        <f t="shared" si="7"/>
        <v>0.36979727595523937</v>
      </c>
      <c r="AE27" s="4">
        <f t="shared" si="7"/>
        <v>0.28393948637231203</v>
      </c>
      <c r="AF27" s="4">
        <f t="shared" si="7"/>
        <v>0.21097259161117732</v>
      </c>
      <c r="AG27" s="4">
        <f t="shared" si="5"/>
        <v>0.15253917653798199</v>
      </c>
      <c r="AH27" s="4">
        <f t="shared" si="5"/>
        <v>0.10795188737709993</v>
      </c>
      <c r="AI27" s="4">
        <f t="shared" si="5"/>
        <v>7.5176653938091809E-2</v>
      </c>
      <c r="AJ27" s="4">
        <f t="shared" si="5"/>
        <v>5.1742836177502194E-2</v>
      </c>
      <c r="AK27" s="4">
        <f t="shared" si="5"/>
        <v>3.5319190625345942E-2</v>
      </c>
      <c r="AL27" s="4">
        <f t="shared" si="5"/>
        <v>2.3969442072658165E-2</v>
      </c>
      <c r="AM27" s="4">
        <f t="shared" si="5"/>
        <v>1.6202243558389728E-2</v>
      </c>
      <c r="AN27" s="4">
        <f t="shared" si="5"/>
        <v>1.0922240564108399E-2</v>
      </c>
      <c r="AO27" s="4">
        <f t="shared" si="5"/>
        <v>7.3493212906090566E-3</v>
      </c>
      <c r="AP27" s="4">
        <f t="shared" si="5"/>
        <v>4.9390262185057265E-3</v>
      </c>
      <c r="AQ27" s="4">
        <f t="shared" si="5"/>
        <v>3.3164275492956197E-3</v>
      </c>
      <c r="AR27" s="4">
        <f t="shared" si="5"/>
        <v>2.2256362146679809E-3</v>
      </c>
      <c r="AT27" s="87" t="str">
        <f t="shared" si="9"/>
        <v>Annual Mileage</v>
      </c>
      <c r="AU27" s="88">
        <f t="shared" si="9"/>
        <v>178500</v>
      </c>
      <c r="AV27" s="88">
        <f t="shared" si="9"/>
        <v>178500</v>
      </c>
      <c r="AW27" s="88" t="str">
        <f t="shared" si="9"/>
        <v>[km/a]</v>
      </c>
      <c r="AX27" s="89">
        <f>L27</f>
        <v>12</v>
      </c>
      <c r="AY27" s="89">
        <f t="shared" si="10"/>
        <v>0.9</v>
      </c>
      <c r="AZ27" s="89">
        <f t="shared" si="10"/>
        <v>0.4</v>
      </c>
      <c r="BA27" s="90"/>
    </row>
    <row r="28" spans="1:53" ht="15.75" thickBot="1" x14ac:dyDescent="0.3">
      <c r="A28" s="25"/>
      <c r="B28" s="40"/>
    </row>
    <row r="29" spans="1:53" ht="15.75" thickBot="1" x14ac:dyDescent="0.3">
      <c r="AT29" s="82" t="str">
        <f>A1</f>
        <v>Railway long-haul: Dry bulk</v>
      </c>
      <c r="AU29" s="83"/>
      <c r="AV29" s="83"/>
      <c r="AW29" s="83"/>
      <c r="AX29" s="83">
        <f>U9</f>
        <v>4</v>
      </c>
      <c r="AY29" s="83"/>
      <c r="AZ29" s="83"/>
      <c r="BA29" s="84" t="s">
        <v>3</v>
      </c>
    </row>
    <row r="30" spans="1:53"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c r="AT30" s="85" t="str">
        <f>A2</f>
        <v>Battery</v>
      </c>
      <c r="AU30" s="80">
        <f>B9</f>
        <v>2023</v>
      </c>
      <c r="AV30" s="80">
        <f>C9</f>
        <v>2050</v>
      </c>
      <c r="AW30" s="80" t="str">
        <f>D10</f>
        <v>Unit</v>
      </c>
      <c r="AX30" s="80" t="str">
        <f>L10</f>
        <v>midway</v>
      </c>
      <c r="AY30" s="80" t="str">
        <f>O10</f>
        <v>a</v>
      </c>
      <c r="AZ30" s="80" t="str">
        <f>P10</f>
        <v>k</v>
      </c>
      <c r="BA30" s="86"/>
    </row>
    <row r="31" spans="1:53" x14ac:dyDescent="0.25">
      <c r="A31" s="29" t="str">
        <f t="shared" ref="A31:A40" si="11">A11</f>
        <v>Capex vehicle</v>
      </c>
      <c r="B31" s="62">
        <f t="shared" ref="B31:B39" si="12">$B11+($C11-$B11)*(1-Q11)</f>
        <v>9950491.9809056409</v>
      </c>
      <c r="C31" s="62">
        <f t="shared" ref="C31:C39" si="13">$B11+($C11-$B11)*(1-R11)</f>
        <v>9929294.1161071844</v>
      </c>
      <c r="D31" s="62">
        <f t="shared" ref="D31:D39" si="14">$B11+($C11-$B11)*(1-S11)</f>
        <v>9899196.186845202</v>
      </c>
      <c r="E31" s="62">
        <f t="shared" ref="E31:E39" si="15">$B11+($C11-$B11)*(1-T11)</f>
        <v>9856655.6560597289</v>
      </c>
      <c r="F31" s="62">
        <f t="shared" ref="F31:F39" si="16">$B11+($C11-$B11)*(1-U11)</f>
        <v>9796929.5183316767</v>
      </c>
      <c r="G31" s="62">
        <f t="shared" ref="G31:G39" si="17">$B11+($C11-$B11)*(1-V11)</f>
        <v>9713888.5056303069</v>
      </c>
      <c r="H31" s="62">
        <f t="shared" ref="H31:H39" si="18">$B11+($C11-$B11)*(1-W11)</f>
        <v>9600042.3837871924</v>
      </c>
      <c r="I31" s="62">
        <f t="shared" ref="I31:I39" si="19">$B11+($C11-$B11)*(1-X11)</f>
        <v>9447045.3952872623</v>
      </c>
      <c r="J31" s="62">
        <f t="shared" ref="J31:J39" si="20">$B11+($C11-$B11)*(1-Y11)</f>
        <v>9247048.7744733952</v>
      </c>
      <c r="K31" s="62">
        <f t="shared" ref="K31:K39" si="21">$B11+($C11-$B11)*(1-Z11)</f>
        <v>8995186.8343747519</v>
      </c>
      <c r="L31" s="62">
        <f t="shared" ref="L31:L39" si="22">$B11+($C11-$B11)*(1-AA11)</f>
        <v>8692959.7359545007</v>
      </c>
      <c r="M31" s="62">
        <f t="shared" ref="M31:M39" si="23">$B11+($C11-$B11)*(1-AB11)</f>
        <v>8351209.2955318587</v>
      </c>
      <c r="N31" s="62">
        <f t="shared" ref="N31:N39" si="24">$B11+($C11-$B11)*(1-AC11)</f>
        <v>7990424.7577444501</v>
      </c>
      <c r="O31" s="62">
        <f t="shared" ref="O31:O39" si="25">$B11+($C11-$B11)*(1-AD11)</f>
        <v>7636739.7848321479</v>
      </c>
      <c r="P31" s="62">
        <f t="shared" ref="P31:P39" si="26">$B11+($C11-$B11)*(1-AE11)</f>
        <v>7314773.0738961697</v>
      </c>
      <c r="Q31" s="62">
        <f t="shared" ref="Q31:Q39" si="27">$B11+($C11-$B11)*(1-AF11)</f>
        <v>7041147.2185419146</v>
      </c>
      <c r="R31" s="62">
        <f t="shared" ref="R31:R39" si="28">$B11+($C11-$B11)*(1-AG11)</f>
        <v>6822021.912017433</v>
      </c>
      <c r="S31" s="62">
        <f t="shared" ref="S31:S39" si="29">$B11+($C11-$B11)*(1-AH11)</f>
        <v>6654819.5776641248</v>
      </c>
      <c r="T31" s="62">
        <f t="shared" ref="T31:T39" si="30">$B11+($C11-$B11)*(1-AI11)</f>
        <v>6531912.4522678442</v>
      </c>
      <c r="U31" s="62">
        <f t="shared" ref="U31:U39" si="31">$B11+($C11-$B11)*(1-AJ11)</f>
        <v>6444035.6356656328</v>
      </c>
      <c r="V31" s="62">
        <f t="shared" ref="V31:V39" si="32">$B11+($C11-$B11)*(1-AK11)</f>
        <v>6382446.9648450473</v>
      </c>
      <c r="W31" s="62">
        <f t="shared" ref="W31:W39" si="33">$B11+($C11-$B11)*(1-AL11)</f>
        <v>6339885.4077724684</v>
      </c>
      <c r="X31" s="62">
        <f t="shared" ref="X31:X39" si="34">$B11+($C11-$B11)*(1-AM11)</f>
        <v>6310758.4133439614</v>
      </c>
      <c r="Y31" s="62">
        <f t="shared" ref="Y31:Y39" si="35">$B11+($C11-$B11)*(1-AN11)</f>
        <v>6290958.4021154065</v>
      </c>
      <c r="Z31" s="62">
        <f t="shared" ref="Z31:Z39" si="36">$B11+($C11-$B11)*(1-AO11)</f>
        <v>6277559.9548397847</v>
      </c>
      <c r="AA31" s="62">
        <f t="shared" ref="AA31:AA39" si="37">$B11+($C11-$B11)*(1-AP11)</f>
        <v>6268521.3483193964</v>
      </c>
      <c r="AB31" s="62">
        <f t="shared" ref="AB31:AB39" si="38">$B11+($C11-$B11)*(1-AQ11)</f>
        <v>6262436.6033098586</v>
      </c>
      <c r="AC31" s="62">
        <f t="shared" ref="AC31:AC39" si="39">$B11+($C11-$B11)*(1-AR11)</f>
        <v>6258346.1358050052</v>
      </c>
      <c r="AT31" s="85" t="str">
        <f>A17</f>
        <v>Opex maintenance &amp; repair</v>
      </c>
      <c r="AU31" s="81">
        <f>B17</f>
        <v>1300000</v>
      </c>
      <c r="AV31" s="81">
        <f>C17</f>
        <v>812500</v>
      </c>
      <c r="AW31" s="81" t="str">
        <f>D17</f>
        <v>[€/a]</v>
      </c>
      <c r="AX31" s="80">
        <f>L17</f>
        <v>12</v>
      </c>
      <c r="AY31" s="80">
        <f>O17</f>
        <v>0.9</v>
      </c>
      <c r="AZ31" s="80">
        <f>P17</f>
        <v>0.4</v>
      </c>
      <c r="BA31" s="86"/>
    </row>
    <row r="32" spans="1:53" x14ac:dyDescent="0.25">
      <c r="A32" s="30" t="str">
        <f t="shared" si="11"/>
        <v>Residual value (vehicle)</v>
      </c>
      <c r="B32" s="62">
        <f t="shared" si="12"/>
        <v>-505775.93556100863</v>
      </c>
      <c r="C32" s="62">
        <f t="shared" si="13"/>
        <v>-508249.01978749514</v>
      </c>
      <c r="D32" s="62">
        <f t="shared" si="14"/>
        <v>-511760.44486805983</v>
      </c>
      <c r="E32" s="62">
        <f t="shared" si="15"/>
        <v>-516723.50679303159</v>
      </c>
      <c r="F32" s="62">
        <f t="shared" si="16"/>
        <v>-523691.55619463779</v>
      </c>
      <c r="G32" s="62">
        <f t="shared" si="17"/>
        <v>-533379.67434313102</v>
      </c>
      <c r="H32" s="62">
        <f t="shared" si="18"/>
        <v>-546661.72189149424</v>
      </c>
      <c r="I32" s="62">
        <f t="shared" si="19"/>
        <v>-564511.37054981932</v>
      </c>
      <c r="J32" s="62">
        <f t="shared" si="20"/>
        <v>-587844.30964477046</v>
      </c>
      <c r="K32" s="62">
        <f t="shared" si="21"/>
        <v>-617228.20265627897</v>
      </c>
      <c r="L32" s="62">
        <f t="shared" si="22"/>
        <v>-652488.03080530826</v>
      </c>
      <c r="M32" s="62">
        <f t="shared" si="23"/>
        <v>-692358.91552128317</v>
      </c>
      <c r="N32" s="62">
        <f t="shared" si="24"/>
        <v>-734450.44492981408</v>
      </c>
      <c r="O32" s="62">
        <f t="shared" si="25"/>
        <v>-775713.6917695828</v>
      </c>
      <c r="P32" s="62">
        <f t="shared" si="26"/>
        <v>-813276.4747121135</v>
      </c>
      <c r="Q32" s="62">
        <f t="shared" si="27"/>
        <v>-845199.49117010995</v>
      </c>
      <c r="R32" s="62">
        <f t="shared" si="28"/>
        <v>-870764.11026463285</v>
      </c>
      <c r="S32" s="62">
        <f t="shared" si="29"/>
        <v>-890271.04927251884</v>
      </c>
      <c r="T32" s="62">
        <f t="shared" si="30"/>
        <v>-904610.21390208486</v>
      </c>
      <c r="U32" s="62">
        <f t="shared" si="31"/>
        <v>-914862.50917234272</v>
      </c>
      <c r="V32" s="62">
        <f t="shared" si="32"/>
        <v>-922047.85410141107</v>
      </c>
      <c r="W32" s="62">
        <f t="shared" si="33"/>
        <v>-927013.36909321207</v>
      </c>
      <c r="X32" s="62">
        <f t="shared" si="34"/>
        <v>-930411.51844320446</v>
      </c>
      <c r="Y32" s="62">
        <f t="shared" si="35"/>
        <v>-932721.51975320256</v>
      </c>
      <c r="Z32" s="62">
        <f t="shared" si="36"/>
        <v>-934284.67193535855</v>
      </c>
      <c r="AA32" s="62">
        <f t="shared" si="37"/>
        <v>-935339.17602940369</v>
      </c>
      <c r="AB32" s="62">
        <f t="shared" si="38"/>
        <v>-936049.06294718315</v>
      </c>
      <c r="AC32" s="62">
        <f t="shared" si="39"/>
        <v>-936526.28415608278</v>
      </c>
      <c r="AT32" s="85" t="str">
        <f t="shared" ref="AT32:AW33" si="40">A19</f>
        <v>Fuel Economy</v>
      </c>
      <c r="AU32" s="81">
        <f t="shared" si="40"/>
        <v>33.590199999999996</v>
      </c>
      <c r="AV32" s="81">
        <f t="shared" si="40"/>
        <v>33.590199999999996</v>
      </c>
      <c r="AW32" s="81" t="str">
        <f t="shared" si="40"/>
        <v>[kWh/km]</v>
      </c>
      <c r="AX32" s="80">
        <f>L19</f>
        <v>12</v>
      </c>
      <c r="AY32" s="80">
        <f>O19</f>
        <v>0.9</v>
      </c>
      <c r="AZ32" s="80">
        <f>P19</f>
        <v>0.4</v>
      </c>
      <c r="BA32" s="86"/>
    </row>
    <row r="33" spans="1:53" x14ac:dyDescent="0.25">
      <c r="A33" s="30" t="str">
        <f t="shared" si="11"/>
        <v>Capex costumization</v>
      </c>
      <c r="B33" s="62">
        <f t="shared" si="12"/>
        <v>4200000</v>
      </c>
      <c r="C33" s="62">
        <f t="shared" si="13"/>
        <v>4200000</v>
      </c>
      <c r="D33" s="62">
        <f t="shared" si="14"/>
        <v>4200000</v>
      </c>
      <c r="E33" s="62">
        <f t="shared" si="15"/>
        <v>4200000</v>
      </c>
      <c r="F33" s="62">
        <f t="shared" si="16"/>
        <v>4200000</v>
      </c>
      <c r="G33" s="62">
        <f t="shared" si="17"/>
        <v>4200000</v>
      </c>
      <c r="H33" s="62">
        <f t="shared" si="18"/>
        <v>4200000</v>
      </c>
      <c r="I33" s="62">
        <f t="shared" si="19"/>
        <v>4200000</v>
      </c>
      <c r="J33" s="62">
        <f t="shared" si="20"/>
        <v>4200000</v>
      </c>
      <c r="K33" s="62">
        <f t="shared" si="21"/>
        <v>4200000</v>
      </c>
      <c r="L33" s="62">
        <f t="shared" si="22"/>
        <v>4200000</v>
      </c>
      <c r="M33" s="62">
        <f t="shared" si="23"/>
        <v>4200000</v>
      </c>
      <c r="N33" s="62">
        <f t="shared" si="24"/>
        <v>4200000</v>
      </c>
      <c r="O33" s="62">
        <f t="shared" si="25"/>
        <v>4200000</v>
      </c>
      <c r="P33" s="62">
        <f t="shared" si="26"/>
        <v>4200000</v>
      </c>
      <c r="Q33" s="62">
        <f t="shared" si="27"/>
        <v>4200000</v>
      </c>
      <c r="R33" s="62">
        <f t="shared" si="28"/>
        <v>4200000</v>
      </c>
      <c r="S33" s="62">
        <f t="shared" si="29"/>
        <v>4200000</v>
      </c>
      <c r="T33" s="62">
        <f t="shared" si="30"/>
        <v>4200000</v>
      </c>
      <c r="U33" s="62">
        <f t="shared" si="31"/>
        <v>4200000</v>
      </c>
      <c r="V33" s="62">
        <f t="shared" si="32"/>
        <v>4200000</v>
      </c>
      <c r="W33" s="62">
        <f t="shared" si="33"/>
        <v>4200000</v>
      </c>
      <c r="X33" s="62">
        <f t="shared" si="34"/>
        <v>4200000</v>
      </c>
      <c r="Y33" s="62">
        <f t="shared" si="35"/>
        <v>4200000</v>
      </c>
      <c r="Z33" s="62">
        <f t="shared" si="36"/>
        <v>4200000</v>
      </c>
      <c r="AA33" s="62">
        <f t="shared" si="37"/>
        <v>4200000</v>
      </c>
      <c r="AB33" s="62">
        <f t="shared" si="38"/>
        <v>4200000</v>
      </c>
      <c r="AC33" s="62">
        <f t="shared" si="39"/>
        <v>4200000</v>
      </c>
      <c r="AT33" s="85" t="str">
        <f t="shared" si="40"/>
        <v>Fuel Cost</v>
      </c>
      <c r="AU33" s="81">
        <f t="shared" si="40"/>
        <v>0.13371034051801745</v>
      </c>
      <c r="AV33" s="81">
        <f t="shared" si="40"/>
        <v>8.7585019329602734E-2</v>
      </c>
      <c r="AW33" s="81" t="str">
        <f t="shared" si="40"/>
        <v>[€/kWh]</v>
      </c>
      <c r="AX33" s="80">
        <f>L20</f>
        <v>12</v>
      </c>
      <c r="AY33" s="80">
        <f>O20</f>
        <v>0.9</v>
      </c>
      <c r="AZ33" s="80">
        <f>P20</f>
        <v>0.4</v>
      </c>
      <c r="BA33" s="86"/>
    </row>
    <row r="34" spans="1:53" x14ac:dyDescent="0.25">
      <c r="A34" s="30" t="str">
        <f t="shared" si="11"/>
        <v>Residual value (costumization)</v>
      </c>
      <c r="B34" s="62">
        <f t="shared" si="12"/>
        <v>-210000</v>
      </c>
      <c r="C34" s="62">
        <f t="shared" si="13"/>
        <v>-210000</v>
      </c>
      <c r="D34" s="62">
        <f t="shared" si="14"/>
        <v>-210000</v>
      </c>
      <c r="E34" s="62">
        <f t="shared" si="15"/>
        <v>-210000</v>
      </c>
      <c r="F34" s="62">
        <f t="shared" si="16"/>
        <v>-210000</v>
      </c>
      <c r="G34" s="62">
        <f t="shared" si="17"/>
        <v>-210000</v>
      </c>
      <c r="H34" s="62">
        <f t="shared" si="18"/>
        <v>-210000</v>
      </c>
      <c r="I34" s="62">
        <f t="shared" si="19"/>
        <v>-210000</v>
      </c>
      <c r="J34" s="62">
        <f t="shared" si="20"/>
        <v>-210000</v>
      </c>
      <c r="K34" s="62">
        <f t="shared" si="21"/>
        <v>-210000</v>
      </c>
      <c r="L34" s="62">
        <f t="shared" si="22"/>
        <v>-210000</v>
      </c>
      <c r="M34" s="62">
        <f t="shared" si="23"/>
        <v>-210000</v>
      </c>
      <c r="N34" s="62">
        <f t="shared" si="24"/>
        <v>-210000</v>
      </c>
      <c r="O34" s="62">
        <f t="shared" si="25"/>
        <v>-210000</v>
      </c>
      <c r="P34" s="62">
        <f t="shared" si="26"/>
        <v>-210000</v>
      </c>
      <c r="Q34" s="62">
        <f t="shared" si="27"/>
        <v>-210000</v>
      </c>
      <c r="R34" s="62">
        <f t="shared" si="28"/>
        <v>-210000</v>
      </c>
      <c r="S34" s="62">
        <f t="shared" si="29"/>
        <v>-210000</v>
      </c>
      <c r="T34" s="62">
        <f t="shared" si="30"/>
        <v>-210000</v>
      </c>
      <c r="U34" s="62">
        <f t="shared" si="31"/>
        <v>-210000</v>
      </c>
      <c r="V34" s="62">
        <f t="shared" si="32"/>
        <v>-210000</v>
      </c>
      <c r="W34" s="62">
        <f t="shared" si="33"/>
        <v>-210000</v>
      </c>
      <c r="X34" s="62">
        <f t="shared" si="34"/>
        <v>-210000</v>
      </c>
      <c r="Y34" s="62">
        <f t="shared" si="35"/>
        <v>-210000</v>
      </c>
      <c r="Z34" s="62">
        <f t="shared" si="36"/>
        <v>-210000</v>
      </c>
      <c r="AA34" s="62">
        <f t="shared" si="37"/>
        <v>-210000</v>
      </c>
      <c r="AB34" s="62">
        <f t="shared" si="38"/>
        <v>-210000</v>
      </c>
      <c r="AC34" s="62">
        <f t="shared" si="39"/>
        <v>-210000</v>
      </c>
    </row>
    <row r="35" spans="1:53" x14ac:dyDescent="0.25">
      <c r="A35" s="30" t="str">
        <f t="shared" si="11"/>
        <v>WACC</v>
      </c>
      <c r="B35" s="62">
        <f t="shared" si="12"/>
        <v>0.06</v>
      </c>
      <c r="C35" s="62">
        <f t="shared" si="13"/>
        <v>0.06</v>
      </c>
      <c r="D35" s="62">
        <f t="shared" si="14"/>
        <v>0.06</v>
      </c>
      <c r="E35" s="62">
        <f t="shared" si="15"/>
        <v>0.06</v>
      </c>
      <c r="F35" s="62">
        <f t="shared" si="16"/>
        <v>0.06</v>
      </c>
      <c r="G35" s="62">
        <f t="shared" si="17"/>
        <v>0.06</v>
      </c>
      <c r="H35" s="62">
        <f t="shared" si="18"/>
        <v>0.06</v>
      </c>
      <c r="I35" s="62">
        <f t="shared" si="19"/>
        <v>0.06</v>
      </c>
      <c r="J35" s="62">
        <f t="shared" si="20"/>
        <v>0.06</v>
      </c>
      <c r="K35" s="62">
        <f t="shared" si="21"/>
        <v>0.06</v>
      </c>
      <c r="L35" s="62">
        <f t="shared" si="22"/>
        <v>0.06</v>
      </c>
      <c r="M35" s="62">
        <f t="shared" si="23"/>
        <v>0.06</v>
      </c>
      <c r="N35" s="62">
        <f t="shared" si="24"/>
        <v>0.06</v>
      </c>
      <c r="O35" s="62">
        <f t="shared" si="25"/>
        <v>0.06</v>
      </c>
      <c r="P35" s="62">
        <f t="shared" si="26"/>
        <v>0.06</v>
      </c>
      <c r="Q35" s="62">
        <f t="shared" si="27"/>
        <v>0.06</v>
      </c>
      <c r="R35" s="62">
        <f t="shared" si="28"/>
        <v>0.06</v>
      </c>
      <c r="S35" s="62">
        <f t="shared" si="29"/>
        <v>0.06</v>
      </c>
      <c r="T35" s="62">
        <f t="shared" si="30"/>
        <v>0.06</v>
      </c>
      <c r="U35" s="62">
        <f t="shared" si="31"/>
        <v>0.06</v>
      </c>
      <c r="V35" s="62">
        <f t="shared" si="32"/>
        <v>0.06</v>
      </c>
      <c r="W35" s="62">
        <f t="shared" si="33"/>
        <v>0.06</v>
      </c>
      <c r="X35" s="62">
        <f t="shared" si="34"/>
        <v>0.06</v>
      </c>
      <c r="Y35" s="62">
        <f t="shared" si="35"/>
        <v>0.06</v>
      </c>
      <c r="Z35" s="62">
        <f t="shared" si="36"/>
        <v>0.06</v>
      </c>
      <c r="AA35" s="62">
        <f t="shared" si="37"/>
        <v>0.06</v>
      </c>
      <c r="AB35" s="62">
        <f t="shared" si="38"/>
        <v>0.06</v>
      </c>
      <c r="AC35" s="62">
        <f t="shared" si="39"/>
        <v>0.06</v>
      </c>
    </row>
    <row r="36" spans="1:53" x14ac:dyDescent="0.25">
      <c r="A36" s="30" t="str">
        <f t="shared" si="11"/>
        <v>Opex fix (admin, crew, insurance)</v>
      </c>
      <c r="B36" s="62">
        <f t="shared" si="12"/>
        <v>650000</v>
      </c>
      <c r="C36" s="62">
        <f t="shared" si="13"/>
        <v>650000</v>
      </c>
      <c r="D36" s="62">
        <f t="shared" si="14"/>
        <v>650000</v>
      </c>
      <c r="E36" s="62">
        <f t="shared" si="15"/>
        <v>650000</v>
      </c>
      <c r="F36" s="62">
        <f t="shared" si="16"/>
        <v>650000</v>
      </c>
      <c r="G36" s="62">
        <f t="shared" si="17"/>
        <v>650000</v>
      </c>
      <c r="H36" s="62">
        <f t="shared" si="18"/>
        <v>650000</v>
      </c>
      <c r="I36" s="62">
        <f t="shared" si="19"/>
        <v>650000</v>
      </c>
      <c r="J36" s="62">
        <f t="shared" si="20"/>
        <v>650000</v>
      </c>
      <c r="K36" s="62">
        <f t="shared" si="21"/>
        <v>650000</v>
      </c>
      <c r="L36" s="62">
        <f t="shared" si="22"/>
        <v>650000</v>
      </c>
      <c r="M36" s="62">
        <f t="shared" si="23"/>
        <v>650000</v>
      </c>
      <c r="N36" s="62">
        <f t="shared" si="24"/>
        <v>650000</v>
      </c>
      <c r="O36" s="62">
        <f t="shared" si="25"/>
        <v>650000</v>
      </c>
      <c r="P36" s="62">
        <f t="shared" si="26"/>
        <v>650000</v>
      </c>
      <c r="Q36" s="62">
        <f t="shared" si="27"/>
        <v>650000</v>
      </c>
      <c r="R36" s="62">
        <f t="shared" si="28"/>
        <v>650000</v>
      </c>
      <c r="S36" s="62">
        <f t="shared" si="29"/>
        <v>650000</v>
      </c>
      <c r="T36" s="62">
        <f t="shared" si="30"/>
        <v>650000</v>
      </c>
      <c r="U36" s="62">
        <f t="shared" si="31"/>
        <v>650000</v>
      </c>
      <c r="V36" s="62">
        <f t="shared" si="32"/>
        <v>650000</v>
      </c>
      <c r="W36" s="62">
        <f t="shared" si="33"/>
        <v>650000</v>
      </c>
      <c r="X36" s="62">
        <f t="shared" si="34"/>
        <v>650000</v>
      </c>
      <c r="Y36" s="62">
        <f t="shared" si="35"/>
        <v>650000</v>
      </c>
      <c r="Z36" s="62">
        <f t="shared" si="36"/>
        <v>650000</v>
      </c>
      <c r="AA36" s="62">
        <f t="shared" si="37"/>
        <v>650000</v>
      </c>
      <c r="AB36" s="62">
        <f t="shared" si="38"/>
        <v>650000</v>
      </c>
      <c r="AC36" s="62">
        <f t="shared" si="39"/>
        <v>650000</v>
      </c>
    </row>
    <row r="37" spans="1:53" x14ac:dyDescent="0.25">
      <c r="A37" s="30" t="str">
        <f t="shared" si="11"/>
        <v>Opex maintenance &amp; repair</v>
      </c>
      <c r="B37" s="62">
        <f t="shared" si="12"/>
        <v>1293563.9575177333</v>
      </c>
      <c r="C37" s="62">
        <f t="shared" si="13"/>
        <v>1290808.235093934</v>
      </c>
      <c r="D37" s="62">
        <f t="shared" si="14"/>
        <v>1286895.5042898762</v>
      </c>
      <c r="E37" s="62">
        <f t="shared" si="15"/>
        <v>1281365.2352877648</v>
      </c>
      <c r="F37" s="62">
        <f t="shared" si="16"/>
        <v>1273600.837383118</v>
      </c>
      <c r="G37" s="62">
        <f t="shared" si="17"/>
        <v>1262805.5057319398</v>
      </c>
      <c r="H37" s="62">
        <f t="shared" si="18"/>
        <v>1248005.5098923349</v>
      </c>
      <c r="I37" s="62">
        <f t="shared" si="19"/>
        <v>1228115.9013873441</v>
      </c>
      <c r="J37" s="62">
        <f t="shared" si="20"/>
        <v>1202116.3406815415</v>
      </c>
      <c r="K37" s="62">
        <f t="shared" si="21"/>
        <v>1169374.2884687176</v>
      </c>
      <c r="L37" s="62">
        <f t="shared" si="22"/>
        <v>1130084.7656740851</v>
      </c>
      <c r="M37" s="62">
        <f t="shared" si="23"/>
        <v>1085657.2084191416</v>
      </c>
      <c r="N37" s="62">
        <f t="shared" si="24"/>
        <v>1038755.2185067786</v>
      </c>
      <c r="O37" s="62">
        <f t="shared" si="25"/>
        <v>992776.17202817916</v>
      </c>
      <c r="P37" s="62">
        <f t="shared" si="26"/>
        <v>950920.49960650213</v>
      </c>
      <c r="Q37" s="62">
        <f t="shared" si="27"/>
        <v>915349.13841044903</v>
      </c>
      <c r="R37" s="62">
        <f t="shared" si="28"/>
        <v>886862.84856226621</v>
      </c>
      <c r="S37" s="62">
        <f t="shared" si="29"/>
        <v>865126.54509633617</v>
      </c>
      <c r="T37" s="62">
        <f t="shared" si="30"/>
        <v>849148.61879481981</v>
      </c>
      <c r="U37" s="62">
        <f t="shared" si="31"/>
        <v>837724.6326365323</v>
      </c>
      <c r="V37" s="62">
        <f t="shared" si="32"/>
        <v>829718.10542985611</v>
      </c>
      <c r="W37" s="62">
        <f t="shared" si="33"/>
        <v>824185.10301042092</v>
      </c>
      <c r="X37" s="62">
        <f t="shared" si="34"/>
        <v>820398.59373471502</v>
      </c>
      <c r="Y37" s="62">
        <f t="shared" si="35"/>
        <v>817824.59227500285</v>
      </c>
      <c r="Z37" s="62">
        <f t="shared" si="36"/>
        <v>816082.79412917187</v>
      </c>
      <c r="AA37" s="62">
        <f t="shared" si="37"/>
        <v>814907.77528152149</v>
      </c>
      <c r="AB37" s="62">
        <f t="shared" si="38"/>
        <v>814116.75843028165</v>
      </c>
      <c r="AC37" s="62">
        <f t="shared" si="39"/>
        <v>813584.99765465059</v>
      </c>
    </row>
    <row r="38" spans="1:53" x14ac:dyDescent="0.25">
      <c r="A38" s="30" t="str">
        <f t="shared" si="11"/>
        <v>Opex var (mode-fees, shunting)</v>
      </c>
      <c r="B38" s="62">
        <f t="shared" si="12"/>
        <v>3.9215686274509802</v>
      </c>
      <c r="C38" s="62">
        <f t="shared" si="13"/>
        <v>3.9215686274509802</v>
      </c>
      <c r="D38" s="62">
        <f t="shared" si="14"/>
        <v>3.9215686274509802</v>
      </c>
      <c r="E38" s="62">
        <f t="shared" si="15"/>
        <v>3.9215686274509802</v>
      </c>
      <c r="F38" s="62">
        <f t="shared" si="16"/>
        <v>3.9215686274509802</v>
      </c>
      <c r="G38" s="62">
        <f t="shared" si="17"/>
        <v>3.9215686274509802</v>
      </c>
      <c r="H38" s="62">
        <f t="shared" si="18"/>
        <v>3.9215686274509802</v>
      </c>
      <c r="I38" s="62">
        <f t="shared" si="19"/>
        <v>3.9215686274509802</v>
      </c>
      <c r="J38" s="62">
        <f t="shared" si="20"/>
        <v>3.9215686274509802</v>
      </c>
      <c r="K38" s="62">
        <f t="shared" si="21"/>
        <v>3.9215686274509802</v>
      </c>
      <c r="L38" s="62">
        <f t="shared" si="22"/>
        <v>3.9215686274509802</v>
      </c>
      <c r="M38" s="62">
        <f t="shared" si="23"/>
        <v>3.9215686274509802</v>
      </c>
      <c r="N38" s="62">
        <f t="shared" si="24"/>
        <v>3.9215686274509802</v>
      </c>
      <c r="O38" s="62">
        <f t="shared" si="25"/>
        <v>3.9215686274509802</v>
      </c>
      <c r="P38" s="62">
        <f t="shared" si="26"/>
        <v>3.9215686274509802</v>
      </c>
      <c r="Q38" s="62">
        <f t="shared" si="27"/>
        <v>3.9215686274509802</v>
      </c>
      <c r="R38" s="62">
        <f t="shared" si="28"/>
        <v>3.9215686274509802</v>
      </c>
      <c r="S38" s="62">
        <f t="shared" si="29"/>
        <v>3.9215686274509802</v>
      </c>
      <c r="T38" s="62">
        <f t="shared" si="30"/>
        <v>3.9215686274509802</v>
      </c>
      <c r="U38" s="62">
        <f t="shared" si="31"/>
        <v>3.9215686274509802</v>
      </c>
      <c r="V38" s="62">
        <f t="shared" si="32"/>
        <v>3.9215686274509802</v>
      </c>
      <c r="W38" s="62">
        <f t="shared" si="33"/>
        <v>3.9215686274509802</v>
      </c>
      <c r="X38" s="62">
        <f t="shared" si="34"/>
        <v>3.9215686274509802</v>
      </c>
      <c r="Y38" s="62">
        <f t="shared" si="35"/>
        <v>3.9215686274509802</v>
      </c>
      <c r="Z38" s="62">
        <f t="shared" si="36"/>
        <v>3.9215686274509802</v>
      </c>
      <c r="AA38" s="62">
        <f t="shared" si="37"/>
        <v>3.9215686274509802</v>
      </c>
      <c r="AB38" s="62">
        <f t="shared" si="38"/>
        <v>3.9215686274509802</v>
      </c>
      <c r="AC38" s="62">
        <f t="shared" si="39"/>
        <v>3.9215686274509802</v>
      </c>
    </row>
    <row r="39" spans="1:53" x14ac:dyDescent="0.25">
      <c r="A39" s="30" t="str">
        <f t="shared" si="11"/>
        <v>Fuel Economy</v>
      </c>
      <c r="B39" s="62">
        <f t="shared" si="12"/>
        <v>33.590199999999996</v>
      </c>
      <c r="C39" s="62">
        <f t="shared" si="13"/>
        <v>33.590199999999996</v>
      </c>
      <c r="D39" s="62">
        <f t="shared" si="14"/>
        <v>33.590199999999996</v>
      </c>
      <c r="E39" s="62">
        <f t="shared" si="15"/>
        <v>33.590199999999996</v>
      </c>
      <c r="F39" s="62">
        <f t="shared" si="16"/>
        <v>33.590199999999996</v>
      </c>
      <c r="G39" s="62">
        <f t="shared" si="17"/>
        <v>33.590199999999996</v>
      </c>
      <c r="H39" s="62">
        <f t="shared" si="18"/>
        <v>33.590199999999996</v>
      </c>
      <c r="I39" s="62">
        <f t="shared" si="19"/>
        <v>33.590199999999996</v>
      </c>
      <c r="J39" s="62">
        <f t="shared" si="20"/>
        <v>33.590199999999996</v>
      </c>
      <c r="K39" s="62">
        <f t="shared" si="21"/>
        <v>33.590199999999996</v>
      </c>
      <c r="L39" s="62">
        <f t="shared" si="22"/>
        <v>33.590199999999996</v>
      </c>
      <c r="M39" s="62">
        <f t="shared" si="23"/>
        <v>33.590199999999996</v>
      </c>
      <c r="N39" s="62">
        <f t="shared" si="24"/>
        <v>33.590199999999996</v>
      </c>
      <c r="O39" s="62">
        <f t="shared" si="25"/>
        <v>33.590199999999996</v>
      </c>
      <c r="P39" s="62">
        <f t="shared" si="26"/>
        <v>33.590199999999996</v>
      </c>
      <c r="Q39" s="62">
        <f t="shared" si="27"/>
        <v>33.590199999999996</v>
      </c>
      <c r="R39" s="62">
        <f t="shared" si="28"/>
        <v>33.590199999999996</v>
      </c>
      <c r="S39" s="62">
        <f t="shared" si="29"/>
        <v>33.590199999999996</v>
      </c>
      <c r="T39" s="62">
        <f t="shared" si="30"/>
        <v>33.590199999999996</v>
      </c>
      <c r="U39" s="62">
        <f t="shared" si="31"/>
        <v>33.590199999999996</v>
      </c>
      <c r="V39" s="62">
        <f t="shared" si="32"/>
        <v>33.590199999999996</v>
      </c>
      <c r="W39" s="62">
        <f t="shared" si="33"/>
        <v>33.590199999999996</v>
      </c>
      <c r="X39" s="62">
        <f t="shared" si="34"/>
        <v>33.590199999999996</v>
      </c>
      <c r="Y39" s="62">
        <f t="shared" si="35"/>
        <v>33.590199999999996</v>
      </c>
      <c r="Z39" s="62">
        <f t="shared" si="36"/>
        <v>33.590199999999996</v>
      </c>
      <c r="AA39" s="62">
        <f t="shared" si="37"/>
        <v>33.590199999999996</v>
      </c>
      <c r="AB39" s="62">
        <f t="shared" si="38"/>
        <v>33.590199999999996</v>
      </c>
      <c r="AC39" s="62">
        <f t="shared" si="39"/>
        <v>33.590199999999996</v>
      </c>
    </row>
    <row r="40" spans="1:53" x14ac:dyDescent="0.25">
      <c r="A40" s="30" t="str">
        <f t="shared" si="11"/>
        <v>Fuel Cost</v>
      </c>
      <c r="B40" s="62">
        <f>$B20+($C20-$B20)*(1-Q20)</f>
        <v>0.1331013876427829</v>
      </c>
      <c r="C40" s="62">
        <f>$B20+($C20-$B20)*(1-R20)</f>
        <v>0.13284065209015961</v>
      </c>
      <c r="D40" s="62">
        <f>$B20+($C20-$B20)*(1-S20)</f>
        <v>0.13247044498234223</v>
      </c>
      <c r="E40" s="62">
        <f t="shared" ref="E40:AC40" si="41">$B20+($C20-$B20)*(1-T20)</f>
        <v>0.13194719281007408</v>
      </c>
      <c r="F40" s="62">
        <f t="shared" si="41"/>
        <v>0.13121255620046077</v>
      </c>
      <c r="G40" s="62">
        <f t="shared" si="41"/>
        <v>0.13019114463175094</v>
      </c>
      <c r="H40" s="62">
        <f t="shared" si="41"/>
        <v>0.12879082758213251</v>
      </c>
      <c r="I40" s="62">
        <f t="shared" si="41"/>
        <v>0.126908951519354</v>
      </c>
      <c r="J40" s="62">
        <f t="shared" si="41"/>
        <v>0.12444897595358409</v>
      </c>
      <c r="K40" s="62">
        <f t="shared" si="41"/>
        <v>0.12135105251833415</v>
      </c>
      <c r="L40" s="62">
        <f t="shared" si="41"/>
        <v>0.11763363332194038</v>
      </c>
      <c r="M40" s="62">
        <f t="shared" si="41"/>
        <v>0.11343007363373329</v>
      </c>
      <c r="N40" s="62">
        <f t="shared" si="41"/>
        <v>0.10899239291766451</v>
      </c>
      <c r="O40" s="62">
        <f t="shared" si="41"/>
        <v>0.10464203745763898</v>
      </c>
      <c r="P40" s="62">
        <f t="shared" si="41"/>
        <v>0.10068181933659913</v>
      </c>
      <c r="Q40" s="62">
        <f t="shared" si="41"/>
        <v>9.7316197879620536E-2</v>
      </c>
      <c r="R40" s="62">
        <f t="shared" si="41"/>
        <v>9.4620937841233446E-2</v>
      </c>
      <c r="S40" s="62">
        <f t="shared" si="41"/>
        <v>9.2564334807767046E-2</v>
      </c>
      <c r="T40" s="62">
        <f t="shared" si="41"/>
        <v>9.1052566638367527E-2</v>
      </c>
      <c r="U40" s="62">
        <f t="shared" si="41"/>
        <v>8.9971674267489546E-2</v>
      </c>
      <c r="V40" s="62">
        <f t="shared" si="41"/>
        <v>8.9214128341311663E-2</v>
      </c>
      <c r="W40" s="62">
        <f t="shared" si="41"/>
        <v>8.8690617543911193E-2</v>
      </c>
      <c r="X40" s="62">
        <f t="shared" si="41"/>
        <v>8.833235301770638E-2</v>
      </c>
      <c r="Y40" s="62">
        <f t="shared" si="41"/>
        <v>8.8088811183719362E-2</v>
      </c>
      <c r="Z40" s="62">
        <f t="shared" si="41"/>
        <v>8.7924009134648928E-2</v>
      </c>
      <c r="AA40" s="62">
        <f t="shared" si="41"/>
        <v>8.7812833500289317E-2</v>
      </c>
      <c r="AB40" s="62">
        <f t="shared" si="41"/>
        <v>8.7737990615512101E-2</v>
      </c>
      <c r="AC40" s="62">
        <f t="shared" si="41"/>
        <v>8.768767751485286E-2</v>
      </c>
    </row>
    <row r="41" spans="1:53" x14ac:dyDescent="0.25">
      <c r="A41" s="30" t="str">
        <f t="shared" ref="A41" si="42">A21</f>
        <v>Emission Cost</v>
      </c>
      <c r="B41" s="66">
        <f>$B21+($C21-$B21)*(1-Q21)</f>
        <v>7.7616989698723951E-2</v>
      </c>
      <c r="C41" s="66">
        <f t="shared" ref="C41:AC41" si="43">$B21+($C21-$B21)*(1-R21)</f>
        <v>7.7543079413020161E-2</v>
      </c>
      <c r="D41" s="66">
        <f t="shared" si="43"/>
        <v>7.7437278485254071E-2</v>
      </c>
      <c r="E41" s="66">
        <f t="shared" si="43"/>
        <v>7.7285922817830824E-2</v>
      </c>
      <c r="F41" s="66">
        <f t="shared" si="43"/>
        <v>7.7069602170796822E-2</v>
      </c>
      <c r="G41" s="66">
        <f t="shared" si="43"/>
        <v>7.6760865858648872E-2</v>
      </c>
      <c r="H41" s="66">
        <f t="shared" si="43"/>
        <v>7.6321149608842037E-2</v>
      </c>
      <c r="I41" s="66">
        <f t="shared" si="43"/>
        <v>7.5696815568227049E-2</v>
      </c>
      <c r="J41" s="66">
        <f t="shared" si="43"/>
        <v>7.4814379396488564E-2</v>
      </c>
      <c r="K41" s="66">
        <f t="shared" si="43"/>
        <v>7.3575454931835024E-2</v>
      </c>
      <c r="L41" s="66">
        <f t="shared" si="43"/>
        <v>7.1852900182459184E-2</v>
      </c>
      <c r="M41" s="66">
        <f t="shared" si="43"/>
        <v>6.9491342061966249E-2</v>
      </c>
      <c r="N41" s="66">
        <f t="shared" si="43"/>
        <v>6.6317661002361278E-2</v>
      </c>
      <c r="O41" s="66">
        <f t="shared" si="43"/>
        <v>6.2169046747367229E-2</v>
      </c>
      <c r="P41" s="66">
        <f t="shared" si="43"/>
        <v>5.694456830002316E-2</v>
      </c>
      <c r="Q41" s="66">
        <f t="shared" si="43"/>
        <v>5.0675344131887581E-2</v>
      </c>
      <c r="R41" s="66">
        <f t="shared" si="43"/>
        <v>4.3586270611453572E-2</v>
      </c>
      <c r="S41" s="66">
        <f t="shared" si="43"/>
        <v>3.6102364781668152E-2</v>
      </c>
      <c r="T41" s="66">
        <f t="shared" si="43"/>
        <v>2.8765728220359679E-2</v>
      </c>
      <c r="U41" s="66">
        <f t="shared" si="43"/>
        <v>2.2087036944542227E-2</v>
      </c>
      <c r="V41" s="66">
        <f t="shared" si="43"/>
        <v>1.6411100424024307E-2</v>
      </c>
      <c r="W41" s="66">
        <f t="shared" si="43"/>
        <v>1.1865691773727857E-2</v>
      </c>
      <c r="X41" s="66">
        <f t="shared" si="43"/>
        <v>8.3973432339193438E-3</v>
      </c>
      <c r="Y41" s="66">
        <f t="shared" si="43"/>
        <v>5.84782889520509E-3</v>
      </c>
      <c r="Z41" s="66">
        <f t="shared" si="43"/>
        <v>4.0249630259926034E-3</v>
      </c>
      <c r="AA41" s="66">
        <f t="shared" si="43"/>
        <v>2.747403251869146E-3</v>
      </c>
      <c r="AB41" s="66">
        <f t="shared" si="43"/>
        <v>1.8645309229892715E-3</v>
      </c>
      <c r="AC41" s="66">
        <f t="shared" si="43"/>
        <v>1.2603373931211054E-3</v>
      </c>
    </row>
    <row r="42" spans="1:53" x14ac:dyDescent="0.25">
      <c r="A42" s="30" t="str">
        <f>A22</f>
        <v>Lifetime vehicle</v>
      </c>
      <c r="B42" s="62">
        <f>$B22+($C22-$B22)*(1-Q22)</f>
        <v>20</v>
      </c>
      <c r="C42" s="62">
        <f t="shared" ref="C42:L44" si="44">$B22+($C22-$B22)*(1-R22)</f>
        <v>20</v>
      </c>
      <c r="D42" s="62">
        <f t="shared" si="44"/>
        <v>20</v>
      </c>
      <c r="E42" s="62">
        <f t="shared" si="44"/>
        <v>20</v>
      </c>
      <c r="F42" s="62">
        <f t="shared" si="44"/>
        <v>20</v>
      </c>
      <c r="G42" s="62">
        <f t="shared" si="44"/>
        <v>20</v>
      </c>
      <c r="H42" s="62">
        <f t="shared" si="44"/>
        <v>20</v>
      </c>
      <c r="I42" s="62">
        <f t="shared" si="44"/>
        <v>20</v>
      </c>
      <c r="J42" s="62">
        <f t="shared" si="44"/>
        <v>20</v>
      </c>
      <c r="K42" s="62">
        <f t="shared" si="44"/>
        <v>20</v>
      </c>
      <c r="L42" s="62">
        <f t="shared" si="44"/>
        <v>20</v>
      </c>
      <c r="M42" s="62">
        <f t="shared" ref="M42:V44" si="45">$B22+($C22-$B22)*(1-AB22)</f>
        <v>20</v>
      </c>
      <c r="N42" s="62">
        <f t="shared" si="45"/>
        <v>20</v>
      </c>
      <c r="O42" s="62">
        <f t="shared" si="45"/>
        <v>20</v>
      </c>
      <c r="P42" s="62">
        <f t="shared" si="45"/>
        <v>20</v>
      </c>
      <c r="Q42" s="62">
        <f t="shared" si="45"/>
        <v>20</v>
      </c>
      <c r="R42" s="62">
        <f t="shared" si="45"/>
        <v>20</v>
      </c>
      <c r="S42" s="62">
        <f t="shared" si="45"/>
        <v>20</v>
      </c>
      <c r="T42" s="62">
        <f t="shared" si="45"/>
        <v>20</v>
      </c>
      <c r="U42" s="62">
        <f t="shared" si="45"/>
        <v>20</v>
      </c>
      <c r="V42" s="62">
        <f t="shared" si="45"/>
        <v>20</v>
      </c>
      <c r="W42" s="62">
        <f t="shared" ref="W42:AC44" si="46">$B22+($C22-$B22)*(1-AL22)</f>
        <v>20</v>
      </c>
      <c r="X42" s="62">
        <f t="shared" si="46"/>
        <v>20</v>
      </c>
      <c r="Y42" s="62">
        <f t="shared" si="46"/>
        <v>20</v>
      </c>
      <c r="Z42" s="62">
        <f t="shared" si="46"/>
        <v>20</v>
      </c>
      <c r="AA42" s="62">
        <f t="shared" si="46"/>
        <v>20</v>
      </c>
      <c r="AB42" s="62">
        <f t="shared" si="46"/>
        <v>20</v>
      </c>
      <c r="AC42" s="62">
        <f t="shared" si="46"/>
        <v>20</v>
      </c>
    </row>
    <row r="43" spans="1:53" x14ac:dyDescent="0.25">
      <c r="A43" s="30" t="str">
        <f>A23</f>
        <v>Lifetime costumization</v>
      </c>
      <c r="B43" s="62">
        <f>$B23+($C23-$B23)*(1-Q23)</f>
        <v>30</v>
      </c>
      <c r="C43" s="62">
        <f t="shared" si="44"/>
        <v>30</v>
      </c>
      <c r="D43" s="62">
        <f t="shared" si="44"/>
        <v>30</v>
      </c>
      <c r="E43" s="62">
        <f t="shared" si="44"/>
        <v>30</v>
      </c>
      <c r="F43" s="62">
        <f t="shared" si="44"/>
        <v>30</v>
      </c>
      <c r="G43" s="62">
        <f t="shared" si="44"/>
        <v>30</v>
      </c>
      <c r="H43" s="62">
        <f t="shared" si="44"/>
        <v>30</v>
      </c>
      <c r="I43" s="62">
        <f t="shared" si="44"/>
        <v>30</v>
      </c>
      <c r="J43" s="62">
        <f t="shared" si="44"/>
        <v>30</v>
      </c>
      <c r="K43" s="62">
        <f t="shared" si="44"/>
        <v>30</v>
      </c>
      <c r="L43" s="62">
        <f t="shared" si="44"/>
        <v>30</v>
      </c>
      <c r="M43" s="62">
        <f t="shared" si="45"/>
        <v>30</v>
      </c>
      <c r="N43" s="62">
        <f t="shared" si="45"/>
        <v>30</v>
      </c>
      <c r="O43" s="62">
        <f t="shared" si="45"/>
        <v>30</v>
      </c>
      <c r="P43" s="62">
        <f t="shared" si="45"/>
        <v>30</v>
      </c>
      <c r="Q43" s="62">
        <f t="shared" si="45"/>
        <v>30</v>
      </c>
      <c r="R43" s="62">
        <f t="shared" si="45"/>
        <v>30</v>
      </c>
      <c r="S43" s="62">
        <f t="shared" si="45"/>
        <v>30</v>
      </c>
      <c r="T43" s="62">
        <f t="shared" si="45"/>
        <v>30</v>
      </c>
      <c r="U43" s="62">
        <f t="shared" si="45"/>
        <v>30</v>
      </c>
      <c r="V43" s="62">
        <f t="shared" si="45"/>
        <v>30</v>
      </c>
      <c r="W43" s="62">
        <f t="shared" si="46"/>
        <v>30</v>
      </c>
      <c r="X43" s="62">
        <f t="shared" si="46"/>
        <v>30</v>
      </c>
      <c r="Y43" s="62">
        <f t="shared" si="46"/>
        <v>30</v>
      </c>
      <c r="Z43" s="62">
        <f t="shared" si="46"/>
        <v>30</v>
      </c>
      <c r="AA43" s="62">
        <f t="shared" si="46"/>
        <v>30</v>
      </c>
      <c r="AB43" s="62">
        <f t="shared" si="46"/>
        <v>30</v>
      </c>
      <c r="AC43" s="62">
        <f t="shared" si="46"/>
        <v>30</v>
      </c>
    </row>
    <row r="44" spans="1:53" x14ac:dyDescent="0.25">
      <c r="A44" s="30" t="str">
        <f>A24</f>
        <v xml:space="preserve">Tonnage </v>
      </c>
      <c r="B44" s="62">
        <f>$B24+($C24-$B24)*(1-Q24)</f>
        <v>2240</v>
      </c>
      <c r="C44" s="62">
        <f t="shared" si="44"/>
        <v>2240</v>
      </c>
      <c r="D44" s="62">
        <f t="shared" si="44"/>
        <v>2240</v>
      </c>
      <c r="E44" s="62">
        <f t="shared" si="44"/>
        <v>2240</v>
      </c>
      <c r="F44" s="62">
        <f t="shared" si="44"/>
        <v>2240</v>
      </c>
      <c r="G44" s="62">
        <f t="shared" si="44"/>
        <v>2240</v>
      </c>
      <c r="H44" s="62">
        <f t="shared" si="44"/>
        <v>2240</v>
      </c>
      <c r="I44" s="62">
        <f t="shared" si="44"/>
        <v>2240</v>
      </c>
      <c r="J44" s="62">
        <f t="shared" si="44"/>
        <v>2240</v>
      </c>
      <c r="K44" s="62">
        <f t="shared" si="44"/>
        <v>2240</v>
      </c>
      <c r="L44" s="62">
        <f t="shared" si="44"/>
        <v>2240</v>
      </c>
      <c r="M44" s="62">
        <f t="shared" si="45"/>
        <v>2240</v>
      </c>
      <c r="N44" s="62">
        <f t="shared" si="45"/>
        <v>2240</v>
      </c>
      <c r="O44" s="62">
        <f t="shared" si="45"/>
        <v>2240</v>
      </c>
      <c r="P44" s="62">
        <f t="shared" si="45"/>
        <v>2240</v>
      </c>
      <c r="Q44" s="62">
        <f t="shared" si="45"/>
        <v>2240</v>
      </c>
      <c r="R44" s="62">
        <f t="shared" si="45"/>
        <v>2240</v>
      </c>
      <c r="S44" s="62">
        <f t="shared" si="45"/>
        <v>2240</v>
      </c>
      <c r="T44" s="62">
        <f t="shared" si="45"/>
        <v>2240</v>
      </c>
      <c r="U44" s="62">
        <f t="shared" si="45"/>
        <v>2240</v>
      </c>
      <c r="V44" s="62">
        <f t="shared" si="45"/>
        <v>2240</v>
      </c>
      <c r="W44" s="62">
        <f t="shared" si="46"/>
        <v>2240</v>
      </c>
      <c r="X44" s="62">
        <f t="shared" si="46"/>
        <v>2240</v>
      </c>
      <c r="Y44" s="62">
        <f t="shared" si="46"/>
        <v>2240</v>
      </c>
      <c r="Z44" s="62">
        <f t="shared" si="46"/>
        <v>2240</v>
      </c>
      <c r="AA44" s="62">
        <f t="shared" si="46"/>
        <v>2240</v>
      </c>
      <c r="AB44" s="62">
        <f t="shared" si="46"/>
        <v>2240</v>
      </c>
      <c r="AC44" s="62">
        <f t="shared" si="46"/>
        <v>2240</v>
      </c>
    </row>
    <row r="45" spans="1:53" x14ac:dyDescent="0.25">
      <c r="A45" s="30" t="str">
        <f>A25</f>
        <v>Market failure (av. utilization)</v>
      </c>
      <c r="B45" s="62">
        <f t="shared" ref="B45:K46" si="47">($B25+($C25-$B25)*(1-Q25))*B$44</f>
        <v>1433.6000000000001</v>
      </c>
      <c r="C45" s="62">
        <f t="shared" si="47"/>
        <v>1433.6000000000001</v>
      </c>
      <c r="D45" s="62">
        <f t="shared" si="47"/>
        <v>1433.6000000000001</v>
      </c>
      <c r="E45" s="62">
        <f t="shared" si="47"/>
        <v>1433.6000000000001</v>
      </c>
      <c r="F45" s="62">
        <f t="shared" si="47"/>
        <v>1433.6000000000001</v>
      </c>
      <c r="G45" s="62">
        <f t="shared" si="47"/>
        <v>1433.6000000000001</v>
      </c>
      <c r="H45" s="62">
        <f t="shared" si="47"/>
        <v>1433.6000000000001</v>
      </c>
      <c r="I45" s="62">
        <f t="shared" si="47"/>
        <v>1433.6000000000001</v>
      </c>
      <c r="J45" s="62">
        <f t="shared" si="47"/>
        <v>1433.6000000000001</v>
      </c>
      <c r="K45" s="62">
        <f t="shared" si="47"/>
        <v>1433.6000000000001</v>
      </c>
      <c r="L45" s="62">
        <f t="shared" ref="L45:U46" si="48">($B25+($C25-$B25)*(1-AA25))*L$44</f>
        <v>1433.6000000000001</v>
      </c>
      <c r="M45" s="62">
        <f t="shared" si="48"/>
        <v>1433.6000000000001</v>
      </c>
      <c r="N45" s="62">
        <f t="shared" si="48"/>
        <v>1433.6000000000001</v>
      </c>
      <c r="O45" s="62">
        <f t="shared" si="48"/>
        <v>1433.6000000000001</v>
      </c>
      <c r="P45" s="62">
        <f t="shared" si="48"/>
        <v>1433.6000000000001</v>
      </c>
      <c r="Q45" s="62">
        <f t="shared" si="48"/>
        <v>1433.6000000000001</v>
      </c>
      <c r="R45" s="62">
        <f t="shared" si="48"/>
        <v>1433.6000000000001</v>
      </c>
      <c r="S45" s="62">
        <f t="shared" si="48"/>
        <v>1433.6000000000001</v>
      </c>
      <c r="T45" s="62">
        <f t="shared" si="48"/>
        <v>1433.6000000000001</v>
      </c>
      <c r="U45" s="62">
        <f t="shared" si="48"/>
        <v>1433.6000000000001</v>
      </c>
      <c r="V45" s="62">
        <f t="shared" ref="V45:AC46" si="49">($B25+($C25-$B25)*(1-AK25))*V$44</f>
        <v>1433.6000000000001</v>
      </c>
      <c r="W45" s="62">
        <f t="shared" si="49"/>
        <v>1433.6000000000001</v>
      </c>
      <c r="X45" s="62">
        <f t="shared" si="49"/>
        <v>1433.6000000000001</v>
      </c>
      <c r="Y45" s="62">
        <f t="shared" si="49"/>
        <v>1433.6000000000001</v>
      </c>
      <c r="Z45" s="62">
        <f t="shared" si="49"/>
        <v>1433.6000000000001</v>
      </c>
      <c r="AA45" s="62">
        <f t="shared" si="49"/>
        <v>1433.6000000000001</v>
      </c>
      <c r="AB45" s="62">
        <f t="shared" si="49"/>
        <v>1433.6000000000001</v>
      </c>
      <c r="AC45" s="62">
        <f t="shared" si="49"/>
        <v>1433.6000000000001</v>
      </c>
    </row>
    <row r="46" spans="1:53" x14ac:dyDescent="0.25">
      <c r="A46" s="30" t="s">
        <v>73</v>
      </c>
      <c r="B46" s="62">
        <f t="shared" si="47"/>
        <v>79.471914462993496</v>
      </c>
      <c r="C46" s="62">
        <f t="shared" si="47"/>
        <v>79.245803905143291</v>
      </c>
      <c r="D46" s="62">
        <f t="shared" si="47"/>
        <v>78.924759326348806</v>
      </c>
      <c r="E46" s="62">
        <f t="shared" si="47"/>
        <v>78.470993664637106</v>
      </c>
      <c r="F46" s="62">
        <f t="shared" si="47"/>
        <v>77.833914862204551</v>
      </c>
      <c r="G46" s="62">
        <f t="shared" si="47"/>
        <v>76.948144060056592</v>
      </c>
      <c r="H46" s="62">
        <f t="shared" si="47"/>
        <v>75.733785427063381</v>
      </c>
      <c r="I46" s="62">
        <f t="shared" si="47"/>
        <v>74.101817549730796</v>
      </c>
      <c r="J46" s="62">
        <f t="shared" si="47"/>
        <v>71.968520261049548</v>
      </c>
      <c r="K46" s="62">
        <f t="shared" si="47"/>
        <v>69.281992899997348</v>
      </c>
      <c r="L46" s="62">
        <f t="shared" si="48"/>
        <v>66.058237183514677</v>
      </c>
      <c r="M46" s="62">
        <f t="shared" si="48"/>
        <v>62.412899152339826</v>
      </c>
      <c r="N46" s="62">
        <f t="shared" si="48"/>
        <v>58.564530749274141</v>
      </c>
      <c r="O46" s="62">
        <f t="shared" si="48"/>
        <v>54.79189103820957</v>
      </c>
      <c r="P46" s="62">
        <f t="shared" si="48"/>
        <v>51.357579454892473</v>
      </c>
      <c r="Q46" s="62">
        <f t="shared" si="48"/>
        <v>48.438903664447089</v>
      </c>
      <c r="R46" s="62">
        <f t="shared" si="48"/>
        <v>46.101567061519283</v>
      </c>
      <c r="S46" s="62">
        <f t="shared" si="48"/>
        <v>44.318075495083995</v>
      </c>
      <c r="T46" s="62">
        <f t="shared" si="48"/>
        <v>43.007066157523667</v>
      </c>
      <c r="U46" s="62">
        <f t="shared" si="48"/>
        <v>42.069713447100085</v>
      </c>
      <c r="V46" s="62">
        <f t="shared" si="49"/>
        <v>41.412767625013835</v>
      </c>
      <c r="W46" s="62">
        <f t="shared" si="49"/>
        <v>40.958777682906323</v>
      </c>
      <c r="X46" s="62">
        <f t="shared" si="49"/>
        <v>40.648089742335586</v>
      </c>
      <c r="Y46" s="62">
        <f t="shared" si="49"/>
        <v>40.43688962256433</v>
      </c>
      <c r="Z46" s="62">
        <f t="shared" si="49"/>
        <v>40.29397285162436</v>
      </c>
      <c r="AA46" s="62">
        <f t="shared" si="49"/>
        <v>40.197561048740226</v>
      </c>
      <c r="AB46" s="62">
        <f t="shared" si="49"/>
        <v>40.132657101971823</v>
      </c>
      <c r="AC46" s="62">
        <f t="shared" si="49"/>
        <v>40.08902544858671</v>
      </c>
    </row>
    <row r="47" spans="1:53" x14ac:dyDescent="0.25">
      <c r="A47" s="30" t="str">
        <f>A27</f>
        <v>Annual Mileage</v>
      </c>
      <c r="B47" s="62">
        <f t="shared" ref="B47:AC47" si="50">$B27+($C27-$B27)*(1-Q27)</f>
        <v>178500</v>
      </c>
      <c r="C47" s="62">
        <f t="shared" si="50"/>
        <v>178500</v>
      </c>
      <c r="D47" s="62">
        <f t="shared" si="50"/>
        <v>178500</v>
      </c>
      <c r="E47" s="62">
        <f t="shared" si="50"/>
        <v>178500</v>
      </c>
      <c r="F47" s="62">
        <f t="shared" si="50"/>
        <v>178500</v>
      </c>
      <c r="G47" s="62">
        <f t="shared" si="50"/>
        <v>178500</v>
      </c>
      <c r="H47" s="62">
        <f t="shared" si="50"/>
        <v>178500</v>
      </c>
      <c r="I47" s="62">
        <f t="shared" si="50"/>
        <v>178500</v>
      </c>
      <c r="J47" s="62">
        <f t="shared" si="50"/>
        <v>178500</v>
      </c>
      <c r="K47" s="62">
        <f t="shared" si="50"/>
        <v>178500</v>
      </c>
      <c r="L47" s="62">
        <f t="shared" si="50"/>
        <v>178500</v>
      </c>
      <c r="M47" s="62">
        <f t="shared" si="50"/>
        <v>178500</v>
      </c>
      <c r="N47" s="62">
        <f t="shared" si="50"/>
        <v>178500</v>
      </c>
      <c r="O47" s="62">
        <f t="shared" si="50"/>
        <v>178500</v>
      </c>
      <c r="P47" s="62">
        <f t="shared" si="50"/>
        <v>178500</v>
      </c>
      <c r="Q47" s="62">
        <f t="shared" si="50"/>
        <v>178500</v>
      </c>
      <c r="R47" s="62">
        <f t="shared" si="50"/>
        <v>178500</v>
      </c>
      <c r="S47" s="62">
        <f t="shared" si="50"/>
        <v>178500</v>
      </c>
      <c r="T47" s="62">
        <f t="shared" si="50"/>
        <v>178500</v>
      </c>
      <c r="U47" s="62">
        <f t="shared" si="50"/>
        <v>178500</v>
      </c>
      <c r="V47" s="62">
        <f t="shared" si="50"/>
        <v>178500</v>
      </c>
      <c r="W47" s="62">
        <f t="shared" si="50"/>
        <v>178500</v>
      </c>
      <c r="X47" s="62">
        <f t="shared" si="50"/>
        <v>178500</v>
      </c>
      <c r="Y47" s="62">
        <f t="shared" si="50"/>
        <v>178500</v>
      </c>
      <c r="Z47" s="62">
        <f t="shared" si="50"/>
        <v>178500</v>
      </c>
      <c r="AA47" s="62">
        <f t="shared" si="50"/>
        <v>178500</v>
      </c>
      <c r="AB47" s="62">
        <f t="shared" si="50"/>
        <v>178500</v>
      </c>
      <c r="AC47" s="62">
        <f t="shared" si="50"/>
        <v>178500</v>
      </c>
    </row>
    <row r="48" spans="1:53"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867529.23505697085</v>
      </c>
      <c r="C50" s="63">
        <f t="shared" ref="C50:AC50" si="51">((1+C35)^C42)*C35/(((1+C35)^C42)-1)*(C31)</f>
        <v>865681.10860566224</v>
      </c>
      <c r="D50" s="63">
        <f t="shared" si="51"/>
        <v>863057.03397703567</v>
      </c>
      <c r="E50" s="63">
        <f t="shared" si="51"/>
        <v>859348.15664694412</v>
      </c>
      <c r="F50" s="63">
        <f t="shared" si="51"/>
        <v>854140.95978918544</v>
      </c>
      <c r="G50" s="63">
        <f t="shared" si="51"/>
        <v>846901.06588590739</v>
      </c>
      <c r="H50" s="63">
        <f t="shared" si="51"/>
        <v>836975.44218948286</v>
      </c>
      <c r="I50" s="63">
        <f t="shared" si="51"/>
        <v>823636.46752832399</v>
      </c>
      <c r="J50" s="63">
        <f t="shared" si="51"/>
        <v>806199.8507457996</v>
      </c>
      <c r="K50" s="63">
        <f t="shared" si="51"/>
        <v>784241.37907896913</v>
      </c>
      <c r="L50" s="63">
        <f t="shared" si="51"/>
        <v>757891.84339680034</v>
      </c>
      <c r="M50" s="63">
        <f t="shared" si="51"/>
        <v>728096.48265190842</v>
      </c>
      <c r="N50" s="63">
        <f t="shared" si="51"/>
        <v>696641.64256081509</v>
      </c>
      <c r="O50" s="63">
        <f t="shared" si="51"/>
        <v>665805.77488808637</v>
      </c>
      <c r="P50" s="63">
        <f t="shared" si="51"/>
        <v>637735.24983383913</v>
      </c>
      <c r="Q50" s="63">
        <f t="shared" si="51"/>
        <v>613879.3008573663</v>
      </c>
      <c r="R50" s="63">
        <f t="shared" si="51"/>
        <v>594774.95808561263</v>
      </c>
      <c r="S50" s="63">
        <f t="shared" si="51"/>
        <v>580197.49663952412</v>
      </c>
      <c r="T50" s="63">
        <f t="shared" si="51"/>
        <v>569481.893362551</v>
      </c>
      <c r="U50" s="63">
        <f t="shared" si="51"/>
        <v>561820.39203855116</v>
      </c>
      <c r="V50" s="63">
        <f t="shared" si="51"/>
        <v>556450.81105826527</v>
      </c>
      <c r="W50" s="63">
        <f t="shared" si="51"/>
        <v>552740.10056064755</v>
      </c>
      <c r="X50" s="63">
        <f t="shared" si="51"/>
        <v>550200.67645533092</v>
      </c>
      <c r="Y50" s="63">
        <f t="shared" si="51"/>
        <v>548474.42124823271</v>
      </c>
      <c r="Z50" s="63">
        <f t="shared" si="51"/>
        <v>547306.28355832992</v>
      </c>
      <c r="AA50" s="63">
        <f t="shared" si="51"/>
        <v>546518.25665316184</v>
      </c>
      <c r="AB50" s="63">
        <f t="shared" si="51"/>
        <v>545987.76085518813</v>
      </c>
      <c r="AC50" s="63">
        <f t="shared" si="51"/>
        <v>545631.13525794924</v>
      </c>
    </row>
    <row r="51" spans="1:29" x14ac:dyDescent="0.25">
      <c r="A51" s="30" t="str">
        <f>A32</f>
        <v>Residual value (vehicle)</v>
      </c>
      <c r="B51" s="62">
        <f>((1+B35)^B42)*B35/(((1+B35)^B42)-1)*(B32)</f>
        <v>-44095.850871439077</v>
      </c>
      <c r="C51" s="62">
        <f t="shared" ref="C51:AC51" si="52">((1+C35)^C42)*C35/(((1+C35)^C42)-1)*(C32)</f>
        <v>-44311.465624091747</v>
      </c>
      <c r="D51" s="62">
        <f t="shared" si="52"/>
        <v>-44617.607664098185</v>
      </c>
      <c r="E51" s="62">
        <f t="shared" si="52"/>
        <v>-45050.310019275523</v>
      </c>
      <c r="F51" s="62">
        <f t="shared" si="52"/>
        <v>-45657.816319347374</v>
      </c>
      <c r="G51" s="62">
        <f t="shared" si="52"/>
        <v>-46502.470608063151</v>
      </c>
      <c r="H51" s="62">
        <f t="shared" si="52"/>
        <v>-47660.460039312675</v>
      </c>
      <c r="I51" s="62">
        <f t="shared" si="52"/>
        <v>-49216.673749781199</v>
      </c>
      <c r="J51" s="62">
        <f t="shared" si="52"/>
        <v>-51250.945707742365</v>
      </c>
      <c r="K51" s="62">
        <f t="shared" si="52"/>
        <v>-53812.767402205936</v>
      </c>
      <c r="L51" s="62">
        <f t="shared" si="52"/>
        <v>-56886.879898458967</v>
      </c>
      <c r="M51" s="62">
        <f t="shared" si="52"/>
        <v>-60363.005318696356</v>
      </c>
      <c r="N51" s="62">
        <f t="shared" si="52"/>
        <v>-64032.73666265724</v>
      </c>
      <c r="O51" s="62">
        <f t="shared" si="52"/>
        <v>-67630.254557808934</v>
      </c>
      <c r="P51" s="62">
        <f t="shared" si="52"/>
        <v>-70905.149147471107</v>
      </c>
      <c r="Q51" s="62">
        <f t="shared" si="52"/>
        <v>-73688.343194726258</v>
      </c>
      <c r="R51" s="62">
        <f t="shared" si="52"/>
        <v>-75917.183184764202</v>
      </c>
      <c r="S51" s="62">
        <f t="shared" si="52"/>
        <v>-77617.887020141206</v>
      </c>
      <c r="T51" s="62">
        <f t="shared" si="52"/>
        <v>-78868.040735788047</v>
      </c>
      <c r="U51" s="62">
        <f t="shared" si="52"/>
        <v>-79761.882556921351</v>
      </c>
      <c r="V51" s="62">
        <f t="shared" si="52"/>
        <v>-80388.333671288041</v>
      </c>
      <c r="W51" s="62">
        <f t="shared" si="52"/>
        <v>-80821.249896010122</v>
      </c>
      <c r="X51" s="62">
        <f t="shared" si="52"/>
        <v>-81117.516041630384</v>
      </c>
      <c r="Y51" s="62">
        <f t="shared" si="52"/>
        <v>-81318.912482458516</v>
      </c>
      <c r="Z51" s="62">
        <f t="shared" si="52"/>
        <v>-81455.19521294719</v>
      </c>
      <c r="AA51" s="62">
        <f t="shared" si="52"/>
        <v>-81547.131685216795</v>
      </c>
      <c r="AB51" s="62">
        <f t="shared" si="52"/>
        <v>-81609.022861647056</v>
      </c>
      <c r="AC51" s="62">
        <f t="shared" si="52"/>
        <v>-81650.629181324926</v>
      </c>
    </row>
    <row r="52" spans="1:29" x14ac:dyDescent="0.25">
      <c r="A52" s="30" t="str">
        <f>A33</f>
        <v>Capex costumization</v>
      </c>
      <c r="B52" s="62">
        <f>((1+B35)^B43)*B35/(((1+B35)^B43)-1)*(B33)</f>
        <v>305125.4282581982</v>
      </c>
      <c r="C52" s="62">
        <f t="shared" ref="C52:AC52" si="53">((1+C35)^C43)*C35/(((1+C35)^C43)-1)*(C33)</f>
        <v>305125.4282581982</v>
      </c>
      <c r="D52" s="62">
        <f t="shared" si="53"/>
        <v>305125.4282581982</v>
      </c>
      <c r="E52" s="62">
        <f t="shared" si="53"/>
        <v>305125.4282581982</v>
      </c>
      <c r="F52" s="62">
        <f t="shared" si="53"/>
        <v>305125.4282581982</v>
      </c>
      <c r="G52" s="62">
        <f t="shared" si="53"/>
        <v>305125.4282581982</v>
      </c>
      <c r="H52" s="62">
        <f t="shared" si="53"/>
        <v>305125.4282581982</v>
      </c>
      <c r="I52" s="62">
        <f t="shared" si="53"/>
        <v>305125.4282581982</v>
      </c>
      <c r="J52" s="62">
        <f t="shared" si="53"/>
        <v>305125.4282581982</v>
      </c>
      <c r="K52" s="62">
        <f t="shared" si="53"/>
        <v>305125.4282581982</v>
      </c>
      <c r="L52" s="62">
        <f t="shared" si="53"/>
        <v>305125.4282581982</v>
      </c>
      <c r="M52" s="62">
        <f t="shared" si="53"/>
        <v>305125.4282581982</v>
      </c>
      <c r="N52" s="62">
        <f t="shared" si="53"/>
        <v>305125.4282581982</v>
      </c>
      <c r="O52" s="62">
        <f t="shared" si="53"/>
        <v>305125.4282581982</v>
      </c>
      <c r="P52" s="62">
        <f t="shared" si="53"/>
        <v>305125.4282581982</v>
      </c>
      <c r="Q52" s="62">
        <f t="shared" si="53"/>
        <v>305125.4282581982</v>
      </c>
      <c r="R52" s="62">
        <f t="shared" si="53"/>
        <v>305125.4282581982</v>
      </c>
      <c r="S52" s="62">
        <f t="shared" si="53"/>
        <v>305125.4282581982</v>
      </c>
      <c r="T52" s="62">
        <f t="shared" si="53"/>
        <v>305125.4282581982</v>
      </c>
      <c r="U52" s="62">
        <f t="shared" si="53"/>
        <v>305125.4282581982</v>
      </c>
      <c r="V52" s="62">
        <f t="shared" si="53"/>
        <v>305125.4282581982</v>
      </c>
      <c r="W52" s="62">
        <f t="shared" si="53"/>
        <v>305125.4282581982</v>
      </c>
      <c r="X52" s="62">
        <f t="shared" si="53"/>
        <v>305125.4282581982</v>
      </c>
      <c r="Y52" s="62">
        <f t="shared" si="53"/>
        <v>305125.4282581982</v>
      </c>
      <c r="Z52" s="62">
        <f t="shared" si="53"/>
        <v>305125.4282581982</v>
      </c>
      <c r="AA52" s="62">
        <f t="shared" si="53"/>
        <v>305125.4282581982</v>
      </c>
      <c r="AB52" s="62">
        <f t="shared" si="53"/>
        <v>305125.4282581982</v>
      </c>
      <c r="AC52" s="62">
        <f t="shared" si="53"/>
        <v>305125.4282581982</v>
      </c>
    </row>
    <row r="53" spans="1:29" x14ac:dyDescent="0.25">
      <c r="A53" s="30" t="str">
        <f>A34</f>
        <v>Residual value (costumization)</v>
      </c>
      <c r="B53" s="62">
        <f>((1+B35)^B43)*B35/(((1+B35)^B43)-1)*(B34)</f>
        <v>-15256.271412909911</v>
      </c>
      <c r="C53" s="62">
        <f t="shared" ref="C53:AC53" si="54">((1+C35)^C43)*C35/(((1+C35)^C43)-1)*(C34)</f>
        <v>-15256.271412909911</v>
      </c>
      <c r="D53" s="62">
        <f t="shared" si="54"/>
        <v>-15256.271412909911</v>
      </c>
      <c r="E53" s="62">
        <f t="shared" si="54"/>
        <v>-15256.271412909911</v>
      </c>
      <c r="F53" s="62">
        <f t="shared" si="54"/>
        <v>-15256.271412909911</v>
      </c>
      <c r="G53" s="62">
        <f t="shared" si="54"/>
        <v>-15256.271412909911</v>
      </c>
      <c r="H53" s="62">
        <f t="shared" si="54"/>
        <v>-15256.271412909911</v>
      </c>
      <c r="I53" s="62">
        <f t="shared" si="54"/>
        <v>-15256.271412909911</v>
      </c>
      <c r="J53" s="62">
        <f t="shared" si="54"/>
        <v>-15256.271412909911</v>
      </c>
      <c r="K53" s="62">
        <f t="shared" si="54"/>
        <v>-15256.271412909911</v>
      </c>
      <c r="L53" s="62">
        <f t="shared" si="54"/>
        <v>-15256.271412909911</v>
      </c>
      <c r="M53" s="62">
        <f t="shared" si="54"/>
        <v>-15256.271412909911</v>
      </c>
      <c r="N53" s="62">
        <f t="shared" si="54"/>
        <v>-15256.271412909911</v>
      </c>
      <c r="O53" s="62">
        <f t="shared" si="54"/>
        <v>-15256.271412909911</v>
      </c>
      <c r="P53" s="62">
        <f t="shared" si="54"/>
        <v>-15256.271412909911</v>
      </c>
      <c r="Q53" s="62">
        <f t="shared" si="54"/>
        <v>-15256.271412909911</v>
      </c>
      <c r="R53" s="62">
        <f t="shared" si="54"/>
        <v>-15256.271412909911</v>
      </c>
      <c r="S53" s="62">
        <f t="shared" si="54"/>
        <v>-15256.271412909911</v>
      </c>
      <c r="T53" s="62">
        <f t="shared" si="54"/>
        <v>-15256.271412909911</v>
      </c>
      <c r="U53" s="62">
        <f t="shared" si="54"/>
        <v>-15256.271412909911</v>
      </c>
      <c r="V53" s="62">
        <f t="shared" si="54"/>
        <v>-15256.271412909911</v>
      </c>
      <c r="W53" s="62">
        <f t="shared" si="54"/>
        <v>-15256.271412909911</v>
      </c>
      <c r="X53" s="62">
        <f t="shared" si="54"/>
        <v>-15256.271412909911</v>
      </c>
      <c r="Y53" s="62">
        <f t="shared" si="54"/>
        <v>-15256.271412909911</v>
      </c>
      <c r="Z53" s="62">
        <f t="shared" si="54"/>
        <v>-15256.271412909911</v>
      </c>
      <c r="AA53" s="62">
        <f t="shared" si="54"/>
        <v>-15256.271412909911</v>
      </c>
      <c r="AB53" s="62">
        <f t="shared" si="54"/>
        <v>-15256.271412909911</v>
      </c>
      <c r="AC53" s="62">
        <f t="shared" si="54"/>
        <v>-15256.271412909911</v>
      </c>
    </row>
    <row r="54" spans="1:29" x14ac:dyDescent="0.25">
      <c r="A54" s="30" t="str">
        <f t="shared" ref="A54:AC54" si="55">A36</f>
        <v>Opex fix (admin, crew, insurance)</v>
      </c>
      <c r="B54" s="62">
        <f t="shared" si="55"/>
        <v>650000</v>
      </c>
      <c r="C54" s="62">
        <f t="shared" si="55"/>
        <v>650000</v>
      </c>
      <c r="D54" s="62">
        <f t="shared" si="55"/>
        <v>650000</v>
      </c>
      <c r="E54" s="62">
        <f t="shared" si="55"/>
        <v>650000</v>
      </c>
      <c r="F54" s="62">
        <f t="shared" si="55"/>
        <v>650000</v>
      </c>
      <c r="G54" s="62">
        <f t="shared" si="55"/>
        <v>650000</v>
      </c>
      <c r="H54" s="62">
        <f t="shared" si="55"/>
        <v>650000</v>
      </c>
      <c r="I54" s="62">
        <f t="shared" si="55"/>
        <v>650000</v>
      </c>
      <c r="J54" s="62">
        <f t="shared" si="55"/>
        <v>650000</v>
      </c>
      <c r="K54" s="62">
        <f t="shared" si="55"/>
        <v>650000</v>
      </c>
      <c r="L54" s="62">
        <f t="shared" si="55"/>
        <v>650000</v>
      </c>
      <c r="M54" s="62">
        <f t="shared" si="55"/>
        <v>650000</v>
      </c>
      <c r="N54" s="62">
        <f t="shared" si="55"/>
        <v>650000</v>
      </c>
      <c r="O54" s="62">
        <f t="shared" si="55"/>
        <v>650000</v>
      </c>
      <c r="P54" s="62">
        <f t="shared" si="55"/>
        <v>650000</v>
      </c>
      <c r="Q54" s="62">
        <f t="shared" si="55"/>
        <v>650000</v>
      </c>
      <c r="R54" s="62">
        <f t="shared" si="55"/>
        <v>650000</v>
      </c>
      <c r="S54" s="62">
        <f t="shared" si="55"/>
        <v>650000</v>
      </c>
      <c r="T54" s="62">
        <f t="shared" si="55"/>
        <v>650000</v>
      </c>
      <c r="U54" s="62">
        <f t="shared" si="55"/>
        <v>650000</v>
      </c>
      <c r="V54" s="62">
        <f t="shared" si="55"/>
        <v>650000</v>
      </c>
      <c r="W54" s="62">
        <f t="shared" si="55"/>
        <v>650000</v>
      </c>
      <c r="X54" s="62">
        <f t="shared" si="55"/>
        <v>650000</v>
      </c>
      <c r="Y54" s="62">
        <f t="shared" si="55"/>
        <v>650000</v>
      </c>
      <c r="Z54" s="62">
        <f t="shared" si="55"/>
        <v>650000</v>
      </c>
      <c r="AA54" s="62">
        <f t="shared" si="55"/>
        <v>650000</v>
      </c>
      <c r="AB54" s="62">
        <f t="shared" si="55"/>
        <v>650000</v>
      </c>
      <c r="AC54" s="62">
        <f t="shared" si="55"/>
        <v>650000</v>
      </c>
    </row>
    <row r="55" spans="1:29" x14ac:dyDescent="0.25">
      <c r="A55" s="30" t="str">
        <f t="shared" ref="A55:AC55" si="56">A37</f>
        <v>Opex maintenance &amp; repair</v>
      </c>
      <c r="B55" s="62">
        <f t="shared" si="56"/>
        <v>1293563.9575177333</v>
      </c>
      <c r="C55" s="62">
        <f t="shared" si="56"/>
        <v>1290808.235093934</v>
      </c>
      <c r="D55" s="62">
        <f t="shared" si="56"/>
        <v>1286895.5042898762</v>
      </c>
      <c r="E55" s="62">
        <f t="shared" si="56"/>
        <v>1281365.2352877648</v>
      </c>
      <c r="F55" s="62">
        <f t="shared" si="56"/>
        <v>1273600.837383118</v>
      </c>
      <c r="G55" s="62">
        <f t="shared" si="56"/>
        <v>1262805.5057319398</v>
      </c>
      <c r="H55" s="62">
        <f t="shared" si="56"/>
        <v>1248005.5098923349</v>
      </c>
      <c r="I55" s="62">
        <f t="shared" si="56"/>
        <v>1228115.9013873441</v>
      </c>
      <c r="J55" s="62">
        <f t="shared" si="56"/>
        <v>1202116.3406815415</v>
      </c>
      <c r="K55" s="62">
        <f t="shared" si="56"/>
        <v>1169374.2884687176</v>
      </c>
      <c r="L55" s="62">
        <f t="shared" si="56"/>
        <v>1130084.7656740851</v>
      </c>
      <c r="M55" s="62">
        <f t="shared" si="56"/>
        <v>1085657.2084191416</v>
      </c>
      <c r="N55" s="62">
        <f t="shared" si="56"/>
        <v>1038755.2185067786</v>
      </c>
      <c r="O55" s="62">
        <f t="shared" si="56"/>
        <v>992776.17202817916</v>
      </c>
      <c r="P55" s="62">
        <f t="shared" si="56"/>
        <v>950920.49960650213</v>
      </c>
      <c r="Q55" s="62">
        <f t="shared" si="56"/>
        <v>915349.13841044903</v>
      </c>
      <c r="R55" s="62">
        <f t="shared" si="56"/>
        <v>886862.84856226621</v>
      </c>
      <c r="S55" s="62">
        <f t="shared" si="56"/>
        <v>865126.54509633617</v>
      </c>
      <c r="T55" s="62">
        <f t="shared" si="56"/>
        <v>849148.61879481981</v>
      </c>
      <c r="U55" s="62">
        <f t="shared" si="56"/>
        <v>837724.6326365323</v>
      </c>
      <c r="V55" s="62">
        <f t="shared" si="56"/>
        <v>829718.10542985611</v>
      </c>
      <c r="W55" s="62">
        <f t="shared" si="56"/>
        <v>824185.10301042092</v>
      </c>
      <c r="X55" s="62">
        <f t="shared" si="56"/>
        <v>820398.59373471502</v>
      </c>
      <c r="Y55" s="62">
        <f t="shared" si="56"/>
        <v>817824.59227500285</v>
      </c>
      <c r="Z55" s="62">
        <f t="shared" si="56"/>
        <v>816082.79412917187</v>
      </c>
      <c r="AA55" s="62">
        <f t="shared" si="56"/>
        <v>814907.77528152149</v>
      </c>
      <c r="AB55" s="62">
        <f t="shared" si="56"/>
        <v>814116.75843028165</v>
      </c>
      <c r="AC55" s="62">
        <f t="shared" si="56"/>
        <v>813584.99765465059</v>
      </c>
    </row>
    <row r="56" spans="1:29" x14ac:dyDescent="0.25">
      <c r="A56" s="30" t="str">
        <f>A38</f>
        <v>Opex var (mode-fees, shunting)</v>
      </c>
      <c r="B56" s="62">
        <f>B38*B47</f>
        <v>700000</v>
      </c>
      <c r="C56" s="62">
        <f t="shared" ref="C56:AC56" si="57">C38*C47</f>
        <v>700000</v>
      </c>
      <c r="D56" s="62">
        <f t="shared" si="57"/>
        <v>700000</v>
      </c>
      <c r="E56" s="62">
        <f t="shared" si="57"/>
        <v>700000</v>
      </c>
      <c r="F56" s="62">
        <f t="shared" si="57"/>
        <v>700000</v>
      </c>
      <c r="G56" s="62">
        <f t="shared" si="57"/>
        <v>700000</v>
      </c>
      <c r="H56" s="62">
        <f t="shared" si="57"/>
        <v>700000</v>
      </c>
      <c r="I56" s="62">
        <f t="shared" si="57"/>
        <v>700000</v>
      </c>
      <c r="J56" s="62">
        <f t="shared" si="57"/>
        <v>700000</v>
      </c>
      <c r="K56" s="62">
        <f t="shared" si="57"/>
        <v>700000</v>
      </c>
      <c r="L56" s="62">
        <f t="shared" si="57"/>
        <v>700000</v>
      </c>
      <c r="M56" s="62">
        <f t="shared" si="57"/>
        <v>700000</v>
      </c>
      <c r="N56" s="62">
        <f t="shared" si="57"/>
        <v>700000</v>
      </c>
      <c r="O56" s="62">
        <f t="shared" si="57"/>
        <v>700000</v>
      </c>
      <c r="P56" s="62">
        <f t="shared" si="57"/>
        <v>700000</v>
      </c>
      <c r="Q56" s="62">
        <f t="shared" si="57"/>
        <v>700000</v>
      </c>
      <c r="R56" s="62">
        <f t="shared" si="57"/>
        <v>700000</v>
      </c>
      <c r="S56" s="62">
        <f t="shared" si="57"/>
        <v>700000</v>
      </c>
      <c r="T56" s="62">
        <f t="shared" si="57"/>
        <v>700000</v>
      </c>
      <c r="U56" s="62">
        <f t="shared" si="57"/>
        <v>700000</v>
      </c>
      <c r="V56" s="62">
        <f t="shared" si="57"/>
        <v>700000</v>
      </c>
      <c r="W56" s="62">
        <f t="shared" si="57"/>
        <v>700000</v>
      </c>
      <c r="X56" s="62">
        <f t="shared" si="57"/>
        <v>700000</v>
      </c>
      <c r="Y56" s="62">
        <f t="shared" si="57"/>
        <v>700000</v>
      </c>
      <c r="Z56" s="62">
        <f t="shared" si="57"/>
        <v>700000</v>
      </c>
      <c r="AA56" s="62">
        <f t="shared" si="57"/>
        <v>700000</v>
      </c>
      <c r="AB56" s="62">
        <f t="shared" si="57"/>
        <v>700000</v>
      </c>
      <c r="AC56" s="62">
        <f t="shared" si="57"/>
        <v>700000</v>
      </c>
    </row>
    <row r="57" spans="1:29" x14ac:dyDescent="0.25">
      <c r="A57" s="30" t="str">
        <f>A40</f>
        <v>Fuel Cost</v>
      </c>
      <c r="B57" s="62">
        <f>B39*B40*B47</f>
        <v>798056.04826895113</v>
      </c>
      <c r="C57" s="62">
        <f t="shared" ref="C57:AC57" si="58">C39*C40*C47</f>
        <v>796492.71682323981</v>
      </c>
      <c r="D57" s="62">
        <f t="shared" si="58"/>
        <v>794273.01027668803</v>
      </c>
      <c r="E57" s="62">
        <f t="shared" si="58"/>
        <v>791135.66837331757</v>
      </c>
      <c r="F57" s="62">
        <f t="shared" si="58"/>
        <v>786730.89694332192</v>
      </c>
      <c r="G57" s="62">
        <f t="shared" si="58"/>
        <v>780606.66567408491</v>
      </c>
      <c r="H57" s="62">
        <f t="shared" si="58"/>
        <v>772210.57371190842</v>
      </c>
      <c r="I57" s="62">
        <f t="shared" si="58"/>
        <v>760927.1258035847</v>
      </c>
      <c r="J57" s="62">
        <f t="shared" si="58"/>
        <v>746177.47958558018</v>
      </c>
      <c r="K57" s="62">
        <f t="shared" si="58"/>
        <v>727602.79318779043</v>
      </c>
      <c r="L57" s="62">
        <f t="shared" si="58"/>
        <v>705313.70269689942</v>
      </c>
      <c r="M57" s="62">
        <f t="shared" si="58"/>
        <v>680109.78639787121</v>
      </c>
      <c r="N57" s="62">
        <f t="shared" si="58"/>
        <v>653502.11537005368</v>
      </c>
      <c r="O57" s="62">
        <f t="shared" si="58"/>
        <v>627418.0335398108</v>
      </c>
      <c r="P57" s="62">
        <f t="shared" si="58"/>
        <v>603673.15694662137</v>
      </c>
      <c r="Q57" s="62">
        <f t="shared" si="58"/>
        <v>583493.39317786123</v>
      </c>
      <c r="R57" s="62">
        <f t="shared" si="58"/>
        <v>567333.01639001595</v>
      </c>
      <c r="S57" s="62">
        <f t="shared" si="58"/>
        <v>555001.93165218434</v>
      </c>
      <c r="T57" s="62">
        <f t="shared" si="58"/>
        <v>545937.59541545261</v>
      </c>
      <c r="U57" s="62">
        <f t="shared" si="58"/>
        <v>539456.72613689909</v>
      </c>
      <c r="V57" s="62">
        <f t="shared" si="58"/>
        <v>534914.59386514337</v>
      </c>
      <c r="W57" s="62">
        <f t="shared" si="58"/>
        <v>531775.70128409215</v>
      </c>
      <c r="X57" s="62">
        <f t="shared" si="58"/>
        <v>529627.6006738618</v>
      </c>
      <c r="Y57" s="62">
        <f t="shared" si="58"/>
        <v>528167.36019807158</v>
      </c>
      <c r="Z57" s="62">
        <f t="shared" si="58"/>
        <v>527179.23171679105</v>
      </c>
      <c r="AA57" s="62">
        <f t="shared" si="58"/>
        <v>526512.63921169308</v>
      </c>
      <c r="AB57" s="62">
        <f t="shared" si="58"/>
        <v>526063.89244861156</v>
      </c>
      <c r="AC57" s="62">
        <f t="shared" si="58"/>
        <v>525762.2226088047</v>
      </c>
    </row>
    <row r="58" spans="1:29" ht="15.75" thickBot="1" x14ac:dyDescent="0.3">
      <c r="A58" s="59" t="str">
        <f>A21</f>
        <v>Emission Cost</v>
      </c>
      <c r="B58" s="62">
        <f>B41*B47</f>
        <v>13854.632661222226</v>
      </c>
      <c r="C58" s="62">
        <f t="shared" ref="C58:AC58" si="59">C41*C47</f>
        <v>13841.439675224099</v>
      </c>
      <c r="D58" s="62">
        <f t="shared" si="59"/>
        <v>13822.554209617852</v>
      </c>
      <c r="E58" s="62">
        <f t="shared" si="59"/>
        <v>13795.537222982803</v>
      </c>
      <c r="F58" s="62">
        <f t="shared" si="59"/>
        <v>13756.923987487233</v>
      </c>
      <c r="G58" s="62">
        <f t="shared" si="59"/>
        <v>13701.814555768824</v>
      </c>
      <c r="H58" s="62">
        <f t="shared" si="59"/>
        <v>13623.325205178304</v>
      </c>
      <c r="I58" s="62">
        <f t="shared" si="59"/>
        <v>13511.881578928529</v>
      </c>
      <c r="J58" s="62">
        <f t="shared" si="59"/>
        <v>13354.366722273209</v>
      </c>
      <c r="K58" s="62">
        <f t="shared" si="59"/>
        <v>13133.218705332552</v>
      </c>
      <c r="L58" s="62">
        <f t="shared" si="59"/>
        <v>12825.742682568964</v>
      </c>
      <c r="M58" s="62">
        <f t="shared" si="59"/>
        <v>12404.204558060976</v>
      </c>
      <c r="N58" s="62">
        <f t="shared" si="59"/>
        <v>11837.702488921488</v>
      </c>
      <c r="O58" s="62">
        <f t="shared" si="59"/>
        <v>11097.17484440505</v>
      </c>
      <c r="P58" s="62">
        <f t="shared" si="59"/>
        <v>10164.605441554135</v>
      </c>
      <c r="Q58" s="62">
        <f t="shared" si="59"/>
        <v>9045.5489275419332</v>
      </c>
      <c r="R58" s="62">
        <f t="shared" si="59"/>
        <v>7780.1493041444628</v>
      </c>
      <c r="S58" s="62">
        <f t="shared" si="59"/>
        <v>6444.2721135277652</v>
      </c>
      <c r="T58" s="62">
        <f t="shared" si="59"/>
        <v>5134.682487334203</v>
      </c>
      <c r="U58" s="62">
        <f t="shared" si="59"/>
        <v>3942.5360946007872</v>
      </c>
      <c r="V58" s="62">
        <f t="shared" si="59"/>
        <v>2929.3814256883388</v>
      </c>
      <c r="W58" s="62">
        <f t="shared" si="59"/>
        <v>2118.0259816104226</v>
      </c>
      <c r="X58" s="62">
        <f t="shared" si="59"/>
        <v>1498.9257672546028</v>
      </c>
      <c r="Y58" s="62">
        <f t="shared" si="59"/>
        <v>1043.8374577941086</v>
      </c>
      <c r="Z58" s="62">
        <f t="shared" si="59"/>
        <v>718.45590013967967</v>
      </c>
      <c r="AA58" s="62">
        <f t="shared" si="59"/>
        <v>490.41148045864259</v>
      </c>
      <c r="AB58" s="62">
        <f t="shared" si="59"/>
        <v>332.81876975358495</v>
      </c>
      <c r="AC58" s="62">
        <f t="shared" si="59"/>
        <v>224.9702246721173</v>
      </c>
    </row>
    <row r="59" spans="1:29" ht="15.75" thickBot="1" x14ac:dyDescent="0.3">
      <c r="A59" s="31" t="s">
        <v>209</v>
      </c>
      <c r="B59" s="64">
        <f>B50+B51+B52+B53+B54+B55+B56+B57+B58</f>
        <v>4568777.1794787273</v>
      </c>
      <c r="C59" s="64">
        <f t="shared" ref="C59:AC59" si="60">C50+C51+C52+C53+C54+C55+C56+C57+C58</f>
        <v>4562381.1914192559</v>
      </c>
      <c r="D59" s="64">
        <f t="shared" si="60"/>
        <v>4553299.6519344077</v>
      </c>
      <c r="E59" s="64">
        <f t="shared" si="60"/>
        <v>4540463.4443570217</v>
      </c>
      <c r="F59" s="64">
        <f t="shared" si="60"/>
        <v>4522440.9586290531</v>
      </c>
      <c r="G59" s="64">
        <f t="shared" si="60"/>
        <v>4497381.7380849263</v>
      </c>
      <c r="H59" s="64">
        <f t="shared" si="60"/>
        <v>4463023.54780488</v>
      </c>
      <c r="I59" s="64">
        <f t="shared" si="60"/>
        <v>4416843.8593936889</v>
      </c>
      <c r="J59" s="64">
        <f t="shared" si="60"/>
        <v>4356466.2488727411</v>
      </c>
      <c r="K59" s="64">
        <f t="shared" si="60"/>
        <v>4280408.0688838921</v>
      </c>
      <c r="L59" s="64">
        <f t="shared" si="60"/>
        <v>4189098.3313971832</v>
      </c>
      <c r="M59" s="64">
        <f t="shared" si="60"/>
        <v>4085773.833553574</v>
      </c>
      <c r="N59" s="64">
        <f t="shared" si="60"/>
        <v>3976573.0991091998</v>
      </c>
      <c r="O59" s="64">
        <f t="shared" si="60"/>
        <v>3869336.0575879607</v>
      </c>
      <c r="P59" s="64">
        <f t="shared" si="60"/>
        <v>3771457.519526334</v>
      </c>
      <c r="Q59" s="64">
        <f t="shared" si="60"/>
        <v>3687948.1950237807</v>
      </c>
      <c r="R59" s="64">
        <f t="shared" si="60"/>
        <v>3620702.9460025635</v>
      </c>
      <c r="S59" s="64">
        <f t="shared" si="60"/>
        <v>3569021.5153267193</v>
      </c>
      <c r="T59" s="64">
        <f t="shared" si="60"/>
        <v>3530703.9061696576</v>
      </c>
      <c r="U59" s="64">
        <f t="shared" si="60"/>
        <v>3503051.5611949502</v>
      </c>
      <c r="V59" s="64">
        <f t="shared" si="60"/>
        <v>3483493.7149529536</v>
      </c>
      <c r="W59" s="64">
        <f t="shared" si="60"/>
        <v>3469866.8377860496</v>
      </c>
      <c r="X59" s="64">
        <f t="shared" si="60"/>
        <v>3460477.43743482</v>
      </c>
      <c r="Y59" s="64">
        <f t="shared" si="60"/>
        <v>3454060.4555419311</v>
      </c>
      <c r="Z59" s="64">
        <f t="shared" si="60"/>
        <v>3449700.7269367739</v>
      </c>
      <c r="AA59" s="64">
        <f t="shared" si="60"/>
        <v>3446751.107786906</v>
      </c>
      <c r="AB59" s="64">
        <f t="shared" si="60"/>
        <v>3444761.3644874762</v>
      </c>
      <c r="AC59" s="64">
        <f t="shared" si="60"/>
        <v>3443421.85341004</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61">A50</f>
        <v>Capex vehicle</v>
      </c>
      <c r="B62" s="65">
        <f>((1+B35)^B42)*B35/(((1+B35)^B42)-1)*(B31)/B47</f>
        <v>4.8601077594228057</v>
      </c>
      <c r="C62" s="65">
        <f t="shared" ref="C62:AC62" si="62">((1+C35)^C42)*C35/(((1+C35)^C42)-1)*(C31)/C47</f>
        <v>4.8497541098356427</v>
      </c>
      <c r="D62" s="65">
        <f t="shared" si="62"/>
        <v>4.8350534116360544</v>
      </c>
      <c r="E62" s="65">
        <f t="shared" si="62"/>
        <v>4.8142753873778386</v>
      </c>
      <c r="F62" s="65">
        <f t="shared" si="62"/>
        <v>4.7851034161859127</v>
      </c>
      <c r="G62" s="65">
        <f t="shared" si="62"/>
        <v>4.7445437864756714</v>
      </c>
      <c r="H62" s="65">
        <f t="shared" si="62"/>
        <v>4.6889380514816965</v>
      </c>
      <c r="I62" s="65">
        <f t="shared" si="62"/>
        <v>4.6142099021194625</v>
      </c>
      <c r="J62" s="65">
        <f t="shared" si="62"/>
        <v>4.5165257744862721</v>
      </c>
      <c r="K62" s="65">
        <f t="shared" si="62"/>
        <v>4.3935091264928241</v>
      </c>
      <c r="L62" s="65">
        <f t="shared" si="62"/>
        <v>4.2458926800941192</v>
      </c>
      <c r="M62" s="65">
        <f t="shared" si="62"/>
        <v>4.0789718916073303</v>
      </c>
      <c r="N62" s="65">
        <f t="shared" si="62"/>
        <v>3.9027543000605887</v>
      </c>
      <c r="O62" s="65">
        <f t="shared" si="62"/>
        <v>3.7300043411097277</v>
      </c>
      <c r="P62" s="65">
        <f t="shared" si="62"/>
        <v>3.5727464976685668</v>
      </c>
      <c r="Q62" s="65">
        <f t="shared" si="62"/>
        <v>3.4390997246911277</v>
      </c>
      <c r="R62" s="65">
        <f t="shared" si="62"/>
        <v>3.3320725943171574</v>
      </c>
      <c r="S62" s="65">
        <f t="shared" si="62"/>
        <v>3.2504061436387905</v>
      </c>
      <c r="T62" s="65">
        <f t="shared" si="62"/>
        <v>3.1903747527313779</v>
      </c>
      <c r="U62" s="65">
        <f t="shared" si="62"/>
        <v>3.147453176686561</v>
      </c>
      <c r="V62" s="65">
        <f t="shared" si="62"/>
        <v>3.1173714905224945</v>
      </c>
      <c r="W62" s="65">
        <f t="shared" si="62"/>
        <v>3.0965831964181936</v>
      </c>
      <c r="X62" s="65">
        <f t="shared" si="62"/>
        <v>3.0823567308421902</v>
      </c>
      <c r="Y62" s="65">
        <f t="shared" si="62"/>
        <v>3.0726858333234324</v>
      </c>
      <c r="Z62" s="65">
        <f t="shared" si="62"/>
        <v>3.0661416445844814</v>
      </c>
      <c r="AA62" s="65">
        <f t="shared" si="62"/>
        <v>3.0617269280289179</v>
      </c>
      <c r="AB62" s="65">
        <f t="shared" si="62"/>
        <v>3.058754962774163</v>
      </c>
      <c r="AC62" s="65">
        <f t="shared" si="62"/>
        <v>3.0567570602686231</v>
      </c>
    </row>
    <row r="63" spans="1:29" x14ac:dyDescent="0.25">
      <c r="A63" s="30" t="str">
        <f t="shared" si="61"/>
        <v>Residual value (vehicle)</v>
      </c>
      <c r="B63" s="66">
        <f>((1+B35)^B42)*B35/(((1+B35)^B42)-1)*(B32)/B47</f>
        <v>-0.24703557911170351</v>
      </c>
      <c r="C63" s="66">
        <f t="shared" ref="C63:AC63" si="63">((1+C35)^C42)*C35/(((1+C35)^C42)-1)*(C32)/C47</f>
        <v>-0.24824350489687252</v>
      </c>
      <c r="D63" s="66">
        <f t="shared" si="63"/>
        <v>-0.24995858635349122</v>
      </c>
      <c r="E63" s="66">
        <f t="shared" si="63"/>
        <v>-0.25238268918361639</v>
      </c>
      <c r="F63" s="66">
        <f t="shared" si="63"/>
        <v>-0.25578608582267437</v>
      </c>
      <c r="G63" s="66">
        <f t="shared" si="63"/>
        <v>-0.26051804262220252</v>
      </c>
      <c r="H63" s="66">
        <f t="shared" si="63"/>
        <v>-0.26700537837149957</v>
      </c>
      <c r="I63" s="66">
        <f t="shared" si="63"/>
        <v>-0.27572366246376023</v>
      </c>
      <c r="J63" s="66">
        <f t="shared" si="63"/>
        <v>-0.28712014402096564</v>
      </c>
      <c r="K63" s="66">
        <f t="shared" si="63"/>
        <v>-0.301472086286868</v>
      </c>
      <c r="L63" s="66">
        <f t="shared" si="63"/>
        <v>-0.31869400503338358</v>
      </c>
      <c r="M63" s="66">
        <f t="shared" si="63"/>
        <v>-0.33816809702350897</v>
      </c>
      <c r="N63" s="66">
        <f t="shared" si="63"/>
        <v>-0.35872681603729545</v>
      </c>
      <c r="O63" s="66">
        <f t="shared" si="63"/>
        <v>-0.378880977914896</v>
      </c>
      <c r="P63" s="66">
        <f t="shared" si="63"/>
        <v>-0.39722772631636477</v>
      </c>
      <c r="Q63" s="66">
        <f t="shared" si="63"/>
        <v>-0.41281984983039921</v>
      </c>
      <c r="R63" s="66">
        <f t="shared" si="63"/>
        <v>-0.42530634837402914</v>
      </c>
      <c r="S63" s="66">
        <f t="shared" si="63"/>
        <v>-0.43483410095317204</v>
      </c>
      <c r="T63" s="66">
        <f t="shared" si="63"/>
        <v>-0.44183776322570334</v>
      </c>
      <c r="U63" s="66">
        <f t="shared" si="63"/>
        <v>-0.44684528043093191</v>
      </c>
      <c r="V63" s="66">
        <f t="shared" si="63"/>
        <v>-0.45035481048340636</v>
      </c>
      <c r="W63" s="66">
        <f t="shared" si="63"/>
        <v>-0.45278011146224156</v>
      </c>
      <c r="X63" s="66">
        <f t="shared" si="63"/>
        <v>-0.45443986577944195</v>
      </c>
      <c r="Y63" s="66">
        <f t="shared" si="63"/>
        <v>-0.45556813715663036</v>
      </c>
      <c r="Z63" s="66">
        <f t="shared" si="63"/>
        <v>-0.45633162584284143</v>
      </c>
      <c r="AA63" s="66">
        <f t="shared" si="63"/>
        <v>-0.45684667610765711</v>
      </c>
      <c r="AB63" s="66">
        <f t="shared" si="63"/>
        <v>-0.45719340538737846</v>
      </c>
      <c r="AC63" s="66">
        <f t="shared" si="63"/>
        <v>-0.45742649401302482</v>
      </c>
    </row>
    <row r="64" spans="1:29" x14ac:dyDescent="0.25">
      <c r="A64" s="30" t="str">
        <f t="shared" si="61"/>
        <v>Capex costumization</v>
      </c>
      <c r="B64" s="66">
        <f>((1+B35)^B43)*B35/(((1+B35)^B43)-1)*(B33)/B47</f>
        <v>1.7093861527069927</v>
      </c>
      <c r="C64" s="66">
        <f t="shared" ref="C64:AC64" si="64">((1+C35)^C43)*C35/(((1+C35)^C43)-1)*(C33)/C47</f>
        <v>1.7093861527069927</v>
      </c>
      <c r="D64" s="66">
        <f t="shared" si="64"/>
        <v>1.7093861527069927</v>
      </c>
      <c r="E64" s="66">
        <f t="shared" si="64"/>
        <v>1.7093861527069927</v>
      </c>
      <c r="F64" s="66">
        <f t="shared" si="64"/>
        <v>1.7093861527069927</v>
      </c>
      <c r="G64" s="66">
        <f t="shared" si="64"/>
        <v>1.7093861527069927</v>
      </c>
      <c r="H64" s="66">
        <f t="shared" si="64"/>
        <v>1.7093861527069927</v>
      </c>
      <c r="I64" s="66">
        <f t="shared" si="64"/>
        <v>1.7093861527069927</v>
      </c>
      <c r="J64" s="66">
        <f t="shared" si="64"/>
        <v>1.7093861527069927</v>
      </c>
      <c r="K64" s="66">
        <f t="shared" si="64"/>
        <v>1.7093861527069927</v>
      </c>
      <c r="L64" s="66">
        <f t="shared" si="64"/>
        <v>1.7093861527069927</v>
      </c>
      <c r="M64" s="66">
        <f t="shared" si="64"/>
        <v>1.7093861527069927</v>
      </c>
      <c r="N64" s="66">
        <f t="shared" si="64"/>
        <v>1.7093861527069927</v>
      </c>
      <c r="O64" s="66">
        <f t="shared" si="64"/>
        <v>1.7093861527069927</v>
      </c>
      <c r="P64" s="66">
        <f t="shared" si="64"/>
        <v>1.7093861527069927</v>
      </c>
      <c r="Q64" s="66">
        <f t="shared" si="64"/>
        <v>1.7093861527069927</v>
      </c>
      <c r="R64" s="66">
        <f t="shared" si="64"/>
        <v>1.7093861527069927</v>
      </c>
      <c r="S64" s="66">
        <f t="shared" si="64"/>
        <v>1.7093861527069927</v>
      </c>
      <c r="T64" s="66">
        <f t="shared" si="64"/>
        <v>1.7093861527069927</v>
      </c>
      <c r="U64" s="66">
        <f t="shared" si="64"/>
        <v>1.7093861527069927</v>
      </c>
      <c r="V64" s="66">
        <f t="shared" si="64"/>
        <v>1.7093861527069927</v>
      </c>
      <c r="W64" s="66">
        <f t="shared" si="64"/>
        <v>1.7093861527069927</v>
      </c>
      <c r="X64" s="66">
        <f t="shared" si="64"/>
        <v>1.7093861527069927</v>
      </c>
      <c r="Y64" s="66">
        <f t="shared" si="64"/>
        <v>1.7093861527069927</v>
      </c>
      <c r="Z64" s="66">
        <f t="shared" si="64"/>
        <v>1.7093861527069927</v>
      </c>
      <c r="AA64" s="66">
        <f t="shared" si="64"/>
        <v>1.7093861527069927</v>
      </c>
      <c r="AB64" s="66">
        <f t="shared" si="64"/>
        <v>1.7093861527069927</v>
      </c>
      <c r="AC64" s="66">
        <f t="shared" si="64"/>
        <v>1.7093861527069927</v>
      </c>
    </row>
    <row r="65" spans="1:29" x14ac:dyDescent="0.25">
      <c r="A65" s="30" t="str">
        <f t="shared" si="61"/>
        <v>Residual value (costumization)</v>
      </c>
      <c r="B65" s="66">
        <f>((1+B35)^B43)*B35/(((1+B35)^B43)-1)*(B34)/B47</f>
        <v>-8.5469307635349642E-2</v>
      </c>
      <c r="C65" s="66">
        <f t="shared" ref="C65:AC65" si="65">((1+C35)^C43)*C35/(((1+C35)^C43)-1)*(C34)/C47</f>
        <v>-8.5469307635349642E-2</v>
      </c>
      <c r="D65" s="66">
        <f t="shared" si="65"/>
        <v>-8.5469307635349642E-2</v>
      </c>
      <c r="E65" s="66">
        <f t="shared" si="65"/>
        <v>-8.5469307635349642E-2</v>
      </c>
      <c r="F65" s="66">
        <f t="shared" si="65"/>
        <v>-8.5469307635349642E-2</v>
      </c>
      <c r="G65" s="66">
        <f t="shared" si="65"/>
        <v>-8.5469307635349642E-2</v>
      </c>
      <c r="H65" s="66">
        <f t="shared" si="65"/>
        <v>-8.5469307635349642E-2</v>
      </c>
      <c r="I65" s="66">
        <f t="shared" si="65"/>
        <v>-8.5469307635349642E-2</v>
      </c>
      <c r="J65" s="66">
        <f t="shared" si="65"/>
        <v>-8.5469307635349642E-2</v>
      </c>
      <c r="K65" s="66">
        <f t="shared" si="65"/>
        <v>-8.5469307635349642E-2</v>
      </c>
      <c r="L65" s="66">
        <f t="shared" si="65"/>
        <v>-8.5469307635349642E-2</v>
      </c>
      <c r="M65" s="66">
        <f t="shared" si="65"/>
        <v>-8.5469307635349642E-2</v>
      </c>
      <c r="N65" s="66">
        <f t="shared" si="65"/>
        <v>-8.5469307635349642E-2</v>
      </c>
      <c r="O65" s="66">
        <f t="shared" si="65"/>
        <v>-8.5469307635349642E-2</v>
      </c>
      <c r="P65" s="66">
        <f t="shared" si="65"/>
        <v>-8.5469307635349642E-2</v>
      </c>
      <c r="Q65" s="66">
        <f t="shared" si="65"/>
        <v>-8.5469307635349642E-2</v>
      </c>
      <c r="R65" s="66">
        <f t="shared" si="65"/>
        <v>-8.5469307635349642E-2</v>
      </c>
      <c r="S65" s="66">
        <f t="shared" si="65"/>
        <v>-8.5469307635349642E-2</v>
      </c>
      <c r="T65" s="66">
        <f t="shared" si="65"/>
        <v>-8.5469307635349642E-2</v>
      </c>
      <c r="U65" s="66">
        <f t="shared" si="65"/>
        <v>-8.5469307635349642E-2</v>
      </c>
      <c r="V65" s="66">
        <f t="shared" si="65"/>
        <v>-8.5469307635349642E-2</v>
      </c>
      <c r="W65" s="66">
        <f t="shared" si="65"/>
        <v>-8.5469307635349642E-2</v>
      </c>
      <c r="X65" s="66">
        <f t="shared" si="65"/>
        <v>-8.5469307635349642E-2</v>
      </c>
      <c r="Y65" s="66">
        <f t="shared" si="65"/>
        <v>-8.5469307635349642E-2</v>
      </c>
      <c r="Z65" s="66">
        <f t="shared" si="65"/>
        <v>-8.5469307635349642E-2</v>
      </c>
      <c r="AA65" s="66">
        <f t="shared" si="65"/>
        <v>-8.5469307635349642E-2</v>
      </c>
      <c r="AB65" s="66">
        <f t="shared" si="65"/>
        <v>-8.5469307635349642E-2</v>
      </c>
      <c r="AC65" s="66">
        <f t="shared" si="65"/>
        <v>-8.5469307635349642E-2</v>
      </c>
    </row>
    <row r="66" spans="1:29" x14ac:dyDescent="0.25">
      <c r="A66" s="30" t="str">
        <f t="shared" si="61"/>
        <v>Opex fix (admin, crew, insurance)</v>
      </c>
      <c r="B66" s="66">
        <f>B36/B47</f>
        <v>3.6414565826330532</v>
      </c>
      <c r="C66" s="66">
        <f t="shared" ref="C66:AC66" si="66">C36/C47</f>
        <v>3.6414565826330532</v>
      </c>
      <c r="D66" s="66">
        <f t="shared" si="66"/>
        <v>3.6414565826330532</v>
      </c>
      <c r="E66" s="66">
        <f t="shared" si="66"/>
        <v>3.6414565826330532</v>
      </c>
      <c r="F66" s="66">
        <f t="shared" si="66"/>
        <v>3.6414565826330532</v>
      </c>
      <c r="G66" s="66">
        <f t="shared" si="66"/>
        <v>3.6414565826330532</v>
      </c>
      <c r="H66" s="66">
        <f t="shared" si="66"/>
        <v>3.6414565826330532</v>
      </c>
      <c r="I66" s="66">
        <f t="shared" si="66"/>
        <v>3.6414565826330532</v>
      </c>
      <c r="J66" s="66">
        <f t="shared" si="66"/>
        <v>3.6414565826330532</v>
      </c>
      <c r="K66" s="66">
        <f t="shared" si="66"/>
        <v>3.6414565826330532</v>
      </c>
      <c r="L66" s="66">
        <f t="shared" si="66"/>
        <v>3.6414565826330532</v>
      </c>
      <c r="M66" s="66">
        <f t="shared" si="66"/>
        <v>3.6414565826330532</v>
      </c>
      <c r="N66" s="66">
        <f t="shared" si="66"/>
        <v>3.6414565826330532</v>
      </c>
      <c r="O66" s="66">
        <f t="shared" si="66"/>
        <v>3.6414565826330532</v>
      </c>
      <c r="P66" s="66">
        <f t="shared" si="66"/>
        <v>3.6414565826330532</v>
      </c>
      <c r="Q66" s="66">
        <f t="shared" si="66"/>
        <v>3.6414565826330532</v>
      </c>
      <c r="R66" s="66">
        <f t="shared" si="66"/>
        <v>3.6414565826330532</v>
      </c>
      <c r="S66" s="66">
        <f t="shared" si="66"/>
        <v>3.6414565826330532</v>
      </c>
      <c r="T66" s="66">
        <f t="shared" si="66"/>
        <v>3.6414565826330532</v>
      </c>
      <c r="U66" s="66">
        <f t="shared" si="66"/>
        <v>3.6414565826330532</v>
      </c>
      <c r="V66" s="66">
        <f t="shared" si="66"/>
        <v>3.6414565826330532</v>
      </c>
      <c r="W66" s="66">
        <f t="shared" si="66"/>
        <v>3.6414565826330532</v>
      </c>
      <c r="X66" s="66">
        <f t="shared" si="66"/>
        <v>3.6414565826330532</v>
      </c>
      <c r="Y66" s="66">
        <f t="shared" si="66"/>
        <v>3.6414565826330532</v>
      </c>
      <c r="Z66" s="66">
        <f t="shared" si="66"/>
        <v>3.6414565826330532</v>
      </c>
      <c r="AA66" s="66">
        <f t="shared" si="66"/>
        <v>3.6414565826330532</v>
      </c>
      <c r="AB66" s="66">
        <f t="shared" si="66"/>
        <v>3.6414565826330532</v>
      </c>
      <c r="AC66" s="66">
        <f t="shared" si="66"/>
        <v>3.6414565826330532</v>
      </c>
    </row>
    <row r="67" spans="1:29" x14ac:dyDescent="0.25">
      <c r="A67" s="30" t="str">
        <f t="shared" si="61"/>
        <v>Opex maintenance &amp; repair</v>
      </c>
      <c r="B67" s="66">
        <f>B37/B47</f>
        <v>7.246856904861251</v>
      </c>
      <c r="C67" s="66">
        <f t="shared" ref="C67:AC67" si="67">C37/C47</f>
        <v>7.2314186839996299</v>
      </c>
      <c r="D67" s="66">
        <f t="shared" si="67"/>
        <v>7.2094986234726957</v>
      </c>
      <c r="E67" s="66">
        <f t="shared" si="67"/>
        <v>7.1785167243012031</v>
      </c>
      <c r="F67" s="66">
        <f t="shared" si="67"/>
        <v>7.1350186968241909</v>
      </c>
      <c r="G67" s="66">
        <f t="shared" si="67"/>
        <v>7.0745406483582061</v>
      </c>
      <c r="H67" s="66">
        <f t="shared" si="67"/>
        <v>6.9916275063996354</v>
      </c>
      <c r="I67" s="66">
        <f t="shared" si="67"/>
        <v>6.8802011282204152</v>
      </c>
      <c r="J67" s="66">
        <f t="shared" si="67"/>
        <v>6.7345453259470114</v>
      </c>
      <c r="K67" s="66">
        <f t="shared" si="67"/>
        <v>6.5511164620096221</v>
      </c>
      <c r="L67" s="66">
        <f t="shared" si="67"/>
        <v>6.3310070906111209</v>
      </c>
      <c r="M67" s="66">
        <f t="shared" si="67"/>
        <v>6.0821132124321657</v>
      </c>
      <c r="N67" s="66">
        <f t="shared" si="67"/>
        <v>5.8193569664245297</v>
      </c>
      <c r="O67" s="66">
        <f t="shared" si="67"/>
        <v>5.56177127186655</v>
      </c>
      <c r="P67" s="66">
        <f t="shared" si="67"/>
        <v>5.3272857120812445</v>
      </c>
      <c r="Q67" s="66">
        <f t="shared" si="67"/>
        <v>5.1280063776495748</v>
      </c>
      <c r="R67" s="66">
        <f t="shared" si="67"/>
        <v>4.9684193196765616</v>
      </c>
      <c r="S67" s="66">
        <f t="shared" si="67"/>
        <v>4.8466473114640678</v>
      </c>
      <c r="T67" s="66">
        <f t="shared" si="67"/>
        <v>4.7571351192987104</v>
      </c>
      <c r="U67" s="66">
        <f t="shared" si="67"/>
        <v>4.6931351968433184</v>
      </c>
      <c r="V67" s="66">
        <f t="shared" si="67"/>
        <v>4.6482807026882691</v>
      </c>
      <c r="W67" s="66">
        <f t="shared" si="67"/>
        <v>4.6172834902544588</v>
      </c>
      <c r="X67" s="66">
        <f t="shared" si="67"/>
        <v>4.5960705531356583</v>
      </c>
      <c r="Y67" s="66">
        <f t="shared" si="67"/>
        <v>4.5816503768907726</v>
      </c>
      <c r="Z67" s="66">
        <f t="shared" si="67"/>
        <v>4.5718924040849966</v>
      </c>
      <c r="AA67" s="66">
        <f t="shared" si="67"/>
        <v>4.5653096654426975</v>
      </c>
      <c r="AB67" s="66">
        <f t="shared" si="67"/>
        <v>4.5608781984889726</v>
      </c>
      <c r="AC67" s="66">
        <f t="shared" si="67"/>
        <v>4.5578991465246528</v>
      </c>
    </row>
    <row r="68" spans="1:29" x14ac:dyDescent="0.25">
      <c r="A68" s="30" t="str">
        <f t="shared" si="61"/>
        <v>Opex var (mode-fees, shunting)</v>
      </c>
      <c r="B68" s="66">
        <f>B38*B47/B47</f>
        <v>3.9215686274509802</v>
      </c>
      <c r="C68" s="66">
        <f t="shared" ref="C68:AC68" si="68">C38*C47/C47</f>
        <v>3.9215686274509802</v>
      </c>
      <c r="D68" s="66">
        <f t="shared" si="68"/>
        <v>3.9215686274509802</v>
      </c>
      <c r="E68" s="66">
        <f t="shared" si="68"/>
        <v>3.9215686274509802</v>
      </c>
      <c r="F68" s="66">
        <f t="shared" si="68"/>
        <v>3.9215686274509802</v>
      </c>
      <c r="G68" s="66">
        <f t="shared" si="68"/>
        <v>3.9215686274509802</v>
      </c>
      <c r="H68" s="66">
        <f t="shared" si="68"/>
        <v>3.9215686274509802</v>
      </c>
      <c r="I68" s="66">
        <f t="shared" si="68"/>
        <v>3.9215686274509802</v>
      </c>
      <c r="J68" s="66">
        <f t="shared" si="68"/>
        <v>3.9215686274509802</v>
      </c>
      <c r="K68" s="66">
        <f t="shared" si="68"/>
        <v>3.9215686274509802</v>
      </c>
      <c r="L68" s="66">
        <f t="shared" si="68"/>
        <v>3.9215686274509802</v>
      </c>
      <c r="M68" s="66">
        <f t="shared" si="68"/>
        <v>3.9215686274509802</v>
      </c>
      <c r="N68" s="66">
        <f t="shared" si="68"/>
        <v>3.9215686274509802</v>
      </c>
      <c r="O68" s="66">
        <f t="shared" si="68"/>
        <v>3.9215686274509802</v>
      </c>
      <c r="P68" s="66">
        <f t="shared" si="68"/>
        <v>3.9215686274509802</v>
      </c>
      <c r="Q68" s="66">
        <f t="shared" si="68"/>
        <v>3.9215686274509802</v>
      </c>
      <c r="R68" s="66">
        <f t="shared" si="68"/>
        <v>3.9215686274509802</v>
      </c>
      <c r="S68" s="66">
        <f t="shared" si="68"/>
        <v>3.9215686274509802</v>
      </c>
      <c r="T68" s="66">
        <f t="shared" si="68"/>
        <v>3.9215686274509802</v>
      </c>
      <c r="U68" s="66">
        <f t="shared" si="68"/>
        <v>3.9215686274509802</v>
      </c>
      <c r="V68" s="66">
        <f t="shared" si="68"/>
        <v>3.9215686274509802</v>
      </c>
      <c r="W68" s="66">
        <f t="shared" si="68"/>
        <v>3.9215686274509802</v>
      </c>
      <c r="X68" s="66">
        <f t="shared" si="68"/>
        <v>3.9215686274509802</v>
      </c>
      <c r="Y68" s="66">
        <f t="shared" si="68"/>
        <v>3.9215686274509802</v>
      </c>
      <c r="Z68" s="66">
        <f t="shared" si="68"/>
        <v>3.9215686274509802</v>
      </c>
      <c r="AA68" s="66">
        <f t="shared" si="68"/>
        <v>3.9215686274509802</v>
      </c>
      <c r="AB68" s="66">
        <f t="shared" si="68"/>
        <v>3.9215686274509802</v>
      </c>
      <c r="AC68" s="66">
        <f t="shared" si="68"/>
        <v>3.9215686274509802</v>
      </c>
    </row>
    <row r="69" spans="1:29" x14ac:dyDescent="0.25">
      <c r="A69" s="30" t="str">
        <f t="shared" si="61"/>
        <v>Fuel Cost</v>
      </c>
      <c r="B69" s="66">
        <f>B39*B40*B47/B47</f>
        <v>4.4709022311986057</v>
      </c>
      <c r="C69" s="66">
        <f t="shared" ref="C69:AC69" si="69">C39*C40*C47/C47</f>
        <v>4.4621440718388783</v>
      </c>
      <c r="D69" s="66">
        <f t="shared" si="69"/>
        <v>4.4497087410458711</v>
      </c>
      <c r="E69" s="66">
        <f t="shared" si="69"/>
        <v>4.4321325959289499</v>
      </c>
      <c r="F69" s="66">
        <f t="shared" si="69"/>
        <v>4.4074560052847165</v>
      </c>
      <c r="G69" s="66">
        <f t="shared" si="69"/>
        <v>4.3731465864094394</v>
      </c>
      <c r="H69" s="66">
        <f t="shared" si="69"/>
        <v>4.3261096566493471</v>
      </c>
      <c r="I69" s="66">
        <f t="shared" si="69"/>
        <v>4.2628970633254042</v>
      </c>
      <c r="J69" s="66">
        <f t="shared" si="69"/>
        <v>4.1802659920760794</v>
      </c>
      <c r="K69" s="66">
        <f t="shared" si="69"/>
        <v>4.076206124301347</v>
      </c>
      <c r="L69" s="66">
        <f t="shared" si="69"/>
        <v>3.9513372700106411</v>
      </c>
      <c r="M69" s="66">
        <f t="shared" si="69"/>
        <v>3.8101388593718277</v>
      </c>
      <c r="N69" s="66">
        <f t="shared" si="69"/>
        <v>3.6610762765829339</v>
      </c>
      <c r="O69" s="66">
        <f t="shared" si="69"/>
        <v>3.5149469666095845</v>
      </c>
      <c r="P69" s="66">
        <f t="shared" si="69"/>
        <v>3.3819224478802319</v>
      </c>
      <c r="Q69" s="66">
        <f t="shared" si="69"/>
        <v>3.2688705500160293</v>
      </c>
      <c r="R69" s="66">
        <f t="shared" si="69"/>
        <v>3.1783362262745993</v>
      </c>
      <c r="S69" s="66">
        <f t="shared" si="69"/>
        <v>3.1092545190598564</v>
      </c>
      <c r="T69" s="66">
        <f t="shared" si="69"/>
        <v>3.0584739238960932</v>
      </c>
      <c r="U69" s="66">
        <f t="shared" si="69"/>
        <v>3.0221665329798268</v>
      </c>
      <c r="V69" s="66">
        <f t="shared" si="69"/>
        <v>2.9967204138103272</v>
      </c>
      <c r="W69" s="66">
        <f t="shared" si="69"/>
        <v>2.9791355814234857</v>
      </c>
      <c r="X69" s="66">
        <f t="shared" si="69"/>
        <v>2.9671014043353603</v>
      </c>
      <c r="Y69" s="66">
        <f t="shared" si="69"/>
        <v>2.9589207854233703</v>
      </c>
      <c r="Z69" s="66">
        <f t="shared" si="69"/>
        <v>2.9533850516346836</v>
      </c>
      <c r="AA69" s="66">
        <f t="shared" si="69"/>
        <v>2.9496506398414177</v>
      </c>
      <c r="AB69" s="66">
        <f t="shared" si="69"/>
        <v>2.9471366523731741</v>
      </c>
      <c r="AC69" s="66">
        <f t="shared" si="69"/>
        <v>2.94544662525941</v>
      </c>
    </row>
    <row r="70" spans="1:29" ht="15.75" thickBot="1" x14ac:dyDescent="0.3">
      <c r="A70" s="59" t="str">
        <f t="shared" ref="A70" si="70">A58</f>
        <v>Emission Cost</v>
      </c>
      <c r="B70" s="66">
        <f>B41</f>
        <v>7.7616989698723951E-2</v>
      </c>
      <c r="C70" s="66">
        <f t="shared" ref="C70:AC70" si="71">C41</f>
        <v>7.7543079413020161E-2</v>
      </c>
      <c r="D70" s="66">
        <f t="shared" si="71"/>
        <v>7.7437278485254071E-2</v>
      </c>
      <c r="E70" s="66">
        <f t="shared" si="71"/>
        <v>7.7285922817830824E-2</v>
      </c>
      <c r="F70" s="66">
        <f t="shared" si="71"/>
        <v>7.7069602170796822E-2</v>
      </c>
      <c r="G70" s="66">
        <f t="shared" si="71"/>
        <v>7.6760865858648872E-2</v>
      </c>
      <c r="H70" s="66">
        <f t="shared" si="71"/>
        <v>7.6321149608842037E-2</v>
      </c>
      <c r="I70" s="66">
        <f t="shared" si="71"/>
        <v>7.5696815568227049E-2</v>
      </c>
      <c r="J70" s="66">
        <f t="shared" si="71"/>
        <v>7.4814379396488564E-2</v>
      </c>
      <c r="K70" s="66">
        <f t="shared" si="71"/>
        <v>7.3575454931835024E-2</v>
      </c>
      <c r="L70" s="66">
        <f t="shared" si="71"/>
        <v>7.1852900182459184E-2</v>
      </c>
      <c r="M70" s="66">
        <f t="shared" si="71"/>
        <v>6.9491342061966249E-2</v>
      </c>
      <c r="N70" s="66">
        <f t="shared" si="71"/>
        <v>6.6317661002361278E-2</v>
      </c>
      <c r="O70" s="66">
        <f t="shared" si="71"/>
        <v>6.2169046747367229E-2</v>
      </c>
      <c r="P70" s="66">
        <f t="shared" si="71"/>
        <v>5.694456830002316E-2</v>
      </c>
      <c r="Q70" s="66">
        <f t="shared" si="71"/>
        <v>5.0675344131887581E-2</v>
      </c>
      <c r="R70" s="66">
        <f t="shared" si="71"/>
        <v>4.3586270611453572E-2</v>
      </c>
      <c r="S70" s="66">
        <f t="shared" si="71"/>
        <v>3.6102364781668152E-2</v>
      </c>
      <c r="T70" s="66">
        <f t="shared" si="71"/>
        <v>2.8765728220359679E-2</v>
      </c>
      <c r="U70" s="66">
        <f t="shared" si="71"/>
        <v>2.2087036944542227E-2</v>
      </c>
      <c r="V70" s="66">
        <f t="shared" si="71"/>
        <v>1.6411100424024307E-2</v>
      </c>
      <c r="W70" s="66">
        <f t="shared" si="71"/>
        <v>1.1865691773727857E-2</v>
      </c>
      <c r="X70" s="66">
        <f t="shared" si="71"/>
        <v>8.3973432339193438E-3</v>
      </c>
      <c r="Y70" s="66">
        <f t="shared" si="71"/>
        <v>5.84782889520509E-3</v>
      </c>
      <c r="Z70" s="66">
        <f t="shared" si="71"/>
        <v>4.0249630259926034E-3</v>
      </c>
      <c r="AA70" s="66">
        <f t="shared" si="71"/>
        <v>2.747403251869146E-3</v>
      </c>
      <c r="AB70" s="66">
        <f t="shared" si="71"/>
        <v>1.8645309229892715E-3</v>
      </c>
      <c r="AC70" s="66">
        <f t="shared" si="71"/>
        <v>1.2603373931211054E-3</v>
      </c>
    </row>
    <row r="71" spans="1:29" ht="15.75" thickBot="1" x14ac:dyDescent="0.3">
      <c r="A71" s="31" t="s">
        <v>63</v>
      </c>
      <c r="B71" s="76">
        <f>B62+B63+B64-B65+B66+B67+B68+B69+B70</f>
        <v>25.766328976496062</v>
      </c>
      <c r="C71" s="76">
        <f t="shared" ref="C71:AC71" si="72">C62+C63+C64-C65+C66+C67+C68+C69+C70</f>
        <v>25.730497110616675</v>
      </c>
      <c r="D71" s="76">
        <f t="shared" si="72"/>
        <v>25.679620138712757</v>
      </c>
      <c r="E71" s="76">
        <f t="shared" si="72"/>
        <v>25.607708611668578</v>
      </c>
      <c r="F71" s="76">
        <f t="shared" si="72"/>
        <v>25.50674230506932</v>
      </c>
      <c r="G71" s="76">
        <f t="shared" si="72"/>
        <v>25.366354514906138</v>
      </c>
      <c r="H71" s="76">
        <f t="shared" si="72"/>
        <v>25.173871656194397</v>
      </c>
      <c r="I71" s="76">
        <f t="shared" si="72"/>
        <v>24.915161917196126</v>
      </c>
      <c r="J71" s="76">
        <f t="shared" si="72"/>
        <v>24.576911998311264</v>
      </c>
      <c r="K71" s="76">
        <f t="shared" si="72"/>
        <v>24.150815751875136</v>
      </c>
      <c r="L71" s="76">
        <f t="shared" si="72"/>
        <v>23.639276606291332</v>
      </c>
      <c r="M71" s="76">
        <f t="shared" si="72"/>
        <v>23.060427878876158</v>
      </c>
      <c r="N71" s="76">
        <f t="shared" si="72"/>
        <v>22.448659058459494</v>
      </c>
      <c r="O71" s="76">
        <f t="shared" si="72"/>
        <v>21.847891318844709</v>
      </c>
      <c r="P71" s="76">
        <f t="shared" si="72"/>
        <v>21.299552170040077</v>
      </c>
      <c r="Q71" s="76">
        <f t="shared" si="72"/>
        <v>20.831712817084597</v>
      </c>
      <c r="R71" s="76">
        <f t="shared" si="72"/>
        <v>20.454988732932115</v>
      </c>
      <c r="S71" s="76">
        <f t="shared" si="72"/>
        <v>20.165456908417589</v>
      </c>
      <c r="T71" s="76">
        <f t="shared" si="72"/>
        <v>19.950792431347214</v>
      </c>
      <c r="U71" s="76">
        <f t="shared" si="72"/>
        <v>19.795877333449692</v>
      </c>
      <c r="V71" s="76">
        <f t="shared" si="72"/>
        <v>19.686309567388083</v>
      </c>
      <c r="W71" s="76">
        <f t="shared" si="72"/>
        <v>19.609968518834002</v>
      </c>
      <c r="X71" s="76">
        <f t="shared" si="72"/>
        <v>19.557366836194063</v>
      </c>
      <c r="Y71" s="76">
        <f t="shared" si="72"/>
        <v>19.521417357802527</v>
      </c>
      <c r="Z71" s="76">
        <f t="shared" si="72"/>
        <v>19.496993107913688</v>
      </c>
      <c r="AA71" s="76">
        <f t="shared" si="72"/>
        <v>19.480468630883625</v>
      </c>
      <c r="AB71" s="76">
        <f t="shared" si="72"/>
        <v>19.4693216095983</v>
      </c>
      <c r="AC71" s="76">
        <f t="shared" si="72"/>
        <v>19.461817345859156</v>
      </c>
    </row>
    <row r="72" spans="1:29" ht="15.75" thickBot="1" x14ac:dyDescent="0.3"/>
    <row r="73" spans="1:29" ht="15.75" thickBot="1" x14ac:dyDescent="0.3">
      <c r="A73" s="26" t="s">
        <v>208</v>
      </c>
      <c r="B73" s="157">
        <v>2023</v>
      </c>
      <c r="C73" s="157">
        <v>2024</v>
      </c>
      <c r="D73" s="157">
        <v>2025</v>
      </c>
      <c r="E73" s="157">
        <v>2026</v>
      </c>
      <c r="F73" s="157">
        <v>2027</v>
      </c>
      <c r="G73" s="157">
        <v>2028</v>
      </c>
      <c r="H73" s="157">
        <v>2029</v>
      </c>
      <c r="I73" s="157">
        <v>2030</v>
      </c>
      <c r="J73" s="157">
        <v>2031</v>
      </c>
      <c r="K73" s="157">
        <v>2032</v>
      </c>
      <c r="L73" s="157">
        <v>2033</v>
      </c>
      <c r="M73" s="157">
        <v>2034</v>
      </c>
      <c r="N73" s="157">
        <v>2035</v>
      </c>
      <c r="O73" s="157">
        <v>2036</v>
      </c>
      <c r="P73" s="157">
        <v>2037</v>
      </c>
      <c r="Q73" s="157">
        <v>2038</v>
      </c>
      <c r="R73" s="157">
        <v>2039</v>
      </c>
      <c r="S73" s="157">
        <v>2040</v>
      </c>
      <c r="T73" s="157">
        <v>2041</v>
      </c>
      <c r="U73" s="157">
        <v>2042</v>
      </c>
      <c r="V73" s="157">
        <v>2043</v>
      </c>
      <c r="W73" s="157">
        <v>2044</v>
      </c>
      <c r="X73" s="157">
        <v>2045</v>
      </c>
      <c r="Y73" s="157">
        <v>2046</v>
      </c>
      <c r="Z73" s="157">
        <v>2047</v>
      </c>
      <c r="AA73" s="157">
        <v>2048</v>
      </c>
      <c r="AB73" s="157">
        <v>2049</v>
      </c>
      <c r="AC73" s="158">
        <v>2050</v>
      </c>
    </row>
    <row r="74" spans="1:29" x14ac:dyDescent="0.25">
      <c r="A74" s="29" t="str">
        <f t="shared" ref="A74:A81" si="73">A50</f>
        <v>Capex vehicle</v>
      </c>
      <c r="B74" s="65">
        <f>((1+B35)^B42)*B35/(((1+B35)^B42)-1)*(B31)/B47/(B44)</f>
        <v>2.1696909640280381E-3</v>
      </c>
      <c r="C74" s="65">
        <f t="shared" ref="C74:AC74" si="74">((1+C35)^C42)*C35/(((1+C35)^C42)-1)*(C31)/C47/(C44)</f>
        <v>2.1650687990337689E-3</v>
      </c>
      <c r="D74" s="65">
        <f t="shared" si="74"/>
        <v>2.1585059873375245E-3</v>
      </c>
      <c r="E74" s="65">
        <f t="shared" si="74"/>
        <v>2.1492300836508209E-3</v>
      </c>
      <c r="F74" s="65">
        <f t="shared" si="74"/>
        <v>2.1362068822258539E-3</v>
      </c>
      <c r="G74" s="65">
        <f t="shared" si="74"/>
        <v>2.1180999046766392E-3</v>
      </c>
      <c r="H74" s="65">
        <f t="shared" si="74"/>
        <v>2.093275915840043E-3</v>
      </c>
      <c r="I74" s="65">
        <f t="shared" si="74"/>
        <v>2.0599151348747601E-3</v>
      </c>
      <c r="J74" s="65">
        <f t="shared" si="74"/>
        <v>2.0163061493242286E-3</v>
      </c>
      <c r="K74" s="65">
        <f t="shared" si="74"/>
        <v>1.9613880028985821E-3</v>
      </c>
      <c r="L74" s="65">
        <f t="shared" si="74"/>
        <v>1.8954878036134461E-3</v>
      </c>
      <c r="M74" s="65">
        <f t="shared" si="74"/>
        <v>1.8209695944675583E-3</v>
      </c>
      <c r="N74" s="65">
        <f t="shared" si="74"/>
        <v>1.7423010268127629E-3</v>
      </c>
      <c r="O74" s="65">
        <f t="shared" si="74"/>
        <v>1.6651805094239855E-3</v>
      </c>
      <c r="P74" s="65">
        <f t="shared" si="74"/>
        <v>1.5949761150306102E-3</v>
      </c>
      <c r="Q74" s="65">
        <f t="shared" si="74"/>
        <v>1.5353123770942534E-3</v>
      </c>
      <c r="R74" s="65">
        <f t="shared" si="74"/>
        <v>1.4875324081773025E-3</v>
      </c>
      <c r="S74" s="65">
        <f t="shared" si="74"/>
        <v>1.4510741712673173E-3</v>
      </c>
      <c r="T74" s="65">
        <f t="shared" si="74"/>
        <v>1.4242744431836509E-3</v>
      </c>
      <c r="U74" s="65">
        <f t="shared" si="74"/>
        <v>1.4051130253065005E-3</v>
      </c>
      <c r="V74" s="65">
        <f t="shared" si="74"/>
        <v>1.3916837011261137E-3</v>
      </c>
      <c r="W74" s="65">
        <f t="shared" si="74"/>
        <v>1.3824032126866935E-3</v>
      </c>
      <c r="X74" s="65">
        <f t="shared" si="74"/>
        <v>1.3760521119831207E-3</v>
      </c>
      <c r="Y74" s="65">
        <f t="shared" si="74"/>
        <v>1.3717347470193894E-3</v>
      </c>
      <c r="Z74" s="65">
        <f t="shared" si="74"/>
        <v>1.3688132341895007E-3</v>
      </c>
      <c r="AA74" s="65">
        <f t="shared" si="74"/>
        <v>1.3668423785843384E-3</v>
      </c>
      <c r="AB74" s="65">
        <f t="shared" si="74"/>
        <v>1.3655156083813228E-3</v>
      </c>
      <c r="AC74" s="65">
        <f t="shared" si="74"/>
        <v>1.364623687619921E-3</v>
      </c>
    </row>
    <row r="75" spans="1:29" x14ac:dyDescent="0.25">
      <c r="A75" s="30" t="str">
        <f t="shared" si="73"/>
        <v>Residual value (vehicle)</v>
      </c>
      <c r="B75" s="68">
        <f>((1+B35)^B42)*B35/(((1+B35)^B42)-1)*(B32)/B47/(B44)</f>
        <v>-1.1028374067486764E-4</v>
      </c>
      <c r="C75" s="68">
        <f t="shared" ref="C75:AC75" si="75">((1+C35)^C42)*C35/(((1+C35)^C42)-1)*(C32)/C47/(C44)</f>
        <v>-1.1082299325753238E-4</v>
      </c>
      <c r="D75" s="68">
        <f t="shared" si="75"/>
        <v>-1.115886546220943E-4</v>
      </c>
      <c r="E75" s="68">
        <f t="shared" si="75"/>
        <v>-1.1267084338554303E-4</v>
      </c>
      <c r="F75" s="68">
        <f t="shared" si="75"/>
        <v>-1.1419021688512248E-4</v>
      </c>
      <c r="G75" s="68">
        <f t="shared" si="75"/>
        <v>-1.1630269759919755E-4</v>
      </c>
      <c r="H75" s="68">
        <f t="shared" si="75"/>
        <v>-1.1919882963013374E-4</v>
      </c>
      <c r="I75" s="68">
        <f t="shared" si="75"/>
        <v>-1.230909207427501E-4</v>
      </c>
      <c r="J75" s="68">
        <f t="shared" si="75"/>
        <v>-1.2817863572364536E-4</v>
      </c>
      <c r="K75" s="68">
        <f t="shared" si="75"/>
        <v>-1.345857528066375E-4</v>
      </c>
      <c r="L75" s="68">
        <f t="shared" si="75"/>
        <v>-1.4227410938990337E-4</v>
      </c>
      <c r="M75" s="68">
        <f t="shared" si="75"/>
        <v>-1.5096790045692366E-4</v>
      </c>
      <c r="N75" s="68">
        <f t="shared" si="75"/>
        <v>-1.6014590001664974E-4</v>
      </c>
      <c r="O75" s="68">
        <f t="shared" si="75"/>
        <v>-1.6914329371200715E-4</v>
      </c>
      <c r="P75" s="68">
        <f t="shared" si="75"/>
        <v>-1.7733380639123428E-4</v>
      </c>
      <c r="Q75" s="68">
        <f t="shared" si="75"/>
        <v>-1.842945758171425E-4</v>
      </c>
      <c r="R75" s="68">
        <f t="shared" si="75"/>
        <v>-1.8986890552412014E-4</v>
      </c>
      <c r="S75" s="68">
        <f t="shared" si="75"/>
        <v>-1.9412236649695181E-4</v>
      </c>
      <c r="T75" s="68">
        <f t="shared" si="75"/>
        <v>-1.9724900144004614E-4</v>
      </c>
      <c r="U75" s="68">
        <f t="shared" si="75"/>
        <v>-1.9948450019238032E-4</v>
      </c>
      <c r="V75" s="68">
        <f t="shared" si="75"/>
        <v>-2.0105125468009212E-4</v>
      </c>
      <c r="W75" s="68">
        <f t="shared" si="75"/>
        <v>-2.0213397833135783E-4</v>
      </c>
      <c r="X75" s="68">
        <f t="shared" si="75"/>
        <v>-2.0287494008010802E-4</v>
      </c>
      <c r="Y75" s="68">
        <f t="shared" si="75"/>
        <v>-2.0337863265920998E-4</v>
      </c>
      <c r="Z75" s="68">
        <f t="shared" si="75"/>
        <v>-2.0371947582269707E-4</v>
      </c>
      <c r="AA75" s="68">
        <f t="shared" si="75"/>
        <v>-2.0394940897663265E-4</v>
      </c>
      <c r="AB75" s="68">
        <f t="shared" si="75"/>
        <v>-2.0410419883365111E-4</v>
      </c>
      <c r="AC75" s="68">
        <f t="shared" si="75"/>
        <v>-2.0420825625581466E-4</v>
      </c>
    </row>
    <row r="76" spans="1:29" x14ac:dyDescent="0.25">
      <c r="A76" s="30" t="str">
        <f t="shared" si="73"/>
        <v>Capex costumization</v>
      </c>
      <c r="B76" s="66">
        <f>((1+B35)^B43)*B35/(((1+B35)^B43)-1)*(B33)/B47/(B44)</f>
        <v>7.6311881817276459E-4</v>
      </c>
      <c r="C76" s="66">
        <f t="shared" ref="C76:AC76" si="76">((1+C35)^C43)*C35/(((1+C35)^C43)-1)*(C33)/C47/(C44)</f>
        <v>7.6311881817276459E-4</v>
      </c>
      <c r="D76" s="66">
        <f t="shared" si="76"/>
        <v>7.6311881817276459E-4</v>
      </c>
      <c r="E76" s="66">
        <f t="shared" si="76"/>
        <v>7.6311881817276459E-4</v>
      </c>
      <c r="F76" s="66">
        <f t="shared" si="76"/>
        <v>7.6311881817276459E-4</v>
      </c>
      <c r="G76" s="66">
        <f t="shared" si="76"/>
        <v>7.6311881817276459E-4</v>
      </c>
      <c r="H76" s="66">
        <f t="shared" si="76"/>
        <v>7.6311881817276459E-4</v>
      </c>
      <c r="I76" s="66">
        <f t="shared" si="76"/>
        <v>7.6311881817276459E-4</v>
      </c>
      <c r="J76" s="66">
        <f t="shared" si="76"/>
        <v>7.6311881817276459E-4</v>
      </c>
      <c r="K76" s="66">
        <f t="shared" si="76"/>
        <v>7.6311881817276459E-4</v>
      </c>
      <c r="L76" s="66">
        <f t="shared" si="76"/>
        <v>7.6311881817276459E-4</v>
      </c>
      <c r="M76" s="66">
        <f t="shared" si="76"/>
        <v>7.6311881817276459E-4</v>
      </c>
      <c r="N76" s="66">
        <f t="shared" si="76"/>
        <v>7.6311881817276459E-4</v>
      </c>
      <c r="O76" s="66">
        <f t="shared" si="76"/>
        <v>7.6311881817276459E-4</v>
      </c>
      <c r="P76" s="66">
        <f t="shared" si="76"/>
        <v>7.6311881817276459E-4</v>
      </c>
      <c r="Q76" s="66">
        <f t="shared" si="76"/>
        <v>7.6311881817276459E-4</v>
      </c>
      <c r="R76" s="66">
        <f t="shared" si="76"/>
        <v>7.6311881817276459E-4</v>
      </c>
      <c r="S76" s="66">
        <f t="shared" si="76"/>
        <v>7.6311881817276459E-4</v>
      </c>
      <c r="T76" s="66">
        <f t="shared" si="76"/>
        <v>7.6311881817276459E-4</v>
      </c>
      <c r="U76" s="66">
        <f t="shared" si="76"/>
        <v>7.6311881817276459E-4</v>
      </c>
      <c r="V76" s="66">
        <f t="shared" si="76"/>
        <v>7.6311881817276459E-4</v>
      </c>
      <c r="W76" s="66">
        <f t="shared" si="76"/>
        <v>7.6311881817276459E-4</v>
      </c>
      <c r="X76" s="66">
        <f t="shared" si="76"/>
        <v>7.6311881817276459E-4</v>
      </c>
      <c r="Y76" s="66">
        <f t="shared" si="76"/>
        <v>7.6311881817276459E-4</v>
      </c>
      <c r="Z76" s="66">
        <f t="shared" si="76"/>
        <v>7.6311881817276459E-4</v>
      </c>
      <c r="AA76" s="66">
        <f t="shared" si="76"/>
        <v>7.6311881817276459E-4</v>
      </c>
      <c r="AB76" s="66">
        <f t="shared" si="76"/>
        <v>7.6311881817276459E-4</v>
      </c>
      <c r="AC76" s="66">
        <f t="shared" si="76"/>
        <v>7.6311881817276459E-4</v>
      </c>
    </row>
    <row r="77" spans="1:29" x14ac:dyDescent="0.25">
      <c r="A77" s="30" t="str">
        <f t="shared" si="73"/>
        <v>Residual value (costumization)</v>
      </c>
      <c r="B77" s="69">
        <f>((1+B35)^B43)*B35/(((1+B35)^B43)-1)*(B34)/B47/(B44)</f>
        <v>-3.8155940908638231E-5</v>
      </c>
      <c r="C77" s="69">
        <f t="shared" ref="C77:AC77" si="77">((1+C35)^C43)*C35/(((1+C35)^C43)-1)*(C34)/C47/(C44)</f>
        <v>-3.8155940908638231E-5</v>
      </c>
      <c r="D77" s="69">
        <f t="shared" si="77"/>
        <v>-3.8155940908638231E-5</v>
      </c>
      <c r="E77" s="69">
        <f t="shared" si="77"/>
        <v>-3.8155940908638231E-5</v>
      </c>
      <c r="F77" s="69">
        <f t="shared" si="77"/>
        <v>-3.8155940908638231E-5</v>
      </c>
      <c r="G77" s="69">
        <f t="shared" si="77"/>
        <v>-3.8155940908638231E-5</v>
      </c>
      <c r="H77" s="69">
        <f t="shared" si="77"/>
        <v>-3.8155940908638231E-5</v>
      </c>
      <c r="I77" s="69">
        <f t="shared" si="77"/>
        <v>-3.8155940908638231E-5</v>
      </c>
      <c r="J77" s="69">
        <f t="shared" si="77"/>
        <v>-3.8155940908638231E-5</v>
      </c>
      <c r="K77" s="69">
        <f t="shared" si="77"/>
        <v>-3.8155940908638231E-5</v>
      </c>
      <c r="L77" s="69">
        <f t="shared" si="77"/>
        <v>-3.8155940908638231E-5</v>
      </c>
      <c r="M77" s="69">
        <f t="shared" si="77"/>
        <v>-3.8155940908638231E-5</v>
      </c>
      <c r="N77" s="69">
        <f t="shared" si="77"/>
        <v>-3.8155940908638231E-5</v>
      </c>
      <c r="O77" s="69">
        <f t="shared" si="77"/>
        <v>-3.8155940908638231E-5</v>
      </c>
      <c r="P77" s="69">
        <f t="shared" si="77"/>
        <v>-3.8155940908638231E-5</v>
      </c>
      <c r="Q77" s="69">
        <f t="shared" si="77"/>
        <v>-3.8155940908638231E-5</v>
      </c>
      <c r="R77" s="69">
        <f t="shared" si="77"/>
        <v>-3.8155940908638231E-5</v>
      </c>
      <c r="S77" s="69">
        <f t="shared" si="77"/>
        <v>-3.8155940908638231E-5</v>
      </c>
      <c r="T77" s="69">
        <f t="shared" si="77"/>
        <v>-3.8155940908638231E-5</v>
      </c>
      <c r="U77" s="69">
        <f t="shared" si="77"/>
        <v>-3.8155940908638231E-5</v>
      </c>
      <c r="V77" s="69">
        <f t="shared" si="77"/>
        <v>-3.8155940908638231E-5</v>
      </c>
      <c r="W77" s="69">
        <f t="shared" si="77"/>
        <v>-3.8155940908638231E-5</v>
      </c>
      <c r="X77" s="69">
        <f t="shared" si="77"/>
        <v>-3.8155940908638231E-5</v>
      </c>
      <c r="Y77" s="69">
        <f t="shared" si="77"/>
        <v>-3.8155940908638231E-5</v>
      </c>
      <c r="Z77" s="69">
        <f t="shared" si="77"/>
        <v>-3.8155940908638231E-5</v>
      </c>
      <c r="AA77" s="69">
        <f t="shared" si="77"/>
        <v>-3.8155940908638231E-5</v>
      </c>
      <c r="AB77" s="69">
        <f t="shared" si="77"/>
        <v>-3.8155940908638231E-5</v>
      </c>
      <c r="AC77" s="69">
        <f t="shared" si="77"/>
        <v>-3.8155940908638231E-5</v>
      </c>
    </row>
    <row r="78" spans="1:29" x14ac:dyDescent="0.25">
      <c r="A78" s="30" t="str">
        <f t="shared" si="73"/>
        <v>Opex fix (admin, crew, insurance)</v>
      </c>
      <c r="B78" s="66">
        <f>B36/B47/(B44)</f>
        <v>1.6256502601040416E-3</v>
      </c>
      <c r="C78" s="66">
        <f t="shared" ref="C78:AC78" si="78">C36/C47/(C44)</f>
        <v>1.6256502601040416E-3</v>
      </c>
      <c r="D78" s="66">
        <f t="shared" si="78"/>
        <v>1.6256502601040416E-3</v>
      </c>
      <c r="E78" s="66">
        <f t="shared" si="78"/>
        <v>1.6256502601040416E-3</v>
      </c>
      <c r="F78" s="66">
        <f t="shared" si="78"/>
        <v>1.6256502601040416E-3</v>
      </c>
      <c r="G78" s="66">
        <f t="shared" si="78"/>
        <v>1.6256502601040416E-3</v>
      </c>
      <c r="H78" s="66">
        <f t="shared" si="78"/>
        <v>1.6256502601040416E-3</v>
      </c>
      <c r="I78" s="66">
        <f t="shared" si="78"/>
        <v>1.6256502601040416E-3</v>
      </c>
      <c r="J78" s="66">
        <f t="shared" si="78"/>
        <v>1.6256502601040416E-3</v>
      </c>
      <c r="K78" s="66">
        <f t="shared" si="78"/>
        <v>1.6256502601040416E-3</v>
      </c>
      <c r="L78" s="66">
        <f t="shared" si="78"/>
        <v>1.6256502601040416E-3</v>
      </c>
      <c r="M78" s="66">
        <f t="shared" si="78"/>
        <v>1.6256502601040416E-3</v>
      </c>
      <c r="N78" s="66">
        <f t="shared" si="78"/>
        <v>1.6256502601040416E-3</v>
      </c>
      <c r="O78" s="66">
        <f t="shared" si="78"/>
        <v>1.6256502601040416E-3</v>
      </c>
      <c r="P78" s="66">
        <f t="shared" si="78"/>
        <v>1.6256502601040416E-3</v>
      </c>
      <c r="Q78" s="66">
        <f t="shared" si="78"/>
        <v>1.6256502601040416E-3</v>
      </c>
      <c r="R78" s="66">
        <f t="shared" si="78"/>
        <v>1.6256502601040416E-3</v>
      </c>
      <c r="S78" s="66">
        <f t="shared" si="78"/>
        <v>1.6256502601040416E-3</v>
      </c>
      <c r="T78" s="66">
        <f t="shared" si="78"/>
        <v>1.6256502601040416E-3</v>
      </c>
      <c r="U78" s="66">
        <f t="shared" si="78"/>
        <v>1.6256502601040416E-3</v>
      </c>
      <c r="V78" s="66">
        <f t="shared" si="78"/>
        <v>1.6256502601040416E-3</v>
      </c>
      <c r="W78" s="66">
        <f t="shared" si="78"/>
        <v>1.6256502601040416E-3</v>
      </c>
      <c r="X78" s="66">
        <f t="shared" si="78"/>
        <v>1.6256502601040416E-3</v>
      </c>
      <c r="Y78" s="66">
        <f t="shared" si="78"/>
        <v>1.6256502601040416E-3</v>
      </c>
      <c r="Z78" s="66">
        <f t="shared" si="78"/>
        <v>1.6256502601040416E-3</v>
      </c>
      <c r="AA78" s="66">
        <f t="shared" si="78"/>
        <v>1.6256502601040416E-3</v>
      </c>
      <c r="AB78" s="66">
        <f t="shared" si="78"/>
        <v>1.6256502601040416E-3</v>
      </c>
      <c r="AC78" s="66">
        <f t="shared" si="78"/>
        <v>1.6256502601040416E-3</v>
      </c>
    </row>
    <row r="79" spans="1:29" x14ac:dyDescent="0.25">
      <c r="A79" s="30" t="str">
        <f t="shared" si="73"/>
        <v>Opex maintenance &amp; repair</v>
      </c>
      <c r="B79" s="66">
        <f>B37/B47/(B44)</f>
        <v>3.235203975384487E-3</v>
      </c>
      <c r="C79" s="66">
        <f t="shared" ref="C79:AC79" si="79">C37/C47/(C44)</f>
        <v>3.228311912499835E-3</v>
      </c>
      <c r="D79" s="66">
        <f t="shared" si="79"/>
        <v>3.2185261711931679E-3</v>
      </c>
      <c r="E79" s="66">
        <f t="shared" si="79"/>
        <v>3.2046949662058941E-3</v>
      </c>
      <c r="F79" s="66">
        <f t="shared" si="79"/>
        <v>3.1852762039393709E-3</v>
      </c>
      <c r="G79" s="66">
        <f t="shared" si="79"/>
        <v>3.1582770751599136E-3</v>
      </c>
      <c r="H79" s="66">
        <f t="shared" si="79"/>
        <v>3.1212622796426945E-3</v>
      </c>
      <c r="I79" s="66">
        <f t="shared" si="79"/>
        <v>3.0715183608126854E-3</v>
      </c>
      <c r="J79" s="66">
        <f t="shared" si="79"/>
        <v>3.0064934490834873E-3</v>
      </c>
      <c r="K79" s="66">
        <f t="shared" si="79"/>
        <v>2.9246055633971525E-3</v>
      </c>
      <c r="L79" s="66">
        <f t="shared" si="79"/>
        <v>2.826342451165679E-3</v>
      </c>
      <c r="M79" s="66">
        <f t="shared" si="79"/>
        <v>2.7152291126929309E-3</v>
      </c>
      <c r="N79" s="66">
        <f t="shared" si="79"/>
        <v>2.5979272171538078E-3</v>
      </c>
      <c r="O79" s="66">
        <f t="shared" si="79"/>
        <v>2.4829336035118526E-3</v>
      </c>
      <c r="P79" s="66">
        <f t="shared" si="79"/>
        <v>2.37825255003627E-3</v>
      </c>
      <c r="Q79" s="66">
        <f t="shared" si="79"/>
        <v>2.2892885614507032E-3</v>
      </c>
      <c r="R79" s="66">
        <f t="shared" si="79"/>
        <v>2.218044339141322E-3</v>
      </c>
      <c r="S79" s="66">
        <f t="shared" si="79"/>
        <v>2.1636818354750301E-3</v>
      </c>
      <c r="T79" s="66">
        <f t="shared" si="79"/>
        <v>2.12372103540121E-3</v>
      </c>
      <c r="U79" s="66">
        <f t="shared" si="79"/>
        <v>2.0951496414479101E-3</v>
      </c>
      <c r="V79" s="66">
        <f t="shared" si="79"/>
        <v>2.0751253137001203E-3</v>
      </c>
      <c r="W79" s="66">
        <f t="shared" si="79"/>
        <v>2.0612872724350261E-3</v>
      </c>
      <c r="X79" s="66">
        <f t="shared" si="79"/>
        <v>2.0518172112212762E-3</v>
      </c>
      <c r="Y79" s="66">
        <f t="shared" si="79"/>
        <v>2.0453796325405234E-3</v>
      </c>
      <c r="Z79" s="66">
        <f t="shared" si="79"/>
        <v>2.0410233946808022E-3</v>
      </c>
      <c r="AA79" s="66">
        <f t="shared" si="79"/>
        <v>2.0380846720726327E-3</v>
      </c>
      <c r="AB79" s="66">
        <f t="shared" si="79"/>
        <v>2.0361063386111484E-3</v>
      </c>
      <c r="AC79" s="66">
        <f t="shared" si="79"/>
        <v>2.0347764046985059E-3</v>
      </c>
    </row>
    <row r="80" spans="1:29" x14ac:dyDescent="0.25">
      <c r="A80" s="30" t="str">
        <f t="shared" si="73"/>
        <v>Opex var (mode-fees, shunting)</v>
      </c>
      <c r="B80" s="66">
        <f>B38*B47/B47/(B44)</f>
        <v>1.7507002801120447E-3</v>
      </c>
      <c r="C80" s="66">
        <f t="shared" ref="C80:AC80" si="80">C38*C47/C47/(C44)</f>
        <v>1.7507002801120447E-3</v>
      </c>
      <c r="D80" s="66">
        <f t="shared" si="80"/>
        <v>1.7507002801120447E-3</v>
      </c>
      <c r="E80" s="66">
        <f t="shared" si="80"/>
        <v>1.7507002801120447E-3</v>
      </c>
      <c r="F80" s="66">
        <f t="shared" si="80"/>
        <v>1.7507002801120447E-3</v>
      </c>
      <c r="G80" s="66">
        <f t="shared" si="80"/>
        <v>1.7507002801120447E-3</v>
      </c>
      <c r="H80" s="66">
        <f t="shared" si="80"/>
        <v>1.7507002801120447E-3</v>
      </c>
      <c r="I80" s="66">
        <f t="shared" si="80"/>
        <v>1.7507002801120447E-3</v>
      </c>
      <c r="J80" s="66">
        <f t="shared" si="80"/>
        <v>1.7507002801120447E-3</v>
      </c>
      <c r="K80" s="66">
        <f t="shared" si="80"/>
        <v>1.7507002801120447E-3</v>
      </c>
      <c r="L80" s="66">
        <f t="shared" si="80"/>
        <v>1.7507002801120447E-3</v>
      </c>
      <c r="M80" s="66">
        <f t="shared" si="80"/>
        <v>1.7507002801120447E-3</v>
      </c>
      <c r="N80" s="66">
        <f t="shared" si="80"/>
        <v>1.7507002801120447E-3</v>
      </c>
      <c r="O80" s="66">
        <f t="shared" si="80"/>
        <v>1.7507002801120447E-3</v>
      </c>
      <c r="P80" s="66">
        <f t="shared" si="80"/>
        <v>1.7507002801120447E-3</v>
      </c>
      <c r="Q80" s="66">
        <f t="shared" si="80"/>
        <v>1.7507002801120447E-3</v>
      </c>
      <c r="R80" s="66">
        <f t="shared" si="80"/>
        <v>1.7507002801120447E-3</v>
      </c>
      <c r="S80" s="66">
        <f t="shared" si="80"/>
        <v>1.7507002801120447E-3</v>
      </c>
      <c r="T80" s="66">
        <f t="shared" si="80"/>
        <v>1.7507002801120447E-3</v>
      </c>
      <c r="U80" s="66">
        <f t="shared" si="80"/>
        <v>1.7507002801120447E-3</v>
      </c>
      <c r="V80" s="66">
        <f t="shared" si="80"/>
        <v>1.7507002801120447E-3</v>
      </c>
      <c r="W80" s="66">
        <f t="shared" si="80"/>
        <v>1.7507002801120447E-3</v>
      </c>
      <c r="X80" s="66">
        <f t="shared" si="80"/>
        <v>1.7507002801120447E-3</v>
      </c>
      <c r="Y80" s="66">
        <f t="shared" si="80"/>
        <v>1.7507002801120447E-3</v>
      </c>
      <c r="Z80" s="66">
        <f t="shared" si="80"/>
        <v>1.7507002801120447E-3</v>
      </c>
      <c r="AA80" s="66">
        <f t="shared" si="80"/>
        <v>1.7507002801120447E-3</v>
      </c>
      <c r="AB80" s="66">
        <f t="shared" si="80"/>
        <v>1.7507002801120447E-3</v>
      </c>
      <c r="AC80" s="66">
        <f t="shared" si="80"/>
        <v>1.7507002801120447E-3</v>
      </c>
    </row>
    <row r="81" spans="1:29" x14ac:dyDescent="0.25">
      <c r="A81" s="30" t="str">
        <f t="shared" si="73"/>
        <v>Fuel Cost</v>
      </c>
      <c r="B81" s="66">
        <f>B39*B40*B47/B47/(B44)</f>
        <v>1.995938496070806E-3</v>
      </c>
      <c r="C81" s="66">
        <f t="shared" ref="C81:AC81" si="81">C39*C40*C47/C47/(C44)</f>
        <v>1.9920286034994994E-3</v>
      </c>
      <c r="D81" s="66">
        <f t="shared" si="81"/>
        <v>1.9864771165383354E-3</v>
      </c>
      <c r="E81" s="66">
        <f t="shared" si="81"/>
        <v>1.9786306231825671E-3</v>
      </c>
      <c r="F81" s="66">
        <f t="shared" si="81"/>
        <v>1.9676142880735341E-3</v>
      </c>
      <c r="G81" s="66">
        <f t="shared" si="81"/>
        <v>1.9522975832184997E-3</v>
      </c>
      <c r="H81" s="66">
        <f t="shared" si="81"/>
        <v>1.9312989538613156E-3</v>
      </c>
      <c r="I81" s="66">
        <f t="shared" si="81"/>
        <v>1.9030790461274127E-3</v>
      </c>
      <c r="J81" s="66">
        <f t="shared" si="81"/>
        <v>1.8661901750339641E-3</v>
      </c>
      <c r="K81" s="66">
        <f t="shared" si="81"/>
        <v>1.8197348769202443E-3</v>
      </c>
      <c r="L81" s="66">
        <f t="shared" si="81"/>
        <v>1.7639898526833218E-3</v>
      </c>
      <c r="M81" s="66">
        <f t="shared" si="81"/>
        <v>1.7009548479338516E-3</v>
      </c>
      <c r="N81" s="66">
        <f t="shared" si="81"/>
        <v>1.6344090520459527E-3</v>
      </c>
      <c r="O81" s="66">
        <f t="shared" si="81"/>
        <v>1.5691727529507074E-3</v>
      </c>
      <c r="P81" s="66">
        <f t="shared" si="81"/>
        <v>1.5097868070893892E-3</v>
      </c>
      <c r="Q81" s="66">
        <f t="shared" si="81"/>
        <v>1.4593172098285845E-3</v>
      </c>
      <c r="R81" s="66">
        <f t="shared" si="81"/>
        <v>1.4189001010154461E-3</v>
      </c>
      <c r="S81" s="66">
        <f t="shared" si="81"/>
        <v>1.3880600531517215E-3</v>
      </c>
      <c r="T81" s="66">
        <f t="shared" si="81"/>
        <v>1.3653901445964702E-3</v>
      </c>
      <c r="U81" s="66">
        <f t="shared" si="81"/>
        <v>1.3491814879374227E-3</v>
      </c>
      <c r="V81" s="66">
        <f t="shared" si="81"/>
        <v>1.3378216133081817E-3</v>
      </c>
      <c r="W81" s="66">
        <f t="shared" si="81"/>
        <v>1.3299712417069133E-3</v>
      </c>
      <c r="X81" s="66">
        <f t="shared" si="81"/>
        <v>1.3245988412211431E-3</v>
      </c>
      <c r="Y81" s="66">
        <f t="shared" si="81"/>
        <v>1.3209467792068617E-3</v>
      </c>
      <c r="Z81" s="66">
        <f t="shared" si="81"/>
        <v>1.3184754694797695E-3</v>
      </c>
      <c r="AA81" s="66">
        <f t="shared" si="81"/>
        <v>1.3168083213577757E-3</v>
      </c>
      <c r="AB81" s="66">
        <f t="shared" si="81"/>
        <v>1.3156860055237385E-3</v>
      </c>
      <c r="AC81" s="66">
        <f t="shared" si="81"/>
        <v>1.3149315291336651E-3</v>
      </c>
    </row>
    <row r="82" spans="1:29" x14ac:dyDescent="0.25">
      <c r="A82" s="59" t="str">
        <f>A45</f>
        <v>Market failure (av. utilization)</v>
      </c>
      <c r="B82" s="66">
        <f t="shared" ref="B82:AC82" si="82">B71/B45-B71/B44</f>
        <v>6.4703393077138547E-3</v>
      </c>
      <c r="C82" s="66">
        <f t="shared" si="82"/>
        <v>6.4613413503222649E-3</v>
      </c>
      <c r="D82" s="66">
        <f t="shared" si="82"/>
        <v>6.4485653250115713E-3</v>
      </c>
      <c r="E82" s="66">
        <f t="shared" si="82"/>
        <v>6.4305071848498093E-3</v>
      </c>
      <c r="F82" s="66">
        <f t="shared" si="82"/>
        <v>6.4051529225899496E-3</v>
      </c>
      <c r="G82" s="66">
        <f t="shared" si="82"/>
        <v>6.3698992922476341E-3</v>
      </c>
      <c r="H82" s="66">
        <f t="shared" si="82"/>
        <v>6.3215637529506017E-3</v>
      </c>
      <c r="I82" s="66">
        <f t="shared" si="82"/>
        <v>6.2565975796530435E-3</v>
      </c>
      <c r="J82" s="66">
        <f t="shared" si="82"/>
        <v>6.1716575888616423E-3</v>
      </c>
      <c r="K82" s="66">
        <f t="shared" si="82"/>
        <v>6.0646579734061432E-3</v>
      </c>
      <c r="L82" s="66">
        <f t="shared" si="82"/>
        <v>5.9362022727852109E-3</v>
      </c>
      <c r="M82" s="66">
        <f t="shared" si="82"/>
        <v>5.7908440544052839E-3</v>
      </c>
      <c r="N82" s="66">
        <f t="shared" si="82"/>
        <v>5.6372190715997597E-3</v>
      </c>
      <c r="O82" s="66">
        <f t="shared" si="82"/>
        <v>5.4863566369866713E-3</v>
      </c>
      <c r="P82" s="66">
        <f t="shared" si="82"/>
        <v>5.3486598641283647E-3</v>
      </c>
      <c r="Q82" s="66">
        <f t="shared" si="82"/>
        <v>5.2311778837545002E-3</v>
      </c>
      <c r="R82" s="66">
        <f t="shared" si="82"/>
        <v>5.1365764117296039E-3</v>
      </c>
      <c r="S82" s="66">
        <f t="shared" si="82"/>
        <v>5.0638703174039693E-3</v>
      </c>
      <c r="T82" s="66">
        <f t="shared" si="82"/>
        <v>5.0099646172467871E-3</v>
      </c>
      <c r="U82" s="66">
        <f t="shared" si="82"/>
        <v>4.9710629464577907E-3</v>
      </c>
      <c r="V82" s="66">
        <f t="shared" si="82"/>
        <v>4.9435487194891947E-3</v>
      </c>
      <c r="W82" s="66">
        <f t="shared" si="82"/>
        <v>4.9243782552875551E-3</v>
      </c>
      <c r="X82" s="66">
        <f t="shared" si="82"/>
        <v>4.9111691273924819E-3</v>
      </c>
      <c r="Y82" s="66">
        <f t="shared" si="82"/>
        <v>4.9021416356088924E-3</v>
      </c>
      <c r="Z82" s="66">
        <f t="shared" si="82"/>
        <v>4.8960083139292163E-3</v>
      </c>
      <c r="AA82" s="66">
        <f t="shared" si="82"/>
        <v>4.8918587521750156E-3</v>
      </c>
      <c r="AB82" s="66">
        <f t="shared" si="82"/>
        <v>4.8890595559817149E-3</v>
      </c>
      <c r="AC82" s="66">
        <f t="shared" si="82"/>
        <v>4.8871751147525778E-3</v>
      </c>
    </row>
    <row r="83" spans="1:29" x14ac:dyDescent="0.25">
      <c r="A83" s="59" t="str">
        <f>A46</f>
        <v>Payload loss (fuel)</v>
      </c>
      <c r="B83" s="66">
        <f>B71/(B44-B46)-B71/B44</f>
        <v>4.2311486957607308E-4</v>
      </c>
      <c r="C83" s="66">
        <f t="shared" ref="C83:AC83" si="83">C71/(C44-C46)-C71/C44</f>
        <v>4.2128022030434031E-4</v>
      </c>
      <c r="D83" s="66">
        <f t="shared" si="83"/>
        <v>4.1868167738214751E-4</v>
      </c>
      <c r="E83" s="66">
        <f t="shared" si="83"/>
        <v>4.1502168106929277E-4</v>
      </c>
      <c r="F83" s="66">
        <f t="shared" si="83"/>
        <v>4.0990838312712427E-4</v>
      </c>
      <c r="G83" s="66">
        <f t="shared" si="83"/>
        <v>4.0284804251459853E-4</v>
      </c>
      <c r="H83" s="66">
        <f t="shared" si="83"/>
        <v>3.9326109153674411E-4</v>
      </c>
      <c r="I83" s="66">
        <f t="shared" si="83"/>
        <v>3.8054543721701035E-4</v>
      </c>
      <c r="J83" s="66">
        <f t="shared" si="83"/>
        <v>3.64213706410434E-4</v>
      </c>
      <c r="K83" s="66">
        <f t="shared" si="83"/>
        <v>3.4411273794007248E-4</v>
      </c>
      <c r="L83" s="66">
        <f t="shared" si="83"/>
        <v>3.2067509967346856E-4</v>
      </c>
      <c r="M83" s="66">
        <f t="shared" si="83"/>
        <v>2.9506531708836832E-4</v>
      </c>
      <c r="N83" s="66">
        <f t="shared" si="83"/>
        <v>2.6905104505744494E-4</v>
      </c>
      <c r="O83" s="66">
        <f t="shared" si="83"/>
        <v>2.4455975718861052E-4</v>
      </c>
      <c r="P83" s="66">
        <f t="shared" si="83"/>
        <v>2.2312703182418916E-4</v>
      </c>
      <c r="Q83" s="66">
        <f t="shared" si="83"/>
        <v>2.0555009606740803E-4</v>
      </c>
      <c r="R83" s="66">
        <f t="shared" si="83"/>
        <v>1.9188913993397304E-4</v>
      </c>
      <c r="S83" s="66">
        <f t="shared" si="83"/>
        <v>1.8170693994678903E-4</v>
      </c>
      <c r="T83" s="66">
        <f t="shared" si="83"/>
        <v>1.7435053677983953E-4</v>
      </c>
      <c r="U83" s="66">
        <f t="shared" si="83"/>
        <v>1.6915404052982204E-4</v>
      </c>
      <c r="V83" s="66">
        <f t="shared" si="83"/>
        <v>1.6554148457880412E-4</v>
      </c>
      <c r="W83" s="66">
        <f t="shared" si="83"/>
        <v>1.6305814421944433E-4</v>
      </c>
      <c r="X83" s="66">
        <f t="shared" si="83"/>
        <v>1.6136441931843826E-4</v>
      </c>
      <c r="Y83" s="66">
        <f t="shared" si="83"/>
        <v>1.6021554203544952E-4</v>
      </c>
      <c r="Z83" s="66">
        <f t="shared" si="83"/>
        <v>1.594391845682018E-4</v>
      </c>
      <c r="AA83" s="66">
        <f t="shared" si="83"/>
        <v>1.5891591988283042E-4</v>
      </c>
      <c r="AB83" s="66">
        <f t="shared" si="83"/>
        <v>1.5856386479728979E-4</v>
      </c>
      <c r="AC83" s="66">
        <f t="shared" si="83"/>
        <v>1.5832728571570434E-4</v>
      </c>
    </row>
    <row r="84" spans="1:29" ht="15.75" thickBot="1" x14ac:dyDescent="0.3">
      <c r="A84" s="59" t="str">
        <f>A21</f>
        <v>Emission Cost</v>
      </c>
      <c r="B84" s="68">
        <f>B41*B47/B47/(B44)</f>
        <v>3.465044182978748E-5</v>
      </c>
      <c r="C84" s="68">
        <f t="shared" ref="C84:AC84" si="84">C41*C47/C47/(C44)</f>
        <v>3.4617446166526858E-5</v>
      </c>
      <c r="D84" s="68">
        <f t="shared" si="84"/>
        <v>3.4570213609488424E-5</v>
      </c>
      <c r="E84" s="68">
        <f t="shared" si="84"/>
        <v>3.4502644115103047E-5</v>
      </c>
      <c r="F84" s="68">
        <f t="shared" si="84"/>
        <v>3.440607239767715E-5</v>
      </c>
      <c r="G84" s="68">
        <f t="shared" si="84"/>
        <v>3.4268243686896818E-5</v>
      </c>
      <c r="H84" s="68">
        <f t="shared" si="84"/>
        <v>3.4071941789661624E-5</v>
      </c>
      <c r="I84" s="68">
        <f t="shared" si="84"/>
        <v>3.3793221235815644E-5</v>
      </c>
      <c r="J84" s="68">
        <f t="shared" si="84"/>
        <v>3.3399276516289538E-5</v>
      </c>
      <c r="K84" s="68">
        <f t="shared" si="84"/>
        <v>3.2846185237426347E-5</v>
      </c>
      <c r="L84" s="68">
        <f t="shared" si="84"/>
        <v>3.2077187581454992E-5</v>
      </c>
      <c r="M84" s="68">
        <f t="shared" si="84"/>
        <v>3.1022920563377787E-5</v>
      </c>
      <c r="N84" s="68">
        <f t="shared" si="84"/>
        <v>2.9606098661768426E-5</v>
      </c>
      <c r="O84" s="68">
        <f t="shared" si="84"/>
        <v>2.7754038726503228E-5</v>
      </c>
      <c r="P84" s="68">
        <f t="shared" si="84"/>
        <v>2.5421682276796057E-5</v>
      </c>
      <c r="Q84" s="68">
        <f t="shared" si="84"/>
        <v>2.2622921487449813E-5</v>
      </c>
      <c r="R84" s="68">
        <f t="shared" si="84"/>
        <v>1.9458156522970345E-5</v>
      </c>
      <c r="S84" s="68">
        <f t="shared" si="84"/>
        <v>1.6117127134673281E-5</v>
      </c>
      <c r="T84" s="68">
        <f t="shared" si="84"/>
        <v>1.2841842955517715E-5</v>
      </c>
      <c r="U84" s="68">
        <f t="shared" si="84"/>
        <v>9.8602843502420647E-6</v>
      </c>
      <c r="V84" s="68">
        <f t="shared" si="84"/>
        <v>7.3263841178679942E-6</v>
      </c>
      <c r="W84" s="68">
        <f t="shared" si="84"/>
        <v>5.2971838275570789E-6</v>
      </c>
      <c r="X84" s="68">
        <f t="shared" si="84"/>
        <v>3.7488139437139927E-6</v>
      </c>
      <c r="Y84" s="68">
        <f t="shared" si="84"/>
        <v>2.6106378996451295E-6</v>
      </c>
      <c r="Z84" s="68">
        <f t="shared" si="84"/>
        <v>1.7968584937466979E-6</v>
      </c>
      <c r="AA84" s="68">
        <f t="shared" si="84"/>
        <v>1.2265193088701544E-6</v>
      </c>
      <c r="AB84" s="68">
        <f t="shared" si="84"/>
        <v>8.3237987633449619E-7</v>
      </c>
      <c r="AC84" s="68">
        <f t="shared" si="84"/>
        <v>5.6265062192906486E-7</v>
      </c>
    </row>
    <row r="85" spans="1:29" ht="15.75" thickBot="1" x14ac:dyDescent="0.3">
      <c r="A85" s="31" t="s">
        <v>210</v>
      </c>
      <c r="B85" s="77">
        <f>B74+B75+B76+B77+B78+B79+B80+B81+B82+B83+B84</f>
        <v>1.8319967731408395E-2</v>
      </c>
      <c r="C85" s="77">
        <f t="shared" ref="C85:AC85" si="85">C74+C75+C76+C77+C78+C79+C80+C81+C82+C83+C84</f>
        <v>1.8293138756048918E-2</v>
      </c>
      <c r="D85" s="77">
        <f t="shared" si="85"/>
        <v>1.825505125393035E-2</v>
      </c>
      <c r="E85" s="77">
        <f t="shared" si="85"/>
        <v>1.8201229757168157E-2</v>
      </c>
      <c r="F85" s="77">
        <f t="shared" si="85"/>
        <v>1.81256879529486E-2</v>
      </c>
      <c r="G85" s="77">
        <f t="shared" si="85"/>
        <v>1.8020700861385196E-2</v>
      </c>
      <c r="H85" s="77">
        <f t="shared" si="85"/>
        <v>1.7876848523471139E-2</v>
      </c>
      <c r="I85" s="77">
        <f t="shared" si="85"/>
        <v>1.7683671276658191E-2</v>
      </c>
      <c r="J85" s="77">
        <f t="shared" si="85"/>
        <v>1.7431395126986608E-2</v>
      </c>
      <c r="K85" s="77">
        <f t="shared" si="85"/>
        <v>1.7114073004473193E-2</v>
      </c>
      <c r="L85" s="77">
        <f t="shared" si="85"/>
        <v>1.6733813975592891E-2</v>
      </c>
      <c r="M85" s="77">
        <f t="shared" si="85"/>
        <v>1.630443136417466E-2</v>
      </c>
      <c r="N85" s="77">
        <f t="shared" si="85"/>
        <v>1.5851681028795059E-2</v>
      </c>
      <c r="O85" s="77">
        <f t="shared" si="85"/>
        <v>1.5408127422556534E-2</v>
      </c>
      <c r="P85" s="77">
        <f t="shared" si="85"/>
        <v>1.5004203661474596E-2</v>
      </c>
      <c r="Q85" s="77">
        <f t="shared" si="85"/>
        <v>1.466028789134597E-2</v>
      </c>
      <c r="R85" s="77">
        <f t="shared" si="85"/>
        <v>1.438384506847671E-2</v>
      </c>
      <c r="S85" s="77">
        <f t="shared" si="85"/>
        <v>1.4171701495362761E-2</v>
      </c>
      <c r="T85" s="77">
        <f t="shared" si="85"/>
        <v>1.4014607036203641E-2</v>
      </c>
      <c r="U85" s="77">
        <f t="shared" si="85"/>
        <v>1.390135034331752E-2</v>
      </c>
      <c r="V85" s="77">
        <f t="shared" si="85"/>
        <v>1.3821309379120404E-2</v>
      </c>
      <c r="W85" s="77">
        <f t="shared" si="85"/>
        <v>1.3765574749312044E-2</v>
      </c>
      <c r="X85" s="77">
        <f t="shared" si="85"/>
        <v>1.3727189002480279E-2</v>
      </c>
      <c r="Y85" s="77">
        <f t="shared" si="85"/>
        <v>1.3700963759131763E-2</v>
      </c>
      <c r="Z85" s="77">
        <f t="shared" si="85"/>
        <v>1.3683150396998753E-2</v>
      </c>
      <c r="AA85" s="77">
        <f t="shared" si="85"/>
        <v>1.3671100571885043E-2</v>
      </c>
      <c r="AB85" s="77">
        <f t="shared" si="85"/>
        <v>1.3662972971818111E-2</v>
      </c>
      <c r="AC85" s="77">
        <f t="shared" si="85"/>
        <v>1.36575018337667E-2</v>
      </c>
    </row>
    <row r="87" spans="1:29" x14ac:dyDescent="0.25">
      <c r="B87" s="40"/>
    </row>
    <row r="107" spans="1:2" s="3" customFormat="1" ht="21" x14ac:dyDescent="0.35">
      <c r="A107" s="2" t="str">
        <f>'Parameter Input'!A102</f>
        <v>Railway long-haul: Liquid bulk</v>
      </c>
    </row>
    <row r="108" spans="1:2" s="3" customFormat="1" ht="21" x14ac:dyDescent="0.35">
      <c r="A108" s="2" t="s">
        <v>87</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Input'!$L$115</f>
        <v>10000000</v>
      </c>
      <c r="C117" s="42">
        <f>'Parameter Input'!$M$115</f>
        <v>6250000</v>
      </c>
      <c r="D117" s="1" t="s">
        <v>15</v>
      </c>
      <c r="L117" s="51">
        <f>'Parameter Input'!$O$115</f>
        <v>12</v>
      </c>
      <c r="M117" s="52">
        <v>0</v>
      </c>
      <c r="N117" s="52">
        <v>1</v>
      </c>
      <c r="O117" s="52">
        <f>'Parameter Input'!$P$115</f>
        <v>0.9</v>
      </c>
      <c r="P117" s="53">
        <f>'Parameter Input'!$Q$115</f>
        <v>0.4</v>
      </c>
      <c r="Q117" s="4">
        <f t="shared" ref="Q117:AR126" si="86">$N117+($M117-$N117)*((1/(1+EXP(-$P117*(Q$9-$L117)))^$O117))</f>
        <v>0.9867978615748374</v>
      </c>
      <c r="R117" s="4">
        <f t="shared" si="86"/>
        <v>0.98114509762858249</v>
      </c>
      <c r="S117" s="4">
        <f t="shared" si="86"/>
        <v>0.97311898315872036</v>
      </c>
      <c r="T117" s="4">
        <f t="shared" si="86"/>
        <v>0.96177484161592774</v>
      </c>
      <c r="U117" s="4">
        <f t="shared" si="86"/>
        <v>0.94584787155511363</v>
      </c>
      <c r="V117" s="4">
        <f t="shared" si="86"/>
        <v>0.92370360150141495</v>
      </c>
      <c r="W117" s="4">
        <f t="shared" si="86"/>
        <v>0.89334463567658451</v>
      </c>
      <c r="X117" s="4">
        <f t="shared" si="86"/>
        <v>0.85254543874327005</v>
      </c>
      <c r="Y117" s="4">
        <f t="shared" si="86"/>
        <v>0.79921300652623883</v>
      </c>
      <c r="Z117" s="4">
        <f t="shared" si="86"/>
        <v>0.73204982249993378</v>
      </c>
      <c r="AA117" s="4">
        <f t="shared" si="86"/>
        <v>0.65145592958786691</v>
      </c>
      <c r="AB117" s="4">
        <f t="shared" si="86"/>
        <v>0.56032247880849573</v>
      </c>
      <c r="AC117" s="4">
        <f t="shared" si="86"/>
        <v>0.46411326873185343</v>
      </c>
      <c r="AD117" s="4">
        <f t="shared" si="86"/>
        <v>0.36979727595523937</v>
      </c>
      <c r="AE117" s="4">
        <f t="shared" si="86"/>
        <v>0.28393948637231203</v>
      </c>
      <c r="AF117" s="4">
        <f t="shared" si="86"/>
        <v>0.21097259161117732</v>
      </c>
      <c r="AG117" s="4">
        <f t="shared" si="86"/>
        <v>0.15253917653798199</v>
      </c>
      <c r="AH117" s="4">
        <f t="shared" si="86"/>
        <v>0.10795188737709993</v>
      </c>
      <c r="AI117" s="4">
        <f t="shared" si="86"/>
        <v>7.5176653938091809E-2</v>
      </c>
      <c r="AJ117" s="4">
        <f t="shared" si="86"/>
        <v>5.1742836177502194E-2</v>
      </c>
      <c r="AK117" s="4">
        <f t="shared" si="86"/>
        <v>3.5319190625345942E-2</v>
      </c>
      <c r="AL117" s="4">
        <f t="shared" si="86"/>
        <v>2.3969442072658165E-2</v>
      </c>
      <c r="AM117" s="4">
        <f t="shared" si="86"/>
        <v>1.6202243558389728E-2</v>
      </c>
      <c r="AN117" s="4">
        <f t="shared" si="86"/>
        <v>1.0922240564108399E-2</v>
      </c>
      <c r="AO117" s="4">
        <f t="shared" si="86"/>
        <v>7.3493212906090566E-3</v>
      </c>
      <c r="AP117" s="4">
        <f t="shared" si="86"/>
        <v>4.9390262185057265E-3</v>
      </c>
      <c r="AQ117" s="4">
        <f t="shared" si="86"/>
        <v>3.3164275492956197E-3</v>
      </c>
      <c r="AR117" s="4">
        <f t="shared" si="86"/>
        <v>2.2256362146679809E-3</v>
      </c>
    </row>
    <row r="118" spans="1:44" x14ac:dyDescent="0.25">
      <c r="A118" s="24" t="s">
        <v>28</v>
      </c>
      <c r="B118" s="60">
        <f>'Parameter Input'!$L$116</f>
        <v>-500000</v>
      </c>
      <c r="C118" s="61">
        <f>'Parameter Input'!$M$116</f>
        <v>-937500</v>
      </c>
      <c r="D118" s="1" t="s">
        <v>15</v>
      </c>
      <c r="L118" s="54">
        <f>'Parameter Input'!$O$116</f>
        <v>12</v>
      </c>
      <c r="M118" s="37">
        <v>0</v>
      </c>
      <c r="N118" s="37">
        <v>1</v>
      </c>
      <c r="O118" s="37">
        <f>'Parameter Input'!$P$116</f>
        <v>0.9</v>
      </c>
      <c r="P118" s="55">
        <f>'Parameter Input'!$Q$116</f>
        <v>0.4</v>
      </c>
      <c r="Q118" s="4">
        <f t="shared" si="86"/>
        <v>0.9867978615748374</v>
      </c>
      <c r="R118" s="4">
        <f t="shared" si="86"/>
        <v>0.98114509762858249</v>
      </c>
      <c r="S118" s="4">
        <f t="shared" si="86"/>
        <v>0.97311898315872036</v>
      </c>
      <c r="T118" s="4">
        <f t="shared" si="86"/>
        <v>0.96177484161592774</v>
      </c>
      <c r="U118" s="4">
        <f t="shared" si="86"/>
        <v>0.94584787155511363</v>
      </c>
      <c r="V118" s="4">
        <f t="shared" si="86"/>
        <v>0.92370360150141495</v>
      </c>
      <c r="W118" s="4">
        <f t="shared" si="86"/>
        <v>0.89334463567658451</v>
      </c>
      <c r="X118" s="4">
        <f t="shared" si="86"/>
        <v>0.85254543874327005</v>
      </c>
      <c r="Y118" s="4">
        <f t="shared" si="86"/>
        <v>0.79921300652623883</v>
      </c>
      <c r="Z118" s="4">
        <f t="shared" si="86"/>
        <v>0.73204982249993378</v>
      </c>
      <c r="AA118" s="4">
        <f t="shared" si="86"/>
        <v>0.65145592958786691</v>
      </c>
      <c r="AB118" s="4">
        <f t="shared" si="86"/>
        <v>0.56032247880849573</v>
      </c>
      <c r="AC118" s="4">
        <f t="shared" si="86"/>
        <v>0.46411326873185343</v>
      </c>
      <c r="AD118" s="4">
        <f t="shared" si="86"/>
        <v>0.36979727595523937</v>
      </c>
      <c r="AE118" s="4">
        <f t="shared" si="86"/>
        <v>0.28393948637231203</v>
      </c>
      <c r="AF118" s="4">
        <f t="shared" si="86"/>
        <v>0.21097259161117732</v>
      </c>
      <c r="AG118" s="4">
        <f t="shared" si="86"/>
        <v>0.15253917653798199</v>
      </c>
      <c r="AH118" s="4">
        <f t="shared" si="86"/>
        <v>0.10795188737709993</v>
      </c>
      <c r="AI118" s="4">
        <f t="shared" si="86"/>
        <v>7.5176653938091809E-2</v>
      </c>
      <c r="AJ118" s="4">
        <f t="shared" si="86"/>
        <v>5.1742836177502194E-2</v>
      </c>
      <c r="AK118" s="4">
        <f t="shared" si="86"/>
        <v>3.5319190625345942E-2</v>
      </c>
      <c r="AL118" s="4">
        <f t="shared" si="86"/>
        <v>2.3969442072658165E-2</v>
      </c>
      <c r="AM118" s="4">
        <f t="shared" si="86"/>
        <v>1.6202243558389728E-2</v>
      </c>
      <c r="AN118" s="4">
        <f t="shared" si="86"/>
        <v>1.0922240564108399E-2</v>
      </c>
      <c r="AO118" s="4">
        <f t="shared" si="86"/>
        <v>7.3493212906090566E-3</v>
      </c>
      <c r="AP118" s="4">
        <f t="shared" si="86"/>
        <v>4.9390262185057265E-3</v>
      </c>
      <c r="AQ118" s="4">
        <f t="shared" si="86"/>
        <v>3.3164275492956197E-3</v>
      </c>
      <c r="AR118" s="4">
        <f t="shared" si="86"/>
        <v>2.2256362146679809E-3</v>
      </c>
    </row>
    <row r="119" spans="1:44" x14ac:dyDescent="0.25">
      <c r="A119" s="24" t="s">
        <v>14</v>
      </c>
      <c r="B119" s="43">
        <f>'Parameter Input'!B103</f>
        <v>5600000</v>
      </c>
      <c r="C119" s="44">
        <f>'Parameter Input'!C103</f>
        <v>5600000</v>
      </c>
      <c r="D119" s="1" t="s">
        <v>15</v>
      </c>
      <c r="L119" s="54">
        <f>'Parameter Input'!E91</f>
        <v>12</v>
      </c>
      <c r="M119" s="37">
        <v>0</v>
      </c>
      <c r="N119" s="37">
        <v>1</v>
      </c>
      <c r="O119" s="37">
        <f>'Parameter Input'!F91</f>
        <v>0.9</v>
      </c>
      <c r="P119" s="55">
        <f>'Parameter Input'!G91</f>
        <v>0.4</v>
      </c>
      <c r="Q119" s="4">
        <f t="shared" si="86"/>
        <v>0.9867978615748374</v>
      </c>
      <c r="R119" s="4">
        <f t="shared" si="86"/>
        <v>0.98114509762858249</v>
      </c>
      <c r="S119" s="4">
        <f t="shared" si="86"/>
        <v>0.97311898315872036</v>
      </c>
      <c r="T119" s="4">
        <f t="shared" si="86"/>
        <v>0.96177484161592774</v>
      </c>
      <c r="U119" s="4">
        <f t="shared" si="86"/>
        <v>0.94584787155511363</v>
      </c>
      <c r="V119" s="4">
        <f t="shared" si="86"/>
        <v>0.92370360150141495</v>
      </c>
      <c r="W119" s="4">
        <f t="shared" si="86"/>
        <v>0.89334463567658451</v>
      </c>
      <c r="X119" s="4">
        <f t="shared" si="86"/>
        <v>0.85254543874327005</v>
      </c>
      <c r="Y119" s="4">
        <f t="shared" si="86"/>
        <v>0.79921300652623883</v>
      </c>
      <c r="Z119" s="4">
        <f t="shared" si="86"/>
        <v>0.73204982249993378</v>
      </c>
      <c r="AA119" s="4">
        <f t="shared" si="86"/>
        <v>0.65145592958786691</v>
      </c>
      <c r="AB119" s="4">
        <f t="shared" si="86"/>
        <v>0.56032247880849573</v>
      </c>
      <c r="AC119" s="4">
        <f t="shared" si="86"/>
        <v>0.46411326873185343</v>
      </c>
      <c r="AD119" s="4">
        <f t="shared" si="86"/>
        <v>0.36979727595523937</v>
      </c>
      <c r="AE119" s="4">
        <f t="shared" si="86"/>
        <v>0.28393948637231203</v>
      </c>
      <c r="AF119" s="4">
        <f t="shared" si="86"/>
        <v>0.21097259161117732</v>
      </c>
      <c r="AG119" s="4">
        <f t="shared" si="86"/>
        <v>0.15253917653798199</v>
      </c>
      <c r="AH119" s="4">
        <f t="shared" si="86"/>
        <v>0.10795188737709993</v>
      </c>
      <c r="AI119" s="4">
        <f t="shared" si="86"/>
        <v>7.5176653938091809E-2</v>
      </c>
      <c r="AJ119" s="4">
        <f t="shared" si="86"/>
        <v>5.1742836177502194E-2</v>
      </c>
      <c r="AK119" s="4">
        <f t="shared" si="86"/>
        <v>3.5319190625345942E-2</v>
      </c>
      <c r="AL119" s="4">
        <f t="shared" si="86"/>
        <v>2.3969442072658165E-2</v>
      </c>
      <c r="AM119" s="4">
        <f t="shared" si="86"/>
        <v>1.6202243558389728E-2</v>
      </c>
      <c r="AN119" s="4">
        <f t="shared" si="86"/>
        <v>1.0922240564108399E-2</v>
      </c>
      <c r="AO119" s="4">
        <f t="shared" si="86"/>
        <v>7.3493212906090566E-3</v>
      </c>
      <c r="AP119" s="4">
        <f t="shared" si="86"/>
        <v>4.9390262185057265E-3</v>
      </c>
      <c r="AQ119" s="4">
        <f t="shared" si="86"/>
        <v>3.3164275492956197E-3</v>
      </c>
      <c r="AR119" s="4">
        <f t="shared" si="86"/>
        <v>2.2256362146679809E-3</v>
      </c>
    </row>
    <row r="120" spans="1:44" x14ac:dyDescent="0.25">
      <c r="A120" s="24" t="s">
        <v>25</v>
      </c>
      <c r="B120" s="60">
        <f>'Parameter Input'!B104</f>
        <v>-280000</v>
      </c>
      <c r="C120" s="61">
        <f>'Parameter Input'!C104</f>
        <v>-280000</v>
      </c>
      <c r="D120" s="1" t="s">
        <v>15</v>
      </c>
      <c r="L120" s="54">
        <f>'Parameter Input'!E92</f>
        <v>12</v>
      </c>
      <c r="M120" s="37">
        <v>0</v>
      </c>
      <c r="N120" s="37">
        <v>1</v>
      </c>
      <c r="O120" s="37">
        <f>'Parameter Input'!F92</f>
        <v>0.9</v>
      </c>
      <c r="P120" s="55">
        <f>'Parameter Input'!G92</f>
        <v>0.4</v>
      </c>
      <c r="Q120" s="4">
        <f t="shared" si="86"/>
        <v>0.9867978615748374</v>
      </c>
      <c r="R120" s="4">
        <f t="shared" si="86"/>
        <v>0.98114509762858249</v>
      </c>
      <c r="S120" s="4">
        <f t="shared" si="86"/>
        <v>0.97311898315872036</v>
      </c>
      <c r="T120" s="4">
        <f t="shared" si="86"/>
        <v>0.96177484161592774</v>
      </c>
      <c r="U120" s="4">
        <f t="shared" si="86"/>
        <v>0.94584787155511363</v>
      </c>
      <c r="V120" s="4">
        <f t="shared" si="86"/>
        <v>0.92370360150141495</v>
      </c>
      <c r="W120" s="4">
        <f t="shared" si="86"/>
        <v>0.89334463567658451</v>
      </c>
      <c r="X120" s="4">
        <f t="shared" si="86"/>
        <v>0.85254543874327005</v>
      </c>
      <c r="Y120" s="4">
        <f t="shared" si="86"/>
        <v>0.79921300652623883</v>
      </c>
      <c r="Z120" s="4">
        <f t="shared" si="86"/>
        <v>0.73204982249993378</v>
      </c>
      <c r="AA120" s="4">
        <f t="shared" si="86"/>
        <v>0.65145592958786691</v>
      </c>
      <c r="AB120" s="4">
        <f t="shared" si="86"/>
        <v>0.56032247880849573</v>
      </c>
      <c r="AC120" s="4">
        <f t="shared" si="86"/>
        <v>0.46411326873185343</v>
      </c>
      <c r="AD120" s="4">
        <f t="shared" si="86"/>
        <v>0.36979727595523937</v>
      </c>
      <c r="AE120" s="4">
        <f t="shared" si="86"/>
        <v>0.28393948637231203</v>
      </c>
      <c r="AF120" s="4">
        <f t="shared" si="86"/>
        <v>0.21097259161117732</v>
      </c>
      <c r="AG120" s="4">
        <f t="shared" si="86"/>
        <v>0.15253917653798199</v>
      </c>
      <c r="AH120" s="4">
        <f t="shared" si="86"/>
        <v>0.10795188737709993</v>
      </c>
      <c r="AI120" s="4">
        <f t="shared" si="86"/>
        <v>7.5176653938091809E-2</v>
      </c>
      <c r="AJ120" s="4">
        <f t="shared" si="86"/>
        <v>5.1742836177502194E-2</v>
      </c>
      <c r="AK120" s="4">
        <f t="shared" si="86"/>
        <v>3.5319190625345942E-2</v>
      </c>
      <c r="AL120" s="4">
        <f t="shared" si="86"/>
        <v>2.3969442072658165E-2</v>
      </c>
      <c r="AM120" s="4">
        <f t="shared" si="86"/>
        <v>1.6202243558389728E-2</v>
      </c>
      <c r="AN120" s="4">
        <f t="shared" si="86"/>
        <v>1.0922240564108399E-2</v>
      </c>
      <c r="AO120" s="4">
        <f t="shared" si="86"/>
        <v>7.3493212906090566E-3</v>
      </c>
      <c r="AP120" s="4">
        <f t="shared" si="86"/>
        <v>4.9390262185057265E-3</v>
      </c>
      <c r="AQ120" s="4">
        <f t="shared" si="86"/>
        <v>3.3164275492956197E-3</v>
      </c>
      <c r="AR120" s="4">
        <f t="shared" si="86"/>
        <v>2.2256362146679809E-3</v>
      </c>
    </row>
    <row r="121" spans="1:44" x14ac:dyDescent="0.25">
      <c r="A121" s="24" t="s">
        <v>79</v>
      </c>
      <c r="B121" s="45">
        <f>'Parameter Input'!$L$122</f>
        <v>0.06</v>
      </c>
      <c r="C121" s="46">
        <f>'Parameter Input'!$M$122</f>
        <v>0.06</v>
      </c>
      <c r="D121" s="1" t="s">
        <v>57</v>
      </c>
      <c r="L121" s="54">
        <f>'Parameter Input'!$O$122</f>
        <v>12</v>
      </c>
      <c r="M121" s="37">
        <v>0</v>
      </c>
      <c r="N121" s="37">
        <v>1</v>
      </c>
      <c r="O121" s="37">
        <f>'Parameter Input'!$P$122</f>
        <v>0.9</v>
      </c>
      <c r="P121" s="55">
        <f>'Parameter Input'!$Q$122</f>
        <v>0.4</v>
      </c>
      <c r="Q121" s="4">
        <f t="shared" si="86"/>
        <v>0.9867978615748374</v>
      </c>
      <c r="R121" s="4">
        <f t="shared" si="86"/>
        <v>0.98114509762858249</v>
      </c>
      <c r="S121" s="4">
        <f t="shared" si="86"/>
        <v>0.97311898315872036</v>
      </c>
      <c r="T121" s="4">
        <f t="shared" si="86"/>
        <v>0.96177484161592774</v>
      </c>
      <c r="U121" s="4">
        <f t="shared" si="86"/>
        <v>0.94584787155511363</v>
      </c>
      <c r="V121" s="4">
        <f t="shared" si="86"/>
        <v>0.92370360150141495</v>
      </c>
      <c r="W121" s="4">
        <f t="shared" si="86"/>
        <v>0.89334463567658451</v>
      </c>
      <c r="X121" s="4">
        <f t="shared" si="86"/>
        <v>0.85254543874327005</v>
      </c>
      <c r="Y121" s="4">
        <f t="shared" si="86"/>
        <v>0.79921300652623883</v>
      </c>
      <c r="Z121" s="4">
        <f t="shared" si="86"/>
        <v>0.73204982249993378</v>
      </c>
      <c r="AA121" s="4">
        <f t="shared" si="86"/>
        <v>0.65145592958786691</v>
      </c>
      <c r="AB121" s="4">
        <f t="shared" si="86"/>
        <v>0.56032247880849573</v>
      </c>
      <c r="AC121" s="4">
        <f t="shared" si="86"/>
        <v>0.46411326873185343</v>
      </c>
      <c r="AD121" s="4">
        <f t="shared" si="86"/>
        <v>0.36979727595523937</v>
      </c>
      <c r="AE121" s="4">
        <f t="shared" si="86"/>
        <v>0.28393948637231203</v>
      </c>
      <c r="AF121" s="4">
        <f t="shared" si="86"/>
        <v>0.21097259161117732</v>
      </c>
      <c r="AG121" s="4">
        <f t="shared" si="86"/>
        <v>0.15253917653798199</v>
      </c>
      <c r="AH121" s="4">
        <f t="shared" si="86"/>
        <v>0.10795188737709993</v>
      </c>
      <c r="AI121" s="4">
        <f t="shared" si="86"/>
        <v>7.5176653938091809E-2</v>
      </c>
      <c r="AJ121" s="4">
        <f t="shared" si="86"/>
        <v>5.1742836177502194E-2</v>
      </c>
      <c r="AK121" s="4">
        <f t="shared" si="86"/>
        <v>3.5319190625345942E-2</v>
      </c>
      <c r="AL121" s="4">
        <f t="shared" si="86"/>
        <v>2.3969442072658165E-2</v>
      </c>
      <c r="AM121" s="4">
        <f t="shared" si="86"/>
        <v>1.6202243558389728E-2</v>
      </c>
      <c r="AN121" s="4">
        <f t="shared" si="86"/>
        <v>1.0922240564108399E-2</v>
      </c>
      <c r="AO121" s="4">
        <f t="shared" si="86"/>
        <v>7.3493212906090566E-3</v>
      </c>
      <c r="AP121" s="4">
        <f t="shared" si="86"/>
        <v>4.9390262185057265E-3</v>
      </c>
      <c r="AQ121" s="4">
        <f t="shared" si="86"/>
        <v>3.3164275492956197E-3</v>
      </c>
      <c r="AR121" s="4">
        <f t="shared" si="86"/>
        <v>2.2256362146679809E-3</v>
      </c>
    </row>
    <row r="122" spans="1:44" x14ac:dyDescent="0.25">
      <c r="A122" s="24" t="s">
        <v>37</v>
      </c>
      <c r="B122" s="43">
        <f>'Parameter Input'!B105</f>
        <v>620000</v>
      </c>
      <c r="C122" s="44">
        <f>'Parameter Input'!C105</f>
        <v>620000</v>
      </c>
      <c r="D122" s="1" t="s">
        <v>38</v>
      </c>
      <c r="L122" s="54">
        <f>'Parameter Input'!E93</f>
        <v>12</v>
      </c>
      <c r="M122" s="37">
        <v>0</v>
      </c>
      <c r="N122" s="37">
        <v>1</v>
      </c>
      <c r="O122" s="37">
        <f>'Parameter Input'!F93</f>
        <v>0.9</v>
      </c>
      <c r="P122" s="55">
        <f>'Parameter Input'!G93</f>
        <v>0.4</v>
      </c>
      <c r="Q122" s="4">
        <f t="shared" si="86"/>
        <v>0.9867978615748374</v>
      </c>
      <c r="R122" s="4">
        <f t="shared" si="86"/>
        <v>0.98114509762858249</v>
      </c>
      <c r="S122" s="4">
        <f t="shared" si="86"/>
        <v>0.97311898315872036</v>
      </c>
      <c r="T122" s="4">
        <f t="shared" si="86"/>
        <v>0.96177484161592774</v>
      </c>
      <c r="U122" s="4">
        <f t="shared" si="86"/>
        <v>0.94584787155511363</v>
      </c>
      <c r="V122" s="4">
        <f t="shared" si="86"/>
        <v>0.92370360150141495</v>
      </c>
      <c r="W122" s="4">
        <f t="shared" si="86"/>
        <v>0.89334463567658451</v>
      </c>
      <c r="X122" s="4">
        <f t="shared" si="86"/>
        <v>0.85254543874327005</v>
      </c>
      <c r="Y122" s="4">
        <f t="shared" si="86"/>
        <v>0.79921300652623883</v>
      </c>
      <c r="Z122" s="4">
        <f t="shared" si="86"/>
        <v>0.73204982249993378</v>
      </c>
      <c r="AA122" s="4">
        <f t="shared" si="86"/>
        <v>0.65145592958786691</v>
      </c>
      <c r="AB122" s="4">
        <f t="shared" si="86"/>
        <v>0.56032247880849573</v>
      </c>
      <c r="AC122" s="4">
        <f t="shared" si="86"/>
        <v>0.46411326873185343</v>
      </c>
      <c r="AD122" s="4">
        <f t="shared" si="86"/>
        <v>0.36979727595523937</v>
      </c>
      <c r="AE122" s="4">
        <f t="shared" si="86"/>
        <v>0.28393948637231203</v>
      </c>
      <c r="AF122" s="4">
        <f t="shared" si="86"/>
        <v>0.21097259161117732</v>
      </c>
      <c r="AG122" s="4">
        <f t="shared" si="86"/>
        <v>0.15253917653798199</v>
      </c>
      <c r="AH122" s="4">
        <f t="shared" si="86"/>
        <v>0.10795188737709993</v>
      </c>
      <c r="AI122" s="4">
        <f t="shared" si="86"/>
        <v>7.5176653938091809E-2</v>
      </c>
      <c r="AJ122" s="4">
        <f t="shared" si="86"/>
        <v>5.1742836177502194E-2</v>
      </c>
      <c r="AK122" s="4">
        <f t="shared" si="86"/>
        <v>3.5319190625345942E-2</v>
      </c>
      <c r="AL122" s="4">
        <f t="shared" si="86"/>
        <v>2.3969442072658165E-2</v>
      </c>
      <c r="AM122" s="4">
        <f t="shared" si="86"/>
        <v>1.6202243558389728E-2</v>
      </c>
      <c r="AN122" s="4">
        <f t="shared" si="86"/>
        <v>1.0922240564108399E-2</v>
      </c>
      <c r="AO122" s="4">
        <f t="shared" si="86"/>
        <v>7.3493212906090566E-3</v>
      </c>
      <c r="AP122" s="4">
        <f t="shared" si="86"/>
        <v>4.9390262185057265E-3</v>
      </c>
      <c r="AQ122" s="4">
        <f t="shared" si="86"/>
        <v>3.3164275492956197E-3</v>
      </c>
      <c r="AR122" s="4">
        <f t="shared" si="86"/>
        <v>2.2256362146679809E-3</v>
      </c>
    </row>
    <row r="123" spans="1:44" x14ac:dyDescent="0.25">
      <c r="A123" s="24" t="s">
        <v>52</v>
      </c>
      <c r="B123" s="43">
        <f>'Parameter Input'!$L$118</f>
        <v>1300000</v>
      </c>
      <c r="C123" s="44">
        <f>'Parameter Input'!$M$118</f>
        <v>812500</v>
      </c>
      <c r="D123" s="1" t="s">
        <v>38</v>
      </c>
      <c r="L123" s="54">
        <f>'Parameter Input'!$O$118</f>
        <v>12</v>
      </c>
      <c r="M123" s="37">
        <v>0</v>
      </c>
      <c r="N123" s="37">
        <v>1</v>
      </c>
      <c r="O123" s="37">
        <f>'Parameter Input'!$P$118</f>
        <v>0.9</v>
      </c>
      <c r="P123" s="55">
        <f>'Parameter Input'!$Q$118</f>
        <v>0.4</v>
      </c>
      <c r="Q123" s="4">
        <f t="shared" si="86"/>
        <v>0.9867978615748374</v>
      </c>
      <c r="R123" s="4">
        <f t="shared" si="86"/>
        <v>0.98114509762858249</v>
      </c>
      <c r="S123" s="4">
        <f t="shared" si="86"/>
        <v>0.97311898315872036</v>
      </c>
      <c r="T123" s="4">
        <f t="shared" si="86"/>
        <v>0.96177484161592774</v>
      </c>
      <c r="U123" s="4">
        <f t="shared" si="86"/>
        <v>0.94584787155511363</v>
      </c>
      <c r="V123" s="4">
        <f t="shared" si="86"/>
        <v>0.92370360150141495</v>
      </c>
      <c r="W123" s="4">
        <f t="shared" si="86"/>
        <v>0.89334463567658451</v>
      </c>
      <c r="X123" s="4">
        <f t="shared" si="86"/>
        <v>0.85254543874327005</v>
      </c>
      <c r="Y123" s="4">
        <f t="shared" si="86"/>
        <v>0.79921300652623883</v>
      </c>
      <c r="Z123" s="4">
        <f t="shared" si="86"/>
        <v>0.73204982249993378</v>
      </c>
      <c r="AA123" s="4">
        <f t="shared" si="86"/>
        <v>0.65145592958786691</v>
      </c>
      <c r="AB123" s="4">
        <f t="shared" si="86"/>
        <v>0.56032247880849573</v>
      </c>
      <c r="AC123" s="4">
        <f t="shared" si="86"/>
        <v>0.46411326873185343</v>
      </c>
      <c r="AD123" s="4">
        <f t="shared" si="86"/>
        <v>0.36979727595523937</v>
      </c>
      <c r="AE123" s="4">
        <f t="shared" si="86"/>
        <v>0.28393948637231203</v>
      </c>
      <c r="AF123" s="4">
        <f t="shared" si="86"/>
        <v>0.21097259161117732</v>
      </c>
      <c r="AG123" s="4">
        <f t="shared" si="86"/>
        <v>0.15253917653798199</v>
      </c>
      <c r="AH123" s="4">
        <f t="shared" si="86"/>
        <v>0.10795188737709993</v>
      </c>
      <c r="AI123" s="4">
        <f t="shared" si="86"/>
        <v>7.5176653938091809E-2</v>
      </c>
      <c r="AJ123" s="4">
        <f t="shared" si="86"/>
        <v>5.1742836177502194E-2</v>
      </c>
      <c r="AK123" s="4">
        <f t="shared" si="86"/>
        <v>3.5319190625345942E-2</v>
      </c>
      <c r="AL123" s="4">
        <f t="shared" si="86"/>
        <v>2.3969442072658165E-2</v>
      </c>
      <c r="AM123" s="4">
        <f t="shared" si="86"/>
        <v>1.6202243558389728E-2</v>
      </c>
      <c r="AN123" s="4">
        <f t="shared" si="86"/>
        <v>1.0922240564108399E-2</v>
      </c>
      <c r="AO123" s="4">
        <f t="shared" si="86"/>
        <v>7.3493212906090566E-3</v>
      </c>
      <c r="AP123" s="4">
        <f t="shared" si="86"/>
        <v>4.9390262185057265E-3</v>
      </c>
      <c r="AQ123" s="4">
        <f t="shared" si="86"/>
        <v>3.3164275492956197E-3</v>
      </c>
      <c r="AR123" s="4">
        <f t="shared" si="86"/>
        <v>2.2256362146679809E-3</v>
      </c>
    </row>
    <row r="124" spans="1:44" x14ac:dyDescent="0.25">
      <c r="A124" s="24" t="s">
        <v>287</v>
      </c>
      <c r="B124" s="45">
        <f>'Parameter Input'!B110</f>
        <v>3.6414565826330532</v>
      </c>
      <c r="C124" s="46">
        <f>'Parameter Input'!C110</f>
        <v>3.6414565826330532</v>
      </c>
      <c r="D124" s="1" t="s">
        <v>76</v>
      </c>
      <c r="L124" s="54">
        <f>'Parameter Input'!E98</f>
        <v>12</v>
      </c>
      <c r="M124" s="37">
        <v>0</v>
      </c>
      <c r="N124" s="37">
        <v>1</v>
      </c>
      <c r="O124" s="37">
        <f>'Parameter Input'!F98</f>
        <v>0.9</v>
      </c>
      <c r="P124" s="55">
        <f>'Parameter Input'!G98</f>
        <v>0.4</v>
      </c>
      <c r="Q124" s="4">
        <f t="shared" si="86"/>
        <v>0.9867978615748374</v>
      </c>
      <c r="R124" s="4">
        <f t="shared" si="86"/>
        <v>0.98114509762858249</v>
      </c>
      <c r="S124" s="4">
        <f t="shared" si="86"/>
        <v>0.97311898315872036</v>
      </c>
      <c r="T124" s="4">
        <f t="shared" si="86"/>
        <v>0.96177484161592774</v>
      </c>
      <c r="U124" s="4">
        <f t="shared" si="86"/>
        <v>0.94584787155511363</v>
      </c>
      <c r="V124" s="4">
        <f t="shared" si="86"/>
        <v>0.92370360150141495</v>
      </c>
      <c r="W124" s="4">
        <f t="shared" si="86"/>
        <v>0.89334463567658451</v>
      </c>
      <c r="X124" s="4">
        <f t="shared" si="86"/>
        <v>0.85254543874327005</v>
      </c>
      <c r="Y124" s="4">
        <f t="shared" si="86"/>
        <v>0.79921300652623883</v>
      </c>
      <c r="Z124" s="4">
        <f t="shared" si="86"/>
        <v>0.73204982249993378</v>
      </c>
      <c r="AA124" s="4">
        <f t="shared" si="86"/>
        <v>0.65145592958786691</v>
      </c>
      <c r="AB124" s="4">
        <f t="shared" si="86"/>
        <v>0.56032247880849573</v>
      </c>
      <c r="AC124" s="4">
        <f t="shared" si="86"/>
        <v>0.46411326873185343</v>
      </c>
      <c r="AD124" s="4">
        <f t="shared" si="86"/>
        <v>0.36979727595523937</v>
      </c>
      <c r="AE124" s="4">
        <f t="shared" si="86"/>
        <v>0.28393948637231203</v>
      </c>
      <c r="AF124" s="4">
        <f t="shared" si="86"/>
        <v>0.21097259161117732</v>
      </c>
      <c r="AG124" s="4">
        <f t="shared" si="86"/>
        <v>0.15253917653798199</v>
      </c>
      <c r="AH124" s="4">
        <f t="shared" si="86"/>
        <v>0.10795188737709993</v>
      </c>
      <c r="AI124" s="4">
        <f t="shared" si="86"/>
        <v>7.5176653938091809E-2</v>
      </c>
      <c r="AJ124" s="4">
        <f t="shared" si="86"/>
        <v>5.1742836177502194E-2</v>
      </c>
      <c r="AK124" s="4">
        <f t="shared" si="86"/>
        <v>3.5319190625345942E-2</v>
      </c>
      <c r="AL124" s="4">
        <f t="shared" si="86"/>
        <v>2.3969442072658165E-2</v>
      </c>
      <c r="AM124" s="4">
        <f t="shared" si="86"/>
        <v>1.6202243558389728E-2</v>
      </c>
      <c r="AN124" s="4">
        <f t="shared" si="86"/>
        <v>1.0922240564108399E-2</v>
      </c>
      <c r="AO124" s="4">
        <f t="shared" si="86"/>
        <v>7.3493212906090566E-3</v>
      </c>
      <c r="AP124" s="4">
        <f t="shared" si="86"/>
        <v>4.9390262185057265E-3</v>
      </c>
      <c r="AQ124" s="4">
        <f t="shared" si="86"/>
        <v>3.3164275492956197E-3</v>
      </c>
      <c r="AR124" s="4">
        <f t="shared" si="86"/>
        <v>2.2256362146679809E-3</v>
      </c>
    </row>
    <row r="125" spans="1:44" x14ac:dyDescent="0.25">
      <c r="A125" s="24" t="s">
        <v>59</v>
      </c>
      <c r="B125" s="47">
        <f>'Parameter Input'!$L$119</f>
        <v>33.590199999999996</v>
      </c>
      <c r="C125" s="48">
        <f>'Parameter Input'!$M$119</f>
        <v>33.590199999999996</v>
      </c>
      <c r="D125" s="1" t="s">
        <v>60</v>
      </c>
      <c r="L125" s="54">
        <f>'Parameter Input'!$O$119</f>
        <v>12</v>
      </c>
      <c r="M125" s="37">
        <v>0</v>
      </c>
      <c r="N125" s="37">
        <v>1</v>
      </c>
      <c r="O125" s="37">
        <f>'Parameter Input'!$P$119</f>
        <v>0.9</v>
      </c>
      <c r="P125" s="55">
        <f>'Parameter Input'!$Q$119</f>
        <v>0.4</v>
      </c>
      <c r="Q125" s="4">
        <f t="shared" si="86"/>
        <v>0.9867978615748374</v>
      </c>
      <c r="R125" s="4">
        <f t="shared" si="86"/>
        <v>0.98114509762858249</v>
      </c>
      <c r="S125" s="4">
        <f t="shared" si="86"/>
        <v>0.97311898315872036</v>
      </c>
      <c r="T125" s="4">
        <f t="shared" si="86"/>
        <v>0.96177484161592774</v>
      </c>
      <c r="U125" s="4">
        <f t="shared" si="86"/>
        <v>0.94584787155511363</v>
      </c>
      <c r="V125" s="4">
        <f t="shared" si="86"/>
        <v>0.92370360150141495</v>
      </c>
      <c r="W125" s="4">
        <f t="shared" si="86"/>
        <v>0.89334463567658451</v>
      </c>
      <c r="X125" s="4">
        <f t="shared" si="86"/>
        <v>0.85254543874327005</v>
      </c>
      <c r="Y125" s="4">
        <f t="shared" si="86"/>
        <v>0.79921300652623883</v>
      </c>
      <c r="Z125" s="4">
        <f t="shared" si="86"/>
        <v>0.73204982249993378</v>
      </c>
      <c r="AA125" s="4">
        <f t="shared" si="86"/>
        <v>0.65145592958786691</v>
      </c>
      <c r="AB125" s="4">
        <f t="shared" si="86"/>
        <v>0.56032247880849573</v>
      </c>
      <c r="AC125" s="4">
        <f t="shared" si="86"/>
        <v>0.46411326873185343</v>
      </c>
      <c r="AD125" s="4">
        <f t="shared" si="86"/>
        <v>0.36979727595523937</v>
      </c>
      <c r="AE125" s="4">
        <f t="shared" si="86"/>
        <v>0.28393948637231203</v>
      </c>
      <c r="AF125" s="4">
        <f t="shared" si="86"/>
        <v>0.21097259161117732</v>
      </c>
      <c r="AG125" s="4">
        <f t="shared" si="86"/>
        <v>0.15253917653798199</v>
      </c>
      <c r="AH125" s="4">
        <f t="shared" si="86"/>
        <v>0.10795188737709993</v>
      </c>
      <c r="AI125" s="4">
        <f t="shared" si="86"/>
        <v>7.5176653938091809E-2</v>
      </c>
      <c r="AJ125" s="4">
        <f t="shared" si="86"/>
        <v>5.1742836177502194E-2</v>
      </c>
      <c r="AK125" s="4">
        <f t="shared" si="86"/>
        <v>3.5319190625345942E-2</v>
      </c>
      <c r="AL125" s="4">
        <f t="shared" si="86"/>
        <v>2.3969442072658165E-2</v>
      </c>
      <c r="AM125" s="4">
        <f t="shared" si="86"/>
        <v>1.6202243558389728E-2</v>
      </c>
      <c r="AN125" s="4">
        <f t="shared" si="86"/>
        <v>1.0922240564108399E-2</v>
      </c>
      <c r="AO125" s="4">
        <f t="shared" si="86"/>
        <v>7.3493212906090566E-3</v>
      </c>
      <c r="AP125" s="4">
        <f t="shared" si="86"/>
        <v>4.9390262185057265E-3</v>
      </c>
      <c r="AQ125" s="4">
        <f t="shared" si="86"/>
        <v>3.3164275492956197E-3</v>
      </c>
      <c r="AR125" s="4">
        <f t="shared" si="86"/>
        <v>2.2256362146679809E-3</v>
      </c>
    </row>
    <row r="126" spans="1:44" x14ac:dyDescent="0.25">
      <c r="A126" s="24" t="s">
        <v>67</v>
      </c>
      <c r="B126" s="45">
        <f>'Parameter Input'!$L$120</f>
        <v>0.13371034051801745</v>
      </c>
      <c r="C126" s="46">
        <f>'Parameter Input'!$M$120</f>
        <v>8.7585019329602734E-2</v>
      </c>
      <c r="D126" s="1" t="s">
        <v>68</v>
      </c>
      <c r="L126" s="54">
        <f>'Parameter Input'!$O$120</f>
        <v>12</v>
      </c>
      <c r="M126" s="37">
        <v>0</v>
      </c>
      <c r="N126" s="37">
        <v>1</v>
      </c>
      <c r="O126" s="37">
        <f>'Parameter Input'!$P$120</f>
        <v>0.9</v>
      </c>
      <c r="P126" s="55">
        <f>'Parameter Input'!$Q$120</f>
        <v>0.4</v>
      </c>
      <c r="Q126" s="4">
        <f t="shared" si="86"/>
        <v>0.9867978615748374</v>
      </c>
      <c r="R126" s="4">
        <f t="shared" si="86"/>
        <v>0.98114509762858249</v>
      </c>
      <c r="S126" s="4">
        <f t="shared" si="86"/>
        <v>0.97311898315872036</v>
      </c>
      <c r="T126" s="4">
        <f t="shared" ref="T126:AI133" si="87">$N126+($M126-$N126)*((1/(1+EXP(-$P126*(T$9-$L126)))^$O126))</f>
        <v>0.96177484161592774</v>
      </c>
      <c r="U126" s="4">
        <f t="shared" si="87"/>
        <v>0.94584787155511363</v>
      </c>
      <c r="V126" s="4">
        <f t="shared" si="87"/>
        <v>0.92370360150141495</v>
      </c>
      <c r="W126" s="4">
        <f t="shared" si="87"/>
        <v>0.89334463567658451</v>
      </c>
      <c r="X126" s="4">
        <f t="shared" si="87"/>
        <v>0.85254543874327005</v>
      </c>
      <c r="Y126" s="4">
        <f t="shared" si="87"/>
        <v>0.79921300652623883</v>
      </c>
      <c r="Z126" s="4">
        <f t="shared" si="87"/>
        <v>0.73204982249993378</v>
      </c>
      <c r="AA126" s="4">
        <f t="shared" si="87"/>
        <v>0.65145592958786691</v>
      </c>
      <c r="AB126" s="4">
        <f t="shared" si="87"/>
        <v>0.56032247880849573</v>
      </c>
      <c r="AC126" s="4">
        <f t="shared" si="87"/>
        <v>0.46411326873185343</v>
      </c>
      <c r="AD126" s="4">
        <f t="shared" si="87"/>
        <v>0.36979727595523937</v>
      </c>
      <c r="AE126" s="4">
        <f t="shared" si="87"/>
        <v>0.28393948637231203</v>
      </c>
      <c r="AF126" s="4">
        <f t="shared" si="87"/>
        <v>0.21097259161117732</v>
      </c>
      <c r="AG126" s="4">
        <f t="shared" si="87"/>
        <v>0.15253917653798199</v>
      </c>
      <c r="AH126" s="4">
        <f t="shared" si="87"/>
        <v>0.10795188737709993</v>
      </c>
      <c r="AI126" s="4">
        <f t="shared" si="87"/>
        <v>7.5176653938091809E-2</v>
      </c>
      <c r="AJ126" s="4">
        <f t="shared" ref="AJ126:AR133" si="88">$N126+($M126-$N126)*((1/(1+EXP(-$P126*(AJ$9-$L126)))^$O126))</f>
        <v>5.1742836177502194E-2</v>
      </c>
      <c r="AK126" s="4">
        <f t="shared" si="88"/>
        <v>3.5319190625345942E-2</v>
      </c>
      <c r="AL126" s="4">
        <f t="shared" si="88"/>
        <v>2.3969442072658165E-2</v>
      </c>
      <c r="AM126" s="4">
        <f t="shared" si="88"/>
        <v>1.6202243558389728E-2</v>
      </c>
      <c r="AN126" s="4">
        <f t="shared" si="88"/>
        <v>1.0922240564108399E-2</v>
      </c>
      <c r="AO126" s="4">
        <f t="shared" si="88"/>
        <v>7.3493212906090566E-3</v>
      </c>
      <c r="AP126" s="4">
        <f t="shared" si="88"/>
        <v>4.9390262185057265E-3</v>
      </c>
      <c r="AQ126" s="4">
        <f t="shared" si="88"/>
        <v>3.3164275492956197E-3</v>
      </c>
      <c r="AR126" s="4">
        <f t="shared" si="88"/>
        <v>2.2256362146679809E-3</v>
      </c>
    </row>
    <row r="127" spans="1:44" x14ac:dyDescent="0.25">
      <c r="A127" s="24" t="s">
        <v>206</v>
      </c>
      <c r="B127" s="115">
        <f>'Parameter Input'!$L$123</f>
        <v>7.7787831578947364E-2</v>
      </c>
      <c r="C127" s="116">
        <f>'Parameter Input'!$M$123</f>
        <v>0</v>
      </c>
      <c r="D127" s="1" t="s">
        <v>76</v>
      </c>
      <c r="L127" s="54">
        <f>'Parameter Input'!$O$123</f>
        <v>17</v>
      </c>
      <c r="M127" s="37">
        <v>0</v>
      </c>
      <c r="N127" s="37">
        <v>1</v>
      </c>
      <c r="O127" s="37">
        <f>'Parameter Input'!$P$123</f>
        <v>0.9</v>
      </c>
      <c r="P127" s="55">
        <f>'Parameter Input'!$Q$123</f>
        <v>0.4</v>
      </c>
      <c r="Q127" s="4">
        <f t="shared" ref="Q127:AR127" si="89">$N127+($M127-$N127)*((1/(1+EXP(-$P127*(Q$9-$L127)))^$O127))</f>
        <v>0.99780374543478534</v>
      </c>
      <c r="R127" s="4">
        <f t="shared" si="89"/>
        <v>0.99685359315256394</v>
      </c>
      <c r="S127" s="4">
        <f t="shared" si="89"/>
        <v>0.99549347132349975</v>
      </c>
      <c r="T127" s="4">
        <f t="shared" si="89"/>
        <v>0.99354772139898062</v>
      </c>
      <c r="U127" s="4">
        <f t="shared" si="89"/>
        <v>0.99076681540580536</v>
      </c>
      <c r="V127" s="4">
        <f t="shared" si="89"/>
        <v>0.9867978615748374</v>
      </c>
      <c r="W127" s="4">
        <f t="shared" si="89"/>
        <v>0.98114509762858249</v>
      </c>
      <c r="X127" s="4">
        <f t="shared" si="89"/>
        <v>0.97311898315872036</v>
      </c>
      <c r="Y127" s="4">
        <f t="shared" si="89"/>
        <v>0.96177484161592774</v>
      </c>
      <c r="Z127" s="4">
        <f t="shared" si="89"/>
        <v>0.94584787155511363</v>
      </c>
      <c r="AA127" s="4">
        <f t="shared" si="89"/>
        <v>0.92370360150141495</v>
      </c>
      <c r="AB127" s="4">
        <f t="shared" si="89"/>
        <v>0.89334463567658451</v>
      </c>
      <c r="AC127" s="4">
        <f t="shared" si="89"/>
        <v>0.85254543874327005</v>
      </c>
      <c r="AD127" s="4">
        <f t="shared" si="89"/>
        <v>0.79921300652623883</v>
      </c>
      <c r="AE127" s="4">
        <f t="shared" si="89"/>
        <v>0.73204982249993378</v>
      </c>
      <c r="AF127" s="4">
        <f t="shared" si="89"/>
        <v>0.65145592958786691</v>
      </c>
      <c r="AG127" s="4">
        <f t="shared" si="89"/>
        <v>0.56032247880849573</v>
      </c>
      <c r="AH127" s="4">
        <f t="shared" si="89"/>
        <v>0.46411326873185343</v>
      </c>
      <c r="AI127" s="4">
        <f t="shared" si="89"/>
        <v>0.36979727595523937</v>
      </c>
      <c r="AJ127" s="4">
        <f t="shared" si="89"/>
        <v>0.28393948637231203</v>
      </c>
      <c r="AK127" s="4">
        <f t="shared" si="89"/>
        <v>0.21097259161117732</v>
      </c>
      <c r="AL127" s="4">
        <f t="shared" si="89"/>
        <v>0.15253917653798199</v>
      </c>
      <c r="AM127" s="4">
        <f t="shared" si="89"/>
        <v>0.10795188737709993</v>
      </c>
      <c r="AN127" s="4">
        <f t="shared" si="89"/>
        <v>7.5176653938091809E-2</v>
      </c>
      <c r="AO127" s="4">
        <f t="shared" si="89"/>
        <v>5.1742836177502194E-2</v>
      </c>
      <c r="AP127" s="4">
        <f t="shared" si="89"/>
        <v>3.5319190625345942E-2</v>
      </c>
      <c r="AQ127" s="4">
        <f t="shared" si="89"/>
        <v>2.3969442072658165E-2</v>
      </c>
      <c r="AR127" s="4">
        <f t="shared" si="89"/>
        <v>1.6202243558389728E-2</v>
      </c>
    </row>
    <row r="128" spans="1:44" x14ac:dyDescent="0.25">
      <c r="A128" s="24" t="s">
        <v>41</v>
      </c>
      <c r="B128" s="43">
        <f>'Parameter Input'!$L$117</f>
        <v>20</v>
      </c>
      <c r="C128" s="44">
        <f>'Parameter Input'!$M$117</f>
        <v>20</v>
      </c>
      <c r="D128" s="1" t="s">
        <v>42</v>
      </c>
      <c r="L128" s="54">
        <f>'Parameter Input'!$O$117</f>
        <v>12</v>
      </c>
      <c r="M128" s="37">
        <v>0</v>
      </c>
      <c r="N128" s="37">
        <v>1</v>
      </c>
      <c r="O128" s="37">
        <f>'Parameter Input'!$P$117</f>
        <v>0.9</v>
      </c>
      <c r="P128" s="55">
        <f>'Parameter Input'!$Q$117</f>
        <v>0.4</v>
      </c>
      <c r="Q128" s="4">
        <f t="shared" ref="Q128:AF133" si="90">$N128+($M128-$N128)*((1/(1+EXP(-$P128*(Q$9-$L128)))^$O128))</f>
        <v>0.9867978615748374</v>
      </c>
      <c r="R128" s="4">
        <f t="shared" si="90"/>
        <v>0.98114509762858249</v>
      </c>
      <c r="S128" s="4">
        <f t="shared" si="90"/>
        <v>0.97311898315872036</v>
      </c>
      <c r="T128" s="4">
        <f t="shared" si="90"/>
        <v>0.96177484161592774</v>
      </c>
      <c r="U128" s="4">
        <f t="shared" si="90"/>
        <v>0.94584787155511363</v>
      </c>
      <c r="V128" s="4">
        <f t="shared" si="90"/>
        <v>0.92370360150141495</v>
      </c>
      <c r="W128" s="4">
        <f t="shared" si="90"/>
        <v>0.89334463567658451</v>
      </c>
      <c r="X128" s="4">
        <f t="shared" si="90"/>
        <v>0.85254543874327005</v>
      </c>
      <c r="Y128" s="4">
        <f t="shared" si="90"/>
        <v>0.79921300652623883</v>
      </c>
      <c r="Z128" s="4">
        <f t="shared" si="90"/>
        <v>0.73204982249993378</v>
      </c>
      <c r="AA128" s="4">
        <f t="shared" si="90"/>
        <v>0.65145592958786691</v>
      </c>
      <c r="AB128" s="4">
        <f t="shared" si="90"/>
        <v>0.56032247880849573</v>
      </c>
      <c r="AC128" s="4">
        <f t="shared" si="90"/>
        <v>0.46411326873185343</v>
      </c>
      <c r="AD128" s="4">
        <f t="shared" si="90"/>
        <v>0.36979727595523937</v>
      </c>
      <c r="AE128" s="4">
        <f t="shared" si="90"/>
        <v>0.28393948637231203</v>
      </c>
      <c r="AF128" s="4">
        <f t="shared" si="90"/>
        <v>0.21097259161117732</v>
      </c>
      <c r="AG128" s="4">
        <f t="shared" si="87"/>
        <v>0.15253917653798199</v>
      </c>
      <c r="AH128" s="4">
        <f t="shared" si="87"/>
        <v>0.10795188737709993</v>
      </c>
      <c r="AI128" s="4">
        <f t="shared" si="87"/>
        <v>7.5176653938091809E-2</v>
      </c>
      <c r="AJ128" s="4">
        <f t="shared" si="88"/>
        <v>5.1742836177502194E-2</v>
      </c>
      <c r="AK128" s="4">
        <f t="shared" si="88"/>
        <v>3.5319190625345942E-2</v>
      </c>
      <c r="AL128" s="4">
        <f t="shared" si="88"/>
        <v>2.3969442072658165E-2</v>
      </c>
      <c r="AM128" s="4">
        <f t="shared" si="88"/>
        <v>1.6202243558389728E-2</v>
      </c>
      <c r="AN128" s="4">
        <f t="shared" si="88"/>
        <v>1.0922240564108399E-2</v>
      </c>
      <c r="AO128" s="4">
        <f t="shared" si="88"/>
        <v>7.3493212906090566E-3</v>
      </c>
      <c r="AP128" s="4">
        <f t="shared" si="88"/>
        <v>4.9390262185057265E-3</v>
      </c>
      <c r="AQ128" s="4">
        <f t="shared" si="88"/>
        <v>3.3164275492956197E-3</v>
      </c>
      <c r="AR128" s="4">
        <f t="shared" si="88"/>
        <v>2.2256362146679809E-3</v>
      </c>
    </row>
    <row r="129" spans="1:44" x14ac:dyDescent="0.25">
      <c r="A129" s="24" t="s">
        <v>70</v>
      </c>
      <c r="B129" s="43">
        <f>'Parameter Input'!B109</f>
        <v>30</v>
      </c>
      <c r="C129" s="44">
        <f>'Parameter Input'!C109</f>
        <v>30</v>
      </c>
      <c r="D129" s="1" t="s">
        <v>42</v>
      </c>
      <c r="L129" s="54">
        <f>'Parameter Input'!E97</f>
        <v>12</v>
      </c>
      <c r="M129" s="37">
        <v>0</v>
      </c>
      <c r="N129" s="37">
        <v>1</v>
      </c>
      <c r="O129" s="37">
        <f>'Parameter Input'!F97</f>
        <v>0.9</v>
      </c>
      <c r="P129" s="55">
        <f>'Parameter Input'!G97</f>
        <v>0.4</v>
      </c>
      <c r="Q129" s="4">
        <f t="shared" si="90"/>
        <v>0.9867978615748374</v>
      </c>
      <c r="R129" s="4">
        <f t="shared" si="90"/>
        <v>0.98114509762858249</v>
      </c>
      <c r="S129" s="4">
        <f t="shared" si="90"/>
        <v>0.97311898315872036</v>
      </c>
      <c r="T129" s="4">
        <f t="shared" si="90"/>
        <v>0.96177484161592774</v>
      </c>
      <c r="U129" s="4">
        <f t="shared" si="90"/>
        <v>0.94584787155511363</v>
      </c>
      <c r="V129" s="4">
        <f t="shared" si="90"/>
        <v>0.92370360150141495</v>
      </c>
      <c r="W129" s="4">
        <f t="shared" si="90"/>
        <v>0.89334463567658451</v>
      </c>
      <c r="X129" s="4">
        <f t="shared" si="90"/>
        <v>0.85254543874327005</v>
      </c>
      <c r="Y129" s="4">
        <f t="shared" si="90"/>
        <v>0.79921300652623883</v>
      </c>
      <c r="Z129" s="4">
        <f t="shared" si="90"/>
        <v>0.73204982249993378</v>
      </c>
      <c r="AA129" s="4">
        <f t="shared" si="90"/>
        <v>0.65145592958786691</v>
      </c>
      <c r="AB129" s="4">
        <f t="shared" si="90"/>
        <v>0.56032247880849573</v>
      </c>
      <c r="AC129" s="4">
        <f t="shared" si="90"/>
        <v>0.46411326873185343</v>
      </c>
      <c r="AD129" s="4">
        <f t="shared" si="90"/>
        <v>0.36979727595523937</v>
      </c>
      <c r="AE129" s="4">
        <f t="shared" si="90"/>
        <v>0.28393948637231203</v>
      </c>
      <c r="AF129" s="4">
        <f t="shared" si="90"/>
        <v>0.21097259161117732</v>
      </c>
      <c r="AG129" s="4">
        <f t="shared" si="87"/>
        <v>0.15253917653798199</v>
      </c>
      <c r="AH129" s="4">
        <f t="shared" si="87"/>
        <v>0.10795188737709993</v>
      </c>
      <c r="AI129" s="4">
        <f t="shared" si="87"/>
        <v>7.5176653938091809E-2</v>
      </c>
      <c r="AJ129" s="4">
        <f t="shared" si="88"/>
        <v>5.1742836177502194E-2</v>
      </c>
      <c r="AK129" s="4">
        <f t="shared" si="88"/>
        <v>3.5319190625345942E-2</v>
      </c>
      <c r="AL129" s="4">
        <f t="shared" si="88"/>
        <v>2.3969442072658165E-2</v>
      </c>
      <c r="AM129" s="4">
        <f t="shared" si="88"/>
        <v>1.6202243558389728E-2</v>
      </c>
      <c r="AN129" s="4">
        <f t="shared" si="88"/>
        <v>1.0922240564108399E-2</v>
      </c>
      <c r="AO129" s="4">
        <f t="shared" si="88"/>
        <v>7.3493212906090566E-3</v>
      </c>
      <c r="AP129" s="4">
        <f t="shared" si="88"/>
        <v>4.9390262185057265E-3</v>
      </c>
      <c r="AQ129" s="4">
        <f t="shared" si="88"/>
        <v>3.3164275492956197E-3</v>
      </c>
      <c r="AR129" s="4">
        <f t="shared" si="88"/>
        <v>2.2256362146679809E-3</v>
      </c>
    </row>
    <row r="130" spans="1:44" x14ac:dyDescent="0.25">
      <c r="A130" s="24" t="s">
        <v>207</v>
      </c>
      <c r="B130" s="70">
        <f>'Parameter Input'!B106</f>
        <v>2240</v>
      </c>
      <c r="C130" s="71">
        <f>'Parameter Input'!C106</f>
        <v>2240</v>
      </c>
      <c r="D130" s="1" t="s">
        <v>49</v>
      </c>
      <c r="L130" s="54">
        <f>'Parameter Input'!E94</f>
        <v>12</v>
      </c>
      <c r="M130" s="37">
        <v>0</v>
      </c>
      <c r="N130" s="37">
        <v>1</v>
      </c>
      <c r="O130" s="37">
        <f>'Parameter Input'!F94</f>
        <v>0.9</v>
      </c>
      <c r="P130" s="55">
        <f>'Parameter Input'!G94</f>
        <v>0.4</v>
      </c>
      <c r="Q130" s="4">
        <f t="shared" si="90"/>
        <v>0.9867978615748374</v>
      </c>
      <c r="R130" s="4">
        <f t="shared" si="90"/>
        <v>0.98114509762858249</v>
      </c>
      <c r="S130" s="4">
        <f t="shared" si="90"/>
        <v>0.97311898315872036</v>
      </c>
      <c r="T130" s="4">
        <f t="shared" si="90"/>
        <v>0.96177484161592774</v>
      </c>
      <c r="U130" s="4">
        <f t="shared" si="90"/>
        <v>0.94584787155511363</v>
      </c>
      <c r="V130" s="4">
        <f t="shared" si="90"/>
        <v>0.92370360150141495</v>
      </c>
      <c r="W130" s="4">
        <f t="shared" si="90"/>
        <v>0.89334463567658451</v>
      </c>
      <c r="X130" s="4">
        <f t="shared" si="90"/>
        <v>0.85254543874327005</v>
      </c>
      <c r="Y130" s="4">
        <f t="shared" si="90"/>
        <v>0.79921300652623883</v>
      </c>
      <c r="Z130" s="4">
        <f t="shared" si="90"/>
        <v>0.73204982249993378</v>
      </c>
      <c r="AA130" s="4">
        <f t="shared" si="90"/>
        <v>0.65145592958786691</v>
      </c>
      <c r="AB130" s="4">
        <f t="shared" si="90"/>
        <v>0.56032247880849573</v>
      </c>
      <c r="AC130" s="4">
        <f t="shared" si="90"/>
        <v>0.46411326873185343</v>
      </c>
      <c r="AD130" s="4">
        <f t="shared" si="90"/>
        <v>0.36979727595523937</v>
      </c>
      <c r="AE130" s="4">
        <f t="shared" si="90"/>
        <v>0.28393948637231203</v>
      </c>
      <c r="AF130" s="4">
        <f t="shared" si="90"/>
        <v>0.21097259161117732</v>
      </c>
      <c r="AG130" s="4">
        <f t="shared" si="87"/>
        <v>0.15253917653798199</v>
      </c>
      <c r="AH130" s="4">
        <f t="shared" si="87"/>
        <v>0.10795188737709993</v>
      </c>
      <c r="AI130" s="4">
        <f t="shared" si="87"/>
        <v>7.5176653938091809E-2</v>
      </c>
      <c r="AJ130" s="4">
        <f t="shared" si="88"/>
        <v>5.1742836177502194E-2</v>
      </c>
      <c r="AK130" s="4">
        <f t="shared" si="88"/>
        <v>3.5319190625345942E-2</v>
      </c>
      <c r="AL130" s="4">
        <f t="shared" si="88"/>
        <v>2.3969442072658165E-2</v>
      </c>
      <c r="AM130" s="4">
        <f t="shared" si="88"/>
        <v>1.6202243558389728E-2</v>
      </c>
      <c r="AN130" s="4">
        <f t="shared" si="88"/>
        <v>1.0922240564108399E-2</v>
      </c>
      <c r="AO130" s="4">
        <f t="shared" si="88"/>
        <v>7.3493212906090566E-3</v>
      </c>
      <c r="AP130" s="4">
        <f t="shared" si="88"/>
        <v>4.9390262185057265E-3</v>
      </c>
      <c r="AQ130" s="4">
        <f t="shared" si="88"/>
        <v>3.3164275492956197E-3</v>
      </c>
      <c r="AR130" s="4">
        <f t="shared" si="88"/>
        <v>2.2256362146679809E-3</v>
      </c>
    </row>
    <row r="131" spans="1:44" x14ac:dyDescent="0.25">
      <c r="A131" s="24" t="s">
        <v>56</v>
      </c>
      <c r="B131" s="72">
        <f>'Parameter Input'!B107</f>
        <v>0.42666666666666669</v>
      </c>
      <c r="C131" s="73">
        <f>'Parameter Input'!C107</f>
        <v>0.42666666666666669</v>
      </c>
      <c r="D131" s="1" t="s">
        <v>57</v>
      </c>
      <c r="L131" s="54">
        <f>'Parameter Input'!E95</f>
        <v>12</v>
      </c>
      <c r="M131" s="37">
        <v>0</v>
      </c>
      <c r="N131" s="37">
        <v>1</v>
      </c>
      <c r="O131" s="37">
        <f>'Parameter Input'!F95</f>
        <v>0.9</v>
      </c>
      <c r="P131" s="55">
        <f>'Parameter Input'!G95</f>
        <v>0.4</v>
      </c>
      <c r="Q131" s="4">
        <f t="shared" si="90"/>
        <v>0.9867978615748374</v>
      </c>
      <c r="R131" s="4">
        <f t="shared" si="90"/>
        <v>0.98114509762858249</v>
      </c>
      <c r="S131" s="4">
        <f t="shared" si="90"/>
        <v>0.97311898315872036</v>
      </c>
      <c r="T131" s="4">
        <f t="shared" si="90"/>
        <v>0.96177484161592774</v>
      </c>
      <c r="U131" s="4">
        <f t="shared" si="90"/>
        <v>0.94584787155511363</v>
      </c>
      <c r="V131" s="4">
        <f t="shared" si="90"/>
        <v>0.92370360150141495</v>
      </c>
      <c r="W131" s="4">
        <f t="shared" si="90"/>
        <v>0.89334463567658451</v>
      </c>
      <c r="X131" s="4">
        <f t="shared" si="90"/>
        <v>0.85254543874327005</v>
      </c>
      <c r="Y131" s="4">
        <f t="shared" si="90"/>
        <v>0.79921300652623883</v>
      </c>
      <c r="Z131" s="4">
        <f t="shared" si="90"/>
        <v>0.73204982249993378</v>
      </c>
      <c r="AA131" s="4">
        <f t="shared" si="90"/>
        <v>0.65145592958786691</v>
      </c>
      <c r="AB131" s="4">
        <f t="shared" si="90"/>
        <v>0.56032247880849573</v>
      </c>
      <c r="AC131" s="4">
        <f t="shared" si="90"/>
        <v>0.46411326873185343</v>
      </c>
      <c r="AD131" s="4">
        <f t="shared" si="90"/>
        <v>0.36979727595523937</v>
      </c>
      <c r="AE131" s="4">
        <f t="shared" si="90"/>
        <v>0.28393948637231203</v>
      </c>
      <c r="AF131" s="4">
        <f t="shared" si="90"/>
        <v>0.21097259161117732</v>
      </c>
      <c r="AG131" s="4">
        <f t="shared" si="87"/>
        <v>0.15253917653798199</v>
      </c>
      <c r="AH131" s="4">
        <f t="shared" si="87"/>
        <v>0.10795188737709993</v>
      </c>
      <c r="AI131" s="4">
        <f t="shared" si="87"/>
        <v>7.5176653938091809E-2</v>
      </c>
      <c r="AJ131" s="4">
        <f t="shared" si="88"/>
        <v>5.1742836177502194E-2</v>
      </c>
      <c r="AK131" s="4">
        <f t="shared" si="88"/>
        <v>3.5319190625345942E-2</v>
      </c>
      <c r="AL131" s="4">
        <f t="shared" si="88"/>
        <v>2.3969442072658165E-2</v>
      </c>
      <c r="AM131" s="4">
        <f t="shared" si="88"/>
        <v>1.6202243558389728E-2</v>
      </c>
      <c r="AN131" s="4">
        <f t="shared" si="88"/>
        <v>1.0922240564108399E-2</v>
      </c>
      <c r="AO131" s="4">
        <f t="shared" si="88"/>
        <v>7.3493212906090566E-3</v>
      </c>
      <c r="AP131" s="4">
        <f t="shared" si="88"/>
        <v>4.9390262185057265E-3</v>
      </c>
      <c r="AQ131" s="4">
        <f t="shared" si="88"/>
        <v>3.3164275492956197E-3</v>
      </c>
      <c r="AR131" s="4">
        <f t="shared" si="88"/>
        <v>2.2256362146679809E-3</v>
      </c>
    </row>
    <row r="132" spans="1:44" x14ac:dyDescent="0.25">
      <c r="A132" s="24" t="s">
        <v>73</v>
      </c>
      <c r="B132" s="72">
        <f>'Parameter Input'!$L$121</f>
        <v>3.5714285714285712E-2</v>
      </c>
      <c r="C132" s="73">
        <f>'Parameter Input'!$M$121</f>
        <v>1.7857142857142856E-2</v>
      </c>
      <c r="D132" s="1" t="s">
        <v>57</v>
      </c>
      <c r="L132" s="54">
        <f>'Parameter Input'!$O$121</f>
        <v>12</v>
      </c>
      <c r="M132" s="37">
        <v>0</v>
      </c>
      <c r="N132" s="37">
        <v>1</v>
      </c>
      <c r="O132" s="37">
        <f>'Parameter Input'!$P$121</f>
        <v>0.9</v>
      </c>
      <c r="P132" s="55">
        <f>'Parameter Input'!$Q$121</f>
        <v>0.4</v>
      </c>
      <c r="Q132" s="4">
        <f t="shared" si="90"/>
        <v>0.9867978615748374</v>
      </c>
      <c r="R132" s="4">
        <f t="shared" si="90"/>
        <v>0.98114509762858249</v>
      </c>
      <c r="S132" s="4">
        <f t="shared" si="90"/>
        <v>0.97311898315872036</v>
      </c>
      <c r="T132" s="4">
        <f t="shared" si="90"/>
        <v>0.96177484161592774</v>
      </c>
      <c r="U132" s="4">
        <f t="shared" si="90"/>
        <v>0.94584787155511363</v>
      </c>
      <c r="V132" s="4">
        <f t="shared" si="90"/>
        <v>0.92370360150141495</v>
      </c>
      <c r="W132" s="4">
        <f t="shared" si="90"/>
        <v>0.89334463567658451</v>
      </c>
      <c r="X132" s="4">
        <f t="shared" si="90"/>
        <v>0.85254543874327005</v>
      </c>
      <c r="Y132" s="4">
        <f t="shared" si="90"/>
        <v>0.79921300652623883</v>
      </c>
      <c r="Z132" s="4">
        <f t="shared" si="90"/>
        <v>0.73204982249993378</v>
      </c>
      <c r="AA132" s="4">
        <f t="shared" si="90"/>
        <v>0.65145592958786691</v>
      </c>
      <c r="AB132" s="4">
        <f t="shared" si="90"/>
        <v>0.56032247880849573</v>
      </c>
      <c r="AC132" s="4">
        <f t="shared" si="90"/>
        <v>0.46411326873185343</v>
      </c>
      <c r="AD132" s="4">
        <f t="shared" si="90"/>
        <v>0.36979727595523937</v>
      </c>
      <c r="AE132" s="4">
        <f t="shared" si="90"/>
        <v>0.28393948637231203</v>
      </c>
      <c r="AF132" s="4">
        <f t="shared" si="90"/>
        <v>0.21097259161117732</v>
      </c>
      <c r="AG132" s="4">
        <f t="shared" si="87"/>
        <v>0.15253917653798199</v>
      </c>
      <c r="AH132" s="4">
        <f t="shared" si="87"/>
        <v>0.10795188737709993</v>
      </c>
      <c r="AI132" s="4">
        <f t="shared" si="87"/>
        <v>7.5176653938091809E-2</v>
      </c>
      <c r="AJ132" s="4">
        <f t="shared" si="88"/>
        <v>5.1742836177502194E-2</v>
      </c>
      <c r="AK132" s="4">
        <f t="shared" si="88"/>
        <v>3.5319190625345942E-2</v>
      </c>
      <c r="AL132" s="4">
        <f t="shared" si="88"/>
        <v>2.3969442072658165E-2</v>
      </c>
      <c r="AM132" s="4">
        <f t="shared" si="88"/>
        <v>1.6202243558389728E-2</v>
      </c>
      <c r="AN132" s="4">
        <f t="shared" si="88"/>
        <v>1.0922240564108399E-2</v>
      </c>
      <c r="AO132" s="4">
        <f t="shared" si="88"/>
        <v>7.3493212906090566E-3</v>
      </c>
      <c r="AP132" s="4">
        <f t="shared" si="88"/>
        <v>4.9390262185057265E-3</v>
      </c>
      <c r="AQ132" s="4">
        <f t="shared" si="88"/>
        <v>3.3164275492956197E-3</v>
      </c>
      <c r="AR132" s="4">
        <f t="shared" si="88"/>
        <v>2.2256362146679809E-3</v>
      </c>
    </row>
    <row r="133" spans="1:44" ht="15.75" thickBot="1" x14ac:dyDescent="0.3">
      <c r="A133" s="24" t="s">
        <v>64</v>
      </c>
      <c r="B133" s="74">
        <f>'Parameter Input'!B108</f>
        <v>178500</v>
      </c>
      <c r="C133" s="75">
        <f>'Parameter Input'!C108</f>
        <v>178500</v>
      </c>
      <c r="D133" s="1" t="s">
        <v>65</v>
      </c>
      <c r="L133" s="56">
        <f>'Parameter Input'!E96</f>
        <v>12</v>
      </c>
      <c r="M133" s="57">
        <v>0</v>
      </c>
      <c r="N133" s="57">
        <v>1</v>
      </c>
      <c r="O133" s="57">
        <f>'Parameter Input'!F96</f>
        <v>0.9</v>
      </c>
      <c r="P133" s="58">
        <f>'Parameter Input'!G96</f>
        <v>0.4</v>
      </c>
      <c r="Q133" s="4">
        <f t="shared" si="90"/>
        <v>0.9867978615748374</v>
      </c>
      <c r="R133" s="4">
        <f t="shared" si="90"/>
        <v>0.98114509762858249</v>
      </c>
      <c r="S133" s="4">
        <f t="shared" si="90"/>
        <v>0.97311898315872036</v>
      </c>
      <c r="T133" s="4">
        <f t="shared" si="90"/>
        <v>0.96177484161592774</v>
      </c>
      <c r="U133" s="4">
        <f t="shared" si="90"/>
        <v>0.94584787155511363</v>
      </c>
      <c r="V133" s="4">
        <f t="shared" si="90"/>
        <v>0.92370360150141495</v>
      </c>
      <c r="W133" s="4">
        <f t="shared" si="90"/>
        <v>0.89334463567658451</v>
      </c>
      <c r="X133" s="4">
        <f t="shared" si="90"/>
        <v>0.85254543874327005</v>
      </c>
      <c r="Y133" s="4">
        <f t="shared" si="90"/>
        <v>0.79921300652623883</v>
      </c>
      <c r="Z133" s="4">
        <f t="shared" si="90"/>
        <v>0.73204982249993378</v>
      </c>
      <c r="AA133" s="4">
        <f t="shared" si="90"/>
        <v>0.65145592958786691</v>
      </c>
      <c r="AB133" s="4">
        <f t="shared" si="90"/>
        <v>0.56032247880849573</v>
      </c>
      <c r="AC133" s="4">
        <f t="shared" si="90"/>
        <v>0.46411326873185343</v>
      </c>
      <c r="AD133" s="4">
        <f t="shared" si="90"/>
        <v>0.36979727595523937</v>
      </c>
      <c r="AE133" s="4">
        <f t="shared" si="90"/>
        <v>0.28393948637231203</v>
      </c>
      <c r="AF133" s="4">
        <f t="shared" si="90"/>
        <v>0.21097259161117732</v>
      </c>
      <c r="AG133" s="4">
        <f t="shared" si="87"/>
        <v>0.15253917653798199</v>
      </c>
      <c r="AH133" s="4">
        <f t="shared" si="87"/>
        <v>0.10795188737709993</v>
      </c>
      <c r="AI133" s="4">
        <f t="shared" si="87"/>
        <v>7.5176653938091809E-2</v>
      </c>
      <c r="AJ133" s="4">
        <f t="shared" si="88"/>
        <v>5.1742836177502194E-2</v>
      </c>
      <c r="AK133" s="4">
        <f t="shared" si="88"/>
        <v>3.5319190625345942E-2</v>
      </c>
      <c r="AL133" s="4">
        <f t="shared" si="88"/>
        <v>2.3969442072658165E-2</v>
      </c>
      <c r="AM133" s="4">
        <f t="shared" si="88"/>
        <v>1.6202243558389728E-2</v>
      </c>
      <c r="AN133" s="4">
        <f t="shared" si="88"/>
        <v>1.0922240564108399E-2</v>
      </c>
      <c r="AO133" s="4">
        <f t="shared" si="88"/>
        <v>7.3493212906090566E-3</v>
      </c>
      <c r="AP133" s="4">
        <f t="shared" si="88"/>
        <v>4.9390262185057265E-3</v>
      </c>
      <c r="AQ133" s="4">
        <f t="shared" si="88"/>
        <v>3.3164275492956197E-3</v>
      </c>
      <c r="AR133" s="4">
        <f t="shared" si="88"/>
        <v>2.2256362146679809E-3</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91">A117</f>
        <v>Capex vehicle</v>
      </c>
      <c r="B137" s="62">
        <f t="shared" ref="B137:B146" si="92">$B117+($C117-$B117)*(1-Q117)</f>
        <v>9950491.9809056409</v>
      </c>
      <c r="C137" s="62">
        <f t="shared" ref="C137:C146" si="93">$B117+($C117-$B117)*(1-R117)</f>
        <v>9929294.1161071844</v>
      </c>
      <c r="D137" s="62">
        <f t="shared" ref="D137:D146" si="94">$B117+($C117-$B117)*(1-S117)</f>
        <v>9899196.186845202</v>
      </c>
      <c r="E137" s="62">
        <f t="shared" ref="E137:E146" si="95">$B117+($C117-$B117)*(1-T117)</f>
        <v>9856655.6560597289</v>
      </c>
      <c r="F137" s="62">
        <f t="shared" ref="F137:F146" si="96">$B117+($C117-$B117)*(1-U117)</f>
        <v>9796929.5183316767</v>
      </c>
      <c r="G137" s="62">
        <f t="shared" ref="G137:G146" si="97">$B117+($C117-$B117)*(1-V117)</f>
        <v>9713888.5056303069</v>
      </c>
      <c r="H137" s="62">
        <f t="shared" ref="H137:H146" si="98">$B117+($C117-$B117)*(1-W117)</f>
        <v>9600042.3837871924</v>
      </c>
      <c r="I137" s="62">
        <f t="shared" ref="I137:I146" si="99">$B117+($C117-$B117)*(1-X117)</f>
        <v>9447045.3952872623</v>
      </c>
      <c r="J137" s="62">
        <f t="shared" ref="J137:J146" si="100">$B117+($C117-$B117)*(1-Y117)</f>
        <v>9247048.7744733952</v>
      </c>
      <c r="K137" s="62">
        <f t="shared" ref="K137:K146" si="101">$B117+($C117-$B117)*(1-Z117)</f>
        <v>8995186.8343747519</v>
      </c>
      <c r="L137" s="62">
        <f t="shared" ref="L137:L146" si="102">$B117+($C117-$B117)*(1-AA117)</f>
        <v>8692959.7359545007</v>
      </c>
      <c r="M137" s="62">
        <f t="shared" ref="M137:M146" si="103">$B117+($C117-$B117)*(1-AB117)</f>
        <v>8351209.2955318587</v>
      </c>
      <c r="N137" s="62">
        <f t="shared" ref="N137:N146" si="104">$B117+($C117-$B117)*(1-AC117)</f>
        <v>7990424.7577444501</v>
      </c>
      <c r="O137" s="62">
        <f t="shared" ref="O137:O146" si="105">$B117+($C117-$B117)*(1-AD117)</f>
        <v>7636739.7848321479</v>
      </c>
      <c r="P137" s="62">
        <f t="shared" ref="P137:P146" si="106">$B117+($C117-$B117)*(1-AE117)</f>
        <v>7314773.0738961697</v>
      </c>
      <c r="Q137" s="62">
        <f t="shared" ref="Q137:Q146" si="107">$B117+($C117-$B117)*(1-AF117)</f>
        <v>7041147.2185419146</v>
      </c>
      <c r="R137" s="62">
        <f t="shared" ref="R137:R146" si="108">$B117+($C117-$B117)*(1-AG117)</f>
        <v>6822021.912017433</v>
      </c>
      <c r="S137" s="62">
        <f t="shared" ref="S137:S146" si="109">$B117+($C117-$B117)*(1-AH117)</f>
        <v>6654819.5776641248</v>
      </c>
      <c r="T137" s="62">
        <f t="shared" ref="T137:T146" si="110">$B117+($C117-$B117)*(1-AI117)</f>
        <v>6531912.4522678442</v>
      </c>
      <c r="U137" s="62">
        <f t="shared" ref="U137:U146" si="111">$B117+($C117-$B117)*(1-AJ117)</f>
        <v>6444035.6356656328</v>
      </c>
      <c r="V137" s="62">
        <f t="shared" ref="V137:V146" si="112">$B117+($C117-$B117)*(1-AK117)</f>
        <v>6382446.9648450473</v>
      </c>
      <c r="W137" s="62">
        <f t="shared" ref="W137:W146" si="113">$B117+($C117-$B117)*(1-AL117)</f>
        <v>6339885.4077724684</v>
      </c>
      <c r="X137" s="62">
        <f t="shared" ref="X137:X146" si="114">$B117+($C117-$B117)*(1-AM117)</f>
        <v>6310758.4133439614</v>
      </c>
      <c r="Y137" s="62">
        <f t="shared" ref="Y137:Y146" si="115">$B117+($C117-$B117)*(1-AN117)</f>
        <v>6290958.4021154065</v>
      </c>
      <c r="Z137" s="62">
        <f t="shared" ref="Z137:Z146" si="116">$B117+($C117-$B117)*(1-AO117)</f>
        <v>6277559.9548397847</v>
      </c>
      <c r="AA137" s="62">
        <f t="shared" ref="AA137:AA146" si="117">$B117+($C117-$B117)*(1-AP117)</f>
        <v>6268521.3483193964</v>
      </c>
      <c r="AB137" s="62">
        <f t="shared" ref="AB137:AB146" si="118">$B117+($C117-$B117)*(1-AQ117)</f>
        <v>6262436.6033098586</v>
      </c>
      <c r="AC137" s="62">
        <f t="shared" ref="AC137:AC146" si="119">$B117+($C117-$B117)*(1-AR117)</f>
        <v>6258346.1358050052</v>
      </c>
    </row>
    <row r="138" spans="1:44" x14ac:dyDescent="0.25">
      <c r="A138" s="30" t="str">
        <f t="shared" si="91"/>
        <v>Residual value (vehicle)</v>
      </c>
      <c r="B138" s="62">
        <f t="shared" si="92"/>
        <v>-505775.93556100863</v>
      </c>
      <c r="C138" s="62">
        <f t="shared" si="93"/>
        <v>-508249.01978749514</v>
      </c>
      <c r="D138" s="62">
        <f t="shared" si="94"/>
        <v>-511760.44486805983</v>
      </c>
      <c r="E138" s="62">
        <f t="shared" si="95"/>
        <v>-516723.50679303159</v>
      </c>
      <c r="F138" s="62">
        <f t="shared" si="96"/>
        <v>-523691.55619463779</v>
      </c>
      <c r="G138" s="62">
        <f t="shared" si="97"/>
        <v>-533379.67434313102</v>
      </c>
      <c r="H138" s="62">
        <f t="shared" si="98"/>
        <v>-546661.72189149424</v>
      </c>
      <c r="I138" s="62">
        <f t="shared" si="99"/>
        <v>-564511.37054981932</v>
      </c>
      <c r="J138" s="62">
        <f t="shared" si="100"/>
        <v>-587844.30964477046</v>
      </c>
      <c r="K138" s="62">
        <f t="shared" si="101"/>
        <v>-617228.20265627897</v>
      </c>
      <c r="L138" s="62">
        <f t="shared" si="102"/>
        <v>-652488.03080530826</v>
      </c>
      <c r="M138" s="62">
        <f t="shared" si="103"/>
        <v>-692358.91552128317</v>
      </c>
      <c r="N138" s="62">
        <f t="shared" si="104"/>
        <v>-734450.44492981408</v>
      </c>
      <c r="O138" s="62">
        <f t="shared" si="105"/>
        <v>-775713.6917695828</v>
      </c>
      <c r="P138" s="62">
        <f t="shared" si="106"/>
        <v>-813276.4747121135</v>
      </c>
      <c r="Q138" s="62">
        <f t="shared" si="107"/>
        <v>-845199.49117010995</v>
      </c>
      <c r="R138" s="62">
        <f t="shared" si="108"/>
        <v>-870764.11026463285</v>
      </c>
      <c r="S138" s="62">
        <f t="shared" si="109"/>
        <v>-890271.04927251884</v>
      </c>
      <c r="T138" s="62">
        <f t="shared" si="110"/>
        <v>-904610.21390208486</v>
      </c>
      <c r="U138" s="62">
        <f t="shared" si="111"/>
        <v>-914862.50917234272</v>
      </c>
      <c r="V138" s="62">
        <f t="shared" si="112"/>
        <v>-922047.85410141107</v>
      </c>
      <c r="W138" s="62">
        <f t="shared" si="113"/>
        <v>-927013.36909321207</v>
      </c>
      <c r="X138" s="62">
        <f t="shared" si="114"/>
        <v>-930411.51844320446</v>
      </c>
      <c r="Y138" s="62">
        <f t="shared" si="115"/>
        <v>-932721.51975320256</v>
      </c>
      <c r="Z138" s="62">
        <f t="shared" si="116"/>
        <v>-934284.67193535855</v>
      </c>
      <c r="AA138" s="62">
        <f t="shared" si="117"/>
        <v>-935339.17602940369</v>
      </c>
      <c r="AB138" s="62">
        <f t="shared" si="118"/>
        <v>-936049.06294718315</v>
      </c>
      <c r="AC138" s="62">
        <f t="shared" si="119"/>
        <v>-936526.28415608278</v>
      </c>
    </row>
    <row r="139" spans="1:44" x14ac:dyDescent="0.25">
      <c r="A139" s="30" t="str">
        <f t="shared" si="91"/>
        <v>Capex costumization</v>
      </c>
      <c r="B139" s="62">
        <f t="shared" si="92"/>
        <v>5600000</v>
      </c>
      <c r="C139" s="62">
        <f t="shared" si="93"/>
        <v>5600000</v>
      </c>
      <c r="D139" s="62">
        <f t="shared" si="94"/>
        <v>5600000</v>
      </c>
      <c r="E139" s="62">
        <f t="shared" si="95"/>
        <v>5600000</v>
      </c>
      <c r="F139" s="62">
        <f t="shared" si="96"/>
        <v>5600000</v>
      </c>
      <c r="G139" s="62">
        <f t="shared" si="97"/>
        <v>5600000</v>
      </c>
      <c r="H139" s="62">
        <f t="shared" si="98"/>
        <v>5600000</v>
      </c>
      <c r="I139" s="62">
        <f t="shared" si="99"/>
        <v>5600000</v>
      </c>
      <c r="J139" s="62">
        <f t="shared" si="100"/>
        <v>5600000</v>
      </c>
      <c r="K139" s="62">
        <f t="shared" si="101"/>
        <v>5600000</v>
      </c>
      <c r="L139" s="62">
        <f t="shared" si="102"/>
        <v>5600000</v>
      </c>
      <c r="M139" s="62">
        <f t="shared" si="103"/>
        <v>5600000</v>
      </c>
      <c r="N139" s="62">
        <f t="shared" si="104"/>
        <v>5600000</v>
      </c>
      <c r="O139" s="62">
        <f t="shared" si="105"/>
        <v>5600000</v>
      </c>
      <c r="P139" s="62">
        <f t="shared" si="106"/>
        <v>5600000</v>
      </c>
      <c r="Q139" s="62">
        <f t="shared" si="107"/>
        <v>5600000</v>
      </c>
      <c r="R139" s="62">
        <f t="shared" si="108"/>
        <v>5600000</v>
      </c>
      <c r="S139" s="62">
        <f t="shared" si="109"/>
        <v>5600000</v>
      </c>
      <c r="T139" s="62">
        <f t="shared" si="110"/>
        <v>5600000</v>
      </c>
      <c r="U139" s="62">
        <f t="shared" si="111"/>
        <v>5600000</v>
      </c>
      <c r="V139" s="62">
        <f t="shared" si="112"/>
        <v>5600000</v>
      </c>
      <c r="W139" s="62">
        <f t="shared" si="113"/>
        <v>5600000</v>
      </c>
      <c r="X139" s="62">
        <f t="shared" si="114"/>
        <v>5600000</v>
      </c>
      <c r="Y139" s="62">
        <f t="shared" si="115"/>
        <v>5600000</v>
      </c>
      <c r="Z139" s="62">
        <f t="shared" si="116"/>
        <v>5600000</v>
      </c>
      <c r="AA139" s="62">
        <f t="shared" si="117"/>
        <v>5600000</v>
      </c>
      <c r="AB139" s="62">
        <f t="shared" si="118"/>
        <v>5600000</v>
      </c>
      <c r="AC139" s="62">
        <f t="shared" si="119"/>
        <v>5600000</v>
      </c>
    </row>
    <row r="140" spans="1:44" x14ac:dyDescent="0.25">
      <c r="A140" s="30" t="str">
        <f t="shared" si="91"/>
        <v>Residual value (costumization)</v>
      </c>
      <c r="B140" s="62">
        <f t="shared" si="92"/>
        <v>-280000</v>
      </c>
      <c r="C140" s="62">
        <f t="shared" si="93"/>
        <v>-280000</v>
      </c>
      <c r="D140" s="62">
        <f t="shared" si="94"/>
        <v>-280000</v>
      </c>
      <c r="E140" s="62">
        <f t="shared" si="95"/>
        <v>-280000</v>
      </c>
      <c r="F140" s="62">
        <f t="shared" si="96"/>
        <v>-280000</v>
      </c>
      <c r="G140" s="62">
        <f t="shared" si="97"/>
        <v>-280000</v>
      </c>
      <c r="H140" s="62">
        <f t="shared" si="98"/>
        <v>-280000</v>
      </c>
      <c r="I140" s="62">
        <f t="shared" si="99"/>
        <v>-280000</v>
      </c>
      <c r="J140" s="62">
        <f t="shared" si="100"/>
        <v>-280000</v>
      </c>
      <c r="K140" s="62">
        <f t="shared" si="101"/>
        <v>-280000</v>
      </c>
      <c r="L140" s="62">
        <f t="shared" si="102"/>
        <v>-280000</v>
      </c>
      <c r="M140" s="62">
        <f t="shared" si="103"/>
        <v>-280000</v>
      </c>
      <c r="N140" s="62">
        <f t="shared" si="104"/>
        <v>-280000</v>
      </c>
      <c r="O140" s="62">
        <f t="shared" si="105"/>
        <v>-280000</v>
      </c>
      <c r="P140" s="62">
        <f t="shared" si="106"/>
        <v>-280000</v>
      </c>
      <c r="Q140" s="62">
        <f t="shared" si="107"/>
        <v>-280000</v>
      </c>
      <c r="R140" s="62">
        <f t="shared" si="108"/>
        <v>-280000</v>
      </c>
      <c r="S140" s="62">
        <f t="shared" si="109"/>
        <v>-280000</v>
      </c>
      <c r="T140" s="62">
        <f t="shared" si="110"/>
        <v>-280000</v>
      </c>
      <c r="U140" s="62">
        <f t="shared" si="111"/>
        <v>-280000</v>
      </c>
      <c r="V140" s="62">
        <f t="shared" si="112"/>
        <v>-280000</v>
      </c>
      <c r="W140" s="62">
        <f t="shared" si="113"/>
        <v>-280000</v>
      </c>
      <c r="X140" s="62">
        <f t="shared" si="114"/>
        <v>-280000</v>
      </c>
      <c r="Y140" s="62">
        <f t="shared" si="115"/>
        <v>-280000</v>
      </c>
      <c r="Z140" s="62">
        <f t="shared" si="116"/>
        <v>-280000</v>
      </c>
      <c r="AA140" s="62">
        <f t="shared" si="117"/>
        <v>-280000</v>
      </c>
      <c r="AB140" s="62">
        <f t="shared" si="118"/>
        <v>-280000</v>
      </c>
      <c r="AC140" s="62">
        <f t="shared" si="119"/>
        <v>-280000</v>
      </c>
    </row>
    <row r="141" spans="1:44" x14ac:dyDescent="0.25">
      <c r="A141" s="30" t="str">
        <f t="shared" si="91"/>
        <v>WACC</v>
      </c>
      <c r="B141" s="62">
        <f t="shared" si="92"/>
        <v>0.06</v>
      </c>
      <c r="C141" s="62">
        <f t="shared" si="93"/>
        <v>0.06</v>
      </c>
      <c r="D141" s="62">
        <f t="shared" si="94"/>
        <v>0.06</v>
      </c>
      <c r="E141" s="62">
        <f t="shared" si="95"/>
        <v>0.06</v>
      </c>
      <c r="F141" s="62">
        <f t="shared" si="96"/>
        <v>0.06</v>
      </c>
      <c r="G141" s="62">
        <f t="shared" si="97"/>
        <v>0.06</v>
      </c>
      <c r="H141" s="62">
        <f t="shared" si="98"/>
        <v>0.06</v>
      </c>
      <c r="I141" s="62">
        <f t="shared" si="99"/>
        <v>0.06</v>
      </c>
      <c r="J141" s="62">
        <f t="shared" si="100"/>
        <v>0.06</v>
      </c>
      <c r="K141" s="62">
        <f t="shared" si="101"/>
        <v>0.06</v>
      </c>
      <c r="L141" s="62">
        <f t="shared" si="102"/>
        <v>0.06</v>
      </c>
      <c r="M141" s="62">
        <f t="shared" si="103"/>
        <v>0.06</v>
      </c>
      <c r="N141" s="62">
        <f t="shared" si="104"/>
        <v>0.06</v>
      </c>
      <c r="O141" s="62">
        <f t="shared" si="105"/>
        <v>0.06</v>
      </c>
      <c r="P141" s="62">
        <f t="shared" si="106"/>
        <v>0.06</v>
      </c>
      <c r="Q141" s="62">
        <f t="shared" si="107"/>
        <v>0.06</v>
      </c>
      <c r="R141" s="62">
        <f t="shared" si="108"/>
        <v>0.06</v>
      </c>
      <c r="S141" s="62">
        <f t="shared" si="109"/>
        <v>0.06</v>
      </c>
      <c r="T141" s="62">
        <f t="shared" si="110"/>
        <v>0.06</v>
      </c>
      <c r="U141" s="62">
        <f t="shared" si="111"/>
        <v>0.06</v>
      </c>
      <c r="V141" s="62">
        <f t="shared" si="112"/>
        <v>0.06</v>
      </c>
      <c r="W141" s="62">
        <f t="shared" si="113"/>
        <v>0.06</v>
      </c>
      <c r="X141" s="62">
        <f t="shared" si="114"/>
        <v>0.06</v>
      </c>
      <c r="Y141" s="62">
        <f t="shared" si="115"/>
        <v>0.06</v>
      </c>
      <c r="Z141" s="62">
        <f t="shared" si="116"/>
        <v>0.06</v>
      </c>
      <c r="AA141" s="62">
        <f t="shared" si="117"/>
        <v>0.06</v>
      </c>
      <c r="AB141" s="62">
        <f t="shared" si="118"/>
        <v>0.06</v>
      </c>
      <c r="AC141" s="62">
        <f t="shared" si="119"/>
        <v>0.06</v>
      </c>
    </row>
    <row r="142" spans="1:44" x14ac:dyDescent="0.25">
      <c r="A142" s="30" t="str">
        <f t="shared" si="91"/>
        <v>Opex fix (admin, crew, insurance)</v>
      </c>
      <c r="B142" s="62">
        <f t="shared" si="92"/>
        <v>620000</v>
      </c>
      <c r="C142" s="62">
        <f t="shared" si="93"/>
        <v>620000</v>
      </c>
      <c r="D142" s="62">
        <f t="shared" si="94"/>
        <v>620000</v>
      </c>
      <c r="E142" s="62">
        <f t="shared" si="95"/>
        <v>620000</v>
      </c>
      <c r="F142" s="62">
        <f t="shared" si="96"/>
        <v>620000</v>
      </c>
      <c r="G142" s="62">
        <f t="shared" si="97"/>
        <v>620000</v>
      </c>
      <c r="H142" s="62">
        <f t="shared" si="98"/>
        <v>620000</v>
      </c>
      <c r="I142" s="62">
        <f t="shared" si="99"/>
        <v>620000</v>
      </c>
      <c r="J142" s="62">
        <f t="shared" si="100"/>
        <v>620000</v>
      </c>
      <c r="K142" s="62">
        <f t="shared" si="101"/>
        <v>620000</v>
      </c>
      <c r="L142" s="62">
        <f t="shared" si="102"/>
        <v>620000</v>
      </c>
      <c r="M142" s="62">
        <f t="shared" si="103"/>
        <v>620000</v>
      </c>
      <c r="N142" s="62">
        <f t="shared" si="104"/>
        <v>620000</v>
      </c>
      <c r="O142" s="62">
        <f t="shared" si="105"/>
        <v>620000</v>
      </c>
      <c r="P142" s="62">
        <f t="shared" si="106"/>
        <v>620000</v>
      </c>
      <c r="Q142" s="62">
        <f t="shared" si="107"/>
        <v>620000</v>
      </c>
      <c r="R142" s="62">
        <f t="shared" si="108"/>
        <v>620000</v>
      </c>
      <c r="S142" s="62">
        <f t="shared" si="109"/>
        <v>620000</v>
      </c>
      <c r="T142" s="62">
        <f t="shared" si="110"/>
        <v>620000</v>
      </c>
      <c r="U142" s="62">
        <f t="shared" si="111"/>
        <v>620000</v>
      </c>
      <c r="V142" s="62">
        <f t="shared" si="112"/>
        <v>620000</v>
      </c>
      <c r="W142" s="62">
        <f t="shared" si="113"/>
        <v>620000</v>
      </c>
      <c r="X142" s="62">
        <f t="shared" si="114"/>
        <v>620000</v>
      </c>
      <c r="Y142" s="62">
        <f t="shared" si="115"/>
        <v>620000</v>
      </c>
      <c r="Z142" s="62">
        <f t="shared" si="116"/>
        <v>620000</v>
      </c>
      <c r="AA142" s="62">
        <f t="shared" si="117"/>
        <v>620000</v>
      </c>
      <c r="AB142" s="62">
        <f t="shared" si="118"/>
        <v>620000</v>
      </c>
      <c r="AC142" s="62">
        <f t="shared" si="119"/>
        <v>620000</v>
      </c>
    </row>
    <row r="143" spans="1:44" x14ac:dyDescent="0.25">
      <c r="A143" s="30" t="str">
        <f t="shared" si="91"/>
        <v>Opex maintenance &amp; repair</v>
      </c>
      <c r="B143" s="62">
        <f t="shared" si="92"/>
        <v>1293563.9575177333</v>
      </c>
      <c r="C143" s="62">
        <f t="shared" si="93"/>
        <v>1290808.235093934</v>
      </c>
      <c r="D143" s="62">
        <f t="shared" si="94"/>
        <v>1286895.5042898762</v>
      </c>
      <c r="E143" s="62">
        <f t="shared" si="95"/>
        <v>1281365.2352877648</v>
      </c>
      <c r="F143" s="62">
        <f t="shared" si="96"/>
        <v>1273600.837383118</v>
      </c>
      <c r="G143" s="62">
        <f t="shared" si="97"/>
        <v>1262805.5057319398</v>
      </c>
      <c r="H143" s="62">
        <f t="shared" si="98"/>
        <v>1248005.5098923349</v>
      </c>
      <c r="I143" s="62">
        <f t="shared" si="99"/>
        <v>1228115.9013873441</v>
      </c>
      <c r="J143" s="62">
        <f t="shared" si="100"/>
        <v>1202116.3406815415</v>
      </c>
      <c r="K143" s="62">
        <f t="shared" si="101"/>
        <v>1169374.2884687176</v>
      </c>
      <c r="L143" s="62">
        <f t="shared" si="102"/>
        <v>1130084.7656740851</v>
      </c>
      <c r="M143" s="62">
        <f t="shared" si="103"/>
        <v>1085657.2084191416</v>
      </c>
      <c r="N143" s="62">
        <f t="shared" si="104"/>
        <v>1038755.2185067786</v>
      </c>
      <c r="O143" s="62">
        <f t="shared" si="105"/>
        <v>992776.17202817916</v>
      </c>
      <c r="P143" s="62">
        <f t="shared" si="106"/>
        <v>950920.49960650213</v>
      </c>
      <c r="Q143" s="62">
        <f t="shared" si="107"/>
        <v>915349.13841044903</v>
      </c>
      <c r="R143" s="62">
        <f t="shared" si="108"/>
        <v>886862.84856226621</v>
      </c>
      <c r="S143" s="62">
        <f t="shared" si="109"/>
        <v>865126.54509633617</v>
      </c>
      <c r="T143" s="62">
        <f t="shared" si="110"/>
        <v>849148.61879481981</v>
      </c>
      <c r="U143" s="62">
        <f t="shared" si="111"/>
        <v>837724.6326365323</v>
      </c>
      <c r="V143" s="62">
        <f t="shared" si="112"/>
        <v>829718.10542985611</v>
      </c>
      <c r="W143" s="62">
        <f t="shared" si="113"/>
        <v>824185.10301042092</v>
      </c>
      <c r="X143" s="62">
        <f t="shared" si="114"/>
        <v>820398.59373471502</v>
      </c>
      <c r="Y143" s="62">
        <f t="shared" si="115"/>
        <v>817824.59227500285</v>
      </c>
      <c r="Z143" s="62">
        <f t="shared" si="116"/>
        <v>816082.79412917187</v>
      </c>
      <c r="AA143" s="62">
        <f t="shared" si="117"/>
        <v>814907.77528152149</v>
      </c>
      <c r="AB143" s="62">
        <f t="shared" si="118"/>
        <v>814116.75843028165</v>
      </c>
      <c r="AC143" s="62">
        <f t="shared" si="119"/>
        <v>813584.99765465059</v>
      </c>
    </row>
    <row r="144" spans="1:44" x14ac:dyDescent="0.25">
      <c r="A144" s="30" t="str">
        <f t="shared" si="91"/>
        <v>Opex var (mode-fees, shunting)</v>
      </c>
      <c r="B144" s="62">
        <f t="shared" si="92"/>
        <v>3.6414565826330532</v>
      </c>
      <c r="C144" s="62">
        <f t="shared" si="93"/>
        <v>3.6414565826330532</v>
      </c>
      <c r="D144" s="62">
        <f t="shared" si="94"/>
        <v>3.6414565826330532</v>
      </c>
      <c r="E144" s="62">
        <f t="shared" si="95"/>
        <v>3.6414565826330532</v>
      </c>
      <c r="F144" s="62">
        <f t="shared" si="96"/>
        <v>3.6414565826330532</v>
      </c>
      <c r="G144" s="62">
        <f t="shared" si="97"/>
        <v>3.6414565826330532</v>
      </c>
      <c r="H144" s="62">
        <f t="shared" si="98"/>
        <v>3.6414565826330532</v>
      </c>
      <c r="I144" s="62">
        <f t="shared" si="99"/>
        <v>3.6414565826330532</v>
      </c>
      <c r="J144" s="62">
        <f t="shared" si="100"/>
        <v>3.6414565826330532</v>
      </c>
      <c r="K144" s="62">
        <f t="shared" si="101"/>
        <v>3.6414565826330532</v>
      </c>
      <c r="L144" s="62">
        <f t="shared" si="102"/>
        <v>3.6414565826330532</v>
      </c>
      <c r="M144" s="62">
        <f t="shared" si="103"/>
        <v>3.6414565826330532</v>
      </c>
      <c r="N144" s="62">
        <f t="shared" si="104"/>
        <v>3.6414565826330532</v>
      </c>
      <c r="O144" s="62">
        <f t="shared" si="105"/>
        <v>3.6414565826330532</v>
      </c>
      <c r="P144" s="62">
        <f t="shared" si="106"/>
        <v>3.6414565826330532</v>
      </c>
      <c r="Q144" s="62">
        <f t="shared" si="107"/>
        <v>3.6414565826330532</v>
      </c>
      <c r="R144" s="62">
        <f t="shared" si="108"/>
        <v>3.6414565826330532</v>
      </c>
      <c r="S144" s="62">
        <f t="shared" si="109"/>
        <v>3.6414565826330532</v>
      </c>
      <c r="T144" s="62">
        <f t="shared" si="110"/>
        <v>3.6414565826330532</v>
      </c>
      <c r="U144" s="62">
        <f t="shared" si="111"/>
        <v>3.6414565826330532</v>
      </c>
      <c r="V144" s="62">
        <f t="shared" si="112"/>
        <v>3.6414565826330532</v>
      </c>
      <c r="W144" s="62">
        <f t="shared" si="113"/>
        <v>3.6414565826330532</v>
      </c>
      <c r="X144" s="62">
        <f t="shared" si="114"/>
        <v>3.6414565826330532</v>
      </c>
      <c r="Y144" s="62">
        <f t="shared" si="115"/>
        <v>3.6414565826330532</v>
      </c>
      <c r="Z144" s="62">
        <f t="shared" si="116"/>
        <v>3.6414565826330532</v>
      </c>
      <c r="AA144" s="62">
        <f t="shared" si="117"/>
        <v>3.6414565826330532</v>
      </c>
      <c r="AB144" s="62">
        <f t="shared" si="118"/>
        <v>3.6414565826330532</v>
      </c>
      <c r="AC144" s="62">
        <f t="shared" si="119"/>
        <v>3.6414565826330532</v>
      </c>
    </row>
    <row r="145" spans="1:29" x14ac:dyDescent="0.25">
      <c r="A145" s="30" t="str">
        <f t="shared" si="91"/>
        <v>Fuel Economy</v>
      </c>
      <c r="B145" s="62">
        <f t="shared" si="92"/>
        <v>33.590199999999996</v>
      </c>
      <c r="C145" s="62">
        <f t="shared" si="93"/>
        <v>33.590199999999996</v>
      </c>
      <c r="D145" s="62">
        <f t="shared" si="94"/>
        <v>33.590199999999996</v>
      </c>
      <c r="E145" s="62">
        <f t="shared" si="95"/>
        <v>33.590199999999996</v>
      </c>
      <c r="F145" s="62">
        <f t="shared" si="96"/>
        <v>33.590199999999996</v>
      </c>
      <c r="G145" s="62">
        <f t="shared" si="97"/>
        <v>33.590199999999996</v>
      </c>
      <c r="H145" s="62">
        <f t="shared" si="98"/>
        <v>33.590199999999996</v>
      </c>
      <c r="I145" s="62">
        <f t="shared" si="99"/>
        <v>33.590199999999996</v>
      </c>
      <c r="J145" s="62">
        <f t="shared" si="100"/>
        <v>33.590199999999996</v>
      </c>
      <c r="K145" s="62">
        <f t="shared" si="101"/>
        <v>33.590199999999996</v>
      </c>
      <c r="L145" s="62">
        <f t="shared" si="102"/>
        <v>33.590199999999996</v>
      </c>
      <c r="M145" s="62">
        <f t="shared" si="103"/>
        <v>33.590199999999996</v>
      </c>
      <c r="N145" s="62">
        <f t="shared" si="104"/>
        <v>33.590199999999996</v>
      </c>
      <c r="O145" s="62">
        <f t="shared" si="105"/>
        <v>33.590199999999996</v>
      </c>
      <c r="P145" s="62">
        <f t="shared" si="106"/>
        <v>33.590199999999996</v>
      </c>
      <c r="Q145" s="62">
        <f t="shared" si="107"/>
        <v>33.590199999999996</v>
      </c>
      <c r="R145" s="62">
        <f t="shared" si="108"/>
        <v>33.590199999999996</v>
      </c>
      <c r="S145" s="62">
        <f t="shared" si="109"/>
        <v>33.590199999999996</v>
      </c>
      <c r="T145" s="62">
        <f t="shared" si="110"/>
        <v>33.590199999999996</v>
      </c>
      <c r="U145" s="62">
        <f t="shared" si="111"/>
        <v>33.590199999999996</v>
      </c>
      <c r="V145" s="62">
        <f t="shared" si="112"/>
        <v>33.590199999999996</v>
      </c>
      <c r="W145" s="62">
        <f t="shared" si="113"/>
        <v>33.590199999999996</v>
      </c>
      <c r="X145" s="62">
        <f t="shared" si="114"/>
        <v>33.590199999999996</v>
      </c>
      <c r="Y145" s="62">
        <f t="shared" si="115"/>
        <v>33.590199999999996</v>
      </c>
      <c r="Z145" s="62">
        <f t="shared" si="116"/>
        <v>33.590199999999996</v>
      </c>
      <c r="AA145" s="62">
        <f t="shared" si="117"/>
        <v>33.590199999999996</v>
      </c>
      <c r="AB145" s="62">
        <f t="shared" si="118"/>
        <v>33.590199999999996</v>
      </c>
      <c r="AC145" s="62">
        <f t="shared" si="119"/>
        <v>33.590199999999996</v>
      </c>
    </row>
    <row r="146" spans="1:29" x14ac:dyDescent="0.25">
      <c r="A146" s="30" t="str">
        <f t="shared" si="91"/>
        <v>Fuel Cost</v>
      </c>
      <c r="B146" s="62">
        <f t="shared" si="92"/>
        <v>0.1331013876427829</v>
      </c>
      <c r="C146" s="62">
        <f t="shared" si="93"/>
        <v>0.13284065209015961</v>
      </c>
      <c r="D146" s="62">
        <f t="shared" si="94"/>
        <v>0.13247044498234223</v>
      </c>
      <c r="E146" s="62">
        <f t="shared" si="95"/>
        <v>0.13194719281007408</v>
      </c>
      <c r="F146" s="62">
        <f t="shared" si="96"/>
        <v>0.13121255620046077</v>
      </c>
      <c r="G146" s="62">
        <f t="shared" si="97"/>
        <v>0.13019114463175094</v>
      </c>
      <c r="H146" s="62">
        <f t="shared" si="98"/>
        <v>0.12879082758213251</v>
      </c>
      <c r="I146" s="62">
        <f t="shared" si="99"/>
        <v>0.126908951519354</v>
      </c>
      <c r="J146" s="62">
        <f t="shared" si="100"/>
        <v>0.12444897595358409</v>
      </c>
      <c r="K146" s="62">
        <f t="shared" si="101"/>
        <v>0.12135105251833415</v>
      </c>
      <c r="L146" s="62">
        <f t="shared" si="102"/>
        <v>0.11763363332194038</v>
      </c>
      <c r="M146" s="62">
        <f t="shared" si="103"/>
        <v>0.11343007363373329</v>
      </c>
      <c r="N146" s="62">
        <f t="shared" si="104"/>
        <v>0.10899239291766451</v>
      </c>
      <c r="O146" s="62">
        <f t="shared" si="105"/>
        <v>0.10464203745763898</v>
      </c>
      <c r="P146" s="62">
        <f t="shared" si="106"/>
        <v>0.10068181933659913</v>
      </c>
      <c r="Q146" s="62">
        <f t="shared" si="107"/>
        <v>9.7316197879620536E-2</v>
      </c>
      <c r="R146" s="62">
        <f t="shared" si="108"/>
        <v>9.4620937841233446E-2</v>
      </c>
      <c r="S146" s="62">
        <f t="shared" si="109"/>
        <v>9.2564334807767046E-2</v>
      </c>
      <c r="T146" s="62">
        <f t="shared" si="110"/>
        <v>9.1052566638367527E-2</v>
      </c>
      <c r="U146" s="62">
        <f t="shared" si="111"/>
        <v>8.9971674267489546E-2</v>
      </c>
      <c r="V146" s="62">
        <f t="shared" si="112"/>
        <v>8.9214128341311663E-2</v>
      </c>
      <c r="W146" s="62">
        <f t="shared" si="113"/>
        <v>8.8690617543911193E-2</v>
      </c>
      <c r="X146" s="62">
        <f t="shared" si="114"/>
        <v>8.833235301770638E-2</v>
      </c>
      <c r="Y146" s="62">
        <f t="shared" si="115"/>
        <v>8.8088811183719362E-2</v>
      </c>
      <c r="Z146" s="62">
        <f t="shared" si="116"/>
        <v>8.7924009134648928E-2</v>
      </c>
      <c r="AA146" s="62">
        <f t="shared" si="117"/>
        <v>8.7812833500289317E-2</v>
      </c>
      <c r="AB146" s="62">
        <f t="shared" si="118"/>
        <v>8.7737990615512101E-2</v>
      </c>
      <c r="AC146" s="62">
        <f t="shared" si="119"/>
        <v>8.768767751485286E-2</v>
      </c>
    </row>
    <row r="147" spans="1:29" x14ac:dyDescent="0.25">
      <c r="A147" s="30" t="str">
        <f t="shared" ref="A147" si="120">A127</f>
        <v>Emission Cost</v>
      </c>
      <c r="B147" s="66">
        <f>$B127+($C127-$B127)*(1-Q127)</f>
        <v>7.7616989698723951E-2</v>
      </c>
      <c r="C147" s="66">
        <f t="shared" ref="C147:AC147" si="121">$B127+($C127-$B127)*(1-R127)</f>
        <v>7.7543079413020161E-2</v>
      </c>
      <c r="D147" s="66">
        <f t="shared" si="121"/>
        <v>7.7437278485254071E-2</v>
      </c>
      <c r="E147" s="66">
        <f t="shared" si="121"/>
        <v>7.7285922817830824E-2</v>
      </c>
      <c r="F147" s="66">
        <f t="shared" si="121"/>
        <v>7.7069602170796822E-2</v>
      </c>
      <c r="G147" s="66">
        <f t="shared" si="121"/>
        <v>7.6760865858648872E-2</v>
      </c>
      <c r="H147" s="66">
        <f t="shared" si="121"/>
        <v>7.6321149608842037E-2</v>
      </c>
      <c r="I147" s="66">
        <f t="shared" si="121"/>
        <v>7.5696815568227049E-2</v>
      </c>
      <c r="J147" s="66">
        <f t="shared" si="121"/>
        <v>7.4814379396488564E-2</v>
      </c>
      <c r="K147" s="66">
        <f t="shared" si="121"/>
        <v>7.3575454931835024E-2</v>
      </c>
      <c r="L147" s="66">
        <f t="shared" si="121"/>
        <v>7.1852900182459184E-2</v>
      </c>
      <c r="M147" s="66">
        <f t="shared" si="121"/>
        <v>6.9491342061966249E-2</v>
      </c>
      <c r="N147" s="66">
        <f t="shared" si="121"/>
        <v>6.6317661002361278E-2</v>
      </c>
      <c r="O147" s="66">
        <f t="shared" si="121"/>
        <v>6.2169046747367229E-2</v>
      </c>
      <c r="P147" s="66">
        <f t="shared" si="121"/>
        <v>5.694456830002316E-2</v>
      </c>
      <c r="Q147" s="66">
        <f t="shared" si="121"/>
        <v>5.0675344131887581E-2</v>
      </c>
      <c r="R147" s="66">
        <f t="shared" si="121"/>
        <v>4.3586270611453572E-2</v>
      </c>
      <c r="S147" s="66">
        <f t="shared" si="121"/>
        <v>3.6102364781668152E-2</v>
      </c>
      <c r="T147" s="66">
        <f t="shared" si="121"/>
        <v>2.8765728220359679E-2</v>
      </c>
      <c r="U147" s="66">
        <f t="shared" si="121"/>
        <v>2.2087036944542227E-2</v>
      </c>
      <c r="V147" s="66">
        <f t="shared" si="121"/>
        <v>1.6411100424024307E-2</v>
      </c>
      <c r="W147" s="66">
        <f t="shared" si="121"/>
        <v>1.1865691773727857E-2</v>
      </c>
      <c r="X147" s="66">
        <f t="shared" si="121"/>
        <v>8.3973432339193438E-3</v>
      </c>
      <c r="Y147" s="66">
        <f t="shared" si="121"/>
        <v>5.84782889520509E-3</v>
      </c>
      <c r="Z147" s="66">
        <f t="shared" si="121"/>
        <v>4.0249630259926034E-3</v>
      </c>
      <c r="AA147" s="66">
        <f t="shared" si="121"/>
        <v>2.747403251869146E-3</v>
      </c>
      <c r="AB147" s="66">
        <f t="shared" si="121"/>
        <v>1.8645309229892715E-3</v>
      </c>
      <c r="AC147" s="66">
        <f t="shared" si="121"/>
        <v>1.2603373931211054E-3</v>
      </c>
    </row>
    <row r="148" spans="1:29" x14ac:dyDescent="0.25">
      <c r="A148" s="30" t="str">
        <f>A128</f>
        <v>Lifetime vehicle</v>
      </c>
      <c r="B148" s="62">
        <f>$B128+($C128-$B128)*(1-Q128)</f>
        <v>20</v>
      </c>
      <c r="C148" s="62">
        <f t="shared" ref="C148:L150" si="122">$B128+($C128-$B128)*(1-R128)</f>
        <v>20</v>
      </c>
      <c r="D148" s="62">
        <f t="shared" si="122"/>
        <v>20</v>
      </c>
      <c r="E148" s="62">
        <f t="shared" si="122"/>
        <v>20</v>
      </c>
      <c r="F148" s="62">
        <f t="shared" si="122"/>
        <v>20</v>
      </c>
      <c r="G148" s="62">
        <f t="shared" si="122"/>
        <v>20</v>
      </c>
      <c r="H148" s="62">
        <f t="shared" si="122"/>
        <v>20</v>
      </c>
      <c r="I148" s="62">
        <f t="shared" si="122"/>
        <v>20</v>
      </c>
      <c r="J148" s="62">
        <f t="shared" si="122"/>
        <v>20</v>
      </c>
      <c r="K148" s="62">
        <f t="shared" si="122"/>
        <v>20</v>
      </c>
      <c r="L148" s="62">
        <f t="shared" si="122"/>
        <v>20</v>
      </c>
      <c r="M148" s="62">
        <f t="shared" ref="M148:V150" si="123">$B128+($C128-$B128)*(1-AB128)</f>
        <v>20</v>
      </c>
      <c r="N148" s="62">
        <f t="shared" si="123"/>
        <v>20</v>
      </c>
      <c r="O148" s="62">
        <f t="shared" si="123"/>
        <v>20</v>
      </c>
      <c r="P148" s="62">
        <f t="shared" si="123"/>
        <v>20</v>
      </c>
      <c r="Q148" s="62">
        <f t="shared" si="123"/>
        <v>20</v>
      </c>
      <c r="R148" s="62">
        <f t="shared" si="123"/>
        <v>20</v>
      </c>
      <c r="S148" s="62">
        <f t="shared" si="123"/>
        <v>20</v>
      </c>
      <c r="T148" s="62">
        <f t="shared" si="123"/>
        <v>20</v>
      </c>
      <c r="U148" s="62">
        <f t="shared" si="123"/>
        <v>20</v>
      </c>
      <c r="V148" s="62">
        <f t="shared" si="123"/>
        <v>20</v>
      </c>
      <c r="W148" s="62">
        <f t="shared" ref="W148:AC150" si="124">$B128+($C128-$B128)*(1-AL128)</f>
        <v>20</v>
      </c>
      <c r="X148" s="62">
        <f t="shared" si="124"/>
        <v>20</v>
      </c>
      <c r="Y148" s="62">
        <f t="shared" si="124"/>
        <v>20</v>
      </c>
      <c r="Z148" s="62">
        <f t="shared" si="124"/>
        <v>20</v>
      </c>
      <c r="AA148" s="62">
        <f t="shared" si="124"/>
        <v>20</v>
      </c>
      <c r="AB148" s="62">
        <f t="shared" si="124"/>
        <v>20</v>
      </c>
      <c r="AC148" s="62">
        <f t="shared" si="124"/>
        <v>20</v>
      </c>
    </row>
    <row r="149" spans="1:29" x14ac:dyDescent="0.25">
      <c r="A149" s="30" t="str">
        <f>A129</f>
        <v>Lifetime costumization</v>
      </c>
      <c r="B149" s="62">
        <f>$B129+($C129-$B129)*(1-Q129)</f>
        <v>30</v>
      </c>
      <c r="C149" s="62">
        <f t="shared" si="122"/>
        <v>30</v>
      </c>
      <c r="D149" s="62">
        <f t="shared" si="122"/>
        <v>30</v>
      </c>
      <c r="E149" s="62">
        <f t="shared" si="122"/>
        <v>30</v>
      </c>
      <c r="F149" s="62">
        <f t="shared" si="122"/>
        <v>30</v>
      </c>
      <c r="G149" s="62">
        <f t="shared" si="122"/>
        <v>30</v>
      </c>
      <c r="H149" s="62">
        <f t="shared" si="122"/>
        <v>30</v>
      </c>
      <c r="I149" s="62">
        <f t="shared" si="122"/>
        <v>30</v>
      </c>
      <c r="J149" s="62">
        <f t="shared" si="122"/>
        <v>30</v>
      </c>
      <c r="K149" s="62">
        <f t="shared" si="122"/>
        <v>30</v>
      </c>
      <c r="L149" s="62">
        <f t="shared" si="122"/>
        <v>30</v>
      </c>
      <c r="M149" s="62">
        <f t="shared" si="123"/>
        <v>30</v>
      </c>
      <c r="N149" s="62">
        <f t="shared" si="123"/>
        <v>30</v>
      </c>
      <c r="O149" s="62">
        <f t="shared" si="123"/>
        <v>30</v>
      </c>
      <c r="P149" s="62">
        <f t="shared" si="123"/>
        <v>30</v>
      </c>
      <c r="Q149" s="62">
        <f t="shared" si="123"/>
        <v>30</v>
      </c>
      <c r="R149" s="62">
        <f t="shared" si="123"/>
        <v>30</v>
      </c>
      <c r="S149" s="62">
        <f t="shared" si="123"/>
        <v>30</v>
      </c>
      <c r="T149" s="62">
        <f t="shared" si="123"/>
        <v>30</v>
      </c>
      <c r="U149" s="62">
        <f t="shared" si="123"/>
        <v>30</v>
      </c>
      <c r="V149" s="62">
        <f t="shared" si="123"/>
        <v>30</v>
      </c>
      <c r="W149" s="62">
        <f t="shared" si="124"/>
        <v>30</v>
      </c>
      <c r="X149" s="62">
        <f t="shared" si="124"/>
        <v>30</v>
      </c>
      <c r="Y149" s="62">
        <f t="shared" si="124"/>
        <v>30</v>
      </c>
      <c r="Z149" s="62">
        <f t="shared" si="124"/>
        <v>30</v>
      </c>
      <c r="AA149" s="62">
        <f t="shared" si="124"/>
        <v>30</v>
      </c>
      <c r="AB149" s="62">
        <f t="shared" si="124"/>
        <v>30</v>
      </c>
      <c r="AC149" s="62">
        <f t="shared" si="124"/>
        <v>30</v>
      </c>
    </row>
    <row r="150" spans="1:29" x14ac:dyDescent="0.25">
      <c r="A150" s="30" t="str">
        <f>A130</f>
        <v>Tonnage .</v>
      </c>
      <c r="B150" s="62">
        <f>$B130+($C130-$B130)*(1-Q130)</f>
        <v>2240</v>
      </c>
      <c r="C150" s="62">
        <f t="shared" si="122"/>
        <v>2240</v>
      </c>
      <c r="D150" s="62">
        <f t="shared" si="122"/>
        <v>2240</v>
      </c>
      <c r="E150" s="62">
        <f t="shared" si="122"/>
        <v>2240</v>
      </c>
      <c r="F150" s="62">
        <f t="shared" si="122"/>
        <v>2240</v>
      </c>
      <c r="G150" s="62">
        <f t="shared" si="122"/>
        <v>2240</v>
      </c>
      <c r="H150" s="62">
        <f t="shared" si="122"/>
        <v>2240</v>
      </c>
      <c r="I150" s="62">
        <f t="shared" si="122"/>
        <v>2240</v>
      </c>
      <c r="J150" s="62">
        <f t="shared" si="122"/>
        <v>2240</v>
      </c>
      <c r="K150" s="62">
        <f t="shared" si="122"/>
        <v>2240</v>
      </c>
      <c r="L150" s="62">
        <f t="shared" si="122"/>
        <v>2240</v>
      </c>
      <c r="M150" s="62">
        <f t="shared" si="123"/>
        <v>2240</v>
      </c>
      <c r="N150" s="62">
        <f t="shared" si="123"/>
        <v>2240</v>
      </c>
      <c r="O150" s="62">
        <f t="shared" si="123"/>
        <v>2240</v>
      </c>
      <c r="P150" s="62">
        <f t="shared" si="123"/>
        <v>2240</v>
      </c>
      <c r="Q150" s="62">
        <f t="shared" si="123"/>
        <v>2240</v>
      </c>
      <c r="R150" s="62">
        <f t="shared" si="123"/>
        <v>2240</v>
      </c>
      <c r="S150" s="62">
        <f t="shared" si="123"/>
        <v>2240</v>
      </c>
      <c r="T150" s="62">
        <f t="shared" si="123"/>
        <v>2240</v>
      </c>
      <c r="U150" s="62">
        <f t="shared" si="123"/>
        <v>2240</v>
      </c>
      <c r="V150" s="62">
        <f t="shared" si="123"/>
        <v>2240</v>
      </c>
      <c r="W150" s="62">
        <f t="shared" si="124"/>
        <v>2240</v>
      </c>
      <c r="X150" s="62">
        <f t="shared" si="124"/>
        <v>2240</v>
      </c>
      <c r="Y150" s="62">
        <f t="shared" si="124"/>
        <v>2240</v>
      </c>
      <c r="Z150" s="62">
        <f t="shared" si="124"/>
        <v>2240</v>
      </c>
      <c r="AA150" s="62">
        <f t="shared" si="124"/>
        <v>2240</v>
      </c>
      <c r="AB150" s="62">
        <f t="shared" si="124"/>
        <v>2240</v>
      </c>
      <c r="AC150" s="62">
        <f t="shared" si="124"/>
        <v>2240</v>
      </c>
    </row>
    <row r="151" spans="1:29" x14ac:dyDescent="0.25">
      <c r="A151" s="30" t="str">
        <f>A131</f>
        <v>Market failure (av. utilization)</v>
      </c>
      <c r="B151" s="62">
        <f t="shared" ref="B151:K152" si="125">($B131+($C131-$B131)*(1-Q131))*B$44</f>
        <v>955.73333333333335</v>
      </c>
      <c r="C151" s="62">
        <f t="shared" si="125"/>
        <v>955.73333333333335</v>
      </c>
      <c r="D151" s="62">
        <f t="shared" si="125"/>
        <v>955.73333333333335</v>
      </c>
      <c r="E151" s="62">
        <f t="shared" si="125"/>
        <v>955.73333333333335</v>
      </c>
      <c r="F151" s="62">
        <f t="shared" si="125"/>
        <v>955.73333333333335</v>
      </c>
      <c r="G151" s="62">
        <f t="shared" si="125"/>
        <v>955.73333333333335</v>
      </c>
      <c r="H151" s="62">
        <f t="shared" si="125"/>
        <v>955.73333333333335</v>
      </c>
      <c r="I151" s="62">
        <f t="shared" si="125"/>
        <v>955.73333333333335</v>
      </c>
      <c r="J151" s="62">
        <f t="shared" si="125"/>
        <v>955.73333333333335</v>
      </c>
      <c r="K151" s="62">
        <f t="shared" si="125"/>
        <v>955.73333333333335</v>
      </c>
      <c r="L151" s="62">
        <f t="shared" ref="L151:U152" si="126">($B131+($C131-$B131)*(1-AA131))*L$44</f>
        <v>955.73333333333335</v>
      </c>
      <c r="M151" s="62">
        <f t="shared" si="126"/>
        <v>955.73333333333335</v>
      </c>
      <c r="N151" s="62">
        <f t="shared" si="126"/>
        <v>955.73333333333335</v>
      </c>
      <c r="O151" s="62">
        <f t="shared" si="126"/>
        <v>955.73333333333335</v>
      </c>
      <c r="P151" s="62">
        <f t="shared" si="126"/>
        <v>955.73333333333335</v>
      </c>
      <c r="Q151" s="62">
        <f t="shared" si="126"/>
        <v>955.73333333333335</v>
      </c>
      <c r="R151" s="62">
        <f t="shared" si="126"/>
        <v>955.73333333333335</v>
      </c>
      <c r="S151" s="62">
        <f t="shared" si="126"/>
        <v>955.73333333333335</v>
      </c>
      <c r="T151" s="62">
        <f t="shared" si="126"/>
        <v>955.73333333333335</v>
      </c>
      <c r="U151" s="62">
        <f t="shared" si="126"/>
        <v>955.73333333333335</v>
      </c>
      <c r="V151" s="62">
        <f t="shared" ref="V151:AC152" si="127">($B131+($C131-$B131)*(1-AK131))*V$44</f>
        <v>955.73333333333335</v>
      </c>
      <c r="W151" s="62">
        <f t="shared" si="127"/>
        <v>955.73333333333335</v>
      </c>
      <c r="X151" s="62">
        <f t="shared" si="127"/>
        <v>955.73333333333335</v>
      </c>
      <c r="Y151" s="62">
        <f t="shared" si="127"/>
        <v>955.73333333333335</v>
      </c>
      <c r="Z151" s="62">
        <f t="shared" si="127"/>
        <v>955.73333333333335</v>
      </c>
      <c r="AA151" s="62">
        <f t="shared" si="127"/>
        <v>955.73333333333335</v>
      </c>
      <c r="AB151" s="62">
        <f t="shared" si="127"/>
        <v>955.73333333333335</v>
      </c>
      <c r="AC151" s="62">
        <f t="shared" si="127"/>
        <v>955.73333333333335</v>
      </c>
    </row>
    <row r="152" spans="1:29" x14ac:dyDescent="0.25">
      <c r="A152" s="30" t="s">
        <v>73</v>
      </c>
      <c r="B152" s="62">
        <f t="shared" si="125"/>
        <v>79.471914462993496</v>
      </c>
      <c r="C152" s="62">
        <f t="shared" si="125"/>
        <v>79.245803905143291</v>
      </c>
      <c r="D152" s="62">
        <f t="shared" si="125"/>
        <v>78.924759326348806</v>
      </c>
      <c r="E152" s="62">
        <f t="shared" si="125"/>
        <v>78.470993664637106</v>
      </c>
      <c r="F152" s="62">
        <f t="shared" si="125"/>
        <v>77.833914862204551</v>
      </c>
      <c r="G152" s="62">
        <f t="shared" si="125"/>
        <v>76.948144060056592</v>
      </c>
      <c r="H152" s="62">
        <f t="shared" si="125"/>
        <v>75.733785427063381</v>
      </c>
      <c r="I152" s="62">
        <f t="shared" si="125"/>
        <v>74.101817549730796</v>
      </c>
      <c r="J152" s="62">
        <f t="shared" si="125"/>
        <v>71.968520261049548</v>
      </c>
      <c r="K152" s="62">
        <f t="shared" si="125"/>
        <v>69.281992899997348</v>
      </c>
      <c r="L152" s="62">
        <f t="shared" si="126"/>
        <v>66.058237183514677</v>
      </c>
      <c r="M152" s="62">
        <f t="shared" si="126"/>
        <v>62.412899152339826</v>
      </c>
      <c r="N152" s="62">
        <f t="shared" si="126"/>
        <v>58.564530749274141</v>
      </c>
      <c r="O152" s="62">
        <f t="shared" si="126"/>
        <v>54.79189103820957</v>
      </c>
      <c r="P152" s="62">
        <f t="shared" si="126"/>
        <v>51.357579454892473</v>
      </c>
      <c r="Q152" s="62">
        <f t="shared" si="126"/>
        <v>48.438903664447089</v>
      </c>
      <c r="R152" s="62">
        <f t="shared" si="126"/>
        <v>46.101567061519283</v>
      </c>
      <c r="S152" s="62">
        <f t="shared" si="126"/>
        <v>44.318075495083995</v>
      </c>
      <c r="T152" s="62">
        <f t="shared" si="126"/>
        <v>43.007066157523667</v>
      </c>
      <c r="U152" s="62">
        <f t="shared" si="126"/>
        <v>42.069713447100085</v>
      </c>
      <c r="V152" s="62">
        <f t="shared" si="127"/>
        <v>41.412767625013835</v>
      </c>
      <c r="W152" s="62">
        <f t="shared" si="127"/>
        <v>40.958777682906323</v>
      </c>
      <c r="X152" s="62">
        <f t="shared" si="127"/>
        <v>40.648089742335586</v>
      </c>
      <c r="Y152" s="62">
        <f t="shared" si="127"/>
        <v>40.43688962256433</v>
      </c>
      <c r="Z152" s="62">
        <f t="shared" si="127"/>
        <v>40.29397285162436</v>
      </c>
      <c r="AA152" s="62">
        <f t="shared" si="127"/>
        <v>40.197561048740226</v>
      </c>
      <c r="AB152" s="62">
        <f t="shared" si="127"/>
        <v>40.132657101971823</v>
      </c>
      <c r="AC152" s="62">
        <f t="shared" si="127"/>
        <v>40.08902544858671</v>
      </c>
    </row>
    <row r="153" spans="1:29" x14ac:dyDescent="0.25">
      <c r="A153" s="30" t="str">
        <f>A133</f>
        <v>Annual Mileage</v>
      </c>
      <c r="B153" s="62">
        <f t="shared" ref="B153:AC153" si="128">$B133+($C133-$B133)*(1-Q133)</f>
        <v>178500</v>
      </c>
      <c r="C153" s="62">
        <f t="shared" si="128"/>
        <v>178500</v>
      </c>
      <c r="D153" s="62">
        <f t="shared" si="128"/>
        <v>178500</v>
      </c>
      <c r="E153" s="62">
        <f t="shared" si="128"/>
        <v>178500</v>
      </c>
      <c r="F153" s="62">
        <f t="shared" si="128"/>
        <v>178500</v>
      </c>
      <c r="G153" s="62">
        <f t="shared" si="128"/>
        <v>178500</v>
      </c>
      <c r="H153" s="62">
        <f t="shared" si="128"/>
        <v>178500</v>
      </c>
      <c r="I153" s="62">
        <f t="shared" si="128"/>
        <v>178500</v>
      </c>
      <c r="J153" s="62">
        <f t="shared" si="128"/>
        <v>178500</v>
      </c>
      <c r="K153" s="62">
        <f t="shared" si="128"/>
        <v>178500</v>
      </c>
      <c r="L153" s="62">
        <f t="shared" si="128"/>
        <v>178500</v>
      </c>
      <c r="M153" s="62">
        <f t="shared" si="128"/>
        <v>178500</v>
      </c>
      <c r="N153" s="62">
        <f t="shared" si="128"/>
        <v>178500</v>
      </c>
      <c r="O153" s="62">
        <f t="shared" si="128"/>
        <v>178500</v>
      </c>
      <c r="P153" s="62">
        <f t="shared" si="128"/>
        <v>178500</v>
      </c>
      <c r="Q153" s="62">
        <f t="shared" si="128"/>
        <v>178500</v>
      </c>
      <c r="R153" s="62">
        <f t="shared" si="128"/>
        <v>178500</v>
      </c>
      <c r="S153" s="62">
        <f t="shared" si="128"/>
        <v>178500</v>
      </c>
      <c r="T153" s="62">
        <f t="shared" si="128"/>
        <v>178500</v>
      </c>
      <c r="U153" s="62">
        <f t="shared" si="128"/>
        <v>178500</v>
      </c>
      <c r="V153" s="62">
        <f t="shared" si="128"/>
        <v>178500</v>
      </c>
      <c r="W153" s="62">
        <f t="shared" si="128"/>
        <v>178500</v>
      </c>
      <c r="X153" s="62">
        <f t="shared" si="128"/>
        <v>178500</v>
      </c>
      <c r="Y153" s="62">
        <f t="shared" si="128"/>
        <v>178500</v>
      </c>
      <c r="Z153" s="62">
        <f t="shared" si="128"/>
        <v>178500</v>
      </c>
      <c r="AA153" s="62">
        <f t="shared" si="128"/>
        <v>178500</v>
      </c>
      <c r="AB153" s="62">
        <f t="shared" si="128"/>
        <v>178500</v>
      </c>
      <c r="AC153" s="62">
        <f t="shared" si="128"/>
        <v>178500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867529.23505697085</v>
      </c>
      <c r="C156" s="63">
        <f t="shared" ref="C156:AC156" si="129">((1+C141)^C148)*C141/(((1+C141)^C148)-1)*(C137)</f>
        <v>865681.10860566224</v>
      </c>
      <c r="D156" s="63">
        <f t="shared" si="129"/>
        <v>863057.03397703567</v>
      </c>
      <c r="E156" s="63">
        <f t="shared" si="129"/>
        <v>859348.15664694412</v>
      </c>
      <c r="F156" s="63">
        <f t="shared" si="129"/>
        <v>854140.95978918544</v>
      </c>
      <c r="G156" s="63">
        <f t="shared" si="129"/>
        <v>846901.06588590739</v>
      </c>
      <c r="H156" s="63">
        <f t="shared" si="129"/>
        <v>836975.44218948286</v>
      </c>
      <c r="I156" s="63">
        <f t="shared" si="129"/>
        <v>823636.46752832399</v>
      </c>
      <c r="J156" s="63">
        <f t="shared" si="129"/>
        <v>806199.8507457996</v>
      </c>
      <c r="K156" s="63">
        <f t="shared" si="129"/>
        <v>784241.37907896913</v>
      </c>
      <c r="L156" s="63">
        <f t="shared" si="129"/>
        <v>757891.84339680034</v>
      </c>
      <c r="M156" s="63">
        <f t="shared" si="129"/>
        <v>728096.48265190842</v>
      </c>
      <c r="N156" s="63">
        <f t="shared" si="129"/>
        <v>696641.64256081509</v>
      </c>
      <c r="O156" s="63">
        <f t="shared" si="129"/>
        <v>665805.77488808637</v>
      </c>
      <c r="P156" s="63">
        <f t="shared" si="129"/>
        <v>637735.24983383913</v>
      </c>
      <c r="Q156" s="63">
        <f t="shared" si="129"/>
        <v>613879.3008573663</v>
      </c>
      <c r="R156" s="63">
        <f t="shared" si="129"/>
        <v>594774.95808561263</v>
      </c>
      <c r="S156" s="63">
        <f t="shared" si="129"/>
        <v>580197.49663952412</v>
      </c>
      <c r="T156" s="63">
        <f t="shared" si="129"/>
        <v>569481.893362551</v>
      </c>
      <c r="U156" s="63">
        <f t="shared" si="129"/>
        <v>561820.39203855116</v>
      </c>
      <c r="V156" s="63">
        <f t="shared" si="129"/>
        <v>556450.81105826527</v>
      </c>
      <c r="W156" s="63">
        <f t="shared" si="129"/>
        <v>552740.10056064755</v>
      </c>
      <c r="X156" s="63">
        <f t="shared" si="129"/>
        <v>550200.67645533092</v>
      </c>
      <c r="Y156" s="63">
        <f t="shared" si="129"/>
        <v>548474.42124823271</v>
      </c>
      <c r="Z156" s="63">
        <f t="shared" si="129"/>
        <v>547306.28355832992</v>
      </c>
      <c r="AA156" s="63">
        <f t="shared" si="129"/>
        <v>546518.25665316184</v>
      </c>
      <c r="AB156" s="63">
        <f t="shared" si="129"/>
        <v>545987.76085518813</v>
      </c>
      <c r="AC156" s="63">
        <f t="shared" si="129"/>
        <v>545631.13525794924</v>
      </c>
    </row>
    <row r="157" spans="1:29" x14ac:dyDescent="0.25">
      <c r="A157" s="30" t="str">
        <f>A138</f>
        <v>Residual value (vehicle)</v>
      </c>
      <c r="B157" s="62">
        <f>((1+B141)^B148)*B141/(((1+B141)^B148)-1)*(B138)</f>
        <v>-44095.850871439077</v>
      </c>
      <c r="C157" s="62">
        <f t="shared" ref="C157:AC157" si="130">((1+C141)^C148)*C141/(((1+C141)^C148)-1)*(C138)</f>
        <v>-44311.465624091747</v>
      </c>
      <c r="D157" s="62">
        <f t="shared" si="130"/>
        <v>-44617.607664098185</v>
      </c>
      <c r="E157" s="62">
        <f t="shared" si="130"/>
        <v>-45050.310019275523</v>
      </c>
      <c r="F157" s="62">
        <f t="shared" si="130"/>
        <v>-45657.816319347374</v>
      </c>
      <c r="G157" s="62">
        <f t="shared" si="130"/>
        <v>-46502.470608063151</v>
      </c>
      <c r="H157" s="62">
        <f t="shared" si="130"/>
        <v>-47660.460039312675</v>
      </c>
      <c r="I157" s="62">
        <f t="shared" si="130"/>
        <v>-49216.673749781199</v>
      </c>
      <c r="J157" s="62">
        <f t="shared" si="130"/>
        <v>-51250.945707742365</v>
      </c>
      <c r="K157" s="62">
        <f t="shared" si="130"/>
        <v>-53812.767402205936</v>
      </c>
      <c r="L157" s="62">
        <f t="shared" si="130"/>
        <v>-56886.879898458967</v>
      </c>
      <c r="M157" s="62">
        <f t="shared" si="130"/>
        <v>-60363.005318696356</v>
      </c>
      <c r="N157" s="62">
        <f t="shared" si="130"/>
        <v>-64032.73666265724</v>
      </c>
      <c r="O157" s="62">
        <f t="shared" si="130"/>
        <v>-67630.254557808934</v>
      </c>
      <c r="P157" s="62">
        <f t="shared" si="130"/>
        <v>-70905.149147471107</v>
      </c>
      <c r="Q157" s="62">
        <f t="shared" si="130"/>
        <v>-73688.343194726258</v>
      </c>
      <c r="R157" s="62">
        <f t="shared" si="130"/>
        <v>-75917.183184764202</v>
      </c>
      <c r="S157" s="62">
        <f t="shared" si="130"/>
        <v>-77617.887020141206</v>
      </c>
      <c r="T157" s="62">
        <f t="shared" si="130"/>
        <v>-78868.040735788047</v>
      </c>
      <c r="U157" s="62">
        <f t="shared" si="130"/>
        <v>-79761.882556921351</v>
      </c>
      <c r="V157" s="62">
        <f t="shared" si="130"/>
        <v>-80388.333671288041</v>
      </c>
      <c r="W157" s="62">
        <f t="shared" si="130"/>
        <v>-80821.249896010122</v>
      </c>
      <c r="X157" s="62">
        <f t="shared" si="130"/>
        <v>-81117.516041630384</v>
      </c>
      <c r="Y157" s="62">
        <f t="shared" si="130"/>
        <v>-81318.912482458516</v>
      </c>
      <c r="Z157" s="62">
        <f t="shared" si="130"/>
        <v>-81455.19521294719</v>
      </c>
      <c r="AA157" s="62">
        <f t="shared" si="130"/>
        <v>-81547.131685216795</v>
      </c>
      <c r="AB157" s="62">
        <f t="shared" si="130"/>
        <v>-81609.022861647056</v>
      </c>
      <c r="AC157" s="62">
        <f t="shared" si="130"/>
        <v>-81650.629181324926</v>
      </c>
    </row>
    <row r="158" spans="1:29" x14ac:dyDescent="0.25">
      <c r="A158" s="30" t="str">
        <f>A139</f>
        <v>Capex costumization</v>
      </c>
      <c r="B158" s="62">
        <f>((1+B141)^B149)*B141/(((1+B141)^B149)-1)*(B139)</f>
        <v>406833.9043442643</v>
      </c>
      <c r="C158" s="62">
        <f t="shared" ref="C158:AC158" si="131">((1+C141)^C149)*C141/(((1+C141)^C149)-1)*(C139)</f>
        <v>406833.9043442643</v>
      </c>
      <c r="D158" s="62">
        <f t="shared" si="131"/>
        <v>406833.9043442643</v>
      </c>
      <c r="E158" s="62">
        <f t="shared" si="131"/>
        <v>406833.9043442643</v>
      </c>
      <c r="F158" s="62">
        <f t="shared" si="131"/>
        <v>406833.9043442643</v>
      </c>
      <c r="G158" s="62">
        <f t="shared" si="131"/>
        <v>406833.9043442643</v>
      </c>
      <c r="H158" s="62">
        <f t="shared" si="131"/>
        <v>406833.9043442643</v>
      </c>
      <c r="I158" s="62">
        <f t="shared" si="131"/>
        <v>406833.9043442643</v>
      </c>
      <c r="J158" s="62">
        <f t="shared" si="131"/>
        <v>406833.9043442643</v>
      </c>
      <c r="K158" s="62">
        <f t="shared" si="131"/>
        <v>406833.9043442643</v>
      </c>
      <c r="L158" s="62">
        <f t="shared" si="131"/>
        <v>406833.9043442643</v>
      </c>
      <c r="M158" s="62">
        <f t="shared" si="131"/>
        <v>406833.9043442643</v>
      </c>
      <c r="N158" s="62">
        <f t="shared" si="131"/>
        <v>406833.9043442643</v>
      </c>
      <c r="O158" s="62">
        <f t="shared" si="131"/>
        <v>406833.9043442643</v>
      </c>
      <c r="P158" s="62">
        <f t="shared" si="131"/>
        <v>406833.9043442643</v>
      </c>
      <c r="Q158" s="62">
        <f t="shared" si="131"/>
        <v>406833.9043442643</v>
      </c>
      <c r="R158" s="62">
        <f t="shared" si="131"/>
        <v>406833.9043442643</v>
      </c>
      <c r="S158" s="62">
        <f t="shared" si="131"/>
        <v>406833.9043442643</v>
      </c>
      <c r="T158" s="62">
        <f t="shared" si="131"/>
        <v>406833.9043442643</v>
      </c>
      <c r="U158" s="62">
        <f t="shared" si="131"/>
        <v>406833.9043442643</v>
      </c>
      <c r="V158" s="62">
        <f t="shared" si="131"/>
        <v>406833.9043442643</v>
      </c>
      <c r="W158" s="62">
        <f t="shared" si="131"/>
        <v>406833.9043442643</v>
      </c>
      <c r="X158" s="62">
        <f t="shared" si="131"/>
        <v>406833.9043442643</v>
      </c>
      <c r="Y158" s="62">
        <f t="shared" si="131"/>
        <v>406833.9043442643</v>
      </c>
      <c r="Z158" s="62">
        <f t="shared" si="131"/>
        <v>406833.9043442643</v>
      </c>
      <c r="AA158" s="62">
        <f t="shared" si="131"/>
        <v>406833.9043442643</v>
      </c>
      <c r="AB158" s="62">
        <f t="shared" si="131"/>
        <v>406833.9043442643</v>
      </c>
      <c r="AC158" s="62">
        <f t="shared" si="131"/>
        <v>406833.9043442643</v>
      </c>
    </row>
    <row r="159" spans="1:29" x14ac:dyDescent="0.25">
      <c r="A159" s="30" t="str">
        <f>A140</f>
        <v>Residual value (costumization)</v>
      </c>
      <c r="B159" s="62">
        <f>((1+B141)^B149)*B141/(((1+B141)^B149)-1)*(B140)</f>
        <v>-20341.695217213215</v>
      </c>
      <c r="C159" s="62">
        <f t="shared" ref="C159:AC159" si="132">((1+C141)^C149)*C141/(((1+C141)^C149)-1)*(C140)</f>
        <v>-20341.695217213215</v>
      </c>
      <c r="D159" s="62">
        <f t="shared" si="132"/>
        <v>-20341.695217213215</v>
      </c>
      <c r="E159" s="62">
        <f t="shared" si="132"/>
        <v>-20341.695217213215</v>
      </c>
      <c r="F159" s="62">
        <f t="shared" si="132"/>
        <v>-20341.695217213215</v>
      </c>
      <c r="G159" s="62">
        <f t="shared" si="132"/>
        <v>-20341.695217213215</v>
      </c>
      <c r="H159" s="62">
        <f t="shared" si="132"/>
        <v>-20341.695217213215</v>
      </c>
      <c r="I159" s="62">
        <f t="shared" si="132"/>
        <v>-20341.695217213215</v>
      </c>
      <c r="J159" s="62">
        <f t="shared" si="132"/>
        <v>-20341.695217213215</v>
      </c>
      <c r="K159" s="62">
        <f t="shared" si="132"/>
        <v>-20341.695217213215</v>
      </c>
      <c r="L159" s="62">
        <f t="shared" si="132"/>
        <v>-20341.695217213215</v>
      </c>
      <c r="M159" s="62">
        <f t="shared" si="132"/>
        <v>-20341.695217213215</v>
      </c>
      <c r="N159" s="62">
        <f t="shared" si="132"/>
        <v>-20341.695217213215</v>
      </c>
      <c r="O159" s="62">
        <f t="shared" si="132"/>
        <v>-20341.695217213215</v>
      </c>
      <c r="P159" s="62">
        <f t="shared" si="132"/>
        <v>-20341.695217213215</v>
      </c>
      <c r="Q159" s="62">
        <f t="shared" si="132"/>
        <v>-20341.695217213215</v>
      </c>
      <c r="R159" s="62">
        <f t="shared" si="132"/>
        <v>-20341.695217213215</v>
      </c>
      <c r="S159" s="62">
        <f t="shared" si="132"/>
        <v>-20341.695217213215</v>
      </c>
      <c r="T159" s="62">
        <f t="shared" si="132"/>
        <v>-20341.695217213215</v>
      </c>
      <c r="U159" s="62">
        <f t="shared" si="132"/>
        <v>-20341.695217213215</v>
      </c>
      <c r="V159" s="62">
        <f t="shared" si="132"/>
        <v>-20341.695217213215</v>
      </c>
      <c r="W159" s="62">
        <f t="shared" si="132"/>
        <v>-20341.695217213215</v>
      </c>
      <c r="X159" s="62">
        <f t="shared" si="132"/>
        <v>-20341.695217213215</v>
      </c>
      <c r="Y159" s="62">
        <f t="shared" si="132"/>
        <v>-20341.695217213215</v>
      </c>
      <c r="Z159" s="62">
        <f t="shared" si="132"/>
        <v>-20341.695217213215</v>
      </c>
      <c r="AA159" s="62">
        <f t="shared" si="132"/>
        <v>-20341.695217213215</v>
      </c>
      <c r="AB159" s="62">
        <f t="shared" si="132"/>
        <v>-20341.695217213215</v>
      </c>
      <c r="AC159" s="62">
        <f t="shared" si="132"/>
        <v>-20341.695217213215</v>
      </c>
    </row>
    <row r="160" spans="1:29" x14ac:dyDescent="0.25">
      <c r="A160" s="30" t="str">
        <f t="shared" ref="A160:AC160" si="133">A142</f>
        <v>Opex fix (admin, crew, insurance)</v>
      </c>
      <c r="B160" s="62">
        <f t="shared" si="133"/>
        <v>620000</v>
      </c>
      <c r="C160" s="62">
        <f t="shared" si="133"/>
        <v>620000</v>
      </c>
      <c r="D160" s="62">
        <f t="shared" si="133"/>
        <v>620000</v>
      </c>
      <c r="E160" s="62">
        <f t="shared" si="133"/>
        <v>620000</v>
      </c>
      <c r="F160" s="62">
        <f t="shared" si="133"/>
        <v>620000</v>
      </c>
      <c r="G160" s="62">
        <f t="shared" si="133"/>
        <v>620000</v>
      </c>
      <c r="H160" s="62">
        <f t="shared" si="133"/>
        <v>620000</v>
      </c>
      <c r="I160" s="62">
        <f t="shared" si="133"/>
        <v>620000</v>
      </c>
      <c r="J160" s="62">
        <f t="shared" si="133"/>
        <v>620000</v>
      </c>
      <c r="K160" s="62">
        <f t="shared" si="133"/>
        <v>620000</v>
      </c>
      <c r="L160" s="62">
        <f t="shared" si="133"/>
        <v>620000</v>
      </c>
      <c r="M160" s="62">
        <f t="shared" si="133"/>
        <v>620000</v>
      </c>
      <c r="N160" s="62">
        <f t="shared" si="133"/>
        <v>620000</v>
      </c>
      <c r="O160" s="62">
        <f t="shared" si="133"/>
        <v>620000</v>
      </c>
      <c r="P160" s="62">
        <f t="shared" si="133"/>
        <v>620000</v>
      </c>
      <c r="Q160" s="62">
        <f t="shared" si="133"/>
        <v>620000</v>
      </c>
      <c r="R160" s="62">
        <f t="shared" si="133"/>
        <v>620000</v>
      </c>
      <c r="S160" s="62">
        <f t="shared" si="133"/>
        <v>620000</v>
      </c>
      <c r="T160" s="62">
        <f t="shared" si="133"/>
        <v>620000</v>
      </c>
      <c r="U160" s="62">
        <f t="shared" si="133"/>
        <v>620000</v>
      </c>
      <c r="V160" s="62">
        <f t="shared" si="133"/>
        <v>620000</v>
      </c>
      <c r="W160" s="62">
        <f t="shared" si="133"/>
        <v>620000</v>
      </c>
      <c r="X160" s="62">
        <f t="shared" si="133"/>
        <v>620000</v>
      </c>
      <c r="Y160" s="62">
        <f t="shared" si="133"/>
        <v>620000</v>
      </c>
      <c r="Z160" s="62">
        <f t="shared" si="133"/>
        <v>620000</v>
      </c>
      <c r="AA160" s="62">
        <f t="shared" si="133"/>
        <v>620000</v>
      </c>
      <c r="AB160" s="62">
        <f t="shared" si="133"/>
        <v>620000</v>
      </c>
      <c r="AC160" s="62">
        <f t="shared" si="133"/>
        <v>620000</v>
      </c>
    </row>
    <row r="161" spans="1:29" x14ac:dyDescent="0.25">
      <c r="A161" s="30" t="str">
        <f t="shared" ref="A161:AC161" si="134">A143</f>
        <v>Opex maintenance &amp; repair</v>
      </c>
      <c r="B161" s="62">
        <f t="shared" si="134"/>
        <v>1293563.9575177333</v>
      </c>
      <c r="C161" s="62">
        <f t="shared" si="134"/>
        <v>1290808.235093934</v>
      </c>
      <c r="D161" s="62">
        <f t="shared" si="134"/>
        <v>1286895.5042898762</v>
      </c>
      <c r="E161" s="62">
        <f t="shared" si="134"/>
        <v>1281365.2352877648</v>
      </c>
      <c r="F161" s="62">
        <f t="shared" si="134"/>
        <v>1273600.837383118</v>
      </c>
      <c r="G161" s="62">
        <f t="shared" si="134"/>
        <v>1262805.5057319398</v>
      </c>
      <c r="H161" s="62">
        <f t="shared" si="134"/>
        <v>1248005.5098923349</v>
      </c>
      <c r="I161" s="62">
        <f t="shared" si="134"/>
        <v>1228115.9013873441</v>
      </c>
      <c r="J161" s="62">
        <f t="shared" si="134"/>
        <v>1202116.3406815415</v>
      </c>
      <c r="K161" s="62">
        <f t="shared" si="134"/>
        <v>1169374.2884687176</v>
      </c>
      <c r="L161" s="62">
        <f t="shared" si="134"/>
        <v>1130084.7656740851</v>
      </c>
      <c r="M161" s="62">
        <f t="shared" si="134"/>
        <v>1085657.2084191416</v>
      </c>
      <c r="N161" s="62">
        <f t="shared" si="134"/>
        <v>1038755.2185067786</v>
      </c>
      <c r="O161" s="62">
        <f t="shared" si="134"/>
        <v>992776.17202817916</v>
      </c>
      <c r="P161" s="62">
        <f t="shared" si="134"/>
        <v>950920.49960650213</v>
      </c>
      <c r="Q161" s="62">
        <f t="shared" si="134"/>
        <v>915349.13841044903</v>
      </c>
      <c r="R161" s="62">
        <f t="shared" si="134"/>
        <v>886862.84856226621</v>
      </c>
      <c r="S161" s="62">
        <f t="shared" si="134"/>
        <v>865126.54509633617</v>
      </c>
      <c r="T161" s="62">
        <f t="shared" si="134"/>
        <v>849148.61879481981</v>
      </c>
      <c r="U161" s="62">
        <f t="shared" si="134"/>
        <v>837724.6326365323</v>
      </c>
      <c r="V161" s="62">
        <f t="shared" si="134"/>
        <v>829718.10542985611</v>
      </c>
      <c r="W161" s="62">
        <f t="shared" si="134"/>
        <v>824185.10301042092</v>
      </c>
      <c r="X161" s="62">
        <f t="shared" si="134"/>
        <v>820398.59373471502</v>
      </c>
      <c r="Y161" s="62">
        <f t="shared" si="134"/>
        <v>817824.59227500285</v>
      </c>
      <c r="Z161" s="62">
        <f t="shared" si="134"/>
        <v>816082.79412917187</v>
      </c>
      <c r="AA161" s="62">
        <f t="shared" si="134"/>
        <v>814907.77528152149</v>
      </c>
      <c r="AB161" s="62">
        <f t="shared" si="134"/>
        <v>814116.75843028165</v>
      </c>
      <c r="AC161" s="62">
        <f t="shared" si="134"/>
        <v>813584.99765465059</v>
      </c>
    </row>
    <row r="162" spans="1:29" x14ac:dyDescent="0.25">
      <c r="A162" s="30" t="str">
        <f>A144</f>
        <v>Opex var (mode-fees, shunting)</v>
      </c>
      <c r="B162" s="62">
        <f>B144*B153</f>
        <v>650000</v>
      </c>
      <c r="C162" s="62">
        <f t="shared" ref="C162:AC162" si="135">C144*C153</f>
        <v>650000</v>
      </c>
      <c r="D162" s="62">
        <f t="shared" si="135"/>
        <v>650000</v>
      </c>
      <c r="E162" s="62">
        <f t="shared" si="135"/>
        <v>650000</v>
      </c>
      <c r="F162" s="62">
        <f t="shared" si="135"/>
        <v>650000</v>
      </c>
      <c r="G162" s="62">
        <f t="shared" si="135"/>
        <v>650000</v>
      </c>
      <c r="H162" s="62">
        <f t="shared" si="135"/>
        <v>650000</v>
      </c>
      <c r="I162" s="62">
        <f t="shared" si="135"/>
        <v>650000</v>
      </c>
      <c r="J162" s="62">
        <f t="shared" si="135"/>
        <v>650000</v>
      </c>
      <c r="K162" s="62">
        <f t="shared" si="135"/>
        <v>650000</v>
      </c>
      <c r="L162" s="62">
        <f t="shared" si="135"/>
        <v>650000</v>
      </c>
      <c r="M162" s="62">
        <f t="shared" si="135"/>
        <v>650000</v>
      </c>
      <c r="N162" s="62">
        <f t="shared" si="135"/>
        <v>650000</v>
      </c>
      <c r="O162" s="62">
        <f t="shared" si="135"/>
        <v>650000</v>
      </c>
      <c r="P162" s="62">
        <f t="shared" si="135"/>
        <v>650000</v>
      </c>
      <c r="Q162" s="62">
        <f t="shared" si="135"/>
        <v>650000</v>
      </c>
      <c r="R162" s="62">
        <f t="shared" si="135"/>
        <v>650000</v>
      </c>
      <c r="S162" s="62">
        <f t="shared" si="135"/>
        <v>650000</v>
      </c>
      <c r="T162" s="62">
        <f t="shared" si="135"/>
        <v>650000</v>
      </c>
      <c r="U162" s="62">
        <f t="shared" si="135"/>
        <v>650000</v>
      </c>
      <c r="V162" s="62">
        <f t="shared" si="135"/>
        <v>650000</v>
      </c>
      <c r="W162" s="62">
        <f t="shared" si="135"/>
        <v>650000</v>
      </c>
      <c r="X162" s="62">
        <f t="shared" si="135"/>
        <v>650000</v>
      </c>
      <c r="Y162" s="62">
        <f t="shared" si="135"/>
        <v>650000</v>
      </c>
      <c r="Z162" s="62">
        <f t="shared" si="135"/>
        <v>650000</v>
      </c>
      <c r="AA162" s="62">
        <f t="shared" si="135"/>
        <v>650000</v>
      </c>
      <c r="AB162" s="62">
        <f t="shared" si="135"/>
        <v>650000</v>
      </c>
      <c r="AC162" s="62">
        <f t="shared" si="135"/>
        <v>650000</v>
      </c>
    </row>
    <row r="163" spans="1:29" x14ac:dyDescent="0.25">
      <c r="A163" s="30" t="str">
        <f>A146</f>
        <v>Fuel Cost</v>
      </c>
      <c r="B163" s="62">
        <f>B145*B146*B153</f>
        <v>798056.04826895113</v>
      </c>
      <c r="C163" s="62">
        <f t="shared" ref="C163:AC163" si="136">C145*C146*C153</f>
        <v>796492.71682323981</v>
      </c>
      <c r="D163" s="62">
        <f t="shared" si="136"/>
        <v>794273.01027668803</v>
      </c>
      <c r="E163" s="62">
        <f t="shared" si="136"/>
        <v>791135.66837331757</v>
      </c>
      <c r="F163" s="62">
        <f t="shared" si="136"/>
        <v>786730.89694332192</v>
      </c>
      <c r="G163" s="62">
        <f t="shared" si="136"/>
        <v>780606.66567408491</v>
      </c>
      <c r="H163" s="62">
        <f t="shared" si="136"/>
        <v>772210.57371190842</v>
      </c>
      <c r="I163" s="62">
        <f t="shared" si="136"/>
        <v>760927.1258035847</v>
      </c>
      <c r="J163" s="62">
        <f t="shared" si="136"/>
        <v>746177.47958558018</v>
      </c>
      <c r="K163" s="62">
        <f t="shared" si="136"/>
        <v>727602.79318779043</v>
      </c>
      <c r="L163" s="62">
        <f t="shared" si="136"/>
        <v>705313.70269689942</v>
      </c>
      <c r="M163" s="62">
        <f t="shared" si="136"/>
        <v>680109.78639787121</v>
      </c>
      <c r="N163" s="62">
        <f t="shared" si="136"/>
        <v>653502.11537005368</v>
      </c>
      <c r="O163" s="62">
        <f t="shared" si="136"/>
        <v>627418.0335398108</v>
      </c>
      <c r="P163" s="62">
        <f t="shared" si="136"/>
        <v>603673.15694662137</v>
      </c>
      <c r="Q163" s="62">
        <f t="shared" si="136"/>
        <v>583493.39317786123</v>
      </c>
      <c r="R163" s="62">
        <f t="shared" si="136"/>
        <v>567333.01639001595</v>
      </c>
      <c r="S163" s="62">
        <f t="shared" si="136"/>
        <v>555001.93165218434</v>
      </c>
      <c r="T163" s="62">
        <f t="shared" si="136"/>
        <v>545937.59541545261</v>
      </c>
      <c r="U163" s="62">
        <f t="shared" si="136"/>
        <v>539456.72613689909</v>
      </c>
      <c r="V163" s="62">
        <f t="shared" si="136"/>
        <v>534914.59386514337</v>
      </c>
      <c r="W163" s="62">
        <f t="shared" si="136"/>
        <v>531775.70128409215</v>
      </c>
      <c r="X163" s="62">
        <f t="shared" si="136"/>
        <v>529627.6006738618</v>
      </c>
      <c r="Y163" s="62">
        <f t="shared" si="136"/>
        <v>528167.36019807158</v>
      </c>
      <c r="Z163" s="62">
        <f t="shared" si="136"/>
        <v>527179.23171679105</v>
      </c>
      <c r="AA163" s="62">
        <f t="shared" si="136"/>
        <v>526512.63921169308</v>
      </c>
      <c r="AB163" s="62">
        <f t="shared" si="136"/>
        <v>526063.89244861156</v>
      </c>
      <c r="AC163" s="62">
        <f t="shared" si="136"/>
        <v>525762.2226088047</v>
      </c>
    </row>
    <row r="164" spans="1:29" ht="15.75" thickBot="1" x14ac:dyDescent="0.3">
      <c r="A164" s="59" t="str">
        <f>A127</f>
        <v>Emission Cost</v>
      </c>
      <c r="B164" s="62">
        <f>B147*B153</f>
        <v>13854.632661222226</v>
      </c>
      <c r="C164" s="62">
        <f t="shared" ref="C164:AC164" si="137">C147*C153</f>
        <v>13841.439675224099</v>
      </c>
      <c r="D164" s="62">
        <f t="shared" si="137"/>
        <v>13822.554209617852</v>
      </c>
      <c r="E164" s="62">
        <f t="shared" si="137"/>
        <v>13795.537222982803</v>
      </c>
      <c r="F164" s="62">
        <f t="shared" si="137"/>
        <v>13756.923987487233</v>
      </c>
      <c r="G164" s="62">
        <f t="shared" si="137"/>
        <v>13701.814555768824</v>
      </c>
      <c r="H164" s="62">
        <f t="shared" si="137"/>
        <v>13623.325205178304</v>
      </c>
      <c r="I164" s="62">
        <f t="shared" si="137"/>
        <v>13511.881578928529</v>
      </c>
      <c r="J164" s="62">
        <f t="shared" si="137"/>
        <v>13354.366722273209</v>
      </c>
      <c r="K164" s="62">
        <f t="shared" si="137"/>
        <v>13133.218705332552</v>
      </c>
      <c r="L164" s="62">
        <f t="shared" si="137"/>
        <v>12825.742682568964</v>
      </c>
      <c r="M164" s="62">
        <f t="shared" si="137"/>
        <v>12404.204558060976</v>
      </c>
      <c r="N164" s="62">
        <f t="shared" si="137"/>
        <v>11837.702488921488</v>
      </c>
      <c r="O164" s="62">
        <f t="shared" si="137"/>
        <v>11097.17484440505</v>
      </c>
      <c r="P164" s="62">
        <f t="shared" si="137"/>
        <v>10164.605441554135</v>
      </c>
      <c r="Q164" s="62">
        <f t="shared" si="137"/>
        <v>9045.5489275419332</v>
      </c>
      <c r="R164" s="62">
        <f t="shared" si="137"/>
        <v>7780.1493041444628</v>
      </c>
      <c r="S164" s="62">
        <f t="shared" si="137"/>
        <v>6444.2721135277652</v>
      </c>
      <c r="T164" s="62">
        <f t="shared" si="137"/>
        <v>5134.682487334203</v>
      </c>
      <c r="U164" s="62">
        <f t="shared" si="137"/>
        <v>3942.5360946007872</v>
      </c>
      <c r="V164" s="62">
        <f t="shared" si="137"/>
        <v>2929.3814256883388</v>
      </c>
      <c r="W164" s="62">
        <f t="shared" si="137"/>
        <v>2118.0259816104226</v>
      </c>
      <c r="X164" s="62">
        <f t="shared" si="137"/>
        <v>1498.9257672546028</v>
      </c>
      <c r="Y164" s="62">
        <f t="shared" si="137"/>
        <v>1043.8374577941086</v>
      </c>
      <c r="Z164" s="62">
        <f t="shared" si="137"/>
        <v>718.45590013967967</v>
      </c>
      <c r="AA164" s="62">
        <f t="shared" si="137"/>
        <v>490.41148045864259</v>
      </c>
      <c r="AB164" s="62">
        <f t="shared" si="137"/>
        <v>332.81876975358495</v>
      </c>
      <c r="AC164" s="62">
        <f t="shared" si="137"/>
        <v>224.9702246721173</v>
      </c>
    </row>
    <row r="165" spans="1:29" ht="15.75" thickBot="1" x14ac:dyDescent="0.3">
      <c r="A165" s="31" t="s">
        <v>209</v>
      </c>
      <c r="B165" s="64">
        <f>B156+B157+B158+B159+B160+B161+B162+B163+B164</f>
        <v>4585400.2317604898</v>
      </c>
      <c r="C165" s="64">
        <f t="shared" ref="C165:AC165" si="138">C156+C157+C158+C159+C160+C161+C162+C163+C164</f>
        <v>4579004.2437010193</v>
      </c>
      <c r="D165" s="64">
        <f t="shared" si="138"/>
        <v>4569922.7042161711</v>
      </c>
      <c r="E165" s="64">
        <f t="shared" si="138"/>
        <v>4557086.4966387842</v>
      </c>
      <c r="F165" s="64">
        <f t="shared" si="138"/>
        <v>4539064.0109108165</v>
      </c>
      <c r="G165" s="64">
        <f t="shared" si="138"/>
        <v>4514004.7903666887</v>
      </c>
      <c r="H165" s="64">
        <f t="shared" si="138"/>
        <v>4479646.6000866424</v>
      </c>
      <c r="I165" s="64">
        <f t="shared" si="138"/>
        <v>4433466.9116754523</v>
      </c>
      <c r="J165" s="64">
        <f t="shared" si="138"/>
        <v>4373089.3011545036</v>
      </c>
      <c r="K165" s="64">
        <f t="shared" si="138"/>
        <v>4297031.1211656556</v>
      </c>
      <c r="L165" s="64">
        <f t="shared" si="138"/>
        <v>4205721.3836789466</v>
      </c>
      <c r="M165" s="64">
        <f t="shared" si="138"/>
        <v>4102396.8858353365</v>
      </c>
      <c r="N165" s="64">
        <f t="shared" si="138"/>
        <v>3993196.1513909628</v>
      </c>
      <c r="O165" s="64">
        <f t="shared" si="138"/>
        <v>3885959.1098697237</v>
      </c>
      <c r="P165" s="64">
        <f t="shared" si="138"/>
        <v>3788080.5718080965</v>
      </c>
      <c r="Q165" s="64">
        <f t="shared" si="138"/>
        <v>3704571.2473055432</v>
      </c>
      <c r="R165" s="64">
        <f t="shared" si="138"/>
        <v>3637325.9982843259</v>
      </c>
      <c r="S165" s="64">
        <f t="shared" si="138"/>
        <v>3585644.5676084827</v>
      </c>
      <c r="T165" s="64">
        <f t="shared" si="138"/>
        <v>3547326.9584514205</v>
      </c>
      <c r="U165" s="64">
        <f t="shared" si="138"/>
        <v>3519674.6134767132</v>
      </c>
      <c r="V165" s="64">
        <f t="shared" si="138"/>
        <v>3500116.7672347161</v>
      </c>
      <c r="W165" s="64">
        <f t="shared" si="138"/>
        <v>3486489.8900678121</v>
      </c>
      <c r="X165" s="64">
        <f t="shared" si="138"/>
        <v>3477100.4897165829</v>
      </c>
      <c r="Y165" s="64">
        <f t="shared" si="138"/>
        <v>3470683.507823694</v>
      </c>
      <c r="Z165" s="64">
        <f t="shared" si="138"/>
        <v>3466323.7792185363</v>
      </c>
      <c r="AA165" s="64">
        <f t="shared" si="138"/>
        <v>3463374.1600686694</v>
      </c>
      <c r="AB165" s="64">
        <f t="shared" si="138"/>
        <v>3461384.4167692387</v>
      </c>
      <c r="AC165" s="64">
        <f t="shared" si="138"/>
        <v>3460044.9056918025</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39">A156</f>
        <v>Capex vehicle</v>
      </c>
      <c r="B168" s="65">
        <f>((1+B141)^B148)*B141/(((1+B141)^B148)-1)*(B137)/B153</f>
        <v>4.8601077594228057</v>
      </c>
      <c r="C168" s="65">
        <f t="shared" ref="C168:AC168" si="140">((1+C141)^C148)*C141/(((1+C141)^C148)-1)*(C137)/C153</f>
        <v>4.8497541098356427</v>
      </c>
      <c r="D168" s="65">
        <f t="shared" si="140"/>
        <v>4.8350534116360544</v>
      </c>
      <c r="E168" s="65">
        <f t="shared" si="140"/>
        <v>4.8142753873778386</v>
      </c>
      <c r="F168" s="65">
        <f t="shared" si="140"/>
        <v>4.7851034161859127</v>
      </c>
      <c r="G168" s="65">
        <f t="shared" si="140"/>
        <v>4.7445437864756714</v>
      </c>
      <c r="H168" s="65">
        <f t="shared" si="140"/>
        <v>4.6889380514816965</v>
      </c>
      <c r="I168" s="65">
        <f t="shared" si="140"/>
        <v>4.6142099021194625</v>
      </c>
      <c r="J168" s="65">
        <f t="shared" si="140"/>
        <v>4.5165257744862721</v>
      </c>
      <c r="K168" s="65">
        <f t="shared" si="140"/>
        <v>4.3935091264928241</v>
      </c>
      <c r="L168" s="65">
        <f t="shared" si="140"/>
        <v>4.2458926800941192</v>
      </c>
      <c r="M168" s="65">
        <f t="shared" si="140"/>
        <v>4.0789718916073303</v>
      </c>
      <c r="N168" s="65">
        <f t="shared" si="140"/>
        <v>3.9027543000605887</v>
      </c>
      <c r="O168" s="65">
        <f t="shared" si="140"/>
        <v>3.7300043411097277</v>
      </c>
      <c r="P168" s="65">
        <f t="shared" si="140"/>
        <v>3.5727464976685668</v>
      </c>
      <c r="Q168" s="65">
        <f t="shared" si="140"/>
        <v>3.4390997246911277</v>
      </c>
      <c r="R168" s="65">
        <f t="shared" si="140"/>
        <v>3.3320725943171574</v>
      </c>
      <c r="S168" s="65">
        <f t="shared" si="140"/>
        <v>3.2504061436387905</v>
      </c>
      <c r="T168" s="65">
        <f t="shared" si="140"/>
        <v>3.1903747527313779</v>
      </c>
      <c r="U168" s="65">
        <f t="shared" si="140"/>
        <v>3.147453176686561</v>
      </c>
      <c r="V168" s="65">
        <f t="shared" si="140"/>
        <v>3.1173714905224945</v>
      </c>
      <c r="W168" s="65">
        <f t="shared" si="140"/>
        <v>3.0965831964181936</v>
      </c>
      <c r="X168" s="65">
        <f t="shared" si="140"/>
        <v>3.0823567308421902</v>
      </c>
      <c r="Y168" s="65">
        <f t="shared" si="140"/>
        <v>3.0726858333234324</v>
      </c>
      <c r="Z168" s="65">
        <f t="shared" si="140"/>
        <v>3.0661416445844814</v>
      </c>
      <c r="AA168" s="65">
        <f t="shared" si="140"/>
        <v>3.0617269280289179</v>
      </c>
      <c r="AB168" s="65">
        <f t="shared" si="140"/>
        <v>3.058754962774163</v>
      </c>
      <c r="AC168" s="65">
        <f t="shared" si="140"/>
        <v>3.0567570602686231</v>
      </c>
    </row>
    <row r="169" spans="1:29" x14ac:dyDescent="0.25">
      <c r="A169" s="30" t="str">
        <f t="shared" si="139"/>
        <v>Residual value (vehicle)</v>
      </c>
      <c r="B169" s="66">
        <f>((1+B141)^B148)*B141/(((1+B141)^B148)-1)*(B138)/B153</f>
        <v>-0.24703557911170351</v>
      </c>
      <c r="C169" s="66">
        <f t="shared" ref="C169:AC169" si="141">((1+C141)^C148)*C141/(((1+C141)^C148)-1)*(C138)/C153</f>
        <v>-0.24824350489687252</v>
      </c>
      <c r="D169" s="66">
        <f t="shared" si="141"/>
        <v>-0.24995858635349122</v>
      </c>
      <c r="E169" s="66">
        <f t="shared" si="141"/>
        <v>-0.25238268918361639</v>
      </c>
      <c r="F169" s="66">
        <f t="shared" si="141"/>
        <v>-0.25578608582267437</v>
      </c>
      <c r="G169" s="66">
        <f t="shared" si="141"/>
        <v>-0.26051804262220252</v>
      </c>
      <c r="H169" s="66">
        <f t="shared" si="141"/>
        <v>-0.26700537837149957</v>
      </c>
      <c r="I169" s="66">
        <f t="shared" si="141"/>
        <v>-0.27572366246376023</v>
      </c>
      <c r="J169" s="66">
        <f t="shared" si="141"/>
        <v>-0.28712014402096564</v>
      </c>
      <c r="K169" s="66">
        <f t="shared" si="141"/>
        <v>-0.301472086286868</v>
      </c>
      <c r="L169" s="66">
        <f t="shared" si="141"/>
        <v>-0.31869400503338358</v>
      </c>
      <c r="M169" s="66">
        <f t="shared" si="141"/>
        <v>-0.33816809702350897</v>
      </c>
      <c r="N169" s="66">
        <f t="shared" si="141"/>
        <v>-0.35872681603729545</v>
      </c>
      <c r="O169" s="66">
        <f t="shared" si="141"/>
        <v>-0.378880977914896</v>
      </c>
      <c r="P169" s="66">
        <f t="shared" si="141"/>
        <v>-0.39722772631636477</v>
      </c>
      <c r="Q169" s="66">
        <f t="shared" si="141"/>
        <v>-0.41281984983039921</v>
      </c>
      <c r="R169" s="66">
        <f t="shared" si="141"/>
        <v>-0.42530634837402914</v>
      </c>
      <c r="S169" s="66">
        <f t="shared" si="141"/>
        <v>-0.43483410095317204</v>
      </c>
      <c r="T169" s="66">
        <f t="shared" si="141"/>
        <v>-0.44183776322570334</v>
      </c>
      <c r="U169" s="66">
        <f t="shared" si="141"/>
        <v>-0.44684528043093191</v>
      </c>
      <c r="V169" s="66">
        <f t="shared" si="141"/>
        <v>-0.45035481048340636</v>
      </c>
      <c r="W169" s="66">
        <f t="shared" si="141"/>
        <v>-0.45278011146224156</v>
      </c>
      <c r="X169" s="66">
        <f t="shared" si="141"/>
        <v>-0.45443986577944195</v>
      </c>
      <c r="Y169" s="66">
        <f t="shared" si="141"/>
        <v>-0.45556813715663036</v>
      </c>
      <c r="Z169" s="66">
        <f t="shared" si="141"/>
        <v>-0.45633162584284143</v>
      </c>
      <c r="AA169" s="66">
        <f t="shared" si="141"/>
        <v>-0.45684667610765711</v>
      </c>
      <c r="AB169" s="66">
        <f t="shared" si="141"/>
        <v>-0.45719340538737846</v>
      </c>
      <c r="AC169" s="66">
        <f t="shared" si="141"/>
        <v>-0.45742649401302482</v>
      </c>
    </row>
    <row r="170" spans="1:29" x14ac:dyDescent="0.25">
      <c r="A170" s="30" t="str">
        <f t="shared" si="139"/>
        <v>Capex costumization</v>
      </c>
      <c r="B170" s="66">
        <f>((1+B141)^B149)*B141/(((1+B141)^B149)-1)*(B139)/B153</f>
        <v>2.2791815369426573</v>
      </c>
      <c r="C170" s="66">
        <f t="shared" ref="C170:AC170" si="142">((1+C141)^C149)*C141/(((1+C141)^C149)-1)*(C139)/C153</f>
        <v>2.2791815369426573</v>
      </c>
      <c r="D170" s="66">
        <f t="shared" si="142"/>
        <v>2.2791815369426573</v>
      </c>
      <c r="E170" s="66">
        <f t="shared" si="142"/>
        <v>2.2791815369426573</v>
      </c>
      <c r="F170" s="66">
        <f t="shared" si="142"/>
        <v>2.2791815369426573</v>
      </c>
      <c r="G170" s="66">
        <f t="shared" si="142"/>
        <v>2.2791815369426573</v>
      </c>
      <c r="H170" s="66">
        <f t="shared" si="142"/>
        <v>2.2791815369426573</v>
      </c>
      <c r="I170" s="66">
        <f t="shared" si="142"/>
        <v>2.2791815369426573</v>
      </c>
      <c r="J170" s="66">
        <f t="shared" si="142"/>
        <v>2.2791815369426573</v>
      </c>
      <c r="K170" s="66">
        <f t="shared" si="142"/>
        <v>2.2791815369426573</v>
      </c>
      <c r="L170" s="66">
        <f t="shared" si="142"/>
        <v>2.2791815369426573</v>
      </c>
      <c r="M170" s="66">
        <f t="shared" si="142"/>
        <v>2.2791815369426573</v>
      </c>
      <c r="N170" s="66">
        <f t="shared" si="142"/>
        <v>2.2791815369426573</v>
      </c>
      <c r="O170" s="66">
        <f t="shared" si="142"/>
        <v>2.2791815369426573</v>
      </c>
      <c r="P170" s="66">
        <f t="shared" si="142"/>
        <v>2.2791815369426573</v>
      </c>
      <c r="Q170" s="66">
        <f t="shared" si="142"/>
        <v>2.2791815369426573</v>
      </c>
      <c r="R170" s="66">
        <f t="shared" si="142"/>
        <v>2.2791815369426573</v>
      </c>
      <c r="S170" s="66">
        <f t="shared" si="142"/>
        <v>2.2791815369426573</v>
      </c>
      <c r="T170" s="66">
        <f t="shared" si="142"/>
        <v>2.2791815369426573</v>
      </c>
      <c r="U170" s="66">
        <f t="shared" si="142"/>
        <v>2.2791815369426573</v>
      </c>
      <c r="V170" s="66">
        <f t="shared" si="142"/>
        <v>2.2791815369426573</v>
      </c>
      <c r="W170" s="66">
        <f t="shared" si="142"/>
        <v>2.2791815369426573</v>
      </c>
      <c r="X170" s="66">
        <f t="shared" si="142"/>
        <v>2.2791815369426573</v>
      </c>
      <c r="Y170" s="66">
        <f t="shared" si="142"/>
        <v>2.2791815369426573</v>
      </c>
      <c r="Z170" s="66">
        <f t="shared" si="142"/>
        <v>2.2791815369426573</v>
      </c>
      <c r="AA170" s="66">
        <f t="shared" si="142"/>
        <v>2.2791815369426573</v>
      </c>
      <c r="AB170" s="66">
        <f t="shared" si="142"/>
        <v>2.2791815369426573</v>
      </c>
      <c r="AC170" s="66">
        <f t="shared" si="142"/>
        <v>2.2791815369426573</v>
      </c>
    </row>
    <row r="171" spans="1:29" x14ac:dyDescent="0.25">
      <c r="A171" s="30" t="str">
        <f t="shared" si="139"/>
        <v>Residual value (costumization)</v>
      </c>
      <c r="B171" s="66">
        <f>((1+B141)^B149)*B141/(((1+B141)^B149)-1)*(B140)/B153</f>
        <v>-0.11395907684713286</v>
      </c>
      <c r="C171" s="66">
        <f t="shared" ref="C171:AC171" si="143">((1+C141)^C149)*C141/(((1+C141)^C149)-1)*(C140)/C153</f>
        <v>-0.11395907684713286</v>
      </c>
      <c r="D171" s="66">
        <f t="shared" si="143"/>
        <v>-0.11395907684713286</v>
      </c>
      <c r="E171" s="66">
        <f t="shared" si="143"/>
        <v>-0.11395907684713286</v>
      </c>
      <c r="F171" s="66">
        <f t="shared" si="143"/>
        <v>-0.11395907684713286</v>
      </c>
      <c r="G171" s="66">
        <f t="shared" si="143"/>
        <v>-0.11395907684713286</v>
      </c>
      <c r="H171" s="66">
        <f t="shared" si="143"/>
        <v>-0.11395907684713286</v>
      </c>
      <c r="I171" s="66">
        <f t="shared" si="143"/>
        <v>-0.11395907684713286</v>
      </c>
      <c r="J171" s="66">
        <f t="shared" si="143"/>
        <v>-0.11395907684713286</v>
      </c>
      <c r="K171" s="66">
        <f t="shared" si="143"/>
        <v>-0.11395907684713286</v>
      </c>
      <c r="L171" s="66">
        <f t="shared" si="143"/>
        <v>-0.11395907684713286</v>
      </c>
      <c r="M171" s="66">
        <f t="shared" si="143"/>
        <v>-0.11395907684713286</v>
      </c>
      <c r="N171" s="66">
        <f t="shared" si="143"/>
        <v>-0.11395907684713286</v>
      </c>
      <c r="O171" s="66">
        <f t="shared" si="143"/>
        <v>-0.11395907684713286</v>
      </c>
      <c r="P171" s="66">
        <f t="shared" si="143"/>
        <v>-0.11395907684713286</v>
      </c>
      <c r="Q171" s="66">
        <f t="shared" si="143"/>
        <v>-0.11395907684713286</v>
      </c>
      <c r="R171" s="66">
        <f t="shared" si="143"/>
        <v>-0.11395907684713286</v>
      </c>
      <c r="S171" s="66">
        <f t="shared" si="143"/>
        <v>-0.11395907684713286</v>
      </c>
      <c r="T171" s="66">
        <f t="shared" si="143"/>
        <v>-0.11395907684713286</v>
      </c>
      <c r="U171" s="66">
        <f t="shared" si="143"/>
        <v>-0.11395907684713286</v>
      </c>
      <c r="V171" s="66">
        <f t="shared" si="143"/>
        <v>-0.11395907684713286</v>
      </c>
      <c r="W171" s="66">
        <f t="shared" si="143"/>
        <v>-0.11395907684713286</v>
      </c>
      <c r="X171" s="66">
        <f t="shared" si="143"/>
        <v>-0.11395907684713286</v>
      </c>
      <c r="Y171" s="66">
        <f t="shared" si="143"/>
        <v>-0.11395907684713286</v>
      </c>
      <c r="Z171" s="66">
        <f t="shared" si="143"/>
        <v>-0.11395907684713286</v>
      </c>
      <c r="AA171" s="66">
        <f t="shared" si="143"/>
        <v>-0.11395907684713286</v>
      </c>
      <c r="AB171" s="66">
        <f t="shared" si="143"/>
        <v>-0.11395907684713286</v>
      </c>
      <c r="AC171" s="66">
        <f t="shared" si="143"/>
        <v>-0.11395907684713286</v>
      </c>
    </row>
    <row r="172" spans="1:29" x14ac:dyDescent="0.25">
      <c r="A172" s="30" t="str">
        <f t="shared" si="139"/>
        <v>Opex fix (admin, crew, insurance)</v>
      </c>
      <c r="B172" s="66">
        <f>B142/B153</f>
        <v>3.473389355742297</v>
      </c>
      <c r="C172" s="66">
        <f t="shared" ref="C172:AC172" si="144">C142/C153</f>
        <v>3.473389355742297</v>
      </c>
      <c r="D172" s="66">
        <f t="shared" si="144"/>
        <v>3.473389355742297</v>
      </c>
      <c r="E172" s="66">
        <f t="shared" si="144"/>
        <v>3.473389355742297</v>
      </c>
      <c r="F172" s="66">
        <f t="shared" si="144"/>
        <v>3.473389355742297</v>
      </c>
      <c r="G172" s="66">
        <f t="shared" si="144"/>
        <v>3.473389355742297</v>
      </c>
      <c r="H172" s="66">
        <f t="shared" si="144"/>
        <v>3.473389355742297</v>
      </c>
      <c r="I172" s="66">
        <f t="shared" si="144"/>
        <v>3.473389355742297</v>
      </c>
      <c r="J172" s="66">
        <f t="shared" si="144"/>
        <v>3.473389355742297</v>
      </c>
      <c r="K172" s="66">
        <f t="shared" si="144"/>
        <v>3.473389355742297</v>
      </c>
      <c r="L172" s="66">
        <f t="shared" si="144"/>
        <v>3.473389355742297</v>
      </c>
      <c r="M172" s="66">
        <f t="shared" si="144"/>
        <v>3.473389355742297</v>
      </c>
      <c r="N172" s="66">
        <f t="shared" si="144"/>
        <v>3.473389355742297</v>
      </c>
      <c r="O172" s="66">
        <f t="shared" si="144"/>
        <v>3.473389355742297</v>
      </c>
      <c r="P172" s="66">
        <f t="shared" si="144"/>
        <v>3.473389355742297</v>
      </c>
      <c r="Q172" s="66">
        <f t="shared" si="144"/>
        <v>3.473389355742297</v>
      </c>
      <c r="R172" s="66">
        <f t="shared" si="144"/>
        <v>3.473389355742297</v>
      </c>
      <c r="S172" s="66">
        <f t="shared" si="144"/>
        <v>3.473389355742297</v>
      </c>
      <c r="T172" s="66">
        <f t="shared" si="144"/>
        <v>3.473389355742297</v>
      </c>
      <c r="U172" s="66">
        <f t="shared" si="144"/>
        <v>3.473389355742297</v>
      </c>
      <c r="V172" s="66">
        <f t="shared" si="144"/>
        <v>3.473389355742297</v>
      </c>
      <c r="W172" s="66">
        <f t="shared" si="144"/>
        <v>3.473389355742297</v>
      </c>
      <c r="X172" s="66">
        <f t="shared" si="144"/>
        <v>3.473389355742297</v>
      </c>
      <c r="Y172" s="66">
        <f t="shared" si="144"/>
        <v>3.473389355742297</v>
      </c>
      <c r="Z172" s="66">
        <f t="shared" si="144"/>
        <v>3.473389355742297</v>
      </c>
      <c r="AA172" s="66">
        <f t="shared" si="144"/>
        <v>3.473389355742297</v>
      </c>
      <c r="AB172" s="66">
        <f t="shared" si="144"/>
        <v>3.473389355742297</v>
      </c>
      <c r="AC172" s="66">
        <f t="shared" si="144"/>
        <v>3.473389355742297</v>
      </c>
    </row>
    <row r="173" spans="1:29" x14ac:dyDescent="0.25">
      <c r="A173" s="30" t="str">
        <f t="shared" si="139"/>
        <v>Opex maintenance &amp; repair</v>
      </c>
      <c r="B173" s="66">
        <f>B143/B153</f>
        <v>7.246856904861251</v>
      </c>
      <c r="C173" s="66">
        <f t="shared" ref="C173:AC173" si="145">C143/C153</f>
        <v>7.2314186839996299</v>
      </c>
      <c r="D173" s="66">
        <f t="shared" si="145"/>
        <v>7.2094986234726957</v>
      </c>
      <c r="E173" s="66">
        <f t="shared" si="145"/>
        <v>7.1785167243012031</v>
      </c>
      <c r="F173" s="66">
        <f t="shared" si="145"/>
        <v>7.1350186968241909</v>
      </c>
      <c r="G173" s="66">
        <f t="shared" si="145"/>
        <v>7.0745406483582061</v>
      </c>
      <c r="H173" s="66">
        <f t="shared" si="145"/>
        <v>6.9916275063996354</v>
      </c>
      <c r="I173" s="66">
        <f t="shared" si="145"/>
        <v>6.8802011282204152</v>
      </c>
      <c r="J173" s="66">
        <f t="shared" si="145"/>
        <v>6.7345453259470114</v>
      </c>
      <c r="K173" s="66">
        <f t="shared" si="145"/>
        <v>6.5511164620096221</v>
      </c>
      <c r="L173" s="66">
        <f t="shared" si="145"/>
        <v>6.3310070906111209</v>
      </c>
      <c r="M173" s="66">
        <f t="shared" si="145"/>
        <v>6.0821132124321657</v>
      </c>
      <c r="N173" s="66">
        <f t="shared" si="145"/>
        <v>5.8193569664245297</v>
      </c>
      <c r="O173" s="66">
        <f t="shared" si="145"/>
        <v>5.56177127186655</v>
      </c>
      <c r="P173" s="66">
        <f t="shared" si="145"/>
        <v>5.3272857120812445</v>
      </c>
      <c r="Q173" s="66">
        <f t="shared" si="145"/>
        <v>5.1280063776495748</v>
      </c>
      <c r="R173" s="66">
        <f t="shared" si="145"/>
        <v>4.9684193196765616</v>
      </c>
      <c r="S173" s="66">
        <f t="shared" si="145"/>
        <v>4.8466473114640678</v>
      </c>
      <c r="T173" s="66">
        <f t="shared" si="145"/>
        <v>4.7571351192987104</v>
      </c>
      <c r="U173" s="66">
        <f t="shared" si="145"/>
        <v>4.6931351968433184</v>
      </c>
      <c r="V173" s="66">
        <f t="shared" si="145"/>
        <v>4.6482807026882691</v>
      </c>
      <c r="W173" s="66">
        <f t="shared" si="145"/>
        <v>4.6172834902544588</v>
      </c>
      <c r="X173" s="66">
        <f t="shared" si="145"/>
        <v>4.5960705531356583</v>
      </c>
      <c r="Y173" s="66">
        <f t="shared" si="145"/>
        <v>4.5816503768907726</v>
      </c>
      <c r="Z173" s="66">
        <f t="shared" si="145"/>
        <v>4.5718924040849966</v>
      </c>
      <c r="AA173" s="66">
        <f t="shared" si="145"/>
        <v>4.5653096654426975</v>
      </c>
      <c r="AB173" s="66">
        <f t="shared" si="145"/>
        <v>4.5608781984889726</v>
      </c>
      <c r="AC173" s="66">
        <f t="shared" si="145"/>
        <v>4.5578991465246528</v>
      </c>
    </row>
    <row r="174" spans="1:29" x14ac:dyDescent="0.25">
      <c r="A174" s="30" t="str">
        <f t="shared" si="139"/>
        <v>Opex var (mode-fees, shunting)</v>
      </c>
      <c r="B174" s="66">
        <f>B144*B153/B153</f>
        <v>3.6414565826330532</v>
      </c>
      <c r="C174" s="66">
        <f t="shared" ref="C174:AC174" si="146">C144*C153/C153</f>
        <v>3.6414565826330532</v>
      </c>
      <c r="D174" s="66">
        <f t="shared" si="146"/>
        <v>3.6414565826330532</v>
      </c>
      <c r="E174" s="66">
        <f t="shared" si="146"/>
        <v>3.6414565826330532</v>
      </c>
      <c r="F174" s="66">
        <f t="shared" si="146"/>
        <v>3.6414565826330532</v>
      </c>
      <c r="G174" s="66">
        <f t="shared" si="146"/>
        <v>3.6414565826330532</v>
      </c>
      <c r="H174" s="66">
        <f t="shared" si="146"/>
        <v>3.6414565826330532</v>
      </c>
      <c r="I174" s="66">
        <f t="shared" si="146"/>
        <v>3.6414565826330532</v>
      </c>
      <c r="J174" s="66">
        <f t="shared" si="146"/>
        <v>3.6414565826330532</v>
      </c>
      <c r="K174" s="66">
        <f t="shared" si="146"/>
        <v>3.6414565826330532</v>
      </c>
      <c r="L174" s="66">
        <f t="shared" si="146"/>
        <v>3.6414565826330532</v>
      </c>
      <c r="M174" s="66">
        <f t="shared" si="146"/>
        <v>3.6414565826330532</v>
      </c>
      <c r="N174" s="66">
        <f t="shared" si="146"/>
        <v>3.6414565826330532</v>
      </c>
      <c r="O174" s="66">
        <f t="shared" si="146"/>
        <v>3.6414565826330532</v>
      </c>
      <c r="P174" s="66">
        <f t="shared" si="146"/>
        <v>3.6414565826330532</v>
      </c>
      <c r="Q174" s="66">
        <f t="shared" si="146"/>
        <v>3.6414565826330532</v>
      </c>
      <c r="R174" s="66">
        <f t="shared" si="146"/>
        <v>3.6414565826330532</v>
      </c>
      <c r="S174" s="66">
        <f t="shared" si="146"/>
        <v>3.6414565826330532</v>
      </c>
      <c r="T174" s="66">
        <f t="shared" si="146"/>
        <v>3.6414565826330532</v>
      </c>
      <c r="U174" s="66">
        <f t="shared" si="146"/>
        <v>3.6414565826330532</v>
      </c>
      <c r="V174" s="66">
        <f t="shared" si="146"/>
        <v>3.6414565826330532</v>
      </c>
      <c r="W174" s="66">
        <f t="shared" si="146"/>
        <v>3.6414565826330532</v>
      </c>
      <c r="X174" s="66">
        <f t="shared" si="146"/>
        <v>3.6414565826330532</v>
      </c>
      <c r="Y174" s="66">
        <f t="shared" si="146"/>
        <v>3.6414565826330532</v>
      </c>
      <c r="Z174" s="66">
        <f t="shared" si="146"/>
        <v>3.6414565826330532</v>
      </c>
      <c r="AA174" s="66">
        <f t="shared" si="146"/>
        <v>3.6414565826330532</v>
      </c>
      <c r="AB174" s="66">
        <f t="shared" si="146"/>
        <v>3.6414565826330532</v>
      </c>
      <c r="AC174" s="66">
        <f t="shared" si="146"/>
        <v>3.6414565826330532</v>
      </c>
    </row>
    <row r="175" spans="1:29" x14ac:dyDescent="0.25">
      <c r="A175" s="30" t="str">
        <f t="shared" si="139"/>
        <v>Fuel Cost</v>
      </c>
      <c r="B175" s="66">
        <f>B145*B146*B153/B153</f>
        <v>4.4709022311986057</v>
      </c>
      <c r="C175" s="66">
        <f t="shared" ref="C175:AC175" si="147">C145*C146*C153/C153</f>
        <v>4.4621440718388783</v>
      </c>
      <c r="D175" s="66">
        <f t="shared" si="147"/>
        <v>4.4497087410458711</v>
      </c>
      <c r="E175" s="66">
        <f t="shared" si="147"/>
        <v>4.4321325959289499</v>
      </c>
      <c r="F175" s="66">
        <f t="shared" si="147"/>
        <v>4.4074560052847165</v>
      </c>
      <c r="G175" s="66">
        <f t="shared" si="147"/>
        <v>4.3731465864094394</v>
      </c>
      <c r="H175" s="66">
        <f t="shared" si="147"/>
        <v>4.3261096566493471</v>
      </c>
      <c r="I175" s="66">
        <f t="shared" si="147"/>
        <v>4.2628970633254042</v>
      </c>
      <c r="J175" s="66">
        <f t="shared" si="147"/>
        <v>4.1802659920760794</v>
      </c>
      <c r="K175" s="66">
        <f t="shared" si="147"/>
        <v>4.076206124301347</v>
      </c>
      <c r="L175" s="66">
        <f t="shared" si="147"/>
        <v>3.9513372700106411</v>
      </c>
      <c r="M175" s="66">
        <f t="shared" si="147"/>
        <v>3.8101388593718277</v>
      </c>
      <c r="N175" s="66">
        <f t="shared" si="147"/>
        <v>3.6610762765829339</v>
      </c>
      <c r="O175" s="66">
        <f t="shared" si="147"/>
        <v>3.5149469666095845</v>
      </c>
      <c r="P175" s="66">
        <f t="shared" si="147"/>
        <v>3.3819224478802319</v>
      </c>
      <c r="Q175" s="66">
        <f t="shared" si="147"/>
        <v>3.2688705500160293</v>
      </c>
      <c r="R175" s="66">
        <f t="shared" si="147"/>
        <v>3.1783362262745993</v>
      </c>
      <c r="S175" s="66">
        <f t="shared" si="147"/>
        <v>3.1092545190598564</v>
      </c>
      <c r="T175" s="66">
        <f t="shared" si="147"/>
        <v>3.0584739238960932</v>
      </c>
      <c r="U175" s="66">
        <f t="shared" si="147"/>
        <v>3.0221665329798268</v>
      </c>
      <c r="V175" s="66">
        <f t="shared" si="147"/>
        <v>2.9967204138103272</v>
      </c>
      <c r="W175" s="66">
        <f t="shared" si="147"/>
        <v>2.9791355814234857</v>
      </c>
      <c r="X175" s="66">
        <f t="shared" si="147"/>
        <v>2.9671014043353603</v>
      </c>
      <c r="Y175" s="66">
        <f t="shared" si="147"/>
        <v>2.9589207854233703</v>
      </c>
      <c r="Z175" s="66">
        <f t="shared" si="147"/>
        <v>2.9533850516346836</v>
      </c>
      <c r="AA175" s="66">
        <f t="shared" si="147"/>
        <v>2.9496506398414177</v>
      </c>
      <c r="AB175" s="66">
        <f t="shared" si="147"/>
        <v>2.9471366523731741</v>
      </c>
      <c r="AC175" s="66">
        <f t="shared" si="147"/>
        <v>2.94544662525941</v>
      </c>
    </row>
    <row r="176" spans="1:29" ht="15.75" thickBot="1" x14ac:dyDescent="0.3">
      <c r="A176" s="59" t="str">
        <f t="shared" ref="A176" si="148">A164</f>
        <v>Emission Cost</v>
      </c>
      <c r="B176" s="66">
        <f>B147</f>
        <v>7.7616989698723951E-2</v>
      </c>
      <c r="C176" s="66">
        <f t="shared" ref="C176:AC176" si="149">C147</f>
        <v>7.7543079413020161E-2</v>
      </c>
      <c r="D176" s="66">
        <f t="shared" si="149"/>
        <v>7.7437278485254071E-2</v>
      </c>
      <c r="E176" s="66">
        <f t="shared" si="149"/>
        <v>7.7285922817830824E-2</v>
      </c>
      <c r="F176" s="66">
        <f t="shared" si="149"/>
        <v>7.7069602170796822E-2</v>
      </c>
      <c r="G176" s="66">
        <f t="shared" si="149"/>
        <v>7.6760865858648872E-2</v>
      </c>
      <c r="H176" s="66">
        <f t="shared" si="149"/>
        <v>7.6321149608842037E-2</v>
      </c>
      <c r="I176" s="66">
        <f t="shared" si="149"/>
        <v>7.5696815568227049E-2</v>
      </c>
      <c r="J176" s="66">
        <f t="shared" si="149"/>
        <v>7.4814379396488564E-2</v>
      </c>
      <c r="K176" s="66">
        <f t="shared" si="149"/>
        <v>7.3575454931835024E-2</v>
      </c>
      <c r="L176" s="66">
        <f t="shared" si="149"/>
        <v>7.1852900182459184E-2</v>
      </c>
      <c r="M176" s="66">
        <f t="shared" si="149"/>
        <v>6.9491342061966249E-2</v>
      </c>
      <c r="N176" s="66">
        <f t="shared" si="149"/>
        <v>6.6317661002361278E-2</v>
      </c>
      <c r="O176" s="66">
        <f t="shared" si="149"/>
        <v>6.2169046747367229E-2</v>
      </c>
      <c r="P176" s="66">
        <f t="shared" si="149"/>
        <v>5.694456830002316E-2</v>
      </c>
      <c r="Q176" s="66">
        <f t="shared" si="149"/>
        <v>5.0675344131887581E-2</v>
      </c>
      <c r="R176" s="66">
        <f t="shared" si="149"/>
        <v>4.3586270611453572E-2</v>
      </c>
      <c r="S176" s="66">
        <f t="shared" si="149"/>
        <v>3.6102364781668152E-2</v>
      </c>
      <c r="T176" s="66">
        <f t="shared" si="149"/>
        <v>2.8765728220359679E-2</v>
      </c>
      <c r="U176" s="66">
        <f t="shared" si="149"/>
        <v>2.2087036944542227E-2</v>
      </c>
      <c r="V176" s="66">
        <f t="shared" si="149"/>
        <v>1.6411100424024307E-2</v>
      </c>
      <c r="W176" s="66">
        <f t="shared" si="149"/>
        <v>1.1865691773727857E-2</v>
      </c>
      <c r="X176" s="66">
        <f t="shared" si="149"/>
        <v>8.3973432339193438E-3</v>
      </c>
      <c r="Y176" s="66">
        <f t="shared" si="149"/>
        <v>5.84782889520509E-3</v>
      </c>
      <c r="Z176" s="66">
        <f t="shared" si="149"/>
        <v>4.0249630259926034E-3</v>
      </c>
      <c r="AA176" s="66">
        <f t="shared" si="149"/>
        <v>2.747403251869146E-3</v>
      </c>
      <c r="AB176" s="66">
        <f t="shared" si="149"/>
        <v>1.8645309229892715E-3</v>
      </c>
      <c r="AC176" s="66">
        <f t="shared" si="149"/>
        <v>1.2603373931211054E-3</v>
      </c>
    </row>
    <row r="177" spans="1:29" ht="15.75" thickBot="1" x14ac:dyDescent="0.3">
      <c r="A177" s="31" t="s">
        <v>63</v>
      </c>
      <c r="B177" s="76">
        <f>B168+B169+B170-B171+B172+B173+B174+B175+B176</f>
        <v>25.916434858234823</v>
      </c>
      <c r="C177" s="76">
        <f t="shared" ref="C177:AC177" si="150">C168+C169+C170-C171+C172+C173+C174+C175+C176</f>
        <v>25.880602992355438</v>
      </c>
      <c r="D177" s="76">
        <f t="shared" si="150"/>
        <v>25.829726020451524</v>
      </c>
      <c r="E177" s="76">
        <f t="shared" si="150"/>
        <v>25.757814493407345</v>
      </c>
      <c r="F177" s="76">
        <f t="shared" si="150"/>
        <v>25.656848186808087</v>
      </c>
      <c r="G177" s="76">
        <f t="shared" si="150"/>
        <v>25.516460396644906</v>
      </c>
      <c r="H177" s="76">
        <f t="shared" si="150"/>
        <v>25.32397753793316</v>
      </c>
      <c r="I177" s="76">
        <f t="shared" si="150"/>
        <v>25.06526779893489</v>
      </c>
      <c r="J177" s="76">
        <f t="shared" si="150"/>
        <v>24.727017880050028</v>
      </c>
      <c r="K177" s="76">
        <f t="shared" si="150"/>
        <v>24.3009216336139</v>
      </c>
      <c r="L177" s="76">
        <f t="shared" si="150"/>
        <v>23.789382488030096</v>
      </c>
      <c r="M177" s="76">
        <f t="shared" si="150"/>
        <v>23.210533760614922</v>
      </c>
      <c r="N177" s="76">
        <f t="shared" si="150"/>
        <v>22.598764940198262</v>
      </c>
      <c r="O177" s="76">
        <f t="shared" si="150"/>
        <v>21.997997200583477</v>
      </c>
      <c r="P177" s="76">
        <f t="shared" si="150"/>
        <v>21.44965805177884</v>
      </c>
      <c r="Q177" s="76">
        <f t="shared" si="150"/>
        <v>20.981818698823361</v>
      </c>
      <c r="R177" s="76">
        <f t="shared" si="150"/>
        <v>20.605094614670882</v>
      </c>
      <c r="S177" s="76">
        <f t="shared" si="150"/>
        <v>20.315562790156353</v>
      </c>
      <c r="T177" s="76">
        <f t="shared" si="150"/>
        <v>20.100898313085981</v>
      </c>
      <c r="U177" s="76">
        <f t="shared" si="150"/>
        <v>19.945983215188456</v>
      </c>
      <c r="V177" s="76">
        <f t="shared" si="150"/>
        <v>19.836415449126847</v>
      </c>
      <c r="W177" s="76">
        <f t="shared" si="150"/>
        <v>19.760074400572766</v>
      </c>
      <c r="X177" s="76">
        <f t="shared" si="150"/>
        <v>19.707472717932827</v>
      </c>
      <c r="Y177" s="76">
        <f t="shared" si="150"/>
        <v>19.67152323954129</v>
      </c>
      <c r="Z177" s="76">
        <f t="shared" si="150"/>
        <v>19.647098989652456</v>
      </c>
      <c r="AA177" s="76">
        <f t="shared" si="150"/>
        <v>19.630574512622388</v>
      </c>
      <c r="AB177" s="76">
        <f t="shared" si="150"/>
        <v>19.619427491337063</v>
      </c>
      <c r="AC177" s="76">
        <f t="shared" si="150"/>
        <v>19.611923227597924</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51">A156</f>
        <v>Capex vehicle</v>
      </c>
      <c r="B180" s="65">
        <f>((1+B141)^B148)*B141/(((1+B141)^B148)-1)*(B137)/B153/(B150)</f>
        <v>2.1696909640280381E-3</v>
      </c>
      <c r="C180" s="65">
        <f t="shared" ref="C180:AC180" si="152">((1+C141)^C148)*C141/(((1+C141)^C148)-1)*(C137)/C153/(C150)</f>
        <v>2.1650687990337689E-3</v>
      </c>
      <c r="D180" s="65">
        <f t="shared" si="152"/>
        <v>2.1585059873375245E-3</v>
      </c>
      <c r="E180" s="65">
        <f t="shared" si="152"/>
        <v>2.1492300836508209E-3</v>
      </c>
      <c r="F180" s="65">
        <f t="shared" si="152"/>
        <v>2.1362068822258539E-3</v>
      </c>
      <c r="G180" s="65">
        <f t="shared" si="152"/>
        <v>2.1180999046766392E-3</v>
      </c>
      <c r="H180" s="65">
        <f t="shared" si="152"/>
        <v>2.093275915840043E-3</v>
      </c>
      <c r="I180" s="65">
        <f t="shared" si="152"/>
        <v>2.0599151348747601E-3</v>
      </c>
      <c r="J180" s="65">
        <f t="shared" si="152"/>
        <v>2.0163061493242286E-3</v>
      </c>
      <c r="K180" s="65">
        <f t="shared" si="152"/>
        <v>1.9613880028985821E-3</v>
      </c>
      <c r="L180" s="65">
        <f t="shared" si="152"/>
        <v>1.8954878036134461E-3</v>
      </c>
      <c r="M180" s="65">
        <f t="shared" si="152"/>
        <v>1.8209695944675583E-3</v>
      </c>
      <c r="N180" s="65">
        <f t="shared" si="152"/>
        <v>1.7423010268127629E-3</v>
      </c>
      <c r="O180" s="65">
        <f t="shared" si="152"/>
        <v>1.6651805094239855E-3</v>
      </c>
      <c r="P180" s="65">
        <f t="shared" si="152"/>
        <v>1.5949761150306102E-3</v>
      </c>
      <c r="Q180" s="65">
        <f t="shared" si="152"/>
        <v>1.5353123770942534E-3</v>
      </c>
      <c r="R180" s="65">
        <f t="shared" si="152"/>
        <v>1.4875324081773025E-3</v>
      </c>
      <c r="S180" s="65">
        <f t="shared" si="152"/>
        <v>1.4510741712673173E-3</v>
      </c>
      <c r="T180" s="65">
        <f t="shared" si="152"/>
        <v>1.4242744431836509E-3</v>
      </c>
      <c r="U180" s="65">
        <f t="shared" si="152"/>
        <v>1.4051130253065005E-3</v>
      </c>
      <c r="V180" s="65">
        <f t="shared" si="152"/>
        <v>1.3916837011261137E-3</v>
      </c>
      <c r="W180" s="65">
        <f t="shared" si="152"/>
        <v>1.3824032126866935E-3</v>
      </c>
      <c r="X180" s="65">
        <f t="shared" si="152"/>
        <v>1.3760521119831207E-3</v>
      </c>
      <c r="Y180" s="65">
        <f t="shared" si="152"/>
        <v>1.3717347470193894E-3</v>
      </c>
      <c r="Z180" s="65">
        <f t="shared" si="152"/>
        <v>1.3688132341895007E-3</v>
      </c>
      <c r="AA180" s="65">
        <f t="shared" si="152"/>
        <v>1.3668423785843384E-3</v>
      </c>
      <c r="AB180" s="65">
        <f t="shared" si="152"/>
        <v>1.3655156083813228E-3</v>
      </c>
      <c r="AC180" s="65">
        <f t="shared" si="152"/>
        <v>1.364623687619921E-3</v>
      </c>
    </row>
    <row r="181" spans="1:29" x14ac:dyDescent="0.25">
      <c r="A181" s="30" t="str">
        <f t="shared" si="151"/>
        <v>Residual value (vehicle)</v>
      </c>
      <c r="B181" s="68">
        <f>((1+B141)^B148)*B141/(((1+B141)^B148)-1)*(B138)/B153/(B150)</f>
        <v>-1.1028374067486764E-4</v>
      </c>
      <c r="C181" s="68">
        <f t="shared" ref="C181:AC181" si="153">((1+C141)^C148)*C141/(((1+C141)^C148)-1)*(C138)/C153/(C150)</f>
        <v>-1.1082299325753238E-4</v>
      </c>
      <c r="D181" s="68">
        <f t="shared" si="153"/>
        <v>-1.115886546220943E-4</v>
      </c>
      <c r="E181" s="68">
        <f t="shared" si="153"/>
        <v>-1.1267084338554303E-4</v>
      </c>
      <c r="F181" s="68">
        <f t="shared" si="153"/>
        <v>-1.1419021688512248E-4</v>
      </c>
      <c r="G181" s="68">
        <f t="shared" si="153"/>
        <v>-1.1630269759919755E-4</v>
      </c>
      <c r="H181" s="68">
        <f t="shared" si="153"/>
        <v>-1.1919882963013374E-4</v>
      </c>
      <c r="I181" s="68">
        <f t="shared" si="153"/>
        <v>-1.230909207427501E-4</v>
      </c>
      <c r="J181" s="68">
        <f t="shared" si="153"/>
        <v>-1.2817863572364536E-4</v>
      </c>
      <c r="K181" s="68">
        <f t="shared" si="153"/>
        <v>-1.345857528066375E-4</v>
      </c>
      <c r="L181" s="68">
        <f t="shared" si="153"/>
        <v>-1.4227410938990337E-4</v>
      </c>
      <c r="M181" s="68">
        <f t="shared" si="153"/>
        <v>-1.5096790045692366E-4</v>
      </c>
      <c r="N181" s="68">
        <f t="shared" si="153"/>
        <v>-1.6014590001664974E-4</v>
      </c>
      <c r="O181" s="68">
        <f t="shared" si="153"/>
        <v>-1.6914329371200715E-4</v>
      </c>
      <c r="P181" s="68">
        <f t="shared" si="153"/>
        <v>-1.7733380639123428E-4</v>
      </c>
      <c r="Q181" s="68">
        <f t="shared" si="153"/>
        <v>-1.842945758171425E-4</v>
      </c>
      <c r="R181" s="68">
        <f t="shared" si="153"/>
        <v>-1.8986890552412014E-4</v>
      </c>
      <c r="S181" s="68">
        <f t="shared" si="153"/>
        <v>-1.9412236649695181E-4</v>
      </c>
      <c r="T181" s="68">
        <f t="shared" si="153"/>
        <v>-1.9724900144004614E-4</v>
      </c>
      <c r="U181" s="68">
        <f t="shared" si="153"/>
        <v>-1.9948450019238032E-4</v>
      </c>
      <c r="V181" s="68">
        <f t="shared" si="153"/>
        <v>-2.0105125468009212E-4</v>
      </c>
      <c r="W181" s="68">
        <f t="shared" si="153"/>
        <v>-2.0213397833135783E-4</v>
      </c>
      <c r="X181" s="68">
        <f t="shared" si="153"/>
        <v>-2.0287494008010802E-4</v>
      </c>
      <c r="Y181" s="68">
        <f t="shared" si="153"/>
        <v>-2.0337863265920998E-4</v>
      </c>
      <c r="Z181" s="68">
        <f t="shared" si="153"/>
        <v>-2.0371947582269707E-4</v>
      </c>
      <c r="AA181" s="68">
        <f t="shared" si="153"/>
        <v>-2.0394940897663265E-4</v>
      </c>
      <c r="AB181" s="68">
        <f t="shared" si="153"/>
        <v>-2.0410419883365111E-4</v>
      </c>
      <c r="AC181" s="68">
        <f t="shared" si="153"/>
        <v>-2.0420825625581466E-4</v>
      </c>
    </row>
    <row r="182" spans="1:29" x14ac:dyDescent="0.25">
      <c r="A182" s="30" t="str">
        <f t="shared" si="151"/>
        <v>Capex costumization</v>
      </c>
      <c r="B182" s="66">
        <f>((1+B141)^B149)*B141/(((1+B141)^B149)-1)*(B139)/B153/(B150)</f>
        <v>1.0174917575636864E-3</v>
      </c>
      <c r="C182" s="66">
        <f t="shared" ref="C182:AC182" si="154">((1+C141)^C149)*C141/(((1+C141)^C149)-1)*(C139)/C153/(C150)</f>
        <v>1.0174917575636864E-3</v>
      </c>
      <c r="D182" s="66">
        <f t="shared" si="154"/>
        <v>1.0174917575636864E-3</v>
      </c>
      <c r="E182" s="66">
        <f t="shared" si="154"/>
        <v>1.0174917575636864E-3</v>
      </c>
      <c r="F182" s="66">
        <f t="shared" si="154"/>
        <v>1.0174917575636864E-3</v>
      </c>
      <c r="G182" s="66">
        <f t="shared" si="154"/>
        <v>1.0174917575636864E-3</v>
      </c>
      <c r="H182" s="66">
        <f t="shared" si="154"/>
        <v>1.0174917575636864E-3</v>
      </c>
      <c r="I182" s="66">
        <f t="shared" si="154"/>
        <v>1.0174917575636864E-3</v>
      </c>
      <c r="J182" s="66">
        <f t="shared" si="154"/>
        <v>1.0174917575636864E-3</v>
      </c>
      <c r="K182" s="66">
        <f t="shared" si="154"/>
        <v>1.0174917575636864E-3</v>
      </c>
      <c r="L182" s="66">
        <f t="shared" si="154"/>
        <v>1.0174917575636864E-3</v>
      </c>
      <c r="M182" s="66">
        <f t="shared" si="154"/>
        <v>1.0174917575636864E-3</v>
      </c>
      <c r="N182" s="66">
        <f t="shared" si="154"/>
        <v>1.0174917575636864E-3</v>
      </c>
      <c r="O182" s="66">
        <f t="shared" si="154"/>
        <v>1.0174917575636864E-3</v>
      </c>
      <c r="P182" s="66">
        <f t="shared" si="154"/>
        <v>1.0174917575636864E-3</v>
      </c>
      <c r="Q182" s="66">
        <f t="shared" si="154"/>
        <v>1.0174917575636864E-3</v>
      </c>
      <c r="R182" s="66">
        <f t="shared" si="154"/>
        <v>1.0174917575636864E-3</v>
      </c>
      <c r="S182" s="66">
        <f t="shared" si="154"/>
        <v>1.0174917575636864E-3</v>
      </c>
      <c r="T182" s="66">
        <f t="shared" si="154"/>
        <v>1.0174917575636864E-3</v>
      </c>
      <c r="U182" s="66">
        <f t="shared" si="154"/>
        <v>1.0174917575636864E-3</v>
      </c>
      <c r="V182" s="66">
        <f t="shared" si="154"/>
        <v>1.0174917575636864E-3</v>
      </c>
      <c r="W182" s="66">
        <f t="shared" si="154"/>
        <v>1.0174917575636864E-3</v>
      </c>
      <c r="X182" s="66">
        <f t="shared" si="154"/>
        <v>1.0174917575636864E-3</v>
      </c>
      <c r="Y182" s="66">
        <f t="shared" si="154"/>
        <v>1.0174917575636864E-3</v>
      </c>
      <c r="Z182" s="66">
        <f t="shared" si="154"/>
        <v>1.0174917575636864E-3</v>
      </c>
      <c r="AA182" s="66">
        <f t="shared" si="154"/>
        <v>1.0174917575636864E-3</v>
      </c>
      <c r="AB182" s="66">
        <f t="shared" si="154"/>
        <v>1.0174917575636864E-3</v>
      </c>
      <c r="AC182" s="66">
        <f t="shared" si="154"/>
        <v>1.0174917575636864E-3</v>
      </c>
    </row>
    <row r="183" spans="1:29" x14ac:dyDescent="0.25">
      <c r="A183" s="30" t="str">
        <f t="shared" si="151"/>
        <v>Residual value (costumization)</v>
      </c>
      <c r="B183" s="69">
        <f>((1+B141)^B149)*B141/(((1+B141)^B149)-1)*(B140)/B153/(B150)</f>
        <v>-5.0874587878184312E-5</v>
      </c>
      <c r="C183" s="69">
        <f t="shared" ref="C183:AC183" si="155">((1+C141)^C149)*C141/(((1+C141)^C149)-1)*(C140)/C153/(C150)</f>
        <v>-5.0874587878184312E-5</v>
      </c>
      <c r="D183" s="69">
        <f t="shared" si="155"/>
        <v>-5.0874587878184312E-5</v>
      </c>
      <c r="E183" s="69">
        <f t="shared" si="155"/>
        <v>-5.0874587878184312E-5</v>
      </c>
      <c r="F183" s="69">
        <f t="shared" si="155"/>
        <v>-5.0874587878184312E-5</v>
      </c>
      <c r="G183" s="69">
        <f t="shared" si="155"/>
        <v>-5.0874587878184312E-5</v>
      </c>
      <c r="H183" s="69">
        <f t="shared" si="155"/>
        <v>-5.0874587878184312E-5</v>
      </c>
      <c r="I183" s="69">
        <f t="shared" si="155"/>
        <v>-5.0874587878184312E-5</v>
      </c>
      <c r="J183" s="69">
        <f t="shared" si="155"/>
        <v>-5.0874587878184312E-5</v>
      </c>
      <c r="K183" s="69">
        <f t="shared" si="155"/>
        <v>-5.0874587878184312E-5</v>
      </c>
      <c r="L183" s="69">
        <f t="shared" si="155"/>
        <v>-5.0874587878184312E-5</v>
      </c>
      <c r="M183" s="69">
        <f t="shared" si="155"/>
        <v>-5.0874587878184312E-5</v>
      </c>
      <c r="N183" s="69">
        <f t="shared" si="155"/>
        <v>-5.0874587878184312E-5</v>
      </c>
      <c r="O183" s="69">
        <f t="shared" si="155"/>
        <v>-5.0874587878184312E-5</v>
      </c>
      <c r="P183" s="69">
        <f t="shared" si="155"/>
        <v>-5.0874587878184312E-5</v>
      </c>
      <c r="Q183" s="69">
        <f t="shared" si="155"/>
        <v>-5.0874587878184312E-5</v>
      </c>
      <c r="R183" s="69">
        <f t="shared" si="155"/>
        <v>-5.0874587878184312E-5</v>
      </c>
      <c r="S183" s="69">
        <f t="shared" si="155"/>
        <v>-5.0874587878184312E-5</v>
      </c>
      <c r="T183" s="69">
        <f t="shared" si="155"/>
        <v>-5.0874587878184312E-5</v>
      </c>
      <c r="U183" s="69">
        <f t="shared" si="155"/>
        <v>-5.0874587878184312E-5</v>
      </c>
      <c r="V183" s="69">
        <f t="shared" si="155"/>
        <v>-5.0874587878184312E-5</v>
      </c>
      <c r="W183" s="69">
        <f t="shared" si="155"/>
        <v>-5.0874587878184312E-5</v>
      </c>
      <c r="X183" s="69">
        <f t="shared" si="155"/>
        <v>-5.0874587878184312E-5</v>
      </c>
      <c r="Y183" s="69">
        <f t="shared" si="155"/>
        <v>-5.0874587878184312E-5</v>
      </c>
      <c r="Z183" s="69">
        <f t="shared" si="155"/>
        <v>-5.0874587878184312E-5</v>
      </c>
      <c r="AA183" s="69">
        <f t="shared" si="155"/>
        <v>-5.0874587878184312E-5</v>
      </c>
      <c r="AB183" s="69">
        <f t="shared" si="155"/>
        <v>-5.0874587878184312E-5</v>
      </c>
      <c r="AC183" s="69">
        <f t="shared" si="155"/>
        <v>-5.0874587878184312E-5</v>
      </c>
    </row>
    <row r="184" spans="1:29" x14ac:dyDescent="0.25">
      <c r="A184" s="30" t="str">
        <f t="shared" si="151"/>
        <v>Opex fix (admin, crew, insurance)</v>
      </c>
      <c r="B184" s="66">
        <f>B142/B153/(B150)</f>
        <v>1.5506202480992397E-3</v>
      </c>
      <c r="C184" s="66">
        <f t="shared" ref="C184:AC184" si="156">C142/C153/(C150)</f>
        <v>1.5506202480992397E-3</v>
      </c>
      <c r="D184" s="66">
        <f t="shared" si="156"/>
        <v>1.5506202480992397E-3</v>
      </c>
      <c r="E184" s="66">
        <f t="shared" si="156"/>
        <v>1.5506202480992397E-3</v>
      </c>
      <c r="F184" s="66">
        <f t="shared" si="156"/>
        <v>1.5506202480992397E-3</v>
      </c>
      <c r="G184" s="66">
        <f t="shared" si="156"/>
        <v>1.5506202480992397E-3</v>
      </c>
      <c r="H184" s="66">
        <f t="shared" si="156"/>
        <v>1.5506202480992397E-3</v>
      </c>
      <c r="I184" s="66">
        <f t="shared" si="156"/>
        <v>1.5506202480992397E-3</v>
      </c>
      <c r="J184" s="66">
        <f t="shared" si="156"/>
        <v>1.5506202480992397E-3</v>
      </c>
      <c r="K184" s="66">
        <f t="shared" si="156"/>
        <v>1.5506202480992397E-3</v>
      </c>
      <c r="L184" s="66">
        <f t="shared" si="156"/>
        <v>1.5506202480992397E-3</v>
      </c>
      <c r="M184" s="66">
        <f t="shared" si="156"/>
        <v>1.5506202480992397E-3</v>
      </c>
      <c r="N184" s="66">
        <f t="shared" si="156"/>
        <v>1.5506202480992397E-3</v>
      </c>
      <c r="O184" s="66">
        <f t="shared" si="156"/>
        <v>1.5506202480992397E-3</v>
      </c>
      <c r="P184" s="66">
        <f t="shared" si="156"/>
        <v>1.5506202480992397E-3</v>
      </c>
      <c r="Q184" s="66">
        <f t="shared" si="156"/>
        <v>1.5506202480992397E-3</v>
      </c>
      <c r="R184" s="66">
        <f t="shared" si="156"/>
        <v>1.5506202480992397E-3</v>
      </c>
      <c r="S184" s="66">
        <f t="shared" si="156"/>
        <v>1.5506202480992397E-3</v>
      </c>
      <c r="T184" s="66">
        <f t="shared" si="156"/>
        <v>1.5506202480992397E-3</v>
      </c>
      <c r="U184" s="66">
        <f t="shared" si="156"/>
        <v>1.5506202480992397E-3</v>
      </c>
      <c r="V184" s="66">
        <f t="shared" si="156"/>
        <v>1.5506202480992397E-3</v>
      </c>
      <c r="W184" s="66">
        <f t="shared" si="156"/>
        <v>1.5506202480992397E-3</v>
      </c>
      <c r="X184" s="66">
        <f t="shared" si="156"/>
        <v>1.5506202480992397E-3</v>
      </c>
      <c r="Y184" s="66">
        <f t="shared" si="156"/>
        <v>1.5506202480992397E-3</v>
      </c>
      <c r="Z184" s="66">
        <f t="shared" si="156"/>
        <v>1.5506202480992397E-3</v>
      </c>
      <c r="AA184" s="66">
        <f t="shared" si="156"/>
        <v>1.5506202480992397E-3</v>
      </c>
      <c r="AB184" s="66">
        <f t="shared" si="156"/>
        <v>1.5506202480992397E-3</v>
      </c>
      <c r="AC184" s="66">
        <f t="shared" si="156"/>
        <v>1.5506202480992397E-3</v>
      </c>
    </row>
    <row r="185" spans="1:29" x14ac:dyDescent="0.25">
      <c r="A185" s="30" t="str">
        <f t="shared" si="151"/>
        <v>Opex maintenance &amp; repair</v>
      </c>
      <c r="B185" s="66">
        <f>B143/B153/(B150)</f>
        <v>3.235203975384487E-3</v>
      </c>
      <c r="C185" s="66">
        <f t="shared" ref="C185:AC185" si="157">C143/C153/(C150)</f>
        <v>3.228311912499835E-3</v>
      </c>
      <c r="D185" s="66">
        <f t="shared" si="157"/>
        <v>3.2185261711931679E-3</v>
      </c>
      <c r="E185" s="66">
        <f t="shared" si="157"/>
        <v>3.2046949662058941E-3</v>
      </c>
      <c r="F185" s="66">
        <f t="shared" si="157"/>
        <v>3.1852762039393709E-3</v>
      </c>
      <c r="G185" s="66">
        <f t="shared" si="157"/>
        <v>3.1582770751599136E-3</v>
      </c>
      <c r="H185" s="66">
        <f t="shared" si="157"/>
        <v>3.1212622796426945E-3</v>
      </c>
      <c r="I185" s="66">
        <f t="shared" si="157"/>
        <v>3.0715183608126854E-3</v>
      </c>
      <c r="J185" s="66">
        <f t="shared" si="157"/>
        <v>3.0064934490834873E-3</v>
      </c>
      <c r="K185" s="66">
        <f t="shared" si="157"/>
        <v>2.9246055633971525E-3</v>
      </c>
      <c r="L185" s="66">
        <f t="shared" si="157"/>
        <v>2.826342451165679E-3</v>
      </c>
      <c r="M185" s="66">
        <f t="shared" si="157"/>
        <v>2.7152291126929309E-3</v>
      </c>
      <c r="N185" s="66">
        <f t="shared" si="157"/>
        <v>2.5979272171538078E-3</v>
      </c>
      <c r="O185" s="66">
        <f t="shared" si="157"/>
        <v>2.4829336035118526E-3</v>
      </c>
      <c r="P185" s="66">
        <f t="shared" si="157"/>
        <v>2.37825255003627E-3</v>
      </c>
      <c r="Q185" s="66">
        <f t="shared" si="157"/>
        <v>2.2892885614507032E-3</v>
      </c>
      <c r="R185" s="66">
        <f t="shared" si="157"/>
        <v>2.218044339141322E-3</v>
      </c>
      <c r="S185" s="66">
        <f t="shared" si="157"/>
        <v>2.1636818354750301E-3</v>
      </c>
      <c r="T185" s="66">
        <f t="shared" si="157"/>
        <v>2.12372103540121E-3</v>
      </c>
      <c r="U185" s="66">
        <f t="shared" si="157"/>
        <v>2.0951496414479101E-3</v>
      </c>
      <c r="V185" s="66">
        <f t="shared" si="157"/>
        <v>2.0751253137001203E-3</v>
      </c>
      <c r="W185" s="66">
        <f t="shared" si="157"/>
        <v>2.0612872724350261E-3</v>
      </c>
      <c r="X185" s="66">
        <f t="shared" si="157"/>
        <v>2.0518172112212762E-3</v>
      </c>
      <c r="Y185" s="66">
        <f t="shared" si="157"/>
        <v>2.0453796325405234E-3</v>
      </c>
      <c r="Z185" s="66">
        <f t="shared" si="157"/>
        <v>2.0410233946808022E-3</v>
      </c>
      <c r="AA185" s="66">
        <f t="shared" si="157"/>
        <v>2.0380846720726327E-3</v>
      </c>
      <c r="AB185" s="66">
        <f t="shared" si="157"/>
        <v>2.0361063386111484E-3</v>
      </c>
      <c r="AC185" s="66">
        <f t="shared" si="157"/>
        <v>2.0347764046985059E-3</v>
      </c>
    </row>
    <row r="186" spans="1:29" x14ac:dyDescent="0.25">
      <c r="A186" s="30" t="str">
        <f t="shared" si="151"/>
        <v>Opex var (mode-fees, shunting)</v>
      </c>
      <c r="B186" s="66">
        <f>B144*B153/B153/(B150)</f>
        <v>1.6256502601040416E-3</v>
      </c>
      <c r="C186" s="66">
        <f t="shared" ref="C186:AC186" si="158">C144*C153/C153/(C150)</f>
        <v>1.6256502601040416E-3</v>
      </c>
      <c r="D186" s="66">
        <f t="shared" si="158"/>
        <v>1.6256502601040416E-3</v>
      </c>
      <c r="E186" s="66">
        <f t="shared" si="158"/>
        <v>1.6256502601040416E-3</v>
      </c>
      <c r="F186" s="66">
        <f t="shared" si="158"/>
        <v>1.6256502601040416E-3</v>
      </c>
      <c r="G186" s="66">
        <f t="shared" si="158"/>
        <v>1.6256502601040416E-3</v>
      </c>
      <c r="H186" s="66">
        <f t="shared" si="158"/>
        <v>1.6256502601040416E-3</v>
      </c>
      <c r="I186" s="66">
        <f t="shared" si="158"/>
        <v>1.6256502601040416E-3</v>
      </c>
      <c r="J186" s="66">
        <f t="shared" si="158"/>
        <v>1.6256502601040416E-3</v>
      </c>
      <c r="K186" s="66">
        <f t="shared" si="158"/>
        <v>1.6256502601040416E-3</v>
      </c>
      <c r="L186" s="66">
        <f t="shared" si="158"/>
        <v>1.6256502601040416E-3</v>
      </c>
      <c r="M186" s="66">
        <f t="shared" si="158"/>
        <v>1.6256502601040416E-3</v>
      </c>
      <c r="N186" s="66">
        <f t="shared" si="158"/>
        <v>1.6256502601040416E-3</v>
      </c>
      <c r="O186" s="66">
        <f t="shared" si="158"/>
        <v>1.6256502601040416E-3</v>
      </c>
      <c r="P186" s="66">
        <f t="shared" si="158"/>
        <v>1.6256502601040416E-3</v>
      </c>
      <c r="Q186" s="66">
        <f t="shared" si="158"/>
        <v>1.6256502601040416E-3</v>
      </c>
      <c r="R186" s="66">
        <f t="shared" si="158"/>
        <v>1.6256502601040416E-3</v>
      </c>
      <c r="S186" s="66">
        <f t="shared" si="158"/>
        <v>1.6256502601040416E-3</v>
      </c>
      <c r="T186" s="66">
        <f t="shared" si="158"/>
        <v>1.6256502601040416E-3</v>
      </c>
      <c r="U186" s="66">
        <f t="shared" si="158"/>
        <v>1.6256502601040416E-3</v>
      </c>
      <c r="V186" s="66">
        <f t="shared" si="158"/>
        <v>1.6256502601040416E-3</v>
      </c>
      <c r="W186" s="66">
        <f t="shared" si="158"/>
        <v>1.6256502601040416E-3</v>
      </c>
      <c r="X186" s="66">
        <f t="shared" si="158"/>
        <v>1.6256502601040416E-3</v>
      </c>
      <c r="Y186" s="66">
        <f t="shared" si="158"/>
        <v>1.6256502601040416E-3</v>
      </c>
      <c r="Z186" s="66">
        <f t="shared" si="158"/>
        <v>1.6256502601040416E-3</v>
      </c>
      <c r="AA186" s="66">
        <f t="shared" si="158"/>
        <v>1.6256502601040416E-3</v>
      </c>
      <c r="AB186" s="66">
        <f t="shared" si="158"/>
        <v>1.6256502601040416E-3</v>
      </c>
      <c r="AC186" s="66">
        <f t="shared" si="158"/>
        <v>1.6256502601040416E-3</v>
      </c>
    </row>
    <row r="187" spans="1:29" x14ac:dyDescent="0.25">
      <c r="A187" s="30" t="str">
        <f t="shared" si="151"/>
        <v>Fuel Cost</v>
      </c>
      <c r="B187" s="66">
        <f>B145*B146*B153/B153/(B150)</f>
        <v>1.995938496070806E-3</v>
      </c>
      <c r="C187" s="66">
        <f t="shared" ref="C187:AC187" si="159">C145*C146*C153/C153/(C150)</f>
        <v>1.9920286034994994E-3</v>
      </c>
      <c r="D187" s="66">
        <f t="shared" si="159"/>
        <v>1.9864771165383354E-3</v>
      </c>
      <c r="E187" s="66">
        <f t="shared" si="159"/>
        <v>1.9786306231825671E-3</v>
      </c>
      <c r="F187" s="66">
        <f t="shared" si="159"/>
        <v>1.9676142880735341E-3</v>
      </c>
      <c r="G187" s="66">
        <f t="shared" si="159"/>
        <v>1.9522975832184997E-3</v>
      </c>
      <c r="H187" s="66">
        <f t="shared" si="159"/>
        <v>1.9312989538613156E-3</v>
      </c>
      <c r="I187" s="66">
        <f t="shared" si="159"/>
        <v>1.9030790461274127E-3</v>
      </c>
      <c r="J187" s="66">
        <f t="shared" si="159"/>
        <v>1.8661901750339641E-3</v>
      </c>
      <c r="K187" s="66">
        <f t="shared" si="159"/>
        <v>1.8197348769202443E-3</v>
      </c>
      <c r="L187" s="66">
        <f t="shared" si="159"/>
        <v>1.7639898526833218E-3</v>
      </c>
      <c r="M187" s="66">
        <f t="shared" si="159"/>
        <v>1.7009548479338516E-3</v>
      </c>
      <c r="N187" s="66">
        <f t="shared" si="159"/>
        <v>1.6344090520459527E-3</v>
      </c>
      <c r="O187" s="66">
        <f t="shared" si="159"/>
        <v>1.5691727529507074E-3</v>
      </c>
      <c r="P187" s="66">
        <f t="shared" si="159"/>
        <v>1.5097868070893892E-3</v>
      </c>
      <c r="Q187" s="66">
        <f t="shared" si="159"/>
        <v>1.4593172098285845E-3</v>
      </c>
      <c r="R187" s="66">
        <f t="shared" si="159"/>
        <v>1.4189001010154461E-3</v>
      </c>
      <c r="S187" s="66">
        <f t="shared" si="159"/>
        <v>1.3880600531517215E-3</v>
      </c>
      <c r="T187" s="66">
        <f t="shared" si="159"/>
        <v>1.3653901445964702E-3</v>
      </c>
      <c r="U187" s="66">
        <f t="shared" si="159"/>
        <v>1.3491814879374227E-3</v>
      </c>
      <c r="V187" s="66">
        <f t="shared" si="159"/>
        <v>1.3378216133081817E-3</v>
      </c>
      <c r="W187" s="66">
        <f t="shared" si="159"/>
        <v>1.3299712417069133E-3</v>
      </c>
      <c r="X187" s="66">
        <f t="shared" si="159"/>
        <v>1.3245988412211431E-3</v>
      </c>
      <c r="Y187" s="66">
        <f t="shared" si="159"/>
        <v>1.3209467792068617E-3</v>
      </c>
      <c r="Z187" s="66">
        <f t="shared" si="159"/>
        <v>1.3184754694797695E-3</v>
      </c>
      <c r="AA187" s="66">
        <f t="shared" si="159"/>
        <v>1.3168083213577757E-3</v>
      </c>
      <c r="AB187" s="66">
        <f t="shared" si="159"/>
        <v>1.3156860055237385E-3</v>
      </c>
      <c r="AC187" s="66">
        <f t="shared" si="159"/>
        <v>1.3149315291336651E-3</v>
      </c>
    </row>
    <row r="188" spans="1:29" x14ac:dyDescent="0.25">
      <c r="A188" s="59" t="str">
        <f>A151</f>
        <v>Market failure (av. utilization)</v>
      </c>
      <c r="B188" s="66">
        <f t="shared" ref="B188:AC188" si="160">B177/B151-B177/B150</f>
        <v>1.5546968455693323E-2</v>
      </c>
      <c r="C188" s="66">
        <f t="shared" si="160"/>
        <v>1.5525473335257865E-2</v>
      </c>
      <c r="D188" s="66">
        <f t="shared" si="160"/>
        <v>1.5494952830348989E-2</v>
      </c>
      <c r="E188" s="66">
        <f t="shared" si="160"/>
        <v>1.5451813939962552E-2</v>
      </c>
      <c r="F188" s="66">
        <f t="shared" si="160"/>
        <v>1.5391245424564003E-2</v>
      </c>
      <c r="G188" s="66">
        <f t="shared" si="160"/>
        <v>1.5307028418746246E-2</v>
      </c>
      <c r="H188" s="66">
        <f t="shared" si="160"/>
        <v>1.5191560185981107E-2</v>
      </c>
      <c r="I188" s="66">
        <f t="shared" si="160"/>
        <v>1.5036363216436947E-2</v>
      </c>
      <c r="J188" s="66">
        <f t="shared" si="160"/>
        <v>1.4833451016213046E-2</v>
      </c>
      <c r="K188" s="66">
        <f t="shared" si="160"/>
        <v>1.4577840823736019E-2</v>
      </c>
      <c r="L188" s="66">
        <f t="shared" si="160"/>
        <v>1.4270974427808232E-2</v>
      </c>
      <c r="M188" s="66">
        <f t="shared" si="160"/>
        <v>1.3923729795011741E-2</v>
      </c>
      <c r="N188" s="66">
        <f t="shared" si="160"/>
        <v>1.3556736780531882E-2</v>
      </c>
      <c r="O188" s="66">
        <f t="shared" si="160"/>
        <v>1.3196343186733947E-2</v>
      </c>
      <c r="P188" s="66">
        <f t="shared" si="160"/>
        <v>1.2867400896016883E-2</v>
      </c>
      <c r="Q188" s="66">
        <f t="shared" si="160"/>
        <v>1.2586749498457095E-2</v>
      </c>
      <c r="R188" s="66">
        <f t="shared" si="160"/>
        <v>1.2360757093064284E-2</v>
      </c>
      <c r="S188" s="66">
        <f t="shared" si="160"/>
        <v>1.2187070312175268E-2</v>
      </c>
      <c r="T188" s="66">
        <f t="shared" si="160"/>
        <v>1.2058295584022003E-2</v>
      </c>
      <c r="U188" s="66">
        <f t="shared" si="160"/>
        <v>1.1965363814914951E-2</v>
      </c>
      <c r="V188" s="66">
        <f t="shared" si="160"/>
        <v>1.1899635383823305E-2</v>
      </c>
      <c r="W188" s="66">
        <f t="shared" si="160"/>
        <v>1.1853839274897167E-2</v>
      </c>
      <c r="X188" s="66">
        <f t="shared" si="160"/>
        <v>1.1822284136036714E-2</v>
      </c>
      <c r="Y188" s="66">
        <f t="shared" si="160"/>
        <v>1.1800718461220359E-2</v>
      </c>
      <c r="Z188" s="66">
        <f t="shared" si="160"/>
        <v>1.1786066637207805E-2</v>
      </c>
      <c r="AA188" s="66">
        <f t="shared" si="160"/>
        <v>1.1776153795239436E-2</v>
      </c>
      <c r="AB188" s="66">
        <f t="shared" si="160"/>
        <v>1.1769466826555438E-2</v>
      </c>
      <c r="AC188" s="66">
        <f t="shared" si="160"/>
        <v>1.176496510584139E-2</v>
      </c>
    </row>
    <row r="189" spans="1:29" x14ac:dyDescent="0.25">
      <c r="A189" s="59" t="str">
        <f>A152</f>
        <v>Payload loss (fuel)</v>
      </c>
      <c r="B189" s="66">
        <f>B177/(B150-B152)-B177/B150</f>
        <v>4.2557979310601894E-4</v>
      </c>
      <c r="C189" s="66">
        <f t="shared" ref="C189:AC189" si="161">C177/(C150-C152)-C177/C150</f>
        <v>4.237378735185808E-4</v>
      </c>
      <c r="D189" s="66">
        <f t="shared" si="161"/>
        <v>4.2112901040389054E-4</v>
      </c>
      <c r="E189" s="66">
        <f t="shared" si="161"/>
        <v>4.1745443271928688E-4</v>
      </c>
      <c r="F189" s="66">
        <f t="shared" si="161"/>
        <v>4.1232067312266772E-4</v>
      </c>
      <c r="G189" s="66">
        <f t="shared" si="161"/>
        <v>4.0523190341163265E-4</v>
      </c>
      <c r="H189" s="66">
        <f t="shared" si="161"/>
        <v>3.9560601502347699E-4</v>
      </c>
      <c r="I189" s="66">
        <f t="shared" si="161"/>
        <v>3.8283810176339972E-4</v>
      </c>
      <c r="J189" s="66">
        <f t="shared" si="161"/>
        <v>3.6643817706589511E-4</v>
      </c>
      <c r="K189" s="66">
        <f t="shared" si="161"/>
        <v>3.4625152059970278E-4</v>
      </c>
      <c r="L189" s="66">
        <f t="shared" si="161"/>
        <v>3.2271133874244885E-4</v>
      </c>
      <c r="M189" s="66">
        <f t="shared" si="161"/>
        <v>2.9698596833667434E-4</v>
      </c>
      <c r="N189" s="66">
        <f t="shared" si="161"/>
        <v>2.7085008990221371E-4</v>
      </c>
      <c r="O189" s="66">
        <f t="shared" si="161"/>
        <v>2.4624000437836746E-4</v>
      </c>
      <c r="P189" s="66">
        <f t="shared" si="161"/>
        <v>2.2469949116907945E-4</v>
      </c>
      <c r="Q189" s="66">
        <f t="shared" si="161"/>
        <v>2.070312166398084E-4</v>
      </c>
      <c r="R189" s="66">
        <f t="shared" si="161"/>
        <v>1.9329728974632268E-4</v>
      </c>
      <c r="S189" s="66">
        <f t="shared" si="161"/>
        <v>1.8305951432993559E-4</v>
      </c>
      <c r="T189" s="66">
        <f t="shared" si="161"/>
        <v>1.7566231630664411E-4</v>
      </c>
      <c r="U189" s="66">
        <f t="shared" si="161"/>
        <v>1.7043668216149693E-4</v>
      </c>
      <c r="V189" s="66">
        <f t="shared" si="161"/>
        <v>1.6680371965755239E-4</v>
      </c>
      <c r="W189" s="66">
        <f t="shared" si="161"/>
        <v>1.6430628424013091E-4</v>
      </c>
      <c r="X189" s="66">
        <f t="shared" si="161"/>
        <v>1.6260291674224416E-4</v>
      </c>
      <c r="Y189" s="66">
        <f t="shared" si="161"/>
        <v>1.6144748614917159E-4</v>
      </c>
      <c r="Z189" s="66">
        <f t="shared" si="161"/>
        <v>1.606666948438043E-4</v>
      </c>
      <c r="AA189" s="66">
        <f t="shared" si="161"/>
        <v>1.6014043941202372E-4</v>
      </c>
      <c r="AB189" s="66">
        <f t="shared" si="161"/>
        <v>1.5978637111849561E-4</v>
      </c>
      <c r="AC189" s="66">
        <f t="shared" si="161"/>
        <v>1.5954843872538135E-4</v>
      </c>
    </row>
    <row r="190" spans="1:29" ht="15.75" thickBot="1" x14ac:dyDescent="0.3">
      <c r="A190" s="59" t="str">
        <f>A127</f>
        <v>Emission Cost</v>
      </c>
      <c r="B190" s="68">
        <f>B147*B153/B153/(B150)</f>
        <v>3.465044182978748E-5</v>
      </c>
      <c r="C190" s="68">
        <f t="shared" ref="C190:AC190" si="162">C147*C153/C153/(C150)</f>
        <v>3.4617446166526858E-5</v>
      </c>
      <c r="D190" s="68">
        <f t="shared" si="162"/>
        <v>3.4570213609488424E-5</v>
      </c>
      <c r="E190" s="68">
        <f t="shared" si="162"/>
        <v>3.4502644115103047E-5</v>
      </c>
      <c r="F190" s="68">
        <f t="shared" si="162"/>
        <v>3.440607239767715E-5</v>
      </c>
      <c r="G190" s="68">
        <f t="shared" si="162"/>
        <v>3.4268243686896818E-5</v>
      </c>
      <c r="H190" s="68">
        <f t="shared" si="162"/>
        <v>3.4071941789661624E-5</v>
      </c>
      <c r="I190" s="68">
        <f t="shared" si="162"/>
        <v>3.3793221235815644E-5</v>
      </c>
      <c r="J190" s="68">
        <f t="shared" si="162"/>
        <v>3.3399276516289538E-5</v>
      </c>
      <c r="K190" s="68">
        <f t="shared" si="162"/>
        <v>3.2846185237426347E-5</v>
      </c>
      <c r="L190" s="68">
        <f t="shared" si="162"/>
        <v>3.2077187581454992E-5</v>
      </c>
      <c r="M190" s="68">
        <f t="shared" si="162"/>
        <v>3.1022920563377787E-5</v>
      </c>
      <c r="N190" s="68">
        <f t="shared" si="162"/>
        <v>2.9606098661768426E-5</v>
      </c>
      <c r="O190" s="68">
        <f t="shared" si="162"/>
        <v>2.7754038726503228E-5</v>
      </c>
      <c r="P190" s="68">
        <f t="shared" si="162"/>
        <v>2.5421682276796057E-5</v>
      </c>
      <c r="Q190" s="68">
        <f t="shared" si="162"/>
        <v>2.2622921487449813E-5</v>
      </c>
      <c r="R190" s="68">
        <f t="shared" si="162"/>
        <v>1.9458156522970345E-5</v>
      </c>
      <c r="S190" s="68">
        <f t="shared" si="162"/>
        <v>1.6117127134673281E-5</v>
      </c>
      <c r="T190" s="68">
        <f t="shared" si="162"/>
        <v>1.2841842955517715E-5</v>
      </c>
      <c r="U190" s="68">
        <f t="shared" si="162"/>
        <v>9.8602843502420647E-6</v>
      </c>
      <c r="V190" s="68">
        <f t="shared" si="162"/>
        <v>7.3263841178679942E-6</v>
      </c>
      <c r="W190" s="68">
        <f t="shared" si="162"/>
        <v>5.2971838275570789E-6</v>
      </c>
      <c r="X190" s="68">
        <f t="shared" si="162"/>
        <v>3.7488139437139927E-6</v>
      </c>
      <c r="Y190" s="68">
        <f t="shared" si="162"/>
        <v>2.6106378996451295E-6</v>
      </c>
      <c r="Z190" s="68">
        <f t="shared" si="162"/>
        <v>1.7968584937466979E-6</v>
      </c>
      <c r="AA190" s="68">
        <f t="shared" si="162"/>
        <v>1.2265193088701544E-6</v>
      </c>
      <c r="AB190" s="68">
        <f t="shared" si="162"/>
        <v>8.3237987633449619E-7</v>
      </c>
      <c r="AC190" s="68">
        <f t="shared" si="162"/>
        <v>5.6265062192906486E-7</v>
      </c>
    </row>
    <row r="191" spans="1:29" ht="15.75" thickBot="1" x14ac:dyDescent="0.3">
      <c r="A191" s="31" t="s">
        <v>210</v>
      </c>
      <c r="B191" s="67">
        <f>B180+B181+B182+B183+B184+B185+B186+B187+B188+B189+B190</f>
        <v>2.744063606332638E-2</v>
      </c>
      <c r="C191" s="67">
        <f t="shared" ref="C191:AC191" si="163">C180+C181+C182+C183+C184+C185+C186+C187+C188+C189+C190</f>
        <v>2.7401302654607329E-2</v>
      </c>
      <c r="D191" s="67">
        <f t="shared" si="163"/>
        <v>2.7345460352698088E-2</v>
      </c>
      <c r="E191" s="67">
        <f t="shared" si="163"/>
        <v>2.7266543524339468E-2</v>
      </c>
      <c r="F191" s="67">
        <f t="shared" si="163"/>
        <v>2.7155767005326771E-2</v>
      </c>
      <c r="G191" s="67">
        <f t="shared" si="163"/>
        <v>2.7001788109189413E-2</v>
      </c>
      <c r="H191" s="67">
        <f t="shared" si="163"/>
        <v>2.6790764140396949E-2</v>
      </c>
      <c r="I191" s="67">
        <f t="shared" si="163"/>
        <v>2.6507303838397053E-2</v>
      </c>
      <c r="J191" s="67">
        <f t="shared" si="163"/>
        <v>2.6136987285402046E-2</v>
      </c>
      <c r="K191" s="67">
        <f t="shared" si="163"/>
        <v>2.5670968897871273E-2</v>
      </c>
      <c r="L191" s="67">
        <f t="shared" si="163"/>
        <v>2.511219663009346E-2</v>
      </c>
      <c r="M191" s="67">
        <f t="shared" si="163"/>
        <v>2.4480812016437991E-2</v>
      </c>
      <c r="N191" s="67">
        <f t="shared" si="163"/>
        <v>2.3814572042980521E-2</v>
      </c>
      <c r="O191" s="67">
        <f t="shared" si="163"/>
        <v>2.3161368479902137E-2</v>
      </c>
      <c r="P191" s="67">
        <f t="shared" si="163"/>
        <v>2.2566091413116576E-2</v>
      </c>
      <c r="Q191" s="67">
        <f t="shared" si="163"/>
        <v>2.2058914887029532E-2</v>
      </c>
      <c r="R191" s="67">
        <f t="shared" si="163"/>
        <v>2.1651008160032313E-2</v>
      </c>
      <c r="S191" s="67">
        <f t="shared" si="163"/>
        <v>2.1337828324925777E-2</v>
      </c>
      <c r="T191" s="67">
        <f t="shared" si="163"/>
        <v>2.1105824042914233E-2</v>
      </c>
      <c r="U191" s="67">
        <f t="shared" si="163"/>
        <v>2.0938508113814928E-2</v>
      </c>
      <c r="V191" s="67">
        <f t="shared" si="163"/>
        <v>2.0820232538941833E-2</v>
      </c>
      <c r="W191" s="67">
        <f t="shared" si="163"/>
        <v>2.0737858169350917E-2</v>
      </c>
      <c r="X191" s="67">
        <f t="shared" si="163"/>
        <v>2.0681116768956887E-2</v>
      </c>
      <c r="Y191" s="67">
        <f t="shared" si="163"/>
        <v>2.0642346789265523E-2</v>
      </c>
      <c r="Z191" s="67">
        <f t="shared" si="163"/>
        <v>2.0616010490961515E-2</v>
      </c>
      <c r="AA191" s="67">
        <f t="shared" si="163"/>
        <v>2.0598194394887227E-2</v>
      </c>
      <c r="AB191" s="67">
        <f t="shared" si="163"/>
        <v>2.058617700912161E-2</v>
      </c>
      <c r="AC191" s="67">
        <f t="shared" si="163"/>
        <v>2.0578087238273764E-2</v>
      </c>
    </row>
    <row r="193" spans="2:2" x14ac:dyDescent="0.25">
      <c r="B193" s="40"/>
    </row>
    <row r="215" spans="1:44" s="3" customFormat="1" ht="21" x14ac:dyDescent="0.35">
      <c r="A215" s="2" t="str">
        <f>'Parameter Input'!A114</f>
        <v>Railway long-haul: Container</v>
      </c>
    </row>
    <row r="216" spans="1:44" s="3" customFormat="1" ht="21" x14ac:dyDescent="0.35">
      <c r="A216" s="2" t="s">
        <v>87</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Input'!$L$115</f>
        <v>10000000</v>
      </c>
      <c r="C225" s="42">
        <f>'Parameter Input'!$M$115</f>
        <v>6250000</v>
      </c>
      <c r="D225" s="1" t="s">
        <v>15</v>
      </c>
      <c r="L225" s="51">
        <f>'Parameter Input'!$O$115</f>
        <v>12</v>
      </c>
      <c r="M225" s="52">
        <v>0</v>
      </c>
      <c r="N225" s="52">
        <v>1</v>
      </c>
      <c r="O225" s="52">
        <f>'Parameter Input'!$P$115</f>
        <v>0.9</v>
      </c>
      <c r="P225" s="53">
        <f>'Parameter Input'!$Q$115</f>
        <v>0.4</v>
      </c>
      <c r="Q225" s="4">
        <f t="shared" ref="Q225:AR234" si="164">$N225+($M225-$N225)*((1/(1+EXP(-$P225*(Q$9-$L225)))^$O225))</f>
        <v>0.9867978615748374</v>
      </c>
      <c r="R225" s="4">
        <f t="shared" si="164"/>
        <v>0.98114509762858249</v>
      </c>
      <c r="S225" s="4">
        <f t="shared" si="164"/>
        <v>0.97311898315872036</v>
      </c>
      <c r="T225" s="4">
        <f t="shared" si="164"/>
        <v>0.96177484161592774</v>
      </c>
      <c r="U225" s="4">
        <f t="shared" si="164"/>
        <v>0.94584787155511363</v>
      </c>
      <c r="V225" s="4">
        <f t="shared" si="164"/>
        <v>0.92370360150141495</v>
      </c>
      <c r="W225" s="4">
        <f t="shared" si="164"/>
        <v>0.89334463567658451</v>
      </c>
      <c r="X225" s="4">
        <f t="shared" si="164"/>
        <v>0.85254543874327005</v>
      </c>
      <c r="Y225" s="4">
        <f t="shared" si="164"/>
        <v>0.79921300652623883</v>
      </c>
      <c r="Z225" s="4">
        <f t="shared" si="164"/>
        <v>0.73204982249993378</v>
      </c>
      <c r="AA225" s="4">
        <f t="shared" si="164"/>
        <v>0.65145592958786691</v>
      </c>
      <c r="AB225" s="4">
        <f t="shared" si="164"/>
        <v>0.56032247880849573</v>
      </c>
      <c r="AC225" s="4">
        <f t="shared" si="164"/>
        <v>0.46411326873185343</v>
      </c>
      <c r="AD225" s="4">
        <f t="shared" si="164"/>
        <v>0.36979727595523937</v>
      </c>
      <c r="AE225" s="4">
        <f t="shared" si="164"/>
        <v>0.28393948637231203</v>
      </c>
      <c r="AF225" s="4">
        <f t="shared" si="164"/>
        <v>0.21097259161117732</v>
      </c>
      <c r="AG225" s="4">
        <f t="shared" si="164"/>
        <v>0.15253917653798199</v>
      </c>
      <c r="AH225" s="4">
        <f t="shared" si="164"/>
        <v>0.10795188737709993</v>
      </c>
      <c r="AI225" s="4">
        <f t="shared" si="164"/>
        <v>7.5176653938091809E-2</v>
      </c>
      <c r="AJ225" s="4">
        <f t="shared" si="164"/>
        <v>5.1742836177502194E-2</v>
      </c>
      <c r="AK225" s="4">
        <f t="shared" si="164"/>
        <v>3.5319190625345942E-2</v>
      </c>
      <c r="AL225" s="4">
        <f t="shared" si="164"/>
        <v>2.3969442072658165E-2</v>
      </c>
      <c r="AM225" s="4">
        <f t="shared" si="164"/>
        <v>1.6202243558389728E-2</v>
      </c>
      <c r="AN225" s="4">
        <f t="shared" si="164"/>
        <v>1.0922240564108399E-2</v>
      </c>
      <c r="AO225" s="4">
        <f t="shared" si="164"/>
        <v>7.3493212906090566E-3</v>
      </c>
      <c r="AP225" s="4">
        <f t="shared" si="164"/>
        <v>4.9390262185057265E-3</v>
      </c>
      <c r="AQ225" s="4">
        <f t="shared" si="164"/>
        <v>3.3164275492956197E-3</v>
      </c>
      <c r="AR225" s="4">
        <f t="shared" si="164"/>
        <v>2.2256362146679809E-3</v>
      </c>
    </row>
    <row r="226" spans="1:44" x14ac:dyDescent="0.25">
      <c r="A226" s="24" t="s">
        <v>28</v>
      </c>
      <c r="B226" s="60">
        <f>'Parameter Input'!$L$116</f>
        <v>-500000</v>
      </c>
      <c r="C226" s="61">
        <f>'Parameter Input'!$M$116</f>
        <v>-937500</v>
      </c>
      <c r="D226" s="1" t="s">
        <v>15</v>
      </c>
      <c r="L226" s="54">
        <f>'Parameter Input'!$O$116</f>
        <v>12</v>
      </c>
      <c r="M226" s="37">
        <v>0</v>
      </c>
      <c r="N226" s="37">
        <v>1</v>
      </c>
      <c r="O226" s="37">
        <f>'Parameter Input'!$P$116</f>
        <v>0.9</v>
      </c>
      <c r="P226" s="55">
        <f>'Parameter Input'!$Q$116</f>
        <v>0.4</v>
      </c>
      <c r="Q226" s="4">
        <f t="shared" si="164"/>
        <v>0.9867978615748374</v>
      </c>
      <c r="R226" s="4">
        <f t="shared" si="164"/>
        <v>0.98114509762858249</v>
      </c>
      <c r="S226" s="4">
        <f t="shared" si="164"/>
        <v>0.97311898315872036</v>
      </c>
      <c r="T226" s="4">
        <f t="shared" si="164"/>
        <v>0.96177484161592774</v>
      </c>
      <c r="U226" s="4">
        <f t="shared" si="164"/>
        <v>0.94584787155511363</v>
      </c>
      <c r="V226" s="4">
        <f t="shared" si="164"/>
        <v>0.92370360150141495</v>
      </c>
      <c r="W226" s="4">
        <f t="shared" si="164"/>
        <v>0.89334463567658451</v>
      </c>
      <c r="X226" s="4">
        <f t="shared" si="164"/>
        <v>0.85254543874327005</v>
      </c>
      <c r="Y226" s="4">
        <f t="shared" si="164"/>
        <v>0.79921300652623883</v>
      </c>
      <c r="Z226" s="4">
        <f t="shared" si="164"/>
        <v>0.73204982249993378</v>
      </c>
      <c r="AA226" s="4">
        <f t="shared" si="164"/>
        <v>0.65145592958786691</v>
      </c>
      <c r="AB226" s="4">
        <f t="shared" si="164"/>
        <v>0.56032247880849573</v>
      </c>
      <c r="AC226" s="4">
        <f t="shared" si="164"/>
        <v>0.46411326873185343</v>
      </c>
      <c r="AD226" s="4">
        <f t="shared" si="164"/>
        <v>0.36979727595523937</v>
      </c>
      <c r="AE226" s="4">
        <f t="shared" si="164"/>
        <v>0.28393948637231203</v>
      </c>
      <c r="AF226" s="4">
        <f t="shared" si="164"/>
        <v>0.21097259161117732</v>
      </c>
      <c r="AG226" s="4">
        <f t="shared" si="164"/>
        <v>0.15253917653798199</v>
      </c>
      <c r="AH226" s="4">
        <f t="shared" si="164"/>
        <v>0.10795188737709993</v>
      </c>
      <c r="AI226" s="4">
        <f t="shared" si="164"/>
        <v>7.5176653938091809E-2</v>
      </c>
      <c r="AJ226" s="4">
        <f t="shared" si="164"/>
        <v>5.1742836177502194E-2</v>
      </c>
      <c r="AK226" s="4">
        <f t="shared" si="164"/>
        <v>3.5319190625345942E-2</v>
      </c>
      <c r="AL226" s="4">
        <f t="shared" si="164"/>
        <v>2.3969442072658165E-2</v>
      </c>
      <c r="AM226" s="4">
        <f t="shared" si="164"/>
        <v>1.6202243558389728E-2</v>
      </c>
      <c r="AN226" s="4">
        <f t="shared" si="164"/>
        <v>1.0922240564108399E-2</v>
      </c>
      <c r="AO226" s="4">
        <f t="shared" si="164"/>
        <v>7.3493212906090566E-3</v>
      </c>
      <c r="AP226" s="4">
        <f t="shared" si="164"/>
        <v>4.9390262185057265E-3</v>
      </c>
      <c r="AQ226" s="4">
        <f t="shared" si="164"/>
        <v>3.3164275492956197E-3</v>
      </c>
      <c r="AR226" s="4">
        <f t="shared" si="164"/>
        <v>2.2256362146679809E-3</v>
      </c>
    </row>
    <row r="227" spans="1:44" x14ac:dyDescent="0.25">
      <c r="A227" s="24" t="s">
        <v>14</v>
      </c>
      <c r="B227" s="43">
        <f>'Parameter Input'!B115</f>
        <v>2800000</v>
      </c>
      <c r="C227" s="44">
        <f>'Parameter Input'!C115</f>
        <v>2800000</v>
      </c>
      <c r="D227" s="1" t="s">
        <v>15</v>
      </c>
      <c r="L227" s="54">
        <f>'Parameter Input'!E115</f>
        <v>12</v>
      </c>
      <c r="M227" s="37">
        <v>0</v>
      </c>
      <c r="N227" s="37">
        <v>1</v>
      </c>
      <c r="O227" s="37">
        <f>'Parameter Input'!F115</f>
        <v>0.9</v>
      </c>
      <c r="P227" s="55">
        <f>'Parameter Input'!G115</f>
        <v>0.4</v>
      </c>
      <c r="Q227" s="4">
        <f t="shared" si="164"/>
        <v>0.9867978615748374</v>
      </c>
      <c r="R227" s="4">
        <f t="shared" si="164"/>
        <v>0.98114509762858249</v>
      </c>
      <c r="S227" s="4">
        <f t="shared" si="164"/>
        <v>0.97311898315872036</v>
      </c>
      <c r="T227" s="4">
        <f t="shared" si="164"/>
        <v>0.96177484161592774</v>
      </c>
      <c r="U227" s="4">
        <f t="shared" si="164"/>
        <v>0.94584787155511363</v>
      </c>
      <c r="V227" s="4">
        <f t="shared" si="164"/>
        <v>0.92370360150141495</v>
      </c>
      <c r="W227" s="4">
        <f t="shared" si="164"/>
        <v>0.89334463567658451</v>
      </c>
      <c r="X227" s="4">
        <f t="shared" si="164"/>
        <v>0.85254543874327005</v>
      </c>
      <c r="Y227" s="4">
        <f t="shared" si="164"/>
        <v>0.79921300652623883</v>
      </c>
      <c r="Z227" s="4">
        <f t="shared" si="164"/>
        <v>0.73204982249993378</v>
      </c>
      <c r="AA227" s="4">
        <f t="shared" si="164"/>
        <v>0.65145592958786691</v>
      </c>
      <c r="AB227" s="4">
        <f t="shared" si="164"/>
        <v>0.56032247880849573</v>
      </c>
      <c r="AC227" s="4">
        <f t="shared" si="164"/>
        <v>0.46411326873185343</v>
      </c>
      <c r="AD227" s="4">
        <f t="shared" si="164"/>
        <v>0.36979727595523937</v>
      </c>
      <c r="AE227" s="4">
        <f t="shared" si="164"/>
        <v>0.28393948637231203</v>
      </c>
      <c r="AF227" s="4">
        <f t="shared" si="164"/>
        <v>0.21097259161117732</v>
      </c>
      <c r="AG227" s="4">
        <f t="shared" si="164"/>
        <v>0.15253917653798199</v>
      </c>
      <c r="AH227" s="4">
        <f t="shared" si="164"/>
        <v>0.10795188737709993</v>
      </c>
      <c r="AI227" s="4">
        <f t="shared" si="164"/>
        <v>7.5176653938091809E-2</v>
      </c>
      <c r="AJ227" s="4">
        <f t="shared" si="164"/>
        <v>5.1742836177502194E-2</v>
      </c>
      <c r="AK227" s="4">
        <f t="shared" si="164"/>
        <v>3.5319190625345942E-2</v>
      </c>
      <c r="AL227" s="4">
        <f t="shared" si="164"/>
        <v>2.3969442072658165E-2</v>
      </c>
      <c r="AM227" s="4">
        <f t="shared" si="164"/>
        <v>1.6202243558389728E-2</v>
      </c>
      <c r="AN227" s="4">
        <f t="shared" si="164"/>
        <v>1.0922240564108399E-2</v>
      </c>
      <c r="AO227" s="4">
        <f t="shared" si="164"/>
        <v>7.3493212906090566E-3</v>
      </c>
      <c r="AP227" s="4">
        <f t="shared" si="164"/>
        <v>4.9390262185057265E-3</v>
      </c>
      <c r="AQ227" s="4">
        <f t="shared" si="164"/>
        <v>3.3164275492956197E-3</v>
      </c>
      <c r="AR227" s="4">
        <f t="shared" si="164"/>
        <v>2.2256362146679809E-3</v>
      </c>
    </row>
    <row r="228" spans="1:44" x14ac:dyDescent="0.25">
      <c r="A228" s="24" t="s">
        <v>25</v>
      </c>
      <c r="B228" s="60">
        <f>'Parameter Input'!B116</f>
        <v>-140000</v>
      </c>
      <c r="C228" s="61">
        <f>'Parameter Input'!C116</f>
        <v>-140000</v>
      </c>
      <c r="D228" s="1" t="s">
        <v>15</v>
      </c>
      <c r="L228" s="54">
        <f>'Parameter Input'!E116</f>
        <v>12</v>
      </c>
      <c r="M228" s="37">
        <v>0</v>
      </c>
      <c r="N228" s="37">
        <v>1</v>
      </c>
      <c r="O228" s="37">
        <f>'Parameter Input'!F116</f>
        <v>0.9</v>
      </c>
      <c r="P228" s="55">
        <f>'Parameter Input'!G116</f>
        <v>0.4</v>
      </c>
      <c r="Q228" s="4">
        <f t="shared" si="164"/>
        <v>0.9867978615748374</v>
      </c>
      <c r="R228" s="4">
        <f t="shared" si="164"/>
        <v>0.98114509762858249</v>
      </c>
      <c r="S228" s="4">
        <f t="shared" si="164"/>
        <v>0.97311898315872036</v>
      </c>
      <c r="T228" s="4">
        <f t="shared" si="164"/>
        <v>0.96177484161592774</v>
      </c>
      <c r="U228" s="4">
        <f t="shared" si="164"/>
        <v>0.94584787155511363</v>
      </c>
      <c r="V228" s="4">
        <f t="shared" si="164"/>
        <v>0.92370360150141495</v>
      </c>
      <c r="W228" s="4">
        <f t="shared" si="164"/>
        <v>0.89334463567658451</v>
      </c>
      <c r="X228" s="4">
        <f t="shared" si="164"/>
        <v>0.85254543874327005</v>
      </c>
      <c r="Y228" s="4">
        <f t="shared" si="164"/>
        <v>0.79921300652623883</v>
      </c>
      <c r="Z228" s="4">
        <f t="shared" si="164"/>
        <v>0.73204982249993378</v>
      </c>
      <c r="AA228" s="4">
        <f t="shared" si="164"/>
        <v>0.65145592958786691</v>
      </c>
      <c r="AB228" s="4">
        <f t="shared" si="164"/>
        <v>0.56032247880849573</v>
      </c>
      <c r="AC228" s="4">
        <f t="shared" si="164"/>
        <v>0.46411326873185343</v>
      </c>
      <c r="AD228" s="4">
        <f t="shared" si="164"/>
        <v>0.36979727595523937</v>
      </c>
      <c r="AE228" s="4">
        <f t="shared" si="164"/>
        <v>0.28393948637231203</v>
      </c>
      <c r="AF228" s="4">
        <f t="shared" si="164"/>
        <v>0.21097259161117732</v>
      </c>
      <c r="AG228" s="4">
        <f t="shared" si="164"/>
        <v>0.15253917653798199</v>
      </c>
      <c r="AH228" s="4">
        <f t="shared" si="164"/>
        <v>0.10795188737709993</v>
      </c>
      <c r="AI228" s="4">
        <f t="shared" si="164"/>
        <v>7.5176653938091809E-2</v>
      </c>
      <c r="AJ228" s="4">
        <f t="shared" si="164"/>
        <v>5.1742836177502194E-2</v>
      </c>
      <c r="AK228" s="4">
        <f t="shared" si="164"/>
        <v>3.5319190625345942E-2</v>
      </c>
      <c r="AL228" s="4">
        <f t="shared" si="164"/>
        <v>2.3969442072658165E-2</v>
      </c>
      <c r="AM228" s="4">
        <f t="shared" si="164"/>
        <v>1.6202243558389728E-2</v>
      </c>
      <c r="AN228" s="4">
        <f t="shared" si="164"/>
        <v>1.0922240564108399E-2</v>
      </c>
      <c r="AO228" s="4">
        <f t="shared" si="164"/>
        <v>7.3493212906090566E-3</v>
      </c>
      <c r="AP228" s="4">
        <f t="shared" si="164"/>
        <v>4.9390262185057265E-3</v>
      </c>
      <c r="AQ228" s="4">
        <f t="shared" si="164"/>
        <v>3.3164275492956197E-3</v>
      </c>
      <c r="AR228" s="4">
        <f t="shared" si="164"/>
        <v>2.2256362146679809E-3</v>
      </c>
    </row>
    <row r="229" spans="1:44" x14ac:dyDescent="0.25">
      <c r="A229" s="24" t="s">
        <v>79</v>
      </c>
      <c r="B229" s="45">
        <f>'Parameter Input'!$L$122</f>
        <v>0.06</v>
      </c>
      <c r="C229" s="46">
        <f>'Parameter Input'!$M$122</f>
        <v>0.06</v>
      </c>
      <c r="D229" s="1" t="s">
        <v>57</v>
      </c>
      <c r="L229" s="54">
        <f>'Parameter Input'!$O$122</f>
        <v>12</v>
      </c>
      <c r="M229" s="37">
        <v>0</v>
      </c>
      <c r="N229" s="37">
        <v>1</v>
      </c>
      <c r="O229" s="37">
        <f>'Parameter Input'!$P$122</f>
        <v>0.9</v>
      </c>
      <c r="P229" s="55">
        <f>'Parameter Input'!$Q$122</f>
        <v>0.4</v>
      </c>
      <c r="Q229" s="4">
        <f t="shared" si="164"/>
        <v>0.9867978615748374</v>
      </c>
      <c r="R229" s="4">
        <f t="shared" si="164"/>
        <v>0.98114509762858249</v>
      </c>
      <c r="S229" s="4">
        <f t="shared" si="164"/>
        <v>0.97311898315872036</v>
      </c>
      <c r="T229" s="4">
        <f t="shared" si="164"/>
        <v>0.96177484161592774</v>
      </c>
      <c r="U229" s="4">
        <f t="shared" si="164"/>
        <v>0.94584787155511363</v>
      </c>
      <c r="V229" s="4">
        <f t="shared" si="164"/>
        <v>0.92370360150141495</v>
      </c>
      <c r="W229" s="4">
        <f t="shared" si="164"/>
        <v>0.89334463567658451</v>
      </c>
      <c r="X229" s="4">
        <f t="shared" si="164"/>
        <v>0.85254543874327005</v>
      </c>
      <c r="Y229" s="4">
        <f t="shared" si="164"/>
        <v>0.79921300652623883</v>
      </c>
      <c r="Z229" s="4">
        <f t="shared" si="164"/>
        <v>0.73204982249993378</v>
      </c>
      <c r="AA229" s="4">
        <f t="shared" si="164"/>
        <v>0.65145592958786691</v>
      </c>
      <c r="AB229" s="4">
        <f t="shared" si="164"/>
        <v>0.56032247880849573</v>
      </c>
      <c r="AC229" s="4">
        <f t="shared" si="164"/>
        <v>0.46411326873185343</v>
      </c>
      <c r="AD229" s="4">
        <f t="shared" si="164"/>
        <v>0.36979727595523937</v>
      </c>
      <c r="AE229" s="4">
        <f t="shared" si="164"/>
        <v>0.28393948637231203</v>
      </c>
      <c r="AF229" s="4">
        <f t="shared" si="164"/>
        <v>0.21097259161117732</v>
      </c>
      <c r="AG229" s="4">
        <f t="shared" si="164"/>
        <v>0.15253917653798199</v>
      </c>
      <c r="AH229" s="4">
        <f t="shared" si="164"/>
        <v>0.10795188737709993</v>
      </c>
      <c r="AI229" s="4">
        <f t="shared" si="164"/>
        <v>7.5176653938091809E-2</v>
      </c>
      <c r="AJ229" s="4">
        <f t="shared" si="164"/>
        <v>5.1742836177502194E-2</v>
      </c>
      <c r="AK229" s="4">
        <f t="shared" si="164"/>
        <v>3.5319190625345942E-2</v>
      </c>
      <c r="AL229" s="4">
        <f t="shared" si="164"/>
        <v>2.3969442072658165E-2</v>
      </c>
      <c r="AM229" s="4">
        <f t="shared" si="164"/>
        <v>1.6202243558389728E-2</v>
      </c>
      <c r="AN229" s="4">
        <f t="shared" si="164"/>
        <v>1.0922240564108399E-2</v>
      </c>
      <c r="AO229" s="4">
        <f t="shared" si="164"/>
        <v>7.3493212906090566E-3</v>
      </c>
      <c r="AP229" s="4">
        <f t="shared" si="164"/>
        <v>4.9390262185057265E-3</v>
      </c>
      <c r="AQ229" s="4">
        <f t="shared" si="164"/>
        <v>3.3164275492956197E-3</v>
      </c>
      <c r="AR229" s="4">
        <f t="shared" si="164"/>
        <v>2.2256362146679809E-3</v>
      </c>
    </row>
    <row r="230" spans="1:44" x14ac:dyDescent="0.25">
      <c r="A230" s="24" t="s">
        <v>37</v>
      </c>
      <c r="B230" s="43">
        <f>'Parameter Input'!B117</f>
        <v>610000</v>
      </c>
      <c r="C230" s="44">
        <f>'Parameter Input'!C117</f>
        <v>610000</v>
      </c>
      <c r="D230" s="1" t="s">
        <v>38</v>
      </c>
      <c r="L230" s="54">
        <f>'Parameter Input'!E117</f>
        <v>12</v>
      </c>
      <c r="M230" s="37">
        <v>0</v>
      </c>
      <c r="N230" s="37">
        <v>1</v>
      </c>
      <c r="O230" s="37">
        <f>'Parameter Input'!F117</f>
        <v>0.9</v>
      </c>
      <c r="P230" s="55">
        <f>'Parameter Input'!G117</f>
        <v>0.4</v>
      </c>
      <c r="Q230" s="4">
        <f t="shared" si="164"/>
        <v>0.9867978615748374</v>
      </c>
      <c r="R230" s="4">
        <f t="shared" si="164"/>
        <v>0.98114509762858249</v>
      </c>
      <c r="S230" s="4">
        <f t="shared" si="164"/>
        <v>0.97311898315872036</v>
      </c>
      <c r="T230" s="4">
        <f t="shared" si="164"/>
        <v>0.96177484161592774</v>
      </c>
      <c r="U230" s="4">
        <f t="shared" si="164"/>
        <v>0.94584787155511363</v>
      </c>
      <c r="V230" s="4">
        <f t="shared" si="164"/>
        <v>0.92370360150141495</v>
      </c>
      <c r="W230" s="4">
        <f t="shared" si="164"/>
        <v>0.89334463567658451</v>
      </c>
      <c r="X230" s="4">
        <f t="shared" si="164"/>
        <v>0.85254543874327005</v>
      </c>
      <c r="Y230" s="4">
        <f t="shared" si="164"/>
        <v>0.79921300652623883</v>
      </c>
      <c r="Z230" s="4">
        <f t="shared" si="164"/>
        <v>0.73204982249993378</v>
      </c>
      <c r="AA230" s="4">
        <f t="shared" si="164"/>
        <v>0.65145592958786691</v>
      </c>
      <c r="AB230" s="4">
        <f t="shared" si="164"/>
        <v>0.56032247880849573</v>
      </c>
      <c r="AC230" s="4">
        <f t="shared" si="164"/>
        <v>0.46411326873185343</v>
      </c>
      <c r="AD230" s="4">
        <f t="shared" si="164"/>
        <v>0.36979727595523937</v>
      </c>
      <c r="AE230" s="4">
        <f t="shared" si="164"/>
        <v>0.28393948637231203</v>
      </c>
      <c r="AF230" s="4">
        <f t="shared" si="164"/>
        <v>0.21097259161117732</v>
      </c>
      <c r="AG230" s="4">
        <f t="shared" si="164"/>
        <v>0.15253917653798199</v>
      </c>
      <c r="AH230" s="4">
        <f t="shared" si="164"/>
        <v>0.10795188737709993</v>
      </c>
      <c r="AI230" s="4">
        <f t="shared" si="164"/>
        <v>7.5176653938091809E-2</v>
      </c>
      <c r="AJ230" s="4">
        <f t="shared" si="164"/>
        <v>5.1742836177502194E-2</v>
      </c>
      <c r="AK230" s="4">
        <f t="shared" si="164"/>
        <v>3.5319190625345942E-2</v>
      </c>
      <c r="AL230" s="4">
        <f t="shared" si="164"/>
        <v>2.3969442072658165E-2</v>
      </c>
      <c r="AM230" s="4">
        <f t="shared" si="164"/>
        <v>1.6202243558389728E-2</v>
      </c>
      <c r="AN230" s="4">
        <f t="shared" si="164"/>
        <v>1.0922240564108399E-2</v>
      </c>
      <c r="AO230" s="4">
        <f t="shared" si="164"/>
        <v>7.3493212906090566E-3</v>
      </c>
      <c r="AP230" s="4">
        <f t="shared" si="164"/>
        <v>4.9390262185057265E-3</v>
      </c>
      <c r="AQ230" s="4">
        <f t="shared" si="164"/>
        <v>3.3164275492956197E-3</v>
      </c>
      <c r="AR230" s="4">
        <f t="shared" si="164"/>
        <v>2.2256362146679809E-3</v>
      </c>
    </row>
    <row r="231" spans="1:44" x14ac:dyDescent="0.25">
      <c r="A231" s="24" t="s">
        <v>52</v>
      </c>
      <c r="B231" s="43">
        <f>'Parameter Input'!$L$118</f>
        <v>1300000</v>
      </c>
      <c r="C231" s="44">
        <f>'Parameter Input'!$M$118</f>
        <v>812500</v>
      </c>
      <c r="D231" s="1" t="s">
        <v>38</v>
      </c>
      <c r="L231" s="54">
        <f>'Parameter Input'!$O$118</f>
        <v>12</v>
      </c>
      <c r="M231" s="37">
        <v>0</v>
      </c>
      <c r="N231" s="37">
        <v>1</v>
      </c>
      <c r="O231" s="37">
        <f>'Parameter Input'!$P$118</f>
        <v>0.9</v>
      </c>
      <c r="P231" s="55">
        <f>'Parameter Input'!$Q$118</f>
        <v>0.4</v>
      </c>
      <c r="Q231" s="4">
        <f t="shared" si="164"/>
        <v>0.9867978615748374</v>
      </c>
      <c r="R231" s="4">
        <f t="shared" si="164"/>
        <v>0.98114509762858249</v>
      </c>
      <c r="S231" s="4">
        <f t="shared" si="164"/>
        <v>0.97311898315872036</v>
      </c>
      <c r="T231" s="4">
        <f t="shared" si="164"/>
        <v>0.96177484161592774</v>
      </c>
      <c r="U231" s="4">
        <f t="shared" si="164"/>
        <v>0.94584787155511363</v>
      </c>
      <c r="V231" s="4">
        <f t="shared" si="164"/>
        <v>0.92370360150141495</v>
      </c>
      <c r="W231" s="4">
        <f t="shared" si="164"/>
        <v>0.89334463567658451</v>
      </c>
      <c r="X231" s="4">
        <f t="shared" si="164"/>
        <v>0.85254543874327005</v>
      </c>
      <c r="Y231" s="4">
        <f t="shared" si="164"/>
        <v>0.79921300652623883</v>
      </c>
      <c r="Z231" s="4">
        <f t="shared" si="164"/>
        <v>0.73204982249993378</v>
      </c>
      <c r="AA231" s="4">
        <f t="shared" si="164"/>
        <v>0.65145592958786691</v>
      </c>
      <c r="AB231" s="4">
        <f t="shared" si="164"/>
        <v>0.56032247880849573</v>
      </c>
      <c r="AC231" s="4">
        <f t="shared" si="164"/>
        <v>0.46411326873185343</v>
      </c>
      <c r="AD231" s="4">
        <f t="shared" si="164"/>
        <v>0.36979727595523937</v>
      </c>
      <c r="AE231" s="4">
        <f t="shared" si="164"/>
        <v>0.28393948637231203</v>
      </c>
      <c r="AF231" s="4">
        <f t="shared" si="164"/>
        <v>0.21097259161117732</v>
      </c>
      <c r="AG231" s="4">
        <f t="shared" si="164"/>
        <v>0.15253917653798199</v>
      </c>
      <c r="AH231" s="4">
        <f t="shared" si="164"/>
        <v>0.10795188737709993</v>
      </c>
      <c r="AI231" s="4">
        <f t="shared" si="164"/>
        <v>7.5176653938091809E-2</v>
      </c>
      <c r="AJ231" s="4">
        <f t="shared" si="164"/>
        <v>5.1742836177502194E-2</v>
      </c>
      <c r="AK231" s="4">
        <f t="shared" si="164"/>
        <v>3.5319190625345942E-2</v>
      </c>
      <c r="AL231" s="4">
        <f t="shared" si="164"/>
        <v>2.3969442072658165E-2</v>
      </c>
      <c r="AM231" s="4">
        <f t="shared" si="164"/>
        <v>1.6202243558389728E-2</v>
      </c>
      <c r="AN231" s="4">
        <f t="shared" si="164"/>
        <v>1.0922240564108399E-2</v>
      </c>
      <c r="AO231" s="4">
        <f t="shared" si="164"/>
        <v>7.3493212906090566E-3</v>
      </c>
      <c r="AP231" s="4">
        <f t="shared" si="164"/>
        <v>4.9390262185057265E-3</v>
      </c>
      <c r="AQ231" s="4">
        <f t="shared" si="164"/>
        <v>3.3164275492956197E-3</v>
      </c>
      <c r="AR231" s="4">
        <f t="shared" si="164"/>
        <v>2.2256362146679809E-3</v>
      </c>
    </row>
    <row r="232" spans="1:44" x14ac:dyDescent="0.25">
      <c r="A232" s="24" t="s">
        <v>287</v>
      </c>
      <c r="B232" s="45">
        <f>'Parameter Input'!B122</f>
        <v>3.6414565826330532</v>
      </c>
      <c r="C232" s="46">
        <f>'Parameter Input'!C122</f>
        <v>3.6414565826330532</v>
      </c>
      <c r="D232" s="1" t="s">
        <v>76</v>
      </c>
      <c r="L232" s="54">
        <f>'Parameter Input'!E122</f>
        <v>12</v>
      </c>
      <c r="M232" s="37">
        <v>0</v>
      </c>
      <c r="N232" s="37">
        <v>1</v>
      </c>
      <c r="O232" s="37">
        <f>'Parameter Input'!F122</f>
        <v>0.9</v>
      </c>
      <c r="P232" s="55">
        <f>'Parameter Input'!G122</f>
        <v>0.4</v>
      </c>
      <c r="Q232" s="4">
        <f t="shared" si="164"/>
        <v>0.9867978615748374</v>
      </c>
      <c r="R232" s="4">
        <f t="shared" si="164"/>
        <v>0.98114509762858249</v>
      </c>
      <c r="S232" s="4">
        <f t="shared" si="164"/>
        <v>0.97311898315872036</v>
      </c>
      <c r="T232" s="4">
        <f t="shared" si="164"/>
        <v>0.96177484161592774</v>
      </c>
      <c r="U232" s="4">
        <f t="shared" si="164"/>
        <v>0.94584787155511363</v>
      </c>
      <c r="V232" s="4">
        <f t="shared" si="164"/>
        <v>0.92370360150141495</v>
      </c>
      <c r="W232" s="4">
        <f t="shared" si="164"/>
        <v>0.89334463567658451</v>
      </c>
      <c r="X232" s="4">
        <f t="shared" si="164"/>
        <v>0.85254543874327005</v>
      </c>
      <c r="Y232" s="4">
        <f t="shared" si="164"/>
        <v>0.79921300652623883</v>
      </c>
      <c r="Z232" s="4">
        <f t="shared" si="164"/>
        <v>0.73204982249993378</v>
      </c>
      <c r="AA232" s="4">
        <f t="shared" si="164"/>
        <v>0.65145592958786691</v>
      </c>
      <c r="AB232" s="4">
        <f t="shared" si="164"/>
        <v>0.56032247880849573</v>
      </c>
      <c r="AC232" s="4">
        <f t="shared" si="164"/>
        <v>0.46411326873185343</v>
      </c>
      <c r="AD232" s="4">
        <f t="shared" si="164"/>
        <v>0.36979727595523937</v>
      </c>
      <c r="AE232" s="4">
        <f t="shared" si="164"/>
        <v>0.28393948637231203</v>
      </c>
      <c r="AF232" s="4">
        <f t="shared" si="164"/>
        <v>0.21097259161117732</v>
      </c>
      <c r="AG232" s="4">
        <f t="shared" si="164"/>
        <v>0.15253917653798199</v>
      </c>
      <c r="AH232" s="4">
        <f t="shared" si="164"/>
        <v>0.10795188737709993</v>
      </c>
      <c r="AI232" s="4">
        <f t="shared" si="164"/>
        <v>7.5176653938091809E-2</v>
      </c>
      <c r="AJ232" s="4">
        <f t="shared" si="164"/>
        <v>5.1742836177502194E-2</v>
      </c>
      <c r="AK232" s="4">
        <f t="shared" si="164"/>
        <v>3.5319190625345942E-2</v>
      </c>
      <c r="AL232" s="4">
        <f t="shared" si="164"/>
        <v>2.3969442072658165E-2</v>
      </c>
      <c r="AM232" s="4">
        <f t="shared" si="164"/>
        <v>1.6202243558389728E-2</v>
      </c>
      <c r="AN232" s="4">
        <f t="shared" si="164"/>
        <v>1.0922240564108399E-2</v>
      </c>
      <c r="AO232" s="4">
        <f t="shared" si="164"/>
        <v>7.3493212906090566E-3</v>
      </c>
      <c r="AP232" s="4">
        <f t="shared" si="164"/>
        <v>4.9390262185057265E-3</v>
      </c>
      <c r="AQ232" s="4">
        <f t="shared" si="164"/>
        <v>3.3164275492956197E-3</v>
      </c>
      <c r="AR232" s="4">
        <f t="shared" si="164"/>
        <v>2.2256362146679809E-3</v>
      </c>
    </row>
    <row r="233" spans="1:44" x14ac:dyDescent="0.25">
      <c r="A233" s="24" t="s">
        <v>59</v>
      </c>
      <c r="B233" s="47">
        <f>'Parameter Input'!$L$119</f>
        <v>33.590199999999996</v>
      </c>
      <c r="C233" s="48">
        <f>'Parameter Input'!$M$119</f>
        <v>33.590199999999996</v>
      </c>
      <c r="D233" s="1" t="s">
        <v>60</v>
      </c>
      <c r="L233" s="54">
        <f>'Parameter Input'!$O$119</f>
        <v>12</v>
      </c>
      <c r="M233" s="37">
        <v>0</v>
      </c>
      <c r="N233" s="37">
        <v>1</v>
      </c>
      <c r="O233" s="37">
        <f>'Parameter Input'!$P$119</f>
        <v>0.9</v>
      </c>
      <c r="P233" s="55">
        <f>'Parameter Input'!$Q$119</f>
        <v>0.4</v>
      </c>
      <c r="Q233" s="4">
        <f t="shared" si="164"/>
        <v>0.9867978615748374</v>
      </c>
      <c r="R233" s="4">
        <f t="shared" si="164"/>
        <v>0.98114509762858249</v>
      </c>
      <c r="S233" s="4">
        <f t="shared" si="164"/>
        <v>0.97311898315872036</v>
      </c>
      <c r="T233" s="4">
        <f t="shared" si="164"/>
        <v>0.96177484161592774</v>
      </c>
      <c r="U233" s="4">
        <f t="shared" si="164"/>
        <v>0.94584787155511363</v>
      </c>
      <c r="V233" s="4">
        <f t="shared" si="164"/>
        <v>0.92370360150141495</v>
      </c>
      <c r="W233" s="4">
        <f t="shared" si="164"/>
        <v>0.89334463567658451</v>
      </c>
      <c r="X233" s="4">
        <f t="shared" si="164"/>
        <v>0.85254543874327005</v>
      </c>
      <c r="Y233" s="4">
        <f t="shared" si="164"/>
        <v>0.79921300652623883</v>
      </c>
      <c r="Z233" s="4">
        <f t="shared" si="164"/>
        <v>0.73204982249993378</v>
      </c>
      <c r="AA233" s="4">
        <f t="shared" si="164"/>
        <v>0.65145592958786691</v>
      </c>
      <c r="AB233" s="4">
        <f t="shared" si="164"/>
        <v>0.56032247880849573</v>
      </c>
      <c r="AC233" s="4">
        <f t="shared" si="164"/>
        <v>0.46411326873185343</v>
      </c>
      <c r="AD233" s="4">
        <f t="shared" si="164"/>
        <v>0.36979727595523937</v>
      </c>
      <c r="AE233" s="4">
        <f t="shared" si="164"/>
        <v>0.28393948637231203</v>
      </c>
      <c r="AF233" s="4">
        <f t="shared" si="164"/>
        <v>0.21097259161117732</v>
      </c>
      <c r="AG233" s="4">
        <f t="shared" si="164"/>
        <v>0.15253917653798199</v>
      </c>
      <c r="AH233" s="4">
        <f t="shared" si="164"/>
        <v>0.10795188737709993</v>
      </c>
      <c r="AI233" s="4">
        <f t="shared" si="164"/>
        <v>7.5176653938091809E-2</v>
      </c>
      <c r="AJ233" s="4">
        <f t="shared" si="164"/>
        <v>5.1742836177502194E-2</v>
      </c>
      <c r="AK233" s="4">
        <f t="shared" si="164"/>
        <v>3.5319190625345942E-2</v>
      </c>
      <c r="AL233" s="4">
        <f t="shared" si="164"/>
        <v>2.3969442072658165E-2</v>
      </c>
      <c r="AM233" s="4">
        <f t="shared" si="164"/>
        <v>1.6202243558389728E-2</v>
      </c>
      <c r="AN233" s="4">
        <f t="shared" si="164"/>
        <v>1.0922240564108399E-2</v>
      </c>
      <c r="AO233" s="4">
        <f t="shared" si="164"/>
        <v>7.3493212906090566E-3</v>
      </c>
      <c r="AP233" s="4">
        <f t="shared" si="164"/>
        <v>4.9390262185057265E-3</v>
      </c>
      <c r="AQ233" s="4">
        <f t="shared" si="164"/>
        <v>3.3164275492956197E-3</v>
      </c>
      <c r="AR233" s="4">
        <f t="shared" si="164"/>
        <v>2.2256362146679809E-3</v>
      </c>
    </row>
    <row r="234" spans="1:44" x14ac:dyDescent="0.25">
      <c r="A234" s="24" t="s">
        <v>67</v>
      </c>
      <c r="B234" s="45">
        <f>'Parameter Input'!$L$120</f>
        <v>0.13371034051801745</v>
      </c>
      <c r="C234" s="46">
        <f>'Parameter Input'!$M$120</f>
        <v>8.7585019329602734E-2</v>
      </c>
      <c r="D234" s="1" t="s">
        <v>68</v>
      </c>
      <c r="L234" s="54">
        <f>'Parameter Input'!$O$120</f>
        <v>12</v>
      </c>
      <c r="M234" s="37">
        <v>0</v>
      </c>
      <c r="N234" s="37">
        <v>1</v>
      </c>
      <c r="O234" s="37">
        <f>'Parameter Input'!$P$120</f>
        <v>0.9</v>
      </c>
      <c r="P234" s="55">
        <f>'Parameter Input'!$Q$120</f>
        <v>0.4</v>
      </c>
      <c r="Q234" s="4">
        <f t="shared" si="164"/>
        <v>0.9867978615748374</v>
      </c>
      <c r="R234" s="4">
        <f t="shared" si="164"/>
        <v>0.98114509762858249</v>
      </c>
      <c r="S234" s="4">
        <f t="shared" si="164"/>
        <v>0.97311898315872036</v>
      </c>
      <c r="T234" s="4">
        <f t="shared" ref="T234:AI241" si="165">$N234+($M234-$N234)*((1/(1+EXP(-$P234*(T$9-$L234)))^$O234))</f>
        <v>0.96177484161592774</v>
      </c>
      <c r="U234" s="4">
        <f t="shared" si="165"/>
        <v>0.94584787155511363</v>
      </c>
      <c r="V234" s="4">
        <f t="shared" si="165"/>
        <v>0.92370360150141495</v>
      </c>
      <c r="W234" s="4">
        <f t="shared" si="165"/>
        <v>0.89334463567658451</v>
      </c>
      <c r="X234" s="4">
        <f t="shared" si="165"/>
        <v>0.85254543874327005</v>
      </c>
      <c r="Y234" s="4">
        <f t="shared" si="165"/>
        <v>0.79921300652623883</v>
      </c>
      <c r="Z234" s="4">
        <f t="shared" si="165"/>
        <v>0.73204982249993378</v>
      </c>
      <c r="AA234" s="4">
        <f t="shared" si="165"/>
        <v>0.65145592958786691</v>
      </c>
      <c r="AB234" s="4">
        <f t="shared" si="165"/>
        <v>0.56032247880849573</v>
      </c>
      <c r="AC234" s="4">
        <f t="shared" si="165"/>
        <v>0.46411326873185343</v>
      </c>
      <c r="AD234" s="4">
        <f t="shared" si="165"/>
        <v>0.36979727595523937</v>
      </c>
      <c r="AE234" s="4">
        <f t="shared" si="165"/>
        <v>0.28393948637231203</v>
      </c>
      <c r="AF234" s="4">
        <f t="shared" si="165"/>
        <v>0.21097259161117732</v>
      </c>
      <c r="AG234" s="4">
        <f t="shared" si="165"/>
        <v>0.15253917653798199</v>
      </c>
      <c r="AH234" s="4">
        <f t="shared" si="165"/>
        <v>0.10795188737709993</v>
      </c>
      <c r="AI234" s="4">
        <f t="shared" si="165"/>
        <v>7.5176653938091809E-2</v>
      </c>
      <c r="AJ234" s="4">
        <f t="shared" ref="AJ234:AR241" si="166">$N234+($M234-$N234)*((1/(1+EXP(-$P234*(AJ$9-$L234)))^$O234))</f>
        <v>5.1742836177502194E-2</v>
      </c>
      <c r="AK234" s="4">
        <f t="shared" si="166"/>
        <v>3.5319190625345942E-2</v>
      </c>
      <c r="AL234" s="4">
        <f t="shared" si="166"/>
        <v>2.3969442072658165E-2</v>
      </c>
      <c r="AM234" s="4">
        <f t="shared" si="166"/>
        <v>1.6202243558389728E-2</v>
      </c>
      <c r="AN234" s="4">
        <f t="shared" si="166"/>
        <v>1.0922240564108399E-2</v>
      </c>
      <c r="AO234" s="4">
        <f t="shared" si="166"/>
        <v>7.3493212906090566E-3</v>
      </c>
      <c r="AP234" s="4">
        <f t="shared" si="166"/>
        <v>4.9390262185057265E-3</v>
      </c>
      <c r="AQ234" s="4">
        <f t="shared" si="166"/>
        <v>3.3164275492956197E-3</v>
      </c>
      <c r="AR234" s="4">
        <f t="shared" si="166"/>
        <v>2.2256362146679809E-3</v>
      </c>
    </row>
    <row r="235" spans="1:44" x14ac:dyDescent="0.25">
      <c r="A235" s="24" t="s">
        <v>206</v>
      </c>
      <c r="B235" s="115">
        <f>'Parameter Input'!$L$123</f>
        <v>7.7787831578947364E-2</v>
      </c>
      <c r="C235" s="116">
        <f>'Parameter Input'!$M$123</f>
        <v>0</v>
      </c>
      <c r="D235" s="1" t="s">
        <v>76</v>
      </c>
      <c r="L235" s="54">
        <f>'Parameter Input'!$O$123</f>
        <v>17</v>
      </c>
      <c r="M235" s="37">
        <v>0</v>
      </c>
      <c r="N235" s="37">
        <v>1</v>
      </c>
      <c r="O235" s="37">
        <f>'Parameter Input'!$P$123</f>
        <v>0.9</v>
      </c>
      <c r="P235" s="55">
        <f>'Parameter Input'!$Q$123</f>
        <v>0.4</v>
      </c>
      <c r="Q235" s="4">
        <f t="shared" ref="Q235:AR235" si="167">$N235+($M235-$N235)*((1/(1+EXP(-$P235*(Q$9-$L235)))^$O235))</f>
        <v>0.99780374543478534</v>
      </c>
      <c r="R235" s="4">
        <f t="shared" si="167"/>
        <v>0.99685359315256394</v>
      </c>
      <c r="S235" s="4">
        <f t="shared" si="167"/>
        <v>0.99549347132349975</v>
      </c>
      <c r="T235" s="4">
        <f t="shared" si="167"/>
        <v>0.99354772139898062</v>
      </c>
      <c r="U235" s="4">
        <f t="shared" si="167"/>
        <v>0.99076681540580536</v>
      </c>
      <c r="V235" s="4">
        <f t="shared" si="167"/>
        <v>0.9867978615748374</v>
      </c>
      <c r="W235" s="4">
        <f t="shared" si="167"/>
        <v>0.98114509762858249</v>
      </c>
      <c r="X235" s="4">
        <f t="shared" si="167"/>
        <v>0.97311898315872036</v>
      </c>
      <c r="Y235" s="4">
        <f t="shared" si="167"/>
        <v>0.96177484161592774</v>
      </c>
      <c r="Z235" s="4">
        <f t="shared" si="167"/>
        <v>0.94584787155511363</v>
      </c>
      <c r="AA235" s="4">
        <f t="shared" si="167"/>
        <v>0.92370360150141495</v>
      </c>
      <c r="AB235" s="4">
        <f t="shared" si="167"/>
        <v>0.89334463567658451</v>
      </c>
      <c r="AC235" s="4">
        <f t="shared" si="167"/>
        <v>0.85254543874327005</v>
      </c>
      <c r="AD235" s="4">
        <f t="shared" si="167"/>
        <v>0.79921300652623883</v>
      </c>
      <c r="AE235" s="4">
        <f t="shared" si="167"/>
        <v>0.73204982249993378</v>
      </c>
      <c r="AF235" s="4">
        <f t="shared" si="167"/>
        <v>0.65145592958786691</v>
      </c>
      <c r="AG235" s="4">
        <f t="shared" si="167"/>
        <v>0.56032247880849573</v>
      </c>
      <c r="AH235" s="4">
        <f t="shared" si="167"/>
        <v>0.46411326873185343</v>
      </c>
      <c r="AI235" s="4">
        <f t="shared" si="167"/>
        <v>0.36979727595523937</v>
      </c>
      <c r="AJ235" s="4">
        <f t="shared" si="167"/>
        <v>0.28393948637231203</v>
      </c>
      <c r="AK235" s="4">
        <f t="shared" si="167"/>
        <v>0.21097259161117732</v>
      </c>
      <c r="AL235" s="4">
        <f t="shared" si="167"/>
        <v>0.15253917653798199</v>
      </c>
      <c r="AM235" s="4">
        <f t="shared" si="167"/>
        <v>0.10795188737709993</v>
      </c>
      <c r="AN235" s="4">
        <f t="shared" si="167"/>
        <v>7.5176653938091809E-2</v>
      </c>
      <c r="AO235" s="4">
        <f t="shared" si="167"/>
        <v>5.1742836177502194E-2</v>
      </c>
      <c r="AP235" s="4">
        <f t="shared" si="167"/>
        <v>3.5319190625345942E-2</v>
      </c>
      <c r="AQ235" s="4">
        <f t="shared" si="167"/>
        <v>2.3969442072658165E-2</v>
      </c>
      <c r="AR235" s="4">
        <f t="shared" si="167"/>
        <v>1.6202243558389728E-2</v>
      </c>
    </row>
    <row r="236" spans="1:44" x14ac:dyDescent="0.25">
      <c r="A236" s="24" t="s">
        <v>41</v>
      </c>
      <c r="B236" s="43">
        <f>'Parameter Input'!$L$117</f>
        <v>20</v>
      </c>
      <c r="C236" s="44">
        <f>'Parameter Input'!$M$117</f>
        <v>20</v>
      </c>
      <c r="D236" s="1" t="s">
        <v>42</v>
      </c>
      <c r="L236" s="54">
        <f>'Parameter Input'!$O$117</f>
        <v>12</v>
      </c>
      <c r="M236" s="37">
        <v>0</v>
      </c>
      <c r="N236" s="37">
        <v>1</v>
      </c>
      <c r="O236" s="37">
        <f>'Parameter Input'!$P$117</f>
        <v>0.9</v>
      </c>
      <c r="P236" s="55">
        <f>'Parameter Input'!$Q$117</f>
        <v>0.4</v>
      </c>
      <c r="Q236" s="4">
        <f t="shared" ref="Q236:AF241" si="168">$N236+($M236-$N236)*((1/(1+EXP(-$P236*(Q$9-$L236)))^$O236))</f>
        <v>0.9867978615748374</v>
      </c>
      <c r="R236" s="4">
        <f t="shared" si="168"/>
        <v>0.98114509762858249</v>
      </c>
      <c r="S236" s="4">
        <f t="shared" si="168"/>
        <v>0.97311898315872036</v>
      </c>
      <c r="T236" s="4">
        <f t="shared" si="168"/>
        <v>0.96177484161592774</v>
      </c>
      <c r="U236" s="4">
        <f t="shared" si="168"/>
        <v>0.94584787155511363</v>
      </c>
      <c r="V236" s="4">
        <f t="shared" si="168"/>
        <v>0.92370360150141495</v>
      </c>
      <c r="W236" s="4">
        <f t="shared" si="168"/>
        <v>0.89334463567658451</v>
      </c>
      <c r="X236" s="4">
        <f t="shared" si="168"/>
        <v>0.85254543874327005</v>
      </c>
      <c r="Y236" s="4">
        <f t="shared" si="168"/>
        <v>0.79921300652623883</v>
      </c>
      <c r="Z236" s="4">
        <f t="shared" si="168"/>
        <v>0.73204982249993378</v>
      </c>
      <c r="AA236" s="4">
        <f t="shared" si="168"/>
        <v>0.65145592958786691</v>
      </c>
      <c r="AB236" s="4">
        <f t="shared" si="168"/>
        <v>0.56032247880849573</v>
      </c>
      <c r="AC236" s="4">
        <f t="shared" si="168"/>
        <v>0.46411326873185343</v>
      </c>
      <c r="AD236" s="4">
        <f t="shared" si="168"/>
        <v>0.36979727595523937</v>
      </c>
      <c r="AE236" s="4">
        <f t="shared" si="168"/>
        <v>0.28393948637231203</v>
      </c>
      <c r="AF236" s="4">
        <f t="shared" si="168"/>
        <v>0.21097259161117732</v>
      </c>
      <c r="AG236" s="4">
        <f t="shared" si="165"/>
        <v>0.15253917653798199</v>
      </c>
      <c r="AH236" s="4">
        <f t="shared" si="165"/>
        <v>0.10795188737709993</v>
      </c>
      <c r="AI236" s="4">
        <f t="shared" si="165"/>
        <v>7.5176653938091809E-2</v>
      </c>
      <c r="AJ236" s="4">
        <f t="shared" si="166"/>
        <v>5.1742836177502194E-2</v>
      </c>
      <c r="AK236" s="4">
        <f t="shared" si="166"/>
        <v>3.5319190625345942E-2</v>
      </c>
      <c r="AL236" s="4">
        <f t="shared" si="166"/>
        <v>2.3969442072658165E-2</v>
      </c>
      <c r="AM236" s="4">
        <f t="shared" si="166"/>
        <v>1.6202243558389728E-2</v>
      </c>
      <c r="AN236" s="4">
        <f t="shared" si="166"/>
        <v>1.0922240564108399E-2</v>
      </c>
      <c r="AO236" s="4">
        <f t="shared" si="166"/>
        <v>7.3493212906090566E-3</v>
      </c>
      <c r="AP236" s="4">
        <f t="shared" si="166"/>
        <v>4.9390262185057265E-3</v>
      </c>
      <c r="AQ236" s="4">
        <f t="shared" si="166"/>
        <v>3.3164275492956197E-3</v>
      </c>
      <c r="AR236" s="4">
        <f t="shared" si="166"/>
        <v>2.2256362146679809E-3</v>
      </c>
    </row>
    <row r="237" spans="1:44" x14ac:dyDescent="0.25">
      <c r="A237" s="24" t="s">
        <v>70</v>
      </c>
      <c r="B237" s="43">
        <f>'Parameter Input'!B121</f>
        <v>30</v>
      </c>
      <c r="C237" s="44">
        <f>'Parameter Input'!C121</f>
        <v>30</v>
      </c>
      <c r="D237" s="1" t="s">
        <v>42</v>
      </c>
      <c r="L237" s="54">
        <f>'Parameter Input'!E121</f>
        <v>12</v>
      </c>
      <c r="M237" s="37">
        <v>0</v>
      </c>
      <c r="N237" s="37">
        <v>1</v>
      </c>
      <c r="O237" s="37">
        <f>'Parameter Input'!F121</f>
        <v>0.9</v>
      </c>
      <c r="P237" s="55">
        <f>'Parameter Input'!G121</f>
        <v>0.4</v>
      </c>
      <c r="Q237" s="4">
        <f t="shared" si="168"/>
        <v>0.9867978615748374</v>
      </c>
      <c r="R237" s="4">
        <f t="shared" si="168"/>
        <v>0.98114509762858249</v>
      </c>
      <c r="S237" s="4">
        <f t="shared" si="168"/>
        <v>0.97311898315872036</v>
      </c>
      <c r="T237" s="4">
        <f t="shared" si="168"/>
        <v>0.96177484161592774</v>
      </c>
      <c r="U237" s="4">
        <f t="shared" si="168"/>
        <v>0.94584787155511363</v>
      </c>
      <c r="V237" s="4">
        <f t="shared" si="168"/>
        <v>0.92370360150141495</v>
      </c>
      <c r="W237" s="4">
        <f t="shared" si="168"/>
        <v>0.89334463567658451</v>
      </c>
      <c r="X237" s="4">
        <f t="shared" si="168"/>
        <v>0.85254543874327005</v>
      </c>
      <c r="Y237" s="4">
        <f t="shared" si="168"/>
        <v>0.79921300652623883</v>
      </c>
      <c r="Z237" s="4">
        <f t="shared" si="168"/>
        <v>0.73204982249993378</v>
      </c>
      <c r="AA237" s="4">
        <f t="shared" si="168"/>
        <v>0.65145592958786691</v>
      </c>
      <c r="AB237" s="4">
        <f t="shared" si="168"/>
        <v>0.56032247880849573</v>
      </c>
      <c r="AC237" s="4">
        <f t="shared" si="168"/>
        <v>0.46411326873185343</v>
      </c>
      <c r="AD237" s="4">
        <f t="shared" si="168"/>
        <v>0.36979727595523937</v>
      </c>
      <c r="AE237" s="4">
        <f t="shared" si="168"/>
        <v>0.28393948637231203</v>
      </c>
      <c r="AF237" s="4">
        <f t="shared" si="168"/>
        <v>0.21097259161117732</v>
      </c>
      <c r="AG237" s="4">
        <f t="shared" si="165"/>
        <v>0.15253917653798199</v>
      </c>
      <c r="AH237" s="4">
        <f t="shared" si="165"/>
        <v>0.10795188737709993</v>
      </c>
      <c r="AI237" s="4">
        <f t="shared" si="165"/>
        <v>7.5176653938091809E-2</v>
      </c>
      <c r="AJ237" s="4">
        <f t="shared" si="166"/>
        <v>5.1742836177502194E-2</v>
      </c>
      <c r="AK237" s="4">
        <f t="shared" si="166"/>
        <v>3.5319190625345942E-2</v>
      </c>
      <c r="AL237" s="4">
        <f t="shared" si="166"/>
        <v>2.3969442072658165E-2</v>
      </c>
      <c r="AM237" s="4">
        <f t="shared" si="166"/>
        <v>1.6202243558389728E-2</v>
      </c>
      <c r="AN237" s="4">
        <f t="shared" si="166"/>
        <v>1.0922240564108399E-2</v>
      </c>
      <c r="AO237" s="4">
        <f t="shared" si="166"/>
        <v>7.3493212906090566E-3</v>
      </c>
      <c r="AP237" s="4">
        <f t="shared" si="166"/>
        <v>4.9390262185057265E-3</v>
      </c>
      <c r="AQ237" s="4">
        <f t="shared" si="166"/>
        <v>3.3164275492956197E-3</v>
      </c>
      <c r="AR237" s="4">
        <f t="shared" si="166"/>
        <v>2.2256362146679809E-3</v>
      </c>
    </row>
    <row r="238" spans="1:44" x14ac:dyDescent="0.25">
      <c r="A238" s="24" t="s">
        <v>207</v>
      </c>
      <c r="B238" s="70">
        <f>'Parameter Input'!B118</f>
        <v>2240</v>
      </c>
      <c r="C238" s="71">
        <f>'Parameter Input'!C118</f>
        <v>2240</v>
      </c>
      <c r="D238" s="1" t="s">
        <v>49</v>
      </c>
      <c r="L238" s="54">
        <f>'Parameter Input'!E118</f>
        <v>12</v>
      </c>
      <c r="M238" s="37">
        <v>0</v>
      </c>
      <c r="N238" s="37">
        <v>1</v>
      </c>
      <c r="O238" s="37">
        <f>'Parameter Input'!F118</f>
        <v>0.9</v>
      </c>
      <c r="P238" s="55">
        <f>'Parameter Input'!G118</f>
        <v>0.4</v>
      </c>
      <c r="Q238" s="4">
        <f t="shared" si="168"/>
        <v>0.9867978615748374</v>
      </c>
      <c r="R238" s="4">
        <f t="shared" si="168"/>
        <v>0.98114509762858249</v>
      </c>
      <c r="S238" s="4">
        <f t="shared" si="168"/>
        <v>0.97311898315872036</v>
      </c>
      <c r="T238" s="4">
        <f t="shared" si="168"/>
        <v>0.96177484161592774</v>
      </c>
      <c r="U238" s="4">
        <f t="shared" si="168"/>
        <v>0.94584787155511363</v>
      </c>
      <c r="V238" s="4">
        <f t="shared" si="168"/>
        <v>0.92370360150141495</v>
      </c>
      <c r="W238" s="4">
        <f t="shared" si="168"/>
        <v>0.89334463567658451</v>
      </c>
      <c r="X238" s="4">
        <f t="shared" si="168"/>
        <v>0.85254543874327005</v>
      </c>
      <c r="Y238" s="4">
        <f t="shared" si="168"/>
        <v>0.79921300652623883</v>
      </c>
      <c r="Z238" s="4">
        <f t="shared" si="168"/>
        <v>0.73204982249993378</v>
      </c>
      <c r="AA238" s="4">
        <f t="shared" si="168"/>
        <v>0.65145592958786691</v>
      </c>
      <c r="AB238" s="4">
        <f t="shared" si="168"/>
        <v>0.56032247880849573</v>
      </c>
      <c r="AC238" s="4">
        <f t="shared" si="168"/>
        <v>0.46411326873185343</v>
      </c>
      <c r="AD238" s="4">
        <f t="shared" si="168"/>
        <v>0.36979727595523937</v>
      </c>
      <c r="AE238" s="4">
        <f t="shared" si="168"/>
        <v>0.28393948637231203</v>
      </c>
      <c r="AF238" s="4">
        <f t="shared" si="168"/>
        <v>0.21097259161117732</v>
      </c>
      <c r="AG238" s="4">
        <f t="shared" si="165"/>
        <v>0.15253917653798199</v>
      </c>
      <c r="AH238" s="4">
        <f t="shared" si="165"/>
        <v>0.10795188737709993</v>
      </c>
      <c r="AI238" s="4">
        <f t="shared" si="165"/>
        <v>7.5176653938091809E-2</v>
      </c>
      <c r="AJ238" s="4">
        <f t="shared" si="166"/>
        <v>5.1742836177502194E-2</v>
      </c>
      <c r="AK238" s="4">
        <f t="shared" si="166"/>
        <v>3.5319190625345942E-2</v>
      </c>
      <c r="AL238" s="4">
        <f t="shared" si="166"/>
        <v>2.3969442072658165E-2</v>
      </c>
      <c r="AM238" s="4">
        <f t="shared" si="166"/>
        <v>1.6202243558389728E-2</v>
      </c>
      <c r="AN238" s="4">
        <f t="shared" si="166"/>
        <v>1.0922240564108399E-2</v>
      </c>
      <c r="AO238" s="4">
        <f t="shared" si="166"/>
        <v>7.3493212906090566E-3</v>
      </c>
      <c r="AP238" s="4">
        <f t="shared" si="166"/>
        <v>4.9390262185057265E-3</v>
      </c>
      <c r="AQ238" s="4">
        <f t="shared" si="166"/>
        <v>3.3164275492956197E-3</v>
      </c>
      <c r="AR238" s="4">
        <f t="shared" si="166"/>
        <v>2.2256362146679809E-3</v>
      </c>
    </row>
    <row r="239" spans="1:44" x14ac:dyDescent="0.25">
      <c r="A239" s="24" t="s">
        <v>56</v>
      </c>
      <c r="B239" s="72">
        <f>'Parameter Input'!B119</f>
        <v>0.42666666666666669</v>
      </c>
      <c r="C239" s="73">
        <f>'Parameter Input'!C119</f>
        <v>0.42666666666666669</v>
      </c>
      <c r="D239" s="1" t="s">
        <v>57</v>
      </c>
      <c r="L239" s="54">
        <f>'Parameter Input'!E119</f>
        <v>12</v>
      </c>
      <c r="M239" s="37">
        <v>0</v>
      </c>
      <c r="N239" s="37">
        <v>1</v>
      </c>
      <c r="O239" s="37">
        <f>'Parameter Input'!F119</f>
        <v>0.9</v>
      </c>
      <c r="P239" s="55">
        <f>'Parameter Input'!G119</f>
        <v>0.4</v>
      </c>
      <c r="Q239" s="4">
        <f t="shared" si="168"/>
        <v>0.9867978615748374</v>
      </c>
      <c r="R239" s="4">
        <f t="shared" si="168"/>
        <v>0.98114509762858249</v>
      </c>
      <c r="S239" s="4">
        <f t="shared" si="168"/>
        <v>0.97311898315872036</v>
      </c>
      <c r="T239" s="4">
        <f t="shared" si="168"/>
        <v>0.96177484161592774</v>
      </c>
      <c r="U239" s="4">
        <f t="shared" si="168"/>
        <v>0.94584787155511363</v>
      </c>
      <c r="V239" s="4">
        <f t="shared" si="168"/>
        <v>0.92370360150141495</v>
      </c>
      <c r="W239" s="4">
        <f t="shared" si="168"/>
        <v>0.89334463567658451</v>
      </c>
      <c r="X239" s="4">
        <f t="shared" si="168"/>
        <v>0.85254543874327005</v>
      </c>
      <c r="Y239" s="4">
        <f t="shared" si="168"/>
        <v>0.79921300652623883</v>
      </c>
      <c r="Z239" s="4">
        <f t="shared" si="168"/>
        <v>0.73204982249993378</v>
      </c>
      <c r="AA239" s="4">
        <f t="shared" si="168"/>
        <v>0.65145592958786691</v>
      </c>
      <c r="AB239" s="4">
        <f t="shared" si="168"/>
        <v>0.56032247880849573</v>
      </c>
      <c r="AC239" s="4">
        <f t="shared" si="168"/>
        <v>0.46411326873185343</v>
      </c>
      <c r="AD239" s="4">
        <f t="shared" si="168"/>
        <v>0.36979727595523937</v>
      </c>
      <c r="AE239" s="4">
        <f t="shared" si="168"/>
        <v>0.28393948637231203</v>
      </c>
      <c r="AF239" s="4">
        <f t="shared" si="168"/>
        <v>0.21097259161117732</v>
      </c>
      <c r="AG239" s="4">
        <f t="shared" si="165"/>
        <v>0.15253917653798199</v>
      </c>
      <c r="AH239" s="4">
        <f t="shared" si="165"/>
        <v>0.10795188737709993</v>
      </c>
      <c r="AI239" s="4">
        <f t="shared" si="165"/>
        <v>7.5176653938091809E-2</v>
      </c>
      <c r="AJ239" s="4">
        <f t="shared" si="166"/>
        <v>5.1742836177502194E-2</v>
      </c>
      <c r="AK239" s="4">
        <f t="shared" si="166"/>
        <v>3.5319190625345942E-2</v>
      </c>
      <c r="AL239" s="4">
        <f t="shared" si="166"/>
        <v>2.3969442072658165E-2</v>
      </c>
      <c r="AM239" s="4">
        <f t="shared" si="166"/>
        <v>1.6202243558389728E-2</v>
      </c>
      <c r="AN239" s="4">
        <f t="shared" si="166"/>
        <v>1.0922240564108399E-2</v>
      </c>
      <c r="AO239" s="4">
        <f t="shared" si="166"/>
        <v>7.3493212906090566E-3</v>
      </c>
      <c r="AP239" s="4">
        <f t="shared" si="166"/>
        <v>4.9390262185057265E-3</v>
      </c>
      <c r="AQ239" s="4">
        <f t="shared" si="166"/>
        <v>3.3164275492956197E-3</v>
      </c>
      <c r="AR239" s="4">
        <f t="shared" si="166"/>
        <v>2.2256362146679809E-3</v>
      </c>
    </row>
    <row r="240" spans="1:44" x14ac:dyDescent="0.25">
      <c r="A240" s="24" t="s">
        <v>73</v>
      </c>
      <c r="B240" s="72">
        <f>'Parameter Input'!$L$121</f>
        <v>3.5714285714285712E-2</v>
      </c>
      <c r="C240" s="73">
        <f>'Parameter Input'!$M$121</f>
        <v>1.7857142857142856E-2</v>
      </c>
      <c r="D240" s="1" t="s">
        <v>57</v>
      </c>
      <c r="L240" s="54">
        <f>'Parameter Input'!$O$121</f>
        <v>12</v>
      </c>
      <c r="M240" s="37">
        <v>0</v>
      </c>
      <c r="N240" s="37">
        <v>1</v>
      </c>
      <c r="O240" s="37">
        <f>'Parameter Input'!$P$121</f>
        <v>0.9</v>
      </c>
      <c r="P240" s="55">
        <f>'Parameter Input'!$Q$121</f>
        <v>0.4</v>
      </c>
      <c r="Q240" s="4">
        <f t="shared" si="168"/>
        <v>0.9867978615748374</v>
      </c>
      <c r="R240" s="4">
        <f t="shared" si="168"/>
        <v>0.98114509762858249</v>
      </c>
      <c r="S240" s="4">
        <f t="shared" si="168"/>
        <v>0.97311898315872036</v>
      </c>
      <c r="T240" s="4">
        <f t="shared" si="168"/>
        <v>0.96177484161592774</v>
      </c>
      <c r="U240" s="4">
        <f t="shared" si="168"/>
        <v>0.94584787155511363</v>
      </c>
      <c r="V240" s="4">
        <f t="shared" si="168"/>
        <v>0.92370360150141495</v>
      </c>
      <c r="W240" s="4">
        <f t="shared" si="168"/>
        <v>0.89334463567658451</v>
      </c>
      <c r="X240" s="4">
        <f t="shared" si="168"/>
        <v>0.85254543874327005</v>
      </c>
      <c r="Y240" s="4">
        <f t="shared" si="168"/>
        <v>0.79921300652623883</v>
      </c>
      <c r="Z240" s="4">
        <f t="shared" si="168"/>
        <v>0.73204982249993378</v>
      </c>
      <c r="AA240" s="4">
        <f t="shared" si="168"/>
        <v>0.65145592958786691</v>
      </c>
      <c r="AB240" s="4">
        <f t="shared" si="168"/>
        <v>0.56032247880849573</v>
      </c>
      <c r="AC240" s="4">
        <f t="shared" si="168"/>
        <v>0.46411326873185343</v>
      </c>
      <c r="AD240" s="4">
        <f t="shared" si="168"/>
        <v>0.36979727595523937</v>
      </c>
      <c r="AE240" s="4">
        <f t="shared" si="168"/>
        <v>0.28393948637231203</v>
      </c>
      <c r="AF240" s="4">
        <f t="shared" si="168"/>
        <v>0.21097259161117732</v>
      </c>
      <c r="AG240" s="4">
        <f t="shared" si="165"/>
        <v>0.15253917653798199</v>
      </c>
      <c r="AH240" s="4">
        <f t="shared" si="165"/>
        <v>0.10795188737709993</v>
      </c>
      <c r="AI240" s="4">
        <f t="shared" si="165"/>
        <v>7.5176653938091809E-2</v>
      </c>
      <c r="AJ240" s="4">
        <f t="shared" si="166"/>
        <v>5.1742836177502194E-2</v>
      </c>
      <c r="AK240" s="4">
        <f t="shared" si="166"/>
        <v>3.5319190625345942E-2</v>
      </c>
      <c r="AL240" s="4">
        <f t="shared" si="166"/>
        <v>2.3969442072658165E-2</v>
      </c>
      <c r="AM240" s="4">
        <f t="shared" si="166"/>
        <v>1.6202243558389728E-2</v>
      </c>
      <c r="AN240" s="4">
        <f t="shared" si="166"/>
        <v>1.0922240564108399E-2</v>
      </c>
      <c r="AO240" s="4">
        <f t="shared" si="166"/>
        <v>7.3493212906090566E-3</v>
      </c>
      <c r="AP240" s="4">
        <f t="shared" si="166"/>
        <v>4.9390262185057265E-3</v>
      </c>
      <c r="AQ240" s="4">
        <f t="shared" si="166"/>
        <v>3.3164275492956197E-3</v>
      </c>
      <c r="AR240" s="4">
        <f t="shared" si="166"/>
        <v>2.2256362146679809E-3</v>
      </c>
    </row>
    <row r="241" spans="1:44" ht="15.75" thickBot="1" x14ac:dyDescent="0.3">
      <c r="A241" s="24" t="s">
        <v>64</v>
      </c>
      <c r="B241" s="74">
        <f>'Parameter Input'!B120</f>
        <v>178500</v>
      </c>
      <c r="C241" s="75">
        <f>'Parameter Input'!C120</f>
        <v>178500</v>
      </c>
      <c r="D241" s="1" t="s">
        <v>65</v>
      </c>
      <c r="L241" s="56">
        <f>'Parameter Input'!E120</f>
        <v>12</v>
      </c>
      <c r="M241" s="57">
        <v>0</v>
      </c>
      <c r="N241" s="57">
        <v>1</v>
      </c>
      <c r="O241" s="57">
        <f>'Parameter Input'!F120</f>
        <v>0.9</v>
      </c>
      <c r="P241" s="58">
        <f>'Parameter Input'!G120</f>
        <v>0.4</v>
      </c>
      <c r="Q241" s="4">
        <f t="shared" si="168"/>
        <v>0.9867978615748374</v>
      </c>
      <c r="R241" s="4">
        <f t="shared" si="168"/>
        <v>0.98114509762858249</v>
      </c>
      <c r="S241" s="4">
        <f t="shared" si="168"/>
        <v>0.97311898315872036</v>
      </c>
      <c r="T241" s="4">
        <f t="shared" si="168"/>
        <v>0.96177484161592774</v>
      </c>
      <c r="U241" s="4">
        <f t="shared" si="168"/>
        <v>0.94584787155511363</v>
      </c>
      <c r="V241" s="4">
        <f t="shared" si="168"/>
        <v>0.92370360150141495</v>
      </c>
      <c r="W241" s="4">
        <f t="shared" si="168"/>
        <v>0.89334463567658451</v>
      </c>
      <c r="X241" s="4">
        <f t="shared" si="168"/>
        <v>0.85254543874327005</v>
      </c>
      <c r="Y241" s="4">
        <f t="shared" si="168"/>
        <v>0.79921300652623883</v>
      </c>
      <c r="Z241" s="4">
        <f t="shared" si="168"/>
        <v>0.73204982249993378</v>
      </c>
      <c r="AA241" s="4">
        <f t="shared" si="168"/>
        <v>0.65145592958786691</v>
      </c>
      <c r="AB241" s="4">
        <f t="shared" si="168"/>
        <v>0.56032247880849573</v>
      </c>
      <c r="AC241" s="4">
        <f t="shared" si="168"/>
        <v>0.46411326873185343</v>
      </c>
      <c r="AD241" s="4">
        <f t="shared" si="168"/>
        <v>0.36979727595523937</v>
      </c>
      <c r="AE241" s="4">
        <f t="shared" si="168"/>
        <v>0.28393948637231203</v>
      </c>
      <c r="AF241" s="4">
        <f t="shared" si="168"/>
        <v>0.21097259161117732</v>
      </c>
      <c r="AG241" s="4">
        <f t="shared" si="165"/>
        <v>0.15253917653798199</v>
      </c>
      <c r="AH241" s="4">
        <f t="shared" si="165"/>
        <v>0.10795188737709993</v>
      </c>
      <c r="AI241" s="4">
        <f t="shared" si="165"/>
        <v>7.5176653938091809E-2</v>
      </c>
      <c r="AJ241" s="4">
        <f t="shared" si="166"/>
        <v>5.1742836177502194E-2</v>
      </c>
      <c r="AK241" s="4">
        <f t="shared" si="166"/>
        <v>3.5319190625345942E-2</v>
      </c>
      <c r="AL241" s="4">
        <f t="shared" si="166"/>
        <v>2.3969442072658165E-2</v>
      </c>
      <c r="AM241" s="4">
        <f t="shared" si="166"/>
        <v>1.6202243558389728E-2</v>
      </c>
      <c r="AN241" s="4">
        <f t="shared" si="166"/>
        <v>1.0922240564108399E-2</v>
      </c>
      <c r="AO241" s="4">
        <f t="shared" si="166"/>
        <v>7.3493212906090566E-3</v>
      </c>
      <c r="AP241" s="4">
        <f t="shared" si="166"/>
        <v>4.9390262185057265E-3</v>
      </c>
      <c r="AQ241" s="4">
        <f t="shared" si="166"/>
        <v>3.3164275492956197E-3</v>
      </c>
      <c r="AR241" s="4">
        <f t="shared" si="166"/>
        <v>2.2256362146679809E-3</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69">A225</f>
        <v>Capex vehicle</v>
      </c>
      <c r="B245" s="62">
        <f t="shared" ref="B245:B254" si="170">$B225+($C225-$B225)*(1-Q225)</f>
        <v>9950491.9809056409</v>
      </c>
      <c r="C245" s="62">
        <f t="shared" ref="C245:C254" si="171">$B225+($C225-$B225)*(1-R225)</f>
        <v>9929294.1161071844</v>
      </c>
      <c r="D245" s="62">
        <f t="shared" ref="D245:D254" si="172">$B225+($C225-$B225)*(1-S225)</f>
        <v>9899196.186845202</v>
      </c>
      <c r="E245" s="62">
        <f t="shared" ref="E245:E254" si="173">$B225+($C225-$B225)*(1-T225)</f>
        <v>9856655.6560597289</v>
      </c>
      <c r="F245" s="62">
        <f t="shared" ref="F245:F254" si="174">$B225+($C225-$B225)*(1-U225)</f>
        <v>9796929.5183316767</v>
      </c>
      <c r="G245" s="62">
        <f t="shared" ref="G245:G254" si="175">$B225+($C225-$B225)*(1-V225)</f>
        <v>9713888.5056303069</v>
      </c>
      <c r="H245" s="62">
        <f t="shared" ref="H245:H254" si="176">$B225+($C225-$B225)*(1-W225)</f>
        <v>9600042.3837871924</v>
      </c>
      <c r="I245" s="62">
        <f t="shared" ref="I245:I254" si="177">$B225+($C225-$B225)*(1-X225)</f>
        <v>9447045.3952872623</v>
      </c>
      <c r="J245" s="62">
        <f t="shared" ref="J245:J254" si="178">$B225+($C225-$B225)*(1-Y225)</f>
        <v>9247048.7744733952</v>
      </c>
      <c r="K245" s="62">
        <f t="shared" ref="K245:K254" si="179">$B225+($C225-$B225)*(1-Z225)</f>
        <v>8995186.8343747519</v>
      </c>
      <c r="L245" s="62">
        <f t="shared" ref="L245:L254" si="180">$B225+($C225-$B225)*(1-AA225)</f>
        <v>8692959.7359545007</v>
      </c>
      <c r="M245" s="62">
        <f t="shared" ref="M245:M254" si="181">$B225+($C225-$B225)*(1-AB225)</f>
        <v>8351209.2955318587</v>
      </c>
      <c r="N245" s="62">
        <f t="shared" ref="N245:N254" si="182">$B225+($C225-$B225)*(1-AC225)</f>
        <v>7990424.7577444501</v>
      </c>
      <c r="O245" s="62">
        <f t="shared" ref="O245:O254" si="183">$B225+($C225-$B225)*(1-AD225)</f>
        <v>7636739.7848321479</v>
      </c>
      <c r="P245" s="62">
        <f t="shared" ref="P245:P254" si="184">$B225+($C225-$B225)*(1-AE225)</f>
        <v>7314773.0738961697</v>
      </c>
      <c r="Q245" s="62">
        <f t="shared" ref="Q245:Q254" si="185">$B225+($C225-$B225)*(1-AF225)</f>
        <v>7041147.2185419146</v>
      </c>
      <c r="R245" s="62">
        <f t="shared" ref="R245:R254" si="186">$B225+($C225-$B225)*(1-AG225)</f>
        <v>6822021.912017433</v>
      </c>
      <c r="S245" s="62">
        <f t="shared" ref="S245:S254" si="187">$B225+($C225-$B225)*(1-AH225)</f>
        <v>6654819.5776641248</v>
      </c>
      <c r="T245" s="62">
        <f t="shared" ref="T245:T254" si="188">$B225+($C225-$B225)*(1-AI225)</f>
        <v>6531912.4522678442</v>
      </c>
      <c r="U245" s="62">
        <f t="shared" ref="U245:U254" si="189">$B225+($C225-$B225)*(1-AJ225)</f>
        <v>6444035.6356656328</v>
      </c>
      <c r="V245" s="62">
        <f t="shared" ref="V245:V254" si="190">$B225+($C225-$B225)*(1-AK225)</f>
        <v>6382446.9648450473</v>
      </c>
      <c r="W245" s="62">
        <f t="shared" ref="W245:W254" si="191">$B225+($C225-$B225)*(1-AL225)</f>
        <v>6339885.4077724684</v>
      </c>
      <c r="X245" s="62">
        <f t="shared" ref="X245:X254" si="192">$B225+($C225-$B225)*(1-AM225)</f>
        <v>6310758.4133439614</v>
      </c>
      <c r="Y245" s="62">
        <f t="shared" ref="Y245:Y254" si="193">$B225+($C225-$B225)*(1-AN225)</f>
        <v>6290958.4021154065</v>
      </c>
      <c r="Z245" s="62">
        <f t="shared" ref="Z245:Z254" si="194">$B225+($C225-$B225)*(1-AO225)</f>
        <v>6277559.9548397847</v>
      </c>
      <c r="AA245" s="62">
        <f t="shared" ref="AA245:AA254" si="195">$B225+($C225-$B225)*(1-AP225)</f>
        <v>6268521.3483193964</v>
      </c>
      <c r="AB245" s="62">
        <f t="shared" ref="AB245:AB254" si="196">$B225+($C225-$B225)*(1-AQ225)</f>
        <v>6262436.6033098586</v>
      </c>
      <c r="AC245" s="62">
        <f t="shared" ref="AC245:AC254" si="197">$B225+($C225-$B225)*(1-AR225)</f>
        <v>6258346.1358050052</v>
      </c>
    </row>
    <row r="246" spans="1:44" x14ac:dyDescent="0.25">
      <c r="A246" s="30" t="str">
        <f t="shared" si="169"/>
        <v>Residual value (vehicle)</v>
      </c>
      <c r="B246" s="62">
        <f t="shared" si="170"/>
        <v>-505775.93556100863</v>
      </c>
      <c r="C246" s="62">
        <f t="shared" si="171"/>
        <v>-508249.01978749514</v>
      </c>
      <c r="D246" s="62">
        <f t="shared" si="172"/>
        <v>-511760.44486805983</v>
      </c>
      <c r="E246" s="62">
        <f t="shared" si="173"/>
        <v>-516723.50679303159</v>
      </c>
      <c r="F246" s="62">
        <f t="shared" si="174"/>
        <v>-523691.55619463779</v>
      </c>
      <c r="G246" s="62">
        <f t="shared" si="175"/>
        <v>-533379.67434313102</v>
      </c>
      <c r="H246" s="62">
        <f t="shared" si="176"/>
        <v>-546661.72189149424</v>
      </c>
      <c r="I246" s="62">
        <f t="shared" si="177"/>
        <v>-564511.37054981932</v>
      </c>
      <c r="J246" s="62">
        <f t="shared" si="178"/>
        <v>-587844.30964477046</v>
      </c>
      <c r="K246" s="62">
        <f t="shared" si="179"/>
        <v>-617228.20265627897</v>
      </c>
      <c r="L246" s="62">
        <f t="shared" si="180"/>
        <v>-652488.03080530826</v>
      </c>
      <c r="M246" s="62">
        <f t="shared" si="181"/>
        <v>-692358.91552128317</v>
      </c>
      <c r="N246" s="62">
        <f t="shared" si="182"/>
        <v>-734450.44492981408</v>
      </c>
      <c r="O246" s="62">
        <f t="shared" si="183"/>
        <v>-775713.6917695828</v>
      </c>
      <c r="P246" s="62">
        <f t="shared" si="184"/>
        <v>-813276.4747121135</v>
      </c>
      <c r="Q246" s="62">
        <f t="shared" si="185"/>
        <v>-845199.49117010995</v>
      </c>
      <c r="R246" s="62">
        <f t="shared" si="186"/>
        <v>-870764.11026463285</v>
      </c>
      <c r="S246" s="62">
        <f t="shared" si="187"/>
        <v>-890271.04927251884</v>
      </c>
      <c r="T246" s="62">
        <f t="shared" si="188"/>
        <v>-904610.21390208486</v>
      </c>
      <c r="U246" s="62">
        <f t="shared" si="189"/>
        <v>-914862.50917234272</v>
      </c>
      <c r="V246" s="62">
        <f t="shared" si="190"/>
        <v>-922047.85410141107</v>
      </c>
      <c r="W246" s="62">
        <f t="shared" si="191"/>
        <v>-927013.36909321207</v>
      </c>
      <c r="X246" s="62">
        <f t="shared" si="192"/>
        <v>-930411.51844320446</v>
      </c>
      <c r="Y246" s="62">
        <f t="shared" si="193"/>
        <v>-932721.51975320256</v>
      </c>
      <c r="Z246" s="62">
        <f t="shared" si="194"/>
        <v>-934284.67193535855</v>
      </c>
      <c r="AA246" s="62">
        <f t="shared" si="195"/>
        <v>-935339.17602940369</v>
      </c>
      <c r="AB246" s="62">
        <f t="shared" si="196"/>
        <v>-936049.06294718315</v>
      </c>
      <c r="AC246" s="62">
        <f t="shared" si="197"/>
        <v>-936526.28415608278</v>
      </c>
    </row>
    <row r="247" spans="1:44" x14ac:dyDescent="0.25">
      <c r="A247" s="30" t="str">
        <f t="shared" si="169"/>
        <v>Capex costumization</v>
      </c>
      <c r="B247" s="62">
        <f t="shared" si="170"/>
        <v>2800000</v>
      </c>
      <c r="C247" s="62">
        <f t="shared" si="171"/>
        <v>2800000</v>
      </c>
      <c r="D247" s="62">
        <f t="shared" si="172"/>
        <v>2800000</v>
      </c>
      <c r="E247" s="62">
        <f t="shared" si="173"/>
        <v>2800000</v>
      </c>
      <c r="F247" s="62">
        <f t="shared" si="174"/>
        <v>2800000</v>
      </c>
      <c r="G247" s="62">
        <f t="shared" si="175"/>
        <v>2800000</v>
      </c>
      <c r="H247" s="62">
        <f t="shared" si="176"/>
        <v>2800000</v>
      </c>
      <c r="I247" s="62">
        <f t="shared" si="177"/>
        <v>2800000</v>
      </c>
      <c r="J247" s="62">
        <f t="shared" si="178"/>
        <v>2800000</v>
      </c>
      <c r="K247" s="62">
        <f t="shared" si="179"/>
        <v>2800000</v>
      </c>
      <c r="L247" s="62">
        <f t="shared" si="180"/>
        <v>2800000</v>
      </c>
      <c r="M247" s="62">
        <f t="shared" si="181"/>
        <v>2800000</v>
      </c>
      <c r="N247" s="62">
        <f t="shared" si="182"/>
        <v>2800000</v>
      </c>
      <c r="O247" s="62">
        <f t="shared" si="183"/>
        <v>2800000</v>
      </c>
      <c r="P247" s="62">
        <f t="shared" si="184"/>
        <v>2800000</v>
      </c>
      <c r="Q247" s="62">
        <f t="shared" si="185"/>
        <v>2800000</v>
      </c>
      <c r="R247" s="62">
        <f t="shared" si="186"/>
        <v>2800000</v>
      </c>
      <c r="S247" s="62">
        <f t="shared" si="187"/>
        <v>2800000</v>
      </c>
      <c r="T247" s="62">
        <f t="shared" si="188"/>
        <v>2800000</v>
      </c>
      <c r="U247" s="62">
        <f t="shared" si="189"/>
        <v>2800000</v>
      </c>
      <c r="V247" s="62">
        <f t="shared" si="190"/>
        <v>2800000</v>
      </c>
      <c r="W247" s="62">
        <f t="shared" si="191"/>
        <v>2800000</v>
      </c>
      <c r="X247" s="62">
        <f t="shared" si="192"/>
        <v>2800000</v>
      </c>
      <c r="Y247" s="62">
        <f t="shared" si="193"/>
        <v>2800000</v>
      </c>
      <c r="Z247" s="62">
        <f t="shared" si="194"/>
        <v>2800000</v>
      </c>
      <c r="AA247" s="62">
        <f t="shared" si="195"/>
        <v>2800000</v>
      </c>
      <c r="AB247" s="62">
        <f t="shared" si="196"/>
        <v>2800000</v>
      </c>
      <c r="AC247" s="62">
        <f t="shared" si="197"/>
        <v>2800000</v>
      </c>
    </row>
    <row r="248" spans="1:44" x14ac:dyDescent="0.25">
      <c r="A248" s="30" t="str">
        <f t="shared" si="169"/>
        <v>Residual value (costumization)</v>
      </c>
      <c r="B248" s="62">
        <f t="shared" si="170"/>
        <v>-140000</v>
      </c>
      <c r="C248" s="62">
        <f t="shared" si="171"/>
        <v>-140000</v>
      </c>
      <c r="D248" s="62">
        <f t="shared" si="172"/>
        <v>-140000</v>
      </c>
      <c r="E248" s="62">
        <f t="shared" si="173"/>
        <v>-140000</v>
      </c>
      <c r="F248" s="62">
        <f t="shared" si="174"/>
        <v>-140000</v>
      </c>
      <c r="G248" s="62">
        <f t="shared" si="175"/>
        <v>-140000</v>
      </c>
      <c r="H248" s="62">
        <f t="shared" si="176"/>
        <v>-140000</v>
      </c>
      <c r="I248" s="62">
        <f t="shared" si="177"/>
        <v>-140000</v>
      </c>
      <c r="J248" s="62">
        <f t="shared" si="178"/>
        <v>-140000</v>
      </c>
      <c r="K248" s="62">
        <f t="shared" si="179"/>
        <v>-140000</v>
      </c>
      <c r="L248" s="62">
        <f t="shared" si="180"/>
        <v>-140000</v>
      </c>
      <c r="M248" s="62">
        <f t="shared" si="181"/>
        <v>-140000</v>
      </c>
      <c r="N248" s="62">
        <f t="shared" si="182"/>
        <v>-140000</v>
      </c>
      <c r="O248" s="62">
        <f t="shared" si="183"/>
        <v>-140000</v>
      </c>
      <c r="P248" s="62">
        <f t="shared" si="184"/>
        <v>-140000</v>
      </c>
      <c r="Q248" s="62">
        <f t="shared" si="185"/>
        <v>-140000</v>
      </c>
      <c r="R248" s="62">
        <f t="shared" si="186"/>
        <v>-140000</v>
      </c>
      <c r="S248" s="62">
        <f t="shared" si="187"/>
        <v>-140000</v>
      </c>
      <c r="T248" s="62">
        <f t="shared" si="188"/>
        <v>-140000</v>
      </c>
      <c r="U248" s="62">
        <f t="shared" si="189"/>
        <v>-140000</v>
      </c>
      <c r="V248" s="62">
        <f t="shared" si="190"/>
        <v>-140000</v>
      </c>
      <c r="W248" s="62">
        <f t="shared" si="191"/>
        <v>-140000</v>
      </c>
      <c r="X248" s="62">
        <f t="shared" si="192"/>
        <v>-140000</v>
      </c>
      <c r="Y248" s="62">
        <f t="shared" si="193"/>
        <v>-140000</v>
      </c>
      <c r="Z248" s="62">
        <f t="shared" si="194"/>
        <v>-140000</v>
      </c>
      <c r="AA248" s="62">
        <f t="shared" si="195"/>
        <v>-140000</v>
      </c>
      <c r="AB248" s="62">
        <f t="shared" si="196"/>
        <v>-140000</v>
      </c>
      <c r="AC248" s="62">
        <f t="shared" si="197"/>
        <v>-140000</v>
      </c>
    </row>
    <row r="249" spans="1:44" x14ac:dyDescent="0.25">
      <c r="A249" s="30" t="str">
        <f t="shared" si="169"/>
        <v>WACC</v>
      </c>
      <c r="B249" s="62">
        <f t="shared" si="170"/>
        <v>0.06</v>
      </c>
      <c r="C249" s="62">
        <f t="shared" si="171"/>
        <v>0.06</v>
      </c>
      <c r="D249" s="62">
        <f t="shared" si="172"/>
        <v>0.06</v>
      </c>
      <c r="E249" s="62">
        <f t="shared" si="173"/>
        <v>0.06</v>
      </c>
      <c r="F249" s="62">
        <f t="shared" si="174"/>
        <v>0.06</v>
      </c>
      <c r="G249" s="62">
        <f t="shared" si="175"/>
        <v>0.06</v>
      </c>
      <c r="H249" s="62">
        <f t="shared" si="176"/>
        <v>0.06</v>
      </c>
      <c r="I249" s="62">
        <f t="shared" si="177"/>
        <v>0.06</v>
      </c>
      <c r="J249" s="62">
        <f t="shared" si="178"/>
        <v>0.06</v>
      </c>
      <c r="K249" s="62">
        <f t="shared" si="179"/>
        <v>0.06</v>
      </c>
      <c r="L249" s="62">
        <f t="shared" si="180"/>
        <v>0.06</v>
      </c>
      <c r="M249" s="62">
        <f t="shared" si="181"/>
        <v>0.06</v>
      </c>
      <c r="N249" s="62">
        <f t="shared" si="182"/>
        <v>0.06</v>
      </c>
      <c r="O249" s="62">
        <f t="shared" si="183"/>
        <v>0.06</v>
      </c>
      <c r="P249" s="62">
        <f t="shared" si="184"/>
        <v>0.06</v>
      </c>
      <c r="Q249" s="62">
        <f t="shared" si="185"/>
        <v>0.06</v>
      </c>
      <c r="R249" s="62">
        <f t="shared" si="186"/>
        <v>0.06</v>
      </c>
      <c r="S249" s="62">
        <f t="shared" si="187"/>
        <v>0.06</v>
      </c>
      <c r="T249" s="62">
        <f t="shared" si="188"/>
        <v>0.06</v>
      </c>
      <c r="U249" s="62">
        <f t="shared" si="189"/>
        <v>0.06</v>
      </c>
      <c r="V249" s="62">
        <f t="shared" si="190"/>
        <v>0.06</v>
      </c>
      <c r="W249" s="62">
        <f t="shared" si="191"/>
        <v>0.06</v>
      </c>
      <c r="X249" s="62">
        <f t="shared" si="192"/>
        <v>0.06</v>
      </c>
      <c r="Y249" s="62">
        <f t="shared" si="193"/>
        <v>0.06</v>
      </c>
      <c r="Z249" s="62">
        <f t="shared" si="194"/>
        <v>0.06</v>
      </c>
      <c r="AA249" s="62">
        <f t="shared" si="195"/>
        <v>0.06</v>
      </c>
      <c r="AB249" s="62">
        <f t="shared" si="196"/>
        <v>0.06</v>
      </c>
      <c r="AC249" s="62">
        <f t="shared" si="197"/>
        <v>0.06</v>
      </c>
    </row>
    <row r="250" spans="1:44" x14ac:dyDescent="0.25">
      <c r="A250" s="30" t="str">
        <f t="shared" si="169"/>
        <v>Opex fix (admin, crew, insurance)</v>
      </c>
      <c r="B250" s="62">
        <f t="shared" si="170"/>
        <v>610000</v>
      </c>
      <c r="C250" s="62">
        <f t="shared" si="171"/>
        <v>610000</v>
      </c>
      <c r="D250" s="62">
        <f t="shared" si="172"/>
        <v>610000</v>
      </c>
      <c r="E250" s="62">
        <f t="shared" si="173"/>
        <v>610000</v>
      </c>
      <c r="F250" s="62">
        <f t="shared" si="174"/>
        <v>610000</v>
      </c>
      <c r="G250" s="62">
        <f t="shared" si="175"/>
        <v>610000</v>
      </c>
      <c r="H250" s="62">
        <f t="shared" si="176"/>
        <v>610000</v>
      </c>
      <c r="I250" s="62">
        <f t="shared" si="177"/>
        <v>610000</v>
      </c>
      <c r="J250" s="62">
        <f t="shared" si="178"/>
        <v>610000</v>
      </c>
      <c r="K250" s="62">
        <f t="shared" si="179"/>
        <v>610000</v>
      </c>
      <c r="L250" s="62">
        <f t="shared" si="180"/>
        <v>610000</v>
      </c>
      <c r="M250" s="62">
        <f t="shared" si="181"/>
        <v>610000</v>
      </c>
      <c r="N250" s="62">
        <f t="shared" si="182"/>
        <v>610000</v>
      </c>
      <c r="O250" s="62">
        <f t="shared" si="183"/>
        <v>610000</v>
      </c>
      <c r="P250" s="62">
        <f t="shared" si="184"/>
        <v>610000</v>
      </c>
      <c r="Q250" s="62">
        <f t="shared" si="185"/>
        <v>610000</v>
      </c>
      <c r="R250" s="62">
        <f t="shared" si="186"/>
        <v>610000</v>
      </c>
      <c r="S250" s="62">
        <f t="shared" si="187"/>
        <v>610000</v>
      </c>
      <c r="T250" s="62">
        <f t="shared" si="188"/>
        <v>610000</v>
      </c>
      <c r="U250" s="62">
        <f t="shared" si="189"/>
        <v>610000</v>
      </c>
      <c r="V250" s="62">
        <f t="shared" si="190"/>
        <v>610000</v>
      </c>
      <c r="W250" s="62">
        <f t="shared" si="191"/>
        <v>610000</v>
      </c>
      <c r="X250" s="62">
        <f t="shared" si="192"/>
        <v>610000</v>
      </c>
      <c r="Y250" s="62">
        <f t="shared" si="193"/>
        <v>610000</v>
      </c>
      <c r="Z250" s="62">
        <f t="shared" si="194"/>
        <v>610000</v>
      </c>
      <c r="AA250" s="62">
        <f t="shared" si="195"/>
        <v>610000</v>
      </c>
      <c r="AB250" s="62">
        <f t="shared" si="196"/>
        <v>610000</v>
      </c>
      <c r="AC250" s="62">
        <f t="shared" si="197"/>
        <v>610000</v>
      </c>
    </row>
    <row r="251" spans="1:44" x14ac:dyDescent="0.25">
      <c r="A251" s="30" t="str">
        <f t="shared" si="169"/>
        <v>Opex maintenance &amp; repair</v>
      </c>
      <c r="B251" s="62">
        <f t="shared" si="170"/>
        <v>1293563.9575177333</v>
      </c>
      <c r="C251" s="62">
        <f t="shared" si="171"/>
        <v>1290808.235093934</v>
      </c>
      <c r="D251" s="62">
        <f t="shared" si="172"/>
        <v>1286895.5042898762</v>
      </c>
      <c r="E251" s="62">
        <f t="shared" si="173"/>
        <v>1281365.2352877648</v>
      </c>
      <c r="F251" s="62">
        <f t="shared" si="174"/>
        <v>1273600.837383118</v>
      </c>
      <c r="G251" s="62">
        <f t="shared" si="175"/>
        <v>1262805.5057319398</v>
      </c>
      <c r="H251" s="62">
        <f t="shared" si="176"/>
        <v>1248005.5098923349</v>
      </c>
      <c r="I251" s="62">
        <f t="shared" si="177"/>
        <v>1228115.9013873441</v>
      </c>
      <c r="J251" s="62">
        <f t="shared" si="178"/>
        <v>1202116.3406815415</v>
      </c>
      <c r="K251" s="62">
        <f t="shared" si="179"/>
        <v>1169374.2884687176</v>
      </c>
      <c r="L251" s="62">
        <f t="shared" si="180"/>
        <v>1130084.7656740851</v>
      </c>
      <c r="M251" s="62">
        <f t="shared" si="181"/>
        <v>1085657.2084191416</v>
      </c>
      <c r="N251" s="62">
        <f t="shared" si="182"/>
        <v>1038755.2185067786</v>
      </c>
      <c r="O251" s="62">
        <f t="shared" si="183"/>
        <v>992776.17202817916</v>
      </c>
      <c r="P251" s="62">
        <f t="shared" si="184"/>
        <v>950920.49960650213</v>
      </c>
      <c r="Q251" s="62">
        <f t="shared" si="185"/>
        <v>915349.13841044903</v>
      </c>
      <c r="R251" s="62">
        <f t="shared" si="186"/>
        <v>886862.84856226621</v>
      </c>
      <c r="S251" s="62">
        <f t="shared" si="187"/>
        <v>865126.54509633617</v>
      </c>
      <c r="T251" s="62">
        <f t="shared" si="188"/>
        <v>849148.61879481981</v>
      </c>
      <c r="U251" s="62">
        <f t="shared" si="189"/>
        <v>837724.6326365323</v>
      </c>
      <c r="V251" s="62">
        <f t="shared" si="190"/>
        <v>829718.10542985611</v>
      </c>
      <c r="W251" s="62">
        <f t="shared" si="191"/>
        <v>824185.10301042092</v>
      </c>
      <c r="X251" s="62">
        <f t="shared" si="192"/>
        <v>820398.59373471502</v>
      </c>
      <c r="Y251" s="62">
        <f t="shared" si="193"/>
        <v>817824.59227500285</v>
      </c>
      <c r="Z251" s="62">
        <f t="shared" si="194"/>
        <v>816082.79412917187</v>
      </c>
      <c r="AA251" s="62">
        <f t="shared" si="195"/>
        <v>814907.77528152149</v>
      </c>
      <c r="AB251" s="62">
        <f t="shared" si="196"/>
        <v>814116.75843028165</v>
      </c>
      <c r="AC251" s="62">
        <f t="shared" si="197"/>
        <v>813584.99765465059</v>
      </c>
    </row>
    <row r="252" spans="1:44" x14ac:dyDescent="0.25">
      <c r="A252" s="30" t="str">
        <f t="shared" si="169"/>
        <v>Opex var (mode-fees, shunting)</v>
      </c>
      <c r="B252" s="62">
        <f t="shared" si="170"/>
        <v>3.6414565826330532</v>
      </c>
      <c r="C252" s="62">
        <f t="shared" si="171"/>
        <v>3.6414565826330532</v>
      </c>
      <c r="D252" s="62">
        <f t="shared" si="172"/>
        <v>3.6414565826330532</v>
      </c>
      <c r="E252" s="62">
        <f t="shared" si="173"/>
        <v>3.6414565826330532</v>
      </c>
      <c r="F252" s="62">
        <f t="shared" si="174"/>
        <v>3.6414565826330532</v>
      </c>
      <c r="G252" s="62">
        <f t="shared" si="175"/>
        <v>3.6414565826330532</v>
      </c>
      <c r="H252" s="62">
        <f t="shared" si="176"/>
        <v>3.6414565826330532</v>
      </c>
      <c r="I252" s="62">
        <f t="shared" si="177"/>
        <v>3.6414565826330532</v>
      </c>
      <c r="J252" s="62">
        <f t="shared" si="178"/>
        <v>3.6414565826330532</v>
      </c>
      <c r="K252" s="62">
        <f t="shared" si="179"/>
        <v>3.6414565826330532</v>
      </c>
      <c r="L252" s="62">
        <f t="shared" si="180"/>
        <v>3.6414565826330532</v>
      </c>
      <c r="M252" s="62">
        <f t="shared" si="181"/>
        <v>3.6414565826330532</v>
      </c>
      <c r="N252" s="62">
        <f t="shared" si="182"/>
        <v>3.6414565826330532</v>
      </c>
      <c r="O252" s="62">
        <f t="shared" si="183"/>
        <v>3.6414565826330532</v>
      </c>
      <c r="P252" s="62">
        <f t="shared" si="184"/>
        <v>3.6414565826330532</v>
      </c>
      <c r="Q252" s="62">
        <f t="shared" si="185"/>
        <v>3.6414565826330532</v>
      </c>
      <c r="R252" s="62">
        <f t="shared" si="186"/>
        <v>3.6414565826330532</v>
      </c>
      <c r="S252" s="62">
        <f t="shared" si="187"/>
        <v>3.6414565826330532</v>
      </c>
      <c r="T252" s="62">
        <f t="shared" si="188"/>
        <v>3.6414565826330532</v>
      </c>
      <c r="U252" s="62">
        <f t="shared" si="189"/>
        <v>3.6414565826330532</v>
      </c>
      <c r="V252" s="62">
        <f t="shared" si="190"/>
        <v>3.6414565826330532</v>
      </c>
      <c r="W252" s="62">
        <f t="shared" si="191"/>
        <v>3.6414565826330532</v>
      </c>
      <c r="X252" s="62">
        <f t="shared" si="192"/>
        <v>3.6414565826330532</v>
      </c>
      <c r="Y252" s="62">
        <f t="shared" si="193"/>
        <v>3.6414565826330532</v>
      </c>
      <c r="Z252" s="62">
        <f t="shared" si="194"/>
        <v>3.6414565826330532</v>
      </c>
      <c r="AA252" s="62">
        <f t="shared" si="195"/>
        <v>3.6414565826330532</v>
      </c>
      <c r="AB252" s="62">
        <f t="shared" si="196"/>
        <v>3.6414565826330532</v>
      </c>
      <c r="AC252" s="62">
        <f t="shared" si="197"/>
        <v>3.6414565826330532</v>
      </c>
    </row>
    <row r="253" spans="1:44" x14ac:dyDescent="0.25">
      <c r="A253" s="30" t="str">
        <f t="shared" si="169"/>
        <v>Fuel Economy</v>
      </c>
      <c r="B253" s="62">
        <f t="shared" si="170"/>
        <v>33.590199999999996</v>
      </c>
      <c r="C253" s="62">
        <f t="shared" si="171"/>
        <v>33.590199999999996</v>
      </c>
      <c r="D253" s="62">
        <f t="shared" si="172"/>
        <v>33.590199999999996</v>
      </c>
      <c r="E253" s="62">
        <f t="shared" si="173"/>
        <v>33.590199999999996</v>
      </c>
      <c r="F253" s="62">
        <f t="shared" si="174"/>
        <v>33.590199999999996</v>
      </c>
      <c r="G253" s="62">
        <f t="shared" si="175"/>
        <v>33.590199999999996</v>
      </c>
      <c r="H253" s="62">
        <f t="shared" si="176"/>
        <v>33.590199999999996</v>
      </c>
      <c r="I253" s="62">
        <f t="shared" si="177"/>
        <v>33.590199999999996</v>
      </c>
      <c r="J253" s="62">
        <f t="shared" si="178"/>
        <v>33.590199999999996</v>
      </c>
      <c r="K253" s="62">
        <f t="shared" si="179"/>
        <v>33.590199999999996</v>
      </c>
      <c r="L253" s="62">
        <f t="shared" si="180"/>
        <v>33.590199999999996</v>
      </c>
      <c r="M253" s="62">
        <f t="shared" si="181"/>
        <v>33.590199999999996</v>
      </c>
      <c r="N253" s="62">
        <f t="shared" si="182"/>
        <v>33.590199999999996</v>
      </c>
      <c r="O253" s="62">
        <f t="shared" si="183"/>
        <v>33.590199999999996</v>
      </c>
      <c r="P253" s="62">
        <f t="shared" si="184"/>
        <v>33.590199999999996</v>
      </c>
      <c r="Q253" s="62">
        <f t="shared" si="185"/>
        <v>33.590199999999996</v>
      </c>
      <c r="R253" s="62">
        <f t="shared" si="186"/>
        <v>33.590199999999996</v>
      </c>
      <c r="S253" s="62">
        <f t="shared" si="187"/>
        <v>33.590199999999996</v>
      </c>
      <c r="T253" s="62">
        <f t="shared" si="188"/>
        <v>33.590199999999996</v>
      </c>
      <c r="U253" s="62">
        <f t="shared" si="189"/>
        <v>33.590199999999996</v>
      </c>
      <c r="V253" s="62">
        <f t="shared" si="190"/>
        <v>33.590199999999996</v>
      </c>
      <c r="W253" s="62">
        <f t="shared" si="191"/>
        <v>33.590199999999996</v>
      </c>
      <c r="X253" s="62">
        <f t="shared" si="192"/>
        <v>33.590199999999996</v>
      </c>
      <c r="Y253" s="62">
        <f t="shared" si="193"/>
        <v>33.590199999999996</v>
      </c>
      <c r="Z253" s="62">
        <f t="shared" si="194"/>
        <v>33.590199999999996</v>
      </c>
      <c r="AA253" s="62">
        <f t="shared" si="195"/>
        <v>33.590199999999996</v>
      </c>
      <c r="AB253" s="62">
        <f t="shared" si="196"/>
        <v>33.590199999999996</v>
      </c>
      <c r="AC253" s="62">
        <f t="shared" si="197"/>
        <v>33.590199999999996</v>
      </c>
    </row>
    <row r="254" spans="1:44" x14ac:dyDescent="0.25">
      <c r="A254" s="30" t="str">
        <f t="shared" si="169"/>
        <v>Fuel Cost</v>
      </c>
      <c r="B254" s="62">
        <f t="shared" si="170"/>
        <v>0.1331013876427829</v>
      </c>
      <c r="C254" s="62">
        <f t="shared" si="171"/>
        <v>0.13284065209015961</v>
      </c>
      <c r="D254" s="62">
        <f t="shared" si="172"/>
        <v>0.13247044498234223</v>
      </c>
      <c r="E254" s="62">
        <f t="shared" si="173"/>
        <v>0.13194719281007408</v>
      </c>
      <c r="F254" s="62">
        <f t="shared" si="174"/>
        <v>0.13121255620046077</v>
      </c>
      <c r="G254" s="62">
        <f t="shared" si="175"/>
        <v>0.13019114463175094</v>
      </c>
      <c r="H254" s="62">
        <f t="shared" si="176"/>
        <v>0.12879082758213251</v>
      </c>
      <c r="I254" s="62">
        <f t="shared" si="177"/>
        <v>0.126908951519354</v>
      </c>
      <c r="J254" s="62">
        <f t="shared" si="178"/>
        <v>0.12444897595358409</v>
      </c>
      <c r="K254" s="62">
        <f t="shared" si="179"/>
        <v>0.12135105251833415</v>
      </c>
      <c r="L254" s="62">
        <f t="shared" si="180"/>
        <v>0.11763363332194038</v>
      </c>
      <c r="M254" s="62">
        <f t="shared" si="181"/>
        <v>0.11343007363373329</v>
      </c>
      <c r="N254" s="62">
        <f t="shared" si="182"/>
        <v>0.10899239291766451</v>
      </c>
      <c r="O254" s="62">
        <f t="shared" si="183"/>
        <v>0.10464203745763898</v>
      </c>
      <c r="P254" s="62">
        <f t="shared" si="184"/>
        <v>0.10068181933659913</v>
      </c>
      <c r="Q254" s="62">
        <f t="shared" si="185"/>
        <v>9.7316197879620536E-2</v>
      </c>
      <c r="R254" s="62">
        <f t="shared" si="186"/>
        <v>9.4620937841233446E-2</v>
      </c>
      <c r="S254" s="62">
        <f t="shared" si="187"/>
        <v>9.2564334807767046E-2</v>
      </c>
      <c r="T254" s="62">
        <f t="shared" si="188"/>
        <v>9.1052566638367527E-2</v>
      </c>
      <c r="U254" s="62">
        <f t="shared" si="189"/>
        <v>8.9971674267489546E-2</v>
      </c>
      <c r="V254" s="62">
        <f t="shared" si="190"/>
        <v>8.9214128341311663E-2</v>
      </c>
      <c r="W254" s="62">
        <f t="shared" si="191"/>
        <v>8.8690617543911193E-2</v>
      </c>
      <c r="X254" s="62">
        <f t="shared" si="192"/>
        <v>8.833235301770638E-2</v>
      </c>
      <c r="Y254" s="62">
        <f t="shared" si="193"/>
        <v>8.8088811183719362E-2</v>
      </c>
      <c r="Z254" s="62">
        <f t="shared" si="194"/>
        <v>8.7924009134648928E-2</v>
      </c>
      <c r="AA254" s="62">
        <f t="shared" si="195"/>
        <v>8.7812833500289317E-2</v>
      </c>
      <c r="AB254" s="62">
        <f t="shared" si="196"/>
        <v>8.7737990615512101E-2</v>
      </c>
      <c r="AC254" s="62">
        <f t="shared" si="197"/>
        <v>8.768767751485286E-2</v>
      </c>
    </row>
    <row r="255" spans="1:44" x14ac:dyDescent="0.25">
      <c r="A255" s="30" t="str">
        <f t="shared" ref="A255" si="198">A235</f>
        <v>Emission Cost</v>
      </c>
      <c r="B255" s="66">
        <f>$B235+($C235-$B235)*(1-Q235)</f>
        <v>7.7616989698723951E-2</v>
      </c>
      <c r="C255" s="66">
        <f t="shared" ref="C255:AC255" si="199">$B235+($C235-$B235)*(1-R235)</f>
        <v>7.7543079413020161E-2</v>
      </c>
      <c r="D255" s="66">
        <f t="shared" si="199"/>
        <v>7.7437278485254071E-2</v>
      </c>
      <c r="E255" s="66">
        <f t="shared" si="199"/>
        <v>7.7285922817830824E-2</v>
      </c>
      <c r="F255" s="66">
        <f t="shared" si="199"/>
        <v>7.7069602170796822E-2</v>
      </c>
      <c r="G255" s="66">
        <f t="shared" si="199"/>
        <v>7.6760865858648872E-2</v>
      </c>
      <c r="H255" s="66">
        <f t="shared" si="199"/>
        <v>7.6321149608842037E-2</v>
      </c>
      <c r="I255" s="66">
        <f t="shared" si="199"/>
        <v>7.5696815568227049E-2</v>
      </c>
      <c r="J255" s="66">
        <f t="shared" si="199"/>
        <v>7.4814379396488564E-2</v>
      </c>
      <c r="K255" s="66">
        <f t="shared" si="199"/>
        <v>7.3575454931835024E-2</v>
      </c>
      <c r="L255" s="66">
        <f t="shared" si="199"/>
        <v>7.1852900182459184E-2</v>
      </c>
      <c r="M255" s="66">
        <f t="shared" si="199"/>
        <v>6.9491342061966249E-2</v>
      </c>
      <c r="N255" s="66">
        <f t="shared" si="199"/>
        <v>6.6317661002361278E-2</v>
      </c>
      <c r="O255" s="66">
        <f t="shared" si="199"/>
        <v>6.2169046747367229E-2</v>
      </c>
      <c r="P255" s="66">
        <f t="shared" si="199"/>
        <v>5.694456830002316E-2</v>
      </c>
      <c r="Q255" s="66">
        <f t="shared" si="199"/>
        <v>5.0675344131887581E-2</v>
      </c>
      <c r="R255" s="66">
        <f t="shared" si="199"/>
        <v>4.3586270611453572E-2</v>
      </c>
      <c r="S255" s="66">
        <f t="shared" si="199"/>
        <v>3.6102364781668152E-2</v>
      </c>
      <c r="T255" s="66">
        <f t="shared" si="199"/>
        <v>2.8765728220359679E-2</v>
      </c>
      <c r="U255" s="66">
        <f t="shared" si="199"/>
        <v>2.2087036944542227E-2</v>
      </c>
      <c r="V255" s="66">
        <f t="shared" si="199"/>
        <v>1.6411100424024307E-2</v>
      </c>
      <c r="W255" s="66">
        <f t="shared" si="199"/>
        <v>1.1865691773727857E-2</v>
      </c>
      <c r="X255" s="66">
        <f t="shared" si="199"/>
        <v>8.3973432339193438E-3</v>
      </c>
      <c r="Y255" s="66">
        <f t="shared" si="199"/>
        <v>5.84782889520509E-3</v>
      </c>
      <c r="Z255" s="66">
        <f t="shared" si="199"/>
        <v>4.0249630259926034E-3</v>
      </c>
      <c r="AA255" s="66">
        <f t="shared" si="199"/>
        <v>2.747403251869146E-3</v>
      </c>
      <c r="AB255" s="66">
        <f t="shared" si="199"/>
        <v>1.8645309229892715E-3</v>
      </c>
      <c r="AC255" s="66">
        <f t="shared" si="199"/>
        <v>1.2603373931211054E-3</v>
      </c>
    </row>
    <row r="256" spans="1:44" x14ac:dyDescent="0.25">
      <c r="A256" s="30" t="str">
        <f>A236</f>
        <v>Lifetime vehicle</v>
      </c>
      <c r="B256" s="62">
        <f>$B236+($C236-$B236)*(1-Q236)</f>
        <v>20</v>
      </c>
      <c r="C256" s="62">
        <f t="shared" ref="C256:L258" si="200">$B236+($C236-$B236)*(1-R236)</f>
        <v>20</v>
      </c>
      <c r="D256" s="62">
        <f t="shared" si="200"/>
        <v>20</v>
      </c>
      <c r="E256" s="62">
        <f t="shared" si="200"/>
        <v>20</v>
      </c>
      <c r="F256" s="62">
        <f t="shared" si="200"/>
        <v>20</v>
      </c>
      <c r="G256" s="62">
        <f t="shared" si="200"/>
        <v>20</v>
      </c>
      <c r="H256" s="62">
        <f t="shared" si="200"/>
        <v>20</v>
      </c>
      <c r="I256" s="62">
        <f t="shared" si="200"/>
        <v>20</v>
      </c>
      <c r="J256" s="62">
        <f t="shared" si="200"/>
        <v>20</v>
      </c>
      <c r="K256" s="62">
        <f t="shared" si="200"/>
        <v>20</v>
      </c>
      <c r="L256" s="62">
        <f t="shared" si="200"/>
        <v>20</v>
      </c>
      <c r="M256" s="62">
        <f t="shared" ref="M256:V258" si="201">$B236+($C236-$B236)*(1-AB236)</f>
        <v>20</v>
      </c>
      <c r="N256" s="62">
        <f t="shared" si="201"/>
        <v>20</v>
      </c>
      <c r="O256" s="62">
        <f t="shared" si="201"/>
        <v>20</v>
      </c>
      <c r="P256" s="62">
        <f t="shared" si="201"/>
        <v>20</v>
      </c>
      <c r="Q256" s="62">
        <f t="shared" si="201"/>
        <v>20</v>
      </c>
      <c r="R256" s="62">
        <f t="shared" si="201"/>
        <v>20</v>
      </c>
      <c r="S256" s="62">
        <f t="shared" si="201"/>
        <v>20</v>
      </c>
      <c r="T256" s="62">
        <f t="shared" si="201"/>
        <v>20</v>
      </c>
      <c r="U256" s="62">
        <f t="shared" si="201"/>
        <v>20</v>
      </c>
      <c r="V256" s="62">
        <f t="shared" si="201"/>
        <v>20</v>
      </c>
      <c r="W256" s="62">
        <f t="shared" ref="W256:AC258" si="202">$B236+($C236-$B236)*(1-AL236)</f>
        <v>20</v>
      </c>
      <c r="X256" s="62">
        <f t="shared" si="202"/>
        <v>20</v>
      </c>
      <c r="Y256" s="62">
        <f t="shared" si="202"/>
        <v>20</v>
      </c>
      <c r="Z256" s="62">
        <f t="shared" si="202"/>
        <v>20</v>
      </c>
      <c r="AA256" s="62">
        <f t="shared" si="202"/>
        <v>20</v>
      </c>
      <c r="AB256" s="62">
        <f t="shared" si="202"/>
        <v>20</v>
      </c>
      <c r="AC256" s="62">
        <f t="shared" si="202"/>
        <v>20</v>
      </c>
    </row>
    <row r="257" spans="1:29" x14ac:dyDescent="0.25">
      <c r="A257" s="30" t="str">
        <f>A237</f>
        <v>Lifetime costumization</v>
      </c>
      <c r="B257" s="62">
        <f>$B237+($C237-$B237)*(1-Q237)</f>
        <v>30</v>
      </c>
      <c r="C257" s="62">
        <f t="shared" si="200"/>
        <v>30</v>
      </c>
      <c r="D257" s="62">
        <f t="shared" si="200"/>
        <v>30</v>
      </c>
      <c r="E257" s="62">
        <f t="shared" si="200"/>
        <v>30</v>
      </c>
      <c r="F257" s="62">
        <f t="shared" si="200"/>
        <v>30</v>
      </c>
      <c r="G257" s="62">
        <f t="shared" si="200"/>
        <v>30</v>
      </c>
      <c r="H257" s="62">
        <f t="shared" si="200"/>
        <v>30</v>
      </c>
      <c r="I257" s="62">
        <f t="shared" si="200"/>
        <v>30</v>
      </c>
      <c r="J257" s="62">
        <f t="shared" si="200"/>
        <v>30</v>
      </c>
      <c r="K257" s="62">
        <f t="shared" si="200"/>
        <v>30</v>
      </c>
      <c r="L257" s="62">
        <f t="shared" si="200"/>
        <v>30</v>
      </c>
      <c r="M257" s="62">
        <f t="shared" si="201"/>
        <v>30</v>
      </c>
      <c r="N257" s="62">
        <f t="shared" si="201"/>
        <v>30</v>
      </c>
      <c r="O257" s="62">
        <f t="shared" si="201"/>
        <v>30</v>
      </c>
      <c r="P257" s="62">
        <f t="shared" si="201"/>
        <v>30</v>
      </c>
      <c r="Q257" s="62">
        <f t="shared" si="201"/>
        <v>30</v>
      </c>
      <c r="R257" s="62">
        <f t="shared" si="201"/>
        <v>30</v>
      </c>
      <c r="S257" s="62">
        <f t="shared" si="201"/>
        <v>30</v>
      </c>
      <c r="T257" s="62">
        <f t="shared" si="201"/>
        <v>30</v>
      </c>
      <c r="U257" s="62">
        <f t="shared" si="201"/>
        <v>30</v>
      </c>
      <c r="V257" s="62">
        <f t="shared" si="201"/>
        <v>30</v>
      </c>
      <c r="W257" s="62">
        <f t="shared" si="202"/>
        <v>30</v>
      </c>
      <c r="X257" s="62">
        <f t="shared" si="202"/>
        <v>30</v>
      </c>
      <c r="Y257" s="62">
        <f t="shared" si="202"/>
        <v>30</v>
      </c>
      <c r="Z257" s="62">
        <f t="shared" si="202"/>
        <v>30</v>
      </c>
      <c r="AA257" s="62">
        <f t="shared" si="202"/>
        <v>30</v>
      </c>
      <c r="AB257" s="62">
        <f t="shared" si="202"/>
        <v>30</v>
      </c>
      <c r="AC257" s="62">
        <f t="shared" si="202"/>
        <v>30</v>
      </c>
    </row>
    <row r="258" spans="1:29" x14ac:dyDescent="0.25">
      <c r="A258" s="30" t="str">
        <f>A238</f>
        <v>Tonnage .</v>
      </c>
      <c r="B258" s="62">
        <f>$B238+($C238-$B238)*(1-Q238)</f>
        <v>2240</v>
      </c>
      <c r="C258" s="62">
        <f t="shared" si="200"/>
        <v>2240</v>
      </c>
      <c r="D258" s="62">
        <f t="shared" si="200"/>
        <v>2240</v>
      </c>
      <c r="E258" s="62">
        <f t="shared" si="200"/>
        <v>2240</v>
      </c>
      <c r="F258" s="62">
        <f t="shared" si="200"/>
        <v>2240</v>
      </c>
      <c r="G258" s="62">
        <f t="shared" si="200"/>
        <v>2240</v>
      </c>
      <c r="H258" s="62">
        <f t="shared" si="200"/>
        <v>2240</v>
      </c>
      <c r="I258" s="62">
        <f t="shared" si="200"/>
        <v>2240</v>
      </c>
      <c r="J258" s="62">
        <f t="shared" si="200"/>
        <v>2240</v>
      </c>
      <c r="K258" s="62">
        <f t="shared" si="200"/>
        <v>2240</v>
      </c>
      <c r="L258" s="62">
        <f t="shared" si="200"/>
        <v>2240</v>
      </c>
      <c r="M258" s="62">
        <f t="shared" si="201"/>
        <v>2240</v>
      </c>
      <c r="N258" s="62">
        <f t="shared" si="201"/>
        <v>2240</v>
      </c>
      <c r="O258" s="62">
        <f t="shared" si="201"/>
        <v>2240</v>
      </c>
      <c r="P258" s="62">
        <f t="shared" si="201"/>
        <v>2240</v>
      </c>
      <c r="Q258" s="62">
        <f t="shared" si="201"/>
        <v>2240</v>
      </c>
      <c r="R258" s="62">
        <f t="shared" si="201"/>
        <v>2240</v>
      </c>
      <c r="S258" s="62">
        <f t="shared" si="201"/>
        <v>2240</v>
      </c>
      <c r="T258" s="62">
        <f t="shared" si="201"/>
        <v>2240</v>
      </c>
      <c r="U258" s="62">
        <f t="shared" si="201"/>
        <v>2240</v>
      </c>
      <c r="V258" s="62">
        <f t="shared" si="201"/>
        <v>2240</v>
      </c>
      <c r="W258" s="62">
        <f t="shared" si="202"/>
        <v>2240</v>
      </c>
      <c r="X258" s="62">
        <f t="shared" si="202"/>
        <v>2240</v>
      </c>
      <c r="Y258" s="62">
        <f t="shared" si="202"/>
        <v>2240</v>
      </c>
      <c r="Z258" s="62">
        <f t="shared" si="202"/>
        <v>2240</v>
      </c>
      <c r="AA258" s="62">
        <f t="shared" si="202"/>
        <v>2240</v>
      </c>
      <c r="AB258" s="62">
        <f t="shared" si="202"/>
        <v>2240</v>
      </c>
      <c r="AC258" s="62">
        <f t="shared" si="202"/>
        <v>2240</v>
      </c>
    </row>
    <row r="259" spans="1:29" x14ac:dyDescent="0.25">
      <c r="A259" s="30" t="str">
        <f>A239</f>
        <v>Market failure (av. utilization)</v>
      </c>
      <c r="B259" s="62">
        <f t="shared" ref="B259:K260" si="203">($B239+($C239-$B239)*(1-Q239))*B$44</f>
        <v>955.73333333333335</v>
      </c>
      <c r="C259" s="62">
        <f t="shared" si="203"/>
        <v>955.73333333333335</v>
      </c>
      <c r="D259" s="62">
        <f t="shared" si="203"/>
        <v>955.73333333333335</v>
      </c>
      <c r="E259" s="62">
        <f t="shared" si="203"/>
        <v>955.73333333333335</v>
      </c>
      <c r="F259" s="62">
        <f t="shared" si="203"/>
        <v>955.73333333333335</v>
      </c>
      <c r="G259" s="62">
        <f t="shared" si="203"/>
        <v>955.73333333333335</v>
      </c>
      <c r="H259" s="62">
        <f t="shared" si="203"/>
        <v>955.73333333333335</v>
      </c>
      <c r="I259" s="62">
        <f t="shared" si="203"/>
        <v>955.73333333333335</v>
      </c>
      <c r="J259" s="62">
        <f t="shared" si="203"/>
        <v>955.73333333333335</v>
      </c>
      <c r="K259" s="62">
        <f t="shared" si="203"/>
        <v>955.73333333333335</v>
      </c>
      <c r="L259" s="62">
        <f t="shared" ref="L259:U260" si="204">($B239+($C239-$B239)*(1-AA239))*L$44</f>
        <v>955.73333333333335</v>
      </c>
      <c r="M259" s="62">
        <f t="shared" si="204"/>
        <v>955.73333333333335</v>
      </c>
      <c r="N259" s="62">
        <f t="shared" si="204"/>
        <v>955.73333333333335</v>
      </c>
      <c r="O259" s="62">
        <f t="shared" si="204"/>
        <v>955.73333333333335</v>
      </c>
      <c r="P259" s="62">
        <f t="shared" si="204"/>
        <v>955.73333333333335</v>
      </c>
      <c r="Q259" s="62">
        <f t="shared" si="204"/>
        <v>955.73333333333335</v>
      </c>
      <c r="R259" s="62">
        <f t="shared" si="204"/>
        <v>955.73333333333335</v>
      </c>
      <c r="S259" s="62">
        <f t="shared" si="204"/>
        <v>955.73333333333335</v>
      </c>
      <c r="T259" s="62">
        <f t="shared" si="204"/>
        <v>955.73333333333335</v>
      </c>
      <c r="U259" s="62">
        <f t="shared" si="204"/>
        <v>955.73333333333335</v>
      </c>
      <c r="V259" s="62">
        <f t="shared" ref="V259:AC260" si="205">($B239+($C239-$B239)*(1-AK239))*V$44</f>
        <v>955.73333333333335</v>
      </c>
      <c r="W259" s="62">
        <f t="shared" si="205"/>
        <v>955.73333333333335</v>
      </c>
      <c r="X259" s="62">
        <f t="shared" si="205"/>
        <v>955.73333333333335</v>
      </c>
      <c r="Y259" s="62">
        <f t="shared" si="205"/>
        <v>955.73333333333335</v>
      </c>
      <c r="Z259" s="62">
        <f t="shared" si="205"/>
        <v>955.73333333333335</v>
      </c>
      <c r="AA259" s="62">
        <f t="shared" si="205"/>
        <v>955.73333333333335</v>
      </c>
      <c r="AB259" s="62">
        <f t="shared" si="205"/>
        <v>955.73333333333335</v>
      </c>
      <c r="AC259" s="62">
        <f t="shared" si="205"/>
        <v>955.73333333333335</v>
      </c>
    </row>
    <row r="260" spans="1:29" x14ac:dyDescent="0.25">
      <c r="A260" s="30" t="s">
        <v>73</v>
      </c>
      <c r="B260" s="62">
        <f t="shared" si="203"/>
        <v>79.471914462993496</v>
      </c>
      <c r="C260" s="62">
        <f t="shared" si="203"/>
        <v>79.245803905143291</v>
      </c>
      <c r="D260" s="62">
        <f t="shared" si="203"/>
        <v>78.924759326348806</v>
      </c>
      <c r="E260" s="62">
        <f t="shared" si="203"/>
        <v>78.470993664637106</v>
      </c>
      <c r="F260" s="62">
        <f t="shared" si="203"/>
        <v>77.833914862204551</v>
      </c>
      <c r="G260" s="62">
        <f t="shared" si="203"/>
        <v>76.948144060056592</v>
      </c>
      <c r="H260" s="62">
        <f t="shared" si="203"/>
        <v>75.733785427063381</v>
      </c>
      <c r="I260" s="62">
        <f t="shared" si="203"/>
        <v>74.101817549730796</v>
      </c>
      <c r="J260" s="62">
        <f t="shared" si="203"/>
        <v>71.968520261049548</v>
      </c>
      <c r="K260" s="62">
        <f t="shared" si="203"/>
        <v>69.281992899997348</v>
      </c>
      <c r="L260" s="62">
        <f t="shared" si="204"/>
        <v>66.058237183514677</v>
      </c>
      <c r="M260" s="62">
        <f t="shared" si="204"/>
        <v>62.412899152339826</v>
      </c>
      <c r="N260" s="62">
        <f t="shared" si="204"/>
        <v>58.564530749274141</v>
      </c>
      <c r="O260" s="62">
        <f t="shared" si="204"/>
        <v>54.79189103820957</v>
      </c>
      <c r="P260" s="62">
        <f t="shared" si="204"/>
        <v>51.357579454892473</v>
      </c>
      <c r="Q260" s="62">
        <f t="shared" si="204"/>
        <v>48.438903664447089</v>
      </c>
      <c r="R260" s="62">
        <f t="shared" si="204"/>
        <v>46.101567061519283</v>
      </c>
      <c r="S260" s="62">
        <f t="shared" si="204"/>
        <v>44.318075495083995</v>
      </c>
      <c r="T260" s="62">
        <f t="shared" si="204"/>
        <v>43.007066157523667</v>
      </c>
      <c r="U260" s="62">
        <f t="shared" si="204"/>
        <v>42.069713447100085</v>
      </c>
      <c r="V260" s="62">
        <f t="shared" si="205"/>
        <v>41.412767625013835</v>
      </c>
      <c r="W260" s="62">
        <f t="shared" si="205"/>
        <v>40.958777682906323</v>
      </c>
      <c r="X260" s="62">
        <f t="shared" si="205"/>
        <v>40.648089742335586</v>
      </c>
      <c r="Y260" s="62">
        <f t="shared" si="205"/>
        <v>40.43688962256433</v>
      </c>
      <c r="Z260" s="62">
        <f t="shared" si="205"/>
        <v>40.29397285162436</v>
      </c>
      <c r="AA260" s="62">
        <f t="shared" si="205"/>
        <v>40.197561048740226</v>
      </c>
      <c r="AB260" s="62">
        <f t="shared" si="205"/>
        <v>40.132657101971823</v>
      </c>
      <c r="AC260" s="62">
        <f t="shared" si="205"/>
        <v>40.08902544858671</v>
      </c>
    </row>
    <row r="261" spans="1:29" x14ac:dyDescent="0.25">
      <c r="A261" s="30" t="str">
        <f>A241</f>
        <v>Annual Mileage</v>
      </c>
      <c r="B261" s="62">
        <f t="shared" ref="B261:AC261" si="206">$B241+($C241-$B241)*(1-Q241)</f>
        <v>178500</v>
      </c>
      <c r="C261" s="62">
        <f t="shared" si="206"/>
        <v>178500</v>
      </c>
      <c r="D261" s="62">
        <f t="shared" si="206"/>
        <v>178500</v>
      </c>
      <c r="E261" s="62">
        <f t="shared" si="206"/>
        <v>178500</v>
      </c>
      <c r="F261" s="62">
        <f t="shared" si="206"/>
        <v>178500</v>
      </c>
      <c r="G261" s="62">
        <f t="shared" si="206"/>
        <v>178500</v>
      </c>
      <c r="H261" s="62">
        <f t="shared" si="206"/>
        <v>178500</v>
      </c>
      <c r="I261" s="62">
        <f t="shared" si="206"/>
        <v>178500</v>
      </c>
      <c r="J261" s="62">
        <f t="shared" si="206"/>
        <v>178500</v>
      </c>
      <c r="K261" s="62">
        <f t="shared" si="206"/>
        <v>178500</v>
      </c>
      <c r="L261" s="62">
        <f t="shared" si="206"/>
        <v>178500</v>
      </c>
      <c r="M261" s="62">
        <f t="shared" si="206"/>
        <v>178500</v>
      </c>
      <c r="N261" s="62">
        <f t="shared" si="206"/>
        <v>178500</v>
      </c>
      <c r="O261" s="62">
        <f t="shared" si="206"/>
        <v>178500</v>
      </c>
      <c r="P261" s="62">
        <f t="shared" si="206"/>
        <v>178500</v>
      </c>
      <c r="Q261" s="62">
        <f t="shared" si="206"/>
        <v>178500</v>
      </c>
      <c r="R261" s="62">
        <f t="shared" si="206"/>
        <v>178500</v>
      </c>
      <c r="S261" s="62">
        <f t="shared" si="206"/>
        <v>178500</v>
      </c>
      <c r="T261" s="62">
        <f t="shared" si="206"/>
        <v>178500</v>
      </c>
      <c r="U261" s="62">
        <f t="shared" si="206"/>
        <v>178500</v>
      </c>
      <c r="V261" s="62">
        <f t="shared" si="206"/>
        <v>178500</v>
      </c>
      <c r="W261" s="62">
        <f t="shared" si="206"/>
        <v>178500</v>
      </c>
      <c r="X261" s="62">
        <f t="shared" si="206"/>
        <v>178500</v>
      </c>
      <c r="Y261" s="62">
        <f t="shared" si="206"/>
        <v>178500</v>
      </c>
      <c r="Z261" s="62">
        <f t="shared" si="206"/>
        <v>178500</v>
      </c>
      <c r="AA261" s="62">
        <f t="shared" si="206"/>
        <v>178500</v>
      </c>
      <c r="AB261" s="62">
        <f t="shared" si="206"/>
        <v>178500</v>
      </c>
      <c r="AC261" s="62">
        <f t="shared" si="206"/>
        <v>178500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867529.23505697085</v>
      </c>
      <c r="C264" s="63">
        <f t="shared" ref="C264:AC264" si="207">((1+C249)^C256)*C249/(((1+C249)^C256)-1)*(C245)</f>
        <v>865681.10860566224</v>
      </c>
      <c r="D264" s="63">
        <f t="shared" si="207"/>
        <v>863057.03397703567</v>
      </c>
      <c r="E264" s="63">
        <f t="shared" si="207"/>
        <v>859348.15664694412</v>
      </c>
      <c r="F264" s="63">
        <f t="shared" si="207"/>
        <v>854140.95978918544</v>
      </c>
      <c r="G264" s="63">
        <f t="shared" si="207"/>
        <v>846901.06588590739</v>
      </c>
      <c r="H264" s="63">
        <f t="shared" si="207"/>
        <v>836975.44218948286</v>
      </c>
      <c r="I264" s="63">
        <f t="shared" si="207"/>
        <v>823636.46752832399</v>
      </c>
      <c r="J264" s="63">
        <f t="shared" si="207"/>
        <v>806199.8507457996</v>
      </c>
      <c r="K264" s="63">
        <f t="shared" si="207"/>
        <v>784241.37907896913</v>
      </c>
      <c r="L264" s="63">
        <f t="shared" si="207"/>
        <v>757891.84339680034</v>
      </c>
      <c r="M264" s="63">
        <f t="shared" si="207"/>
        <v>728096.48265190842</v>
      </c>
      <c r="N264" s="63">
        <f t="shared" si="207"/>
        <v>696641.64256081509</v>
      </c>
      <c r="O264" s="63">
        <f t="shared" si="207"/>
        <v>665805.77488808637</v>
      </c>
      <c r="P264" s="63">
        <f t="shared" si="207"/>
        <v>637735.24983383913</v>
      </c>
      <c r="Q264" s="63">
        <f t="shared" si="207"/>
        <v>613879.3008573663</v>
      </c>
      <c r="R264" s="63">
        <f t="shared" si="207"/>
        <v>594774.95808561263</v>
      </c>
      <c r="S264" s="63">
        <f t="shared" si="207"/>
        <v>580197.49663952412</v>
      </c>
      <c r="T264" s="63">
        <f t="shared" si="207"/>
        <v>569481.893362551</v>
      </c>
      <c r="U264" s="63">
        <f t="shared" si="207"/>
        <v>561820.39203855116</v>
      </c>
      <c r="V264" s="63">
        <f t="shared" si="207"/>
        <v>556450.81105826527</v>
      </c>
      <c r="W264" s="63">
        <f t="shared" si="207"/>
        <v>552740.10056064755</v>
      </c>
      <c r="X264" s="63">
        <f t="shared" si="207"/>
        <v>550200.67645533092</v>
      </c>
      <c r="Y264" s="63">
        <f t="shared" si="207"/>
        <v>548474.42124823271</v>
      </c>
      <c r="Z264" s="63">
        <f t="shared" si="207"/>
        <v>547306.28355832992</v>
      </c>
      <c r="AA264" s="63">
        <f t="shared" si="207"/>
        <v>546518.25665316184</v>
      </c>
      <c r="AB264" s="63">
        <f t="shared" si="207"/>
        <v>545987.76085518813</v>
      </c>
      <c r="AC264" s="63">
        <f t="shared" si="207"/>
        <v>545631.13525794924</v>
      </c>
    </row>
    <row r="265" spans="1:29" x14ac:dyDescent="0.25">
      <c r="A265" s="30" t="str">
        <f>A246</f>
        <v>Residual value (vehicle)</v>
      </c>
      <c r="B265" s="62">
        <f>((1+B249)^B256)*B249/(((1+B249)^B256)-1)*(B246)</f>
        <v>-44095.850871439077</v>
      </c>
      <c r="C265" s="62">
        <f t="shared" ref="C265:AC265" si="208">((1+C249)^C256)*C249/(((1+C249)^C256)-1)*(C246)</f>
        <v>-44311.465624091747</v>
      </c>
      <c r="D265" s="62">
        <f t="shared" si="208"/>
        <v>-44617.607664098185</v>
      </c>
      <c r="E265" s="62">
        <f t="shared" si="208"/>
        <v>-45050.310019275523</v>
      </c>
      <c r="F265" s="62">
        <f t="shared" si="208"/>
        <v>-45657.816319347374</v>
      </c>
      <c r="G265" s="62">
        <f t="shared" si="208"/>
        <v>-46502.470608063151</v>
      </c>
      <c r="H265" s="62">
        <f t="shared" si="208"/>
        <v>-47660.460039312675</v>
      </c>
      <c r="I265" s="62">
        <f t="shared" si="208"/>
        <v>-49216.673749781199</v>
      </c>
      <c r="J265" s="62">
        <f t="shared" si="208"/>
        <v>-51250.945707742365</v>
      </c>
      <c r="K265" s="62">
        <f t="shared" si="208"/>
        <v>-53812.767402205936</v>
      </c>
      <c r="L265" s="62">
        <f t="shared" si="208"/>
        <v>-56886.879898458967</v>
      </c>
      <c r="M265" s="62">
        <f t="shared" si="208"/>
        <v>-60363.005318696356</v>
      </c>
      <c r="N265" s="62">
        <f t="shared" si="208"/>
        <v>-64032.73666265724</v>
      </c>
      <c r="O265" s="62">
        <f t="shared" si="208"/>
        <v>-67630.254557808934</v>
      </c>
      <c r="P265" s="62">
        <f t="shared" si="208"/>
        <v>-70905.149147471107</v>
      </c>
      <c r="Q265" s="62">
        <f t="shared" si="208"/>
        <v>-73688.343194726258</v>
      </c>
      <c r="R265" s="62">
        <f t="shared" si="208"/>
        <v>-75917.183184764202</v>
      </c>
      <c r="S265" s="62">
        <f t="shared" si="208"/>
        <v>-77617.887020141206</v>
      </c>
      <c r="T265" s="62">
        <f t="shared" si="208"/>
        <v>-78868.040735788047</v>
      </c>
      <c r="U265" s="62">
        <f t="shared" si="208"/>
        <v>-79761.882556921351</v>
      </c>
      <c r="V265" s="62">
        <f t="shared" si="208"/>
        <v>-80388.333671288041</v>
      </c>
      <c r="W265" s="62">
        <f t="shared" si="208"/>
        <v>-80821.249896010122</v>
      </c>
      <c r="X265" s="62">
        <f t="shared" si="208"/>
        <v>-81117.516041630384</v>
      </c>
      <c r="Y265" s="62">
        <f t="shared" si="208"/>
        <v>-81318.912482458516</v>
      </c>
      <c r="Z265" s="62">
        <f t="shared" si="208"/>
        <v>-81455.19521294719</v>
      </c>
      <c r="AA265" s="62">
        <f t="shared" si="208"/>
        <v>-81547.131685216795</v>
      </c>
      <c r="AB265" s="62">
        <f t="shared" si="208"/>
        <v>-81609.022861647056</v>
      </c>
      <c r="AC265" s="62">
        <f t="shared" si="208"/>
        <v>-81650.629181324926</v>
      </c>
    </row>
    <row r="266" spans="1:29" x14ac:dyDescent="0.25">
      <c r="A266" s="30" t="str">
        <f>A247</f>
        <v>Capex costumization</v>
      </c>
      <c r="B266" s="62">
        <f>((1+B249)^B257)*B249/(((1+B249)^B257)-1)*(B247)</f>
        <v>203416.95217213215</v>
      </c>
      <c r="C266" s="62">
        <f t="shared" ref="C266:AC266" si="209">((1+C249)^C257)*C249/(((1+C249)^C257)-1)*(C247)</f>
        <v>203416.95217213215</v>
      </c>
      <c r="D266" s="62">
        <f t="shared" si="209"/>
        <v>203416.95217213215</v>
      </c>
      <c r="E266" s="62">
        <f t="shared" si="209"/>
        <v>203416.95217213215</v>
      </c>
      <c r="F266" s="62">
        <f t="shared" si="209"/>
        <v>203416.95217213215</v>
      </c>
      <c r="G266" s="62">
        <f t="shared" si="209"/>
        <v>203416.95217213215</v>
      </c>
      <c r="H266" s="62">
        <f t="shared" si="209"/>
        <v>203416.95217213215</v>
      </c>
      <c r="I266" s="62">
        <f t="shared" si="209"/>
        <v>203416.95217213215</v>
      </c>
      <c r="J266" s="62">
        <f t="shared" si="209"/>
        <v>203416.95217213215</v>
      </c>
      <c r="K266" s="62">
        <f t="shared" si="209"/>
        <v>203416.95217213215</v>
      </c>
      <c r="L266" s="62">
        <f t="shared" si="209"/>
        <v>203416.95217213215</v>
      </c>
      <c r="M266" s="62">
        <f t="shared" si="209"/>
        <v>203416.95217213215</v>
      </c>
      <c r="N266" s="62">
        <f t="shared" si="209"/>
        <v>203416.95217213215</v>
      </c>
      <c r="O266" s="62">
        <f t="shared" si="209"/>
        <v>203416.95217213215</v>
      </c>
      <c r="P266" s="62">
        <f t="shared" si="209"/>
        <v>203416.95217213215</v>
      </c>
      <c r="Q266" s="62">
        <f t="shared" si="209"/>
        <v>203416.95217213215</v>
      </c>
      <c r="R266" s="62">
        <f t="shared" si="209"/>
        <v>203416.95217213215</v>
      </c>
      <c r="S266" s="62">
        <f t="shared" si="209"/>
        <v>203416.95217213215</v>
      </c>
      <c r="T266" s="62">
        <f t="shared" si="209"/>
        <v>203416.95217213215</v>
      </c>
      <c r="U266" s="62">
        <f t="shared" si="209"/>
        <v>203416.95217213215</v>
      </c>
      <c r="V266" s="62">
        <f t="shared" si="209"/>
        <v>203416.95217213215</v>
      </c>
      <c r="W266" s="62">
        <f t="shared" si="209"/>
        <v>203416.95217213215</v>
      </c>
      <c r="X266" s="62">
        <f t="shared" si="209"/>
        <v>203416.95217213215</v>
      </c>
      <c r="Y266" s="62">
        <f t="shared" si="209"/>
        <v>203416.95217213215</v>
      </c>
      <c r="Z266" s="62">
        <f t="shared" si="209"/>
        <v>203416.95217213215</v>
      </c>
      <c r="AA266" s="62">
        <f t="shared" si="209"/>
        <v>203416.95217213215</v>
      </c>
      <c r="AB266" s="62">
        <f t="shared" si="209"/>
        <v>203416.95217213215</v>
      </c>
      <c r="AC266" s="62">
        <f t="shared" si="209"/>
        <v>203416.95217213215</v>
      </c>
    </row>
    <row r="267" spans="1:29" x14ac:dyDescent="0.25">
      <c r="A267" s="30" t="str">
        <f>A248</f>
        <v>Residual value (costumization)</v>
      </c>
      <c r="B267" s="62">
        <f>((1+B249)^B257)*B249/(((1+B249)^B257)-1)*(B248)</f>
        <v>-10170.847608606608</v>
      </c>
      <c r="C267" s="62">
        <f t="shared" ref="C267:AC267" si="210">((1+C249)^C257)*C249/(((1+C249)^C257)-1)*(C248)</f>
        <v>-10170.847608606608</v>
      </c>
      <c r="D267" s="62">
        <f t="shared" si="210"/>
        <v>-10170.847608606608</v>
      </c>
      <c r="E267" s="62">
        <f t="shared" si="210"/>
        <v>-10170.847608606608</v>
      </c>
      <c r="F267" s="62">
        <f t="shared" si="210"/>
        <v>-10170.847608606608</v>
      </c>
      <c r="G267" s="62">
        <f t="shared" si="210"/>
        <v>-10170.847608606608</v>
      </c>
      <c r="H267" s="62">
        <f t="shared" si="210"/>
        <v>-10170.847608606608</v>
      </c>
      <c r="I267" s="62">
        <f t="shared" si="210"/>
        <v>-10170.847608606608</v>
      </c>
      <c r="J267" s="62">
        <f t="shared" si="210"/>
        <v>-10170.847608606608</v>
      </c>
      <c r="K267" s="62">
        <f t="shared" si="210"/>
        <v>-10170.847608606608</v>
      </c>
      <c r="L267" s="62">
        <f t="shared" si="210"/>
        <v>-10170.847608606608</v>
      </c>
      <c r="M267" s="62">
        <f t="shared" si="210"/>
        <v>-10170.847608606608</v>
      </c>
      <c r="N267" s="62">
        <f t="shared" si="210"/>
        <v>-10170.847608606608</v>
      </c>
      <c r="O267" s="62">
        <f t="shared" si="210"/>
        <v>-10170.847608606608</v>
      </c>
      <c r="P267" s="62">
        <f t="shared" si="210"/>
        <v>-10170.847608606608</v>
      </c>
      <c r="Q267" s="62">
        <f t="shared" si="210"/>
        <v>-10170.847608606608</v>
      </c>
      <c r="R267" s="62">
        <f t="shared" si="210"/>
        <v>-10170.847608606608</v>
      </c>
      <c r="S267" s="62">
        <f t="shared" si="210"/>
        <v>-10170.847608606608</v>
      </c>
      <c r="T267" s="62">
        <f t="shared" si="210"/>
        <v>-10170.847608606608</v>
      </c>
      <c r="U267" s="62">
        <f t="shared" si="210"/>
        <v>-10170.847608606608</v>
      </c>
      <c r="V267" s="62">
        <f t="shared" si="210"/>
        <v>-10170.847608606608</v>
      </c>
      <c r="W267" s="62">
        <f t="shared" si="210"/>
        <v>-10170.847608606608</v>
      </c>
      <c r="X267" s="62">
        <f t="shared" si="210"/>
        <v>-10170.847608606608</v>
      </c>
      <c r="Y267" s="62">
        <f t="shared" si="210"/>
        <v>-10170.847608606608</v>
      </c>
      <c r="Z267" s="62">
        <f t="shared" si="210"/>
        <v>-10170.847608606608</v>
      </c>
      <c r="AA267" s="62">
        <f t="shared" si="210"/>
        <v>-10170.847608606608</v>
      </c>
      <c r="AB267" s="62">
        <f t="shared" si="210"/>
        <v>-10170.847608606608</v>
      </c>
      <c r="AC267" s="62">
        <f t="shared" si="210"/>
        <v>-10170.847608606608</v>
      </c>
    </row>
    <row r="268" spans="1:29" x14ac:dyDescent="0.25">
      <c r="A268" s="30" t="str">
        <f t="shared" ref="A268:AC268" si="211">A250</f>
        <v>Opex fix (admin, crew, insurance)</v>
      </c>
      <c r="B268" s="62">
        <f t="shared" si="211"/>
        <v>610000</v>
      </c>
      <c r="C268" s="62">
        <f t="shared" si="211"/>
        <v>610000</v>
      </c>
      <c r="D268" s="62">
        <f t="shared" si="211"/>
        <v>610000</v>
      </c>
      <c r="E268" s="62">
        <f t="shared" si="211"/>
        <v>610000</v>
      </c>
      <c r="F268" s="62">
        <f t="shared" si="211"/>
        <v>610000</v>
      </c>
      <c r="G268" s="62">
        <f t="shared" si="211"/>
        <v>610000</v>
      </c>
      <c r="H268" s="62">
        <f t="shared" si="211"/>
        <v>610000</v>
      </c>
      <c r="I268" s="62">
        <f t="shared" si="211"/>
        <v>610000</v>
      </c>
      <c r="J268" s="62">
        <f t="shared" si="211"/>
        <v>610000</v>
      </c>
      <c r="K268" s="62">
        <f t="shared" si="211"/>
        <v>610000</v>
      </c>
      <c r="L268" s="62">
        <f t="shared" si="211"/>
        <v>610000</v>
      </c>
      <c r="M268" s="62">
        <f t="shared" si="211"/>
        <v>610000</v>
      </c>
      <c r="N268" s="62">
        <f t="shared" si="211"/>
        <v>610000</v>
      </c>
      <c r="O268" s="62">
        <f t="shared" si="211"/>
        <v>610000</v>
      </c>
      <c r="P268" s="62">
        <f t="shared" si="211"/>
        <v>610000</v>
      </c>
      <c r="Q268" s="62">
        <f t="shared" si="211"/>
        <v>610000</v>
      </c>
      <c r="R268" s="62">
        <f t="shared" si="211"/>
        <v>610000</v>
      </c>
      <c r="S268" s="62">
        <f t="shared" si="211"/>
        <v>610000</v>
      </c>
      <c r="T268" s="62">
        <f t="shared" si="211"/>
        <v>610000</v>
      </c>
      <c r="U268" s="62">
        <f t="shared" si="211"/>
        <v>610000</v>
      </c>
      <c r="V268" s="62">
        <f t="shared" si="211"/>
        <v>610000</v>
      </c>
      <c r="W268" s="62">
        <f t="shared" si="211"/>
        <v>610000</v>
      </c>
      <c r="X268" s="62">
        <f t="shared" si="211"/>
        <v>610000</v>
      </c>
      <c r="Y268" s="62">
        <f t="shared" si="211"/>
        <v>610000</v>
      </c>
      <c r="Z268" s="62">
        <f t="shared" si="211"/>
        <v>610000</v>
      </c>
      <c r="AA268" s="62">
        <f t="shared" si="211"/>
        <v>610000</v>
      </c>
      <c r="AB268" s="62">
        <f t="shared" si="211"/>
        <v>610000</v>
      </c>
      <c r="AC268" s="62">
        <f t="shared" si="211"/>
        <v>610000</v>
      </c>
    </row>
    <row r="269" spans="1:29" x14ac:dyDescent="0.25">
      <c r="A269" s="30" t="str">
        <f t="shared" ref="A269:AC269" si="212">A251</f>
        <v>Opex maintenance &amp; repair</v>
      </c>
      <c r="B269" s="62">
        <f t="shared" si="212"/>
        <v>1293563.9575177333</v>
      </c>
      <c r="C269" s="62">
        <f t="shared" si="212"/>
        <v>1290808.235093934</v>
      </c>
      <c r="D269" s="62">
        <f t="shared" si="212"/>
        <v>1286895.5042898762</v>
      </c>
      <c r="E269" s="62">
        <f t="shared" si="212"/>
        <v>1281365.2352877648</v>
      </c>
      <c r="F269" s="62">
        <f t="shared" si="212"/>
        <v>1273600.837383118</v>
      </c>
      <c r="G269" s="62">
        <f t="shared" si="212"/>
        <v>1262805.5057319398</v>
      </c>
      <c r="H269" s="62">
        <f t="shared" si="212"/>
        <v>1248005.5098923349</v>
      </c>
      <c r="I269" s="62">
        <f t="shared" si="212"/>
        <v>1228115.9013873441</v>
      </c>
      <c r="J269" s="62">
        <f t="shared" si="212"/>
        <v>1202116.3406815415</v>
      </c>
      <c r="K269" s="62">
        <f t="shared" si="212"/>
        <v>1169374.2884687176</v>
      </c>
      <c r="L269" s="62">
        <f t="shared" si="212"/>
        <v>1130084.7656740851</v>
      </c>
      <c r="M269" s="62">
        <f t="shared" si="212"/>
        <v>1085657.2084191416</v>
      </c>
      <c r="N269" s="62">
        <f t="shared" si="212"/>
        <v>1038755.2185067786</v>
      </c>
      <c r="O269" s="62">
        <f t="shared" si="212"/>
        <v>992776.17202817916</v>
      </c>
      <c r="P269" s="62">
        <f t="shared" si="212"/>
        <v>950920.49960650213</v>
      </c>
      <c r="Q269" s="62">
        <f t="shared" si="212"/>
        <v>915349.13841044903</v>
      </c>
      <c r="R269" s="62">
        <f t="shared" si="212"/>
        <v>886862.84856226621</v>
      </c>
      <c r="S269" s="62">
        <f t="shared" si="212"/>
        <v>865126.54509633617</v>
      </c>
      <c r="T269" s="62">
        <f t="shared" si="212"/>
        <v>849148.61879481981</v>
      </c>
      <c r="U269" s="62">
        <f t="shared" si="212"/>
        <v>837724.6326365323</v>
      </c>
      <c r="V269" s="62">
        <f t="shared" si="212"/>
        <v>829718.10542985611</v>
      </c>
      <c r="W269" s="62">
        <f t="shared" si="212"/>
        <v>824185.10301042092</v>
      </c>
      <c r="X269" s="62">
        <f t="shared" si="212"/>
        <v>820398.59373471502</v>
      </c>
      <c r="Y269" s="62">
        <f t="shared" si="212"/>
        <v>817824.59227500285</v>
      </c>
      <c r="Z269" s="62">
        <f t="shared" si="212"/>
        <v>816082.79412917187</v>
      </c>
      <c r="AA269" s="62">
        <f t="shared" si="212"/>
        <v>814907.77528152149</v>
      </c>
      <c r="AB269" s="62">
        <f t="shared" si="212"/>
        <v>814116.75843028165</v>
      </c>
      <c r="AC269" s="62">
        <f t="shared" si="212"/>
        <v>813584.99765465059</v>
      </c>
    </row>
    <row r="270" spans="1:29" x14ac:dyDescent="0.25">
      <c r="A270" s="30" t="str">
        <f>A252</f>
        <v>Opex var (mode-fees, shunting)</v>
      </c>
      <c r="B270" s="62">
        <f>B252*B261</f>
        <v>650000</v>
      </c>
      <c r="C270" s="62">
        <f t="shared" ref="C270:AC270" si="213">C252*C261</f>
        <v>650000</v>
      </c>
      <c r="D270" s="62">
        <f t="shared" si="213"/>
        <v>650000</v>
      </c>
      <c r="E270" s="62">
        <f t="shared" si="213"/>
        <v>650000</v>
      </c>
      <c r="F270" s="62">
        <f t="shared" si="213"/>
        <v>650000</v>
      </c>
      <c r="G270" s="62">
        <f t="shared" si="213"/>
        <v>650000</v>
      </c>
      <c r="H270" s="62">
        <f t="shared" si="213"/>
        <v>650000</v>
      </c>
      <c r="I270" s="62">
        <f t="shared" si="213"/>
        <v>650000</v>
      </c>
      <c r="J270" s="62">
        <f t="shared" si="213"/>
        <v>650000</v>
      </c>
      <c r="K270" s="62">
        <f t="shared" si="213"/>
        <v>650000</v>
      </c>
      <c r="L270" s="62">
        <f t="shared" si="213"/>
        <v>650000</v>
      </c>
      <c r="M270" s="62">
        <f t="shared" si="213"/>
        <v>650000</v>
      </c>
      <c r="N270" s="62">
        <f t="shared" si="213"/>
        <v>650000</v>
      </c>
      <c r="O270" s="62">
        <f t="shared" si="213"/>
        <v>650000</v>
      </c>
      <c r="P270" s="62">
        <f t="shared" si="213"/>
        <v>650000</v>
      </c>
      <c r="Q270" s="62">
        <f t="shared" si="213"/>
        <v>650000</v>
      </c>
      <c r="R270" s="62">
        <f t="shared" si="213"/>
        <v>650000</v>
      </c>
      <c r="S270" s="62">
        <f t="shared" si="213"/>
        <v>650000</v>
      </c>
      <c r="T270" s="62">
        <f t="shared" si="213"/>
        <v>650000</v>
      </c>
      <c r="U270" s="62">
        <f t="shared" si="213"/>
        <v>650000</v>
      </c>
      <c r="V270" s="62">
        <f t="shared" si="213"/>
        <v>650000</v>
      </c>
      <c r="W270" s="62">
        <f t="shared" si="213"/>
        <v>650000</v>
      </c>
      <c r="X270" s="62">
        <f t="shared" si="213"/>
        <v>650000</v>
      </c>
      <c r="Y270" s="62">
        <f t="shared" si="213"/>
        <v>650000</v>
      </c>
      <c r="Z270" s="62">
        <f t="shared" si="213"/>
        <v>650000</v>
      </c>
      <c r="AA270" s="62">
        <f t="shared" si="213"/>
        <v>650000</v>
      </c>
      <c r="AB270" s="62">
        <f t="shared" si="213"/>
        <v>650000</v>
      </c>
      <c r="AC270" s="62">
        <f t="shared" si="213"/>
        <v>650000</v>
      </c>
    </row>
    <row r="271" spans="1:29" x14ac:dyDescent="0.25">
      <c r="A271" s="30" t="str">
        <f>A254</f>
        <v>Fuel Cost</v>
      </c>
      <c r="B271" s="62">
        <f>B253*B254*B261</f>
        <v>798056.04826895113</v>
      </c>
      <c r="C271" s="62">
        <f t="shared" ref="C271:AC271" si="214">C253*C254*C261</f>
        <v>796492.71682323981</v>
      </c>
      <c r="D271" s="62">
        <f t="shared" si="214"/>
        <v>794273.01027668803</v>
      </c>
      <c r="E271" s="62">
        <f t="shared" si="214"/>
        <v>791135.66837331757</v>
      </c>
      <c r="F271" s="62">
        <f t="shared" si="214"/>
        <v>786730.89694332192</v>
      </c>
      <c r="G271" s="62">
        <f t="shared" si="214"/>
        <v>780606.66567408491</v>
      </c>
      <c r="H271" s="62">
        <f t="shared" si="214"/>
        <v>772210.57371190842</v>
      </c>
      <c r="I271" s="62">
        <f t="shared" si="214"/>
        <v>760927.1258035847</v>
      </c>
      <c r="J271" s="62">
        <f t="shared" si="214"/>
        <v>746177.47958558018</v>
      </c>
      <c r="K271" s="62">
        <f t="shared" si="214"/>
        <v>727602.79318779043</v>
      </c>
      <c r="L271" s="62">
        <f t="shared" si="214"/>
        <v>705313.70269689942</v>
      </c>
      <c r="M271" s="62">
        <f t="shared" si="214"/>
        <v>680109.78639787121</v>
      </c>
      <c r="N271" s="62">
        <f t="shared" si="214"/>
        <v>653502.11537005368</v>
      </c>
      <c r="O271" s="62">
        <f t="shared" si="214"/>
        <v>627418.0335398108</v>
      </c>
      <c r="P271" s="62">
        <f t="shared" si="214"/>
        <v>603673.15694662137</v>
      </c>
      <c r="Q271" s="62">
        <f t="shared" si="214"/>
        <v>583493.39317786123</v>
      </c>
      <c r="R271" s="62">
        <f t="shared" si="214"/>
        <v>567333.01639001595</v>
      </c>
      <c r="S271" s="62">
        <f t="shared" si="214"/>
        <v>555001.93165218434</v>
      </c>
      <c r="T271" s="62">
        <f t="shared" si="214"/>
        <v>545937.59541545261</v>
      </c>
      <c r="U271" s="62">
        <f t="shared" si="214"/>
        <v>539456.72613689909</v>
      </c>
      <c r="V271" s="62">
        <f t="shared" si="214"/>
        <v>534914.59386514337</v>
      </c>
      <c r="W271" s="62">
        <f t="shared" si="214"/>
        <v>531775.70128409215</v>
      </c>
      <c r="X271" s="62">
        <f t="shared" si="214"/>
        <v>529627.6006738618</v>
      </c>
      <c r="Y271" s="62">
        <f t="shared" si="214"/>
        <v>528167.36019807158</v>
      </c>
      <c r="Z271" s="62">
        <f t="shared" si="214"/>
        <v>527179.23171679105</v>
      </c>
      <c r="AA271" s="62">
        <f t="shared" si="214"/>
        <v>526512.63921169308</v>
      </c>
      <c r="AB271" s="62">
        <f t="shared" si="214"/>
        <v>526063.89244861156</v>
      </c>
      <c r="AC271" s="62">
        <f t="shared" si="214"/>
        <v>525762.2226088047</v>
      </c>
    </row>
    <row r="272" spans="1:29" ht="15.75" thickBot="1" x14ac:dyDescent="0.3">
      <c r="A272" s="59" t="str">
        <f>A235</f>
        <v>Emission Cost</v>
      </c>
      <c r="B272" s="62">
        <f>B255*B261</f>
        <v>13854.632661222226</v>
      </c>
      <c r="C272" s="62">
        <f t="shared" ref="C272:AC272" si="215">C255*C261</f>
        <v>13841.439675224099</v>
      </c>
      <c r="D272" s="62">
        <f t="shared" si="215"/>
        <v>13822.554209617852</v>
      </c>
      <c r="E272" s="62">
        <f t="shared" si="215"/>
        <v>13795.537222982803</v>
      </c>
      <c r="F272" s="62">
        <f t="shared" si="215"/>
        <v>13756.923987487233</v>
      </c>
      <c r="G272" s="62">
        <f t="shared" si="215"/>
        <v>13701.814555768824</v>
      </c>
      <c r="H272" s="62">
        <f t="shared" si="215"/>
        <v>13623.325205178304</v>
      </c>
      <c r="I272" s="62">
        <f t="shared" si="215"/>
        <v>13511.881578928529</v>
      </c>
      <c r="J272" s="62">
        <f t="shared" si="215"/>
        <v>13354.366722273209</v>
      </c>
      <c r="K272" s="62">
        <f t="shared" si="215"/>
        <v>13133.218705332552</v>
      </c>
      <c r="L272" s="62">
        <f t="shared" si="215"/>
        <v>12825.742682568964</v>
      </c>
      <c r="M272" s="62">
        <f t="shared" si="215"/>
        <v>12404.204558060976</v>
      </c>
      <c r="N272" s="62">
        <f t="shared" si="215"/>
        <v>11837.702488921488</v>
      </c>
      <c r="O272" s="62">
        <f t="shared" si="215"/>
        <v>11097.17484440505</v>
      </c>
      <c r="P272" s="62">
        <f t="shared" si="215"/>
        <v>10164.605441554135</v>
      </c>
      <c r="Q272" s="62">
        <f t="shared" si="215"/>
        <v>9045.5489275419332</v>
      </c>
      <c r="R272" s="62">
        <f t="shared" si="215"/>
        <v>7780.1493041444628</v>
      </c>
      <c r="S272" s="62">
        <f t="shared" si="215"/>
        <v>6444.2721135277652</v>
      </c>
      <c r="T272" s="62">
        <f t="shared" si="215"/>
        <v>5134.682487334203</v>
      </c>
      <c r="U272" s="62">
        <f t="shared" si="215"/>
        <v>3942.5360946007872</v>
      </c>
      <c r="V272" s="62">
        <f t="shared" si="215"/>
        <v>2929.3814256883388</v>
      </c>
      <c r="W272" s="62">
        <f t="shared" si="215"/>
        <v>2118.0259816104226</v>
      </c>
      <c r="X272" s="62">
        <f t="shared" si="215"/>
        <v>1498.9257672546028</v>
      </c>
      <c r="Y272" s="62">
        <f t="shared" si="215"/>
        <v>1043.8374577941086</v>
      </c>
      <c r="Z272" s="62">
        <f t="shared" si="215"/>
        <v>718.45590013967967</v>
      </c>
      <c r="AA272" s="62">
        <f t="shared" si="215"/>
        <v>490.41148045864259</v>
      </c>
      <c r="AB272" s="62">
        <f t="shared" si="215"/>
        <v>332.81876975358495</v>
      </c>
      <c r="AC272" s="62">
        <f t="shared" si="215"/>
        <v>224.9702246721173</v>
      </c>
    </row>
    <row r="273" spans="1:29" ht="15.75" thickBot="1" x14ac:dyDescent="0.3">
      <c r="A273" s="31" t="s">
        <v>209</v>
      </c>
      <c r="B273" s="64">
        <f>B264+B265+B266+B267+B268+B269+B270+B271+B272</f>
        <v>4382154.1271969648</v>
      </c>
      <c r="C273" s="64">
        <f t="shared" ref="C273:AC273" si="216">C264+C265+C266+C267+C268+C269+C270+C271+C272</f>
        <v>4375758.1391374944</v>
      </c>
      <c r="D273" s="64">
        <f t="shared" si="216"/>
        <v>4366676.5996526452</v>
      </c>
      <c r="E273" s="64">
        <f t="shared" si="216"/>
        <v>4353840.3920752592</v>
      </c>
      <c r="F273" s="64">
        <f t="shared" si="216"/>
        <v>4335817.9063472915</v>
      </c>
      <c r="G273" s="64">
        <f t="shared" si="216"/>
        <v>4310758.6858031638</v>
      </c>
      <c r="H273" s="64">
        <f t="shared" si="216"/>
        <v>4276400.4955231166</v>
      </c>
      <c r="I273" s="64">
        <f t="shared" si="216"/>
        <v>4230220.8071119254</v>
      </c>
      <c r="J273" s="64">
        <f t="shared" si="216"/>
        <v>4169843.1965909777</v>
      </c>
      <c r="K273" s="64">
        <f t="shared" si="216"/>
        <v>4093785.0166021292</v>
      </c>
      <c r="L273" s="64">
        <f t="shared" si="216"/>
        <v>4002475.2791154208</v>
      </c>
      <c r="M273" s="64">
        <f t="shared" si="216"/>
        <v>3899150.7812718116</v>
      </c>
      <c r="N273" s="64">
        <f t="shared" si="216"/>
        <v>3789950.0468274374</v>
      </c>
      <c r="O273" s="64">
        <f t="shared" si="216"/>
        <v>3682713.0053061978</v>
      </c>
      <c r="P273" s="64">
        <f t="shared" si="216"/>
        <v>3584834.4672445711</v>
      </c>
      <c r="Q273" s="64">
        <f t="shared" si="216"/>
        <v>3501325.1427420177</v>
      </c>
      <c r="R273" s="64">
        <f t="shared" si="216"/>
        <v>3434079.8937208005</v>
      </c>
      <c r="S273" s="64">
        <f t="shared" si="216"/>
        <v>3382398.4630449568</v>
      </c>
      <c r="T273" s="64">
        <f t="shared" si="216"/>
        <v>3344080.8538878951</v>
      </c>
      <c r="U273" s="64">
        <f t="shared" si="216"/>
        <v>3316428.5089131878</v>
      </c>
      <c r="V273" s="64">
        <f t="shared" si="216"/>
        <v>3296870.6626711912</v>
      </c>
      <c r="W273" s="64">
        <f t="shared" si="216"/>
        <v>3283243.7855042862</v>
      </c>
      <c r="X273" s="64">
        <f t="shared" si="216"/>
        <v>3273854.3851530575</v>
      </c>
      <c r="Y273" s="64">
        <f t="shared" si="216"/>
        <v>3267437.4032601686</v>
      </c>
      <c r="Z273" s="64">
        <f t="shared" si="216"/>
        <v>3263077.6746550109</v>
      </c>
      <c r="AA273" s="64">
        <f t="shared" si="216"/>
        <v>3260128.0555051435</v>
      </c>
      <c r="AB273" s="64">
        <f t="shared" si="216"/>
        <v>3258138.3122057132</v>
      </c>
      <c r="AC273" s="64">
        <f t="shared" si="216"/>
        <v>3256798.8011282776</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17">A264</f>
        <v>Capex vehicle</v>
      </c>
      <c r="B276" s="65">
        <f>((1+B249)^B256)*B249/(((1+B249)^B256)-1)*(B245)/B261</f>
        <v>4.8601077594228057</v>
      </c>
      <c r="C276" s="65">
        <f t="shared" ref="C276:AC276" si="218">((1+C249)^C256)*C249/(((1+C249)^C256)-1)*(C245)/C261</f>
        <v>4.8497541098356427</v>
      </c>
      <c r="D276" s="65">
        <f t="shared" si="218"/>
        <v>4.8350534116360544</v>
      </c>
      <c r="E276" s="65">
        <f t="shared" si="218"/>
        <v>4.8142753873778386</v>
      </c>
      <c r="F276" s="65">
        <f t="shared" si="218"/>
        <v>4.7851034161859127</v>
      </c>
      <c r="G276" s="65">
        <f t="shared" si="218"/>
        <v>4.7445437864756714</v>
      </c>
      <c r="H276" s="65">
        <f t="shared" si="218"/>
        <v>4.6889380514816965</v>
      </c>
      <c r="I276" s="65">
        <f t="shared" si="218"/>
        <v>4.6142099021194625</v>
      </c>
      <c r="J276" s="65">
        <f t="shared" si="218"/>
        <v>4.5165257744862721</v>
      </c>
      <c r="K276" s="65">
        <f t="shared" si="218"/>
        <v>4.3935091264928241</v>
      </c>
      <c r="L276" s="65">
        <f t="shared" si="218"/>
        <v>4.2458926800941192</v>
      </c>
      <c r="M276" s="65">
        <f t="shared" si="218"/>
        <v>4.0789718916073303</v>
      </c>
      <c r="N276" s="65">
        <f t="shared" si="218"/>
        <v>3.9027543000605887</v>
      </c>
      <c r="O276" s="65">
        <f t="shared" si="218"/>
        <v>3.7300043411097277</v>
      </c>
      <c r="P276" s="65">
        <f t="shared" si="218"/>
        <v>3.5727464976685668</v>
      </c>
      <c r="Q276" s="65">
        <f t="shared" si="218"/>
        <v>3.4390997246911277</v>
      </c>
      <c r="R276" s="65">
        <f t="shared" si="218"/>
        <v>3.3320725943171574</v>
      </c>
      <c r="S276" s="65">
        <f t="shared" si="218"/>
        <v>3.2504061436387905</v>
      </c>
      <c r="T276" s="65">
        <f t="shared" si="218"/>
        <v>3.1903747527313779</v>
      </c>
      <c r="U276" s="65">
        <f t="shared" si="218"/>
        <v>3.147453176686561</v>
      </c>
      <c r="V276" s="65">
        <f t="shared" si="218"/>
        <v>3.1173714905224945</v>
      </c>
      <c r="W276" s="65">
        <f t="shared" si="218"/>
        <v>3.0965831964181936</v>
      </c>
      <c r="X276" s="65">
        <f t="shared" si="218"/>
        <v>3.0823567308421902</v>
      </c>
      <c r="Y276" s="65">
        <f t="shared" si="218"/>
        <v>3.0726858333234324</v>
      </c>
      <c r="Z276" s="65">
        <f t="shared" si="218"/>
        <v>3.0661416445844814</v>
      </c>
      <c r="AA276" s="65">
        <f t="shared" si="218"/>
        <v>3.0617269280289179</v>
      </c>
      <c r="AB276" s="65">
        <f t="shared" si="218"/>
        <v>3.058754962774163</v>
      </c>
      <c r="AC276" s="65">
        <f t="shared" si="218"/>
        <v>3.0567570602686231</v>
      </c>
    </row>
    <row r="277" spans="1:29" x14ac:dyDescent="0.25">
      <c r="A277" s="30" t="str">
        <f t="shared" si="217"/>
        <v>Residual value (vehicle)</v>
      </c>
      <c r="B277" s="66">
        <f>((1+B249)^B256)*B249/(((1+B249)^B256)-1)*(B246)/B261</f>
        <v>-0.24703557911170351</v>
      </c>
      <c r="C277" s="66">
        <f t="shared" ref="C277:AC277" si="219">((1+C249)^C256)*C249/(((1+C249)^C256)-1)*(C246)/C261</f>
        <v>-0.24824350489687252</v>
      </c>
      <c r="D277" s="66">
        <f t="shared" si="219"/>
        <v>-0.24995858635349122</v>
      </c>
      <c r="E277" s="66">
        <f t="shared" si="219"/>
        <v>-0.25238268918361639</v>
      </c>
      <c r="F277" s="66">
        <f t="shared" si="219"/>
        <v>-0.25578608582267437</v>
      </c>
      <c r="G277" s="66">
        <f t="shared" si="219"/>
        <v>-0.26051804262220252</v>
      </c>
      <c r="H277" s="66">
        <f t="shared" si="219"/>
        <v>-0.26700537837149957</v>
      </c>
      <c r="I277" s="66">
        <f t="shared" si="219"/>
        <v>-0.27572366246376023</v>
      </c>
      <c r="J277" s="66">
        <f t="shared" si="219"/>
        <v>-0.28712014402096564</v>
      </c>
      <c r="K277" s="66">
        <f t="shared" si="219"/>
        <v>-0.301472086286868</v>
      </c>
      <c r="L277" s="66">
        <f t="shared" si="219"/>
        <v>-0.31869400503338358</v>
      </c>
      <c r="M277" s="66">
        <f t="shared" si="219"/>
        <v>-0.33816809702350897</v>
      </c>
      <c r="N277" s="66">
        <f t="shared" si="219"/>
        <v>-0.35872681603729545</v>
      </c>
      <c r="O277" s="66">
        <f t="shared" si="219"/>
        <v>-0.378880977914896</v>
      </c>
      <c r="P277" s="66">
        <f t="shared" si="219"/>
        <v>-0.39722772631636477</v>
      </c>
      <c r="Q277" s="66">
        <f t="shared" si="219"/>
        <v>-0.41281984983039921</v>
      </c>
      <c r="R277" s="66">
        <f t="shared" si="219"/>
        <v>-0.42530634837402914</v>
      </c>
      <c r="S277" s="66">
        <f t="shared" si="219"/>
        <v>-0.43483410095317204</v>
      </c>
      <c r="T277" s="66">
        <f t="shared" si="219"/>
        <v>-0.44183776322570334</v>
      </c>
      <c r="U277" s="66">
        <f t="shared" si="219"/>
        <v>-0.44684528043093191</v>
      </c>
      <c r="V277" s="66">
        <f t="shared" si="219"/>
        <v>-0.45035481048340636</v>
      </c>
      <c r="W277" s="66">
        <f t="shared" si="219"/>
        <v>-0.45278011146224156</v>
      </c>
      <c r="X277" s="66">
        <f t="shared" si="219"/>
        <v>-0.45443986577944195</v>
      </c>
      <c r="Y277" s="66">
        <f t="shared" si="219"/>
        <v>-0.45556813715663036</v>
      </c>
      <c r="Z277" s="66">
        <f t="shared" si="219"/>
        <v>-0.45633162584284143</v>
      </c>
      <c r="AA277" s="66">
        <f t="shared" si="219"/>
        <v>-0.45684667610765711</v>
      </c>
      <c r="AB277" s="66">
        <f t="shared" si="219"/>
        <v>-0.45719340538737846</v>
      </c>
      <c r="AC277" s="66">
        <f t="shared" si="219"/>
        <v>-0.45742649401302482</v>
      </c>
    </row>
    <row r="278" spans="1:29" x14ac:dyDescent="0.25">
      <c r="A278" s="30" t="str">
        <f t="shared" si="217"/>
        <v>Capex costumization</v>
      </c>
      <c r="B278" s="66">
        <f>((1+B249)^B257)*B249/(((1+B249)^B257)-1)*(B247)/B261</f>
        <v>1.1395907684713287</v>
      </c>
      <c r="C278" s="66">
        <f t="shared" ref="C278:AC278" si="220">((1+C249)^C257)*C249/(((1+C249)^C257)-1)*(C247)/C261</f>
        <v>1.1395907684713287</v>
      </c>
      <c r="D278" s="66">
        <f t="shared" si="220"/>
        <v>1.1395907684713287</v>
      </c>
      <c r="E278" s="66">
        <f t="shared" si="220"/>
        <v>1.1395907684713287</v>
      </c>
      <c r="F278" s="66">
        <f t="shared" si="220"/>
        <v>1.1395907684713287</v>
      </c>
      <c r="G278" s="66">
        <f t="shared" si="220"/>
        <v>1.1395907684713287</v>
      </c>
      <c r="H278" s="66">
        <f t="shared" si="220"/>
        <v>1.1395907684713287</v>
      </c>
      <c r="I278" s="66">
        <f t="shared" si="220"/>
        <v>1.1395907684713287</v>
      </c>
      <c r="J278" s="66">
        <f t="shared" si="220"/>
        <v>1.1395907684713287</v>
      </c>
      <c r="K278" s="66">
        <f t="shared" si="220"/>
        <v>1.1395907684713287</v>
      </c>
      <c r="L278" s="66">
        <f t="shared" si="220"/>
        <v>1.1395907684713287</v>
      </c>
      <c r="M278" s="66">
        <f t="shared" si="220"/>
        <v>1.1395907684713287</v>
      </c>
      <c r="N278" s="66">
        <f t="shared" si="220"/>
        <v>1.1395907684713287</v>
      </c>
      <c r="O278" s="66">
        <f t="shared" si="220"/>
        <v>1.1395907684713287</v>
      </c>
      <c r="P278" s="66">
        <f t="shared" si="220"/>
        <v>1.1395907684713287</v>
      </c>
      <c r="Q278" s="66">
        <f t="shared" si="220"/>
        <v>1.1395907684713287</v>
      </c>
      <c r="R278" s="66">
        <f t="shared" si="220"/>
        <v>1.1395907684713287</v>
      </c>
      <c r="S278" s="66">
        <f t="shared" si="220"/>
        <v>1.1395907684713287</v>
      </c>
      <c r="T278" s="66">
        <f t="shared" si="220"/>
        <v>1.1395907684713287</v>
      </c>
      <c r="U278" s="66">
        <f t="shared" si="220"/>
        <v>1.1395907684713287</v>
      </c>
      <c r="V278" s="66">
        <f t="shared" si="220"/>
        <v>1.1395907684713287</v>
      </c>
      <c r="W278" s="66">
        <f t="shared" si="220"/>
        <v>1.1395907684713287</v>
      </c>
      <c r="X278" s="66">
        <f t="shared" si="220"/>
        <v>1.1395907684713287</v>
      </c>
      <c r="Y278" s="66">
        <f t="shared" si="220"/>
        <v>1.1395907684713287</v>
      </c>
      <c r="Z278" s="66">
        <f t="shared" si="220"/>
        <v>1.1395907684713287</v>
      </c>
      <c r="AA278" s="66">
        <f t="shared" si="220"/>
        <v>1.1395907684713287</v>
      </c>
      <c r="AB278" s="66">
        <f t="shared" si="220"/>
        <v>1.1395907684713287</v>
      </c>
      <c r="AC278" s="66">
        <f t="shared" si="220"/>
        <v>1.1395907684713287</v>
      </c>
    </row>
    <row r="279" spans="1:29" x14ac:dyDescent="0.25">
      <c r="A279" s="30" t="str">
        <f t="shared" si="217"/>
        <v>Residual value (costumization)</v>
      </c>
      <c r="B279" s="66">
        <f>((1+B249)^B257)*B249/(((1+B249)^B257)-1)*(B248)/B261</f>
        <v>-5.6979538423566428E-2</v>
      </c>
      <c r="C279" s="66">
        <f t="shared" ref="C279:AC279" si="221">((1+C249)^C257)*C249/(((1+C249)^C257)-1)*(C248)/C261</f>
        <v>-5.6979538423566428E-2</v>
      </c>
      <c r="D279" s="66">
        <f t="shared" si="221"/>
        <v>-5.6979538423566428E-2</v>
      </c>
      <c r="E279" s="66">
        <f t="shared" si="221"/>
        <v>-5.6979538423566428E-2</v>
      </c>
      <c r="F279" s="66">
        <f t="shared" si="221"/>
        <v>-5.6979538423566428E-2</v>
      </c>
      <c r="G279" s="66">
        <f t="shared" si="221"/>
        <v>-5.6979538423566428E-2</v>
      </c>
      <c r="H279" s="66">
        <f t="shared" si="221"/>
        <v>-5.6979538423566428E-2</v>
      </c>
      <c r="I279" s="66">
        <f t="shared" si="221"/>
        <v>-5.6979538423566428E-2</v>
      </c>
      <c r="J279" s="66">
        <f t="shared" si="221"/>
        <v>-5.6979538423566428E-2</v>
      </c>
      <c r="K279" s="66">
        <f t="shared" si="221"/>
        <v>-5.6979538423566428E-2</v>
      </c>
      <c r="L279" s="66">
        <f t="shared" si="221"/>
        <v>-5.6979538423566428E-2</v>
      </c>
      <c r="M279" s="66">
        <f t="shared" si="221"/>
        <v>-5.6979538423566428E-2</v>
      </c>
      <c r="N279" s="66">
        <f t="shared" si="221"/>
        <v>-5.6979538423566428E-2</v>
      </c>
      <c r="O279" s="66">
        <f t="shared" si="221"/>
        <v>-5.6979538423566428E-2</v>
      </c>
      <c r="P279" s="66">
        <f t="shared" si="221"/>
        <v>-5.6979538423566428E-2</v>
      </c>
      <c r="Q279" s="66">
        <f t="shared" si="221"/>
        <v>-5.6979538423566428E-2</v>
      </c>
      <c r="R279" s="66">
        <f t="shared" si="221"/>
        <v>-5.6979538423566428E-2</v>
      </c>
      <c r="S279" s="66">
        <f t="shared" si="221"/>
        <v>-5.6979538423566428E-2</v>
      </c>
      <c r="T279" s="66">
        <f t="shared" si="221"/>
        <v>-5.6979538423566428E-2</v>
      </c>
      <c r="U279" s="66">
        <f t="shared" si="221"/>
        <v>-5.6979538423566428E-2</v>
      </c>
      <c r="V279" s="66">
        <f t="shared" si="221"/>
        <v>-5.6979538423566428E-2</v>
      </c>
      <c r="W279" s="66">
        <f t="shared" si="221"/>
        <v>-5.6979538423566428E-2</v>
      </c>
      <c r="X279" s="66">
        <f t="shared" si="221"/>
        <v>-5.6979538423566428E-2</v>
      </c>
      <c r="Y279" s="66">
        <f t="shared" si="221"/>
        <v>-5.6979538423566428E-2</v>
      </c>
      <c r="Z279" s="66">
        <f t="shared" si="221"/>
        <v>-5.6979538423566428E-2</v>
      </c>
      <c r="AA279" s="66">
        <f t="shared" si="221"/>
        <v>-5.6979538423566428E-2</v>
      </c>
      <c r="AB279" s="66">
        <f t="shared" si="221"/>
        <v>-5.6979538423566428E-2</v>
      </c>
      <c r="AC279" s="66">
        <f t="shared" si="221"/>
        <v>-5.6979538423566428E-2</v>
      </c>
    </row>
    <row r="280" spans="1:29" x14ac:dyDescent="0.25">
      <c r="A280" s="30" t="str">
        <f t="shared" si="217"/>
        <v>Opex fix (admin, crew, insurance)</v>
      </c>
      <c r="B280" s="66">
        <f>B250/B261</f>
        <v>3.4173669467787113</v>
      </c>
      <c r="C280" s="66">
        <f t="shared" ref="C280:AC280" si="222">C250/C261</f>
        <v>3.4173669467787113</v>
      </c>
      <c r="D280" s="66">
        <f t="shared" si="222"/>
        <v>3.4173669467787113</v>
      </c>
      <c r="E280" s="66">
        <f t="shared" si="222"/>
        <v>3.4173669467787113</v>
      </c>
      <c r="F280" s="66">
        <f t="shared" si="222"/>
        <v>3.4173669467787113</v>
      </c>
      <c r="G280" s="66">
        <f t="shared" si="222"/>
        <v>3.4173669467787113</v>
      </c>
      <c r="H280" s="66">
        <f t="shared" si="222"/>
        <v>3.4173669467787113</v>
      </c>
      <c r="I280" s="66">
        <f t="shared" si="222"/>
        <v>3.4173669467787113</v>
      </c>
      <c r="J280" s="66">
        <f t="shared" si="222"/>
        <v>3.4173669467787113</v>
      </c>
      <c r="K280" s="66">
        <f t="shared" si="222"/>
        <v>3.4173669467787113</v>
      </c>
      <c r="L280" s="66">
        <f t="shared" si="222"/>
        <v>3.4173669467787113</v>
      </c>
      <c r="M280" s="66">
        <f t="shared" si="222"/>
        <v>3.4173669467787113</v>
      </c>
      <c r="N280" s="66">
        <f t="shared" si="222"/>
        <v>3.4173669467787113</v>
      </c>
      <c r="O280" s="66">
        <f t="shared" si="222"/>
        <v>3.4173669467787113</v>
      </c>
      <c r="P280" s="66">
        <f t="shared" si="222"/>
        <v>3.4173669467787113</v>
      </c>
      <c r="Q280" s="66">
        <f t="shared" si="222"/>
        <v>3.4173669467787113</v>
      </c>
      <c r="R280" s="66">
        <f t="shared" si="222"/>
        <v>3.4173669467787113</v>
      </c>
      <c r="S280" s="66">
        <f t="shared" si="222"/>
        <v>3.4173669467787113</v>
      </c>
      <c r="T280" s="66">
        <f t="shared" si="222"/>
        <v>3.4173669467787113</v>
      </c>
      <c r="U280" s="66">
        <f t="shared" si="222"/>
        <v>3.4173669467787113</v>
      </c>
      <c r="V280" s="66">
        <f t="shared" si="222"/>
        <v>3.4173669467787113</v>
      </c>
      <c r="W280" s="66">
        <f t="shared" si="222"/>
        <v>3.4173669467787113</v>
      </c>
      <c r="X280" s="66">
        <f t="shared" si="222"/>
        <v>3.4173669467787113</v>
      </c>
      <c r="Y280" s="66">
        <f t="shared" si="222"/>
        <v>3.4173669467787113</v>
      </c>
      <c r="Z280" s="66">
        <f t="shared" si="222"/>
        <v>3.4173669467787113</v>
      </c>
      <c r="AA280" s="66">
        <f t="shared" si="222"/>
        <v>3.4173669467787113</v>
      </c>
      <c r="AB280" s="66">
        <f t="shared" si="222"/>
        <v>3.4173669467787113</v>
      </c>
      <c r="AC280" s="66">
        <f t="shared" si="222"/>
        <v>3.4173669467787113</v>
      </c>
    </row>
    <row r="281" spans="1:29" x14ac:dyDescent="0.25">
      <c r="A281" s="30" t="str">
        <f t="shared" si="217"/>
        <v>Opex maintenance &amp; repair</v>
      </c>
      <c r="B281" s="66">
        <f>B251/B261</f>
        <v>7.246856904861251</v>
      </c>
      <c r="C281" s="66">
        <f t="shared" ref="C281:AC281" si="223">C251/C261</f>
        <v>7.2314186839996299</v>
      </c>
      <c r="D281" s="66">
        <f t="shared" si="223"/>
        <v>7.2094986234726957</v>
      </c>
      <c r="E281" s="66">
        <f t="shared" si="223"/>
        <v>7.1785167243012031</v>
      </c>
      <c r="F281" s="66">
        <f t="shared" si="223"/>
        <v>7.1350186968241909</v>
      </c>
      <c r="G281" s="66">
        <f t="shared" si="223"/>
        <v>7.0745406483582061</v>
      </c>
      <c r="H281" s="66">
        <f t="shared" si="223"/>
        <v>6.9916275063996354</v>
      </c>
      <c r="I281" s="66">
        <f t="shared" si="223"/>
        <v>6.8802011282204152</v>
      </c>
      <c r="J281" s="66">
        <f t="shared" si="223"/>
        <v>6.7345453259470114</v>
      </c>
      <c r="K281" s="66">
        <f t="shared" si="223"/>
        <v>6.5511164620096221</v>
      </c>
      <c r="L281" s="66">
        <f t="shared" si="223"/>
        <v>6.3310070906111209</v>
      </c>
      <c r="M281" s="66">
        <f t="shared" si="223"/>
        <v>6.0821132124321657</v>
      </c>
      <c r="N281" s="66">
        <f t="shared" si="223"/>
        <v>5.8193569664245297</v>
      </c>
      <c r="O281" s="66">
        <f t="shared" si="223"/>
        <v>5.56177127186655</v>
      </c>
      <c r="P281" s="66">
        <f t="shared" si="223"/>
        <v>5.3272857120812445</v>
      </c>
      <c r="Q281" s="66">
        <f t="shared" si="223"/>
        <v>5.1280063776495748</v>
      </c>
      <c r="R281" s="66">
        <f t="shared" si="223"/>
        <v>4.9684193196765616</v>
      </c>
      <c r="S281" s="66">
        <f t="shared" si="223"/>
        <v>4.8466473114640678</v>
      </c>
      <c r="T281" s="66">
        <f t="shared" si="223"/>
        <v>4.7571351192987104</v>
      </c>
      <c r="U281" s="66">
        <f t="shared" si="223"/>
        <v>4.6931351968433184</v>
      </c>
      <c r="V281" s="66">
        <f t="shared" si="223"/>
        <v>4.6482807026882691</v>
      </c>
      <c r="W281" s="66">
        <f t="shared" si="223"/>
        <v>4.6172834902544588</v>
      </c>
      <c r="X281" s="66">
        <f t="shared" si="223"/>
        <v>4.5960705531356583</v>
      </c>
      <c r="Y281" s="66">
        <f t="shared" si="223"/>
        <v>4.5816503768907726</v>
      </c>
      <c r="Z281" s="66">
        <f t="shared" si="223"/>
        <v>4.5718924040849966</v>
      </c>
      <c r="AA281" s="66">
        <f t="shared" si="223"/>
        <v>4.5653096654426975</v>
      </c>
      <c r="AB281" s="66">
        <f t="shared" si="223"/>
        <v>4.5608781984889726</v>
      </c>
      <c r="AC281" s="66">
        <f t="shared" si="223"/>
        <v>4.5578991465246528</v>
      </c>
    </row>
    <row r="282" spans="1:29" x14ac:dyDescent="0.25">
      <c r="A282" s="30" t="str">
        <f t="shared" si="217"/>
        <v>Opex var (mode-fees, shunting)</v>
      </c>
      <c r="B282" s="66">
        <f>B252*B261/B261</f>
        <v>3.6414565826330532</v>
      </c>
      <c r="C282" s="66">
        <f t="shared" ref="C282:AC282" si="224">C252*C261/C261</f>
        <v>3.6414565826330532</v>
      </c>
      <c r="D282" s="66">
        <f t="shared" si="224"/>
        <v>3.6414565826330532</v>
      </c>
      <c r="E282" s="66">
        <f t="shared" si="224"/>
        <v>3.6414565826330532</v>
      </c>
      <c r="F282" s="66">
        <f t="shared" si="224"/>
        <v>3.6414565826330532</v>
      </c>
      <c r="G282" s="66">
        <f t="shared" si="224"/>
        <v>3.6414565826330532</v>
      </c>
      <c r="H282" s="66">
        <f t="shared" si="224"/>
        <v>3.6414565826330532</v>
      </c>
      <c r="I282" s="66">
        <f t="shared" si="224"/>
        <v>3.6414565826330532</v>
      </c>
      <c r="J282" s="66">
        <f t="shared" si="224"/>
        <v>3.6414565826330532</v>
      </c>
      <c r="K282" s="66">
        <f t="shared" si="224"/>
        <v>3.6414565826330532</v>
      </c>
      <c r="L282" s="66">
        <f t="shared" si="224"/>
        <v>3.6414565826330532</v>
      </c>
      <c r="M282" s="66">
        <f t="shared" si="224"/>
        <v>3.6414565826330532</v>
      </c>
      <c r="N282" s="66">
        <f t="shared" si="224"/>
        <v>3.6414565826330532</v>
      </c>
      <c r="O282" s="66">
        <f t="shared" si="224"/>
        <v>3.6414565826330532</v>
      </c>
      <c r="P282" s="66">
        <f t="shared" si="224"/>
        <v>3.6414565826330532</v>
      </c>
      <c r="Q282" s="66">
        <f t="shared" si="224"/>
        <v>3.6414565826330532</v>
      </c>
      <c r="R282" s="66">
        <f t="shared" si="224"/>
        <v>3.6414565826330532</v>
      </c>
      <c r="S282" s="66">
        <f t="shared" si="224"/>
        <v>3.6414565826330532</v>
      </c>
      <c r="T282" s="66">
        <f t="shared" si="224"/>
        <v>3.6414565826330532</v>
      </c>
      <c r="U282" s="66">
        <f t="shared" si="224"/>
        <v>3.6414565826330532</v>
      </c>
      <c r="V282" s="66">
        <f t="shared" si="224"/>
        <v>3.6414565826330532</v>
      </c>
      <c r="W282" s="66">
        <f t="shared" si="224"/>
        <v>3.6414565826330532</v>
      </c>
      <c r="X282" s="66">
        <f t="shared" si="224"/>
        <v>3.6414565826330532</v>
      </c>
      <c r="Y282" s="66">
        <f t="shared" si="224"/>
        <v>3.6414565826330532</v>
      </c>
      <c r="Z282" s="66">
        <f t="shared" si="224"/>
        <v>3.6414565826330532</v>
      </c>
      <c r="AA282" s="66">
        <f t="shared" si="224"/>
        <v>3.6414565826330532</v>
      </c>
      <c r="AB282" s="66">
        <f t="shared" si="224"/>
        <v>3.6414565826330532</v>
      </c>
      <c r="AC282" s="66">
        <f t="shared" si="224"/>
        <v>3.6414565826330532</v>
      </c>
    </row>
    <row r="283" spans="1:29" x14ac:dyDescent="0.25">
      <c r="A283" s="30" t="str">
        <f t="shared" si="217"/>
        <v>Fuel Cost</v>
      </c>
      <c r="B283" s="66">
        <f>B253*B254*B261/B261</f>
        <v>4.4709022311986057</v>
      </c>
      <c r="C283" s="66">
        <f t="shared" ref="C283:AC283" si="225">C253*C254*C261/C261</f>
        <v>4.4621440718388783</v>
      </c>
      <c r="D283" s="66">
        <f t="shared" si="225"/>
        <v>4.4497087410458711</v>
      </c>
      <c r="E283" s="66">
        <f t="shared" si="225"/>
        <v>4.4321325959289499</v>
      </c>
      <c r="F283" s="66">
        <f t="shared" si="225"/>
        <v>4.4074560052847165</v>
      </c>
      <c r="G283" s="66">
        <f t="shared" si="225"/>
        <v>4.3731465864094394</v>
      </c>
      <c r="H283" s="66">
        <f t="shared" si="225"/>
        <v>4.3261096566493471</v>
      </c>
      <c r="I283" s="66">
        <f t="shared" si="225"/>
        <v>4.2628970633254042</v>
      </c>
      <c r="J283" s="66">
        <f t="shared" si="225"/>
        <v>4.1802659920760794</v>
      </c>
      <c r="K283" s="66">
        <f t="shared" si="225"/>
        <v>4.076206124301347</v>
      </c>
      <c r="L283" s="66">
        <f t="shared" si="225"/>
        <v>3.9513372700106411</v>
      </c>
      <c r="M283" s="66">
        <f t="shared" si="225"/>
        <v>3.8101388593718277</v>
      </c>
      <c r="N283" s="66">
        <f t="shared" si="225"/>
        <v>3.6610762765829339</v>
      </c>
      <c r="O283" s="66">
        <f t="shared" si="225"/>
        <v>3.5149469666095845</v>
      </c>
      <c r="P283" s="66">
        <f t="shared" si="225"/>
        <v>3.3819224478802319</v>
      </c>
      <c r="Q283" s="66">
        <f t="shared" si="225"/>
        <v>3.2688705500160293</v>
      </c>
      <c r="R283" s="66">
        <f t="shared" si="225"/>
        <v>3.1783362262745993</v>
      </c>
      <c r="S283" s="66">
        <f t="shared" si="225"/>
        <v>3.1092545190598564</v>
      </c>
      <c r="T283" s="66">
        <f t="shared" si="225"/>
        <v>3.0584739238960932</v>
      </c>
      <c r="U283" s="66">
        <f t="shared" si="225"/>
        <v>3.0221665329798268</v>
      </c>
      <c r="V283" s="66">
        <f t="shared" si="225"/>
        <v>2.9967204138103272</v>
      </c>
      <c r="W283" s="66">
        <f t="shared" si="225"/>
        <v>2.9791355814234857</v>
      </c>
      <c r="X283" s="66">
        <f t="shared" si="225"/>
        <v>2.9671014043353603</v>
      </c>
      <c r="Y283" s="66">
        <f t="shared" si="225"/>
        <v>2.9589207854233703</v>
      </c>
      <c r="Z283" s="66">
        <f t="shared" si="225"/>
        <v>2.9533850516346836</v>
      </c>
      <c r="AA283" s="66">
        <f t="shared" si="225"/>
        <v>2.9496506398414177</v>
      </c>
      <c r="AB283" s="66">
        <f t="shared" si="225"/>
        <v>2.9471366523731741</v>
      </c>
      <c r="AC283" s="66">
        <f t="shared" si="225"/>
        <v>2.94544662525941</v>
      </c>
    </row>
    <row r="284" spans="1:29" ht="15.75" thickBot="1" x14ac:dyDescent="0.3">
      <c r="A284" s="59" t="str">
        <f t="shared" ref="A284" si="226">A272</f>
        <v>Emission Cost</v>
      </c>
      <c r="B284" s="66">
        <f>B255</f>
        <v>7.7616989698723951E-2</v>
      </c>
      <c r="C284" s="66">
        <f t="shared" ref="C284:AC284" si="227">C255</f>
        <v>7.7543079413020161E-2</v>
      </c>
      <c r="D284" s="66">
        <f t="shared" si="227"/>
        <v>7.7437278485254071E-2</v>
      </c>
      <c r="E284" s="66">
        <f t="shared" si="227"/>
        <v>7.7285922817830824E-2</v>
      </c>
      <c r="F284" s="66">
        <f t="shared" si="227"/>
        <v>7.7069602170796822E-2</v>
      </c>
      <c r="G284" s="66">
        <f t="shared" si="227"/>
        <v>7.6760865858648872E-2</v>
      </c>
      <c r="H284" s="66">
        <f t="shared" si="227"/>
        <v>7.6321149608842037E-2</v>
      </c>
      <c r="I284" s="66">
        <f t="shared" si="227"/>
        <v>7.5696815568227049E-2</v>
      </c>
      <c r="J284" s="66">
        <f t="shared" si="227"/>
        <v>7.4814379396488564E-2</v>
      </c>
      <c r="K284" s="66">
        <f t="shared" si="227"/>
        <v>7.3575454931835024E-2</v>
      </c>
      <c r="L284" s="66">
        <f t="shared" si="227"/>
        <v>7.1852900182459184E-2</v>
      </c>
      <c r="M284" s="66">
        <f t="shared" si="227"/>
        <v>6.9491342061966249E-2</v>
      </c>
      <c r="N284" s="66">
        <f t="shared" si="227"/>
        <v>6.6317661002361278E-2</v>
      </c>
      <c r="O284" s="66">
        <f t="shared" si="227"/>
        <v>6.2169046747367229E-2</v>
      </c>
      <c r="P284" s="66">
        <f t="shared" si="227"/>
        <v>5.694456830002316E-2</v>
      </c>
      <c r="Q284" s="66">
        <f t="shared" si="227"/>
        <v>5.0675344131887581E-2</v>
      </c>
      <c r="R284" s="66">
        <f t="shared" si="227"/>
        <v>4.3586270611453572E-2</v>
      </c>
      <c r="S284" s="66">
        <f t="shared" si="227"/>
        <v>3.6102364781668152E-2</v>
      </c>
      <c r="T284" s="66">
        <f t="shared" si="227"/>
        <v>2.8765728220359679E-2</v>
      </c>
      <c r="U284" s="66">
        <f t="shared" si="227"/>
        <v>2.2087036944542227E-2</v>
      </c>
      <c r="V284" s="66">
        <f t="shared" si="227"/>
        <v>1.6411100424024307E-2</v>
      </c>
      <c r="W284" s="66">
        <f t="shared" si="227"/>
        <v>1.1865691773727857E-2</v>
      </c>
      <c r="X284" s="66">
        <f t="shared" si="227"/>
        <v>8.3973432339193438E-3</v>
      </c>
      <c r="Y284" s="66">
        <f t="shared" si="227"/>
        <v>5.84782889520509E-3</v>
      </c>
      <c r="Z284" s="66">
        <f t="shared" si="227"/>
        <v>4.0249630259926034E-3</v>
      </c>
      <c r="AA284" s="66">
        <f t="shared" si="227"/>
        <v>2.747403251869146E-3</v>
      </c>
      <c r="AB284" s="66">
        <f t="shared" si="227"/>
        <v>1.8645309229892715E-3</v>
      </c>
      <c r="AC284" s="66">
        <f t="shared" si="227"/>
        <v>1.2603373931211054E-3</v>
      </c>
    </row>
    <row r="285" spans="1:29" ht="15.75" thickBot="1" x14ac:dyDescent="0.3">
      <c r="A285" s="31" t="s">
        <v>63</v>
      </c>
      <c r="B285" s="76">
        <f>B276+B277+B278-B279+B280+B281+B282+B283+B284</f>
        <v>24.663842142376346</v>
      </c>
      <c r="C285" s="76">
        <f t="shared" ref="C285:AC285" si="228">C276+C277+C278-C279+C280+C281+C282+C283+C284</f>
        <v>24.628010276496958</v>
      </c>
      <c r="D285" s="76">
        <f t="shared" si="228"/>
        <v>24.57713330459304</v>
      </c>
      <c r="E285" s="76">
        <f t="shared" si="228"/>
        <v>24.505221777548861</v>
      </c>
      <c r="F285" s="76">
        <f t="shared" si="228"/>
        <v>24.404255470949604</v>
      </c>
      <c r="G285" s="76">
        <f t="shared" si="228"/>
        <v>24.263867680786426</v>
      </c>
      <c r="H285" s="76">
        <f t="shared" si="228"/>
        <v>24.07138482207468</v>
      </c>
      <c r="I285" s="76">
        <f t="shared" si="228"/>
        <v>23.81267508307641</v>
      </c>
      <c r="J285" s="76">
        <f t="shared" si="228"/>
        <v>23.474425164191548</v>
      </c>
      <c r="K285" s="76">
        <f t="shared" si="228"/>
        <v>23.04832891775542</v>
      </c>
      <c r="L285" s="76">
        <f t="shared" si="228"/>
        <v>22.536789772171616</v>
      </c>
      <c r="M285" s="76">
        <f t="shared" si="228"/>
        <v>21.957941044756442</v>
      </c>
      <c r="N285" s="76">
        <f t="shared" si="228"/>
        <v>21.346172224339778</v>
      </c>
      <c r="O285" s="76">
        <f t="shared" si="228"/>
        <v>20.745404484724997</v>
      </c>
      <c r="P285" s="76">
        <f t="shared" si="228"/>
        <v>20.19706533592036</v>
      </c>
      <c r="Q285" s="76">
        <f t="shared" si="228"/>
        <v>19.729225982964881</v>
      </c>
      <c r="R285" s="76">
        <f t="shared" si="228"/>
        <v>19.352501898812402</v>
      </c>
      <c r="S285" s="76">
        <f t="shared" si="228"/>
        <v>19.062970074297873</v>
      </c>
      <c r="T285" s="76">
        <f t="shared" si="228"/>
        <v>18.848305597227498</v>
      </c>
      <c r="U285" s="76">
        <f t="shared" si="228"/>
        <v>18.693390499329976</v>
      </c>
      <c r="V285" s="76">
        <f t="shared" si="228"/>
        <v>18.583822733268367</v>
      </c>
      <c r="W285" s="76">
        <f t="shared" si="228"/>
        <v>18.507481684714286</v>
      </c>
      <c r="X285" s="76">
        <f t="shared" si="228"/>
        <v>18.454880002074347</v>
      </c>
      <c r="Y285" s="76">
        <f t="shared" si="228"/>
        <v>18.41893052368281</v>
      </c>
      <c r="Z285" s="76">
        <f t="shared" si="228"/>
        <v>18.394506273793972</v>
      </c>
      <c r="AA285" s="76">
        <f t="shared" si="228"/>
        <v>18.377981796763905</v>
      </c>
      <c r="AB285" s="76">
        <f t="shared" si="228"/>
        <v>18.36683477547858</v>
      </c>
      <c r="AC285" s="76">
        <f t="shared" si="228"/>
        <v>18.35933051173944</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29">A264</f>
        <v>Capex vehicle</v>
      </c>
      <c r="B288" s="65">
        <f>((1+B249)^B256)*B249/(((1+B249)^B256)-1)*(B245)/B261/(B258)</f>
        <v>2.1696909640280381E-3</v>
      </c>
      <c r="C288" s="65">
        <f t="shared" ref="C288:AC288" si="230">((1+C249)^C256)*C249/(((1+C249)^C256)-1)*(C245)/C261/(C258)</f>
        <v>2.1650687990337689E-3</v>
      </c>
      <c r="D288" s="65">
        <f t="shared" si="230"/>
        <v>2.1585059873375245E-3</v>
      </c>
      <c r="E288" s="65">
        <f t="shared" si="230"/>
        <v>2.1492300836508209E-3</v>
      </c>
      <c r="F288" s="65">
        <f t="shared" si="230"/>
        <v>2.1362068822258539E-3</v>
      </c>
      <c r="G288" s="65">
        <f t="shared" si="230"/>
        <v>2.1180999046766392E-3</v>
      </c>
      <c r="H288" s="65">
        <f t="shared" si="230"/>
        <v>2.093275915840043E-3</v>
      </c>
      <c r="I288" s="65">
        <f t="shared" si="230"/>
        <v>2.0599151348747601E-3</v>
      </c>
      <c r="J288" s="65">
        <f t="shared" si="230"/>
        <v>2.0163061493242286E-3</v>
      </c>
      <c r="K288" s="65">
        <f t="shared" si="230"/>
        <v>1.9613880028985821E-3</v>
      </c>
      <c r="L288" s="65">
        <f t="shared" si="230"/>
        <v>1.8954878036134461E-3</v>
      </c>
      <c r="M288" s="65">
        <f t="shared" si="230"/>
        <v>1.8209695944675583E-3</v>
      </c>
      <c r="N288" s="65">
        <f t="shared" si="230"/>
        <v>1.7423010268127629E-3</v>
      </c>
      <c r="O288" s="65">
        <f t="shared" si="230"/>
        <v>1.6651805094239855E-3</v>
      </c>
      <c r="P288" s="65">
        <f t="shared" si="230"/>
        <v>1.5949761150306102E-3</v>
      </c>
      <c r="Q288" s="65">
        <f t="shared" si="230"/>
        <v>1.5353123770942534E-3</v>
      </c>
      <c r="R288" s="65">
        <f t="shared" si="230"/>
        <v>1.4875324081773025E-3</v>
      </c>
      <c r="S288" s="65">
        <f t="shared" si="230"/>
        <v>1.4510741712673173E-3</v>
      </c>
      <c r="T288" s="65">
        <f t="shared" si="230"/>
        <v>1.4242744431836509E-3</v>
      </c>
      <c r="U288" s="65">
        <f t="shared" si="230"/>
        <v>1.4051130253065005E-3</v>
      </c>
      <c r="V288" s="65">
        <f t="shared" si="230"/>
        <v>1.3916837011261137E-3</v>
      </c>
      <c r="W288" s="65">
        <f t="shared" si="230"/>
        <v>1.3824032126866935E-3</v>
      </c>
      <c r="X288" s="65">
        <f t="shared" si="230"/>
        <v>1.3760521119831207E-3</v>
      </c>
      <c r="Y288" s="65">
        <f t="shared" si="230"/>
        <v>1.3717347470193894E-3</v>
      </c>
      <c r="Z288" s="65">
        <f t="shared" si="230"/>
        <v>1.3688132341895007E-3</v>
      </c>
      <c r="AA288" s="65">
        <f t="shared" si="230"/>
        <v>1.3668423785843384E-3</v>
      </c>
      <c r="AB288" s="65">
        <f t="shared" si="230"/>
        <v>1.3655156083813228E-3</v>
      </c>
      <c r="AC288" s="65">
        <f t="shared" si="230"/>
        <v>1.364623687619921E-3</v>
      </c>
    </row>
    <row r="289" spans="1:29" x14ac:dyDescent="0.25">
      <c r="A289" s="30" t="str">
        <f t="shared" si="229"/>
        <v>Residual value (vehicle)</v>
      </c>
      <c r="B289" s="68">
        <f>((1+B249)^B256)*B249/(((1+B249)^B256)-1)*(B246)/B261/(B258)</f>
        <v>-1.1028374067486764E-4</v>
      </c>
      <c r="C289" s="68">
        <f t="shared" ref="C289:AC289" si="231">((1+C249)^C256)*C249/(((1+C249)^C256)-1)*(C246)/C261/(C258)</f>
        <v>-1.1082299325753238E-4</v>
      </c>
      <c r="D289" s="68">
        <f t="shared" si="231"/>
        <v>-1.115886546220943E-4</v>
      </c>
      <c r="E289" s="68">
        <f t="shared" si="231"/>
        <v>-1.1267084338554303E-4</v>
      </c>
      <c r="F289" s="68">
        <f t="shared" si="231"/>
        <v>-1.1419021688512248E-4</v>
      </c>
      <c r="G289" s="68">
        <f t="shared" si="231"/>
        <v>-1.1630269759919755E-4</v>
      </c>
      <c r="H289" s="68">
        <f t="shared" si="231"/>
        <v>-1.1919882963013374E-4</v>
      </c>
      <c r="I289" s="68">
        <f t="shared" si="231"/>
        <v>-1.230909207427501E-4</v>
      </c>
      <c r="J289" s="68">
        <f t="shared" si="231"/>
        <v>-1.2817863572364536E-4</v>
      </c>
      <c r="K289" s="68">
        <f t="shared" si="231"/>
        <v>-1.345857528066375E-4</v>
      </c>
      <c r="L289" s="68">
        <f t="shared" si="231"/>
        <v>-1.4227410938990337E-4</v>
      </c>
      <c r="M289" s="68">
        <f t="shared" si="231"/>
        <v>-1.5096790045692366E-4</v>
      </c>
      <c r="N289" s="68">
        <f t="shared" si="231"/>
        <v>-1.6014590001664974E-4</v>
      </c>
      <c r="O289" s="68">
        <f t="shared" si="231"/>
        <v>-1.6914329371200715E-4</v>
      </c>
      <c r="P289" s="68">
        <f t="shared" si="231"/>
        <v>-1.7733380639123428E-4</v>
      </c>
      <c r="Q289" s="68">
        <f t="shared" si="231"/>
        <v>-1.842945758171425E-4</v>
      </c>
      <c r="R289" s="68">
        <f t="shared" si="231"/>
        <v>-1.8986890552412014E-4</v>
      </c>
      <c r="S289" s="68">
        <f t="shared" si="231"/>
        <v>-1.9412236649695181E-4</v>
      </c>
      <c r="T289" s="68">
        <f t="shared" si="231"/>
        <v>-1.9724900144004614E-4</v>
      </c>
      <c r="U289" s="68">
        <f t="shared" si="231"/>
        <v>-1.9948450019238032E-4</v>
      </c>
      <c r="V289" s="68">
        <f t="shared" si="231"/>
        <v>-2.0105125468009212E-4</v>
      </c>
      <c r="W289" s="68">
        <f t="shared" si="231"/>
        <v>-2.0213397833135783E-4</v>
      </c>
      <c r="X289" s="68">
        <f t="shared" si="231"/>
        <v>-2.0287494008010802E-4</v>
      </c>
      <c r="Y289" s="68">
        <f t="shared" si="231"/>
        <v>-2.0337863265920998E-4</v>
      </c>
      <c r="Z289" s="68">
        <f t="shared" si="231"/>
        <v>-2.0371947582269707E-4</v>
      </c>
      <c r="AA289" s="68">
        <f t="shared" si="231"/>
        <v>-2.0394940897663265E-4</v>
      </c>
      <c r="AB289" s="68">
        <f t="shared" si="231"/>
        <v>-2.0410419883365111E-4</v>
      </c>
      <c r="AC289" s="68">
        <f t="shared" si="231"/>
        <v>-2.0420825625581466E-4</v>
      </c>
    </row>
    <row r="290" spans="1:29" x14ac:dyDescent="0.25">
      <c r="A290" s="30" t="str">
        <f t="shared" si="229"/>
        <v>Capex costumization</v>
      </c>
      <c r="B290" s="66">
        <f>((1+B249)^B257)*B249/(((1+B249)^B257)-1)*(B247)/B261/(B258)</f>
        <v>5.087458787818432E-4</v>
      </c>
      <c r="C290" s="66">
        <f t="shared" ref="C290:AC290" si="232">((1+C249)^C257)*C249/(((1+C249)^C257)-1)*(C247)/C261/(C258)</f>
        <v>5.087458787818432E-4</v>
      </c>
      <c r="D290" s="66">
        <f t="shared" si="232"/>
        <v>5.087458787818432E-4</v>
      </c>
      <c r="E290" s="66">
        <f t="shared" si="232"/>
        <v>5.087458787818432E-4</v>
      </c>
      <c r="F290" s="66">
        <f t="shared" si="232"/>
        <v>5.087458787818432E-4</v>
      </c>
      <c r="G290" s="66">
        <f t="shared" si="232"/>
        <v>5.087458787818432E-4</v>
      </c>
      <c r="H290" s="66">
        <f t="shared" si="232"/>
        <v>5.087458787818432E-4</v>
      </c>
      <c r="I290" s="66">
        <f t="shared" si="232"/>
        <v>5.087458787818432E-4</v>
      </c>
      <c r="J290" s="66">
        <f t="shared" si="232"/>
        <v>5.087458787818432E-4</v>
      </c>
      <c r="K290" s="66">
        <f t="shared" si="232"/>
        <v>5.087458787818432E-4</v>
      </c>
      <c r="L290" s="66">
        <f t="shared" si="232"/>
        <v>5.087458787818432E-4</v>
      </c>
      <c r="M290" s="66">
        <f t="shared" si="232"/>
        <v>5.087458787818432E-4</v>
      </c>
      <c r="N290" s="66">
        <f t="shared" si="232"/>
        <v>5.087458787818432E-4</v>
      </c>
      <c r="O290" s="66">
        <f t="shared" si="232"/>
        <v>5.087458787818432E-4</v>
      </c>
      <c r="P290" s="66">
        <f t="shared" si="232"/>
        <v>5.087458787818432E-4</v>
      </c>
      <c r="Q290" s="66">
        <f t="shared" si="232"/>
        <v>5.087458787818432E-4</v>
      </c>
      <c r="R290" s="66">
        <f t="shared" si="232"/>
        <v>5.087458787818432E-4</v>
      </c>
      <c r="S290" s="66">
        <f t="shared" si="232"/>
        <v>5.087458787818432E-4</v>
      </c>
      <c r="T290" s="66">
        <f t="shared" si="232"/>
        <v>5.087458787818432E-4</v>
      </c>
      <c r="U290" s="66">
        <f t="shared" si="232"/>
        <v>5.087458787818432E-4</v>
      </c>
      <c r="V290" s="66">
        <f t="shared" si="232"/>
        <v>5.087458787818432E-4</v>
      </c>
      <c r="W290" s="66">
        <f t="shared" si="232"/>
        <v>5.087458787818432E-4</v>
      </c>
      <c r="X290" s="66">
        <f t="shared" si="232"/>
        <v>5.087458787818432E-4</v>
      </c>
      <c r="Y290" s="66">
        <f t="shared" si="232"/>
        <v>5.087458787818432E-4</v>
      </c>
      <c r="Z290" s="66">
        <f t="shared" si="232"/>
        <v>5.087458787818432E-4</v>
      </c>
      <c r="AA290" s="66">
        <f t="shared" si="232"/>
        <v>5.087458787818432E-4</v>
      </c>
      <c r="AB290" s="66">
        <f t="shared" si="232"/>
        <v>5.087458787818432E-4</v>
      </c>
      <c r="AC290" s="66">
        <f t="shared" si="232"/>
        <v>5.087458787818432E-4</v>
      </c>
    </row>
    <row r="291" spans="1:29" x14ac:dyDescent="0.25">
      <c r="A291" s="30" t="str">
        <f t="shared" si="229"/>
        <v>Residual value (costumization)</v>
      </c>
      <c r="B291" s="69">
        <f>((1+B249)^B257)*B249/(((1+B249)^B257)-1)*(B248)/B261/(B258)</f>
        <v>-2.5437293939092156E-5</v>
      </c>
      <c r="C291" s="69">
        <f t="shared" ref="C291:AC291" si="233">((1+C249)^C257)*C249/(((1+C249)^C257)-1)*(C248)/C261/(C258)</f>
        <v>-2.5437293939092156E-5</v>
      </c>
      <c r="D291" s="69">
        <f t="shared" si="233"/>
        <v>-2.5437293939092156E-5</v>
      </c>
      <c r="E291" s="69">
        <f t="shared" si="233"/>
        <v>-2.5437293939092156E-5</v>
      </c>
      <c r="F291" s="69">
        <f t="shared" si="233"/>
        <v>-2.5437293939092156E-5</v>
      </c>
      <c r="G291" s="69">
        <f t="shared" si="233"/>
        <v>-2.5437293939092156E-5</v>
      </c>
      <c r="H291" s="69">
        <f t="shared" si="233"/>
        <v>-2.5437293939092156E-5</v>
      </c>
      <c r="I291" s="69">
        <f t="shared" si="233"/>
        <v>-2.5437293939092156E-5</v>
      </c>
      <c r="J291" s="69">
        <f t="shared" si="233"/>
        <v>-2.5437293939092156E-5</v>
      </c>
      <c r="K291" s="69">
        <f t="shared" si="233"/>
        <v>-2.5437293939092156E-5</v>
      </c>
      <c r="L291" s="69">
        <f t="shared" si="233"/>
        <v>-2.5437293939092156E-5</v>
      </c>
      <c r="M291" s="69">
        <f t="shared" si="233"/>
        <v>-2.5437293939092156E-5</v>
      </c>
      <c r="N291" s="69">
        <f t="shared" si="233"/>
        <v>-2.5437293939092156E-5</v>
      </c>
      <c r="O291" s="69">
        <f t="shared" si="233"/>
        <v>-2.5437293939092156E-5</v>
      </c>
      <c r="P291" s="69">
        <f t="shared" si="233"/>
        <v>-2.5437293939092156E-5</v>
      </c>
      <c r="Q291" s="69">
        <f t="shared" si="233"/>
        <v>-2.5437293939092156E-5</v>
      </c>
      <c r="R291" s="69">
        <f t="shared" si="233"/>
        <v>-2.5437293939092156E-5</v>
      </c>
      <c r="S291" s="69">
        <f t="shared" si="233"/>
        <v>-2.5437293939092156E-5</v>
      </c>
      <c r="T291" s="69">
        <f t="shared" si="233"/>
        <v>-2.5437293939092156E-5</v>
      </c>
      <c r="U291" s="69">
        <f t="shared" si="233"/>
        <v>-2.5437293939092156E-5</v>
      </c>
      <c r="V291" s="69">
        <f t="shared" si="233"/>
        <v>-2.5437293939092156E-5</v>
      </c>
      <c r="W291" s="69">
        <f t="shared" si="233"/>
        <v>-2.5437293939092156E-5</v>
      </c>
      <c r="X291" s="69">
        <f t="shared" si="233"/>
        <v>-2.5437293939092156E-5</v>
      </c>
      <c r="Y291" s="69">
        <f t="shared" si="233"/>
        <v>-2.5437293939092156E-5</v>
      </c>
      <c r="Z291" s="69">
        <f t="shared" si="233"/>
        <v>-2.5437293939092156E-5</v>
      </c>
      <c r="AA291" s="69">
        <f t="shared" si="233"/>
        <v>-2.5437293939092156E-5</v>
      </c>
      <c r="AB291" s="69">
        <f t="shared" si="233"/>
        <v>-2.5437293939092156E-5</v>
      </c>
      <c r="AC291" s="69">
        <f t="shared" si="233"/>
        <v>-2.5437293939092156E-5</v>
      </c>
    </row>
    <row r="292" spans="1:29" x14ac:dyDescent="0.25">
      <c r="A292" s="30" t="str">
        <f t="shared" si="229"/>
        <v>Opex fix (admin, crew, insurance)</v>
      </c>
      <c r="B292" s="66">
        <f>B250/B261/(B258)</f>
        <v>1.525610244097639E-3</v>
      </c>
      <c r="C292" s="66">
        <f t="shared" ref="C292:AC292" si="234">C250/C261/(C258)</f>
        <v>1.525610244097639E-3</v>
      </c>
      <c r="D292" s="66">
        <f t="shared" si="234"/>
        <v>1.525610244097639E-3</v>
      </c>
      <c r="E292" s="66">
        <f t="shared" si="234"/>
        <v>1.525610244097639E-3</v>
      </c>
      <c r="F292" s="66">
        <f t="shared" si="234"/>
        <v>1.525610244097639E-3</v>
      </c>
      <c r="G292" s="66">
        <f t="shared" si="234"/>
        <v>1.525610244097639E-3</v>
      </c>
      <c r="H292" s="66">
        <f t="shared" si="234"/>
        <v>1.525610244097639E-3</v>
      </c>
      <c r="I292" s="66">
        <f t="shared" si="234"/>
        <v>1.525610244097639E-3</v>
      </c>
      <c r="J292" s="66">
        <f t="shared" si="234"/>
        <v>1.525610244097639E-3</v>
      </c>
      <c r="K292" s="66">
        <f t="shared" si="234"/>
        <v>1.525610244097639E-3</v>
      </c>
      <c r="L292" s="66">
        <f t="shared" si="234"/>
        <v>1.525610244097639E-3</v>
      </c>
      <c r="M292" s="66">
        <f t="shared" si="234"/>
        <v>1.525610244097639E-3</v>
      </c>
      <c r="N292" s="66">
        <f t="shared" si="234"/>
        <v>1.525610244097639E-3</v>
      </c>
      <c r="O292" s="66">
        <f t="shared" si="234"/>
        <v>1.525610244097639E-3</v>
      </c>
      <c r="P292" s="66">
        <f t="shared" si="234"/>
        <v>1.525610244097639E-3</v>
      </c>
      <c r="Q292" s="66">
        <f t="shared" si="234"/>
        <v>1.525610244097639E-3</v>
      </c>
      <c r="R292" s="66">
        <f t="shared" si="234"/>
        <v>1.525610244097639E-3</v>
      </c>
      <c r="S292" s="66">
        <f t="shared" si="234"/>
        <v>1.525610244097639E-3</v>
      </c>
      <c r="T292" s="66">
        <f t="shared" si="234"/>
        <v>1.525610244097639E-3</v>
      </c>
      <c r="U292" s="66">
        <f t="shared" si="234"/>
        <v>1.525610244097639E-3</v>
      </c>
      <c r="V292" s="66">
        <f t="shared" si="234"/>
        <v>1.525610244097639E-3</v>
      </c>
      <c r="W292" s="66">
        <f t="shared" si="234"/>
        <v>1.525610244097639E-3</v>
      </c>
      <c r="X292" s="66">
        <f t="shared" si="234"/>
        <v>1.525610244097639E-3</v>
      </c>
      <c r="Y292" s="66">
        <f t="shared" si="234"/>
        <v>1.525610244097639E-3</v>
      </c>
      <c r="Z292" s="66">
        <f t="shared" si="234"/>
        <v>1.525610244097639E-3</v>
      </c>
      <c r="AA292" s="66">
        <f t="shared" si="234"/>
        <v>1.525610244097639E-3</v>
      </c>
      <c r="AB292" s="66">
        <f t="shared" si="234"/>
        <v>1.525610244097639E-3</v>
      </c>
      <c r="AC292" s="66">
        <f t="shared" si="234"/>
        <v>1.525610244097639E-3</v>
      </c>
    </row>
    <row r="293" spans="1:29" x14ac:dyDescent="0.25">
      <c r="A293" s="30" t="str">
        <f t="shared" si="229"/>
        <v>Opex maintenance &amp; repair</v>
      </c>
      <c r="B293" s="66">
        <f>B251/B261/(B258)</f>
        <v>3.235203975384487E-3</v>
      </c>
      <c r="C293" s="66">
        <f t="shared" ref="C293:AC293" si="235">C251/C261/(C258)</f>
        <v>3.228311912499835E-3</v>
      </c>
      <c r="D293" s="66">
        <f t="shared" si="235"/>
        <v>3.2185261711931679E-3</v>
      </c>
      <c r="E293" s="66">
        <f t="shared" si="235"/>
        <v>3.2046949662058941E-3</v>
      </c>
      <c r="F293" s="66">
        <f t="shared" si="235"/>
        <v>3.1852762039393709E-3</v>
      </c>
      <c r="G293" s="66">
        <f t="shared" si="235"/>
        <v>3.1582770751599136E-3</v>
      </c>
      <c r="H293" s="66">
        <f t="shared" si="235"/>
        <v>3.1212622796426945E-3</v>
      </c>
      <c r="I293" s="66">
        <f t="shared" si="235"/>
        <v>3.0715183608126854E-3</v>
      </c>
      <c r="J293" s="66">
        <f t="shared" si="235"/>
        <v>3.0064934490834873E-3</v>
      </c>
      <c r="K293" s="66">
        <f t="shared" si="235"/>
        <v>2.9246055633971525E-3</v>
      </c>
      <c r="L293" s="66">
        <f t="shared" si="235"/>
        <v>2.826342451165679E-3</v>
      </c>
      <c r="M293" s="66">
        <f t="shared" si="235"/>
        <v>2.7152291126929309E-3</v>
      </c>
      <c r="N293" s="66">
        <f t="shared" si="235"/>
        <v>2.5979272171538078E-3</v>
      </c>
      <c r="O293" s="66">
        <f t="shared" si="235"/>
        <v>2.4829336035118526E-3</v>
      </c>
      <c r="P293" s="66">
        <f t="shared" si="235"/>
        <v>2.37825255003627E-3</v>
      </c>
      <c r="Q293" s="66">
        <f t="shared" si="235"/>
        <v>2.2892885614507032E-3</v>
      </c>
      <c r="R293" s="66">
        <f t="shared" si="235"/>
        <v>2.218044339141322E-3</v>
      </c>
      <c r="S293" s="66">
        <f t="shared" si="235"/>
        <v>2.1636818354750301E-3</v>
      </c>
      <c r="T293" s="66">
        <f t="shared" si="235"/>
        <v>2.12372103540121E-3</v>
      </c>
      <c r="U293" s="66">
        <f t="shared" si="235"/>
        <v>2.0951496414479101E-3</v>
      </c>
      <c r="V293" s="66">
        <f t="shared" si="235"/>
        <v>2.0751253137001203E-3</v>
      </c>
      <c r="W293" s="66">
        <f t="shared" si="235"/>
        <v>2.0612872724350261E-3</v>
      </c>
      <c r="X293" s="66">
        <f t="shared" si="235"/>
        <v>2.0518172112212762E-3</v>
      </c>
      <c r="Y293" s="66">
        <f t="shared" si="235"/>
        <v>2.0453796325405234E-3</v>
      </c>
      <c r="Z293" s="66">
        <f t="shared" si="235"/>
        <v>2.0410233946808022E-3</v>
      </c>
      <c r="AA293" s="66">
        <f t="shared" si="235"/>
        <v>2.0380846720726327E-3</v>
      </c>
      <c r="AB293" s="66">
        <f t="shared" si="235"/>
        <v>2.0361063386111484E-3</v>
      </c>
      <c r="AC293" s="66">
        <f t="shared" si="235"/>
        <v>2.0347764046985059E-3</v>
      </c>
    </row>
    <row r="294" spans="1:29" x14ac:dyDescent="0.25">
      <c r="A294" s="30" t="str">
        <f t="shared" si="229"/>
        <v>Opex var (mode-fees, shunting)</v>
      </c>
      <c r="B294" s="66">
        <f>B252*B261/B261/(B258)</f>
        <v>1.6256502601040416E-3</v>
      </c>
      <c r="C294" s="66">
        <f t="shared" ref="C294:AC294" si="236">C252*C261/C261/(C258)</f>
        <v>1.6256502601040416E-3</v>
      </c>
      <c r="D294" s="66">
        <f t="shared" si="236"/>
        <v>1.6256502601040416E-3</v>
      </c>
      <c r="E294" s="66">
        <f t="shared" si="236"/>
        <v>1.6256502601040416E-3</v>
      </c>
      <c r="F294" s="66">
        <f t="shared" si="236"/>
        <v>1.6256502601040416E-3</v>
      </c>
      <c r="G294" s="66">
        <f t="shared" si="236"/>
        <v>1.6256502601040416E-3</v>
      </c>
      <c r="H294" s="66">
        <f t="shared" si="236"/>
        <v>1.6256502601040416E-3</v>
      </c>
      <c r="I294" s="66">
        <f t="shared" si="236"/>
        <v>1.6256502601040416E-3</v>
      </c>
      <c r="J294" s="66">
        <f t="shared" si="236"/>
        <v>1.6256502601040416E-3</v>
      </c>
      <c r="K294" s="66">
        <f t="shared" si="236"/>
        <v>1.6256502601040416E-3</v>
      </c>
      <c r="L294" s="66">
        <f t="shared" si="236"/>
        <v>1.6256502601040416E-3</v>
      </c>
      <c r="M294" s="66">
        <f t="shared" si="236"/>
        <v>1.6256502601040416E-3</v>
      </c>
      <c r="N294" s="66">
        <f t="shared" si="236"/>
        <v>1.6256502601040416E-3</v>
      </c>
      <c r="O294" s="66">
        <f t="shared" si="236"/>
        <v>1.6256502601040416E-3</v>
      </c>
      <c r="P294" s="66">
        <f t="shared" si="236"/>
        <v>1.6256502601040416E-3</v>
      </c>
      <c r="Q294" s="66">
        <f t="shared" si="236"/>
        <v>1.6256502601040416E-3</v>
      </c>
      <c r="R294" s="66">
        <f t="shared" si="236"/>
        <v>1.6256502601040416E-3</v>
      </c>
      <c r="S294" s="66">
        <f t="shared" si="236"/>
        <v>1.6256502601040416E-3</v>
      </c>
      <c r="T294" s="66">
        <f t="shared" si="236"/>
        <v>1.6256502601040416E-3</v>
      </c>
      <c r="U294" s="66">
        <f t="shared" si="236"/>
        <v>1.6256502601040416E-3</v>
      </c>
      <c r="V294" s="66">
        <f t="shared" si="236"/>
        <v>1.6256502601040416E-3</v>
      </c>
      <c r="W294" s="66">
        <f t="shared" si="236"/>
        <v>1.6256502601040416E-3</v>
      </c>
      <c r="X294" s="66">
        <f t="shared" si="236"/>
        <v>1.6256502601040416E-3</v>
      </c>
      <c r="Y294" s="66">
        <f t="shared" si="236"/>
        <v>1.6256502601040416E-3</v>
      </c>
      <c r="Z294" s="66">
        <f t="shared" si="236"/>
        <v>1.6256502601040416E-3</v>
      </c>
      <c r="AA294" s="66">
        <f t="shared" si="236"/>
        <v>1.6256502601040416E-3</v>
      </c>
      <c r="AB294" s="66">
        <f t="shared" si="236"/>
        <v>1.6256502601040416E-3</v>
      </c>
      <c r="AC294" s="66">
        <f t="shared" si="236"/>
        <v>1.6256502601040416E-3</v>
      </c>
    </row>
    <row r="295" spans="1:29" x14ac:dyDescent="0.25">
      <c r="A295" s="30" t="str">
        <f t="shared" si="229"/>
        <v>Fuel Cost</v>
      </c>
      <c r="B295" s="66">
        <f>B253*B254*B261/B261/(B258)</f>
        <v>1.995938496070806E-3</v>
      </c>
      <c r="C295" s="66">
        <f t="shared" ref="C295:AC295" si="237">C253*C254*C261/C261/(C258)</f>
        <v>1.9920286034994994E-3</v>
      </c>
      <c r="D295" s="66">
        <f t="shared" si="237"/>
        <v>1.9864771165383354E-3</v>
      </c>
      <c r="E295" s="66">
        <f t="shared" si="237"/>
        <v>1.9786306231825671E-3</v>
      </c>
      <c r="F295" s="66">
        <f t="shared" si="237"/>
        <v>1.9676142880735341E-3</v>
      </c>
      <c r="G295" s="66">
        <f t="shared" si="237"/>
        <v>1.9522975832184997E-3</v>
      </c>
      <c r="H295" s="66">
        <f t="shared" si="237"/>
        <v>1.9312989538613156E-3</v>
      </c>
      <c r="I295" s="66">
        <f t="shared" si="237"/>
        <v>1.9030790461274127E-3</v>
      </c>
      <c r="J295" s="66">
        <f t="shared" si="237"/>
        <v>1.8661901750339641E-3</v>
      </c>
      <c r="K295" s="66">
        <f t="shared" si="237"/>
        <v>1.8197348769202443E-3</v>
      </c>
      <c r="L295" s="66">
        <f t="shared" si="237"/>
        <v>1.7639898526833218E-3</v>
      </c>
      <c r="M295" s="66">
        <f t="shared" si="237"/>
        <v>1.7009548479338516E-3</v>
      </c>
      <c r="N295" s="66">
        <f t="shared" si="237"/>
        <v>1.6344090520459527E-3</v>
      </c>
      <c r="O295" s="66">
        <f t="shared" si="237"/>
        <v>1.5691727529507074E-3</v>
      </c>
      <c r="P295" s="66">
        <f t="shared" si="237"/>
        <v>1.5097868070893892E-3</v>
      </c>
      <c r="Q295" s="66">
        <f t="shared" si="237"/>
        <v>1.4593172098285845E-3</v>
      </c>
      <c r="R295" s="66">
        <f t="shared" si="237"/>
        <v>1.4189001010154461E-3</v>
      </c>
      <c r="S295" s="66">
        <f t="shared" si="237"/>
        <v>1.3880600531517215E-3</v>
      </c>
      <c r="T295" s="66">
        <f t="shared" si="237"/>
        <v>1.3653901445964702E-3</v>
      </c>
      <c r="U295" s="66">
        <f t="shared" si="237"/>
        <v>1.3491814879374227E-3</v>
      </c>
      <c r="V295" s="66">
        <f t="shared" si="237"/>
        <v>1.3378216133081817E-3</v>
      </c>
      <c r="W295" s="66">
        <f t="shared" si="237"/>
        <v>1.3299712417069133E-3</v>
      </c>
      <c r="X295" s="66">
        <f t="shared" si="237"/>
        <v>1.3245988412211431E-3</v>
      </c>
      <c r="Y295" s="66">
        <f t="shared" si="237"/>
        <v>1.3209467792068617E-3</v>
      </c>
      <c r="Z295" s="66">
        <f t="shared" si="237"/>
        <v>1.3184754694797695E-3</v>
      </c>
      <c r="AA295" s="66">
        <f t="shared" si="237"/>
        <v>1.3168083213577757E-3</v>
      </c>
      <c r="AB295" s="66">
        <f t="shared" si="237"/>
        <v>1.3156860055237385E-3</v>
      </c>
      <c r="AC295" s="66">
        <f t="shared" si="237"/>
        <v>1.3149315291336651E-3</v>
      </c>
    </row>
    <row r="296" spans="1:29" x14ac:dyDescent="0.25">
      <c r="A296" s="59" t="str">
        <f>A259</f>
        <v>Market failure (av. utilization)</v>
      </c>
      <c r="B296" s="66">
        <f t="shared" ref="B296:AC296" si="238">B285/B259-B285/B258</f>
        <v>1.4795552624472418E-2</v>
      </c>
      <c r="C296" s="66">
        <f t="shared" si="238"/>
        <v>1.4774057504036958E-2</v>
      </c>
      <c r="D296" s="66">
        <f t="shared" si="238"/>
        <v>1.474353699912808E-2</v>
      </c>
      <c r="E296" s="66">
        <f t="shared" si="238"/>
        <v>1.4700398108741644E-2</v>
      </c>
      <c r="F296" s="66">
        <f t="shared" si="238"/>
        <v>1.4639829593343092E-2</v>
      </c>
      <c r="G296" s="66">
        <f t="shared" si="238"/>
        <v>1.455561258752534E-2</v>
      </c>
      <c r="H296" s="66">
        <f t="shared" si="238"/>
        <v>1.4440144354760201E-2</v>
      </c>
      <c r="I296" s="66">
        <f t="shared" si="238"/>
        <v>1.4284947385216037E-2</v>
      </c>
      <c r="J296" s="66">
        <f t="shared" si="238"/>
        <v>1.4082035184992139E-2</v>
      </c>
      <c r="K296" s="66">
        <f t="shared" si="238"/>
        <v>1.3826424992515109E-2</v>
      </c>
      <c r="L296" s="66">
        <f t="shared" si="238"/>
        <v>1.3519558596587326E-2</v>
      </c>
      <c r="M296" s="66">
        <f t="shared" si="238"/>
        <v>1.3172313963790833E-2</v>
      </c>
      <c r="N296" s="66">
        <f t="shared" si="238"/>
        <v>1.280532094931097E-2</v>
      </c>
      <c r="O296" s="66">
        <f t="shared" si="238"/>
        <v>1.2444927355513041E-2</v>
      </c>
      <c r="P296" s="66">
        <f t="shared" si="238"/>
        <v>1.2115985064795973E-2</v>
      </c>
      <c r="Q296" s="66">
        <f t="shared" si="238"/>
        <v>1.1835333667236185E-2</v>
      </c>
      <c r="R296" s="66">
        <f t="shared" si="238"/>
        <v>1.1609341261843377E-2</v>
      </c>
      <c r="S296" s="66">
        <f t="shared" si="238"/>
        <v>1.1435654480954358E-2</v>
      </c>
      <c r="T296" s="66">
        <f t="shared" si="238"/>
        <v>1.1306879752801095E-2</v>
      </c>
      <c r="U296" s="66">
        <f t="shared" si="238"/>
        <v>1.1213947983694041E-2</v>
      </c>
      <c r="V296" s="66">
        <f t="shared" si="238"/>
        <v>1.1148219552602395E-2</v>
      </c>
      <c r="W296" s="66">
        <f t="shared" si="238"/>
        <v>1.1102423443676257E-2</v>
      </c>
      <c r="X296" s="66">
        <f t="shared" si="238"/>
        <v>1.1070868304815804E-2</v>
      </c>
      <c r="Y296" s="66">
        <f t="shared" si="238"/>
        <v>1.1049302629999454E-2</v>
      </c>
      <c r="Z296" s="66">
        <f t="shared" si="238"/>
        <v>1.1034650805986897E-2</v>
      </c>
      <c r="AA296" s="66">
        <f t="shared" si="238"/>
        <v>1.1024737964018524E-2</v>
      </c>
      <c r="AB296" s="66">
        <f t="shared" si="238"/>
        <v>1.1018050995334526E-2</v>
      </c>
      <c r="AC296" s="66">
        <f t="shared" si="238"/>
        <v>1.1013549274620478E-2</v>
      </c>
    </row>
    <row r="297" spans="1:29" x14ac:dyDescent="0.25">
      <c r="A297" s="59" t="str">
        <f>A260</f>
        <v>Payload loss (fuel)</v>
      </c>
      <c r="B297" s="66">
        <f>B285/(B258-B260)-B285/B258</f>
        <v>4.0501067733924104E-4</v>
      </c>
      <c r="C297" s="66">
        <f t="shared" ref="C297:AC297" si="239">C285/(C258-C260)-C285/C258</f>
        <v>4.0322942655698739E-4</v>
      </c>
      <c r="D297" s="66">
        <f t="shared" si="239"/>
        <v>4.0070668263893737E-4</v>
      </c>
      <c r="E297" s="66">
        <f t="shared" si="239"/>
        <v>3.9715378253171556E-4</v>
      </c>
      <c r="F297" s="66">
        <f t="shared" si="239"/>
        <v>3.9219076987068169E-4</v>
      </c>
      <c r="G297" s="66">
        <f t="shared" si="239"/>
        <v>3.8533923324670684E-4</v>
      </c>
      <c r="H297" s="66">
        <f t="shared" si="239"/>
        <v>3.7603826694654341E-4</v>
      </c>
      <c r="I297" s="66">
        <f t="shared" si="239"/>
        <v>3.6370644031582904E-4</v>
      </c>
      <c r="J297" s="66">
        <f t="shared" si="239"/>
        <v>3.478755750719216E-4</v>
      </c>
      <c r="K297" s="66">
        <f t="shared" si="239"/>
        <v>3.2840396160184991E-4</v>
      </c>
      <c r="L297" s="66">
        <f t="shared" si="239"/>
        <v>3.0571947809044861E-4</v>
      </c>
      <c r="M297" s="66">
        <f t="shared" si="239"/>
        <v>2.8095865657868681E-4</v>
      </c>
      <c r="N297" s="66">
        <f t="shared" si="239"/>
        <v>2.558375504736702E-4</v>
      </c>
      <c r="O297" s="66">
        <f t="shared" si="239"/>
        <v>2.322187990374952E-4</v>
      </c>
      <c r="P297" s="66">
        <f t="shared" si="239"/>
        <v>2.1157774604773152E-4</v>
      </c>
      <c r="Q297" s="66">
        <f t="shared" si="239"/>
        <v>1.9467166870734513E-4</v>
      </c>
      <c r="R297" s="66">
        <f t="shared" si="239"/>
        <v>1.8154666293973554E-4</v>
      </c>
      <c r="S297" s="66">
        <f t="shared" si="239"/>
        <v>1.7177264934929194E-4</v>
      </c>
      <c r="T297" s="66">
        <f t="shared" si="239"/>
        <v>1.6471587329552374E-4</v>
      </c>
      <c r="U297" s="66">
        <f t="shared" si="239"/>
        <v>1.5973338695226234E-4</v>
      </c>
      <c r="V297" s="66">
        <f t="shared" si="239"/>
        <v>1.5627071157668301E-4</v>
      </c>
      <c r="W297" s="66">
        <f t="shared" si="239"/>
        <v>1.5389089558132119E-4</v>
      </c>
      <c r="X297" s="66">
        <f t="shared" si="239"/>
        <v>1.5226799292913928E-4</v>
      </c>
      <c r="Y297" s="66">
        <f t="shared" si="239"/>
        <v>1.5116724792452879E-4</v>
      </c>
      <c r="Z297" s="66">
        <f t="shared" si="239"/>
        <v>1.5042345579113769E-4</v>
      </c>
      <c r="AA297" s="66">
        <f t="shared" si="239"/>
        <v>1.4992215732390242E-4</v>
      </c>
      <c r="AB297" s="66">
        <f t="shared" si="239"/>
        <v>1.495848887029215E-4</v>
      </c>
      <c r="AC297" s="66">
        <f t="shared" si="239"/>
        <v>1.4935824932606895E-4</v>
      </c>
    </row>
    <row r="298" spans="1:29" ht="15.75" thickBot="1" x14ac:dyDescent="0.3">
      <c r="A298" s="59" t="str">
        <f>A235</f>
        <v>Emission Cost</v>
      </c>
      <c r="B298" s="68">
        <f>B255*B261/B261/(B258)</f>
        <v>3.465044182978748E-5</v>
      </c>
      <c r="C298" s="68">
        <f t="shared" ref="C298:AC298" si="240">C255*C261/C261/(C258)</f>
        <v>3.4617446166526858E-5</v>
      </c>
      <c r="D298" s="68">
        <f t="shared" si="240"/>
        <v>3.4570213609488424E-5</v>
      </c>
      <c r="E298" s="68">
        <f t="shared" si="240"/>
        <v>3.4502644115103047E-5</v>
      </c>
      <c r="F298" s="68">
        <f t="shared" si="240"/>
        <v>3.440607239767715E-5</v>
      </c>
      <c r="G298" s="68">
        <f t="shared" si="240"/>
        <v>3.4268243686896818E-5</v>
      </c>
      <c r="H298" s="68">
        <f t="shared" si="240"/>
        <v>3.4071941789661624E-5</v>
      </c>
      <c r="I298" s="68">
        <f t="shared" si="240"/>
        <v>3.3793221235815644E-5</v>
      </c>
      <c r="J298" s="68">
        <f t="shared" si="240"/>
        <v>3.3399276516289538E-5</v>
      </c>
      <c r="K298" s="68">
        <f t="shared" si="240"/>
        <v>3.2846185237426347E-5</v>
      </c>
      <c r="L298" s="68">
        <f t="shared" si="240"/>
        <v>3.2077187581454992E-5</v>
      </c>
      <c r="M298" s="68">
        <f t="shared" si="240"/>
        <v>3.1022920563377787E-5</v>
      </c>
      <c r="N298" s="68">
        <f t="shared" si="240"/>
        <v>2.9606098661768426E-5</v>
      </c>
      <c r="O298" s="68">
        <f t="shared" si="240"/>
        <v>2.7754038726503228E-5</v>
      </c>
      <c r="P298" s="68">
        <f t="shared" si="240"/>
        <v>2.5421682276796057E-5</v>
      </c>
      <c r="Q298" s="68">
        <f t="shared" si="240"/>
        <v>2.2622921487449813E-5</v>
      </c>
      <c r="R298" s="68">
        <f t="shared" si="240"/>
        <v>1.9458156522970345E-5</v>
      </c>
      <c r="S298" s="68">
        <f t="shared" si="240"/>
        <v>1.6117127134673281E-5</v>
      </c>
      <c r="T298" s="68">
        <f t="shared" si="240"/>
        <v>1.2841842955517715E-5</v>
      </c>
      <c r="U298" s="68">
        <f t="shared" si="240"/>
        <v>9.8602843502420647E-6</v>
      </c>
      <c r="V298" s="68">
        <f t="shared" si="240"/>
        <v>7.3263841178679942E-6</v>
      </c>
      <c r="W298" s="68">
        <f t="shared" si="240"/>
        <v>5.2971838275570789E-6</v>
      </c>
      <c r="X298" s="68">
        <f t="shared" si="240"/>
        <v>3.7488139437139927E-6</v>
      </c>
      <c r="Y298" s="68">
        <f t="shared" si="240"/>
        <v>2.6106378996451295E-6</v>
      </c>
      <c r="Z298" s="68">
        <f t="shared" si="240"/>
        <v>1.7968584937466979E-6</v>
      </c>
      <c r="AA298" s="68">
        <f t="shared" si="240"/>
        <v>1.2265193088701544E-6</v>
      </c>
      <c r="AB298" s="68">
        <f t="shared" si="240"/>
        <v>8.3237987633449619E-7</v>
      </c>
      <c r="AC298" s="68">
        <f t="shared" si="240"/>
        <v>5.6265062192906486E-7</v>
      </c>
    </row>
    <row r="299" spans="1:29" ht="15.75" thickBot="1" x14ac:dyDescent="0.3">
      <c r="A299" s="31" t="s">
        <v>210</v>
      </c>
      <c r="B299" s="67">
        <f>B288+B289+B290+B291+B292+B293+B294+B295+B296+B297+B298</f>
        <v>2.6160332527494345E-2</v>
      </c>
      <c r="C299" s="67">
        <f t="shared" ref="C299:AC299" si="241">C288+C289+C290+C291+C292+C293+C294+C295+C296+C297+C298</f>
        <v>2.6121059787580475E-2</v>
      </c>
      <c r="D299" s="67">
        <f t="shared" si="241"/>
        <v>2.6065303604867869E-2</v>
      </c>
      <c r="E299" s="67">
        <f t="shared" si="241"/>
        <v>2.5986508454086631E-2</v>
      </c>
      <c r="F299" s="67">
        <f t="shared" si="241"/>
        <v>2.5875902682009518E-2</v>
      </c>
      <c r="G299" s="67">
        <f t="shared" si="241"/>
        <v>2.5722161018959227E-2</v>
      </c>
      <c r="H299" s="67">
        <f t="shared" si="241"/>
        <v>2.5511461972254755E-2</v>
      </c>
      <c r="I299" s="67">
        <f t="shared" si="241"/>
        <v>2.5228437756884225E-2</v>
      </c>
      <c r="J299" s="67">
        <f t="shared" si="241"/>
        <v>2.4858690263342816E-2</v>
      </c>
      <c r="K299" s="67">
        <f t="shared" si="241"/>
        <v>2.4393386918808158E-2</v>
      </c>
      <c r="L299" s="67">
        <f t="shared" si="241"/>
        <v>2.3835470349376206E-2</v>
      </c>
      <c r="M299" s="67">
        <f t="shared" si="241"/>
        <v>2.3205050284614743E-2</v>
      </c>
      <c r="N299" s="67">
        <f t="shared" si="241"/>
        <v>2.253982508348671E-2</v>
      </c>
      <c r="O299" s="67">
        <f t="shared" si="241"/>
        <v>2.1887612854496006E-2</v>
      </c>
      <c r="P299" s="67">
        <f t="shared" si="241"/>
        <v>2.1293235247929965E-2</v>
      </c>
      <c r="Q299" s="67">
        <f t="shared" si="241"/>
        <v>2.0786820919031813E-2</v>
      </c>
      <c r="R299" s="67">
        <f t="shared" si="241"/>
        <v>2.0379523113160467E-2</v>
      </c>
      <c r="S299" s="67">
        <f t="shared" si="241"/>
        <v>2.0066807039879869E-2</v>
      </c>
      <c r="T299" s="67">
        <f t="shared" si="241"/>
        <v>1.9835143179837852E-2</v>
      </c>
      <c r="U299" s="67">
        <f t="shared" si="241"/>
        <v>1.9668070398540429E-2</v>
      </c>
      <c r="V299" s="67">
        <f t="shared" si="241"/>
        <v>1.9549965110795701E-2</v>
      </c>
      <c r="W299" s="67">
        <f t="shared" si="241"/>
        <v>1.9467708360626841E-2</v>
      </c>
      <c r="X299" s="67">
        <f t="shared" si="241"/>
        <v>1.9411047425078518E-2</v>
      </c>
      <c r="Y299" s="67">
        <f t="shared" si="241"/>
        <v>1.9372332130975625E-2</v>
      </c>
      <c r="Z299" s="67">
        <f t="shared" si="241"/>
        <v>1.9346032831843586E-2</v>
      </c>
      <c r="AA299" s="67">
        <f t="shared" si="241"/>
        <v>1.9328241692733842E-2</v>
      </c>
      <c r="AB299" s="67">
        <f t="shared" si="241"/>
        <v>1.931624110664077E-2</v>
      </c>
      <c r="AC299" s="67">
        <f t="shared" si="241"/>
        <v>1.9308162628809186E-2</v>
      </c>
    </row>
    <row r="301" spans="1:29" x14ac:dyDescent="0.25">
      <c r="B301" s="40"/>
    </row>
    <row r="324" spans="1:44" s="3" customFormat="1" ht="21" x14ac:dyDescent="0.35">
      <c r="A324" s="2" t="str">
        <f>'Parameter Input'!A126</f>
        <v>Railway long-haul: Break bulk</v>
      </c>
    </row>
    <row r="325" spans="1:44" s="3" customFormat="1" ht="21" x14ac:dyDescent="0.35">
      <c r="A325" s="2" t="s">
        <v>87</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Input'!$L$115</f>
        <v>10000000</v>
      </c>
      <c r="C334" s="42">
        <f>'Parameter Input'!$M$115</f>
        <v>6250000</v>
      </c>
      <c r="D334" s="1" t="s">
        <v>15</v>
      </c>
      <c r="L334" s="51">
        <f>'Parameter Input'!$O$115</f>
        <v>12</v>
      </c>
      <c r="M334" s="52">
        <v>0</v>
      </c>
      <c r="N334" s="52">
        <v>1</v>
      </c>
      <c r="O334" s="52">
        <f>'Parameter Input'!$P$115</f>
        <v>0.9</v>
      </c>
      <c r="P334" s="53">
        <f>'Parameter Input'!$Q$115</f>
        <v>0.4</v>
      </c>
      <c r="Q334" s="4">
        <f t="shared" ref="Q334:AR343" si="242">$N334+($M334-$N334)*((1/(1+EXP(-$P334*(Q$9-$L334)))^$O334))</f>
        <v>0.9867978615748374</v>
      </c>
      <c r="R334" s="4">
        <f t="shared" si="242"/>
        <v>0.98114509762858249</v>
      </c>
      <c r="S334" s="4">
        <f t="shared" si="242"/>
        <v>0.97311898315872036</v>
      </c>
      <c r="T334" s="4">
        <f t="shared" si="242"/>
        <v>0.96177484161592774</v>
      </c>
      <c r="U334" s="4">
        <f t="shared" si="242"/>
        <v>0.94584787155511363</v>
      </c>
      <c r="V334" s="4">
        <f t="shared" si="242"/>
        <v>0.92370360150141495</v>
      </c>
      <c r="W334" s="4">
        <f t="shared" si="242"/>
        <v>0.89334463567658451</v>
      </c>
      <c r="X334" s="4">
        <f t="shared" si="242"/>
        <v>0.85254543874327005</v>
      </c>
      <c r="Y334" s="4">
        <f t="shared" si="242"/>
        <v>0.79921300652623883</v>
      </c>
      <c r="Z334" s="4">
        <f t="shared" si="242"/>
        <v>0.73204982249993378</v>
      </c>
      <c r="AA334" s="4">
        <f t="shared" si="242"/>
        <v>0.65145592958786691</v>
      </c>
      <c r="AB334" s="4">
        <f t="shared" si="242"/>
        <v>0.56032247880849573</v>
      </c>
      <c r="AC334" s="4">
        <f t="shared" si="242"/>
        <v>0.46411326873185343</v>
      </c>
      <c r="AD334" s="4">
        <f t="shared" si="242"/>
        <v>0.36979727595523937</v>
      </c>
      <c r="AE334" s="4">
        <f t="shared" si="242"/>
        <v>0.28393948637231203</v>
      </c>
      <c r="AF334" s="4">
        <f t="shared" si="242"/>
        <v>0.21097259161117732</v>
      </c>
      <c r="AG334" s="4">
        <f t="shared" si="242"/>
        <v>0.15253917653798199</v>
      </c>
      <c r="AH334" s="4">
        <f t="shared" si="242"/>
        <v>0.10795188737709993</v>
      </c>
      <c r="AI334" s="4">
        <f t="shared" si="242"/>
        <v>7.5176653938091809E-2</v>
      </c>
      <c r="AJ334" s="4">
        <f t="shared" si="242"/>
        <v>5.1742836177502194E-2</v>
      </c>
      <c r="AK334" s="4">
        <f t="shared" si="242"/>
        <v>3.5319190625345942E-2</v>
      </c>
      <c r="AL334" s="4">
        <f t="shared" si="242"/>
        <v>2.3969442072658165E-2</v>
      </c>
      <c r="AM334" s="4">
        <f t="shared" si="242"/>
        <v>1.6202243558389728E-2</v>
      </c>
      <c r="AN334" s="4">
        <f t="shared" si="242"/>
        <v>1.0922240564108399E-2</v>
      </c>
      <c r="AO334" s="4">
        <f t="shared" si="242"/>
        <v>7.3493212906090566E-3</v>
      </c>
      <c r="AP334" s="4">
        <f t="shared" si="242"/>
        <v>4.9390262185057265E-3</v>
      </c>
      <c r="AQ334" s="4">
        <f t="shared" si="242"/>
        <v>3.3164275492956197E-3</v>
      </c>
      <c r="AR334" s="4">
        <f t="shared" si="242"/>
        <v>2.2256362146679809E-3</v>
      </c>
    </row>
    <row r="335" spans="1:44" x14ac:dyDescent="0.25">
      <c r="A335" s="24" t="s">
        <v>28</v>
      </c>
      <c r="B335" s="60">
        <f>'Parameter Input'!$L$116</f>
        <v>-500000</v>
      </c>
      <c r="C335" s="61">
        <f>'Parameter Input'!$M$116</f>
        <v>-937500</v>
      </c>
      <c r="D335" s="1" t="s">
        <v>15</v>
      </c>
      <c r="L335" s="54">
        <f>'Parameter Input'!$O$116</f>
        <v>12</v>
      </c>
      <c r="M335" s="37">
        <v>0</v>
      </c>
      <c r="N335" s="37">
        <v>1</v>
      </c>
      <c r="O335" s="37">
        <f>'Parameter Input'!$P$116</f>
        <v>0.9</v>
      </c>
      <c r="P335" s="55">
        <f>'Parameter Input'!$Q$116</f>
        <v>0.4</v>
      </c>
      <c r="Q335" s="4">
        <f t="shared" si="242"/>
        <v>0.9867978615748374</v>
      </c>
      <c r="R335" s="4">
        <f t="shared" si="242"/>
        <v>0.98114509762858249</v>
      </c>
      <c r="S335" s="4">
        <f t="shared" si="242"/>
        <v>0.97311898315872036</v>
      </c>
      <c r="T335" s="4">
        <f t="shared" si="242"/>
        <v>0.96177484161592774</v>
      </c>
      <c r="U335" s="4">
        <f t="shared" si="242"/>
        <v>0.94584787155511363</v>
      </c>
      <c r="V335" s="4">
        <f t="shared" si="242"/>
        <v>0.92370360150141495</v>
      </c>
      <c r="W335" s="4">
        <f t="shared" si="242"/>
        <v>0.89334463567658451</v>
      </c>
      <c r="X335" s="4">
        <f t="shared" si="242"/>
        <v>0.85254543874327005</v>
      </c>
      <c r="Y335" s="4">
        <f t="shared" si="242"/>
        <v>0.79921300652623883</v>
      </c>
      <c r="Z335" s="4">
        <f t="shared" si="242"/>
        <v>0.73204982249993378</v>
      </c>
      <c r="AA335" s="4">
        <f t="shared" si="242"/>
        <v>0.65145592958786691</v>
      </c>
      <c r="AB335" s="4">
        <f t="shared" si="242"/>
        <v>0.56032247880849573</v>
      </c>
      <c r="AC335" s="4">
        <f t="shared" si="242"/>
        <v>0.46411326873185343</v>
      </c>
      <c r="AD335" s="4">
        <f t="shared" si="242"/>
        <v>0.36979727595523937</v>
      </c>
      <c r="AE335" s="4">
        <f t="shared" si="242"/>
        <v>0.28393948637231203</v>
      </c>
      <c r="AF335" s="4">
        <f t="shared" si="242"/>
        <v>0.21097259161117732</v>
      </c>
      <c r="AG335" s="4">
        <f t="shared" si="242"/>
        <v>0.15253917653798199</v>
      </c>
      <c r="AH335" s="4">
        <f t="shared" si="242"/>
        <v>0.10795188737709993</v>
      </c>
      <c r="AI335" s="4">
        <f t="shared" si="242"/>
        <v>7.5176653938091809E-2</v>
      </c>
      <c r="AJ335" s="4">
        <f t="shared" si="242"/>
        <v>5.1742836177502194E-2</v>
      </c>
      <c r="AK335" s="4">
        <f t="shared" si="242"/>
        <v>3.5319190625345942E-2</v>
      </c>
      <c r="AL335" s="4">
        <f t="shared" si="242"/>
        <v>2.3969442072658165E-2</v>
      </c>
      <c r="AM335" s="4">
        <f t="shared" si="242"/>
        <v>1.6202243558389728E-2</v>
      </c>
      <c r="AN335" s="4">
        <f t="shared" si="242"/>
        <v>1.0922240564108399E-2</v>
      </c>
      <c r="AO335" s="4">
        <f t="shared" si="242"/>
        <v>7.3493212906090566E-3</v>
      </c>
      <c r="AP335" s="4">
        <f t="shared" si="242"/>
        <v>4.9390262185057265E-3</v>
      </c>
      <c r="AQ335" s="4">
        <f t="shared" si="242"/>
        <v>3.3164275492956197E-3</v>
      </c>
      <c r="AR335" s="4">
        <f t="shared" si="242"/>
        <v>2.2256362146679809E-3</v>
      </c>
    </row>
    <row r="336" spans="1:44" x14ac:dyDescent="0.25">
      <c r="A336" s="24" t="s">
        <v>14</v>
      </c>
      <c r="B336" s="43">
        <f>'Parameter Input'!B127</f>
        <v>4200000</v>
      </c>
      <c r="C336" s="44">
        <f>'Parameter Input'!C127</f>
        <v>4200000</v>
      </c>
      <c r="D336" s="1" t="s">
        <v>15</v>
      </c>
      <c r="L336" s="54">
        <f>'Parameter Input'!E127</f>
        <v>12</v>
      </c>
      <c r="M336" s="37">
        <v>0</v>
      </c>
      <c r="N336" s="37">
        <v>1</v>
      </c>
      <c r="O336" s="37">
        <f>'Parameter Input'!F127</f>
        <v>0.9</v>
      </c>
      <c r="P336" s="55">
        <f>'Parameter Input'!G127</f>
        <v>0.4</v>
      </c>
      <c r="Q336" s="4">
        <f t="shared" si="242"/>
        <v>0.9867978615748374</v>
      </c>
      <c r="R336" s="4">
        <f t="shared" si="242"/>
        <v>0.98114509762858249</v>
      </c>
      <c r="S336" s="4">
        <f t="shared" si="242"/>
        <v>0.97311898315872036</v>
      </c>
      <c r="T336" s="4">
        <f t="shared" si="242"/>
        <v>0.96177484161592774</v>
      </c>
      <c r="U336" s="4">
        <f t="shared" si="242"/>
        <v>0.94584787155511363</v>
      </c>
      <c r="V336" s="4">
        <f t="shared" si="242"/>
        <v>0.92370360150141495</v>
      </c>
      <c r="W336" s="4">
        <f t="shared" si="242"/>
        <v>0.89334463567658451</v>
      </c>
      <c r="X336" s="4">
        <f t="shared" si="242"/>
        <v>0.85254543874327005</v>
      </c>
      <c r="Y336" s="4">
        <f t="shared" si="242"/>
        <v>0.79921300652623883</v>
      </c>
      <c r="Z336" s="4">
        <f t="shared" si="242"/>
        <v>0.73204982249993378</v>
      </c>
      <c r="AA336" s="4">
        <f t="shared" si="242"/>
        <v>0.65145592958786691</v>
      </c>
      <c r="AB336" s="4">
        <f t="shared" si="242"/>
        <v>0.56032247880849573</v>
      </c>
      <c r="AC336" s="4">
        <f t="shared" si="242"/>
        <v>0.46411326873185343</v>
      </c>
      <c r="AD336" s="4">
        <f t="shared" si="242"/>
        <v>0.36979727595523937</v>
      </c>
      <c r="AE336" s="4">
        <f t="shared" si="242"/>
        <v>0.28393948637231203</v>
      </c>
      <c r="AF336" s="4">
        <f t="shared" si="242"/>
        <v>0.21097259161117732</v>
      </c>
      <c r="AG336" s="4">
        <f t="shared" si="242"/>
        <v>0.15253917653798199</v>
      </c>
      <c r="AH336" s="4">
        <f t="shared" si="242"/>
        <v>0.10795188737709993</v>
      </c>
      <c r="AI336" s="4">
        <f t="shared" si="242"/>
        <v>7.5176653938091809E-2</v>
      </c>
      <c r="AJ336" s="4">
        <f t="shared" si="242"/>
        <v>5.1742836177502194E-2</v>
      </c>
      <c r="AK336" s="4">
        <f t="shared" si="242"/>
        <v>3.5319190625345942E-2</v>
      </c>
      <c r="AL336" s="4">
        <f t="shared" si="242"/>
        <v>2.3969442072658165E-2</v>
      </c>
      <c r="AM336" s="4">
        <f t="shared" si="242"/>
        <v>1.6202243558389728E-2</v>
      </c>
      <c r="AN336" s="4">
        <f t="shared" si="242"/>
        <v>1.0922240564108399E-2</v>
      </c>
      <c r="AO336" s="4">
        <f t="shared" si="242"/>
        <v>7.3493212906090566E-3</v>
      </c>
      <c r="AP336" s="4">
        <f t="shared" si="242"/>
        <v>4.9390262185057265E-3</v>
      </c>
      <c r="AQ336" s="4">
        <f t="shared" si="242"/>
        <v>3.3164275492956197E-3</v>
      </c>
      <c r="AR336" s="4">
        <f t="shared" si="242"/>
        <v>2.2256362146679809E-3</v>
      </c>
    </row>
    <row r="337" spans="1:44" x14ac:dyDescent="0.25">
      <c r="A337" s="24" t="s">
        <v>25</v>
      </c>
      <c r="B337" s="60">
        <f>'Parameter Input'!B128</f>
        <v>-210000</v>
      </c>
      <c r="C337" s="61">
        <f>'Parameter Input'!C128</f>
        <v>-210000</v>
      </c>
      <c r="D337" s="1" t="s">
        <v>15</v>
      </c>
      <c r="L337" s="54">
        <f>'Parameter Input'!E128</f>
        <v>12</v>
      </c>
      <c r="M337" s="37">
        <v>0</v>
      </c>
      <c r="N337" s="37">
        <v>1</v>
      </c>
      <c r="O337" s="37">
        <f>'Parameter Input'!F128</f>
        <v>0.9</v>
      </c>
      <c r="P337" s="55">
        <f>'Parameter Input'!G128</f>
        <v>0.4</v>
      </c>
      <c r="Q337" s="4">
        <f t="shared" si="242"/>
        <v>0.9867978615748374</v>
      </c>
      <c r="R337" s="4">
        <f t="shared" si="242"/>
        <v>0.98114509762858249</v>
      </c>
      <c r="S337" s="4">
        <f t="shared" si="242"/>
        <v>0.97311898315872036</v>
      </c>
      <c r="T337" s="4">
        <f t="shared" si="242"/>
        <v>0.96177484161592774</v>
      </c>
      <c r="U337" s="4">
        <f t="shared" si="242"/>
        <v>0.94584787155511363</v>
      </c>
      <c r="V337" s="4">
        <f t="shared" si="242"/>
        <v>0.92370360150141495</v>
      </c>
      <c r="W337" s="4">
        <f t="shared" si="242"/>
        <v>0.89334463567658451</v>
      </c>
      <c r="X337" s="4">
        <f t="shared" si="242"/>
        <v>0.85254543874327005</v>
      </c>
      <c r="Y337" s="4">
        <f t="shared" si="242"/>
        <v>0.79921300652623883</v>
      </c>
      <c r="Z337" s="4">
        <f t="shared" si="242"/>
        <v>0.73204982249993378</v>
      </c>
      <c r="AA337" s="4">
        <f t="shared" si="242"/>
        <v>0.65145592958786691</v>
      </c>
      <c r="AB337" s="4">
        <f t="shared" si="242"/>
        <v>0.56032247880849573</v>
      </c>
      <c r="AC337" s="4">
        <f t="shared" si="242"/>
        <v>0.46411326873185343</v>
      </c>
      <c r="AD337" s="4">
        <f t="shared" si="242"/>
        <v>0.36979727595523937</v>
      </c>
      <c r="AE337" s="4">
        <f t="shared" si="242"/>
        <v>0.28393948637231203</v>
      </c>
      <c r="AF337" s="4">
        <f t="shared" si="242"/>
        <v>0.21097259161117732</v>
      </c>
      <c r="AG337" s="4">
        <f t="shared" si="242"/>
        <v>0.15253917653798199</v>
      </c>
      <c r="AH337" s="4">
        <f t="shared" si="242"/>
        <v>0.10795188737709993</v>
      </c>
      <c r="AI337" s="4">
        <f t="shared" si="242"/>
        <v>7.5176653938091809E-2</v>
      </c>
      <c r="AJ337" s="4">
        <f t="shared" si="242"/>
        <v>5.1742836177502194E-2</v>
      </c>
      <c r="AK337" s="4">
        <f t="shared" si="242"/>
        <v>3.5319190625345942E-2</v>
      </c>
      <c r="AL337" s="4">
        <f t="shared" si="242"/>
        <v>2.3969442072658165E-2</v>
      </c>
      <c r="AM337" s="4">
        <f t="shared" si="242"/>
        <v>1.6202243558389728E-2</v>
      </c>
      <c r="AN337" s="4">
        <f t="shared" si="242"/>
        <v>1.0922240564108399E-2</v>
      </c>
      <c r="AO337" s="4">
        <f t="shared" si="242"/>
        <v>7.3493212906090566E-3</v>
      </c>
      <c r="AP337" s="4">
        <f t="shared" si="242"/>
        <v>4.9390262185057265E-3</v>
      </c>
      <c r="AQ337" s="4">
        <f t="shared" si="242"/>
        <v>3.3164275492956197E-3</v>
      </c>
      <c r="AR337" s="4">
        <f t="shared" si="242"/>
        <v>2.2256362146679809E-3</v>
      </c>
    </row>
    <row r="338" spans="1:44" x14ac:dyDescent="0.25">
      <c r="A338" s="24" t="s">
        <v>79</v>
      </c>
      <c r="B338" s="45">
        <f>'Parameter Input'!$L$122</f>
        <v>0.06</v>
      </c>
      <c r="C338" s="46">
        <f>'Parameter Input'!$M$122</f>
        <v>0.06</v>
      </c>
      <c r="D338" s="1" t="s">
        <v>57</v>
      </c>
      <c r="L338" s="54">
        <f>'Parameter Input'!$O$122</f>
        <v>12</v>
      </c>
      <c r="M338" s="37">
        <v>0</v>
      </c>
      <c r="N338" s="37">
        <v>1</v>
      </c>
      <c r="O338" s="37">
        <f>'Parameter Input'!$P$122</f>
        <v>0.9</v>
      </c>
      <c r="P338" s="55">
        <f>'Parameter Input'!$Q$122</f>
        <v>0.4</v>
      </c>
      <c r="Q338" s="4">
        <f t="shared" si="242"/>
        <v>0.9867978615748374</v>
      </c>
      <c r="R338" s="4">
        <f t="shared" si="242"/>
        <v>0.98114509762858249</v>
      </c>
      <c r="S338" s="4">
        <f t="shared" si="242"/>
        <v>0.97311898315872036</v>
      </c>
      <c r="T338" s="4">
        <f t="shared" si="242"/>
        <v>0.96177484161592774</v>
      </c>
      <c r="U338" s="4">
        <f t="shared" si="242"/>
        <v>0.94584787155511363</v>
      </c>
      <c r="V338" s="4">
        <f t="shared" si="242"/>
        <v>0.92370360150141495</v>
      </c>
      <c r="W338" s="4">
        <f t="shared" si="242"/>
        <v>0.89334463567658451</v>
      </c>
      <c r="X338" s="4">
        <f t="shared" si="242"/>
        <v>0.85254543874327005</v>
      </c>
      <c r="Y338" s="4">
        <f t="shared" si="242"/>
        <v>0.79921300652623883</v>
      </c>
      <c r="Z338" s="4">
        <f t="shared" si="242"/>
        <v>0.73204982249993378</v>
      </c>
      <c r="AA338" s="4">
        <f t="shared" si="242"/>
        <v>0.65145592958786691</v>
      </c>
      <c r="AB338" s="4">
        <f t="shared" si="242"/>
        <v>0.56032247880849573</v>
      </c>
      <c r="AC338" s="4">
        <f t="shared" si="242"/>
        <v>0.46411326873185343</v>
      </c>
      <c r="AD338" s="4">
        <f t="shared" si="242"/>
        <v>0.36979727595523937</v>
      </c>
      <c r="AE338" s="4">
        <f t="shared" si="242"/>
        <v>0.28393948637231203</v>
      </c>
      <c r="AF338" s="4">
        <f t="shared" si="242"/>
        <v>0.21097259161117732</v>
      </c>
      <c r="AG338" s="4">
        <f t="shared" si="242"/>
        <v>0.15253917653798199</v>
      </c>
      <c r="AH338" s="4">
        <f t="shared" si="242"/>
        <v>0.10795188737709993</v>
      </c>
      <c r="AI338" s="4">
        <f t="shared" si="242"/>
        <v>7.5176653938091809E-2</v>
      </c>
      <c r="AJ338" s="4">
        <f t="shared" si="242"/>
        <v>5.1742836177502194E-2</v>
      </c>
      <c r="AK338" s="4">
        <f t="shared" si="242"/>
        <v>3.5319190625345942E-2</v>
      </c>
      <c r="AL338" s="4">
        <f t="shared" si="242"/>
        <v>2.3969442072658165E-2</v>
      </c>
      <c r="AM338" s="4">
        <f t="shared" si="242"/>
        <v>1.6202243558389728E-2</v>
      </c>
      <c r="AN338" s="4">
        <f t="shared" si="242"/>
        <v>1.0922240564108399E-2</v>
      </c>
      <c r="AO338" s="4">
        <f t="shared" si="242"/>
        <v>7.3493212906090566E-3</v>
      </c>
      <c r="AP338" s="4">
        <f t="shared" si="242"/>
        <v>4.9390262185057265E-3</v>
      </c>
      <c r="AQ338" s="4">
        <f t="shared" si="242"/>
        <v>3.3164275492956197E-3</v>
      </c>
      <c r="AR338" s="4">
        <f t="shared" si="242"/>
        <v>2.2256362146679809E-3</v>
      </c>
    </row>
    <row r="339" spans="1:44" x14ac:dyDescent="0.25">
      <c r="A339" s="24" t="s">
        <v>37</v>
      </c>
      <c r="B339" s="43">
        <f>'Parameter Input'!B129</f>
        <v>1450000</v>
      </c>
      <c r="C339" s="44">
        <f>'Parameter Input'!C129</f>
        <v>1450000</v>
      </c>
      <c r="D339" s="1" t="s">
        <v>38</v>
      </c>
      <c r="L339" s="54">
        <f>'Parameter Input'!E129</f>
        <v>12</v>
      </c>
      <c r="M339" s="37">
        <v>0</v>
      </c>
      <c r="N339" s="37">
        <v>1</v>
      </c>
      <c r="O339" s="37">
        <f>'Parameter Input'!F129</f>
        <v>0.9</v>
      </c>
      <c r="P339" s="55">
        <f>'Parameter Input'!G129</f>
        <v>0.4</v>
      </c>
      <c r="Q339" s="4">
        <f t="shared" si="242"/>
        <v>0.9867978615748374</v>
      </c>
      <c r="R339" s="4">
        <f t="shared" si="242"/>
        <v>0.98114509762858249</v>
      </c>
      <c r="S339" s="4">
        <f t="shared" si="242"/>
        <v>0.97311898315872036</v>
      </c>
      <c r="T339" s="4">
        <f t="shared" si="242"/>
        <v>0.96177484161592774</v>
      </c>
      <c r="U339" s="4">
        <f t="shared" si="242"/>
        <v>0.94584787155511363</v>
      </c>
      <c r="V339" s="4">
        <f t="shared" si="242"/>
        <v>0.92370360150141495</v>
      </c>
      <c r="W339" s="4">
        <f t="shared" si="242"/>
        <v>0.89334463567658451</v>
      </c>
      <c r="X339" s="4">
        <f t="shared" si="242"/>
        <v>0.85254543874327005</v>
      </c>
      <c r="Y339" s="4">
        <f t="shared" si="242"/>
        <v>0.79921300652623883</v>
      </c>
      <c r="Z339" s="4">
        <f t="shared" si="242"/>
        <v>0.73204982249993378</v>
      </c>
      <c r="AA339" s="4">
        <f t="shared" si="242"/>
        <v>0.65145592958786691</v>
      </c>
      <c r="AB339" s="4">
        <f t="shared" si="242"/>
        <v>0.56032247880849573</v>
      </c>
      <c r="AC339" s="4">
        <f t="shared" si="242"/>
        <v>0.46411326873185343</v>
      </c>
      <c r="AD339" s="4">
        <f t="shared" si="242"/>
        <v>0.36979727595523937</v>
      </c>
      <c r="AE339" s="4">
        <f t="shared" si="242"/>
        <v>0.28393948637231203</v>
      </c>
      <c r="AF339" s="4">
        <f t="shared" si="242"/>
        <v>0.21097259161117732</v>
      </c>
      <c r="AG339" s="4">
        <f t="shared" si="242"/>
        <v>0.15253917653798199</v>
      </c>
      <c r="AH339" s="4">
        <f t="shared" si="242"/>
        <v>0.10795188737709993</v>
      </c>
      <c r="AI339" s="4">
        <f t="shared" si="242"/>
        <v>7.5176653938091809E-2</v>
      </c>
      <c r="AJ339" s="4">
        <f t="shared" si="242"/>
        <v>5.1742836177502194E-2</v>
      </c>
      <c r="AK339" s="4">
        <f t="shared" si="242"/>
        <v>3.5319190625345942E-2</v>
      </c>
      <c r="AL339" s="4">
        <f t="shared" si="242"/>
        <v>2.3969442072658165E-2</v>
      </c>
      <c r="AM339" s="4">
        <f t="shared" si="242"/>
        <v>1.6202243558389728E-2</v>
      </c>
      <c r="AN339" s="4">
        <f t="shared" si="242"/>
        <v>1.0922240564108399E-2</v>
      </c>
      <c r="AO339" s="4">
        <f t="shared" si="242"/>
        <v>7.3493212906090566E-3</v>
      </c>
      <c r="AP339" s="4">
        <f t="shared" si="242"/>
        <v>4.9390262185057265E-3</v>
      </c>
      <c r="AQ339" s="4">
        <f t="shared" si="242"/>
        <v>3.3164275492956197E-3</v>
      </c>
      <c r="AR339" s="4">
        <f t="shared" si="242"/>
        <v>2.2256362146679809E-3</v>
      </c>
    </row>
    <row r="340" spans="1:44" x14ac:dyDescent="0.25">
      <c r="A340" s="24" t="s">
        <v>52</v>
      </c>
      <c r="B340" s="43">
        <f>'Parameter Input'!$L$118</f>
        <v>1300000</v>
      </c>
      <c r="C340" s="44">
        <f>'Parameter Input'!$M$118</f>
        <v>812500</v>
      </c>
      <c r="D340" s="1" t="s">
        <v>38</v>
      </c>
      <c r="L340" s="54">
        <f>'Parameter Input'!$O$118</f>
        <v>12</v>
      </c>
      <c r="M340" s="37">
        <v>0</v>
      </c>
      <c r="N340" s="37">
        <v>1</v>
      </c>
      <c r="O340" s="37">
        <f>'Parameter Input'!$P$118</f>
        <v>0.9</v>
      </c>
      <c r="P340" s="55">
        <f>'Parameter Input'!$Q$118</f>
        <v>0.4</v>
      </c>
      <c r="Q340" s="4">
        <f t="shared" si="242"/>
        <v>0.9867978615748374</v>
      </c>
      <c r="R340" s="4">
        <f t="shared" si="242"/>
        <v>0.98114509762858249</v>
      </c>
      <c r="S340" s="4">
        <f t="shared" si="242"/>
        <v>0.97311898315872036</v>
      </c>
      <c r="T340" s="4">
        <f t="shared" si="242"/>
        <v>0.96177484161592774</v>
      </c>
      <c r="U340" s="4">
        <f t="shared" si="242"/>
        <v>0.94584787155511363</v>
      </c>
      <c r="V340" s="4">
        <f t="shared" si="242"/>
        <v>0.92370360150141495</v>
      </c>
      <c r="W340" s="4">
        <f t="shared" si="242"/>
        <v>0.89334463567658451</v>
      </c>
      <c r="X340" s="4">
        <f t="shared" si="242"/>
        <v>0.85254543874327005</v>
      </c>
      <c r="Y340" s="4">
        <f t="shared" si="242"/>
        <v>0.79921300652623883</v>
      </c>
      <c r="Z340" s="4">
        <f t="shared" si="242"/>
        <v>0.73204982249993378</v>
      </c>
      <c r="AA340" s="4">
        <f t="shared" si="242"/>
        <v>0.65145592958786691</v>
      </c>
      <c r="AB340" s="4">
        <f t="shared" si="242"/>
        <v>0.56032247880849573</v>
      </c>
      <c r="AC340" s="4">
        <f t="shared" si="242"/>
        <v>0.46411326873185343</v>
      </c>
      <c r="AD340" s="4">
        <f t="shared" si="242"/>
        <v>0.36979727595523937</v>
      </c>
      <c r="AE340" s="4">
        <f t="shared" si="242"/>
        <v>0.28393948637231203</v>
      </c>
      <c r="AF340" s="4">
        <f t="shared" si="242"/>
        <v>0.21097259161117732</v>
      </c>
      <c r="AG340" s="4">
        <f t="shared" si="242"/>
        <v>0.15253917653798199</v>
      </c>
      <c r="AH340" s="4">
        <f t="shared" si="242"/>
        <v>0.10795188737709993</v>
      </c>
      <c r="AI340" s="4">
        <f t="shared" si="242"/>
        <v>7.5176653938091809E-2</v>
      </c>
      <c r="AJ340" s="4">
        <f t="shared" si="242"/>
        <v>5.1742836177502194E-2</v>
      </c>
      <c r="AK340" s="4">
        <f t="shared" si="242"/>
        <v>3.5319190625345942E-2</v>
      </c>
      <c r="AL340" s="4">
        <f t="shared" si="242"/>
        <v>2.3969442072658165E-2</v>
      </c>
      <c r="AM340" s="4">
        <f t="shared" si="242"/>
        <v>1.6202243558389728E-2</v>
      </c>
      <c r="AN340" s="4">
        <f t="shared" si="242"/>
        <v>1.0922240564108399E-2</v>
      </c>
      <c r="AO340" s="4">
        <f t="shared" si="242"/>
        <v>7.3493212906090566E-3</v>
      </c>
      <c r="AP340" s="4">
        <f t="shared" si="242"/>
        <v>4.9390262185057265E-3</v>
      </c>
      <c r="AQ340" s="4">
        <f t="shared" si="242"/>
        <v>3.3164275492956197E-3</v>
      </c>
      <c r="AR340" s="4">
        <f t="shared" si="242"/>
        <v>2.2256362146679809E-3</v>
      </c>
    </row>
    <row r="341" spans="1:44" x14ac:dyDescent="0.25">
      <c r="A341" s="24" t="s">
        <v>287</v>
      </c>
      <c r="B341" s="45">
        <f>'Parameter Input'!B134</f>
        <v>8.9635854341736696</v>
      </c>
      <c r="C341" s="46">
        <f>'Parameter Input'!C134</f>
        <v>8.9635854341736696</v>
      </c>
      <c r="D341" s="1" t="s">
        <v>76</v>
      </c>
      <c r="L341" s="54">
        <f>'Parameter Input'!E134</f>
        <v>12</v>
      </c>
      <c r="M341" s="37">
        <v>0</v>
      </c>
      <c r="N341" s="37">
        <v>1</v>
      </c>
      <c r="O341" s="37">
        <f>'Parameter Input'!F134</f>
        <v>0.9</v>
      </c>
      <c r="P341" s="55">
        <f>'Parameter Input'!G134</f>
        <v>0.4</v>
      </c>
      <c r="Q341" s="4">
        <f t="shared" si="242"/>
        <v>0.9867978615748374</v>
      </c>
      <c r="R341" s="4">
        <f t="shared" si="242"/>
        <v>0.98114509762858249</v>
      </c>
      <c r="S341" s="4">
        <f t="shared" si="242"/>
        <v>0.97311898315872036</v>
      </c>
      <c r="T341" s="4">
        <f t="shared" si="242"/>
        <v>0.96177484161592774</v>
      </c>
      <c r="U341" s="4">
        <f t="shared" si="242"/>
        <v>0.94584787155511363</v>
      </c>
      <c r="V341" s="4">
        <f t="shared" si="242"/>
        <v>0.92370360150141495</v>
      </c>
      <c r="W341" s="4">
        <f t="shared" si="242"/>
        <v>0.89334463567658451</v>
      </c>
      <c r="X341" s="4">
        <f t="shared" si="242"/>
        <v>0.85254543874327005</v>
      </c>
      <c r="Y341" s="4">
        <f t="shared" si="242"/>
        <v>0.79921300652623883</v>
      </c>
      <c r="Z341" s="4">
        <f t="shared" si="242"/>
        <v>0.73204982249993378</v>
      </c>
      <c r="AA341" s="4">
        <f t="shared" si="242"/>
        <v>0.65145592958786691</v>
      </c>
      <c r="AB341" s="4">
        <f t="shared" si="242"/>
        <v>0.56032247880849573</v>
      </c>
      <c r="AC341" s="4">
        <f t="shared" si="242"/>
        <v>0.46411326873185343</v>
      </c>
      <c r="AD341" s="4">
        <f t="shared" si="242"/>
        <v>0.36979727595523937</v>
      </c>
      <c r="AE341" s="4">
        <f t="shared" si="242"/>
        <v>0.28393948637231203</v>
      </c>
      <c r="AF341" s="4">
        <f t="shared" si="242"/>
        <v>0.21097259161117732</v>
      </c>
      <c r="AG341" s="4">
        <f t="shared" si="242"/>
        <v>0.15253917653798199</v>
      </c>
      <c r="AH341" s="4">
        <f t="shared" si="242"/>
        <v>0.10795188737709993</v>
      </c>
      <c r="AI341" s="4">
        <f t="shared" si="242"/>
        <v>7.5176653938091809E-2</v>
      </c>
      <c r="AJ341" s="4">
        <f t="shared" si="242"/>
        <v>5.1742836177502194E-2</v>
      </c>
      <c r="AK341" s="4">
        <f t="shared" si="242"/>
        <v>3.5319190625345942E-2</v>
      </c>
      <c r="AL341" s="4">
        <f t="shared" si="242"/>
        <v>2.3969442072658165E-2</v>
      </c>
      <c r="AM341" s="4">
        <f t="shared" si="242"/>
        <v>1.6202243558389728E-2</v>
      </c>
      <c r="AN341" s="4">
        <f t="shared" si="242"/>
        <v>1.0922240564108399E-2</v>
      </c>
      <c r="AO341" s="4">
        <f t="shared" si="242"/>
        <v>7.3493212906090566E-3</v>
      </c>
      <c r="AP341" s="4">
        <f t="shared" si="242"/>
        <v>4.9390262185057265E-3</v>
      </c>
      <c r="AQ341" s="4">
        <f t="shared" si="242"/>
        <v>3.3164275492956197E-3</v>
      </c>
      <c r="AR341" s="4">
        <f t="shared" si="242"/>
        <v>2.2256362146679809E-3</v>
      </c>
    </row>
    <row r="342" spans="1:44" x14ac:dyDescent="0.25">
      <c r="A342" s="24" t="s">
        <v>59</v>
      </c>
      <c r="B342" s="47">
        <f>'Parameter Input'!$L$119</f>
        <v>33.590199999999996</v>
      </c>
      <c r="C342" s="48">
        <f>'Parameter Input'!$M$119</f>
        <v>33.590199999999996</v>
      </c>
      <c r="D342" s="1" t="s">
        <v>60</v>
      </c>
      <c r="L342" s="54">
        <f>'Parameter Input'!$O$119</f>
        <v>12</v>
      </c>
      <c r="M342" s="37">
        <v>0</v>
      </c>
      <c r="N342" s="37">
        <v>1</v>
      </c>
      <c r="O342" s="37">
        <f>'Parameter Input'!$P$119</f>
        <v>0.9</v>
      </c>
      <c r="P342" s="55">
        <f>'Parameter Input'!$Q$119</f>
        <v>0.4</v>
      </c>
      <c r="Q342" s="4">
        <f t="shared" si="242"/>
        <v>0.9867978615748374</v>
      </c>
      <c r="R342" s="4">
        <f t="shared" si="242"/>
        <v>0.98114509762858249</v>
      </c>
      <c r="S342" s="4">
        <f t="shared" si="242"/>
        <v>0.97311898315872036</v>
      </c>
      <c r="T342" s="4">
        <f t="shared" si="242"/>
        <v>0.96177484161592774</v>
      </c>
      <c r="U342" s="4">
        <f t="shared" si="242"/>
        <v>0.94584787155511363</v>
      </c>
      <c r="V342" s="4">
        <f t="shared" si="242"/>
        <v>0.92370360150141495</v>
      </c>
      <c r="W342" s="4">
        <f t="shared" si="242"/>
        <v>0.89334463567658451</v>
      </c>
      <c r="X342" s="4">
        <f t="shared" si="242"/>
        <v>0.85254543874327005</v>
      </c>
      <c r="Y342" s="4">
        <f t="shared" si="242"/>
        <v>0.79921300652623883</v>
      </c>
      <c r="Z342" s="4">
        <f t="shared" si="242"/>
        <v>0.73204982249993378</v>
      </c>
      <c r="AA342" s="4">
        <f t="shared" si="242"/>
        <v>0.65145592958786691</v>
      </c>
      <c r="AB342" s="4">
        <f t="shared" si="242"/>
        <v>0.56032247880849573</v>
      </c>
      <c r="AC342" s="4">
        <f t="shared" si="242"/>
        <v>0.46411326873185343</v>
      </c>
      <c r="AD342" s="4">
        <f t="shared" si="242"/>
        <v>0.36979727595523937</v>
      </c>
      <c r="AE342" s="4">
        <f t="shared" si="242"/>
        <v>0.28393948637231203</v>
      </c>
      <c r="AF342" s="4">
        <f t="shared" si="242"/>
        <v>0.21097259161117732</v>
      </c>
      <c r="AG342" s="4">
        <f t="shared" si="242"/>
        <v>0.15253917653798199</v>
      </c>
      <c r="AH342" s="4">
        <f t="shared" si="242"/>
        <v>0.10795188737709993</v>
      </c>
      <c r="AI342" s="4">
        <f t="shared" si="242"/>
        <v>7.5176653938091809E-2</v>
      </c>
      <c r="AJ342" s="4">
        <f t="shared" si="242"/>
        <v>5.1742836177502194E-2</v>
      </c>
      <c r="AK342" s="4">
        <f t="shared" si="242"/>
        <v>3.5319190625345942E-2</v>
      </c>
      <c r="AL342" s="4">
        <f t="shared" si="242"/>
        <v>2.3969442072658165E-2</v>
      </c>
      <c r="AM342" s="4">
        <f t="shared" si="242"/>
        <v>1.6202243558389728E-2</v>
      </c>
      <c r="AN342" s="4">
        <f t="shared" si="242"/>
        <v>1.0922240564108399E-2</v>
      </c>
      <c r="AO342" s="4">
        <f t="shared" si="242"/>
        <v>7.3493212906090566E-3</v>
      </c>
      <c r="AP342" s="4">
        <f t="shared" si="242"/>
        <v>4.9390262185057265E-3</v>
      </c>
      <c r="AQ342" s="4">
        <f t="shared" si="242"/>
        <v>3.3164275492956197E-3</v>
      </c>
      <c r="AR342" s="4">
        <f t="shared" si="242"/>
        <v>2.2256362146679809E-3</v>
      </c>
    </row>
    <row r="343" spans="1:44" x14ac:dyDescent="0.25">
      <c r="A343" s="24" t="s">
        <v>67</v>
      </c>
      <c r="B343" s="45">
        <f>'Parameter Input'!$L$120</f>
        <v>0.13371034051801745</v>
      </c>
      <c r="C343" s="46">
        <f>'Parameter Input'!$M$120</f>
        <v>8.7585019329602734E-2</v>
      </c>
      <c r="D343" s="1" t="s">
        <v>68</v>
      </c>
      <c r="L343" s="54">
        <f>'Parameter Input'!$O$120</f>
        <v>12</v>
      </c>
      <c r="M343" s="37">
        <v>0</v>
      </c>
      <c r="N343" s="37">
        <v>1</v>
      </c>
      <c r="O343" s="37">
        <f>'Parameter Input'!$P$120</f>
        <v>0.9</v>
      </c>
      <c r="P343" s="55">
        <f>'Parameter Input'!$Q$120</f>
        <v>0.4</v>
      </c>
      <c r="Q343" s="4">
        <f t="shared" si="242"/>
        <v>0.9867978615748374</v>
      </c>
      <c r="R343" s="4">
        <f t="shared" si="242"/>
        <v>0.98114509762858249</v>
      </c>
      <c r="S343" s="4">
        <f t="shared" si="242"/>
        <v>0.97311898315872036</v>
      </c>
      <c r="T343" s="4">
        <f t="shared" ref="T343:AI350" si="243">$N343+($M343-$N343)*((1/(1+EXP(-$P343*(T$9-$L343)))^$O343))</f>
        <v>0.96177484161592774</v>
      </c>
      <c r="U343" s="4">
        <f t="shared" si="243"/>
        <v>0.94584787155511363</v>
      </c>
      <c r="V343" s="4">
        <f t="shared" si="243"/>
        <v>0.92370360150141495</v>
      </c>
      <c r="W343" s="4">
        <f t="shared" si="243"/>
        <v>0.89334463567658451</v>
      </c>
      <c r="X343" s="4">
        <f t="shared" si="243"/>
        <v>0.85254543874327005</v>
      </c>
      <c r="Y343" s="4">
        <f t="shared" si="243"/>
        <v>0.79921300652623883</v>
      </c>
      <c r="Z343" s="4">
        <f t="shared" si="243"/>
        <v>0.73204982249993378</v>
      </c>
      <c r="AA343" s="4">
        <f t="shared" si="243"/>
        <v>0.65145592958786691</v>
      </c>
      <c r="AB343" s="4">
        <f t="shared" si="243"/>
        <v>0.56032247880849573</v>
      </c>
      <c r="AC343" s="4">
        <f t="shared" si="243"/>
        <v>0.46411326873185343</v>
      </c>
      <c r="AD343" s="4">
        <f t="shared" si="243"/>
        <v>0.36979727595523937</v>
      </c>
      <c r="AE343" s="4">
        <f t="shared" si="243"/>
        <v>0.28393948637231203</v>
      </c>
      <c r="AF343" s="4">
        <f t="shared" si="243"/>
        <v>0.21097259161117732</v>
      </c>
      <c r="AG343" s="4">
        <f t="shared" si="243"/>
        <v>0.15253917653798199</v>
      </c>
      <c r="AH343" s="4">
        <f t="shared" si="243"/>
        <v>0.10795188737709993</v>
      </c>
      <c r="AI343" s="4">
        <f t="shared" si="243"/>
        <v>7.5176653938091809E-2</v>
      </c>
      <c r="AJ343" s="4">
        <f t="shared" ref="AJ343:AR350" si="244">$N343+($M343-$N343)*((1/(1+EXP(-$P343*(AJ$9-$L343)))^$O343))</f>
        <v>5.1742836177502194E-2</v>
      </c>
      <c r="AK343" s="4">
        <f t="shared" si="244"/>
        <v>3.5319190625345942E-2</v>
      </c>
      <c r="AL343" s="4">
        <f t="shared" si="244"/>
        <v>2.3969442072658165E-2</v>
      </c>
      <c r="AM343" s="4">
        <f t="shared" si="244"/>
        <v>1.6202243558389728E-2</v>
      </c>
      <c r="AN343" s="4">
        <f t="shared" si="244"/>
        <v>1.0922240564108399E-2</v>
      </c>
      <c r="AO343" s="4">
        <f t="shared" si="244"/>
        <v>7.3493212906090566E-3</v>
      </c>
      <c r="AP343" s="4">
        <f t="shared" si="244"/>
        <v>4.9390262185057265E-3</v>
      </c>
      <c r="AQ343" s="4">
        <f t="shared" si="244"/>
        <v>3.3164275492956197E-3</v>
      </c>
      <c r="AR343" s="4">
        <f t="shared" si="244"/>
        <v>2.2256362146679809E-3</v>
      </c>
    </row>
    <row r="344" spans="1:44" x14ac:dyDescent="0.25">
      <c r="A344" s="24" t="s">
        <v>206</v>
      </c>
      <c r="B344" s="115">
        <f>'Parameter Input'!$L$123</f>
        <v>7.7787831578947364E-2</v>
      </c>
      <c r="C344" s="116">
        <f>'Parameter Input'!$M$123</f>
        <v>0</v>
      </c>
      <c r="D344" s="1" t="s">
        <v>76</v>
      </c>
      <c r="L344" s="54">
        <f>'Parameter Input'!$O$123</f>
        <v>17</v>
      </c>
      <c r="M344" s="37">
        <v>0</v>
      </c>
      <c r="N344" s="37">
        <v>1</v>
      </c>
      <c r="O344" s="37">
        <f>'Parameter Input'!$P$123</f>
        <v>0.9</v>
      </c>
      <c r="P344" s="55">
        <f>'Parameter Input'!$Q$123</f>
        <v>0.4</v>
      </c>
      <c r="Q344" s="4">
        <f t="shared" ref="Q344:AR344" si="245">$N344+($M344-$N344)*((1/(1+EXP(-$P344*(Q$9-$L344)))^$O344))</f>
        <v>0.99780374543478534</v>
      </c>
      <c r="R344" s="4">
        <f t="shared" si="245"/>
        <v>0.99685359315256394</v>
      </c>
      <c r="S344" s="4">
        <f t="shared" si="245"/>
        <v>0.99549347132349975</v>
      </c>
      <c r="T344" s="4">
        <f t="shared" si="245"/>
        <v>0.99354772139898062</v>
      </c>
      <c r="U344" s="4">
        <f t="shared" si="245"/>
        <v>0.99076681540580536</v>
      </c>
      <c r="V344" s="4">
        <f t="shared" si="245"/>
        <v>0.9867978615748374</v>
      </c>
      <c r="W344" s="4">
        <f t="shared" si="245"/>
        <v>0.98114509762858249</v>
      </c>
      <c r="X344" s="4">
        <f t="shared" si="245"/>
        <v>0.97311898315872036</v>
      </c>
      <c r="Y344" s="4">
        <f t="shared" si="245"/>
        <v>0.96177484161592774</v>
      </c>
      <c r="Z344" s="4">
        <f t="shared" si="245"/>
        <v>0.94584787155511363</v>
      </c>
      <c r="AA344" s="4">
        <f t="shared" si="245"/>
        <v>0.92370360150141495</v>
      </c>
      <c r="AB344" s="4">
        <f t="shared" si="245"/>
        <v>0.89334463567658451</v>
      </c>
      <c r="AC344" s="4">
        <f t="shared" si="245"/>
        <v>0.85254543874327005</v>
      </c>
      <c r="AD344" s="4">
        <f t="shared" si="245"/>
        <v>0.79921300652623883</v>
      </c>
      <c r="AE344" s="4">
        <f t="shared" si="245"/>
        <v>0.73204982249993378</v>
      </c>
      <c r="AF344" s="4">
        <f t="shared" si="245"/>
        <v>0.65145592958786691</v>
      </c>
      <c r="AG344" s="4">
        <f t="shared" si="245"/>
        <v>0.56032247880849573</v>
      </c>
      <c r="AH344" s="4">
        <f t="shared" si="245"/>
        <v>0.46411326873185343</v>
      </c>
      <c r="AI344" s="4">
        <f t="shared" si="245"/>
        <v>0.36979727595523937</v>
      </c>
      <c r="AJ344" s="4">
        <f t="shared" si="245"/>
        <v>0.28393948637231203</v>
      </c>
      <c r="AK344" s="4">
        <f t="shared" si="245"/>
        <v>0.21097259161117732</v>
      </c>
      <c r="AL344" s="4">
        <f t="shared" si="245"/>
        <v>0.15253917653798199</v>
      </c>
      <c r="AM344" s="4">
        <f t="shared" si="245"/>
        <v>0.10795188737709993</v>
      </c>
      <c r="AN344" s="4">
        <f t="shared" si="245"/>
        <v>7.5176653938091809E-2</v>
      </c>
      <c r="AO344" s="4">
        <f t="shared" si="245"/>
        <v>5.1742836177502194E-2</v>
      </c>
      <c r="AP344" s="4">
        <f t="shared" si="245"/>
        <v>3.5319190625345942E-2</v>
      </c>
      <c r="AQ344" s="4">
        <f t="shared" si="245"/>
        <v>2.3969442072658165E-2</v>
      </c>
      <c r="AR344" s="4">
        <f t="shared" si="245"/>
        <v>1.6202243558389728E-2</v>
      </c>
    </row>
    <row r="345" spans="1:44" x14ac:dyDescent="0.25">
      <c r="A345" s="24" t="s">
        <v>41</v>
      </c>
      <c r="B345" s="43">
        <f>'Parameter Input'!$L$117</f>
        <v>20</v>
      </c>
      <c r="C345" s="44">
        <f>'Parameter Input'!$M$117</f>
        <v>20</v>
      </c>
      <c r="D345" s="1" t="s">
        <v>42</v>
      </c>
      <c r="L345" s="54">
        <f>'Parameter Input'!$O$117</f>
        <v>12</v>
      </c>
      <c r="M345" s="37">
        <v>0</v>
      </c>
      <c r="N345" s="37">
        <v>1</v>
      </c>
      <c r="O345" s="37">
        <f>'Parameter Input'!$P$117</f>
        <v>0.9</v>
      </c>
      <c r="P345" s="55">
        <f>'Parameter Input'!$Q$117</f>
        <v>0.4</v>
      </c>
      <c r="Q345" s="4">
        <f t="shared" ref="Q345:AF350" si="246">$N345+($M345-$N345)*((1/(1+EXP(-$P345*(Q$9-$L345)))^$O345))</f>
        <v>0.9867978615748374</v>
      </c>
      <c r="R345" s="4">
        <f t="shared" si="246"/>
        <v>0.98114509762858249</v>
      </c>
      <c r="S345" s="4">
        <f t="shared" si="246"/>
        <v>0.97311898315872036</v>
      </c>
      <c r="T345" s="4">
        <f t="shared" si="246"/>
        <v>0.96177484161592774</v>
      </c>
      <c r="U345" s="4">
        <f t="shared" si="246"/>
        <v>0.94584787155511363</v>
      </c>
      <c r="V345" s="4">
        <f t="shared" si="246"/>
        <v>0.92370360150141495</v>
      </c>
      <c r="W345" s="4">
        <f t="shared" si="246"/>
        <v>0.89334463567658451</v>
      </c>
      <c r="X345" s="4">
        <f t="shared" si="246"/>
        <v>0.85254543874327005</v>
      </c>
      <c r="Y345" s="4">
        <f t="shared" si="246"/>
        <v>0.79921300652623883</v>
      </c>
      <c r="Z345" s="4">
        <f t="shared" si="246"/>
        <v>0.73204982249993378</v>
      </c>
      <c r="AA345" s="4">
        <f t="shared" si="246"/>
        <v>0.65145592958786691</v>
      </c>
      <c r="AB345" s="4">
        <f t="shared" si="246"/>
        <v>0.56032247880849573</v>
      </c>
      <c r="AC345" s="4">
        <f t="shared" si="246"/>
        <v>0.46411326873185343</v>
      </c>
      <c r="AD345" s="4">
        <f t="shared" si="246"/>
        <v>0.36979727595523937</v>
      </c>
      <c r="AE345" s="4">
        <f t="shared" si="246"/>
        <v>0.28393948637231203</v>
      </c>
      <c r="AF345" s="4">
        <f t="shared" si="246"/>
        <v>0.21097259161117732</v>
      </c>
      <c r="AG345" s="4">
        <f t="shared" si="243"/>
        <v>0.15253917653798199</v>
      </c>
      <c r="AH345" s="4">
        <f t="shared" si="243"/>
        <v>0.10795188737709993</v>
      </c>
      <c r="AI345" s="4">
        <f t="shared" si="243"/>
        <v>7.5176653938091809E-2</v>
      </c>
      <c r="AJ345" s="4">
        <f t="shared" si="244"/>
        <v>5.1742836177502194E-2</v>
      </c>
      <c r="AK345" s="4">
        <f t="shared" si="244"/>
        <v>3.5319190625345942E-2</v>
      </c>
      <c r="AL345" s="4">
        <f t="shared" si="244"/>
        <v>2.3969442072658165E-2</v>
      </c>
      <c r="AM345" s="4">
        <f t="shared" si="244"/>
        <v>1.6202243558389728E-2</v>
      </c>
      <c r="AN345" s="4">
        <f t="shared" si="244"/>
        <v>1.0922240564108399E-2</v>
      </c>
      <c r="AO345" s="4">
        <f t="shared" si="244"/>
        <v>7.3493212906090566E-3</v>
      </c>
      <c r="AP345" s="4">
        <f t="shared" si="244"/>
        <v>4.9390262185057265E-3</v>
      </c>
      <c r="AQ345" s="4">
        <f t="shared" si="244"/>
        <v>3.3164275492956197E-3</v>
      </c>
      <c r="AR345" s="4">
        <f t="shared" si="244"/>
        <v>2.2256362146679809E-3</v>
      </c>
    </row>
    <row r="346" spans="1:44" x14ac:dyDescent="0.25">
      <c r="A346" s="24" t="s">
        <v>70</v>
      </c>
      <c r="B346" s="43">
        <f>'Parameter Input'!B133</f>
        <v>30</v>
      </c>
      <c r="C346" s="44">
        <f>'Parameter Input'!C133</f>
        <v>30</v>
      </c>
      <c r="D346" s="1" t="s">
        <v>42</v>
      </c>
      <c r="L346" s="54">
        <f>'Parameter Input'!E133</f>
        <v>12</v>
      </c>
      <c r="M346" s="37">
        <v>0</v>
      </c>
      <c r="N346" s="37">
        <v>1</v>
      </c>
      <c r="O346" s="37">
        <f>'Parameter Input'!F133</f>
        <v>0.9</v>
      </c>
      <c r="P346" s="55">
        <f>'Parameter Input'!G133</f>
        <v>0.4</v>
      </c>
      <c r="Q346" s="4">
        <f t="shared" si="246"/>
        <v>0.9867978615748374</v>
      </c>
      <c r="R346" s="4">
        <f t="shared" si="246"/>
        <v>0.98114509762858249</v>
      </c>
      <c r="S346" s="4">
        <f t="shared" si="246"/>
        <v>0.97311898315872036</v>
      </c>
      <c r="T346" s="4">
        <f t="shared" si="246"/>
        <v>0.96177484161592774</v>
      </c>
      <c r="U346" s="4">
        <f t="shared" si="246"/>
        <v>0.94584787155511363</v>
      </c>
      <c r="V346" s="4">
        <f t="shared" si="246"/>
        <v>0.92370360150141495</v>
      </c>
      <c r="W346" s="4">
        <f t="shared" si="246"/>
        <v>0.89334463567658451</v>
      </c>
      <c r="X346" s="4">
        <f t="shared" si="246"/>
        <v>0.85254543874327005</v>
      </c>
      <c r="Y346" s="4">
        <f t="shared" si="246"/>
        <v>0.79921300652623883</v>
      </c>
      <c r="Z346" s="4">
        <f t="shared" si="246"/>
        <v>0.73204982249993378</v>
      </c>
      <c r="AA346" s="4">
        <f t="shared" si="246"/>
        <v>0.65145592958786691</v>
      </c>
      <c r="AB346" s="4">
        <f t="shared" si="246"/>
        <v>0.56032247880849573</v>
      </c>
      <c r="AC346" s="4">
        <f t="shared" si="246"/>
        <v>0.46411326873185343</v>
      </c>
      <c r="AD346" s="4">
        <f t="shared" si="246"/>
        <v>0.36979727595523937</v>
      </c>
      <c r="AE346" s="4">
        <f t="shared" si="246"/>
        <v>0.28393948637231203</v>
      </c>
      <c r="AF346" s="4">
        <f t="shared" si="246"/>
        <v>0.21097259161117732</v>
      </c>
      <c r="AG346" s="4">
        <f t="shared" si="243"/>
        <v>0.15253917653798199</v>
      </c>
      <c r="AH346" s="4">
        <f t="shared" si="243"/>
        <v>0.10795188737709993</v>
      </c>
      <c r="AI346" s="4">
        <f t="shared" si="243"/>
        <v>7.5176653938091809E-2</v>
      </c>
      <c r="AJ346" s="4">
        <f t="shared" si="244"/>
        <v>5.1742836177502194E-2</v>
      </c>
      <c r="AK346" s="4">
        <f t="shared" si="244"/>
        <v>3.5319190625345942E-2</v>
      </c>
      <c r="AL346" s="4">
        <f t="shared" si="244"/>
        <v>2.3969442072658165E-2</v>
      </c>
      <c r="AM346" s="4">
        <f t="shared" si="244"/>
        <v>1.6202243558389728E-2</v>
      </c>
      <c r="AN346" s="4">
        <f t="shared" si="244"/>
        <v>1.0922240564108399E-2</v>
      </c>
      <c r="AO346" s="4">
        <f t="shared" si="244"/>
        <v>7.3493212906090566E-3</v>
      </c>
      <c r="AP346" s="4">
        <f t="shared" si="244"/>
        <v>4.9390262185057265E-3</v>
      </c>
      <c r="AQ346" s="4">
        <f t="shared" si="244"/>
        <v>3.3164275492956197E-3</v>
      </c>
      <c r="AR346" s="4">
        <f t="shared" si="244"/>
        <v>2.2256362146679809E-3</v>
      </c>
    </row>
    <row r="347" spans="1:44" x14ac:dyDescent="0.25">
      <c r="A347" s="24" t="s">
        <v>207</v>
      </c>
      <c r="B347" s="70">
        <f>'Parameter Input'!B130</f>
        <v>2240</v>
      </c>
      <c r="C347" s="71">
        <f>'Parameter Input'!C130</f>
        <v>2240</v>
      </c>
      <c r="D347" s="1" t="s">
        <v>49</v>
      </c>
      <c r="L347" s="54">
        <f>'Parameter Input'!E130</f>
        <v>12</v>
      </c>
      <c r="M347" s="37">
        <v>0</v>
      </c>
      <c r="N347" s="37">
        <v>1</v>
      </c>
      <c r="O347" s="37">
        <f>'Parameter Input'!F130</f>
        <v>0.9</v>
      </c>
      <c r="P347" s="55">
        <f>'Parameter Input'!G130</f>
        <v>0.4</v>
      </c>
      <c r="Q347" s="4">
        <f t="shared" si="246"/>
        <v>0.9867978615748374</v>
      </c>
      <c r="R347" s="4">
        <f t="shared" si="246"/>
        <v>0.98114509762858249</v>
      </c>
      <c r="S347" s="4">
        <f t="shared" si="246"/>
        <v>0.97311898315872036</v>
      </c>
      <c r="T347" s="4">
        <f t="shared" si="246"/>
        <v>0.96177484161592774</v>
      </c>
      <c r="U347" s="4">
        <f t="shared" si="246"/>
        <v>0.94584787155511363</v>
      </c>
      <c r="V347" s="4">
        <f t="shared" si="246"/>
        <v>0.92370360150141495</v>
      </c>
      <c r="W347" s="4">
        <f t="shared" si="246"/>
        <v>0.89334463567658451</v>
      </c>
      <c r="X347" s="4">
        <f t="shared" si="246"/>
        <v>0.85254543874327005</v>
      </c>
      <c r="Y347" s="4">
        <f t="shared" si="246"/>
        <v>0.79921300652623883</v>
      </c>
      <c r="Z347" s="4">
        <f t="shared" si="246"/>
        <v>0.73204982249993378</v>
      </c>
      <c r="AA347" s="4">
        <f t="shared" si="246"/>
        <v>0.65145592958786691</v>
      </c>
      <c r="AB347" s="4">
        <f t="shared" si="246"/>
        <v>0.56032247880849573</v>
      </c>
      <c r="AC347" s="4">
        <f t="shared" si="246"/>
        <v>0.46411326873185343</v>
      </c>
      <c r="AD347" s="4">
        <f t="shared" si="246"/>
        <v>0.36979727595523937</v>
      </c>
      <c r="AE347" s="4">
        <f t="shared" si="246"/>
        <v>0.28393948637231203</v>
      </c>
      <c r="AF347" s="4">
        <f t="shared" si="246"/>
        <v>0.21097259161117732</v>
      </c>
      <c r="AG347" s="4">
        <f t="shared" si="243"/>
        <v>0.15253917653798199</v>
      </c>
      <c r="AH347" s="4">
        <f t="shared" si="243"/>
        <v>0.10795188737709993</v>
      </c>
      <c r="AI347" s="4">
        <f t="shared" si="243"/>
        <v>7.5176653938091809E-2</v>
      </c>
      <c r="AJ347" s="4">
        <f t="shared" si="244"/>
        <v>5.1742836177502194E-2</v>
      </c>
      <c r="AK347" s="4">
        <f t="shared" si="244"/>
        <v>3.5319190625345942E-2</v>
      </c>
      <c r="AL347" s="4">
        <f t="shared" si="244"/>
        <v>2.3969442072658165E-2</v>
      </c>
      <c r="AM347" s="4">
        <f t="shared" si="244"/>
        <v>1.6202243558389728E-2</v>
      </c>
      <c r="AN347" s="4">
        <f t="shared" si="244"/>
        <v>1.0922240564108399E-2</v>
      </c>
      <c r="AO347" s="4">
        <f t="shared" si="244"/>
        <v>7.3493212906090566E-3</v>
      </c>
      <c r="AP347" s="4">
        <f t="shared" si="244"/>
        <v>4.9390262185057265E-3</v>
      </c>
      <c r="AQ347" s="4">
        <f t="shared" si="244"/>
        <v>3.3164275492956197E-3</v>
      </c>
      <c r="AR347" s="4">
        <f t="shared" si="244"/>
        <v>2.2256362146679809E-3</v>
      </c>
    </row>
    <row r="348" spans="1:44" x14ac:dyDescent="0.25">
      <c r="A348" s="24" t="s">
        <v>56</v>
      </c>
      <c r="B348" s="72">
        <f>'Parameter Input'!B131</f>
        <v>0.72000000000000008</v>
      </c>
      <c r="C348" s="73">
        <f>'Parameter Input'!C131</f>
        <v>0.72000000000000008</v>
      </c>
      <c r="D348" s="1" t="s">
        <v>57</v>
      </c>
      <c r="L348" s="54">
        <f>'Parameter Input'!E131</f>
        <v>12</v>
      </c>
      <c r="M348" s="37">
        <v>0</v>
      </c>
      <c r="N348" s="37">
        <v>1</v>
      </c>
      <c r="O348" s="37">
        <f>'Parameter Input'!F131</f>
        <v>0.9</v>
      </c>
      <c r="P348" s="55">
        <f>'Parameter Input'!G131</f>
        <v>0.4</v>
      </c>
      <c r="Q348" s="4">
        <f t="shared" si="246"/>
        <v>0.9867978615748374</v>
      </c>
      <c r="R348" s="4">
        <f t="shared" si="246"/>
        <v>0.98114509762858249</v>
      </c>
      <c r="S348" s="4">
        <f t="shared" si="246"/>
        <v>0.97311898315872036</v>
      </c>
      <c r="T348" s="4">
        <f t="shared" si="246"/>
        <v>0.96177484161592774</v>
      </c>
      <c r="U348" s="4">
        <f t="shared" si="246"/>
        <v>0.94584787155511363</v>
      </c>
      <c r="V348" s="4">
        <f t="shared" si="246"/>
        <v>0.92370360150141495</v>
      </c>
      <c r="W348" s="4">
        <f t="shared" si="246"/>
        <v>0.89334463567658451</v>
      </c>
      <c r="X348" s="4">
        <f t="shared" si="246"/>
        <v>0.85254543874327005</v>
      </c>
      <c r="Y348" s="4">
        <f t="shared" si="246"/>
        <v>0.79921300652623883</v>
      </c>
      <c r="Z348" s="4">
        <f t="shared" si="246"/>
        <v>0.73204982249993378</v>
      </c>
      <c r="AA348" s="4">
        <f t="shared" si="246"/>
        <v>0.65145592958786691</v>
      </c>
      <c r="AB348" s="4">
        <f t="shared" si="246"/>
        <v>0.56032247880849573</v>
      </c>
      <c r="AC348" s="4">
        <f t="shared" si="246"/>
        <v>0.46411326873185343</v>
      </c>
      <c r="AD348" s="4">
        <f t="shared" si="246"/>
        <v>0.36979727595523937</v>
      </c>
      <c r="AE348" s="4">
        <f t="shared" si="246"/>
        <v>0.28393948637231203</v>
      </c>
      <c r="AF348" s="4">
        <f t="shared" si="246"/>
        <v>0.21097259161117732</v>
      </c>
      <c r="AG348" s="4">
        <f t="shared" si="243"/>
        <v>0.15253917653798199</v>
      </c>
      <c r="AH348" s="4">
        <f t="shared" si="243"/>
        <v>0.10795188737709993</v>
      </c>
      <c r="AI348" s="4">
        <f t="shared" si="243"/>
        <v>7.5176653938091809E-2</v>
      </c>
      <c r="AJ348" s="4">
        <f t="shared" si="244"/>
        <v>5.1742836177502194E-2</v>
      </c>
      <c r="AK348" s="4">
        <f t="shared" si="244"/>
        <v>3.5319190625345942E-2</v>
      </c>
      <c r="AL348" s="4">
        <f t="shared" si="244"/>
        <v>2.3969442072658165E-2</v>
      </c>
      <c r="AM348" s="4">
        <f t="shared" si="244"/>
        <v>1.6202243558389728E-2</v>
      </c>
      <c r="AN348" s="4">
        <f t="shared" si="244"/>
        <v>1.0922240564108399E-2</v>
      </c>
      <c r="AO348" s="4">
        <f t="shared" si="244"/>
        <v>7.3493212906090566E-3</v>
      </c>
      <c r="AP348" s="4">
        <f t="shared" si="244"/>
        <v>4.9390262185057265E-3</v>
      </c>
      <c r="AQ348" s="4">
        <f t="shared" si="244"/>
        <v>3.3164275492956197E-3</v>
      </c>
      <c r="AR348" s="4">
        <f t="shared" si="244"/>
        <v>2.2256362146679809E-3</v>
      </c>
    </row>
    <row r="349" spans="1:44" x14ac:dyDescent="0.25">
      <c r="A349" s="24" t="s">
        <v>73</v>
      </c>
      <c r="B349" s="72">
        <f>'Parameter Input'!$L$121</f>
        <v>3.5714285714285712E-2</v>
      </c>
      <c r="C349" s="73">
        <f>'Parameter Input'!$M$121</f>
        <v>1.7857142857142856E-2</v>
      </c>
      <c r="D349" s="1" t="s">
        <v>57</v>
      </c>
      <c r="L349" s="54">
        <f>'Parameter Input'!$O$121</f>
        <v>12</v>
      </c>
      <c r="M349" s="37">
        <v>0</v>
      </c>
      <c r="N349" s="37">
        <v>1</v>
      </c>
      <c r="O349" s="37">
        <f>'Parameter Input'!$P$121</f>
        <v>0.9</v>
      </c>
      <c r="P349" s="55">
        <f>'Parameter Input'!$Q$121</f>
        <v>0.4</v>
      </c>
      <c r="Q349" s="4">
        <f t="shared" si="246"/>
        <v>0.9867978615748374</v>
      </c>
      <c r="R349" s="4">
        <f t="shared" si="246"/>
        <v>0.98114509762858249</v>
      </c>
      <c r="S349" s="4">
        <f t="shared" si="246"/>
        <v>0.97311898315872036</v>
      </c>
      <c r="T349" s="4">
        <f t="shared" si="246"/>
        <v>0.96177484161592774</v>
      </c>
      <c r="U349" s="4">
        <f t="shared" si="246"/>
        <v>0.94584787155511363</v>
      </c>
      <c r="V349" s="4">
        <f t="shared" si="246"/>
        <v>0.92370360150141495</v>
      </c>
      <c r="W349" s="4">
        <f t="shared" si="246"/>
        <v>0.89334463567658451</v>
      </c>
      <c r="X349" s="4">
        <f t="shared" si="246"/>
        <v>0.85254543874327005</v>
      </c>
      <c r="Y349" s="4">
        <f t="shared" si="246"/>
        <v>0.79921300652623883</v>
      </c>
      <c r="Z349" s="4">
        <f t="shared" si="246"/>
        <v>0.73204982249993378</v>
      </c>
      <c r="AA349" s="4">
        <f t="shared" si="246"/>
        <v>0.65145592958786691</v>
      </c>
      <c r="AB349" s="4">
        <f t="shared" si="246"/>
        <v>0.56032247880849573</v>
      </c>
      <c r="AC349" s="4">
        <f t="shared" si="246"/>
        <v>0.46411326873185343</v>
      </c>
      <c r="AD349" s="4">
        <f t="shared" si="246"/>
        <v>0.36979727595523937</v>
      </c>
      <c r="AE349" s="4">
        <f t="shared" si="246"/>
        <v>0.28393948637231203</v>
      </c>
      <c r="AF349" s="4">
        <f t="shared" si="246"/>
        <v>0.21097259161117732</v>
      </c>
      <c r="AG349" s="4">
        <f t="shared" si="243"/>
        <v>0.15253917653798199</v>
      </c>
      <c r="AH349" s="4">
        <f t="shared" si="243"/>
        <v>0.10795188737709993</v>
      </c>
      <c r="AI349" s="4">
        <f t="shared" si="243"/>
        <v>7.5176653938091809E-2</v>
      </c>
      <c r="AJ349" s="4">
        <f t="shared" si="244"/>
        <v>5.1742836177502194E-2</v>
      </c>
      <c r="AK349" s="4">
        <f t="shared" si="244"/>
        <v>3.5319190625345942E-2</v>
      </c>
      <c r="AL349" s="4">
        <f t="shared" si="244"/>
        <v>2.3969442072658165E-2</v>
      </c>
      <c r="AM349" s="4">
        <f t="shared" si="244"/>
        <v>1.6202243558389728E-2</v>
      </c>
      <c r="AN349" s="4">
        <f t="shared" si="244"/>
        <v>1.0922240564108399E-2</v>
      </c>
      <c r="AO349" s="4">
        <f t="shared" si="244"/>
        <v>7.3493212906090566E-3</v>
      </c>
      <c r="AP349" s="4">
        <f t="shared" si="244"/>
        <v>4.9390262185057265E-3</v>
      </c>
      <c r="AQ349" s="4">
        <f t="shared" si="244"/>
        <v>3.3164275492956197E-3</v>
      </c>
      <c r="AR349" s="4">
        <f t="shared" si="244"/>
        <v>2.2256362146679809E-3</v>
      </c>
    </row>
    <row r="350" spans="1:44" ht="15.75" thickBot="1" x14ac:dyDescent="0.3">
      <c r="A350" s="24" t="s">
        <v>64</v>
      </c>
      <c r="B350" s="74">
        <f>'Parameter Input'!B132</f>
        <v>178500</v>
      </c>
      <c r="C350" s="75">
        <f>'Parameter Input'!C132</f>
        <v>178500</v>
      </c>
      <c r="D350" s="1" t="s">
        <v>65</v>
      </c>
      <c r="L350" s="56">
        <f>'Parameter Input'!E132</f>
        <v>12</v>
      </c>
      <c r="M350" s="57">
        <v>0</v>
      </c>
      <c r="N350" s="57">
        <v>1</v>
      </c>
      <c r="O350" s="57">
        <f>'Parameter Input'!F132</f>
        <v>0.9</v>
      </c>
      <c r="P350" s="58">
        <f>'Parameter Input'!G132</f>
        <v>0.4</v>
      </c>
      <c r="Q350" s="4">
        <f t="shared" si="246"/>
        <v>0.9867978615748374</v>
      </c>
      <c r="R350" s="4">
        <f t="shared" si="246"/>
        <v>0.98114509762858249</v>
      </c>
      <c r="S350" s="4">
        <f t="shared" si="246"/>
        <v>0.97311898315872036</v>
      </c>
      <c r="T350" s="4">
        <f t="shared" si="246"/>
        <v>0.96177484161592774</v>
      </c>
      <c r="U350" s="4">
        <f t="shared" si="246"/>
        <v>0.94584787155511363</v>
      </c>
      <c r="V350" s="4">
        <f t="shared" si="246"/>
        <v>0.92370360150141495</v>
      </c>
      <c r="W350" s="4">
        <f t="shared" si="246"/>
        <v>0.89334463567658451</v>
      </c>
      <c r="X350" s="4">
        <f t="shared" si="246"/>
        <v>0.85254543874327005</v>
      </c>
      <c r="Y350" s="4">
        <f t="shared" si="246"/>
        <v>0.79921300652623883</v>
      </c>
      <c r="Z350" s="4">
        <f t="shared" si="246"/>
        <v>0.73204982249993378</v>
      </c>
      <c r="AA350" s="4">
        <f t="shared" si="246"/>
        <v>0.65145592958786691</v>
      </c>
      <c r="AB350" s="4">
        <f t="shared" si="246"/>
        <v>0.56032247880849573</v>
      </c>
      <c r="AC350" s="4">
        <f t="shared" si="246"/>
        <v>0.46411326873185343</v>
      </c>
      <c r="AD350" s="4">
        <f t="shared" si="246"/>
        <v>0.36979727595523937</v>
      </c>
      <c r="AE350" s="4">
        <f t="shared" si="246"/>
        <v>0.28393948637231203</v>
      </c>
      <c r="AF350" s="4">
        <f t="shared" si="246"/>
        <v>0.21097259161117732</v>
      </c>
      <c r="AG350" s="4">
        <f t="shared" si="243"/>
        <v>0.15253917653798199</v>
      </c>
      <c r="AH350" s="4">
        <f t="shared" si="243"/>
        <v>0.10795188737709993</v>
      </c>
      <c r="AI350" s="4">
        <f t="shared" si="243"/>
        <v>7.5176653938091809E-2</v>
      </c>
      <c r="AJ350" s="4">
        <f t="shared" si="244"/>
        <v>5.1742836177502194E-2</v>
      </c>
      <c r="AK350" s="4">
        <f t="shared" si="244"/>
        <v>3.5319190625345942E-2</v>
      </c>
      <c r="AL350" s="4">
        <f t="shared" si="244"/>
        <v>2.3969442072658165E-2</v>
      </c>
      <c r="AM350" s="4">
        <f t="shared" si="244"/>
        <v>1.6202243558389728E-2</v>
      </c>
      <c r="AN350" s="4">
        <f t="shared" si="244"/>
        <v>1.0922240564108399E-2</v>
      </c>
      <c r="AO350" s="4">
        <f t="shared" si="244"/>
        <v>7.3493212906090566E-3</v>
      </c>
      <c r="AP350" s="4">
        <f t="shared" si="244"/>
        <v>4.9390262185057265E-3</v>
      </c>
      <c r="AQ350" s="4">
        <f t="shared" si="244"/>
        <v>3.3164275492956197E-3</v>
      </c>
      <c r="AR350" s="4">
        <f t="shared" si="244"/>
        <v>2.2256362146679809E-3</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47">A334</f>
        <v>Capex vehicle</v>
      </c>
      <c r="B354" s="62">
        <f t="shared" ref="B354:B363" si="248">$B334+($C334-$B334)*(1-Q334)</f>
        <v>9950491.9809056409</v>
      </c>
      <c r="C354" s="62">
        <f t="shared" ref="C354:C363" si="249">$B334+($C334-$B334)*(1-R334)</f>
        <v>9929294.1161071844</v>
      </c>
      <c r="D354" s="62">
        <f t="shared" ref="D354:D363" si="250">$B334+($C334-$B334)*(1-S334)</f>
        <v>9899196.186845202</v>
      </c>
      <c r="E354" s="62">
        <f t="shared" ref="E354:E363" si="251">$B334+($C334-$B334)*(1-T334)</f>
        <v>9856655.6560597289</v>
      </c>
      <c r="F354" s="62">
        <f t="shared" ref="F354:F363" si="252">$B334+($C334-$B334)*(1-U334)</f>
        <v>9796929.5183316767</v>
      </c>
      <c r="G354" s="62">
        <f t="shared" ref="G354:G363" si="253">$B334+($C334-$B334)*(1-V334)</f>
        <v>9713888.5056303069</v>
      </c>
      <c r="H354" s="62">
        <f t="shared" ref="H354:H363" si="254">$B334+($C334-$B334)*(1-W334)</f>
        <v>9600042.3837871924</v>
      </c>
      <c r="I354" s="62">
        <f t="shared" ref="I354:I363" si="255">$B334+($C334-$B334)*(1-X334)</f>
        <v>9447045.3952872623</v>
      </c>
      <c r="J354" s="62">
        <f t="shared" ref="J354:J363" si="256">$B334+($C334-$B334)*(1-Y334)</f>
        <v>9247048.7744733952</v>
      </c>
      <c r="K354" s="62">
        <f t="shared" ref="K354:K363" si="257">$B334+($C334-$B334)*(1-Z334)</f>
        <v>8995186.8343747519</v>
      </c>
      <c r="L354" s="62">
        <f t="shared" ref="L354:L363" si="258">$B334+($C334-$B334)*(1-AA334)</f>
        <v>8692959.7359545007</v>
      </c>
      <c r="M354" s="62">
        <f t="shared" ref="M354:M363" si="259">$B334+($C334-$B334)*(1-AB334)</f>
        <v>8351209.2955318587</v>
      </c>
      <c r="N354" s="62">
        <f t="shared" ref="N354:N363" si="260">$B334+($C334-$B334)*(1-AC334)</f>
        <v>7990424.7577444501</v>
      </c>
      <c r="O354" s="62">
        <f t="shared" ref="O354:O363" si="261">$B334+($C334-$B334)*(1-AD334)</f>
        <v>7636739.7848321479</v>
      </c>
      <c r="P354" s="62">
        <f t="shared" ref="P354:P363" si="262">$B334+($C334-$B334)*(1-AE334)</f>
        <v>7314773.0738961697</v>
      </c>
      <c r="Q354" s="62">
        <f t="shared" ref="Q354:Q363" si="263">$B334+($C334-$B334)*(1-AF334)</f>
        <v>7041147.2185419146</v>
      </c>
      <c r="R354" s="62">
        <f t="shared" ref="R354:R363" si="264">$B334+($C334-$B334)*(1-AG334)</f>
        <v>6822021.912017433</v>
      </c>
      <c r="S354" s="62">
        <f t="shared" ref="S354:S363" si="265">$B334+($C334-$B334)*(1-AH334)</f>
        <v>6654819.5776641248</v>
      </c>
      <c r="T354" s="62">
        <f t="shared" ref="T354:T363" si="266">$B334+($C334-$B334)*(1-AI334)</f>
        <v>6531912.4522678442</v>
      </c>
      <c r="U354" s="62">
        <f t="shared" ref="U354:U363" si="267">$B334+($C334-$B334)*(1-AJ334)</f>
        <v>6444035.6356656328</v>
      </c>
      <c r="V354" s="62">
        <f t="shared" ref="V354:V363" si="268">$B334+($C334-$B334)*(1-AK334)</f>
        <v>6382446.9648450473</v>
      </c>
      <c r="W354" s="62">
        <f t="shared" ref="W354:W363" si="269">$B334+($C334-$B334)*(1-AL334)</f>
        <v>6339885.4077724684</v>
      </c>
      <c r="X354" s="62">
        <f t="shared" ref="X354:X363" si="270">$B334+($C334-$B334)*(1-AM334)</f>
        <v>6310758.4133439614</v>
      </c>
      <c r="Y354" s="62">
        <f t="shared" ref="Y354:Y363" si="271">$B334+($C334-$B334)*(1-AN334)</f>
        <v>6290958.4021154065</v>
      </c>
      <c r="Z354" s="62">
        <f t="shared" ref="Z354:Z363" si="272">$B334+($C334-$B334)*(1-AO334)</f>
        <v>6277559.9548397847</v>
      </c>
      <c r="AA354" s="62">
        <f t="shared" ref="AA354:AA363" si="273">$B334+($C334-$B334)*(1-AP334)</f>
        <v>6268521.3483193964</v>
      </c>
      <c r="AB354" s="62">
        <f t="shared" ref="AB354:AB363" si="274">$B334+($C334-$B334)*(1-AQ334)</f>
        <v>6262436.6033098586</v>
      </c>
      <c r="AC354" s="62">
        <f t="shared" ref="AC354:AC363" si="275">$B334+($C334-$B334)*(1-AR334)</f>
        <v>6258346.1358050052</v>
      </c>
    </row>
    <row r="355" spans="1:29" x14ac:dyDescent="0.25">
      <c r="A355" s="30" t="str">
        <f t="shared" si="247"/>
        <v>Residual value (vehicle)</v>
      </c>
      <c r="B355" s="62">
        <f t="shared" si="248"/>
        <v>-505775.93556100863</v>
      </c>
      <c r="C355" s="62">
        <f t="shared" si="249"/>
        <v>-508249.01978749514</v>
      </c>
      <c r="D355" s="62">
        <f t="shared" si="250"/>
        <v>-511760.44486805983</v>
      </c>
      <c r="E355" s="62">
        <f t="shared" si="251"/>
        <v>-516723.50679303159</v>
      </c>
      <c r="F355" s="62">
        <f t="shared" si="252"/>
        <v>-523691.55619463779</v>
      </c>
      <c r="G355" s="62">
        <f t="shared" si="253"/>
        <v>-533379.67434313102</v>
      </c>
      <c r="H355" s="62">
        <f t="shared" si="254"/>
        <v>-546661.72189149424</v>
      </c>
      <c r="I355" s="62">
        <f t="shared" si="255"/>
        <v>-564511.37054981932</v>
      </c>
      <c r="J355" s="62">
        <f t="shared" si="256"/>
        <v>-587844.30964477046</v>
      </c>
      <c r="K355" s="62">
        <f t="shared" si="257"/>
        <v>-617228.20265627897</v>
      </c>
      <c r="L355" s="62">
        <f t="shared" si="258"/>
        <v>-652488.03080530826</v>
      </c>
      <c r="M355" s="62">
        <f t="shared" si="259"/>
        <v>-692358.91552128317</v>
      </c>
      <c r="N355" s="62">
        <f t="shared" si="260"/>
        <v>-734450.44492981408</v>
      </c>
      <c r="O355" s="62">
        <f t="shared" si="261"/>
        <v>-775713.6917695828</v>
      </c>
      <c r="P355" s="62">
        <f t="shared" si="262"/>
        <v>-813276.4747121135</v>
      </c>
      <c r="Q355" s="62">
        <f t="shared" si="263"/>
        <v>-845199.49117010995</v>
      </c>
      <c r="R355" s="62">
        <f t="shared" si="264"/>
        <v>-870764.11026463285</v>
      </c>
      <c r="S355" s="62">
        <f t="shared" si="265"/>
        <v>-890271.04927251884</v>
      </c>
      <c r="T355" s="62">
        <f t="shared" si="266"/>
        <v>-904610.21390208486</v>
      </c>
      <c r="U355" s="62">
        <f t="shared" si="267"/>
        <v>-914862.50917234272</v>
      </c>
      <c r="V355" s="62">
        <f t="shared" si="268"/>
        <v>-922047.85410141107</v>
      </c>
      <c r="W355" s="62">
        <f t="shared" si="269"/>
        <v>-927013.36909321207</v>
      </c>
      <c r="X355" s="62">
        <f t="shared" si="270"/>
        <v>-930411.51844320446</v>
      </c>
      <c r="Y355" s="62">
        <f t="shared" si="271"/>
        <v>-932721.51975320256</v>
      </c>
      <c r="Z355" s="62">
        <f t="shared" si="272"/>
        <v>-934284.67193535855</v>
      </c>
      <c r="AA355" s="62">
        <f t="shared" si="273"/>
        <v>-935339.17602940369</v>
      </c>
      <c r="AB355" s="62">
        <f t="shared" si="274"/>
        <v>-936049.06294718315</v>
      </c>
      <c r="AC355" s="62">
        <f t="shared" si="275"/>
        <v>-936526.28415608278</v>
      </c>
    </row>
    <row r="356" spans="1:29" x14ac:dyDescent="0.25">
      <c r="A356" s="30" t="str">
        <f t="shared" si="247"/>
        <v>Capex costumization</v>
      </c>
      <c r="B356" s="62">
        <f t="shared" si="248"/>
        <v>4200000</v>
      </c>
      <c r="C356" s="62">
        <f t="shared" si="249"/>
        <v>4200000</v>
      </c>
      <c r="D356" s="62">
        <f t="shared" si="250"/>
        <v>4200000</v>
      </c>
      <c r="E356" s="62">
        <f t="shared" si="251"/>
        <v>4200000</v>
      </c>
      <c r="F356" s="62">
        <f t="shared" si="252"/>
        <v>4200000</v>
      </c>
      <c r="G356" s="62">
        <f t="shared" si="253"/>
        <v>4200000</v>
      </c>
      <c r="H356" s="62">
        <f t="shared" si="254"/>
        <v>4200000</v>
      </c>
      <c r="I356" s="62">
        <f t="shared" si="255"/>
        <v>4200000</v>
      </c>
      <c r="J356" s="62">
        <f t="shared" si="256"/>
        <v>4200000</v>
      </c>
      <c r="K356" s="62">
        <f t="shared" si="257"/>
        <v>4200000</v>
      </c>
      <c r="L356" s="62">
        <f t="shared" si="258"/>
        <v>4200000</v>
      </c>
      <c r="M356" s="62">
        <f t="shared" si="259"/>
        <v>4200000</v>
      </c>
      <c r="N356" s="62">
        <f t="shared" si="260"/>
        <v>4200000</v>
      </c>
      <c r="O356" s="62">
        <f t="shared" si="261"/>
        <v>4200000</v>
      </c>
      <c r="P356" s="62">
        <f t="shared" si="262"/>
        <v>4200000</v>
      </c>
      <c r="Q356" s="62">
        <f t="shared" si="263"/>
        <v>4200000</v>
      </c>
      <c r="R356" s="62">
        <f t="shared" si="264"/>
        <v>4200000</v>
      </c>
      <c r="S356" s="62">
        <f t="shared" si="265"/>
        <v>4200000</v>
      </c>
      <c r="T356" s="62">
        <f t="shared" si="266"/>
        <v>4200000</v>
      </c>
      <c r="U356" s="62">
        <f t="shared" si="267"/>
        <v>4200000</v>
      </c>
      <c r="V356" s="62">
        <f t="shared" si="268"/>
        <v>4200000</v>
      </c>
      <c r="W356" s="62">
        <f t="shared" si="269"/>
        <v>4200000</v>
      </c>
      <c r="X356" s="62">
        <f t="shared" si="270"/>
        <v>4200000</v>
      </c>
      <c r="Y356" s="62">
        <f t="shared" si="271"/>
        <v>4200000</v>
      </c>
      <c r="Z356" s="62">
        <f t="shared" si="272"/>
        <v>4200000</v>
      </c>
      <c r="AA356" s="62">
        <f t="shared" si="273"/>
        <v>4200000</v>
      </c>
      <c r="AB356" s="62">
        <f t="shared" si="274"/>
        <v>4200000</v>
      </c>
      <c r="AC356" s="62">
        <f t="shared" si="275"/>
        <v>4200000</v>
      </c>
    </row>
    <row r="357" spans="1:29" x14ac:dyDescent="0.25">
      <c r="A357" s="30" t="str">
        <f t="shared" si="247"/>
        <v>Residual value (costumization)</v>
      </c>
      <c r="B357" s="62">
        <f t="shared" si="248"/>
        <v>-210000</v>
      </c>
      <c r="C357" s="62">
        <f t="shared" si="249"/>
        <v>-210000</v>
      </c>
      <c r="D357" s="62">
        <f t="shared" si="250"/>
        <v>-210000</v>
      </c>
      <c r="E357" s="62">
        <f t="shared" si="251"/>
        <v>-210000</v>
      </c>
      <c r="F357" s="62">
        <f t="shared" si="252"/>
        <v>-210000</v>
      </c>
      <c r="G357" s="62">
        <f t="shared" si="253"/>
        <v>-210000</v>
      </c>
      <c r="H357" s="62">
        <f t="shared" si="254"/>
        <v>-210000</v>
      </c>
      <c r="I357" s="62">
        <f t="shared" si="255"/>
        <v>-210000</v>
      </c>
      <c r="J357" s="62">
        <f t="shared" si="256"/>
        <v>-210000</v>
      </c>
      <c r="K357" s="62">
        <f t="shared" si="257"/>
        <v>-210000</v>
      </c>
      <c r="L357" s="62">
        <f t="shared" si="258"/>
        <v>-210000</v>
      </c>
      <c r="M357" s="62">
        <f t="shared" si="259"/>
        <v>-210000</v>
      </c>
      <c r="N357" s="62">
        <f t="shared" si="260"/>
        <v>-210000</v>
      </c>
      <c r="O357" s="62">
        <f t="shared" si="261"/>
        <v>-210000</v>
      </c>
      <c r="P357" s="62">
        <f t="shared" si="262"/>
        <v>-210000</v>
      </c>
      <c r="Q357" s="62">
        <f t="shared" si="263"/>
        <v>-210000</v>
      </c>
      <c r="R357" s="62">
        <f t="shared" si="264"/>
        <v>-210000</v>
      </c>
      <c r="S357" s="62">
        <f t="shared" si="265"/>
        <v>-210000</v>
      </c>
      <c r="T357" s="62">
        <f t="shared" si="266"/>
        <v>-210000</v>
      </c>
      <c r="U357" s="62">
        <f t="shared" si="267"/>
        <v>-210000</v>
      </c>
      <c r="V357" s="62">
        <f t="shared" si="268"/>
        <v>-210000</v>
      </c>
      <c r="W357" s="62">
        <f t="shared" si="269"/>
        <v>-210000</v>
      </c>
      <c r="X357" s="62">
        <f t="shared" si="270"/>
        <v>-210000</v>
      </c>
      <c r="Y357" s="62">
        <f t="shared" si="271"/>
        <v>-210000</v>
      </c>
      <c r="Z357" s="62">
        <f t="shared" si="272"/>
        <v>-210000</v>
      </c>
      <c r="AA357" s="62">
        <f t="shared" si="273"/>
        <v>-210000</v>
      </c>
      <c r="AB357" s="62">
        <f t="shared" si="274"/>
        <v>-210000</v>
      </c>
      <c r="AC357" s="62">
        <f t="shared" si="275"/>
        <v>-210000</v>
      </c>
    </row>
    <row r="358" spans="1:29" x14ac:dyDescent="0.25">
      <c r="A358" s="30" t="str">
        <f t="shared" si="247"/>
        <v>WACC</v>
      </c>
      <c r="B358" s="62">
        <f t="shared" si="248"/>
        <v>0.06</v>
      </c>
      <c r="C358" s="62">
        <f t="shared" si="249"/>
        <v>0.06</v>
      </c>
      <c r="D358" s="62">
        <f t="shared" si="250"/>
        <v>0.06</v>
      </c>
      <c r="E358" s="62">
        <f t="shared" si="251"/>
        <v>0.06</v>
      </c>
      <c r="F358" s="62">
        <f t="shared" si="252"/>
        <v>0.06</v>
      </c>
      <c r="G358" s="62">
        <f t="shared" si="253"/>
        <v>0.06</v>
      </c>
      <c r="H358" s="62">
        <f t="shared" si="254"/>
        <v>0.06</v>
      </c>
      <c r="I358" s="62">
        <f t="shared" si="255"/>
        <v>0.06</v>
      </c>
      <c r="J358" s="62">
        <f t="shared" si="256"/>
        <v>0.06</v>
      </c>
      <c r="K358" s="62">
        <f t="shared" si="257"/>
        <v>0.06</v>
      </c>
      <c r="L358" s="62">
        <f t="shared" si="258"/>
        <v>0.06</v>
      </c>
      <c r="M358" s="62">
        <f t="shared" si="259"/>
        <v>0.06</v>
      </c>
      <c r="N358" s="62">
        <f t="shared" si="260"/>
        <v>0.06</v>
      </c>
      <c r="O358" s="62">
        <f t="shared" si="261"/>
        <v>0.06</v>
      </c>
      <c r="P358" s="62">
        <f t="shared" si="262"/>
        <v>0.06</v>
      </c>
      <c r="Q358" s="62">
        <f t="shared" si="263"/>
        <v>0.06</v>
      </c>
      <c r="R358" s="62">
        <f t="shared" si="264"/>
        <v>0.06</v>
      </c>
      <c r="S358" s="62">
        <f t="shared" si="265"/>
        <v>0.06</v>
      </c>
      <c r="T358" s="62">
        <f t="shared" si="266"/>
        <v>0.06</v>
      </c>
      <c r="U358" s="62">
        <f t="shared" si="267"/>
        <v>0.06</v>
      </c>
      <c r="V358" s="62">
        <f t="shared" si="268"/>
        <v>0.06</v>
      </c>
      <c r="W358" s="62">
        <f t="shared" si="269"/>
        <v>0.06</v>
      </c>
      <c r="X358" s="62">
        <f t="shared" si="270"/>
        <v>0.06</v>
      </c>
      <c r="Y358" s="62">
        <f t="shared" si="271"/>
        <v>0.06</v>
      </c>
      <c r="Z358" s="62">
        <f t="shared" si="272"/>
        <v>0.06</v>
      </c>
      <c r="AA358" s="62">
        <f t="shared" si="273"/>
        <v>0.06</v>
      </c>
      <c r="AB358" s="62">
        <f t="shared" si="274"/>
        <v>0.06</v>
      </c>
      <c r="AC358" s="62">
        <f t="shared" si="275"/>
        <v>0.06</v>
      </c>
    </row>
    <row r="359" spans="1:29" x14ac:dyDescent="0.25">
      <c r="A359" s="30" t="str">
        <f t="shared" si="247"/>
        <v>Opex fix (admin, crew, insurance)</v>
      </c>
      <c r="B359" s="62">
        <f t="shared" si="248"/>
        <v>1450000</v>
      </c>
      <c r="C359" s="62">
        <f t="shared" si="249"/>
        <v>1450000</v>
      </c>
      <c r="D359" s="62">
        <f t="shared" si="250"/>
        <v>1450000</v>
      </c>
      <c r="E359" s="62">
        <f t="shared" si="251"/>
        <v>1450000</v>
      </c>
      <c r="F359" s="62">
        <f t="shared" si="252"/>
        <v>1450000</v>
      </c>
      <c r="G359" s="62">
        <f t="shared" si="253"/>
        <v>1450000</v>
      </c>
      <c r="H359" s="62">
        <f t="shared" si="254"/>
        <v>1450000</v>
      </c>
      <c r="I359" s="62">
        <f t="shared" si="255"/>
        <v>1450000</v>
      </c>
      <c r="J359" s="62">
        <f t="shared" si="256"/>
        <v>1450000</v>
      </c>
      <c r="K359" s="62">
        <f t="shared" si="257"/>
        <v>1450000</v>
      </c>
      <c r="L359" s="62">
        <f t="shared" si="258"/>
        <v>1450000</v>
      </c>
      <c r="M359" s="62">
        <f t="shared" si="259"/>
        <v>1450000</v>
      </c>
      <c r="N359" s="62">
        <f t="shared" si="260"/>
        <v>1450000</v>
      </c>
      <c r="O359" s="62">
        <f t="shared" si="261"/>
        <v>1450000</v>
      </c>
      <c r="P359" s="62">
        <f t="shared" si="262"/>
        <v>1450000</v>
      </c>
      <c r="Q359" s="62">
        <f t="shared" si="263"/>
        <v>1450000</v>
      </c>
      <c r="R359" s="62">
        <f t="shared" si="264"/>
        <v>1450000</v>
      </c>
      <c r="S359" s="62">
        <f t="shared" si="265"/>
        <v>1450000</v>
      </c>
      <c r="T359" s="62">
        <f t="shared" si="266"/>
        <v>1450000</v>
      </c>
      <c r="U359" s="62">
        <f t="shared" si="267"/>
        <v>1450000</v>
      </c>
      <c r="V359" s="62">
        <f t="shared" si="268"/>
        <v>1450000</v>
      </c>
      <c r="W359" s="62">
        <f t="shared" si="269"/>
        <v>1450000</v>
      </c>
      <c r="X359" s="62">
        <f t="shared" si="270"/>
        <v>1450000</v>
      </c>
      <c r="Y359" s="62">
        <f t="shared" si="271"/>
        <v>1450000</v>
      </c>
      <c r="Z359" s="62">
        <f t="shared" si="272"/>
        <v>1450000</v>
      </c>
      <c r="AA359" s="62">
        <f t="shared" si="273"/>
        <v>1450000</v>
      </c>
      <c r="AB359" s="62">
        <f t="shared" si="274"/>
        <v>1450000</v>
      </c>
      <c r="AC359" s="62">
        <f t="shared" si="275"/>
        <v>1450000</v>
      </c>
    </row>
    <row r="360" spans="1:29" x14ac:dyDescent="0.25">
      <c r="A360" s="30" t="str">
        <f t="shared" si="247"/>
        <v>Opex maintenance &amp; repair</v>
      </c>
      <c r="B360" s="62">
        <f t="shared" si="248"/>
        <v>1293563.9575177333</v>
      </c>
      <c r="C360" s="62">
        <f t="shared" si="249"/>
        <v>1290808.235093934</v>
      </c>
      <c r="D360" s="62">
        <f t="shared" si="250"/>
        <v>1286895.5042898762</v>
      </c>
      <c r="E360" s="62">
        <f t="shared" si="251"/>
        <v>1281365.2352877648</v>
      </c>
      <c r="F360" s="62">
        <f t="shared" si="252"/>
        <v>1273600.837383118</v>
      </c>
      <c r="G360" s="62">
        <f t="shared" si="253"/>
        <v>1262805.5057319398</v>
      </c>
      <c r="H360" s="62">
        <f t="shared" si="254"/>
        <v>1248005.5098923349</v>
      </c>
      <c r="I360" s="62">
        <f t="shared" si="255"/>
        <v>1228115.9013873441</v>
      </c>
      <c r="J360" s="62">
        <f t="shared" si="256"/>
        <v>1202116.3406815415</v>
      </c>
      <c r="K360" s="62">
        <f t="shared" si="257"/>
        <v>1169374.2884687176</v>
      </c>
      <c r="L360" s="62">
        <f t="shared" si="258"/>
        <v>1130084.7656740851</v>
      </c>
      <c r="M360" s="62">
        <f t="shared" si="259"/>
        <v>1085657.2084191416</v>
      </c>
      <c r="N360" s="62">
        <f t="shared" si="260"/>
        <v>1038755.2185067786</v>
      </c>
      <c r="O360" s="62">
        <f t="shared" si="261"/>
        <v>992776.17202817916</v>
      </c>
      <c r="P360" s="62">
        <f t="shared" si="262"/>
        <v>950920.49960650213</v>
      </c>
      <c r="Q360" s="62">
        <f t="shared" si="263"/>
        <v>915349.13841044903</v>
      </c>
      <c r="R360" s="62">
        <f t="shared" si="264"/>
        <v>886862.84856226621</v>
      </c>
      <c r="S360" s="62">
        <f t="shared" si="265"/>
        <v>865126.54509633617</v>
      </c>
      <c r="T360" s="62">
        <f t="shared" si="266"/>
        <v>849148.61879481981</v>
      </c>
      <c r="U360" s="62">
        <f t="shared" si="267"/>
        <v>837724.6326365323</v>
      </c>
      <c r="V360" s="62">
        <f t="shared" si="268"/>
        <v>829718.10542985611</v>
      </c>
      <c r="W360" s="62">
        <f t="shared" si="269"/>
        <v>824185.10301042092</v>
      </c>
      <c r="X360" s="62">
        <f t="shared" si="270"/>
        <v>820398.59373471502</v>
      </c>
      <c r="Y360" s="62">
        <f t="shared" si="271"/>
        <v>817824.59227500285</v>
      </c>
      <c r="Z360" s="62">
        <f t="shared" si="272"/>
        <v>816082.79412917187</v>
      </c>
      <c r="AA360" s="62">
        <f t="shared" si="273"/>
        <v>814907.77528152149</v>
      </c>
      <c r="AB360" s="62">
        <f t="shared" si="274"/>
        <v>814116.75843028165</v>
      </c>
      <c r="AC360" s="62">
        <f t="shared" si="275"/>
        <v>813584.99765465059</v>
      </c>
    </row>
    <row r="361" spans="1:29" x14ac:dyDescent="0.25">
      <c r="A361" s="30" t="str">
        <f t="shared" si="247"/>
        <v>Opex var (mode-fees, shunting)</v>
      </c>
      <c r="B361" s="62">
        <f t="shared" si="248"/>
        <v>8.9635854341736696</v>
      </c>
      <c r="C361" s="62">
        <f t="shared" si="249"/>
        <v>8.9635854341736696</v>
      </c>
      <c r="D361" s="62">
        <f t="shared" si="250"/>
        <v>8.9635854341736696</v>
      </c>
      <c r="E361" s="62">
        <f t="shared" si="251"/>
        <v>8.9635854341736696</v>
      </c>
      <c r="F361" s="62">
        <f t="shared" si="252"/>
        <v>8.9635854341736696</v>
      </c>
      <c r="G361" s="62">
        <f t="shared" si="253"/>
        <v>8.9635854341736696</v>
      </c>
      <c r="H361" s="62">
        <f t="shared" si="254"/>
        <v>8.9635854341736696</v>
      </c>
      <c r="I361" s="62">
        <f t="shared" si="255"/>
        <v>8.9635854341736696</v>
      </c>
      <c r="J361" s="62">
        <f t="shared" si="256"/>
        <v>8.9635854341736696</v>
      </c>
      <c r="K361" s="62">
        <f t="shared" si="257"/>
        <v>8.9635854341736696</v>
      </c>
      <c r="L361" s="62">
        <f t="shared" si="258"/>
        <v>8.9635854341736696</v>
      </c>
      <c r="M361" s="62">
        <f t="shared" si="259"/>
        <v>8.9635854341736696</v>
      </c>
      <c r="N361" s="62">
        <f t="shared" si="260"/>
        <v>8.9635854341736696</v>
      </c>
      <c r="O361" s="62">
        <f t="shared" si="261"/>
        <v>8.9635854341736696</v>
      </c>
      <c r="P361" s="62">
        <f t="shared" si="262"/>
        <v>8.9635854341736696</v>
      </c>
      <c r="Q361" s="62">
        <f t="shared" si="263"/>
        <v>8.9635854341736696</v>
      </c>
      <c r="R361" s="62">
        <f t="shared" si="264"/>
        <v>8.9635854341736696</v>
      </c>
      <c r="S361" s="62">
        <f t="shared" si="265"/>
        <v>8.9635854341736696</v>
      </c>
      <c r="T361" s="62">
        <f t="shared" si="266"/>
        <v>8.9635854341736696</v>
      </c>
      <c r="U361" s="62">
        <f t="shared" si="267"/>
        <v>8.9635854341736696</v>
      </c>
      <c r="V361" s="62">
        <f t="shared" si="268"/>
        <v>8.9635854341736696</v>
      </c>
      <c r="W361" s="62">
        <f t="shared" si="269"/>
        <v>8.9635854341736696</v>
      </c>
      <c r="X361" s="62">
        <f t="shared" si="270"/>
        <v>8.9635854341736696</v>
      </c>
      <c r="Y361" s="62">
        <f t="shared" si="271"/>
        <v>8.9635854341736696</v>
      </c>
      <c r="Z361" s="62">
        <f t="shared" si="272"/>
        <v>8.9635854341736696</v>
      </c>
      <c r="AA361" s="62">
        <f t="shared" si="273"/>
        <v>8.9635854341736696</v>
      </c>
      <c r="AB361" s="62">
        <f t="shared" si="274"/>
        <v>8.9635854341736696</v>
      </c>
      <c r="AC361" s="62">
        <f t="shared" si="275"/>
        <v>8.9635854341736696</v>
      </c>
    </row>
    <row r="362" spans="1:29" x14ac:dyDescent="0.25">
      <c r="A362" s="30" t="str">
        <f t="shared" si="247"/>
        <v>Fuel Economy</v>
      </c>
      <c r="B362" s="62">
        <f t="shared" si="248"/>
        <v>33.590199999999996</v>
      </c>
      <c r="C362" s="62">
        <f t="shared" si="249"/>
        <v>33.590199999999996</v>
      </c>
      <c r="D362" s="62">
        <f t="shared" si="250"/>
        <v>33.590199999999996</v>
      </c>
      <c r="E362" s="62">
        <f t="shared" si="251"/>
        <v>33.590199999999996</v>
      </c>
      <c r="F362" s="62">
        <f t="shared" si="252"/>
        <v>33.590199999999996</v>
      </c>
      <c r="G362" s="62">
        <f t="shared" si="253"/>
        <v>33.590199999999996</v>
      </c>
      <c r="H362" s="62">
        <f t="shared" si="254"/>
        <v>33.590199999999996</v>
      </c>
      <c r="I362" s="62">
        <f t="shared" si="255"/>
        <v>33.590199999999996</v>
      </c>
      <c r="J362" s="62">
        <f t="shared" si="256"/>
        <v>33.590199999999996</v>
      </c>
      <c r="K362" s="62">
        <f t="shared" si="257"/>
        <v>33.590199999999996</v>
      </c>
      <c r="L362" s="62">
        <f t="shared" si="258"/>
        <v>33.590199999999996</v>
      </c>
      <c r="M362" s="62">
        <f t="shared" si="259"/>
        <v>33.590199999999996</v>
      </c>
      <c r="N362" s="62">
        <f t="shared" si="260"/>
        <v>33.590199999999996</v>
      </c>
      <c r="O362" s="62">
        <f t="shared" si="261"/>
        <v>33.590199999999996</v>
      </c>
      <c r="P362" s="62">
        <f t="shared" si="262"/>
        <v>33.590199999999996</v>
      </c>
      <c r="Q362" s="62">
        <f t="shared" si="263"/>
        <v>33.590199999999996</v>
      </c>
      <c r="R362" s="62">
        <f t="shared" si="264"/>
        <v>33.590199999999996</v>
      </c>
      <c r="S362" s="62">
        <f t="shared" si="265"/>
        <v>33.590199999999996</v>
      </c>
      <c r="T362" s="62">
        <f t="shared" si="266"/>
        <v>33.590199999999996</v>
      </c>
      <c r="U362" s="62">
        <f t="shared" si="267"/>
        <v>33.590199999999996</v>
      </c>
      <c r="V362" s="62">
        <f t="shared" si="268"/>
        <v>33.590199999999996</v>
      </c>
      <c r="W362" s="62">
        <f t="shared" si="269"/>
        <v>33.590199999999996</v>
      </c>
      <c r="X362" s="62">
        <f t="shared" si="270"/>
        <v>33.590199999999996</v>
      </c>
      <c r="Y362" s="62">
        <f t="shared" si="271"/>
        <v>33.590199999999996</v>
      </c>
      <c r="Z362" s="62">
        <f t="shared" si="272"/>
        <v>33.590199999999996</v>
      </c>
      <c r="AA362" s="62">
        <f t="shared" si="273"/>
        <v>33.590199999999996</v>
      </c>
      <c r="AB362" s="62">
        <f t="shared" si="274"/>
        <v>33.590199999999996</v>
      </c>
      <c r="AC362" s="62">
        <f t="shared" si="275"/>
        <v>33.590199999999996</v>
      </c>
    </row>
    <row r="363" spans="1:29" x14ac:dyDescent="0.25">
      <c r="A363" s="30" t="str">
        <f t="shared" si="247"/>
        <v>Fuel Cost</v>
      </c>
      <c r="B363" s="62">
        <f t="shared" si="248"/>
        <v>0.1331013876427829</v>
      </c>
      <c r="C363" s="62">
        <f t="shared" si="249"/>
        <v>0.13284065209015961</v>
      </c>
      <c r="D363" s="62">
        <f t="shared" si="250"/>
        <v>0.13247044498234223</v>
      </c>
      <c r="E363" s="62">
        <f t="shared" si="251"/>
        <v>0.13194719281007408</v>
      </c>
      <c r="F363" s="62">
        <f t="shared" si="252"/>
        <v>0.13121255620046077</v>
      </c>
      <c r="G363" s="62">
        <f t="shared" si="253"/>
        <v>0.13019114463175094</v>
      </c>
      <c r="H363" s="62">
        <f t="shared" si="254"/>
        <v>0.12879082758213251</v>
      </c>
      <c r="I363" s="62">
        <f t="shared" si="255"/>
        <v>0.126908951519354</v>
      </c>
      <c r="J363" s="62">
        <f t="shared" si="256"/>
        <v>0.12444897595358409</v>
      </c>
      <c r="K363" s="62">
        <f t="shared" si="257"/>
        <v>0.12135105251833415</v>
      </c>
      <c r="L363" s="62">
        <f t="shared" si="258"/>
        <v>0.11763363332194038</v>
      </c>
      <c r="M363" s="62">
        <f t="shared" si="259"/>
        <v>0.11343007363373329</v>
      </c>
      <c r="N363" s="62">
        <f t="shared" si="260"/>
        <v>0.10899239291766451</v>
      </c>
      <c r="O363" s="62">
        <f t="shared" si="261"/>
        <v>0.10464203745763898</v>
      </c>
      <c r="P363" s="62">
        <f t="shared" si="262"/>
        <v>0.10068181933659913</v>
      </c>
      <c r="Q363" s="62">
        <f t="shared" si="263"/>
        <v>9.7316197879620536E-2</v>
      </c>
      <c r="R363" s="62">
        <f t="shared" si="264"/>
        <v>9.4620937841233446E-2</v>
      </c>
      <c r="S363" s="62">
        <f t="shared" si="265"/>
        <v>9.2564334807767046E-2</v>
      </c>
      <c r="T363" s="62">
        <f t="shared" si="266"/>
        <v>9.1052566638367527E-2</v>
      </c>
      <c r="U363" s="62">
        <f t="shared" si="267"/>
        <v>8.9971674267489546E-2</v>
      </c>
      <c r="V363" s="62">
        <f t="shared" si="268"/>
        <v>8.9214128341311663E-2</v>
      </c>
      <c r="W363" s="62">
        <f t="shared" si="269"/>
        <v>8.8690617543911193E-2</v>
      </c>
      <c r="X363" s="62">
        <f t="shared" si="270"/>
        <v>8.833235301770638E-2</v>
      </c>
      <c r="Y363" s="62">
        <f t="shared" si="271"/>
        <v>8.8088811183719362E-2</v>
      </c>
      <c r="Z363" s="62">
        <f t="shared" si="272"/>
        <v>8.7924009134648928E-2</v>
      </c>
      <c r="AA363" s="62">
        <f t="shared" si="273"/>
        <v>8.7812833500289317E-2</v>
      </c>
      <c r="AB363" s="62">
        <f t="shared" si="274"/>
        <v>8.7737990615512101E-2</v>
      </c>
      <c r="AC363" s="62">
        <f t="shared" si="275"/>
        <v>8.768767751485286E-2</v>
      </c>
    </row>
    <row r="364" spans="1:29" x14ac:dyDescent="0.25">
      <c r="A364" s="30" t="str">
        <f t="shared" ref="A364" si="276">A344</f>
        <v>Emission Cost</v>
      </c>
      <c r="B364" s="66">
        <f>$B344+($C344-$B344)*(1-Q344)</f>
        <v>7.7616989698723951E-2</v>
      </c>
      <c r="C364" s="66">
        <f t="shared" ref="C364:AC364" si="277">$B344+($C344-$B344)*(1-R344)</f>
        <v>7.7543079413020161E-2</v>
      </c>
      <c r="D364" s="66">
        <f t="shared" si="277"/>
        <v>7.7437278485254071E-2</v>
      </c>
      <c r="E364" s="66">
        <f t="shared" si="277"/>
        <v>7.7285922817830824E-2</v>
      </c>
      <c r="F364" s="66">
        <f t="shared" si="277"/>
        <v>7.7069602170796822E-2</v>
      </c>
      <c r="G364" s="66">
        <f t="shared" si="277"/>
        <v>7.6760865858648872E-2</v>
      </c>
      <c r="H364" s="66">
        <f t="shared" si="277"/>
        <v>7.6321149608842037E-2</v>
      </c>
      <c r="I364" s="66">
        <f t="shared" si="277"/>
        <v>7.5696815568227049E-2</v>
      </c>
      <c r="J364" s="66">
        <f t="shared" si="277"/>
        <v>7.4814379396488564E-2</v>
      </c>
      <c r="K364" s="66">
        <f t="shared" si="277"/>
        <v>7.3575454931835024E-2</v>
      </c>
      <c r="L364" s="66">
        <f t="shared" si="277"/>
        <v>7.1852900182459184E-2</v>
      </c>
      <c r="M364" s="66">
        <f t="shared" si="277"/>
        <v>6.9491342061966249E-2</v>
      </c>
      <c r="N364" s="66">
        <f t="shared" si="277"/>
        <v>6.6317661002361278E-2</v>
      </c>
      <c r="O364" s="66">
        <f t="shared" si="277"/>
        <v>6.2169046747367229E-2</v>
      </c>
      <c r="P364" s="66">
        <f t="shared" si="277"/>
        <v>5.694456830002316E-2</v>
      </c>
      <c r="Q364" s="66">
        <f t="shared" si="277"/>
        <v>5.0675344131887581E-2</v>
      </c>
      <c r="R364" s="66">
        <f t="shared" si="277"/>
        <v>4.3586270611453572E-2</v>
      </c>
      <c r="S364" s="66">
        <f t="shared" si="277"/>
        <v>3.6102364781668152E-2</v>
      </c>
      <c r="T364" s="66">
        <f t="shared" si="277"/>
        <v>2.8765728220359679E-2</v>
      </c>
      <c r="U364" s="66">
        <f t="shared" si="277"/>
        <v>2.2087036944542227E-2</v>
      </c>
      <c r="V364" s="66">
        <f t="shared" si="277"/>
        <v>1.6411100424024307E-2</v>
      </c>
      <c r="W364" s="66">
        <f t="shared" si="277"/>
        <v>1.1865691773727857E-2</v>
      </c>
      <c r="X364" s="66">
        <f t="shared" si="277"/>
        <v>8.3973432339193438E-3</v>
      </c>
      <c r="Y364" s="66">
        <f t="shared" si="277"/>
        <v>5.84782889520509E-3</v>
      </c>
      <c r="Z364" s="66">
        <f t="shared" si="277"/>
        <v>4.0249630259926034E-3</v>
      </c>
      <c r="AA364" s="66">
        <f t="shared" si="277"/>
        <v>2.747403251869146E-3</v>
      </c>
      <c r="AB364" s="66">
        <f t="shared" si="277"/>
        <v>1.8645309229892715E-3</v>
      </c>
      <c r="AC364" s="66">
        <f t="shared" si="277"/>
        <v>1.2603373931211054E-3</v>
      </c>
    </row>
    <row r="365" spans="1:29" x14ac:dyDescent="0.25">
      <c r="A365" s="30" t="str">
        <f>A345</f>
        <v>Lifetime vehicle</v>
      </c>
      <c r="B365" s="62">
        <f>$B345+($C345-$B345)*(1-Q345)</f>
        <v>20</v>
      </c>
      <c r="C365" s="62">
        <f t="shared" ref="C365:L367" si="278">$B345+($C345-$B345)*(1-R345)</f>
        <v>20</v>
      </c>
      <c r="D365" s="62">
        <f t="shared" si="278"/>
        <v>20</v>
      </c>
      <c r="E365" s="62">
        <f t="shared" si="278"/>
        <v>20</v>
      </c>
      <c r="F365" s="62">
        <f t="shared" si="278"/>
        <v>20</v>
      </c>
      <c r="G365" s="62">
        <f t="shared" si="278"/>
        <v>20</v>
      </c>
      <c r="H365" s="62">
        <f t="shared" si="278"/>
        <v>20</v>
      </c>
      <c r="I365" s="62">
        <f t="shared" si="278"/>
        <v>20</v>
      </c>
      <c r="J365" s="62">
        <f t="shared" si="278"/>
        <v>20</v>
      </c>
      <c r="K365" s="62">
        <f t="shared" si="278"/>
        <v>20</v>
      </c>
      <c r="L365" s="62">
        <f t="shared" si="278"/>
        <v>20</v>
      </c>
      <c r="M365" s="62">
        <f t="shared" ref="M365:V367" si="279">$B345+($C345-$B345)*(1-AB345)</f>
        <v>20</v>
      </c>
      <c r="N365" s="62">
        <f t="shared" si="279"/>
        <v>20</v>
      </c>
      <c r="O365" s="62">
        <f t="shared" si="279"/>
        <v>20</v>
      </c>
      <c r="P365" s="62">
        <f t="shared" si="279"/>
        <v>20</v>
      </c>
      <c r="Q365" s="62">
        <f t="shared" si="279"/>
        <v>20</v>
      </c>
      <c r="R365" s="62">
        <f t="shared" si="279"/>
        <v>20</v>
      </c>
      <c r="S365" s="62">
        <f t="shared" si="279"/>
        <v>20</v>
      </c>
      <c r="T365" s="62">
        <f t="shared" si="279"/>
        <v>20</v>
      </c>
      <c r="U365" s="62">
        <f t="shared" si="279"/>
        <v>20</v>
      </c>
      <c r="V365" s="62">
        <f t="shared" si="279"/>
        <v>20</v>
      </c>
      <c r="W365" s="62">
        <f t="shared" ref="W365:AC367" si="280">$B345+($C345-$B345)*(1-AL345)</f>
        <v>20</v>
      </c>
      <c r="X365" s="62">
        <f t="shared" si="280"/>
        <v>20</v>
      </c>
      <c r="Y365" s="62">
        <f t="shared" si="280"/>
        <v>20</v>
      </c>
      <c r="Z365" s="62">
        <f t="shared" si="280"/>
        <v>20</v>
      </c>
      <c r="AA365" s="62">
        <f t="shared" si="280"/>
        <v>20</v>
      </c>
      <c r="AB365" s="62">
        <f t="shared" si="280"/>
        <v>20</v>
      </c>
      <c r="AC365" s="62">
        <f t="shared" si="280"/>
        <v>20</v>
      </c>
    </row>
    <row r="366" spans="1:29" x14ac:dyDescent="0.25">
      <c r="A366" s="30" t="str">
        <f>A346</f>
        <v>Lifetime costumization</v>
      </c>
      <c r="B366" s="62">
        <f>$B346+($C346-$B346)*(1-Q346)</f>
        <v>30</v>
      </c>
      <c r="C366" s="62">
        <f t="shared" si="278"/>
        <v>30</v>
      </c>
      <c r="D366" s="62">
        <f t="shared" si="278"/>
        <v>30</v>
      </c>
      <c r="E366" s="62">
        <f t="shared" si="278"/>
        <v>30</v>
      </c>
      <c r="F366" s="62">
        <f t="shared" si="278"/>
        <v>30</v>
      </c>
      <c r="G366" s="62">
        <f t="shared" si="278"/>
        <v>30</v>
      </c>
      <c r="H366" s="62">
        <f t="shared" si="278"/>
        <v>30</v>
      </c>
      <c r="I366" s="62">
        <f t="shared" si="278"/>
        <v>30</v>
      </c>
      <c r="J366" s="62">
        <f t="shared" si="278"/>
        <v>30</v>
      </c>
      <c r="K366" s="62">
        <f t="shared" si="278"/>
        <v>30</v>
      </c>
      <c r="L366" s="62">
        <f t="shared" si="278"/>
        <v>30</v>
      </c>
      <c r="M366" s="62">
        <f t="shared" si="279"/>
        <v>30</v>
      </c>
      <c r="N366" s="62">
        <f t="shared" si="279"/>
        <v>30</v>
      </c>
      <c r="O366" s="62">
        <f t="shared" si="279"/>
        <v>30</v>
      </c>
      <c r="P366" s="62">
        <f t="shared" si="279"/>
        <v>30</v>
      </c>
      <c r="Q366" s="62">
        <f t="shared" si="279"/>
        <v>30</v>
      </c>
      <c r="R366" s="62">
        <f t="shared" si="279"/>
        <v>30</v>
      </c>
      <c r="S366" s="62">
        <f t="shared" si="279"/>
        <v>30</v>
      </c>
      <c r="T366" s="62">
        <f t="shared" si="279"/>
        <v>30</v>
      </c>
      <c r="U366" s="62">
        <f t="shared" si="279"/>
        <v>30</v>
      </c>
      <c r="V366" s="62">
        <f t="shared" si="279"/>
        <v>30</v>
      </c>
      <c r="W366" s="62">
        <f t="shared" si="280"/>
        <v>30</v>
      </c>
      <c r="X366" s="62">
        <f t="shared" si="280"/>
        <v>30</v>
      </c>
      <c r="Y366" s="62">
        <f t="shared" si="280"/>
        <v>30</v>
      </c>
      <c r="Z366" s="62">
        <f t="shared" si="280"/>
        <v>30</v>
      </c>
      <c r="AA366" s="62">
        <f t="shared" si="280"/>
        <v>30</v>
      </c>
      <c r="AB366" s="62">
        <f t="shared" si="280"/>
        <v>30</v>
      </c>
      <c r="AC366" s="62">
        <f t="shared" si="280"/>
        <v>30</v>
      </c>
    </row>
    <row r="367" spans="1:29" x14ac:dyDescent="0.25">
      <c r="A367" s="30" t="str">
        <f>A347</f>
        <v>Tonnage .</v>
      </c>
      <c r="B367" s="62">
        <f>$B347+($C347-$B347)*(1-Q347)</f>
        <v>2240</v>
      </c>
      <c r="C367" s="62">
        <f t="shared" si="278"/>
        <v>2240</v>
      </c>
      <c r="D367" s="62">
        <f t="shared" si="278"/>
        <v>2240</v>
      </c>
      <c r="E367" s="62">
        <f t="shared" si="278"/>
        <v>2240</v>
      </c>
      <c r="F367" s="62">
        <f t="shared" si="278"/>
        <v>2240</v>
      </c>
      <c r="G367" s="62">
        <f t="shared" si="278"/>
        <v>2240</v>
      </c>
      <c r="H367" s="62">
        <f t="shared" si="278"/>
        <v>2240</v>
      </c>
      <c r="I367" s="62">
        <f t="shared" si="278"/>
        <v>2240</v>
      </c>
      <c r="J367" s="62">
        <f t="shared" si="278"/>
        <v>2240</v>
      </c>
      <c r="K367" s="62">
        <f t="shared" si="278"/>
        <v>2240</v>
      </c>
      <c r="L367" s="62">
        <f t="shared" si="278"/>
        <v>2240</v>
      </c>
      <c r="M367" s="62">
        <f t="shared" si="279"/>
        <v>2240</v>
      </c>
      <c r="N367" s="62">
        <f t="shared" si="279"/>
        <v>2240</v>
      </c>
      <c r="O367" s="62">
        <f t="shared" si="279"/>
        <v>2240</v>
      </c>
      <c r="P367" s="62">
        <f t="shared" si="279"/>
        <v>2240</v>
      </c>
      <c r="Q367" s="62">
        <f t="shared" si="279"/>
        <v>2240</v>
      </c>
      <c r="R367" s="62">
        <f t="shared" si="279"/>
        <v>2240</v>
      </c>
      <c r="S367" s="62">
        <f t="shared" si="279"/>
        <v>2240</v>
      </c>
      <c r="T367" s="62">
        <f t="shared" si="279"/>
        <v>2240</v>
      </c>
      <c r="U367" s="62">
        <f t="shared" si="279"/>
        <v>2240</v>
      </c>
      <c r="V367" s="62">
        <f t="shared" si="279"/>
        <v>2240</v>
      </c>
      <c r="W367" s="62">
        <f t="shared" si="280"/>
        <v>2240</v>
      </c>
      <c r="X367" s="62">
        <f t="shared" si="280"/>
        <v>2240</v>
      </c>
      <c r="Y367" s="62">
        <f t="shared" si="280"/>
        <v>2240</v>
      </c>
      <c r="Z367" s="62">
        <f t="shared" si="280"/>
        <v>2240</v>
      </c>
      <c r="AA367" s="62">
        <f t="shared" si="280"/>
        <v>2240</v>
      </c>
      <c r="AB367" s="62">
        <f t="shared" si="280"/>
        <v>2240</v>
      </c>
      <c r="AC367" s="62">
        <f t="shared" si="280"/>
        <v>2240</v>
      </c>
    </row>
    <row r="368" spans="1:29" x14ac:dyDescent="0.25">
      <c r="A368" s="30" t="str">
        <f>A348</f>
        <v>Market failure (av. utilization)</v>
      </c>
      <c r="B368" s="62">
        <f t="shared" ref="B368:K369" si="281">($B348+($C348-$B348)*(1-Q348))*B$44</f>
        <v>1612.8000000000002</v>
      </c>
      <c r="C368" s="62">
        <f t="shared" si="281"/>
        <v>1612.8000000000002</v>
      </c>
      <c r="D368" s="62">
        <f t="shared" si="281"/>
        <v>1612.8000000000002</v>
      </c>
      <c r="E368" s="62">
        <f t="shared" si="281"/>
        <v>1612.8000000000002</v>
      </c>
      <c r="F368" s="62">
        <f t="shared" si="281"/>
        <v>1612.8000000000002</v>
      </c>
      <c r="G368" s="62">
        <f t="shared" si="281"/>
        <v>1612.8000000000002</v>
      </c>
      <c r="H368" s="62">
        <f t="shared" si="281"/>
        <v>1612.8000000000002</v>
      </c>
      <c r="I368" s="62">
        <f t="shared" si="281"/>
        <v>1612.8000000000002</v>
      </c>
      <c r="J368" s="62">
        <f t="shared" si="281"/>
        <v>1612.8000000000002</v>
      </c>
      <c r="K368" s="62">
        <f t="shared" si="281"/>
        <v>1612.8000000000002</v>
      </c>
      <c r="L368" s="62">
        <f t="shared" ref="L368:U369" si="282">($B348+($C348-$B348)*(1-AA348))*L$44</f>
        <v>1612.8000000000002</v>
      </c>
      <c r="M368" s="62">
        <f t="shared" si="282"/>
        <v>1612.8000000000002</v>
      </c>
      <c r="N368" s="62">
        <f t="shared" si="282"/>
        <v>1612.8000000000002</v>
      </c>
      <c r="O368" s="62">
        <f t="shared" si="282"/>
        <v>1612.8000000000002</v>
      </c>
      <c r="P368" s="62">
        <f t="shared" si="282"/>
        <v>1612.8000000000002</v>
      </c>
      <c r="Q368" s="62">
        <f t="shared" si="282"/>
        <v>1612.8000000000002</v>
      </c>
      <c r="R368" s="62">
        <f t="shared" si="282"/>
        <v>1612.8000000000002</v>
      </c>
      <c r="S368" s="62">
        <f t="shared" si="282"/>
        <v>1612.8000000000002</v>
      </c>
      <c r="T368" s="62">
        <f t="shared" si="282"/>
        <v>1612.8000000000002</v>
      </c>
      <c r="U368" s="62">
        <f t="shared" si="282"/>
        <v>1612.8000000000002</v>
      </c>
      <c r="V368" s="62">
        <f t="shared" ref="V368:AC369" si="283">($B348+($C348-$B348)*(1-AK348))*V$44</f>
        <v>1612.8000000000002</v>
      </c>
      <c r="W368" s="62">
        <f t="shared" si="283"/>
        <v>1612.8000000000002</v>
      </c>
      <c r="X368" s="62">
        <f t="shared" si="283"/>
        <v>1612.8000000000002</v>
      </c>
      <c r="Y368" s="62">
        <f t="shared" si="283"/>
        <v>1612.8000000000002</v>
      </c>
      <c r="Z368" s="62">
        <f t="shared" si="283"/>
        <v>1612.8000000000002</v>
      </c>
      <c r="AA368" s="62">
        <f t="shared" si="283"/>
        <v>1612.8000000000002</v>
      </c>
      <c r="AB368" s="62">
        <f t="shared" si="283"/>
        <v>1612.8000000000002</v>
      </c>
      <c r="AC368" s="62">
        <f t="shared" si="283"/>
        <v>1612.8000000000002</v>
      </c>
    </row>
    <row r="369" spans="1:29" x14ac:dyDescent="0.25">
      <c r="A369" s="30" t="s">
        <v>73</v>
      </c>
      <c r="B369" s="62">
        <f t="shared" si="281"/>
        <v>79.471914462993496</v>
      </c>
      <c r="C369" s="62">
        <f t="shared" si="281"/>
        <v>79.245803905143291</v>
      </c>
      <c r="D369" s="62">
        <f t="shared" si="281"/>
        <v>78.924759326348806</v>
      </c>
      <c r="E369" s="62">
        <f t="shared" si="281"/>
        <v>78.470993664637106</v>
      </c>
      <c r="F369" s="62">
        <f t="shared" si="281"/>
        <v>77.833914862204551</v>
      </c>
      <c r="G369" s="62">
        <f t="shared" si="281"/>
        <v>76.948144060056592</v>
      </c>
      <c r="H369" s="62">
        <f t="shared" si="281"/>
        <v>75.733785427063381</v>
      </c>
      <c r="I369" s="62">
        <f t="shared" si="281"/>
        <v>74.101817549730796</v>
      </c>
      <c r="J369" s="62">
        <f t="shared" si="281"/>
        <v>71.968520261049548</v>
      </c>
      <c r="K369" s="62">
        <f t="shared" si="281"/>
        <v>69.281992899997348</v>
      </c>
      <c r="L369" s="62">
        <f t="shared" si="282"/>
        <v>66.058237183514677</v>
      </c>
      <c r="M369" s="62">
        <f t="shared" si="282"/>
        <v>62.412899152339826</v>
      </c>
      <c r="N369" s="62">
        <f t="shared" si="282"/>
        <v>58.564530749274141</v>
      </c>
      <c r="O369" s="62">
        <f t="shared" si="282"/>
        <v>54.79189103820957</v>
      </c>
      <c r="P369" s="62">
        <f t="shared" si="282"/>
        <v>51.357579454892473</v>
      </c>
      <c r="Q369" s="62">
        <f t="shared" si="282"/>
        <v>48.438903664447089</v>
      </c>
      <c r="R369" s="62">
        <f t="shared" si="282"/>
        <v>46.101567061519283</v>
      </c>
      <c r="S369" s="62">
        <f t="shared" si="282"/>
        <v>44.318075495083995</v>
      </c>
      <c r="T369" s="62">
        <f t="shared" si="282"/>
        <v>43.007066157523667</v>
      </c>
      <c r="U369" s="62">
        <f t="shared" si="282"/>
        <v>42.069713447100085</v>
      </c>
      <c r="V369" s="62">
        <f t="shared" si="283"/>
        <v>41.412767625013835</v>
      </c>
      <c r="W369" s="62">
        <f t="shared" si="283"/>
        <v>40.958777682906323</v>
      </c>
      <c r="X369" s="62">
        <f t="shared" si="283"/>
        <v>40.648089742335586</v>
      </c>
      <c r="Y369" s="62">
        <f t="shared" si="283"/>
        <v>40.43688962256433</v>
      </c>
      <c r="Z369" s="62">
        <f t="shared" si="283"/>
        <v>40.29397285162436</v>
      </c>
      <c r="AA369" s="62">
        <f t="shared" si="283"/>
        <v>40.197561048740226</v>
      </c>
      <c r="AB369" s="62">
        <f t="shared" si="283"/>
        <v>40.132657101971823</v>
      </c>
      <c r="AC369" s="62">
        <f t="shared" si="283"/>
        <v>40.08902544858671</v>
      </c>
    </row>
    <row r="370" spans="1:29" x14ac:dyDescent="0.25">
      <c r="A370" s="30" t="str">
        <f>A350</f>
        <v>Annual Mileage</v>
      </c>
      <c r="B370" s="62">
        <f t="shared" ref="B370:AC370" si="284">$B350+($C350-$B350)*(1-Q350)</f>
        <v>178500</v>
      </c>
      <c r="C370" s="62">
        <f t="shared" si="284"/>
        <v>178500</v>
      </c>
      <c r="D370" s="62">
        <f t="shared" si="284"/>
        <v>178500</v>
      </c>
      <c r="E370" s="62">
        <f t="shared" si="284"/>
        <v>178500</v>
      </c>
      <c r="F370" s="62">
        <f t="shared" si="284"/>
        <v>178500</v>
      </c>
      <c r="G370" s="62">
        <f t="shared" si="284"/>
        <v>178500</v>
      </c>
      <c r="H370" s="62">
        <f t="shared" si="284"/>
        <v>178500</v>
      </c>
      <c r="I370" s="62">
        <f t="shared" si="284"/>
        <v>178500</v>
      </c>
      <c r="J370" s="62">
        <f t="shared" si="284"/>
        <v>178500</v>
      </c>
      <c r="K370" s="62">
        <f t="shared" si="284"/>
        <v>178500</v>
      </c>
      <c r="L370" s="62">
        <f t="shared" si="284"/>
        <v>178500</v>
      </c>
      <c r="M370" s="62">
        <f t="shared" si="284"/>
        <v>178500</v>
      </c>
      <c r="N370" s="62">
        <f t="shared" si="284"/>
        <v>178500</v>
      </c>
      <c r="O370" s="62">
        <f t="shared" si="284"/>
        <v>178500</v>
      </c>
      <c r="P370" s="62">
        <f t="shared" si="284"/>
        <v>178500</v>
      </c>
      <c r="Q370" s="62">
        <f t="shared" si="284"/>
        <v>178500</v>
      </c>
      <c r="R370" s="62">
        <f t="shared" si="284"/>
        <v>178500</v>
      </c>
      <c r="S370" s="62">
        <f t="shared" si="284"/>
        <v>178500</v>
      </c>
      <c r="T370" s="62">
        <f t="shared" si="284"/>
        <v>178500</v>
      </c>
      <c r="U370" s="62">
        <f t="shared" si="284"/>
        <v>178500</v>
      </c>
      <c r="V370" s="62">
        <f t="shared" si="284"/>
        <v>178500</v>
      </c>
      <c r="W370" s="62">
        <f t="shared" si="284"/>
        <v>178500</v>
      </c>
      <c r="X370" s="62">
        <f t="shared" si="284"/>
        <v>178500</v>
      </c>
      <c r="Y370" s="62">
        <f t="shared" si="284"/>
        <v>178500</v>
      </c>
      <c r="Z370" s="62">
        <f t="shared" si="284"/>
        <v>178500</v>
      </c>
      <c r="AA370" s="62">
        <f t="shared" si="284"/>
        <v>178500</v>
      </c>
      <c r="AB370" s="62">
        <f t="shared" si="284"/>
        <v>178500</v>
      </c>
      <c r="AC370" s="62">
        <f t="shared" si="284"/>
        <v>178500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867529.23505697085</v>
      </c>
      <c r="C373" s="63">
        <f t="shared" ref="C373:AC373" si="285">((1+C358)^C365)*C358/(((1+C358)^C365)-1)*(C354)</f>
        <v>865681.10860566224</v>
      </c>
      <c r="D373" s="63">
        <f t="shared" si="285"/>
        <v>863057.03397703567</v>
      </c>
      <c r="E373" s="63">
        <f t="shared" si="285"/>
        <v>859348.15664694412</v>
      </c>
      <c r="F373" s="63">
        <f t="shared" si="285"/>
        <v>854140.95978918544</v>
      </c>
      <c r="G373" s="63">
        <f t="shared" si="285"/>
        <v>846901.06588590739</v>
      </c>
      <c r="H373" s="63">
        <f t="shared" si="285"/>
        <v>836975.44218948286</v>
      </c>
      <c r="I373" s="63">
        <f t="shared" si="285"/>
        <v>823636.46752832399</v>
      </c>
      <c r="J373" s="63">
        <f t="shared" si="285"/>
        <v>806199.8507457996</v>
      </c>
      <c r="K373" s="63">
        <f t="shared" si="285"/>
        <v>784241.37907896913</v>
      </c>
      <c r="L373" s="63">
        <f t="shared" si="285"/>
        <v>757891.84339680034</v>
      </c>
      <c r="M373" s="63">
        <f t="shared" si="285"/>
        <v>728096.48265190842</v>
      </c>
      <c r="N373" s="63">
        <f t="shared" si="285"/>
        <v>696641.64256081509</v>
      </c>
      <c r="O373" s="63">
        <f t="shared" si="285"/>
        <v>665805.77488808637</v>
      </c>
      <c r="P373" s="63">
        <f t="shared" si="285"/>
        <v>637735.24983383913</v>
      </c>
      <c r="Q373" s="63">
        <f t="shared" si="285"/>
        <v>613879.3008573663</v>
      </c>
      <c r="R373" s="63">
        <f t="shared" si="285"/>
        <v>594774.95808561263</v>
      </c>
      <c r="S373" s="63">
        <f t="shared" si="285"/>
        <v>580197.49663952412</v>
      </c>
      <c r="T373" s="63">
        <f t="shared" si="285"/>
        <v>569481.893362551</v>
      </c>
      <c r="U373" s="63">
        <f t="shared" si="285"/>
        <v>561820.39203855116</v>
      </c>
      <c r="V373" s="63">
        <f t="shared" si="285"/>
        <v>556450.81105826527</v>
      </c>
      <c r="W373" s="63">
        <f t="shared" si="285"/>
        <v>552740.10056064755</v>
      </c>
      <c r="X373" s="63">
        <f t="shared" si="285"/>
        <v>550200.67645533092</v>
      </c>
      <c r="Y373" s="63">
        <f t="shared" si="285"/>
        <v>548474.42124823271</v>
      </c>
      <c r="Z373" s="63">
        <f t="shared" si="285"/>
        <v>547306.28355832992</v>
      </c>
      <c r="AA373" s="63">
        <f t="shared" si="285"/>
        <v>546518.25665316184</v>
      </c>
      <c r="AB373" s="63">
        <f t="shared" si="285"/>
        <v>545987.76085518813</v>
      </c>
      <c r="AC373" s="63">
        <f t="shared" si="285"/>
        <v>545631.13525794924</v>
      </c>
    </row>
    <row r="374" spans="1:29" x14ac:dyDescent="0.25">
      <c r="A374" s="30" t="str">
        <f>A355</f>
        <v>Residual value (vehicle)</v>
      </c>
      <c r="B374" s="62">
        <f>((1+B358)^B365)*B358/(((1+B358)^B365)-1)*(B355)</f>
        <v>-44095.850871439077</v>
      </c>
      <c r="C374" s="62">
        <f t="shared" ref="C374:AC374" si="286">((1+C358)^C365)*C358/(((1+C358)^C365)-1)*(C355)</f>
        <v>-44311.465624091747</v>
      </c>
      <c r="D374" s="62">
        <f t="shared" si="286"/>
        <v>-44617.607664098185</v>
      </c>
      <c r="E374" s="62">
        <f t="shared" si="286"/>
        <v>-45050.310019275523</v>
      </c>
      <c r="F374" s="62">
        <f t="shared" si="286"/>
        <v>-45657.816319347374</v>
      </c>
      <c r="G374" s="62">
        <f t="shared" si="286"/>
        <v>-46502.470608063151</v>
      </c>
      <c r="H374" s="62">
        <f t="shared" si="286"/>
        <v>-47660.460039312675</v>
      </c>
      <c r="I374" s="62">
        <f t="shared" si="286"/>
        <v>-49216.673749781199</v>
      </c>
      <c r="J374" s="62">
        <f t="shared" si="286"/>
        <v>-51250.945707742365</v>
      </c>
      <c r="K374" s="62">
        <f t="shared" si="286"/>
        <v>-53812.767402205936</v>
      </c>
      <c r="L374" s="62">
        <f t="shared" si="286"/>
        <v>-56886.879898458967</v>
      </c>
      <c r="M374" s="62">
        <f t="shared" si="286"/>
        <v>-60363.005318696356</v>
      </c>
      <c r="N374" s="62">
        <f t="shared" si="286"/>
        <v>-64032.73666265724</v>
      </c>
      <c r="O374" s="62">
        <f t="shared" si="286"/>
        <v>-67630.254557808934</v>
      </c>
      <c r="P374" s="62">
        <f t="shared" si="286"/>
        <v>-70905.149147471107</v>
      </c>
      <c r="Q374" s="62">
        <f t="shared" si="286"/>
        <v>-73688.343194726258</v>
      </c>
      <c r="R374" s="62">
        <f t="shared" si="286"/>
        <v>-75917.183184764202</v>
      </c>
      <c r="S374" s="62">
        <f t="shared" si="286"/>
        <v>-77617.887020141206</v>
      </c>
      <c r="T374" s="62">
        <f t="shared" si="286"/>
        <v>-78868.040735788047</v>
      </c>
      <c r="U374" s="62">
        <f t="shared" si="286"/>
        <v>-79761.882556921351</v>
      </c>
      <c r="V374" s="62">
        <f t="shared" si="286"/>
        <v>-80388.333671288041</v>
      </c>
      <c r="W374" s="62">
        <f t="shared" si="286"/>
        <v>-80821.249896010122</v>
      </c>
      <c r="X374" s="62">
        <f t="shared" si="286"/>
        <v>-81117.516041630384</v>
      </c>
      <c r="Y374" s="62">
        <f t="shared" si="286"/>
        <v>-81318.912482458516</v>
      </c>
      <c r="Z374" s="62">
        <f t="shared" si="286"/>
        <v>-81455.19521294719</v>
      </c>
      <c r="AA374" s="62">
        <f t="shared" si="286"/>
        <v>-81547.131685216795</v>
      </c>
      <c r="AB374" s="62">
        <f t="shared" si="286"/>
        <v>-81609.022861647056</v>
      </c>
      <c r="AC374" s="62">
        <f t="shared" si="286"/>
        <v>-81650.629181324926</v>
      </c>
    </row>
    <row r="375" spans="1:29" x14ac:dyDescent="0.25">
      <c r="A375" s="30" t="str">
        <f>A356</f>
        <v>Capex costumization</v>
      </c>
      <c r="B375" s="62">
        <f>((1+B358)^B366)*B358/(((1+B358)^B366)-1)*(B356)</f>
        <v>305125.4282581982</v>
      </c>
      <c r="C375" s="62">
        <f t="shared" ref="C375:AC375" si="287">((1+C358)^C366)*C358/(((1+C358)^C366)-1)*(C356)</f>
        <v>305125.4282581982</v>
      </c>
      <c r="D375" s="62">
        <f t="shared" si="287"/>
        <v>305125.4282581982</v>
      </c>
      <c r="E375" s="62">
        <f t="shared" si="287"/>
        <v>305125.4282581982</v>
      </c>
      <c r="F375" s="62">
        <f t="shared" si="287"/>
        <v>305125.4282581982</v>
      </c>
      <c r="G375" s="62">
        <f t="shared" si="287"/>
        <v>305125.4282581982</v>
      </c>
      <c r="H375" s="62">
        <f t="shared" si="287"/>
        <v>305125.4282581982</v>
      </c>
      <c r="I375" s="62">
        <f t="shared" si="287"/>
        <v>305125.4282581982</v>
      </c>
      <c r="J375" s="62">
        <f t="shared" si="287"/>
        <v>305125.4282581982</v>
      </c>
      <c r="K375" s="62">
        <f t="shared" si="287"/>
        <v>305125.4282581982</v>
      </c>
      <c r="L375" s="62">
        <f t="shared" si="287"/>
        <v>305125.4282581982</v>
      </c>
      <c r="M375" s="62">
        <f t="shared" si="287"/>
        <v>305125.4282581982</v>
      </c>
      <c r="N375" s="62">
        <f t="shared" si="287"/>
        <v>305125.4282581982</v>
      </c>
      <c r="O375" s="62">
        <f t="shared" si="287"/>
        <v>305125.4282581982</v>
      </c>
      <c r="P375" s="62">
        <f t="shared" si="287"/>
        <v>305125.4282581982</v>
      </c>
      <c r="Q375" s="62">
        <f t="shared" si="287"/>
        <v>305125.4282581982</v>
      </c>
      <c r="R375" s="62">
        <f t="shared" si="287"/>
        <v>305125.4282581982</v>
      </c>
      <c r="S375" s="62">
        <f t="shared" si="287"/>
        <v>305125.4282581982</v>
      </c>
      <c r="T375" s="62">
        <f t="shared" si="287"/>
        <v>305125.4282581982</v>
      </c>
      <c r="U375" s="62">
        <f t="shared" si="287"/>
        <v>305125.4282581982</v>
      </c>
      <c r="V375" s="62">
        <f t="shared" si="287"/>
        <v>305125.4282581982</v>
      </c>
      <c r="W375" s="62">
        <f t="shared" si="287"/>
        <v>305125.4282581982</v>
      </c>
      <c r="X375" s="62">
        <f t="shared" si="287"/>
        <v>305125.4282581982</v>
      </c>
      <c r="Y375" s="62">
        <f t="shared" si="287"/>
        <v>305125.4282581982</v>
      </c>
      <c r="Z375" s="62">
        <f t="shared" si="287"/>
        <v>305125.4282581982</v>
      </c>
      <c r="AA375" s="62">
        <f t="shared" si="287"/>
        <v>305125.4282581982</v>
      </c>
      <c r="AB375" s="62">
        <f t="shared" si="287"/>
        <v>305125.4282581982</v>
      </c>
      <c r="AC375" s="62">
        <f t="shared" si="287"/>
        <v>305125.4282581982</v>
      </c>
    </row>
    <row r="376" spans="1:29" x14ac:dyDescent="0.25">
      <c r="A376" s="30" t="str">
        <f>A357</f>
        <v>Residual value (costumization)</v>
      </c>
      <c r="B376" s="62">
        <f>((1+B358)^B366)*B358/(((1+B358)^B366)-1)*(B357)</f>
        <v>-15256.271412909911</v>
      </c>
      <c r="C376" s="62">
        <f t="shared" ref="C376:AC376" si="288">((1+C358)^C366)*C358/(((1+C358)^C366)-1)*(C357)</f>
        <v>-15256.271412909911</v>
      </c>
      <c r="D376" s="62">
        <f t="shared" si="288"/>
        <v>-15256.271412909911</v>
      </c>
      <c r="E376" s="62">
        <f t="shared" si="288"/>
        <v>-15256.271412909911</v>
      </c>
      <c r="F376" s="62">
        <f t="shared" si="288"/>
        <v>-15256.271412909911</v>
      </c>
      <c r="G376" s="62">
        <f t="shared" si="288"/>
        <v>-15256.271412909911</v>
      </c>
      <c r="H376" s="62">
        <f t="shared" si="288"/>
        <v>-15256.271412909911</v>
      </c>
      <c r="I376" s="62">
        <f t="shared" si="288"/>
        <v>-15256.271412909911</v>
      </c>
      <c r="J376" s="62">
        <f t="shared" si="288"/>
        <v>-15256.271412909911</v>
      </c>
      <c r="K376" s="62">
        <f t="shared" si="288"/>
        <v>-15256.271412909911</v>
      </c>
      <c r="L376" s="62">
        <f t="shared" si="288"/>
        <v>-15256.271412909911</v>
      </c>
      <c r="M376" s="62">
        <f t="shared" si="288"/>
        <v>-15256.271412909911</v>
      </c>
      <c r="N376" s="62">
        <f t="shared" si="288"/>
        <v>-15256.271412909911</v>
      </c>
      <c r="O376" s="62">
        <f t="shared" si="288"/>
        <v>-15256.271412909911</v>
      </c>
      <c r="P376" s="62">
        <f t="shared" si="288"/>
        <v>-15256.271412909911</v>
      </c>
      <c r="Q376" s="62">
        <f t="shared" si="288"/>
        <v>-15256.271412909911</v>
      </c>
      <c r="R376" s="62">
        <f t="shared" si="288"/>
        <v>-15256.271412909911</v>
      </c>
      <c r="S376" s="62">
        <f t="shared" si="288"/>
        <v>-15256.271412909911</v>
      </c>
      <c r="T376" s="62">
        <f t="shared" si="288"/>
        <v>-15256.271412909911</v>
      </c>
      <c r="U376" s="62">
        <f t="shared" si="288"/>
        <v>-15256.271412909911</v>
      </c>
      <c r="V376" s="62">
        <f t="shared" si="288"/>
        <v>-15256.271412909911</v>
      </c>
      <c r="W376" s="62">
        <f t="shared" si="288"/>
        <v>-15256.271412909911</v>
      </c>
      <c r="X376" s="62">
        <f t="shared" si="288"/>
        <v>-15256.271412909911</v>
      </c>
      <c r="Y376" s="62">
        <f t="shared" si="288"/>
        <v>-15256.271412909911</v>
      </c>
      <c r="Z376" s="62">
        <f t="shared" si="288"/>
        <v>-15256.271412909911</v>
      </c>
      <c r="AA376" s="62">
        <f t="shared" si="288"/>
        <v>-15256.271412909911</v>
      </c>
      <c r="AB376" s="62">
        <f t="shared" si="288"/>
        <v>-15256.271412909911</v>
      </c>
      <c r="AC376" s="62">
        <f t="shared" si="288"/>
        <v>-15256.271412909911</v>
      </c>
    </row>
    <row r="377" spans="1:29" x14ac:dyDescent="0.25">
      <c r="A377" s="30" t="str">
        <f t="shared" ref="A377:AC377" si="289">A359</f>
        <v>Opex fix (admin, crew, insurance)</v>
      </c>
      <c r="B377" s="62">
        <f t="shared" si="289"/>
        <v>1450000</v>
      </c>
      <c r="C377" s="62">
        <f t="shared" si="289"/>
        <v>1450000</v>
      </c>
      <c r="D377" s="62">
        <f t="shared" si="289"/>
        <v>1450000</v>
      </c>
      <c r="E377" s="62">
        <f t="shared" si="289"/>
        <v>1450000</v>
      </c>
      <c r="F377" s="62">
        <f t="shared" si="289"/>
        <v>1450000</v>
      </c>
      <c r="G377" s="62">
        <f t="shared" si="289"/>
        <v>1450000</v>
      </c>
      <c r="H377" s="62">
        <f t="shared" si="289"/>
        <v>1450000</v>
      </c>
      <c r="I377" s="62">
        <f t="shared" si="289"/>
        <v>1450000</v>
      </c>
      <c r="J377" s="62">
        <f t="shared" si="289"/>
        <v>1450000</v>
      </c>
      <c r="K377" s="62">
        <f t="shared" si="289"/>
        <v>1450000</v>
      </c>
      <c r="L377" s="62">
        <f t="shared" si="289"/>
        <v>1450000</v>
      </c>
      <c r="M377" s="62">
        <f t="shared" si="289"/>
        <v>1450000</v>
      </c>
      <c r="N377" s="62">
        <f t="shared" si="289"/>
        <v>1450000</v>
      </c>
      <c r="O377" s="62">
        <f t="shared" si="289"/>
        <v>1450000</v>
      </c>
      <c r="P377" s="62">
        <f t="shared" si="289"/>
        <v>1450000</v>
      </c>
      <c r="Q377" s="62">
        <f t="shared" si="289"/>
        <v>1450000</v>
      </c>
      <c r="R377" s="62">
        <f t="shared" si="289"/>
        <v>1450000</v>
      </c>
      <c r="S377" s="62">
        <f t="shared" si="289"/>
        <v>1450000</v>
      </c>
      <c r="T377" s="62">
        <f t="shared" si="289"/>
        <v>1450000</v>
      </c>
      <c r="U377" s="62">
        <f t="shared" si="289"/>
        <v>1450000</v>
      </c>
      <c r="V377" s="62">
        <f t="shared" si="289"/>
        <v>1450000</v>
      </c>
      <c r="W377" s="62">
        <f t="shared" si="289"/>
        <v>1450000</v>
      </c>
      <c r="X377" s="62">
        <f t="shared" si="289"/>
        <v>1450000</v>
      </c>
      <c r="Y377" s="62">
        <f t="shared" si="289"/>
        <v>1450000</v>
      </c>
      <c r="Z377" s="62">
        <f t="shared" si="289"/>
        <v>1450000</v>
      </c>
      <c r="AA377" s="62">
        <f t="shared" si="289"/>
        <v>1450000</v>
      </c>
      <c r="AB377" s="62">
        <f t="shared" si="289"/>
        <v>1450000</v>
      </c>
      <c r="AC377" s="62">
        <f t="shared" si="289"/>
        <v>1450000</v>
      </c>
    </row>
    <row r="378" spans="1:29" x14ac:dyDescent="0.25">
      <c r="A378" s="30" t="str">
        <f t="shared" ref="A378:AC378" si="290">A360</f>
        <v>Opex maintenance &amp; repair</v>
      </c>
      <c r="B378" s="62">
        <f t="shared" si="290"/>
        <v>1293563.9575177333</v>
      </c>
      <c r="C378" s="62">
        <f t="shared" si="290"/>
        <v>1290808.235093934</v>
      </c>
      <c r="D378" s="62">
        <f t="shared" si="290"/>
        <v>1286895.5042898762</v>
      </c>
      <c r="E378" s="62">
        <f t="shared" si="290"/>
        <v>1281365.2352877648</v>
      </c>
      <c r="F378" s="62">
        <f t="shared" si="290"/>
        <v>1273600.837383118</v>
      </c>
      <c r="G378" s="62">
        <f t="shared" si="290"/>
        <v>1262805.5057319398</v>
      </c>
      <c r="H378" s="62">
        <f t="shared" si="290"/>
        <v>1248005.5098923349</v>
      </c>
      <c r="I378" s="62">
        <f t="shared" si="290"/>
        <v>1228115.9013873441</v>
      </c>
      <c r="J378" s="62">
        <f t="shared" si="290"/>
        <v>1202116.3406815415</v>
      </c>
      <c r="K378" s="62">
        <f t="shared" si="290"/>
        <v>1169374.2884687176</v>
      </c>
      <c r="L378" s="62">
        <f t="shared" si="290"/>
        <v>1130084.7656740851</v>
      </c>
      <c r="M378" s="62">
        <f t="shared" si="290"/>
        <v>1085657.2084191416</v>
      </c>
      <c r="N378" s="62">
        <f t="shared" si="290"/>
        <v>1038755.2185067786</v>
      </c>
      <c r="O378" s="62">
        <f t="shared" si="290"/>
        <v>992776.17202817916</v>
      </c>
      <c r="P378" s="62">
        <f t="shared" si="290"/>
        <v>950920.49960650213</v>
      </c>
      <c r="Q378" s="62">
        <f t="shared" si="290"/>
        <v>915349.13841044903</v>
      </c>
      <c r="R378" s="62">
        <f t="shared" si="290"/>
        <v>886862.84856226621</v>
      </c>
      <c r="S378" s="62">
        <f t="shared" si="290"/>
        <v>865126.54509633617</v>
      </c>
      <c r="T378" s="62">
        <f t="shared" si="290"/>
        <v>849148.61879481981</v>
      </c>
      <c r="U378" s="62">
        <f t="shared" si="290"/>
        <v>837724.6326365323</v>
      </c>
      <c r="V378" s="62">
        <f t="shared" si="290"/>
        <v>829718.10542985611</v>
      </c>
      <c r="W378" s="62">
        <f t="shared" si="290"/>
        <v>824185.10301042092</v>
      </c>
      <c r="X378" s="62">
        <f t="shared" si="290"/>
        <v>820398.59373471502</v>
      </c>
      <c r="Y378" s="62">
        <f t="shared" si="290"/>
        <v>817824.59227500285</v>
      </c>
      <c r="Z378" s="62">
        <f t="shared" si="290"/>
        <v>816082.79412917187</v>
      </c>
      <c r="AA378" s="62">
        <f t="shared" si="290"/>
        <v>814907.77528152149</v>
      </c>
      <c r="AB378" s="62">
        <f t="shared" si="290"/>
        <v>814116.75843028165</v>
      </c>
      <c r="AC378" s="62">
        <f t="shared" si="290"/>
        <v>813584.99765465059</v>
      </c>
    </row>
    <row r="379" spans="1:29" x14ac:dyDescent="0.25">
      <c r="A379" s="30" t="str">
        <f>A361</f>
        <v>Opex var (mode-fees, shunting)</v>
      </c>
      <c r="B379" s="62">
        <f>B361*B370</f>
        <v>1600000</v>
      </c>
      <c r="C379" s="62">
        <f t="shared" ref="C379:AC379" si="291">C361*C370</f>
        <v>1600000</v>
      </c>
      <c r="D379" s="62">
        <f t="shared" si="291"/>
        <v>1600000</v>
      </c>
      <c r="E379" s="62">
        <f t="shared" si="291"/>
        <v>1600000</v>
      </c>
      <c r="F379" s="62">
        <f t="shared" si="291"/>
        <v>1600000</v>
      </c>
      <c r="G379" s="62">
        <f t="shared" si="291"/>
        <v>1600000</v>
      </c>
      <c r="H379" s="62">
        <f t="shared" si="291"/>
        <v>1600000</v>
      </c>
      <c r="I379" s="62">
        <f t="shared" si="291"/>
        <v>1600000</v>
      </c>
      <c r="J379" s="62">
        <f t="shared" si="291"/>
        <v>1600000</v>
      </c>
      <c r="K379" s="62">
        <f t="shared" si="291"/>
        <v>1600000</v>
      </c>
      <c r="L379" s="62">
        <f t="shared" si="291"/>
        <v>1600000</v>
      </c>
      <c r="M379" s="62">
        <f t="shared" si="291"/>
        <v>1600000</v>
      </c>
      <c r="N379" s="62">
        <f t="shared" si="291"/>
        <v>1600000</v>
      </c>
      <c r="O379" s="62">
        <f t="shared" si="291"/>
        <v>1600000</v>
      </c>
      <c r="P379" s="62">
        <f t="shared" si="291"/>
        <v>1600000</v>
      </c>
      <c r="Q379" s="62">
        <f t="shared" si="291"/>
        <v>1600000</v>
      </c>
      <c r="R379" s="62">
        <f t="shared" si="291"/>
        <v>1600000</v>
      </c>
      <c r="S379" s="62">
        <f t="shared" si="291"/>
        <v>1600000</v>
      </c>
      <c r="T379" s="62">
        <f t="shared" si="291"/>
        <v>1600000</v>
      </c>
      <c r="U379" s="62">
        <f t="shared" si="291"/>
        <v>1600000</v>
      </c>
      <c r="V379" s="62">
        <f t="shared" si="291"/>
        <v>1600000</v>
      </c>
      <c r="W379" s="62">
        <f t="shared" si="291"/>
        <v>1600000</v>
      </c>
      <c r="X379" s="62">
        <f t="shared" si="291"/>
        <v>1600000</v>
      </c>
      <c r="Y379" s="62">
        <f t="shared" si="291"/>
        <v>1600000</v>
      </c>
      <c r="Z379" s="62">
        <f t="shared" si="291"/>
        <v>1600000</v>
      </c>
      <c r="AA379" s="62">
        <f t="shared" si="291"/>
        <v>1600000</v>
      </c>
      <c r="AB379" s="62">
        <f t="shared" si="291"/>
        <v>1600000</v>
      </c>
      <c r="AC379" s="62">
        <f t="shared" si="291"/>
        <v>1600000</v>
      </c>
    </row>
    <row r="380" spans="1:29" x14ac:dyDescent="0.25">
      <c r="A380" s="30" t="str">
        <f>A363</f>
        <v>Fuel Cost</v>
      </c>
      <c r="B380" s="62">
        <f>B362*B363*B370</f>
        <v>798056.04826895113</v>
      </c>
      <c r="C380" s="62">
        <f t="shared" ref="C380:AC380" si="292">C362*C363*C370</f>
        <v>796492.71682323981</v>
      </c>
      <c r="D380" s="62">
        <f t="shared" si="292"/>
        <v>794273.01027668803</v>
      </c>
      <c r="E380" s="62">
        <f t="shared" si="292"/>
        <v>791135.66837331757</v>
      </c>
      <c r="F380" s="62">
        <f t="shared" si="292"/>
        <v>786730.89694332192</v>
      </c>
      <c r="G380" s="62">
        <f t="shared" si="292"/>
        <v>780606.66567408491</v>
      </c>
      <c r="H380" s="62">
        <f t="shared" si="292"/>
        <v>772210.57371190842</v>
      </c>
      <c r="I380" s="62">
        <f t="shared" si="292"/>
        <v>760927.1258035847</v>
      </c>
      <c r="J380" s="62">
        <f t="shared" si="292"/>
        <v>746177.47958558018</v>
      </c>
      <c r="K380" s="62">
        <f t="shared" si="292"/>
        <v>727602.79318779043</v>
      </c>
      <c r="L380" s="62">
        <f t="shared" si="292"/>
        <v>705313.70269689942</v>
      </c>
      <c r="M380" s="62">
        <f t="shared" si="292"/>
        <v>680109.78639787121</v>
      </c>
      <c r="N380" s="62">
        <f t="shared" si="292"/>
        <v>653502.11537005368</v>
      </c>
      <c r="O380" s="62">
        <f t="shared" si="292"/>
        <v>627418.0335398108</v>
      </c>
      <c r="P380" s="62">
        <f t="shared" si="292"/>
        <v>603673.15694662137</v>
      </c>
      <c r="Q380" s="62">
        <f t="shared" si="292"/>
        <v>583493.39317786123</v>
      </c>
      <c r="R380" s="62">
        <f t="shared" si="292"/>
        <v>567333.01639001595</v>
      </c>
      <c r="S380" s="62">
        <f t="shared" si="292"/>
        <v>555001.93165218434</v>
      </c>
      <c r="T380" s="62">
        <f t="shared" si="292"/>
        <v>545937.59541545261</v>
      </c>
      <c r="U380" s="62">
        <f t="shared" si="292"/>
        <v>539456.72613689909</v>
      </c>
      <c r="V380" s="62">
        <f t="shared" si="292"/>
        <v>534914.59386514337</v>
      </c>
      <c r="W380" s="62">
        <f t="shared" si="292"/>
        <v>531775.70128409215</v>
      </c>
      <c r="X380" s="62">
        <f t="shared" si="292"/>
        <v>529627.6006738618</v>
      </c>
      <c r="Y380" s="62">
        <f t="shared" si="292"/>
        <v>528167.36019807158</v>
      </c>
      <c r="Z380" s="62">
        <f t="shared" si="292"/>
        <v>527179.23171679105</v>
      </c>
      <c r="AA380" s="62">
        <f t="shared" si="292"/>
        <v>526512.63921169308</v>
      </c>
      <c r="AB380" s="62">
        <f t="shared" si="292"/>
        <v>526063.89244861156</v>
      </c>
      <c r="AC380" s="62">
        <f t="shared" si="292"/>
        <v>525762.2226088047</v>
      </c>
    </row>
    <row r="381" spans="1:29" ht="15.75" thickBot="1" x14ac:dyDescent="0.3">
      <c r="A381" s="59" t="str">
        <f>A344</f>
        <v>Emission Cost</v>
      </c>
      <c r="B381" s="62">
        <f>B364*B370</f>
        <v>13854.632661222226</v>
      </c>
      <c r="C381" s="62">
        <f t="shared" ref="C381:AC381" si="293">C364*C370</f>
        <v>13841.439675224099</v>
      </c>
      <c r="D381" s="62">
        <f t="shared" si="293"/>
        <v>13822.554209617852</v>
      </c>
      <c r="E381" s="62">
        <f t="shared" si="293"/>
        <v>13795.537222982803</v>
      </c>
      <c r="F381" s="62">
        <f t="shared" si="293"/>
        <v>13756.923987487233</v>
      </c>
      <c r="G381" s="62">
        <f t="shared" si="293"/>
        <v>13701.814555768824</v>
      </c>
      <c r="H381" s="62">
        <f t="shared" si="293"/>
        <v>13623.325205178304</v>
      </c>
      <c r="I381" s="62">
        <f t="shared" si="293"/>
        <v>13511.881578928529</v>
      </c>
      <c r="J381" s="62">
        <f t="shared" si="293"/>
        <v>13354.366722273209</v>
      </c>
      <c r="K381" s="62">
        <f t="shared" si="293"/>
        <v>13133.218705332552</v>
      </c>
      <c r="L381" s="62">
        <f t="shared" si="293"/>
        <v>12825.742682568964</v>
      </c>
      <c r="M381" s="62">
        <f t="shared" si="293"/>
        <v>12404.204558060976</v>
      </c>
      <c r="N381" s="62">
        <f t="shared" si="293"/>
        <v>11837.702488921488</v>
      </c>
      <c r="O381" s="62">
        <f t="shared" si="293"/>
        <v>11097.17484440505</v>
      </c>
      <c r="P381" s="62">
        <f t="shared" si="293"/>
        <v>10164.605441554135</v>
      </c>
      <c r="Q381" s="62">
        <f t="shared" si="293"/>
        <v>9045.5489275419332</v>
      </c>
      <c r="R381" s="62">
        <f t="shared" si="293"/>
        <v>7780.1493041444628</v>
      </c>
      <c r="S381" s="62">
        <f t="shared" si="293"/>
        <v>6444.2721135277652</v>
      </c>
      <c r="T381" s="62">
        <f t="shared" si="293"/>
        <v>5134.682487334203</v>
      </c>
      <c r="U381" s="62">
        <f t="shared" si="293"/>
        <v>3942.5360946007872</v>
      </c>
      <c r="V381" s="62">
        <f t="shared" si="293"/>
        <v>2929.3814256883388</v>
      </c>
      <c r="W381" s="62">
        <f t="shared" si="293"/>
        <v>2118.0259816104226</v>
      </c>
      <c r="X381" s="62">
        <f t="shared" si="293"/>
        <v>1498.9257672546028</v>
      </c>
      <c r="Y381" s="62">
        <f t="shared" si="293"/>
        <v>1043.8374577941086</v>
      </c>
      <c r="Z381" s="62">
        <f t="shared" si="293"/>
        <v>718.45590013967967</v>
      </c>
      <c r="AA381" s="62">
        <f t="shared" si="293"/>
        <v>490.41148045864259</v>
      </c>
      <c r="AB381" s="62">
        <f t="shared" si="293"/>
        <v>332.81876975358495</v>
      </c>
      <c r="AC381" s="62">
        <f t="shared" si="293"/>
        <v>224.9702246721173</v>
      </c>
    </row>
    <row r="382" spans="1:29" ht="15.75" thickBot="1" x14ac:dyDescent="0.3">
      <c r="A382" s="31" t="s">
        <v>209</v>
      </c>
      <c r="B382" s="64">
        <f>B373+B374+B375+B376+B377+B378+B379+B380+B381</f>
        <v>6268777.1794787273</v>
      </c>
      <c r="C382" s="64">
        <f t="shared" ref="C382:AC382" si="294">C373+C374+C375+C376+C377+C378+C379+C380+C381</f>
        <v>6262381.1914192569</v>
      </c>
      <c r="D382" s="64">
        <f t="shared" si="294"/>
        <v>6253299.6519344077</v>
      </c>
      <c r="E382" s="64">
        <f t="shared" si="294"/>
        <v>6240463.4443570217</v>
      </c>
      <c r="F382" s="64">
        <f t="shared" si="294"/>
        <v>6222440.9586290531</v>
      </c>
      <c r="G382" s="64">
        <f t="shared" si="294"/>
        <v>6197381.7380849263</v>
      </c>
      <c r="H382" s="64">
        <f t="shared" si="294"/>
        <v>6163023.54780488</v>
      </c>
      <c r="I382" s="64">
        <f t="shared" si="294"/>
        <v>6116843.8593936889</v>
      </c>
      <c r="J382" s="64">
        <f t="shared" si="294"/>
        <v>6056466.2488727411</v>
      </c>
      <c r="K382" s="64">
        <f t="shared" si="294"/>
        <v>5980408.0688838921</v>
      </c>
      <c r="L382" s="64">
        <f t="shared" si="294"/>
        <v>5889098.3313971832</v>
      </c>
      <c r="M382" s="64">
        <f t="shared" si="294"/>
        <v>5785773.833553575</v>
      </c>
      <c r="N382" s="64">
        <f t="shared" si="294"/>
        <v>5676573.0991091998</v>
      </c>
      <c r="O382" s="64">
        <f t="shared" si="294"/>
        <v>5569336.0575879607</v>
      </c>
      <c r="P382" s="64">
        <f t="shared" si="294"/>
        <v>5471457.5195263354</v>
      </c>
      <c r="Q382" s="64">
        <f t="shared" si="294"/>
        <v>5387948.1950237807</v>
      </c>
      <c r="R382" s="64">
        <f t="shared" si="294"/>
        <v>5320702.9460025635</v>
      </c>
      <c r="S382" s="64">
        <f t="shared" si="294"/>
        <v>5269021.5153267197</v>
      </c>
      <c r="T382" s="64">
        <f t="shared" si="294"/>
        <v>5230703.9061696576</v>
      </c>
      <c r="U382" s="64">
        <f t="shared" si="294"/>
        <v>5203051.5611949489</v>
      </c>
      <c r="V382" s="64">
        <f t="shared" si="294"/>
        <v>5183493.7149529532</v>
      </c>
      <c r="W382" s="64">
        <f t="shared" si="294"/>
        <v>5169866.8377860487</v>
      </c>
      <c r="X382" s="64">
        <f t="shared" si="294"/>
        <v>5160477.4374348205</v>
      </c>
      <c r="Y382" s="64">
        <f t="shared" si="294"/>
        <v>5154060.4555419302</v>
      </c>
      <c r="Z382" s="64">
        <f t="shared" si="294"/>
        <v>5149700.7269367743</v>
      </c>
      <c r="AA382" s="64">
        <f t="shared" si="294"/>
        <v>5146751.107786906</v>
      </c>
      <c r="AB382" s="64">
        <f t="shared" si="294"/>
        <v>5144761.3644874766</v>
      </c>
      <c r="AC382" s="64">
        <f t="shared" si="294"/>
        <v>5143421.85341004</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295">A373</f>
        <v>Capex vehicle</v>
      </c>
      <c r="B385" s="65">
        <f>((1+B358)^B365)*B358/(((1+B358)^B365)-1)*(B354)/B370</f>
        <v>4.8601077594228057</v>
      </c>
      <c r="C385" s="65">
        <f t="shared" ref="C385:AC385" si="296">((1+C358)^C365)*C358/(((1+C358)^C365)-1)*(C354)/C370</f>
        <v>4.8497541098356427</v>
      </c>
      <c r="D385" s="65">
        <f t="shared" si="296"/>
        <v>4.8350534116360544</v>
      </c>
      <c r="E385" s="65">
        <f t="shared" si="296"/>
        <v>4.8142753873778386</v>
      </c>
      <c r="F385" s="65">
        <f t="shared" si="296"/>
        <v>4.7851034161859127</v>
      </c>
      <c r="G385" s="65">
        <f t="shared" si="296"/>
        <v>4.7445437864756714</v>
      </c>
      <c r="H385" s="65">
        <f t="shared" si="296"/>
        <v>4.6889380514816965</v>
      </c>
      <c r="I385" s="65">
        <f t="shared" si="296"/>
        <v>4.6142099021194625</v>
      </c>
      <c r="J385" s="65">
        <f t="shared" si="296"/>
        <v>4.5165257744862721</v>
      </c>
      <c r="K385" s="65">
        <f t="shared" si="296"/>
        <v>4.3935091264928241</v>
      </c>
      <c r="L385" s="65">
        <f t="shared" si="296"/>
        <v>4.2458926800941192</v>
      </c>
      <c r="M385" s="65">
        <f t="shared" si="296"/>
        <v>4.0789718916073303</v>
      </c>
      <c r="N385" s="65">
        <f t="shared" si="296"/>
        <v>3.9027543000605887</v>
      </c>
      <c r="O385" s="65">
        <f t="shared" si="296"/>
        <v>3.7300043411097277</v>
      </c>
      <c r="P385" s="65">
        <f t="shared" si="296"/>
        <v>3.5727464976685668</v>
      </c>
      <c r="Q385" s="65">
        <f t="shared" si="296"/>
        <v>3.4390997246911277</v>
      </c>
      <c r="R385" s="65">
        <f t="shared" si="296"/>
        <v>3.3320725943171574</v>
      </c>
      <c r="S385" s="65">
        <f t="shared" si="296"/>
        <v>3.2504061436387905</v>
      </c>
      <c r="T385" s="65">
        <f t="shared" si="296"/>
        <v>3.1903747527313779</v>
      </c>
      <c r="U385" s="65">
        <f t="shared" si="296"/>
        <v>3.147453176686561</v>
      </c>
      <c r="V385" s="65">
        <f t="shared" si="296"/>
        <v>3.1173714905224945</v>
      </c>
      <c r="W385" s="65">
        <f t="shared" si="296"/>
        <v>3.0965831964181936</v>
      </c>
      <c r="X385" s="65">
        <f t="shared" si="296"/>
        <v>3.0823567308421902</v>
      </c>
      <c r="Y385" s="65">
        <f t="shared" si="296"/>
        <v>3.0726858333234324</v>
      </c>
      <c r="Z385" s="65">
        <f t="shared" si="296"/>
        <v>3.0661416445844814</v>
      </c>
      <c r="AA385" s="65">
        <f t="shared" si="296"/>
        <v>3.0617269280289179</v>
      </c>
      <c r="AB385" s="65">
        <f t="shared" si="296"/>
        <v>3.058754962774163</v>
      </c>
      <c r="AC385" s="65">
        <f t="shared" si="296"/>
        <v>3.0567570602686231</v>
      </c>
    </row>
    <row r="386" spans="1:29" x14ac:dyDescent="0.25">
      <c r="A386" s="30" t="str">
        <f t="shared" si="295"/>
        <v>Residual value (vehicle)</v>
      </c>
      <c r="B386" s="66">
        <f>((1+B358)^B365)*B358/(((1+B358)^B365)-1)*(B355)/B370</f>
        <v>-0.24703557911170351</v>
      </c>
      <c r="C386" s="66">
        <f t="shared" ref="C386:AC386" si="297">((1+C358)^C365)*C358/(((1+C358)^C365)-1)*(C355)/C370</f>
        <v>-0.24824350489687252</v>
      </c>
      <c r="D386" s="66">
        <f t="shared" si="297"/>
        <v>-0.24995858635349122</v>
      </c>
      <c r="E386" s="66">
        <f t="shared" si="297"/>
        <v>-0.25238268918361639</v>
      </c>
      <c r="F386" s="66">
        <f t="shared" si="297"/>
        <v>-0.25578608582267437</v>
      </c>
      <c r="G386" s="66">
        <f t="shared" si="297"/>
        <v>-0.26051804262220252</v>
      </c>
      <c r="H386" s="66">
        <f t="shared" si="297"/>
        <v>-0.26700537837149957</v>
      </c>
      <c r="I386" s="66">
        <f t="shared" si="297"/>
        <v>-0.27572366246376023</v>
      </c>
      <c r="J386" s="66">
        <f t="shared" si="297"/>
        <v>-0.28712014402096564</v>
      </c>
      <c r="K386" s="66">
        <f t="shared" si="297"/>
        <v>-0.301472086286868</v>
      </c>
      <c r="L386" s="66">
        <f t="shared" si="297"/>
        <v>-0.31869400503338358</v>
      </c>
      <c r="M386" s="66">
        <f t="shared" si="297"/>
        <v>-0.33816809702350897</v>
      </c>
      <c r="N386" s="66">
        <f t="shared" si="297"/>
        <v>-0.35872681603729545</v>
      </c>
      <c r="O386" s="66">
        <f t="shared" si="297"/>
        <v>-0.378880977914896</v>
      </c>
      <c r="P386" s="66">
        <f t="shared" si="297"/>
        <v>-0.39722772631636477</v>
      </c>
      <c r="Q386" s="66">
        <f t="shared" si="297"/>
        <v>-0.41281984983039921</v>
      </c>
      <c r="R386" s="66">
        <f t="shared" si="297"/>
        <v>-0.42530634837402914</v>
      </c>
      <c r="S386" s="66">
        <f t="shared" si="297"/>
        <v>-0.43483410095317204</v>
      </c>
      <c r="T386" s="66">
        <f t="shared" si="297"/>
        <v>-0.44183776322570334</v>
      </c>
      <c r="U386" s="66">
        <f t="shared" si="297"/>
        <v>-0.44684528043093191</v>
      </c>
      <c r="V386" s="66">
        <f t="shared" si="297"/>
        <v>-0.45035481048340636</v>
      </c>
      <c r="W386" s="66">
        <f t="shared" si="297"/>
        <v>-0.45278011146224156</v>
      </c>
      <c r="X386" s="66">
        <f t="shared" si="297"/>
        <v>-0.45443986577944195</v>
      </c>
      <c r="Y386" s="66">
        <f t="shared" si="297"/>
        <v>-0.45556813715663036</v>
      </c>
      <c r="Z386" s="66">
        <f t="shared" si="297"/>
        <v>-0.45633162584284143</v>
      </c>
      <c r="AA386" s="66">
        <f t="shared" si="297"/>
        <v>-0.45684667610765711</v>
      </c>
      <c r="AB386" s="66">
        <f t="shared" si="297"/>
        <v>-0.45719340538737846</v>
      </c>
      <c r="AC386" s="66">
        <f t="shared" si="297"/>
        <v>-0.45742649401302482</v>
      </c>
    </row>
    <row r="387" spans="1:29" x14ac:dyDescent="0.25">
      <c r="A387" s="30" t="str">
        <f t="shared" si="295"/>
        <v>Capex costumization</v>
      </c>
      <c r="B387" s="66">
        <f>((1+B358)^B366)*B358/(((1+B358)^B366)-1)*(B356)/B370</f>
        <v>1.7093861527069927</v>
      </c>
      <c r="C387" s="66">
        <f t="shared" ref="C387:AC387" si="298">((1+C358)^C366)*C358/(((1+C358)^C366)-1)*(C356)/C370</f>
        <v>1.7093861527069927</v>
      </c>
      <c r="D387" s="66">
        <f t="shared" si="298"/>
        <v>1.7093861527069927</v>
      </c>
      <c r="E387" s="66">
        <f t="shared" si="298"/>
        <v>1.7093861527069927</v>
      </c>
      <c r="F387" s="66">
        <f t="shared" si="298"/>
        <v>1.7093861527069927</v>
      </c>
      <c r="G387" s="66">
        <f t="shared" si="298"/>
        <v>1.7093861527069927</v>
      </c>
      <c r="H387" s="66">
        <f t="shared" si="298"/>
        <v>1.7093861527069927</v>
      </c>
      <c r="I387" s="66">
        <f t="shared" si="298"/>
        <v>1.7093861527069927</v>
      </c>
      <c r="J387" s="66">
        <f t="shared" si="298"/>
        <v>1.7093861527069927</v>
      </c>
      <c r="K387" s="66">
        <f t="shared" si="298"/>
        <v>1.7093861527069927</v>
      </c>
      <c r="L387" s="66">
        <f t="shared" si="298"/>
        <v>1.7093861527069927</v>
      </c>
      <c r="M387" s="66">
        <f t="shared" si="298"/>
        <v>1.7093861527069927</v>
      </c>
      <c r="N387" s="66">
        <f t="shared" si="298"/>
        <v>1.7093861527069927</v>
      </c>
      <c r="O387" s="66">
        <f t="shared" si="298"/>
        <v>1.7093861527069927</v>
      </c>
      <c r="P387" s="66">
        <f t="shared" si="298"/>
        <v>1.7093861527069927</v>
      </c>
      <c r="Q387" s="66">
        <f t="shared" si="298"/>
        <v>1.7093861527069927</v>
      </c>
      <c r="R387" s="66">
        <f t="shared" si="298"/>
        <v>1.7093861527069927</v>
      </c>
      <c r="S387" s="66">
        <f t="shared" si="298"/>
        <v>1.7093861527069927</v>
      </c>
      <c r="T387" s="66">
        <f t="shared" si="298"/>
        <v>1.7093861527069927</v>
      </c>
      <c r="U387" s="66">
        <f t="shared" si="298"/>
        <v>1.7093861527069927</v>
      </c>
      <c r="V387" s="66">
        <f t="shared" si="298"/>
        <v>1.7093861527069927</v>
      </c>
      <c r="W387" s="66">
        <f t="shared" si="298"/>
        <v>1.7093861527069927</v>
      </c>
      <c r="X387" s="66">
        <f t="shared" si="298"/>
        <v>1.7093861527069927</v>
      </c>
      <c r="Y387" s="66">
        <f t="shared" si="298"/>
        <v>1.7093861527069927</v>
      </c>
      <c r="Z387" s="66">
        <f t="shared" si="298"/>
        <v>1.7093861527069927</v>
      </c>
      <c r="AA387" s="66">
        <f t="shared" si="298"/>
        <v>1.7093861527069927</v>
      </c>
      <c r="AB387" s="66">
        <f t="shared" si="298"/>
        <v>1.7093861527069927</v>
      </c>
      <c r="AC387" s="66">
        <f t="shared" si="298"/>
        <v>1.7093861527069927</v>
      </c>
    </row>
    <row r="388" spans="1:29" x14ac:dyDescent="0.25">
      <c r="A388" s="30" t="str">
        <f t="shared" si="295"/>
        <v>Residual value (costumization)</v>
      </c>
      <c r="B388" s="66">
        <f>((1+B358)^B366)*B358/(((1+B358)^B366)-1)*(B357)/B370</f>
        <v>-8.5469307635349642E-2</v>
      </c>
      <c r="C388" s="66">
        <f t="shared" ref="C388:AC388" si="299">((1+C358)^C366)*C358/(((1+C358)^C366)-1)*(C357)/C370</f>
        <v>-8.5469307635349642E-2</v>
      </c>
      <c r="D388" s="66">
        <f t="shared" si="299"/>
        <v>-8.5469307635349642E-2</v>
      </c>
      <c r="E388" s="66">
        <f t="shared" si="299"/>
        <v>-8.5469307635349642E-2</v>
      </c>
      <c r="F388" s="66">
        <f t="shared" si="299"/>
        <v>-8.5469307635349642E-2</v>
      </c>
      <c r="G388" s="66">
        <f t="shared" si="299"/>
        <v>-8.5469307635349642E-2</v>
      </c>
      <c r="H388" s="66">
        <f t="shared" si="299"/>
        <v>-8.5469307635349642E-2</v>
      </c>
      <c r="I388" s="66">
        <f t="shared" si="299"/>
        <v>-8.5469307635349642E-2</v>
      </c>
      <c r="J388" s="66">
        <f t="shared" si="299"/>
        <v>-8.5469307635349642E-2</v>
      </c>
      <c r="K388" s="66">
        <f t="shared" si="299"/>
        <v>-8.5469307635349642E-2</v>
      </c>
      <c r="L388" s="66">
        <f t="shared" si="299"/>
        <v>-8.5469307635349642E-2</v>
      </c>
      <c r="M388" s="66">
        <f t="shared" si="299"/>
        <v>-8.5469307635349642E-2</v>
      </c>
      <c r="N388" s="66">
        <f t="shared" si="299"/>
        <v>-8.5469307635349642E-2</v>
      </c>
      <c r="O388" s="66">
        <f t="shared" si="299"/>
        <v>-8.5469307635349642E-2</v>
      </c>
      <c r="P388" s="66">
        <f t="shared" si="299"/>
        <v>-8.5469307635349642E-2</v>
      </c>
      <c r="Q388" s="66">
        <f t="shared" si="299"/>
        <v>-8.5469307635349642E-2</v>
      </c>
      <c r="R388" s="66">
        <f t="shared" si="299"/>
        <v>-8.5469307635349642E-2</v>
      </c>
      <c r="S388" s="66">
        <f t="shared" si="299"/>
        <v>-8.5469307635349642E-2</v>
      </c>
      <c r="T388" s="66">
        <f t="shared" si="299"/>
        <v>-8.5469307635349642E-2</v>
      </c>
      <c r="U388" s="66">
        <f t="shared" si="299"/>
        <v>-8.5469307635349642E-2</v>
      </c>
      <c r="V388" s="66">
        <f t="shared" si="299"/>
        <v>-8.5469307635349642E-2</v>
      </c>
      <c r="W388" s="66">
        <f t="shared" si="299"/>
        <v>-8.5469307635349642E-2</v>
      </c>
      <c r="X388" s="66">
        <f t="shared" si="299"/>
        <v>-8.5469307635349642E-2</v>
      </c>
      <c r="Y388" s="66">
        <f t="shared" si="299"/>
        <v>-8.5469307635349642E-2</v>
      </c>
      <c r="Z388" s="66">
        <f t="shared" si="299"/>
        <v>-8.5469307635349642E-2</v>
      </c>
      <c r="AA388" s="66">
        <f t="shared" si="299"/>
        <v>-8.5469307635349642E-2</v>
      </c>
      <c r="AB388" s="66">
        <f t="shared" si="299"/>
        <v>-8.5469307635349642E-2</v>
      </c>
      <c r="AC388" s="66">
        <f t="shared" si="299"/>
        <v>-8.5469307635349642E-2</v>
      </c>
    </row>
    <row r="389" spans="1:29" x14ac:dyDescent="0.25">
      <c r="A389" s="30" t="str">
        <f t="shared" si="295"/>
        <v>Opex fix (admin, crew, insurance)</v>
      </c>
      <c r="B389" s="66">
        <f>B359/B370</f>
        <v>8.1232492997198875</v>
      </c>
      <c r="C389" s="66">
        <f t="shared" ref="C389:AC389" si="300">C359/C370</f>
        <v>8.1232492997198875</v>
      </c>
      <c r="D389" s="66">
        <f t="shared" si="300"/>
        <v>8.1232492997198875</v>
      </c>
      <c r="E389" s="66">
        <f t="shared" si="300"/>
        <v>8.1232492997198875</v>
      </c>
      <c r="F389" s="66">
        <f t="shared" si="300"/>
        <v>8.1232492997198875</v>
      </c>
      <c r="G389" s="66">
        <f t="shared" si="300"/>
        <v>8.1232492997198875</v>
      </c>
      <c r="H389" s="66">
        <f t="shared" si="300"/>
        <v>8.1232492997198875</v>
      </c>
      <c r="I389" s="66">
        <f t="shared" si="300"/>
        <v>8.1232492997198875</v>
      </c>
      <c r="J389" s="66">
        <f t="shared" si="300"/>
        <v>8.1232492997198875</v>
      </c>
      <c r="K389" s="66">
        <f t="shared" si="300"/>
        <v>8.1232492997198875</v>
      </c>
      <c r="L389" s="66">
        <f t="shared" si="300"/>
        <v>8.1232492997198875</v>
      </c>
      <c r="M389" s="66">
        <f t="shared" si="300"/>
        <v>8.1232492997198875</v>
      </c>
      <c r="N389" s="66">
        <f t="shared" si="300"/>
        <v>8.1232492997198875</v>
      </c>
      <c r="O389" s="66">
        <f t="shared" si="300"/>
        <v>8.1232492997198875</v>
      </c>
      <c r="P389" s="66">
        <f t="shared" si="300"/>
        <v>8.1232492997198875</v>
      </c>
      <c r="Q389" s="66">
        <f t="shared" si="300"/>
        <v>8.1232492997198875</v>
      </c>
      <c r="R389" s="66">
        <f t="shared" si="300"/>
        <v>8.1232492997198875</v>
      </c>
      <c r="S389" s="66">
        <f t="shared" si="300"/>
        <v>8.1232492997198875</v>
      </c>
      <c r="T389" s="66">
        <f t="shared" si="300"/>
        <v>8.1232492997198875</v>
      </c>
      <c r="U389" s="66">
        <f t="shared" si="300"/>
        <v>8.1232492997198875</v>
      </c>
      <c r="V389" s="66">
        <f t="shared" si="300"/>
        <v>8.1232492997198875</v>
      </c>
      <c r="W389" s="66">
        <f t="shared" si="300"/>
        <v>8.1232492997198875</v>
      </c>
      <c r="X389" s="66">
        <f t="shared" si="300"/>
        <v>8.1232492997198875</v>
      </c>
      <c r="Y389" s="66">
        <f t="shared" si="300"/>
        <v>8.1232492997198875</v>
      </c>
      <c r="Z389" s="66">
        <f t="shared" si="300"/>
        <v>8.1232492997198875</v>
      </c>
      <c r="AA389" s="66">
        <f t="shared" si="300"/>
        <v>8.1232492997198875</v>
      </c>
      <c r="AB389" s="66">
        <f t="shared" si="300"/>
        <v>8.1232492997198875</v>
      </c>
      <c r="AC389" s="66">
        <f t="shared" si="300"/>
        <v>8.1232492997198875</v>
      </c>
    </row>
    <row r="390" spans="1:29" x14ac:dyDescent="0.25">
      <c r="A390" s="30" t="str">
        <f t="shared" si="295"/>
        <v>Opex maintenance &amp; repair</v>
      </c>
      <c r="B390" s="66">
        <f>B360/B370</f>
        <v>7.246856904861251</v>
      </c>
      <c r="C390" s="66">
        <f t="shared" ref="C390:AC390" si="301">C360/C370</f>
        <v>7.2314186839996299</v>
      </c>
      <c r="D390" s="66">
        <f t="shared" si="301"/>
        <v>7.2094986234726957</v>
      </c>
      <c r="E390" s="66">
        <f t="shared" si="301"/>
        <v>7.1785167243012031</v>
      </c>
      <c r="F390" s="66">
        <f t="shared" si="301"/>
        <v>7.1350186968241909</v>
      </c>
      <c r="G390" s="66">
        <f t="shared" si="301"/>
        <v>7.0745406483582061</v>
      </c>
      <c r="H390" s="66">
        <f t="shared" si="301"/>
        <v>6.9916275063996354</v>
      </c>
      <c r="I390" s="66">
        <f t="shared" si="301"/>
        <v>6.8802011282204152</v>
      </c>
      <c r="J390" s="66">
        <f t="shared" si="301"/>
        <v>6.7345453259470114</v>
      </c>
      <c r="K390" s="66">
        <f t="shared" si="301"/>
        <v>6.5511164620096221</v>
      </c>
      <c r="L390" s="66">
        <f t="shared" si="301"/>
        <v>6.3310070906111209</v>
      </c>
      <c r="M390" s="66">
        <f t="shared" si="301"/>
        <v>6.0821132124321657</v>
      </c>
      <c r="N390" s="66">
        <f t="shared" si="301"/>
        <v>5.8193569664245297</v>
      </c>
      <c r="O390" s="66">
        <f t="shared" si="301"/>
        <v>5.56177127186655</v>
      </c>
      <c r="P390" s="66">
        <f t="shared" si="301"/>
        <v>5.3272857120812445</v>
      </c>
      <c r="Q390" s="66">
        <f t="shared" si="301"/>
        <v>5.1280063776495748</v>
      </c>
      <c r="R390" s="66">
        <f t="shared" si="301"/>
        <v>4.9684193196765616</v>
      </c>
      <c r="S390" s="66">
        <f t="shared" si="301"/>
        <v>4.8466473114640678</v>
      </c>
      <c r="T390" s="66">
        <f t="shared" si="301"/>
        <v>4.7571351192987104</v>
      </c>
      <c r="U390" s="66">
        <f t="shared" si="301"/>
        <v>4.6931351968433184</v>
      </c>
      <c r="V390" s="66">
        <f t="shared" si="301"/>
        <v>4.6482807026882691</v>
      </c>
      <c r="W390" s="66">
        <f t="shared" si="301"/>
        <v>4.6172834902544588</v>
      </c>
      <c r="X390" s="66">
        <f t="shared" si="301"/>
        <v>4.5960705531356583</v>
      </c>
      <c r="Y390" s="66">
        <f t="shared" si="301"/>
        <v>4.5816503768907726</v>
      </c>
      <c r="Z390" s="66">
        <f t="shared" si="301"/>
        <v>4.5718924040849966</v>
      </c>
      <c r="AA390" s="66">
        <f t="shared" si="301"/>
        <v>4.5653096654426975</v>
      </c>
      <c r="AB390" s="66">
        <f t="shared" si="301"/>
        <v>4.5608781984889726</v>
      </c>
      <c r="AC390" s="66">
        <f t="shared" si="301"/>
        <v>4.5578991465246528</v>
      </c>
    </row>
    <row r="391" spans="1:29" x14ac:dyDescent="0.25">
      <c r="A391" s="30" t="str">
        <f t="shared" si="295"/>
        <v>Opex var (mode-fees, shunting)</v>
      </c>
      <c r="B391" s="66">
        <f>B361*B370/B370</f>
        <v>8.9635854341736696</v>
      </c>
      <c r="C391" s="66">
        <f t="shared" ref="C391:AC391" si="302">C361*C370/C370</f>
        <v>8.9635854341736696</v>
      </c>
      <c r="D391" s="66">
        <f t="shared" si="302"/>
        <v>8.9635854341736696</v>
      </c>
      <c r="E391" s="66">
        <f t="shared" si="302"/>
        <v>8.9635854341736696</v>
      </c>
      <c r="F391" s="66">
        <f t="shared" si="302"/>
        <v>8.9635854341736696</v>
      </c>
      <c r="G391" s="66">
        <f t="shared" si="302"/>
        <v>8.9635854341736696</v>
      </c>
      <c r="H391" s="66">
        <f t="shared" si="302"/>
        <v>8.9635854341736696</v>
      </c>
      <c r="I391" s="66">
        <f t="shared" si="302"/>
        <v>8.9635854341736696</v>
      </c>
      <c r="J391" s="66">
        <f t="shared" si="302"/>
        <v>8.9635854341736696</v>
      </c>
      <c r="K391" s="66">
        <f t="shared" si="302"/>
        <v>8.9635854341736696</v>
      </c>
      <c r="L391" s="66">
        <f t="shared" si="302"/>
        <v>8.9635854341736696</v>
      </c>
      <c r="M391" s="66">
        <f t="shared" si="302"/>
        <v>8.9635854341736696</v>
      </c>
      <c r="N391" s="66">
        <f t="shared" si="302"/>
        <v>8.9635854341736696</v>
      </c>
      <c r="O391" s="66">
        <f t="shared" si="302"/>
        <v>8.9635854341736696</v>
      </c>
      <c r="P391" s="66">
        <f t="shared" si="302"/>
        <v>8.9635854341736696</v>
      </c>
      <c r="Q391" s="66">
        <f t="shared" si="302"/>
        <v>8.9635854341736696</v>
      </c>
      <c r="R391" s="66">
        <f t="shared" si="302"/>
        <v>8.9635854341736696</v>
      </c>
      <c r="S391" s="66">
        <f t="shared" si="302"/>
        <v>8.9635854341736696</v>
      </c>
      <c r="T391" s="66">
        <f t="shared" si="302"/>
        <v>8.9635854341736696</v>
      </c>
      <c r="U391" s="66">
        <f t="shared" si="302"/>
        <v>8.9635854341736696</v>
      </c>
      <c r="V391" s="66">
        <f t="shared" si="302"/>
        <v>8.9635854341736696</v>
      </c>
      <c r="W391" s="66">
        <f t="shared" si="302"/>
        <v>8.9635854341736696</v>
      </c>
      <c r="X391" s="66">
        <f t="shared" si="302"/>
        <v>8.9635854341736696</v>
      </c>
      <c r="Y391" s="66">
        <f t="shared" si="302"/>
        <v>8.9635854341736696</v>
      </c>
      <c r="Z391" s="66">
        <f t="shared" si="302"/>
        <v>8.9635854341736696</v>
      </c>
      <c r="AA391" s="66">
        <f t="shared" si="302"/>
        <v>8.9635854341736696</v>
      </c>
      <c r="AB391" s="66">
        <f t="shared" si="302"/>
        <v>8.9635854341736696</v>
      </c>
      <c r="AC391" s="66">
        <f t="shared" si="302"/>
        <v>8.9635854341736696</v>
      </c>
    </row>
    <row r="392" spans="1:29" x14ac:dyDescent="0.25">
      <c r="A392" s="30" t="str">
        <f t="shared" si="295"/>
        <v>Fuel Cost</v>
      </c>
      <c r="B392" s="66">
        <f>B362*B363*B370/B370</f>
        <v>4.4709022311986057</v>
      </c>
      <c r="C392" s="66">
        <f t="shared" ref="C392:AC392" si="303">C362*C363*C370/C370</f>
        <v>4.4621440718388783</v>
      </c>
      <c r="D392" s="66">
        <f t="shared" si="303"/>
        <v>4.4497087410458711</v>
      </c>
      <c r="E392" s="66">
        <f t="shared" si="303"/>
        <v>4.4321325959289499</v>
      </c>
      <c r="F392" s="66">
        <f t="shared" si="303"/>
        <v>4.4074560052847165</v>
      </c>
      <c r="G392" s="66">
        <f t="shared" si="303"/>
        <v>4.3731465864094394</v>
      </c>
      <c r="H392" s="66">
        <f t="shared" si="303"/>
        <v>4.3261096566493471</v>
      </c>
      <c r="I392" s="66">
        <f t="shared" si="303"/>
        <v>4.2628970633254042</v>
      </c>
      <c r="J392" s="66">
        <f t="shared" si="303"/>
        <v>4.1802659920760794</v>
      </c>
      <c r="K392" s="66">
        <f t="shared" si="303"/>
        <v>4.076206124301347</v>
      </c>
      <c r="L392" s="66">
        <f t="shared" si="303"/>
        <v>3.9513372700106411</v>
      </c>
      <c r="M392" s="66">
        <f t="shared" si="303"/>
        <v>3.8101388593718277</v>
      </c>
      <c r="N392" s="66">
        <f t="shared" si="303"/>
        <v>3.6610762765829339</v>
      </c>
      <c r="O392" s="66">
        <f t="shared" si="303"/>
        <v>3.5149469666095845</v>
      </c>
      <c r="P392" s="66">
        <f t="shared" si="303"/>
        <v>3.3819224478802319</v>
      </c>
      <c r="Q392" s="66">
        <f t="shared" si="303"/>
        <v>3.2688705500160293</v>
      </c>
      <c r="R392" s="66">
        <f t="shared" si="303"/>
        <v>3.1783362262745993</v>
      </c>
      <c r="S392" s="66">
        <f t="shared" si="303"/>
        <v>3.1092545190598564</v>
      </c>
      <c r="T392" s="66">
        <f t="shared" si="303"/>
        <v>3.0584739238960932</v>
      </c>
      <c r="U392" s="66">
        <f t="shared" si="303"/>
        <v>3.0221665329798268</v>
      </c>
      <c r="V392" s="66">
        <f t="shared" si="303"/>
        <v>2.9967204138103272</v>
      </c>
      <c r="W392" s="66">
        <f t="shared" si="303"/>
        <v>2.9791355814234857</v>
      </c>
      <c r="X392" s="66">
        <f t="shared" si="303"/>
        <v>2.9671014043353603</v>
      </c>
      <c r="Y392" s="66">
        <f t="shared" si="303"/>
        <v>2.9589207854233703</v>
      </c>
      <c r="Z392" s="66">
        <f t="shared" si="303"/>
        <v>2.9533850516346836</v>
      </c>
      <c r="AA392" s="66">
        <f t="shared" si="303"/>
        <v>2.9496506398414177</v>
      </c>
      <c r="AB392" s="66">
        <f t="shared" si="303"/>
        <v>2.9471366523731741</v>
      </c>
      <c r="AC392" s="66">
        <f t="shared" si="303"/>
        <v>2.94544662525941</v>
      </c>
    </row>
    <row r="393" spans="1:29" ht="15.75" thickBot="1" x14ac:dyDescent="0.3">
      <c r="A393" s="59" t="str">
        <f t="shared" ref="A393" si="304">A381</f>
        <v>Emission Cost</v>
      </c>
      <c r="B393" s="66">
        <f>B364</f>
        <v>7.7616989698723951E-2</v>
      </c>
      <c r="C393" s="66">
        <f t="shared" ref="C393:AC393" si="305">C364</f>
        <v>7.7543079413020161E-2</v>
      </c>
      <c r="D393" s="66">
        <f t="shared" si="305"/>
        <v>7.7437278485254071E-2</v>
      </c>
      <c r="E393" s="66">
        <f t="shared" si="305"/>
        <v>7.7285922817830824E-2</v>
      </c>
      <c r="F393" s="66">
        <f t="shared" si="305"/>
        <v>7.7069602170796822E-2</v>
      </c>
      <c r="G393" s="66">
        <f t="shared" si="305"/>
        <v>7.6760865858648872E-2</v>
      </c>
      <c r="H393" s="66">
        <f t="shared" si="305"/>
        <v>7.6321149608842037E-2</v>
      </c>
      <c r="I393" s="66">
        <f t="shared" si="305"/>
        <v>7.5696815568227049E-2</v>
      </c>
      <c r="J393" s="66">
        <f t="shared" si="305"/>
        <v>7.4814379396488564E-2</v>
      </c>
      <c r="K393" s="66">
        <f t="shared" si="305"/>
        <v>7.3575454931835024E-2</v>
      </c>
      <c r="L393" s="66">
        <f t="shared" si="305"/>
        <v>7.1852900182459184E-2</v>
      </c>
      <c r="M393" s="66">
        <f t="shared" si="305"/>
        <v>6.9491342061966249E-2</v>
      </c>
      <c r="N393" s="66">
        <f t="shared" si="305"/>
        <v>6.6317661002361278E-2</v>
      </c>
      <c r="O393" s="66">
        <f t="shared" si="305"/>
        <v>6.2169046747367229E-2</v>
      </c>
      <c r="P393" s="66">
        <f t="shared" si="305"/>
        <v>5.694456830002316E-2</v>
      </c>
      <c r="Q393" s="66">
        <f t="shared" si="305"/>
        <v>5.0675344131887581E-2</v>
      </c>
      <c r="R393" s="66">
        <f t="shared" si="305"/>
        <v>4.3586270611453572E-2</v>
      </c>
      <c r="S393" s="66">
        <f t="shared" si="305"/>
        <v>3.6102364781668152E-2</v>
      </c>
      <c r="T393" s="66">
        <f t="shared" si="305"/>
        <v>2.8765728220359679E-2</v>
      </c>
      <c r="U393" s="66">
        <f t="shared" si="305"/>
        <v>2.2087036944542227E-2</v>
      </c>
      <c r="V393" s="66">
        <f t="shared" si="305"/>
        <v>1.6411100424024307E-2</v>
      </c>
      <c r="W393" s="66">
        <f t="shared" si="305"/>
        <v>1.1865691773727857E-2</v>
      </c>
      <c r="X393" s="66">
        <f t="shared" si="305"/>
        <v>8.3973432339193438E-3</v>
      </c>
      <c r="Y393" s="66">
        <f t="shared" si="305"/>
        <v>5.84782889520509E-3</v>
      </c>
      <c r="Z393" s="66">
        <f t="shared" si="305"/>
        <v>4.0249630259926034E-3</v>
      </c>
      <c r="AA393" s="66">
        <f t="shared" si="305"/>
        <v>2.747403251869146E-3</v>
      </c>
      <c r="AB393" s="66">
        <f t="shared" si="305"/>
        <v>1.8645309229892715E-3</v>
      </c>
      <c r="AC393" s="66">
        <f t="shared" si="305"/>
        <v>1.2603373931211054E-3</v>
      </c>
    </row>
    <row r="394" spans="1:29" ht="15.75" thickBot="1" x14ac:dyDescent="0.3">
      <c r="A394" s="31" t="s">
        <v>63</v>
      </c>
      <c r="B394" s="76">
        <f>B385+B386+B387-B388+B389+B390+B391+B392+B393</f>
        <v>35.290138500305581</v>
      </c>
      <c r="C394" s="76">
        <f t="shared" ref="C394:AC394" si="306">C385+C386+C387-C388+C389+C390+C391+C392+C393</f>
        <v>35.2543066344262</v>
      </c>
      <c r="D394" s="76">
        <f t="shared" si="306"/>
        <v>35.203429662522289</v>
      </c>
      <c r="E394" s="76">
        <f t="shared" si="306"/>
        <v>35.131518135478103</v>
      </c>
      <c r="F394" s="76">
        <f t="shared" si="306"/>
        <v>35.030551828878842</v>
      </c>
      <c r="G394" s="76">
        <f t="shared" si="306"/>
        <v>34.89016403871566</v>
      </c>
      <c r="H394" s="76">
        <f t="shared" si="306"/>
        <v>34.697681180003926</v>
      </c>
      <c r="I394" s="76">
        <f t="shared" si="306"/>
        <v>34.438971441005656</v>
      </c>
      <c r="J394" s="76">
        <f t="shared" si="306"/>
        <v>34.100721522120779</v>
      </c>
      <c r="K394" s="76">
        <f t="shared" si="306"/>
        <v>33.674625275684662</v>
      </c>
      <c r="L394" s="76">
        <f t="shared" si="306"/>
        <v>33.163086130100851</v>
      </c>
      <c r="M394" s="76">
        <f t="shared" si="306"/>
        <v>32.58423740268568</v>
      </c>
      <c r="N394" s="76">
        <f t="shared" si="306"/>
        <v>31.97246858226902</v>
      </c>
      <c r="O394" s="76">
        <f t="shared" si="306"/>
        <v>31.371700842654235</v>
      </c>
      <c r="P394" s="76">
        <f t="shared" si="306"/>
        <v>30.823361693849598</v>
      </c>
      <c r="Q394" s="76">
        <f t="shared" si="306"/>
        <v>30.355522340894119</v>
      </c>
      <c r="R394" s="76">
        <f t="shared" si="306"/>
        <v>29.978798256741641</v>
      </c>
      <c r="S394" s="76">
        <f t="shared" si="306"/>
        <v>29.689266432227111</v>
      </c>
      <c r="T394" s="76">
        <f t="shared" si="306"/>
        <v>29.474601955156739</v>
      </c>
      <c r="U394" s="76">
        <f t="shared" si="306"/>
        <v>29.319686857259214</v>
      </c>
      <c r="V394" s="76">
        <f t="shared" si="306"/>
        <v>29.210119091197605</v>
      </c>
      <c r="W394" s="76">
        <f t="shared" si="306"/>
        <v>29.133778042643524</v>
      </c>
      <c r="X394" s="76">
        <f t="shared" si="306"/>
        <v>29.081176360003585</v>
      </c>
      <c r="Y394" s="76">
        <f t="shared" si="306"/>
        <v>29.045226881612052</v>
      </c>
      <c r="Z394" s="76">
        <f t="shared" si="306"/>
        <v>29.020802631723214</v>
      </c>
      <c r="AA394" s="76">
        <f t="shared" si="306"/>
        <v>29.004278154693147</v>
      </c>
      <c r="AB394" s="76">
        <f t="shared" si="306"/>
        <v>28.993131133407822</v>
      </c>
      <c r="AC394" s="76">
        <f t="shared" si="306"/>
        <v>28.985626869668682</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307">A373</f>
        <v>Capex vehicle</v>
      </c>
      <c r="B397" s="65">
        <f>((1+B358)^B365)*B358/(((1+B358)^B365)-1)*(B354)/B370/(B367)</f>
        <v>2.1696909640280381E-3</v>
      </c>
      <c r="C397" s="65">
        <f t="shared" ref="C397:AC397" si="308">((1+C358)^C365)*C358/(((1+C358)^C365)-1)*(C354)/C370/(C367)</f>
        <v>2.1650687990337689E-3</v>
      </c>
      <c r="D397" s="65">
        <f t="shared" si="308"/>
        <v>2.1585059873375245E-3</v>
      </c>
      <c r="E397" s="65">
        <f t="shared" si="308"/>
        <v>2.1492300836508209E-3</v>
      </c>
      <c r="F397" s="65">
        <f t="shared" si="308"/>
        <v>2.1362068822258539E-3</v>
      </c>
      <c r="G397" s="65">
        <f t="shared" si="308"/>
        <v>2.1180999046766392E-3</v>
      </c>
      <c r="H397" s="65">
        <f t="shared" si="308"/>
        <v>2.093275915840043E-3</v>
      </c>
      <c r="I397" s="65">
        <f t="shared" si="308"/>
        <v>2.0599151348747601E-3</v>
      </c>
      <c r="J397" s="65">
        <f t="shared" si="308"/>
        <v>2.0163061493242286E-3</v>
      </c>
      <c r="K397" s="65">
        <f t="shared" si="308"/>
        <v>1.9613880028985821E-3</v>
      </c>
      <c r="L397" s="65">
        <f t="shared" si="308"/>
        <v>1.8954878036134461E-3</v>
      </c>
      <c r="M397" s="65">
        <f t="shared" si="308"/>
        <v>1.8209695944675583E-3</v>
      </c>
      <c r="N397" s="65">
        <f t="shared" si="308"/>
        <v>1.7423010268127629E-3</v>
      </c>
      <c r="O397" s="65">
        <f t="shared" si="308"/>
        <v>1.6651805094239855E-3</v>
      </c>
      <c r="P397" s="65">
        <f t="shared" si="308"/>
        <v>1.5949761150306102E-3</v>
      </c>
      <c r="Q397" s="65">
        <f t="shared" si="308"/>
        <v>1.5353123770942534E-3</v>
      </c>
      <c r="R397" s="65">
        <f t="shared" si="308"/>
        <v>1.4875324081773025E-3</v>
      </c>
      <c r="S397" s="65">
        <f t="shared" si="308"/>
        <v>1.4510741712673173E-3</v>
      </c>
      <c r="T397" s="65">
        <f t="shared" si="308"/>
        <v>1.4242744431836509E-3</v>
      </c>
      <c r="U397" s="65">
        <f t="shared" si="308"/>
        <v>1.4051130253065005E-3</v>
      </c>
      <c r="V397" s="65">
        <f t="shared" si="308"/>
        <v>1.3916837011261137E-3</v>
      </c>
      <c r="W397" s="65">
        <f t="shared" si="308"/>
        <v>1.3824032126866935E-3</v>
      </c>
      <c r="X397" s="65">
        <f t="shared" si="308"/>
        <v>1.3760521119831207E-3</v>
      </c>
      <c r="Y397" s="65">
        <f t="shared" si="308"/>
        <v>1.3717347470193894E-3</v>
      </c>
      <c r="Z397" s="65">
        <f t="shared" si="308"/>
        <v>1.3688132341895007E-3</v>
      </c>
      <c r="AA397" s="65">
        <f t="shared" si="308"/>
        <v>1.3668423785843384E-3</v>
      </c>
      <c r="AB397" s="65">
        <f t="shared" si="308"/>
        <v>1.3655156083813228E-3</v>
      </c>
      <c r="AC397" s="65">
        <f t="shared" si="308"/>
        <v>1.364623687619921E-3</v>
      </c>
    </row>
    <row r="398" spans="1:29" x14ac:dyDescent="0.25">
      <c r="A398" s="30" t="str">
        <f t="shared" si="307"/>
        <v>Residual value (vehicle)</v>
      </c>
      <c r="B398" s="68">
        <f>((1+B358)^B365)*B358/(((1+B358)^B365)-1)*(B355)/B370/(B367)</f>
        <v>-1.1028374067486764E-4</v>
      </c>
      <c r="C398" s="68">
        <f t="shared" ref="C398:AC398" si="309">((1+C358)^C365)*C358/(((1+C358)^C365)-1)*(C355)/C370/(C367)</f>
        <v>-1.1082299325753238E-4</v>
      </c>
      <c r="D398" s="68">
        <f t="shared" si="309"/>
        <v>-1.115886546220943E-4</v>
      </c>
      <c r="E398" s="68">
        <f t="shared" si="309"/>
        <v>-1.1267084338554303E-4</v>
      </c>
      <c r="F398" s="68">
        <f t="shared" si="309"/>
        <v>-1.1419021688512248E-4</v>
      </c>
      <c r="G398" s="68">
        <f t="shared" si="309"/>
        <v>-1.1630269759919755E-4</v>
      </c>
      <c r="H398" s="68">
        <f t="shared" si="309"/>
        <v>-1.1919882963013374E-4</v>
      </c>
      <c r="I398" s="68">
        <f t="shared" si="309"/>
        <v>-1.230909207427501E-4</v>
      </c>
      <c r="J398" s="68">
        <f t="shared" si="309"/>
        <v>-1.2817863572364536E-4</v>
      </c>
      <c r="K398" s="68">
        <f t="shared" si="309"/>
        <v>-1.345857528066375E-4</v>
      </c>
      <c r="L398" s="68">
        <f t="shared" si="309"/>
        <v>-1.4227410938990337E-4</v>
      </c>
      <c r="M398" s="68">
        <f t="shared" si="309"/>
        <v>-1.5096790045692366E-4</v>
      </c>
      <c r="N398" s="68">
        <f t="shared" si="309"/>
        <v>-1.6014590001664974E-4</v>
      </c>
      <c r="O398" s="68">
        <f t="shared" si="309"/>
        <v>-1.6914329371200715E-4</v>
      </c>
      <c r="P398" s="68">
        <f t="shared" si="309"/>
        <v>-1.7733380639123428E-4</v>
      </c>
      <c r="Q398" s="68">
        <f t="shared" si="309"/>
        <v>-1.842945758171425E-4</v>
      </c>
      <c r="R398" s="68">
        <f t="shared" si="309"/>
        <v>-1.8986890552412014E-4</v>
      </c>
      <c r="S398" s="68">
        <f t="shared" si="309"/>
        <v>-1.9412236649695181E-4</v>
      </c>
      <c r="T398" s="68">
        <f t="shared" si="309"/>
        <v>-1.9724900144004614E-4</v>
      </c>
      <c r="U398" s="68">
        <f t="shared" si="309"/>
        <v>-1.9948450019238032E-4</v>
      </c>
      <c r="V398" s="68">
        <f t="shared" si="309"/>
        <v>-2.0105125468009212E-4</v>
      </c>
      <c r="W398" s="68">
        <f t="shared" si="309"/>
        <v>-2.0213397833135783E-4</v>
      </c>
      <c r="X398" s="68">
        <f t="shared" si="309"/>
        <v>-2.0287494008010802E-4</v>
      </c>
      <c r="Y398" s="68">
        <f t="shared" si="309"/>
        <v>-2.0337863265920998E-4</v>
      </c>
      <c r="Z398" s="68">
        <f t="shared" si="309"/>
        <v>-2.0371947582269707E-4</v>
      </c>
      <c r="AA398" s="68">
        <f t="shared" si="309"/>
        <v>-2.0394940897663265E-4</v>
      </c>
      <c r="AB398" s="68">
        <f t="shared" si="309"/>
        <v>-2.0410419883365111E-4</v>
      </c>
      <c r="AC398" s="68">
        <f t="shared" si="309"/>
        <v>-2.0420825625581466E-4</v>
      </c>
    </row>
    <row r="399" spans="1:29" x14ac:dyDescent="0.25">
      <c r="A399" s="30" t="str">
        <f t="shared" si="307"/>
        <v>Capex costumization</v>
      </c>
      <c r="B399" s="66">
        <f>((1+B358)^B366)*B358/(((1+B358)^B366)-1)*(B356)/B370/(B367)</f>
        <v>7.6311881817276459E-4</v>
      </c>
      <c r="C399" s="66">
        <f t="shared" ref="C399:AC399" si="310">((1+C358)^C366)*C358/(((1+C358)^C366)-1)*(C356)/C370/(C367)</f>
        <v>7.6311881817276459E-4</v>
      </c>
      <c r="D399" s="66">
        <f t="shared" si="310"/>
        <v>7.6311881817276459E-4</v>
      </c>
      <c r="E399" s="66">
        <f t="shared" si="310"/>
        <v>7.6311881817276459E-4</v>
      </c>
      <c r="F399" s="66">
        <f t="shared" si="310"/>
        <v>7.6311881817276459E-4</v>
      </c>
      <c r="G399" s="66">
        <f t="shared" si="310"/>
        <v>7.6311881817276459E-4</v>
      </c>
      <c r="H399" s="66">
        <f t="shared" si="310"/>
        <v>7.6311881817276459E-4</v>
      </c>
      <c r="I399" s="66">
        <f t="shared" si="310"/>
        <v>7.6311881817276459E-4</v>
      </c>
      <c r="J399" s="66">
        <f t="shared" si="310"/>
        <v>7.6311881817276459E-4</v>
      </c>
      <c r="K399" s="66">
        <f t="shared" si="310"/>
        <v>7.6311881817276459E-4</v>
      </c>
      <c r="L399" s="66">
        <f t="shared" si="310"/>
        <v>7.6311881817276459E-4</v>
      </c>
      <c r="M399" s="66">
        <f t="shared" si="310"/>
        <v>7.6311881817276459E-4</v>
      </c>
      <c r="N399" s="66">
        <f t="shared" si="310"/>
        <v>7.6311881817276459E-4</v>
      </c>
      <c r="O399" s="66">
        <f t="shared" si="310"/>
        <v>7.6311881817276459E-4</v>
      </c>
      <c r="P399" s="66">
        <f t="shared" si="310"/>
        <v>7.6311881817276459E-4</v>
      </c>
      <c r="Q399" s="66">
        <f t="shared" si="310"/>
        <v>7.6311881817276459E-4</v>
      </c>
      <c r="R399" s="66">
        <f t="shared" si="310"/>
        <v>7.6311881817276459E-4</v>
      </c>
      <c r="S399" s="66">
        <f t="shared" si="310"/>
        <v>7.6311881817276459E-4</v>
      </c>
      <c r="T399" s="66">
        <f t="shared" si="310"/>
        <v>7.6311881817276459E-4</v>
      </c>
      <c r="U399" s="66">
        <f t="shared" si="310"/>
        <v>7.6311881817276459E-4</v>
      </c>
      <c r="V399" s="66">
        <f t="shared" si="310"/>
        <v>7.6311881817276459E-4</v>
      </c>
      <c r="W399" s="66">
        <f t="shared" si="310"/>
        <v>7.6311881817276459E-4</v>
      </c>
      <c r="X399" s="66">
        <f t="shared" si="310"/>
        <v>7.6311881817276459E-4</v>
      </c>
      <c r="Y399" s="66">
        <f t="shared" si="310"/>
        <v>7.6311881817276459E-4</v>
      </c>
      <c r="Z399" s="66">
        <f t="shared" si="310"/>
        <v>7.6311881817276459E-4</v>
      </c>
      <c r="AA399" s="66">
        <f t="shared" si="310"/>
        <v>7.6311881817276459E-4</v>
      </c>
      <c r="AB399" s="66">
        <f t="shared" si="310"/>
        <v>7.6311881817276459E-4</v>
      </c>
      <c r="AC399" s="66">
        <f t="shared" si="310"/>
        <v>7.6311881817276459E-4</v>
      </c>
    </row>
    <row r="400" spans="1:29" x14ac:dyDescent="0.25">
      <c r="A400" s="30" t="str">
        <f t="shared" si="307"/>
        <v>Residual value (costumization)</v>
      </c>
      <c r="B400" s="69">
        <f>((1+B358)^B366)*B358/(((1+B358)^B366)-1)*(B357)/B370/(B367)</f>
        <v>-3.8155940908638231E-5</v>
      </c>
      <c r="C400" s="69">
        <f t="shared" ref="C400:AC400" si="311">((1+C358)^C366)*C358/(((1+C358)^C366)-1)*(C357)/C370/(C367)</f>
        <v>-3.8155940908638231E-5</v>
      </c>
      <c r="D400" s="69">
        <f t="shared" si="311"/>
        <v>-3.8155940908638231E-5</v>
      </c>
      <c r="E400" s="69">
        <f t="shared" si="311"/>
        <v>-3.8155940908638231E-5</v>
      </c>
      <c r="F400" s="69">
        <f t="shared" si="311"/>
        <v>-3.8155940908638231E-5</v>
      </c>
      <c r="G400" s="69">
        <f t="shared" si="311"/>
        <v>-3.8155940908638231E-5</v>
      </c>
      <c r="H400" s="69">
        <f t="shared" si="311"/>
        <v>-3.8155940908638231E-5</v>
      </c>
      <c r="I400" s="69">
        <f t="shared" si="311"/>
        <v>-3.8155940908638231E-5</v>
      </c>
      <c r="J400" s="69">
        <f t="shared" si="311"/>
        <v>-3.8155940908638231E-5</v>
      </c>
      <c r="K400" s="69">
        <f t="shared" si="311"/>
        <v>-3.8155940908638231E-5</v>
      </c>
      <c r="L400" s="69">
        <f t="shared" si="311"/>
        <v>-3.8155940908638231E-5</v>
      </c>
      <c r="M400" s="69">
        <f t="shared" si="311"/>
        <v>-3.8155940908638231E-5</v>
      </c>
      <c r="N400" s="69">
        <f t="shared" si="311"/>
        <v>-3.8155940908638231E-5</v>
      </c>
      <c r="O400" s="69">
        <f t="shared" si="311"/>
        <v>-3.8155940908638231E-5</v>
      </c>
      <c r="P400" s="69">
        <f t="shared" si="311"/>
        <v>-3.8155940908638231E-5</v>
      </c>
      <c r="Q400" s="69">
        <f t="shared" si="311"/>
        <v>-3.8155940908638231E-5</v>
      </c>
      <c r="R400" s="69">
        <f t="shared" si="311"/>
        <v>-3.8155940908638231E-5</v>
      </c>
      <c r="S400" s="69">
        <f t="shared" si="311"/>
        <v>-3.8155940908638231E-5</v>
      </c>
      <c r="T400" s="69">
        <f t="shared" si="311"/>
        <v>-3.8155940908638231E-5</v>
      </c>
      <c r="U400" s="69">
        <f t="shared" si="311"/>
        <v>-3.8155940908638231E-5</v>
      </c>
      <c r="V400" s="69">
        <f t="shared" si="311"/>
        <v>-3.8155940908638231E-5</v>
      </c>
      <c r="W400" s="69">
        <f t="shared" si="311"/>
        <v>-3.8155940908638231E-5</v>
      </c>
      <c r="X400" s="69">
        <f t="shared" si="311"/>
        <v>-3.8155940908638231E-5</v>
      </c>
      <c r="Y400" s="69">
        <f t="shared" si="311"/>
        <v>-3.8155940908638231E-5</v>
      </c>
      <c r="Z400" s="69">
        <f t="shared" si="311"/>
        <v>-3.8155940908638231E-5</v>
      </c>
      <c r="AA400" s="69">
        <f t="shared" si="311"/>
        <v>-3.8155940908638231E-5</v>
      </c>
      <c r="AB400" s="69">
        <f t="shared" si="311"/>
        <v>-3.8155940908638231E-5</v>
      </c>
      <c r="AC400" s="69">
        <f t="shared" si="311"/>
        <v>-3.8155940908638231E-5</v>
      </c>
    </row>
    <row r="401" spans="1:29" x14ac:dyDescent="0.25">
      <c r="A401" s="30" t="str">
        <f t="shared" si="307"/>
        <v>Opex fix (admin, crew, insurance)</v>
      </c>
      <c r="B401" s="66">
        <f>B359/B370/(B367)</f>
        <v>3.6264505802320927E-3</v>
      </c>
      <c r="C401" s="66">
        <f t="shared" ref="C401:AC401" si="312">C359/C370/(C367)</f>
        <v>3.6264505802320927E-3</v>
      </c>
      <c r="D401" s="66">
        <f t="shared" si="312"/>
        <v>3.6264505802320927E-3</v>
      </c>
      <c r="E401" s="66">
        <f t="shared" si="312"/>
        <v>3.6264505802320927E-3</v>
      </c>
      <c r="F401" s="66">
        <f t="shared" si="312"/>
        <v>3.6264505802320927E-3</v>
      </c>
      <c r="G401" s="66">
        <f t="shared" si="312"/>
        <v>3.6264505802320927E-3</v>
      </c>
      <c r="H401" s="66">
        <f t="shared" si="312"/>
        <v>3.6264505802320927E-3</v>
      </c>
      <c r="I401" s="66">
        <f t="shared" si="312"/>
        <v>3.6264505802320927E-3</v>
      </c>
      <c r="J401" s="66">
        <f t="shared" si="312"/>
        <v>3.6264505802320927E-3</v>
      </c>
      <c r="K401" s="66">
        <f t="shared" si="312"/>
        <v>3.6264505802320927E-3</v>
      </c>
      <c r="L401" s="66">
        <f t="shared" si="312"/>
        <v>3.6264505802320927E-3</v>
      </c>
      <c r="M401" s="66">
        <f t="shared" si="312"/>
        <v>3.6264505802320927E-3</v>
      </c>
      <c r="N401" s="66">
        <f t="shared" si="312"/>
        <v>3.6264505802320927E-3</v>
      </c>
      <c r="O401" s="66">
        <f t="shared" si="312"/>
        <v>3.6264505802320927E-3</v>
      </c>
      <c r="P401" s="66">
        <f t="shared" si="312"/>
        <v>3.6264505802320927E-3</v>
      </c>
      <c r="Q401" s="66">
        <f t="shared" si="312"/>
        <v>3.6264505802320927E-3</v>
      </c>
      <c r="R401" s="66">
        <f t="shared" si="312"/>
        <v>3.6264505802320927E-3</v>
      </c>
      <c r="S401" s="66">
        <f t="shared" si="312"/>
        <v>3.6264505802320927E-3</v>
      </c>
      <c r="T401" s="66">
        <f t="shared" si="312"/>
        <v>3.6264505802320927E-3</v>
      </c>
      <c r="U401" s="66">
        <f t="shared" si="312"/>
        <v>3.6264505802320927E-3</v>
      </c>
      <c r="V401" s="66">
        <f t="shared" si="312"/>
        <v>3.6264505802320927E-3</v>
      </c>
      <c r="W401" s="66">
        <f t="shared" si="312"/>
        <v>3.6264505802320927E-3</v>
      </c>
      <c r="X401" s="66">
        <f t="shared" si="312"/>
        <v>3.6264505802320927E-3</v>
      </c>
      <c r="Y401" s="66">
        <f t="shared" si="312"/>
        <v>3.6264505802320927E-3</v>
      </c>
      <c r="Z401" s="66">
        <f t="shared" si="312"/>
        <v>3.6264505802320927E-3</v>
      </c>
      <c r="AA401" s="66">
        <f t="shared" si="312"/>
        <v>3.6264505802320927E-3</v>
      </c>
      <c r="AB401" s="66">
        <f t="shared" si="312"/>
        <v>3.6264505802320927E-3</v>
      </c>
      <c r="AC401" s="66">
        <f t="shared" si="312"/>
        <v>3.6264505802320927E-3</v>
      </c>
    </row>
    <row r="402" spans="1:29" x14ac:dyDescent="0.25">
      <c r="A402" s="30" t="str">
        <f t="shared" si="307"/>
        <v>Opex maintenance &amp; repair</v>
      </c>
      <c r="B402" s="66">
        <f>B360/B370/(B367)</f>
        <v>3.235203975384487E-3</v>
      </c>
      <c r="C402" s="66">
        <f t="shared" ref="C402:AC402" si="313">C360/C370/(C367)</f>
        <v>3.228311912499835E-3</v>
      </c>
      <c r="D402" s="66">
        <f t="shared" si="313"/>
        <v>3.2185261711931679E-3</v>
      </c>
      <c r="E402" s="66">
        <f t="shared" si="313"/>
        <v>3.2046949662058941E-3</v>
      </c>
      <c r="F402" s="66">
        <f t="shared" si="313"/>
        <v>3.1852762039393709E-3</v>
      </c>
      <c r="G402" s="66">
        <f t="shared" si="313"/>
        <v>3.1582770751599136E-3</v>
      </c>
      <c r="H402" s="66">
        <f t="shared" si="313"/>
        <v>3.1212622796426945E-3</v>
      </c>
      <c r="I402" s="66">
        <f t="shared" si="313"/>
        <v>3.0715183608126854E-3</v>
      </c>
      <c r="J402" s="66">
        <f t="shared" si="313"/>
        <v>3.0064934490834873E-3</v>
      </c>
      <c r="K402" s="66">
        <f t="shared" si="313"/>
        <v>2.9246055633971525E-3</v>
      </c>
      <c r="L402" s="66">
        <f t="shared" si="313"/>
        <v>2.826342451165679E-3</v>
      </c>
      <c r="M402" s="66">
        <f t="shared" si="313"/>
        <v>2.7152291126929309E-3</v>
      </c>
      <c r="N402" s="66">
        <f t="shared" si="313"/>
        <v>2.5979272171538078E-3</v>
      </c>
      <c r="O402" s="66">
        <f t="shared" si="313"/>
        <v>2.4829336035118526E-3</v>
      </c>
      <c r="P402" s="66">
        <f t="shared" si="313"/>
        <v>2.37825255003627E-3</v>
      </c>
      <c r="Q402" s="66">
        <f t="shared" si="313"/>
        <v>2.2892885614507032E-3</v>
      </c>
      <c r="R402" s="66">
        <f t="shared" si="313"/>
        <v>2.218044339141322E-3</v>
      </c>
      <c r="S402" s="66">
        <f t="shared" si="313"/>
        <v>2.1636818354750301E-3</v>
      </c>
      <c r="T402" s="66">
        <f t="shared" si="313"/>
        <v>2.12372103540121E-3</v>
      </c>
      <c r="U402" s="66">
        <f t="shared" si="313"/>
        <v>2.0951496414479101E-3</v>
      </c>
      <c r="V402" s="66">
        <f t="shared" si="313"/>
        <v>2.0751253137001203E-3</v>
      </c>
      <c r="W402" s="66">
        <f t="shared" si="313"/>
        <v>2.0612872724350261E-3</v>
      </c>
      <c r="X402" s="66">
        <f t="shared" si="313"/>
        <v>2.0518172112212762E-3</v>
      </c>
      <c r="Y402" s="66">
        <f t="shared" si="313"/>
        <v>2.0453796325405234E-3</v>
      </c>
      <c r="Z402" s="66">
        <f t="shared" si="313"/>
        <v>2.0410233946808022E-3</v>
      </c>
      <c r="AA402" s="66">
        <f t="shared" si="313"/>
        <v>2.0380846720726327E-3</v>
      </c>
      <c r="AB402" s="66">
        <f t="shared" si="313"/>
        <v>2.0361063386111484E-3</v>
      </c>
      <c r="AC402" s="66">
        <f t="shared" si="313"/>
        <v>2.0347764046985059E-3</v>
      </c>
    </row>
    <row r="403" spans="1:29" x14ac:dyDescent="0.25">
      <c r="A403" s="30" t="str">
        <f t="shared" si="307"/>
        <v>Opex var (mode-fees, shunting)</v>
      </c>
      <c r="B403" s="66">
        <f>B361*B370/B370/(B367)</f>
        <v>4.0016006402561026E-3</v>
      </c>
      <c r="C403" s="66">
        <f t="shared" ref="C403:AC403" si="314">C361*C370/C370/(C367)</f>
        <v>4.0016006402561026E-3</v>
      </c>
      <c r="D403" s="66">
        <f t="shared" si="314"/>
        <v>4.0016006402561026E-3</v>
      </c>
      <c r="E403" s="66">
        <f t="shared" si="314"/>
        <v>4.0016006402561026E-3</v>
      </c>
      <c r="F403" s="66">
        <f t="shared" si="314"/>
        <v>4.0016006402561026E-3</v>
      </c>
      <c r="G403" s="66">
        <f t="shared" si="314"/>
        <v>4.0016006402561026E-3</v>
      </c>
      <c r="H403" s="66">
        <f t="shared" si="314"/>
        <v>4.0016006402561026E-3</v>
      </c>
      <c r="I403" s="66">
        <f t="shared" si="314"/>
        <v>4.0016006402561026E-3</v>
      </c>
      <c r="J403" s="66">
        <f t="shared" si="314"/>
        <v>4.0016006402561026E-3</v>
      </c>
      <c r="K403" s="66">
        <f t="shared" si="314"/>
        <v>4.0016006402561026E-3</v>
      </c>
      <c r="L403" s="66">
        <f t="shared" si="314"/>
        <v>4.0016006402561026E-3</v>
      </c>
      <c r="M403" s="66">
        <f t="shared" si="314"/>
        <v>4.0016006402561026E-3</v>
      </c>
      <c r="N403" s="66">
        <f t="shared" si="314"/>
        <v>4.0016006402561026E-3</v>
      </c>
      <c r="O403" s="66">
        <f t="shared" si="314"/>
        <v>4.0016006402561026E-3</v>
      </c>
      <c r="P403" s="66">
        <f t="shared" si="314"/>
        <v>4.0016006402561026E-3</v>
      </c>
      <c r="Q403" s="66">
        <f t="shared" si="314"/>
        <v>4.0016006402561026E-3</v>
      </c>
      <c r="R403" s="66">
        <f t="shared" si="314"/>
        <v>4.0016006402561026E-3</v>
      </c>
      <c r="S403" s="66">
        <f t="shared" si="314"/>
        <v>4.0016006402561026E-3</v>
      </c>
      <c r="T403" s="66">
        <f t="shared" si="314"/>
        <v>4.0016006402561026E-3</v>
      </c>
      <c r="U403" s="66">
        <f t="shared" si="314"/>
        <v>4.0016006402561026E-3</v>
      </c>
      <c r="V403" s="66">
        <f t="shared" si="314"/>
        <v>4.0016006402561026E-3</v>
      </c>
      <c r="W403" s="66">
        <f t="shared" si="314"/>
        <v>4.0016006402561026E-3</v>
      </c>
      <c r="X403" s="66">
        <f t="shared" si="314"/>
        <v>4.0016006402561026E-3</v>
      </c>
      <c r="Y403" s="66">
        <f t="shared" si="314"/>
        <v>4.0016006402561026E-3</v>
      </c>
      <c r="Z403" s="66">
        <f t="shared" si="314"/>
        <v>4.0016006402561026E-3</v>
      </c>
      <c r="AA403" s="66">
        <f t="shared" si="314"/>
        <v>4.0016006402561026E-3</v>
      </c>
      <c r="AB403" s="66">
        <f t="shared" si="314"/>
        <v>4.0016006402561026E-3</v>
      </c>
      <c r="AC403" s="66">
        <f t="shared" si="314"/>
        <v>4.0016006402561026E-3</v>
      </c>
    </row>
    <row r="404" spans="1:29" x14ac:dyDescent="0.25">
      <c r="A404" s="30" t="str">
        <f t="shared" si="307"/>
        <v>Fuel Cost</v>
      </c>
      <c r="B404" s="66">
        <f>B362*B363*B370/B370/(B367)</f>
        <v>1.995938496070806E-3</v>
      </c>
      <c r="C404" s="66">
        <f t="shared" ref="C404:AC404" si="315">C362*C363*C370/C370/(C367)</f>
        <v>1.9920286034994994E-3</v>
      </c>
      <c r="D404" s="66">
        <f t="shared" si="315"/>
        <v>1.9864771165383354E-3</v>
      </c>
      <c r="E404" s="66">
        <f t="shared" si="315"/>
        <v>1.9786306231825671E-3</v>
      </c>
      <c r="F404" s="66">
        <f t="shared" si="315"/>
        <v>1.9676142880735341E-3</v>
      </c>
      <c r="G404" s="66">
        <f t="shared" si="315"/>
        <v>1.9522975832184997E-3</v>
      </c>
      <c r="H404" s="66">
        <f t="shared" si="315"/>
        <v>1.9312989538613156E-3</v>
      </c>
      <c r="I404" s="66">
        <f t="shared" si="315"/>
        <v>1.9030790461274127E-3</v>
      </c>
      <c r="J404" s="66">
        <f t="shared" si="315"/>
        <v>1.8661901750339641E-3</v>
      </c>
      <c r="K404" s="66">
        <f t="shared" si="315"/>
        <v>1.8197348769202443E-3</v>
      </c>
      <c r="L404" s="66">
        <f t="shared" si="315"/>
        <v>1.7639898526833218E-3</v>
      </c>
      <c r="M404" s="66">
        <f t="shared" si="315"/>
        <v>1.7009548479338516E-3</v>
      </c>
      <c r="N404" s="66">
        <f t="shared" si="315"/>
        <v>1.6344090520459527E-3</v>
      </c>
      <c r="O404" s="66">
        <f t="shared" si="315"/>
        <v>1.5691727529507074E-3</v>
      </c>
      <c r="P404" s="66">
        <f t="shared" si="315"/>
        <v>1.5097868070893892E-3</v>
      </c>
      <c r="Q404" s="66">
        <f t="shared" si="315"/>
        <v>1.4593172098285845E-3</v>
      </c>
      <c r="R404" s="66">
        <f t="shared" si="315"/>
        <v>1.4189001010154461E-3</v>
      </c>
      <c r="S404" s="66">
        <f t="shared" si="315"/>
        <v>1.3880600531517215E-3</v>
      </c>
      <c r="T404" s="66">
        <f t="shared" si="315"/>
        <v>1.3653901445964702E-3</v>
      </c>
      <c r="U404" s="66">
        <f t="shared" si="315"/>
        <v>1.3491814879374227E-3</v>
      </c>
      <c r="V404" s="66">
        <f t="shared" si="315"/>
        <v>1.3378216133081817E-3</v>
      </c>
      <c r="W404" s="66">
        <f t="shared" si="315"/>
        <v>1.3299712417069133E-3</v>
      </c>
      <c r="X404" s="66">
        <f t="shared" si="315"/>
        <v>1.3245988412211431E-3</v>
      </c>
      <c r="Y404" s="66">
        <f t="shared" si="315"/>
        <v>1.3209467792068617E-3</v>
      </c>
      <c r="Z404" s="66">
        <f t="shared" si="315"/>
        <v>1.3184754694797695E-3</v>
      </c>
      <c r="AA404" s="66">
        <f t="shared" si="315"/>
        <v>1.3168083213577757E-3</v>
      </c>
      <c r="AB404" s="66">
        <f t="shared" si="315"/>
        <v>1.3156860055237385E-3</v>
      </c>
      <c r="AC404" s="66">
        <f t="shared" si="315"/>
        <v>1.3149315291336651E-3</v>
      </c>
    </row>
    <row r="405" spans="1:29" x14ac:dyDescent="0.25">
      <c r="A405" s="59" t="str">
        <f>A368</f>
        <v>Market failure (av. utilization)</v>
      </c>
      <c r="B405" s="66">
        <f t="shared" ref="B405:AC405" si="316">B394/B368-B394/B367</f>
        <v>6.1267601563030488E-3</v>
      </c>
      <c r="C405" s="66">
        <f t="shared" si="316"/>
        <v>6.1205393462545471E-3</v>
      </c>
      <c r="D405" s="66">
        <f t="shared" si="316"/>
        <v>6.1117065386323416E-3</v>
      </c>
      <c r="E405" s="66">
        <f t="shared" si="316"/>
        <v>6.0992218985205029E-3</v>
      </c>
      <c r="F405" s="66">
        <f t="shared" si="316"/>
        <v>6.0816930258470181E-3</v>
      </c>
      <c r="G405" s="66">
        <f t="shared" si="316"/>
        <v>6.0573201456103568E-3</v>
      </c>
      <c r="H405" s="66">
        <f t="shared" si="316"/>
        <v>6.0239029826395681E-3</v>
      </c>
      <c r="I405" s="66">
        <f t="shared" si="316"/>
        <v>5.9789880973968122E-3</v>
      </c>
      <c r="J405" s="66">
        <f t="shared" si="316"/>
        <v>5.9202641531459661E-3</v>
      </c>
      <c r="K405" s="66">
        <f t="shared" si="316"/>
        <v>5.8462891103619168E-3</v>
      </c>
      <c r="L405" s="66">
        <f t="shared" si="316"/>
        <v>5.7574802309202835E-3</v>
      </c>
      <c r="M405" s="66">
        <f t="shared" si="316"/>
        <v>5.6569856601884835E-3</v>
      </c>
      <c r="N405" s="66">
        <f t="shared" si="316"/>
        <v>5.5507757955328141E-3</v>
      </c>
      <c r="O405" s="66">
        <f t="shared" si="316"/>
        <v>5.4464758407385804E-3</v>
      </c>
      <c r="P405" s="66">
        <f t="shared" si="316"/>
        <v>5.3512780718488855E-3</v>
      </c>
      <c r="Q405" s="66">
        <f t="shared" si="316"/>
        <v>5.2700559619607828E-3</v>
      </c>
      <c r="R405" s="66">
        <f t="shared" si="316"/>
        <v>5.2046524751287564E-3</v>
      </c>
      <c r="S405" s="66">
        <f t="shared" si="316"/>
        <v>5.1543865333727613E-3</v>
      </c>
      <c r="T405" s="66">
        <f t="shared" si="316"/>
        <v>5.1171183949924853E-3</v>
      </c>
      <c r="U405" s="66">
        <f t="shared" si="316"/>
        <v>5.0902234127186106E-3</v>
      </c>
      <c r="V405" s="66">
        <f t="shared" si="316"/>
        <v>5.071201231110694E-3</v>
      </c>
      <c r="W405" s="66">
        <f t="shared" si="316"/>
        <v>5.0579475768478318E-3</v>
      </c>
      <c r="X405" s="66">
        <f t="shared" si="316"/>
        <v>5.0488153402783991E-3</v>
      </c>
      <c r="Y405" s="66">
        <f t="shared" si="316"/>
        <v>5.0425741113909808E-3</v>
      </c>
      <c r="Z405" s="66">
        <f t="shared" si="316"/>
        <v>5.0383337902297227E-3</v>
      </c>
      <c r="AA405" s="66">
        <f t="shared" si="316"/>
        <v>5.035464957412002E-3</v>
      </c>
      <c r="AB405" s="66">
        <f t="shared" si="316"/>
        <v>5.033529710661077E-3</v>
      </c>
      <c r="AC405" s="66">
        <f t="shared" si="316"/>
        <v>5.0322268870952556E-3</v>
      </c>
    </row>
    <row r="406" spans="1:29" x14ac:dyDescent="0.25">
      <c r="A406" s="59" t="str">
        <f>A369</f>
        <v>Payload loss (fuel)</v>
      </c>
      <c r="B406" s="66">
        <f>B394/(B367-B369)-B394/B367</f>
        <v>5.7950755664491413E-4</v>
      </c>
      <c r="C406" s="66">
        <f t="shared" ref="C406:AC406" si="317">C394/(C367-C369)-C394/C367</f>
        <v>5.772116256354716E-4</v>
      </c>
      <c r="D406" s="66">
        <f t="shared" si="317"/>
        <v>5.7395829459680123E-4</v>
      </c>
      <c r="E406" s="66">
        <f t="shared" si="317"/>
        <v>5.6937314994512031E-4</v>
      </c>
      <c r="F406" s="66">
        <f t="shared" si="317"/>
        <v>5.6296161573612252E-4</v>
      </c>
      <c r="G406" s="66">
        <f t="shared" si="317"/>
        <v>5.5409752622318474E-4</v>
      </c>
      <c r="H406" s="66">
        <f t="shared" si="317"/>
        <v>5.4204010257137558E-4</v>
      </c>
      <c r="I406" s="66">
        <f t="shared" si="317"/>
        <v>5.2600876076491603E-4</v>
      </c>
      <c r="J406" s="66">
        <f t="shared" si="317"/>
        <v>5.0535031324094176E-4</v>
      </c>
      <c r="K406" s="66">
        <f t="shared" si="317"/>
        <v>4.7981267472599169E-4</v>
      </c>
      <c r="L406" s="66">
        <f t="shared" si="317"/>
        <v>4.4986892481386868E-4</v>
      </c>
      <c r="M406" s="66">
        <f t="shared" si="317"/>
        <v>4.1692540970209718E-4</v>
      </c>
      <c r="N406" s="66">
        <f t="shared" si="317"/>
        <v>3.831955424475203E-4</v>
      </c>
      <c r="O406" s="66">
        <f t="shared" si="317"/>
        <v>3.5116686680218036E-4</v>
      </c>
      <c r="P406" s="66">
        <f t="shared" si="317"/>
        <v>3.2289529613988878E-4</v>
      </c>
      <c r="Q406" s="66">
        <f t="shared" si="317"/>
        <v>2.9952316394405744E-4</v>
      </c>
      <c r="R406" s="66">
        <f t="shared" si="317"/>
        <v>2.812324117528707E-4</v>
      </c>
      <c r="S406" s="66">
        <f t="shared" si="317"/>
        <v>2.675241020902927E-4</v>
      </c>
      <c r="T406" s="66">
        <f t="shared" si="317"/>
        <v>2.5757937635496192E-4</v>
      </c>
      <c r="U406" s="66">
        <f t="shared" si="317"/>
        <v>2.5053415998866659E-4</v>
      </c>
      <c r="V406" s="66">
        <f t="shared" si="317"/>
        <v>2.4562686381254979E-4</v>
      </c>
      <c r="W406" s="66">
        <f t="shared" si="317"/>
        <v>2.4224923039382375E-4</v>
      </c>
      <c r="X406" s="66">
        <f t="shared" si="317"/>
        <v>2.3994370897336206E-4</v>
      </c>
      <c r="Y406" s="66">
        <f t="shared" si="317"/>
        <v>2.3837904200742395E-4</v>
      </c>
      <c r="Z406" s="66">
        <f t="shared" si="317"/>
        <v>2.3732136958281094E-4</v>
      </c>
      <c r="AA406" s="66">
        <f t="shared" si="317"/>
        <v>2.3660835018020181E-4</v>
      </c>
      <c r="AB406" s="66">
        <f t="shared" si="317"/>
        <v>2.3612856252892486E-4</v>
      </c>
      <c r="AC406" s="66">
        <f t="shared" si="317"/>
        <v>2.3580611951531244E-4</v>
      </c>
    </row>
    <row r="407" spans="1:29" ht="15.75" thickBot="1" x14ac:dyDescent="0.3">
      <c r="A407" s="59" t="str">
        <f>A344</f>
        <v>Emission Cost</v>
      </c>
      <c r="B407" s="68">
        <f>B364*B370/B370/(B367)</f>
        <v>3.465044182978748E-5</v>
      </c>
      <c r="C407" s="68">
        <f t="shared" ref="C407:AC407" si="318">C364*C370/C370/(C367)</f>
        <v>3.4617446166526858E-5</v>
      </c>
      <c r="D407" s="68">
        <f t="shared" si="318"/>
        <v>3.4570213609488424E-5</v>
      </c>
      <c r="E407" s="68">
        <f t="shared" si="318"/>
        <v>3.4502644115103047E-5</v>
      </c>
      <c r="F407" s="68">
        <f t="shared" si="318"/>
        <v>3.440607239767715E-5</v>
      </c>
      <c r="G407" s="68">
        <f t="shared" si="318"/>
        <v>3.4268243686896818E-5</v>
      </c>
      <c r="H407" s="68">
        <f t="shared" si="318"/>
        <v>3.4071941789661624E-5</v>
      </c>
      <c r="I407" s="68">
        <f t="shared" si="318"/>
        <v>3.3793221235815644E-5</v>
      </c>
      <c r="J407" s="68">
        <f t="shared" si="318"/>
        <v>3.3399276516289538E-5</v>
      </c>
      <c r="K407" s="68">
        <f t="shared" si="318"/>
        <v>3.2846185237426347E-5</v>
      </c>
      <c r="L407" s="68">
        <f t="shared" si="318"/>
        <v>3.2077187581454992E-5</v>
      </c>
      <c r="M407" s="68">
        <f t="shared" si="318"/>
        <v>3.1022920563377787E-5</v>
      </c>
      <c r="N407" s="68">
        <f t="shared" si="318"/>
        <v>2.9606098661768426E-5</v>
      </c>
      <c r="O407" s="68">
        <f t="shared" si="318"/>
        <v>2.7754038726503228E-5</v>
      </c>
      <c r="P407" s="68">
        <f t="shared" si="318"/>
        <v>2.5421682276796057E-5</v>
      </c>
      <c r="Q407" s="68">
        <f t="shared" si="318"/>
        <v>2.2622921487449813E-5</v>
      </c>
      <c r="R407" s="68">
        <f t="shared" si="318"/>
        <v>1.9458156522970345E-5</v>
      </c>
      <c r="S407" s="68">
        <f t="shared" si="318"/>
        <v>1.6117127134673281E-5</v>
      </c>
      <c r="T407" s="68">
        <f t="shared" si="318"/>
        <v>1.2841842955517715E-5</v>
      </c>
      <c r="U407" s="68">
        <f t="shared" si="318"/>
        <v>9.8602843502420647E-6</v>
      </c>
      <c r="V407" s="68">
        <f t="shared" si="318"/>
        <v>7.3263841178679942E-6</v>
      </c>
      <c r="W407" s="68">
        <f t="shared" si="318"/>
        <v>5.2971838275570789E-6</v>
      </c>
      <c r="X407" s="68">
        <f t="shared" si="318"/>
        <v>3.7488139437139927E-6</v>
      </c>
      <c r="Y407" s="68">
        <f t="shared" si="318"/>
        <v>2.6106378996451295E-6</v>
      </c>
      <c r="Z407" s="68">
        <f t="shared" si="318"/>
        <v>1.7968584937466979E-6</v>
      </c>
      <c r="AA407" s="68">
        <f t="shared" si="318"/>
        <v>1.2265193088701544E-6</v>
      </c>
      <c r="AB407" s="68">
        <f t="shared" si="318"/>
        <v>8.3237987633449619E-7</v>
      </c>
      <c r="AC407" s="68">
        <f t="shared" si="318"/>
        <v>5.6265062192906486E-7</v>
      </c>
    </row>
    <row r="408" spans="1:29" ht="15.75" thickBot="1" x14ac:dyDescent="0.3">
      <c r="A408" s="31" t="s">
        <v>210</v>
      </c>
      <c r="B408" s="67">
        <f>B397+B398+B399+B400+B401+B402+B403+B404+B405+B406+B407</f>
        <v>2.2384481947338539E-2</v>
      </c>
      <c r="C408" s="67">
        <f t="shared" ref="C408:AC408" si="319">C397+C398+C399+C400+C401+C402+C403+C404+C405+C406+C407</f>
        <v>2.235996883758444E-2</v>
      </c>
      <c r="D408" s="67">
        <f t="shared" si="319"/>
        <v>2.2325169765037886E-2</v>
      </c>
      <c r="E408" s="67">
        <f t="shared" si="319"/>
        <v>2.2275996619986787E-2</v>
      </c>
      <c r="F408" s="67">
        <f t="shared" si="319"/>
        <v>2.2206981969086777E-2</v>
      </c>
      <c r="G408" s="67">
        <f t="shared" si="319"/>
        <v>2.2111071878728617E-2</v>
      </c>
      <c r="H408" s="67">
        <f t="shared" si="319"/>
        <v>2.1979667444466843E-2</v>
      </c>
      <c r="I408" s="67">
        <f t="shared" si="319"/>
        <v>2.1803225798221974E-2</v>
      </c>
      <c r="J408" s="67">
        <f t="shared" si="319"/>
        <v>2.1572838978373553E-2</v>
      </c>
      <c r="K408" s="67">
        <f t="shared" si="319"/>
        <v>2.1283104758487E-2</v>
      </c>
      <c r="L408" s="67">
        <f t="shared" si="319"/>
        <v>2.0935986439140471E-2</v>
      </c>
      <c r="M408" s="67">
        <f t="shared" si="319"/>
        <v>2.0544133742843699E-2</v>
      </c>
      <c r="N408" s="67">
        <f t="shared" si="319"/>
        <v>2.0131082930390294E-2</v>
      </c>
      <c r="O408" s="67">
        <f t="shared" si="319"/>
        <v>1.9726554416194125E-2</v>
      </c>
      <c r="P408" s="67">
        <f t="shared" si="319"/>
        <v>1.9358290813782923E-2</v>
      </c>
      <c r="Q408" s="67">
        <f t="shared" si="319"/>
        <v>1.9044839717701011E-2</v>
      </c>
      <c r="R408" s="67">
        <f t="shared" si="319"/>
        <v>1.879296508396687E-2</v>
      </c>
      <c r="S408" s="67">
        <f t="shared" si="319"/>
        <v>1.8599735553747165E-2</v>
      </c>
      <c r="T408" s="67">
        <f t="shared" si="319"/>
        <v>1.8456690333796572E-2</v>
      </c>
      <c r="U408" s="67">
        <f t="shared" si="319"/>
        <v>1.8353591609309289E-2</v>
      </c>
      <c r="V408" s="67">
        <f t="shared" si="319"/>
        <v>1.8280747950247759E-2</v>
      </c>
      <c r="W408" s="67">
        <f t="shared" si="319"/>
        <v>1.823003583731881E-2</v>
      </c>
      <c r="X408" s="67">
        <f t="shared" si="319"/>
        <v>1.8195115185293226E-2</v>
      </c>
      <c r="Y408" s="67">
        <f t="shared" si="319"/>
        <v>1.8171260415157934E-2</v>
      </c>
      <c r="Z408" s="67">
        <f t="shared" si="319"/>
        <v>1.8155058738585975E-2</v>
      </c>
      <c r="AA408" s="67">
        <f t="shared" si="319"/>
        <v>1.8144099887691511E-2</v>
      </c>
      <c r="AB408" s="67">
        <f t="shared" si="319"/>
        <v>1.8136708504501216E-2</v>
      </c>
      <c r="AC408" s="67">
        <f t="shared" si="319"/>
        <v>1.8131733120181098E-2</v>
      </c>
    </row>
    <row r="410" spans="1:29" x14ac:dyDescent="0.25">
      <c r="B410" s="40"/>
    </row>
    <row r="429" spans="1:1" s="3" customFormat="1" ht="21" x14ac:dyDescent="0.35">
      <c r="A429" s="2" t="str">
        <f>'Parameter Input'!A137</f>
        <v>Railway long-haul:  Neo bulk</v>
      </c>
    </row>
    <row r="430" spans="1:1" s="3" customFormat="1" ht="21" x14ac:dyDescent="0.35">
      <c r="A430" s="2" t="s">
        <v>87</v>
      </c>
    </row>
    <row r="431" spans="1:1" x14ac:dyDescent="0.25">
      <c r="A431" s="33" t="s">
        <v>195</v>
      </c>
    </row>
    <row r="432" spans="1:1" x14ac:dyDescent="0.25">
      <c r="A432" s="33" t="s">
        <v>196</v>
      </c>
    </row>
    <row r="433" spans="1:44" ht="15.75" thickBot="1" x14ac:dyDescent="0.3">
      <c r="A433" s="34" t="s">
        <v>197</v>
      </c>
      <c r="B433" s="34"/>
    </row>
    <row r="434" spans="1:44" ht="15.75" thickBot="1" x14ac:dyDescent="0.3">
      <c r="A434" s="39" t="s">
        <v>198</v>
      </c>
      <c r="B434" s="35"/>
    </row>
    <row r="435" spans="1:44" ht="15.75" thickBot="1" x14ac:dyDescent="0.3">
      <c r="A435" s="38" t="s">
        <v>199</v>
      </c>
      <c r="B435" s="36"/>
    </row>
    <row r="436" spans="1:44" ht="15.75" thickBot="1" x14ac:dyDescent="0.3"/>
    <row r="437" spans="1:44" x14ac:dyDescent="0.25">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18</v>
      </c>
      <c r="B439" s="41">
        <f>'Parameter Input'!$L$115</f>
        <v>10000000</v>
      </c>
      <c r="C439" s="42">
        <f>'Parameter Input'!$M$115</f>
        <v>6250000</v>
      </c>
      <c r="D439" s="1" t="s">
        <v>15</v>
      </c>
      <c r="L439" s="51">
        <f>'Parameter Input'!$O$115</f>
        <v>12</v>
      </c>
      <c r="M439" s="52">
        <v>0</v>
      </c>
      <c r="N439" s="52">
        <v>1</v>
      </c>
      <c r="O439" s="52">
        <f>'Parameter Input'!$P$115</f>
        <v>0.9</v>
      </c>
      <c r="P439" s="53">
        <f>'Parameter Input'!$Q$115</f>
        <v>0.4</v>
      </c>
      <c r="Q439" s="4">
        <f t="shared" ref="Q439:AR448" si="320">$N439+($M439-$N439)*((1/(1+EXP(-$P439*(Q$9-$L439)))^$O439))</f>
        <v>0.9867978615748374</v>
      </c>
      <c r="R439" s="4">
        <f t="shared" si="320"/>
        <v>0.98114509762858249</v>
      </c>
      <c r="S439" s="4">
        <f t="shared" si="320"/>
        <v>0.97311898315872036</v>
      </c>
      <c r="T439" s="4">
        <f t="shared" si="320"/>
        <v>0.96177484161592774</v>
      </c>
      <c r="U439" s="4">
        <f t="shared" si="320"/>
        <v>0.94584787155511363</v>
      </c>
      <c r="V439" s="4">
        <f t="shared" si="320"/>
        <v>0.92370360150141495</v>
      </c>
      <c r="W439" s="4">
        <f t="shared" si="320"/>
        <v>0.89334463567658451</v>
      </c>
      <c r="X439" s="4">
        <f t="shared" si="320"/>
        <v>0.85254543874327005</v>
      </c>
      <c r="Y439" s="4">
        <f t="shared" si="320"/>
        <v>0.79921300652623883</v>
      </c>
      <c r="Z439" s="4">
        <f t="shared" si="320"/>
        <v>0.73204982249993378</v>
      </c>
      <c r="AA439" s="4">
        <f t="shared" si="320"/>
        <v>0.65145592958786691</v>
      </c>
      <c r="AB439" s="4">
        <f t="shared" si="320"/>
        <v>0.56032247880849573</v>
      </c>
      <c r="AC439" s="4">
        <f t="shared" si="320"/>
        <v>0.46411326873185343</v>
      </c>
      <c r="AD439" s="4">
        <f t="shared" si="320"/>
        <v>0.36979727595523937</v>
      </c>
      <c r="AE439" s="4">
        <f t="shared" si="320"/>
        <v>0.28393948637231203</v>
      </c>
      <c r="AF439" s="4">
        <f t="shared" si="320"/>
        <v>0.21097259161117732</v>
      </c>
      <c r="AG439" s="4">
        <f t="shared" si="320"/>
        <v>0.15253917653798199</v>
      </c>
      <c r="AH439" s="4">
        <f t="shared" si="320"/>
        <v>0.10795188737709993</v>
      </c>
      <c r="AI439" s="4">
        <f t="shared" si="320"/>
        <v>7.5176653938091809E-2</v>
      </c>
      <c r="AJ439" s="4">
        <f t="shared" si="320"/>
        <v>5.1742836177502194E-2</v>
      </c>
      <c r="AK439" s="4">
        <f t="shared" si="320"/>
        <v>3.5319190625345942E-2</v>
      </c>
      <c r="AL439" s="4">
        <f t="shared" si="320"/>
        <v>2.3969442072658165E-2</v>
      </c>
      <c r="AM439" s="4">
        <f t="shared" si="320"/>
        <v>1.6202243558389728E-2</v>
      </c>
      <c r="AN439" s="4">
        <f t="shared" si="320"/>
        <v>1.0922240564108399E-2</v>
      </c>
      <c r="AO439" s="4">
        <f t="shared" si="320"/>
        <v>7.3493212906090566E-3</v>
      </c>
      <c r="AP439" s="4">
        <f t="shared" si="320"/>
        <v>4.9390262185057265E-3</v>
      </c>
      <c r="AQ439" s="4">
        <f t="shared" si="320"/>
        <v>3.3164275492956197E-3</v>
      </c>
      <c r="AR439" s="4">
        <f t="shared" si="320"/>
        <v>2.2256362146679809E-3</v>
      </c>
    </row>
    <row r="440" spans="1:44" x14ac:dyDescent="0.25">
      <c r="A440" s="24" t="s">
        <v>28</v>
      </c>
      <c r="B440" s="60">
        <f>'Parameter Input'!$L$116</f>
        <v>-500000</v>
      </c>
      <c r="C440" s="61">
        <f>'Parameter Input'!$M$116</f>
        <v>-937500</v>
      </c>
      <c r="D440" s="1" t="s">
        <v>15</v>
      </c>
      <c r="L440" s="54">
        <f>'Parameter Input'!$O$116</f>
        <v>12</v>
      </c>
      <c r="M440" s="37">
        <v>0</v>
      </c>
      <c r="N440" s="37">
        <v>1</v>
      </c>
      <c r="O440" s="37">
        <f>'Parameter Input'!$P$116</f>
        <v>0.9</v>
      </c>
      <c r="P440" s="55">
        <f>'Parameter Input'!$Q$116</f>
        <v>0.4</v>
      </c>
      <c r="Q440" s="4">
        <f t="shared" si="320"/>
        <v>0.9867978615748374</v>
      </c>
      <c r="R440" s="4">
        <f t="shared" si="320"/>
        <v>0.98114509762858249</v>
      </c>
      <c r="S440" s="4">
        <f t="shared" si="320"/>
        <v>0.97311898315872036</v>
      </c>
      <c r="T440" s="4">
        <f t="shared" si="320"/>
        <v>0.96177484161592774</v>
      </c>
      <c r="U440" s="4">
        <f t="shared" si="320"/>
        <v>0.94584787155511363</v>
      </c>
      <c r="V440" s="4">
        <f t="shared" si="320"/>
        <v>0.92370360150141495</v>
      </c>
      <c r="W440" s="4">
        <f t="shared" si="320"/>
        <v>0.89334463567658451</v>
      </c>
      <c r="X440" s="4">
        <f t="shared" si="320"/>
        <v>0.85254543874327005</v>
      </c>
      <c r="Y440" s="4">
        <f t="shared" si="320"/>
        <v>0.79921300652623883</v>
      </c>
      <c r="Z440" s="4">
        <f t="shared" si="320"/>
        <v>0.73204982249993378</v>
      </c>
      <c r="AA440" s="4">
        <f t="shared" si="320"/>
        <v>0.65145592958786691</v>
      </c>
      <c r="AB440" s="4">
        <f t="shared" si="320"/>
        <v>0.56032247880849573</v>
      </c>
      <c r="AC440" s="4">
        <f t="shared" si="320"/>
        <v>0.46411326873185343</v>
      </c>
      <c r="AD440" s="4">
        <f t="shared" si="320"/>
        <v>0.36979727595523937</v>
      </c>
      <c r="AE440" s="4">
        <f t="shared" si="320"/>
        <v>0.28393948637231203</v>
      </c>
      <c r="AF440" s="4">
        <f t="shared" si="320"/>
        <v>0.21097259161117732</v>
      </c>
      <c r="AG440" s="4">
        <f t="shared" si="320"/>
        <v>0.15253917653798199</v>
      </c>
      <c r="AH440" s="4">
        <f t="shared" si="320"/>
        <v>0.10795188737709993</v>
      </c>
      <c r="AI440" s="4">
        <f t="shared" si="320"/>
        <v>7.5176653938091809E-2</v>
      </c>
      <c r="AJ440" s="4">
        <f t="shared" si="320"/>
        <v>5.1742836177502194E-2</v>
      </c>
      <c r="AK440" s="4">
        <f t="shared" si="320"/>
        <v>3.5319190625345942E-2</v>
      </c>
      <c r="AL440" s="4">
        <f t="shared" si="320"/>
        <v>2.3969442072658165E-2</v>
      </c>
      <c r="AM440" s="4">
        <f t="shared" si="320"/>
        <v>1.6202243558389728E-2</v>
      </c>
      <c r="AN440" s="4">
        <f t="shared" si="320"/>
        <v>1.0922240564108399E-2</v>
      </c>
      <c r="AO440" s="4">
        <f t="shared" si="320"/>
        <v>7.3493212906090566E-3</v>
      </c>
      <c r="AP440" s="4">
        <f t="shared" si="320"/>
        <v>4.9390262185057265E-3</v>
      </c>
      <c r="AQ440" s="4">
        <f t="shared" si="320"/>
        <v>3.3164275492956197E-3</v>
      </c>
      <c r="AR440" s="4">
        <f t="shared" si="320"/>
        <v>2.2256362146679809E-3</v>
      </c>
    </row>
    <row r="441" spans="1:44" x14ac:dyDescent="0.25">
      <c r="A441" s="24" t="s">
        <v>14</v>
      </c>
      <c r="B441" s="43">
        <f>'Parameter Input'!B138</f>
        <v>3500000</v>
      </c>
      <c r="C441" s="44">
        <f>'Parameter Input'!C138</f>
        <v>3500000</v>
      </c>
      <c r="D441" s="1" t="s">
        <v>15</v>
      </c>
      <c r="L441" s="54">
        <f>'Parameter Input'!E138</f>
        <v>12</v>
      </c>
      <c r="M441" s="37">
        <v>0</v>
      </c>
      <c r="N441" s="37">
        <v>1</v>
      </c>
      <c r="O441" s="37">
        <f>'Parameter Input'!F138</f>
        <v>0.9</v>
      </c>
      <c r="P441" s="55">
        <f>'Parameter Input'!G138</f>
        <v>0.4</v>
      </c>
      <c r="Q441" s="4">
        <f t="shared" si="320"/>
        <v>0.9867978615748374</v>
      </c>
      <c r="R441" s="4">
        <f t="shared" si="320"/>
        <v>0.98114509762858249</v>
      </c>
      <c r="S441" s="4">
        <f t="shared" si="320"/>
        <v>0.97311898315872036</v>
      </c>
      <c r="T441" s="4">
        <f t="shared" si="320"/>
        <v>0.96177484161592774</v>
      </c>
      <c r="U441" s="4">
        <f t="shared" si="320"/>
        <v>0.94584787155511363</v>
      </c>
      <c r="V441" s="4">
        <f t="shared" si="320"/>
        <v>0.92370360150141495</v>
      </c>
      <c r="W441" s="4">
        <f t="shared" si="320"/>
        <v>0.89334463567658451</v>
      </c>
      <c r="X441" s="4">
        <f t="shared" si="320"/>
        <v>0.85254543874327005</v>
      </c>
      <c r="Y441" s="4">
        <f t="shared" si="320"/>
        <v>0.79921300652623883</v>
      </c>
      <c r="Z441" s="4">
        <f t="shared" si="320"/>
        <v>0.73204982249993378</v>
      </c>
      <c r="AA441" s="4">
        <f t="shared" si="320"/>
        <v>0.65145592958786691</v>
      </c>
      <c r="AB441" s="4">
        <f t="shared" si="320"/>
        <v>0.56032247880849573</v>
      </c>
      <c r="AC441" s="4">
        <f t="shared" si="320"/>
        <v>0.46411326873185343</v>
      </c>
      <c r="AD441" s="4">
        <f t="shared" si="320"/>
        <v>0.36979727595523937</v>
      </c>
      <c r="AE441" s="4">
        <f t="shared" si="320"/>
        <v>0.28393948637231203</v>
      </c>
      <c r="AF441" s="4">
        <f t="shared" si="320"/>
        <v>0.21097259161117732</v>
      </c>
      <c r="AG441" s="4">
        <f t="shared" si="320"/>
        <v>0.15253917653798199</v>
      </c>
      <c r="AH441" s="4">
        <f t="shared" si="320"/>
        <v>0.10795188737709993</v>
      </c>
      <c r="AI441" s="4">
        <f t="shared" si="320"/>
        <v>7.5176653938091809E-2</v>
      </c>
      <c r="AJ441" s="4">
        <f t="shared" si="320"/>
        <v>5.1742836177502194E-2</v>
      </c>
      <c r="AK441" s="4">
        <f t="shared" si="320"/>
        <v>3.5319190625345942E-2</v>
      </c>
      <c r="AL441" s="4">
        <f t="shared" si="320"/>
        <v>2.3969442072658165E-2</v>
      </c>
      <c r="AM441" s="4">
        <f t="shared" si="320"/>
        <v>1.6202243558389728E-2</v>
      </c>
      <c r="AN441" s="4">
        <f t="shared" si="320"/>
        <v>1.0922240564108399E-2</v>
      </c>
      <c r="AO441" s="4">
        <f t="shared" si="320"/>
        <v>7.3493212906090566E-3</v>
      </c>
      <c r="AP441" s="4">
        <f t="shared" si="320"/>
        <v>4.9390262185057265E-3</v>
      </c>
      <c r="AQ441" s="4">
        <f t="shared" si="320"/>
        <v>3.3164275492956197E-3</v>
      </c>
      <c r="AR441" s="4">
        <f t="shared" si="320"/>
        <v>2.2256362146679809E-3</v>
      </c>
    </row>
    <row r="442" spans="1:44" x14ac:dyDescent="0.25">
      <c r="A442" s="24" t="s">
        <v>25</v>
      </c>
      <c r="B442" s="60">
        <f>'Parameter Input'!B139</f>
        <v>-175000</v>
      </c>
      <c r="C442" s="61">
        <f>'Parameter Input'!C139</f>
        <v>-175000</v>
      </c>
      <c r="D442" s="1" t="s">
        <v>15</v>
      </c>
      <c r="L442" s="54">
        <f>'Parameter Input'!E139</f>
        <v>12</v>
      </c>
      <c r="M442" s="37">
        <v>0</v>
      </c>
      <c r="N442" s="37">
        <v>1</v>
      </c>
      <c r="O442" s="37">
        <f>'Parameter Input'!F139</f>
        <v>0.9</v>
      </c>
      <c r="P442" s="55">
        <f>'Parameter Input'!G139</f>
        <v>0.4</v>
      </c>
      <c r="Q442" s="4">
        <f t="shared" si="320"/>
        <v>0.9867978615748374</v>
      </c>
      <c r="R442" s="4">
        <f t="shared" si="320"/>
        <v>0.98114509762858249</v>
      </c>
      <c r="S442" s="4">
        <f t="shared" si="320"/>
        <v>0.97311898315872036</v>
      </c>
      <c r="T442" s="4">
        <f t="shared" si="320"/>
        <v>0.96177484161592774</v>
      </c>
      <c r="U442" s="4">
        <f t="shared" si="320"/>
        <v>0.94584787155511363</v>
      </c>
      <c r="V442" s="4">
        <f t="shared" si="320"/>
        <v>0.92370360150141495</v>
      </c>
      <c r="W442" s="4">
        <f t="shared" si="320"/>
        <v>0.89334463567658451</v>
      </c>
      <c r="X442" s="4">
        <f t="shared" si="320"/>
        <v>0.85254543874327005</v>
      </c>
      <c r="Y442" s="4">
        <f t="shared" si="320"/>
        <v>0.79921300652623883</v>
      </c>
      <c r="Z442" s="4">
        <f t="shared" si="320"/>
        <v>0.73204982249993378</v>
      </c>
      <c r="AA442" s="4">
        <f t="shared" si="320"/>
        <v>0.65145592958786691</v>
      </c>
      <c r="AB442" s="4">
        <f t="shared" si="320"/>
        <v>0.56032247880849573</v>
      </c>
      <c r="AC442" s="4">
        <f t="shared" si="320"/>
        <v>0.46411326873185343</v>
      </c>
      <c r="AD442" s="4">
        <f t="shared" si="320"/>
        <v>0.36979727595523937</v>
      </c>
      <c r="AE442" s="4">
        <f t="shared" si="320"/>
        <v>0.28393948637231203</v>
      </c>
      <c r="AF442" s="4">
        <f t="shared" si="320"/>
        <v>0.21097259161117732</v>
      </c>
      <c r="AG442" s="4">
        <f t="shared" si="320"/>
        <v>0.15253917653798199</v>
      </c>
      <c r="AH442" s="4">
        <f t="shared" si="320"/>
        <v>0.10795188737709993</v>
      </c>
      <c r="AI442" s="4">
        <f t="shared" si="320"/>
        <v>7.5176653938091809E-2</v>
      </c>
      <c r="AJ442" s="4">
        <f t="shared" si="320"/>
        <v>5.1742836177502194E-2</v>
      </c>
      <c r="AK442" s="4">
        <f t="shared" si="320"/>
        <v>3.5319190625345942E-2</v>
      </c>
      <c r="AL442" s="4">
        <f t="shared" si="320"/>
        <v>2.3969442072658165E-2</v>
      </c>
      <c r="AM442" s="4">
        <f t="shared" si="320"/>
        <v>1.6202243558389728E-2</v>
      </c>
      <c r="AN442" s="4">
        <f t="shared" si="320"/>
        <v>1.0922240564108399E-2</v>
      </c>
      <c r="AO442" s="4">
        <f t="shared" si="320"/>
        <v>7.3493212906090566E-3</v>
      </c>
      <c r="AP442" s="4">
        <f t="shared" si="320"/>
        <v>4.9390262185057265E-3</v>
      </c>
      <c r="AQ442" s="4">
        <f t="shared" si="320"/>
        <v>3.3164275492956197E-3</v>
      </c>
      <c r="AR442" s="4">
        <f t="shared" si="320"/>
        <v>2.2256362146679809E-3</v>
      </c>
    </row>
    <row r="443" spans="1:44" x14ac:dyDescent="0.25">
      <c r="A443" s="24" t="s">
        <v>79</v>
      </c>
      <c r="B443" s="45">
        <f>'Parameter Input'!$L$122</f>
        <v>0.06</v>
      </c>
      <c r="C443" s="46">
        <f>'Parameter Input'!$M$122</f>
        <v>0.06</v>
      </c>
      <c r="D443" s="1" t="s">
        <v>57</v>
      </c>
      <c r="L443" s="54">
        <f>'Parameter Input'!$O$122</f>
        <v>12</v>
      </c>
      <c r="M443" s="37">
        <v>0</v>
      </c>
      <c r="N443" s="37">
        <v>1</v>
      </c>
      <c r="O443" s="37">
        <f>'Parameter Input'!$P$122</f>
        <v>0.9</v>
      </c>
      <c r="P443" s="55">
        <f>'Parameter Input'!$Q$122</f>
        <v>0.4</v>
      </c>
      <c r="Q443" s="4">
        <f t="shared" si="320"/>
        <v>0.9867978615748374</v>
      </c>
      <c r="R443" s="4">
        <f t="shared" si="320"/>
        <v>0.98114509762858249</v>
      </c>
      <c r="S443" s="4">
        <f t="shared" si="320"/>
        <v>0.97311898315872036</v>
      </c>
      <c r="T443" s="4">
        <f t="shared" si="320"/>
        <v>0.96177484161592774</v>
      </c>
      <c r="U443" s="4">
        <f t="shared" si="320"/>
        <v>0.94584787155511363</v>
      </c>
      <c r="V443" s="4">
        <f t="shared" si="320"/>
        <v>0.92370360150141495</v>
      </c>
      <c r="W443" s="4">
        <f t="shared" si="320"/>
        <v>0.89334463567658451</v>
      </c>
      <c r="X443" s="4">
        <f t="shared" si="320"/>
        <v>0.85254543874327005</v>
      </c>
      <c r="Y443" s="4">
        <f t="shared" si="320"/>
        <v>0.79921300652623883</v>
      </c>
      <c r="Z443" s="4">
        <f t="shared" si="320"/>
        <v>0.73204982249993378</v>
      </c>
      <c r="AA443" s="4">
        <f t="shared" si="320"/>
        <v>0.65145592958786691</v>
      </c>
      <c r="AB443" s="4">
        <f t="shared" si="320"/>
        <v>0.56032247880849573</v>
      </c>
      <c r="AC443" s="4">
        <f t="shared" si="320"/>
        <v>0.46411326873185343</v>
      </c>
      <c r="AD443" s="4">
        <f t="shared" si="320"/>
        <v>0.36979727595523937</v>
      </c>
      <c r="AE443" s="4">
        <f t="shared" si="320"/>
        <v>0.28393948637231203</v>
      </c>
      <c r="AF443" s="4">
        <f t="shared" si="320"/>
        <v>0.21097259161117732</v>
      </c>
      <c r="AG443" s="4">
        <f t="shared" si="320"/>
        <v>0.15253917653798199</v>
      </c>
      <c r="AH443" s="4">
        <f t="shared" si="320"/>
        <v>0.10795188737709993</v>
      </c>
      <c r="AI443" s="4">
        <f t="shared" si="320"/>
        <v>7.5176653938091809E-2</v>
      </c>
      <c r="AJ443" s="4">
        <f t="shared" si="320"/>
        <v>5.1742836177502194E-2</v>
      </c>
      <c r="AK443" s="4">
        <f t="shared" si="320"/>
        <v>3.5319190625345942E-2</v>
      </c>
      <c r="AL443" s="4">
        <f t="shared" si="320"/>
        <v>2.3969442072658165E-2</v>
      </c>
      <c r="AM443" s="4">
        <f t="shared" si="320"/>
        <v>1.6202243558389728E-2</v>
      </c>
      <c r="AN443" s="4">
        <f t="shared" si="320"/>
        <v>1.0922240564108399E-2</v>
      </c>
      <c r="AO443" s="4">
        <f t="shared" si="320"/>
        <v>7.3493212906090566E-3</v>
      </c>
      <c r="AP443" s="4">
        <f t="shared" si="320"/>
        <v>4.9390262185057265E-3</v>
      </c>
      <c r="AQ443" s="4">
        <f t="shared" si="320"/>
        <v>3.3164275492956197E-3</v>
      </c>
      <c r="AR443" s="4">
        <f t="shared" si="320"/>
        <v>2.2256362146679809E-3</v>
      </c>
    </row>
    <row r="444" spans="1:44" x14ac:dyDescent="0.25">
      <c r="A444" s="24" t="s">
        <v>37</v>
      </c>
      <c r="B444" s="43">
        <f>'Parameter Input'!B140</f>
        <v>650000</v>
      </c>
      <c r="C444" s="44">
        <f>'Parameter Input'!C140</f>
        <v>650000</v>
      </c>
      <c r="D444" s="1" t="s">
        <v>38</v>
      </c>
      <c r="L444" s="54">
        <f>'Parameter Input'!E140</f>
        <v>12</v>
      </c>
      <c r="M444" s="37">
        <v>0</v>
      </c>
      <c r="N444" s="37">
        <v>1</v>
      </c>
      <c r="O444" s="37">
        <f>'Parameter Input'!F140</f>
        <v>0.9</v>
      </c>
      <c r="P444" s="55">
        <f>'Parameter Input'!G140</f>
        <v>0.4</v>
      </c>
      <c r="Q444" s="4">
        <f t="shared" si="320"/>
        <v>0.9867978615748374</v>
      </c>
      <c r="R444" s="4">
        <f t="shared" si="320"/>
        <v>0.98114509762858249</v>
      </c>
      <c r="S444" s="4">
        <f t="shared" si="320"/>
        <v>0.97311898315872036</v>
      </c>
      <c r="T444" s="4">
        <f t="shared" si="320"/>
        <v>0.96177484161592774</v>
      </c>
      <c r="U444" s="4">
        <f t="shared" si="320"/>
        <v>0.94584787155511363</v>
      </c>
      <c r="V444" s="4">
        <f t="shared" si="320"/>
        <v>0.92370360150141495</v>
      </c>
      <c r="W444" s="4">
        <f t="shared" si="320"/>
        <v>0.89334463567658451</v>
      </c>
      <c r="X444" s="4">
        <f t="shared" si="320"/>
        <v>0.85254543874327005</v>
      </c>
      <c r="Y444" s="4">
        <f t="shared" si="320"/>
        <v>0.79921300652623883</v>
      </c>
      <c r="Z444" s="4">
        <f t="shared" si="320"/>
        <v>0.73204982249993378</v>
      </c>
      <c r="AA444" s="4">
        <f t="shared" si="320"/>
        <v>0.65145592958786691</v>
      </c>
      <c r="AB444" s="4">
        <f t="shared" si="320"/>
        <v>0.56032247880849573</v>
      </c>
      <c r="AC444" s="4">
        <f t="shared" si="320"/>
        <v>0.46411326873185343</v>
      </c>
      <c r="AD444" s="4">
        <f t="shared" si="320"/>
        <v>0.36979727595523937</v>
      </c>
      <c r="AE444" s="4">
        <f t="shared" si="320"/>
        <v>0.28393948637231203</v>
      </c>
      <c r="AF444" s="4">
        <f t="shared" si="320"/>
        <v>0.21097259161117732</v>
      </c>
      <c r="AG444" s="4">
        <f t="shared" si="320"/>
        <v>0.15253917653798199</v>
      </c>
      <c r="AH444" s="4">
        <f t="shared" si="320"/>
        <v>0.10795188737709993</v>
      </c>
      <c r="AI444" s="4">
        <f t="shared" si="320"/>
        <v>7.5176653938091809E-2</v>
      </c>
      <c r="AJ444" s="4">
        <f t="shared" si="320"/>
        <v>5.1742836177502194E-2</v>
      </c>
      <c r="AK444" s="4">
        <f t="shared" si="320"/>
        <v>3.5319190625345942E-2</v>
      </c>
      <c r="AL444" s="4">
        <f t="shared" si="320"/>
        <v>2.3969442072658165E-2</v>
      </c>
      <c r="AM444" s="4">
        <f t="shared" si="320"/>
        <v>1.6202243558389728E-2</v>
      </c>
      <c r="AN444" s="4">
        <f t="shared" si="320"/>
        <v>1.0922240564108399E-2</v>
      </c>
      <c r="AO444" s="4">
        <f t="shared" si="320"/>
        <v>7.3493212906090566E-3</v>
      </c>
      <c r="AP444" s="4">
        <f t="shared" si="320"/>
        <v>4.9390262185057265E-3</v>
      </c>
      <c r="AQ444" s="4">
        <f t="shared" si="320"/>
        <v>3.3164275492956197E-3</v>
      </c>
      <c r="AR444" s="4">
        <f t="shared" si="320"/>
        <v>2.2256362146679809E-3</v>
      </c>
    </row>
    <row r="445" spans="1:44" x14ac:dyDescent="0.25">
      <c r="A445" s="24" t="s">
        <v>52</v>
      </c>
      <c r="B445" s="43">
        <f>'Parameter Input'!$L$118</f>
        <v>1300000</v>
      </c>
      <c r="C445" s="44">
        <f>'Parameter Input'!$M$118</f>
        <v>812500</v>
      </c>
      <c r="D445" s="1" t="s">
        <v>38</v>
      </c>
      <c r="L445" s="54">
        <f>'Parameter Input'!$O$118</f>
        <v>12</v>
      </c>
      <c r="M445" s="37">
        <v>0</v>
      </c>
      <c r="N445" s="37">
        <v>1</v>
      </c>
      <c r="O445" s="37">
        <f>'Parameter Input'!$P$118</f>
        <v>0.9</v>
      </c>
      <c r="P445" s="55">
        <f>'Parameter Input'!$Q$118</f>
        <v>0.4</v>
      </c>
      <c r="Q445" s="4">
        <f t="shared" si="320"/>
        <v>0.9867978615748374</v>
      </c>
      <c r="R445" s="4">
        <f t="shared" si="320"/>
        <v>0.98114509762858249</v>
      </c>
      <c r="S445" s="4">
        <f t="shared" si="320"/>
        <v>0.97311898315872036</v>
      </c>
      <c r="T445" s="4">
        <f t="shared" si="320"/>
        <v>0.96177484161592774</v>
      </c>
      <c r="U445" s="4">
        <f t="shared" si="320"/>
        <v>0.94584787155511363</v>
      </c>
      <c r="V445" s="4">
        <f t="shared" si="320"/>
        <v>0.92370360150141495</v>
      </c>
      <c r="W445" s="4">
        <f t="shared" si="320"/>
        <v>0.89334463567658451</v>
      </c>
      <c r="X445" s="4">
        <f t="shared" si="320"/>
        <v>0.85254543874327005</v>
      </c>
      <c r="Y445" s="4">
        <f t="shared" si="320"/>
        <v>0.79921300652623883</v>
      </c>
      <c r="Z445" s="4">
        <f t="shared" si="320"/>
        <v>0.73204982249993378</v>
      </c>
      <c r="AA445" s="4">
        <f t="shared" si="320"/>
        <v>0.65145592958786691</v>
      </c>
      <c r="AB445" s="4">
        <f t="shared" si="320"/>
        <v>0.56032247880849573</v>
      </c>
      <c r="AC445" s="4">
        <f t="shared" si="320"/>
        <v>0.46411326873185343</v>
      </c>
      <c r="AD445" s="4">
        <f t="shared" si="320"/>
        <v>0.36979727595523937</v>
      </c>
      <c r="AE445" s="4">
        <f t="shared" si="320"/>
        <v>0.28393948637231203</v>
      </c>
      <c r="AF445" s="4">
        <f t="shared" si="320"/>
        <v>0.21097259161117732</v>
      </c>
      <c r="AG445" s="4">
        <f t="shared" si="320"/>
        <v>0.15253917653798199</v>
      </c>
      <c r="AH445" s="4">
        <f t="shared" si="320"/>
        <v>0.10795188737709993</v>
      </c>
      <c r="AI445" s="4">
        <f t="shared" si="320"/>
        <v>7.5176653938091809E-2</v>
      </c>
      <c r="AJ445" s="4">
        <f t="shared" si="320"/>
        <v>5.1742836177502194E-2</v>
      </c>
      <c r="AK445" s="4">
        <f t="shared" si="320"/>
        <v>3.5319190625345942E-2</v>
      </c>
      <c r="AL445" s="4">
        <f t="shared" si="320"/>
        <v>2.3969442072658165E-2</v>
      </c>
      <c r="AM445" s="4">
        <f t="shared" si="320"/>
        <v>1.6202243558389728E-2</v>
      </c>
      <c r="AN445" s="4">
        <f t="shared" si="320"/>
        <v>1.0922240564108399E-2</v>
      </c>
      <c r="AO445" s="4">
        <f t="shared" si="320"/>
        <v>7.3493212906090566E-3</v>
      </c>
      <c r="AP445" s="4">
        <f t="shared" si="320"/>
        <v>4.9390262185057265E-3</v>
      </c>
      <c r="AQ445" s="4">
        <f t="shared" si="320"/>
        <v>3.3164275492956197E-3</v>
      </c>
      <c r="AR445" s="4">
        <f t="shared" si="320"/>
        <v>2.2256362146679809E-3</v>
      </c>
    </row>
    <row r="446" spans="1:44" x14ac:dyDescent="0.25">
      <c r="A446" s="24" t="s">
        <v>287</v>
      </c>
      <c r="B446" s="45">
        <f>'Parameter Input'!B145</f>
        <v>3.9215686274509802</v>
      </c>
      <c r="C446" s="46">
        <f>'Parameter Input'!C145</f>
        <v>3.9215686274509802</v>
      </c>
      <c r="D446" s="1" t="s">
        <v>76</v>
      </c>
      <c r="L446" s="54">
        <f>'Parameter Input'!E145</f>
        <v>12</v>
      </c>
      <c r="M446" s="37">
        <v>0</v>
      </c>
      <c r="N446" s="37">
        <v>1</v>
      </c>
      <c r="O446" s="37">
        <f>'Parameter Input'!F145</f>
        <v>0.9</v>
      </c>
      <c r="P446" s="55">
        <f>'Parameter Input'!G145</f>
        <v>0.4</v>
      </c>
      <c r="Q446" s="4">
        <f t="shared" si="320"/>
        <v>0.9867978615748374</v>
      </c>
      <c r="R446" s="4">
        <f t="shared" si="320"/>
        <v>0.98114509762858249</v>
      </c>
      <c r="S446" s="4">
        <f t="shared" si="320"/>
        <v>0.97311898315872036</v>
      </c>
      <c r="T446" s="4">
        <f t="shared" si="320"/>
        <v>0.96177484161592774</v>
      </c>
      <c r="U446" s="4">
        <f t="shared" si="320"/>
        <v>0.94584787155511363</v>
      </c>
      <c r="V446" s="4">
        <f t="shared" si="320"/>
        <v>0.92370360150141495</v>
      </c>
      <c r="W446" s="4">
        <f t="shared" si="320"/>
        <v>0.89334463567658451</v>
      </c>
      <c r="X446" s="4">
        <f t="shared" si="320"/>
        <v>0.85254543874327005</v>
      </c>
      <c r="Y446" s="4">
        <f t="shared" si="320"/>
        <v>0.79921300652623883</v>
      </c>
      <c r="Z446" s="4">
        <f t="shared" si="320"/>
        <v>0.73204982249993378</v>
      </c>
      <c r="AA446" s="4">
        <f t="shared" si="320"/>
        <v>0.65145592958786691</v>
      </c>
      <c r="AB446" s="4">
        <f t="shared" si="320"/>
        <v>0.56032247880849573</v>
      </c>
      <c r="AC446" s="4">
        <f t="shared" si="320"/>
        <v>0.46411326873185343</v>
      </c>
      <c r="AD446" s="4">
        <f t="shared" si="320"/>
        <v>0.36979727595523937</v>
      </c>
      <c r="AE446" s="4">
        <f t="shared" si="320"/>
        <v>0.28393948637231203</v>
      </c>
      <c r="AF446" s="4">
        <f t="shared" si="320"/>
        <v>0.21097259161117732</v>
      </c>
      <c r="AG446" s="4">
        <f t="shared" si="320"/>
        <v>0.15253917653798199</v>
      </c>
      <c r="AH446" s="4">
        <f t="shared" si="320"/>
        <v>0.10795188737709993</v>
      </c>
      <c r="AI446" s="4">
        <f t="shared" si="320"/>
        <v>7.5176653938091809E-2</v>
      </c>
      <c r="AJ446" s="4">
        <f t="shared" si="320"/>
        <v>5.1742836177502194E-2</v>
      </c>
      <c r="AK446" s="4">
        <f t="shared" si="320"/>
        <v>3.5319190625345942E-2</v>
      </c>
      <c r="AL446" s="4">
        <f t="shared" si="320"/>
        <v>2.3969442072658165E-2</v>
      </c>
      <c r="AM446" s="4">
        <f t="shared" si="320"/>
        <v>1.6202243558389728E-2</v>
      </c>
      <c r="AN446" s="4">
        <f t="shared" si="320"/>
        <v>1.0922240564108399E-2</v>
      </c>
      <c r="AO446" s="4">
        <f t="shared" si="320"/>
        <v>7.3493212906090566E-3</v>
      </c>
      <c r="AP446" s="4">
        <f t="shared" si="320"/>
        <v>4.9390262185057265E-3</v>
      </c>
      <c r="AQ446" s="4">
        <f t="shared" si="320"/>
        <v>3.3164275492956197E-3</v>
      </c>
      <c r="AR446" s="4">
        <f t="shared" si="320"/>
        <v>2.2256362146679809E-3</v>
      </c>
    </row>
    <row r="447" spans="1:44" x14ac:dyDescent="0.25">
      <c r="A447" s="24" t="s">
        <v>59</v>
      </c>
      <c r="B447" s="47">
        <f>'Parameter Input'!$L$119</f>
        <v>33.590199999999996</v>
      </c>
      <c r="C447" s="48">
        <f>'Parameter Input'!$M$119</f>
        <v>33.590199999999996</v>
      </c>
      <c r="D447" s="1" t="s">
        <v>60</v>
      </c>
      <c r="L447" s="54">
        <f>'Parameter Input'!$O$119</f>
        <v>12</v>
      </c>
      <c r="M447" s="37">
        <v>0</v>
      </c>
      <c r="N447" s="37">
        <v>1</v>
      </c>
      <c r="O447" s="37">
        <f>'Parameter Input'!$P$119</f>
        <v>0.9</v>
      </c>
      <c r="P447" s="55">
        <f>'Parameter Input'!$Q$119</f>
        <v>0.4</v>
      </c>
      <c r="Q447" s="4">
        <f t="shared" si="320"/>
        <v>0.9867978615748374</v>
      </c>
      <c r="R447" s="4">
        <f t="shared" si="320"/>
        <v>0.98114509762858249</v>
      </c>
      <c r="S447" s="4">
        <f t="shared" si="320"/>
        <v>0.97311898315872036</v>
      </c>
      <c r="T447" s="4">
        <f t="shared" si="320"/>
        <v>0.96177484161592774</v>
      </c>
      <c r="U447" s="4">
        <f t="shared" si="320"/>
        <v>0.94584787155511363</v>
      </c>
      <c r="V447" s="4">
        <f t="shared" si="320"/>
        <v>0.92370360150141495</v>
      </c>
      <c r="W447" s="4">
        <f t="shared" si="320"/>
        <v>0.89334463567658451</v>
      </c>
      <c r="X447" s="4">
        <f t="shared" si="320"/>
        <v>0.85254543874327005</v>
      </c>
      <c r="Y447" s="4">
        <f t="shared" si="320"/>
        <v>0.79921300652623883</v>
      </c>
      <c r="Z447" s="4">
        <f t="shared" si="320"/>
        <v>0.73204982249993378</v>
      </c>
      <c r="AA447" s="4">
        <f t="shared" si="320"/>
        <v>0.65145592958786691</v>
      </c>
      <c r="AB447" s="4">
        <f t="shared" si="320"/>
        <v>0.56032247880849573</v>
      </c>
      <c r="AC447" s="4">
        <f t="shared" si="320"/>
        <v>0.46411326873185343</v>
      </c>
      <c r="AD447" s="4">
        <f t="shared" si="320"/>
        <v>0.36979727595523937</v>
      </c>
      <c r="AE447" s="4">
        <f t="shared" si="320"/>
        <v>0.28393948637231203</v>
      </c>
      <c r="AF447" s="4">
        <f t="shared" si="320"/>
        <v>0.21097259161117732</v>
      </c>
      <c r="AG447" s="4">
        <f t="shared" si="320"/>
        <v>0.15253917653798199</v>
      </c>
      <c r="AH447" s="4">
        <f t="shared" si="320"/>
        <v>0.10795188737709993</v>
      </c>
      <c r="AI447" s="4">
        <f t="shared" si="320"/>
        <v>7.5176653938091809E-2</v>
      </c>
      <c r="AJ447" s="4">
        <f t="shared" si="320"/>
        <v>5.1742836177502194E-2</v>
      </c>
      <c r="AK447" s="4">
        <f t="shared" si="320"/>
        <v>3.5319190625345942E-2</v>
      </c>
      <c r="AL447" s="4">
        <f t="shared" si="320"/>
        <v>2.3969442072658165E-2</v>
      </c>
      <c r="AM447" s="4">
        <f t="shared" si="320"/>
        <v>1.6202243558389728E-2</v>
      </c>
      <c r="AN447" s="4">
        <f t="shared" si="320"/>
        <v>1.0922240564108399E-2</v>
      </c>
      <c r="AO447" s="4">
        <f t="shared" si="320"/>
        <v>7.3493212906090566E-3</v>
      </c>
      <c r="AP447" s="4">
        <f t="shared" si="320"/>
        <v>4.9390262185057265E-3</v>
      </c>
      <c r="AQ447" s="4">
        <f t="shared" si="320"/>
        <v>3.3164275492956197E-3</v>
      </c>
      <c r="AR447" s="4">
        <f t="shared" si="320"/>
        <v>2.2256362146679809E-3</v>
      </c>
    </row>
    <row r="448" spans="1:44" x14ac:dyDescent="0.25">
      <c r="A448" s="24" t="s">
        <v>67</v>
      </c>
      <c r="B448" s="45">
        <f>'Parameter Input'!$L$120</f>
        <v>0.13371034051801745</v>
      </c>
      <c r="C448" s="46">
        <f>'Parameter Input'!$M$120</f>
        <v>8.7585019329602734E-2</v>
      </c>
      <c r="D448" s="1" t="s">
        <v>68</v>
      </c>
      <c r="L448" s="54">
        <f>'Parameter Input'!$O$120</f>
        <v>12</v>
      </c>
      <c r="M448" s="37">
        <v>0</v>
      </c>
      <c r="N448" s="37">
        <v>1</v>
      </c>
      <c r="O448" s="37">
        <f>'Parameter Input'!$P$120</f>
        <v>0.9</v>
      </c>
      <c r="P448" s="55">
        <f>'Parameter Input'!$Q$120</f>
        <v>0.4</v>
      </c>
      <c r="Q448" s="4">
        <f t="shared" si="320"/>
        <v>0.9867978615748374</v>
      </c>
      <c r="R448" s="4">
        <f t="shared" si="320"/>
        <v>0.98114509762858249</v>
      </c>
      <c r="S448" s="4">
        <f t="shared" si="320"/>
        <v>0.97311898315872036</v>
      </c>
      <c r="T448" s="4">
        <f t="shared" ref="T448:AI455" si="321">$N448+($M448-$N448)*((1/(1+EXP(-$P448*(T$9-$L448)))^$O448))</f>
        <v>0.96177484161592774</v>
      </c>
      <c r="U448" s="4">
        <f t="shared" si="321"/>
        <v>0.94584787155511363</v>
      </c>
      <c r="V448" s="4">
        <f t="shared" si="321"/>
        <v>0.92370360150141495</v>
      </c>
      <c r="W448" s="4">
        <f t="shared" si="321"/>
        <v>0.89334463567658451</v>
      </c>
      <c r="X448" s="4">
        <f t="shared" si="321"/>
        <v>0.85254543874327005</v>
      </c>
      <c r="Y448" s="4">
        <f t="shared" si="321"/>
        <v>0.79921300652623883</v>
      </c>
      <c r="Z448" s="4">
        <f t="shared" si="321"/>
        <v>0.73204982249993378</v>
      </c>
      <c r="AA448" s="4">
        <f t="shared" si="321"/>
        <v>0.65145592958786691</v>
      </c>
      <c r="AB448" s="4">
        <f t="shared" si="321"/>
        <v>0.56032247880849573</v>
      </c>
      <c r="AC448" s="4">
        <f t="shared" si="321"/>
        <v>0.46411326873185343</v>
      </c>
      <c r="AD448" s="4">
        <f t="shared" si="321"/>
        <v>0.36979727595523937</v>
      </c>
      <c r="AE448" s="4">
        <f t="shared" si="321"/>
        <v>0.28393948637231203</v>
      </c>
      <c r="AF448" s="4">
        <f t="shared" si="321"/>
        <v>0.21097259161117732</v>
      </c>
      <c r="AG448" s="4">
        <f t="shared" si="321"/>
        <v>0.15253917653798199</v>
      </c>
      <c r="AH448" s="4">
        <f t="shared" si="321"/>
        <v>0.10795188737709993</v>
      </c>
      <c r="AI448" s="4">
        <f t="shared" si="321"/>
        <v>7.5176653938091809E-2</v>
      </c>
      <c r="AJ448" s="4">
        <f t="shared" ref="AJ448:AR455" si="322">$N448+($M448-$N448)*((1/(1+EXP(-$P448*(AJ$9-$L448)))^$O448))</f>
        <v>5.1742836177502194E-2</v>
      </c>
      <c r="AK448" s="4">
        <f t="shared" si="322"/>
        <v>3.5319190625345942E-2</v>
      </c>
      <c r="AL448" s="4">
        <f t="shared" si="322"/>
        <v>2.3969442072658165E-2</v>
      </c>
      <c r="AM448" s="4">
        <f t="shared" si="322"/>
        <v>1.6202243558389728E-2</v>
      </c>
      <c r="AN448" s="4">
        <f t="shared" si="322"/>
        <v>1.0922240564108399E-2</v>
      </c>
      <c r="AO448" s="4">
        <f t="shared" si="322"/>
        <v>7.3493212906090566E-3</v>
      </c>
      <c r="AP448" s="4">
        <f t="shared" si="322"/>
        <v>4.9390262185057265E-3</v>
      </c>
      <c r="AQ448" s="4">
        <f t="shared" si="322"/>
        <v>3.3164275492956197E-3</v>
      </c>
      <c r="AR448" s="4">
        <f t="shared" si="322"/>
        <v>2.2256362146679809E-3</v>
      </c>
    </row>
    <row r="449" spans="1:44" x14ac:dyDescent="0.25">
      <c r="A449" s="24" t="s">
        <v>206</v>
      </c>
      <c r="B449" s="115">
        <f>'Parameter Input'!$L$123</f>
        <v>7.7787831578947364E-2</v>
      </c>
      <c r="C449" s="116">
        <f>'Parameter Input'!$M$123</f>
        <v>0</v>
      </c>
      <c r="D449" s="1" t="s">
        <v>76</v>
      </c>
      <c r="L449" s="54">
        <f>'Parameter Input'!$O$123</f>
        <v>17</v>
      </c>
      <c r="M449" s="37">
        <v>0</v>
      </c>
      <c r="N449" s="37">
        <v>1</v>
      </c>
      <c r="O449" s="37">
        <f>'Parameter Input'!$P$123</f>
        <v>0.9</v>
      </c>
      <c r="P449" s="55">
        <f>'Parameter Input'!$Q$123</f>
        <v>0.4</v>
      </c>
      <c r="Q449" s="4">
        <f t="shared" ref="Q449:AR449" si="323">$N449+($M449-$N449)*((1/(1+EXP(-$P449*(Q$9-$L449)))^$O449))</f>
        <v>0.99780374543478534</v>
      </c>
      <c r="R449" s="4">
        <f t="shared" si="323"/>
        <v>0.99685359315256394</v>
      </c>
      <c r="S449" s="4">
        <f t="shared" si="323"/>
        <v>0.99549347132349975</v>
      </c>
      <c r="T449" s="4">
        <f t="shared" si="323"/>
        <v>0.99354772139898062</v>
      </c>
      <c r="U449" s="4">
        <f t="shared" si="323"/>
        <v>0.99076681540580536</v>
      </c>
      <c r="V449" s="4">
        <f t="shared" si="323"/>
        <v>0.9867978615748374</v>
      </c>
      <c r="W449" s="4">
        <f t="shared" si="323"/>
        <v>0.98114509762858249</v>
      </c>
      <c r="X449" s="4">
        <f t="shared" si="323"/>
        <v>0.97311898315872036</v>
      </c>
      <c r="Y449" s="4">
        <f t="shared" si="323"/>
        <v>0.96177484161592774</v>
      </c>
      <c r="Z449" s="4">
        <f t="shared" si="323"/>
        <v>0.94584787155511363</v>
      </c>
      <c r="AA449" s="4">
        <f t="shared" si="323"/>
        <v>0.92370360150141495</v>
      </c>
      <c r="AB449" s="4">
        <f t="shared" si="323"/>
        <v>0.89334463567658451</v>
      </c>
      <c r="AC449" s="4">
        <f t="shared" si="323"/>
        <v>0.85254543874327005</v>
      </c>
      <c r="AD449" s="4">
        <f t="shared" si="323"/>
        <v>0.79921300652623883</v>
      </c>
      <c r="AE449" s="4">
        <f t="shared" si="323"/>
        <v>0.73204982249993378</v>
      </c>
      <c r="AF449" s="4">
        <f t="shared" si="323"/>
        <v>0.65145592958786691</v>
      </c>
      <c r="AG449" s="4">
        <f t="shared" si="323"/>
        <v>0.56032247880849573</v>
      </c>
      <c r="AH449" s="4">
        <f t="shared" si="323"/>
        <v>0.46411326873185343</v>
      </c>
      <c r="AI449" s="4">
        <f t="shared" si="323"/>
        <v>0.36979727595523937</v>
      </c>
      <c r="AJ449" s="4">
        <f t="shared" si="323"/>
        <v>0.28393948637231203</v>
      </c>
      <c r="AK449" s="4">
        <f t="shared" si="323"/>
        <v>0.21097259161117732</v>
      </c>
      <c r="AL449" s="4">
        <f t="shared" si="323"/>
        <v>0.15253917653798199</v>
      </c>
      <c r="AM449" s="4">
        <f t="shared" si="323"/>
        <v>0.10795188737709993</v>
      </c>
      <c r="AN449" s="4">
        <f t="shared" si="323"/>
        <v>7.5176653938091809E-2</v>
      </c>
      <c r="AO449" s="4">
        <f t="shared" si="323"/>
        <v>5.1742836177502194E-2</v>
      </c>
      <c r="AP449" s="4">
        <f t="shared" si="323"/>
        <v>3.5319190625345942E-2</v>
      </c>
      <c r="AQ449" s="4">
        <f t="shared" si="323"/>
        <v>2.3969442072658165E-2</v>
      </c>
      <c r="AR449" s="4">
        <f t="shared" si="323"/>
        <v>1.6202243558389728E-2</v>
      </c>
    </row>
    <row r="450" spans="1:44" x14ac:dyDescent="0.25">
      <c r="A450" s="24" t="s">
        <v>41</v>
      </c>
      <c r="B450" s="43">
        <f>'Parameter Input'!$L$117</f>
        <v>20</v>
      </c>
      <c r="C450" s="44">
        <f>'Parameter Input'!$M$117</f>
        <v>20</v>
      </c>
      <c r="D450" s="1" t="s">
        <v>42</v>
      </c>
      <c r="L450" s="54">
        <f>'Parameter Input'!$O$117</f>
        <v>12</v>
      </c>
      <c r="M450" s="37">
        <v>0</v>
      </c>
      <c r="N450" s="37">
        <v>1</v>
      </c>
      <c r="O450" s="37">
        <f>'Parameter Input'!$P$117</f>
        <v>0.9</v>
      </c>
      <c r="P450" s="55">
        <f>'Parameter Input'!$Q$117</f>
        <v>0.4</v>
      </c>
      <c r="Q450" s="4">
        <f t="shared" ref="Q450:AF455" si="324">$N450+($M450-$N450)*((1/(1+EXP(-$P450*(Q$9-$L450)))^$O450))</f>
        <v>0.9867978615748374</v>
      </c>
      <c r="R450" s="4">
        <f t="shared" si="324"/>
        <v>0.98114509762858249</v>
      </c>
      <c r="S450" s="4">
        <f t="shared" si="324"/>
        <v>0.97311898315872036</v>
      </c>
      <c r="T450" s="4">
        <f t="shared" si="324"/>
        <v>0.96177484161592774</v>
      </c>
      <c r="U450" s="4">
        <f t="shared" si="324"/>
        <v>0.94584787155511363</v>
      </c>
      <c r="V450" s="4">
        <f t="shared" si="324"/>
        <v>0.92370360150141495</v>
      </c>
      <c r="W450" s="4">
        <f t="shared" si="324"/>
        <v>0.89334463567658451</v>
      </c>
      <c r="X450" s="4">
        <f t="shared" si="324"/>
        <v>0.85254543874327005</v>
      </c>
      <c r="Y450" s="4">
        <f t="shared" si="324"/>
        <v>0.79921300652623883</v>
      </c>
      <c r="Z450" s="4">
        <f t="shared" si="324"/>
        <v>0.73204982249993378</v>
      </c>
      <c r="AA450" s="4">
        <f t="shared" si="324"/>
        <v>0.65145592958786691</v>
      </c>
      <c r="AB450" s="4">
        <f t="shared" si="324"/>
        <v>0.56032247880849573</v>
      </c>
      <c r="AC450" s="4">
        <f t="shared" si="324"/>
        <v>0.46411326873185343</v>
      </c>
      <c r="AD450" s="4">
        <f t="shared" si="324"/>
        <v>0.36979727595523937</v>
      </c>
      <c r="AE450" s="4">
        <f t="shared" si="324"/>
        <v>0.28393948637231203</v>
      </c>
      <c r="AF450" s="4">
        <f t="shared" si="324"/>
        <v>0.21097259161117732</v>
      </c>
      <c r="AG450" s="4">
        <f t="shared" si="321"/>
        <v>0.15253917653798199</v>
      </c>
      <c r="AH450" s="4">
        <f t="shared" si="321"/>
        <v>0.10795188737709993</v>
      </c>
      <c r="AI450" s="4">
        <f t="shared" si="321"/>
        <v>7.5176653938091809E-2</v>
      </c>
      <c r="AJ450" s="4">
        <f t="shared" si="322"/>
        <v>5.1742836177502194E-2</v>
      </c>
      <c r="AK450" s="4">
        <f t="shared" si="322"/>
        <v>3.5319190625345942E-2</v>
      </c>
      <c r="AL450" s="4">
        <f t="shared" si="322"/>
        <v>2.3969442072658165E-2</v>
      </c>
      <c r="AM450" s="4">
        <f t="shared" si="322"/>
        <v>1.6202243558389728E-2</v>
      </c>
      <c r="AN450" s="4">
        <f t="shared" si="322"/>
        <v>1.0922240564108399E-2</v>
      </c>
      <c r="AO450" s="4">
        <f t="shared" si="322"/>
        <v>7.3493212906090566E-3</v>
      </c>
      <c r="AP450" s="4">
        <f t="shared" si="322"/>
        <v>4.9390262185057265E-3</v>
      </c>
      <c r="AQ450" s="4">
        <f t="shared" si="322"/>
        <v>3.3164275492956197E-3</v>
      </c>
      <c r="AR450" s="4">
        <f t="shared" si="322"/>
        <v>2.2256362146679809E-3</v>
      </c>
    </row>
    <row r="451" spans="1:44" x14ac:dyDescent="0.25">
      <c r="A451" s="24" t="s">
        <v>70</v>
      </c>
      <c r="B451" s="43">
        <f>'Parameter Input'!B144</f>
        <v>30</v>
      </c>
      <c r="C451" s="44">
        <f>'Parameter Input'!C144</f>
        <v>30</v>
      </c>
      <c r="D451" s="1" t="s">
        <v>42</v>
      </c>
      <c r="L451" s="54">
        <f>'Parameter Input'!E144</f>
        <v>12</v>
      </c>
      <c r="M451" s="37">
        <v>0</v>
      </c>
      <c r="N451" s="37">
        <v>1</v>
      </c>
      <c r="O451" s="37">
        <f>'Parameter Input'!F144</f>
        <v>0.9</v>
      </c>
      <c r="P451" s="55">
        <f>'Parameter Input'!G144</f>
        <v>0.4</v>
      </c>
      <c r="Q451" s="4">
        <f t="shared" si="324"/>
        <v>0.9867978615748374</v>
      </c>
      <c r="R451" s="4">
        <f t="shared" si="324"/>
        <v>0.98114509762858249</v>
      </c>
      <c r="S451" s="4">
        <f t="shared" si="324"/>
        <v>0.97311898315872036</v>
      </c>
      <c r="T451" s="4">
        <f t="shared" si="324"/>
        <v>0.96177484161592774</v>
      </c>
      <c r="U451" s="4">
        <f t="shared" si="324"/>
        <v>0.94584787155511363</v>
      </c>
      <c r="V451" s="4">
        <f t="shared" si="324"/>
        <v>0.92370360150141495</v>
      </c>
      <c r="W451" s="4">
        <f t="shared" si="324"/>
        <v>0.89334463567658451</v>
      </c>
      <c r="X451" s="4">
        <f t="shared" si="324"/>
        <v>0.85254543874327005</v>
      </c>
      <c r="Y451" s="4">
        <f t="shared" si="324"/>
        <v>0.79921300652623883</v>
      </c>
      <c r="Z451" s="4">
        <f t="shared" si="324"/>
        <v>0.73204982249993378</v>
      </c>
      <c r="AA451" s="4">
        <f t="shared" si="324"/>
        <v>0.65145592958786691</v>
      </c>
      <c r="AB451" s="4">
        <f t="shared" si="324"/>
        <v>0.56032247880849573</v>
      </c>
      <c r="AC451" s="4">
        <f t="shared" si="324"/>
        <v>0.46411326873185343</v>
      </c>
      <c r="AD451" s="4">
        <f t="shared" si="324"/>
        <v>0.36979727595523937</v>
      </c>
      <c r="AE451" s="4">
        <f t="shared" si="324"/>
        <v>0.28393948637231203</v>
      </c>
      <c r="AF451" s="4">
        <f t="shared" si="324"/>
        <v>0.21097259161117732</v>
      </c>
      <c r="AG451" s="4">
        <f t="shared" si="321"/>
        <v>0.15253917653798199</v>
      </c>
      <c r="AH451" s="4">
        <f t="shared" si="321"/>
        <v>0.10795188737709993</v>
      </c>
      <c r="AI451" s="4">
        <f t="shared" si="321"/>
        <v>7.5176653938091809E-2</v>
      </c>
      <c r="AJ451" s="4">
        <f t="shared" si="322"/>
        <v>5.1742836177502194E-2</v>
      </c>
      <c r="AK451" s="4">
        <f t="shared" si="322"/>
        <v>3.5319190625345942E-2</v>
      </c>
      <c r="AL451" s="4">
        <f t="shared" si="322"/>
        <v>2.3969442072658165E-2</v>
      </c>
      <c r="AM451" s="4">
        <f t="shared" si="322"/>
        <v>1.6202243558389728E-2</v>
      </c>
      <c r="AN451" s="4">
        <f t="shared" si="322"/>
        <v>1.0922240564108399E-2</v>
      </c>
      <c r="AO451" s="4">
        <f t="shared" si="322"/>
        <v>7.3493212906090566E-3</v>
      </c>
      <c r="AP451" s="4">
        <f t="shared" si="322"/>
        <v>4.9390262185057265E-3</v>
      </c>
      <c r="AQ451" s="4">
        <f t="shared" si="322"/>
        <v>3.3164275492956197E-3</v>
      </c>
      <c r="AR451" s="4">
        <f t="shared" si="322"/>
        <v>2.2256362146679809E-3</v>
      </c>
    </row>
    <row r="452" spans="1:44" x14ac:dyDescent="0.25">
      <c r="A452" s="24" t="s">
        <v>207</v>
      </c>
      <c r="B452" s="70">
        <f>'Parameter Input'!B141</f>
        <v>2800</v>
      </c>
      <c r="C452" s="71">
        <f>'Parameter Input'!C141</f>
        <v>2800</v>
      </c>
      <c r="D452" s="1" t="s">
        <v>49</v>
      </c>
      <c r="L452" s="54">
        <f>'Parameter Input'!E141</f>
        <v>12</v>
      </c>
      <c r="M452" s="37">
        <v>0</v>
      </c>
      <c r="N452" s="37">
        <v>1</v>
      </c>
      <c r="O452" s="37">
        <f>'Parameter Input'!F141</f>
        <v>0.9</v>
      </c>
      <c r="P452" s="55">
        <f>'Parameter Input'!G141</f>
        <v>0.4</v>
      </c>
      <c r="Q452" s="4">
        <f t="shared" si="324"/>
        <v>0.9867978615748374</v>
      </c>
      <c r="R452" s="4">
        <f t="shared" si="324"/>
        <v>0.98114509762858249</v>
      </c>
      <c r="S452" s="4">
        <f t="shared" si="324"/>
        <v>0.97311898315872036</v>
      </c>
      <c r="T452" s="4">
        <f t="shared" si="324"/>
        <v>0.96177484161592774</v>
      </c>
      <c r="U452" s="4">
        <f t="shared" si="324"/>
        <v>0.94584787155511363</v>
      </c>
      <c r="V452" s="4">
        <f t="shared" si="324"/>
        <v>0.92370360150141495</v>
      </c>
      <c r="W452" s="4">
        <f t="shared" si="324"/>
        <v>0.89334463567658451</v>
      </c>
      <c r="X452" s="4">
        <f t="shared" si="324"/>
        <v>0.85254543874327005</v>
      </c>
      <c r="Y452" s="4">
        <f t="shared" si="324"/>
        <v>0.79921300652623883</v>
      </c>
      <c r="Z452" s="4">
        <f t="shared" si="324"/>
        <v>0.73204982249993378</v>
      </c>
      <c r="AA452" s="4">
        <f t="shared" si="324"/>
        <v>0.65145592958786691</v>
      </c>
      <c r="AB452" s="4">
        <f t="shared" si="324"/>
        <v>0.56032247880849573</v>
      </c>
      <c r="AC452" s="4">
        <f t="shared" si="324"/>
        <v>0.46411326873185343</v>
      </c>
      <c r="AD452" s="4">
        <f t="shared" si="324"/>
        <v>0.36979727595523937</v>
      </c>
      <c r="AE452" s="4">
        <f t="shared" si="324"/>
        <v>0.28393948637231203</v>
      </c>
      <c r="AF452" s="4">
        <f t="shared" si="324"/>
        <v>0.21097259161117732</v>
      </c>
      <c r="AG452" s="4">
        <f t="shared" si="321"/>
        <v>0.15253917653798199</v>
      </c>
      <c r="AH452" s="4">
        <f t="shared" si="321"/>
        <v>0.10795188737709993</v>
      </c>
      <c r="AI452" s="4">
        <f t="shared" si="321"/>
        <v>7.5176653938091809E-2</v>
      </c>
      <c r="AJ452" s="4">
        <f t="shared" si="322"/>
        <v>5.1742836177502194E-2</v>
      </c>
      <c r="AK452" s="4">
        <f t="shared" si="322"/>
        <v>3.5319190625345942E-2</v>
      </c>
      <c r="AL452" s="4">
        <f t="shared" si="322"/>
        <v>2.3969442072658165E-2</v>
      </c>
      <c r="AM452" s="4">
        <f t="shared" si="322"/>
        <v>1.6202243558389728E-2</v>
      </c>
      <c r="AN452" s="4">
        <f t="shared" si="322"/>
        <v>1.0922240564108399E-2</v>
      </c>
      <c r="AO452" s="4">
        <f t="shared" si="322"/>
        <v>7.3493212906090566E-3</v>
      </c>
      <c r="AP452" s="4">
        <f t="shared" si="322"/>
        <v>4.9390262185057265E-3</v>
      </c>
      <c r="AQ452" s="4">
        <f t="shared" si="322"/>
        <v>3.3164275492956197E-3</v>
      </c>
      <c r="AR452" s="4">
        <f t="shared" si="322"/>
        <v>2.2256362146679809E-3</v>
      </c>
    </row>
    <row r="453" spans="1:44" x14ac:dyDescent="0.25">
      <c r="A453" s="24" t="s">
        <v>56</v>
      </c>
      <c r="B453" s="72">
        <f>'Parameter Input'!B142</f>
        <v>0.42666666666666669</v>
      </c>
      <c r="C453" s="73">
        <f>'Parameter Input'!C142</f>
        <v>0.42666666666666669</v>
      </c>
      <c r="D453" s="1" t="s">
        <v>57</v>
      </c>
      <c r="L453" s="54">
        <f>'Parameter Input'!E142</f>
        <v>12</v>
      </c>
      <c r="M453" s="37">
        <v>0</v>
      </c>
      <c r="N453" s="37">
        <v>1</v>
      </c>
      <c r="O453" s="37">
        <f>'Parameter Input'!F142</f>
        <v>0.9</v>
      </c>
      <c r="P453" s="55">
        <f>'Parameter Input'!G142</f>
        <v>0.4</v>
      </c>
      <c r="Q453" s="4">
        <f t="shared" si="324"/>
        <v>0.9867978615748374</v>
      </c>
      <c r="R453" s="4">
        <f t="shared" si="324"/>
        <v>0.98114509762858249</v>
      </c>
      <c r="S453" s="4">
        <f t="shared" si="324"/>
        <v>0.97311898315872036</v>
      </c>
      <c r="T453" s="4">
        <f t="shared" si="324"/>
        <v>0.96177484161592774</v>
      </c>
      <c r="U453" s="4">
        <f t="shared" si="324"/>
        <v>0.94584787155511363</v>
      </c>
      <c r="V453" s="4">
        <f t="shared" si="324"/>
        <v>0.92370360150141495</v>
      </c>
      <c r="W453" s="4">
        <f t="shared" si="324"/>
        <v>0.89334463567658451</v>
      </c>
      <c r="X453" s="4">
        <f t="shared" si="324"/>
        <v>0.85254543874327005</v>
      </c>
      <c r="Y453" s="4">
        <f t="shared" si="324"/>
        <v>0.79921300652623883</v>
      </c>
      <c r="Z453" s="4">
        <f t="shared" si="324"/>
        <v>0.73204982249993378</v>
      </c>
      <c r="AA453" s="4">
        <f t="shared" si="324"/>
        <v>0.65145592958786691</v>
      </c>
      <c r="AB453" s="4">
        <f t="shared" si="324"/>
        <v>0.56032247880849573</v>
      </c>
      <c r="AC453" s="4">
        <f t="shared" si="324"/>
        <v>0.46411326873185343</v>
      </c>
      <c r="AD453" s="4">
        <f t="shared" si="324"/>
        <v>0.36979727595523937</v>
      </c>
      <c r="AE453" s="4">
        <f t="shared" si="324"/>
        <v>0.28393948637231203</v>
      </c>
      <c r="AF453" s="4">
        <f t="shared" si="324"/>
        <v>0.21097259161117732</v>
      </c>
      <c r="AG453" s="4">
        <f t="shared" si="321"/>
        <v>0.15253917653798199</v>
      </c>
      <c r="AH453" s="4">
        <f t="shared" si="321"/>
        <v>0.10795188737709993</v>
      </c>
      <c r="AI453" s="4">
        <f t="shared" si="321"/>
        <v>7.5176653938091809E-2</v>
      </c>
      <c r="AJ453" s="4">
        <f t="shared" si="322"/>
        <v>5.1742836177502194E-2</v>
      </c>
      <c r="AK453" s="4">
        <f t="shared" si="322"/>
        <v>3.5319190625345942E-2</v>
      </c>
      <c r="AL453" s="4">
        <f t="shared" si="322"/>
        <v>2.3969442072658165E-2</v>
      </c>
      <c r="AM453" s="4">
        <f t="shared" si="322"/>
        <v>1.6202243558389728E-2</v>
      </c>
      <c r="AN453" s="4">
        <f t="shared" si="322"/>
        <v>1.0922240564108399E-2</v>
      </c>
      <c r="AO453" s="4">
        <f t="shared" si="322"/>
        <v>7.3493212906090566E-3</v>
      </c>
      <c r="AP453" s="4">
        <f t="shared" si="322"/>
        <v>4.9390262185057265E-3</v>
      </c>
      <c r="AQ453" s="4">
        <f t="shared" si="322"/>
        <v>3.3164275492956197E-3</v>
      </c>
      <c r="AR453" s="4">
        <f t="shared" si="322"/>
        <v>2.2256362146679809E-3</v>
      </c>
    </row>
    <row r="454" spans="1:44" x14ac:dyDescent="0.25">
      <c r="A454" s="24" t="s">
        <v>73</v>
      </c>
      <c r="B454" s="72">
        <f>'Parameter Input'!$L$121</f>
        <v>3.5714285714285712E-2</v>
      </c>
      <c r="C454" s="73">
        <f>'Parameter Input'!$M$121</f>
        <v>1.7857142857142856E-2</v>
      </c>
      <c r="D454" s="1" t="s">
        <v>57</v>
      </c>
      <c r="L454" s="54">
        <f>'Parameter Input'!$O$121</f>
        <v>12</v>
      </c>
      <c r="M454" s="37">
        <v>0</v>
      </c>
      <c r="N454" s="37">
        <v>1</v>
      </c>
      <c r="O454" s="37">
        <f>'Parameter Input'!$P$121</f>
        <v>0.9</v>
      </c>
      <c r="P454" s="55">
        <f>'Parameter Input'!$Q$121</f>
        <v>0.4</v>
      </c>
      <c r="Q454" s="4">
        <f t="shared" si="324"/>
        <v>0.9867978615748374</v>
      </c>
      <c r="R454" s="4">
        <f t="shared" si="324"/>
        <v>0.98114509762858249</v>
      </c>
      <c r="S454" s="4">
        <f t="shared" si="324"/>
        <v>0.97311898315872036</v>
      </c>
      <c r="T454" s="4">
        <f t="shared" si="324"/>
        <v>0.96177484161592774</v>
      </c>
      <c r="U454" s="4">
        <f t="shared" si="324"/>
        <v>0.94584787155511363</v>
      </c>
      <c r="V454" s="4">
        <f t="shared" si="324"/>
        <v>0.92370360150141495</v>
      </c>
      <c r="W454" s="4">
        <f t="shared" si="324"/>
        <v>0.89334463567658451</v>
      </c>
      <c r="X454" s="4">
        <f t="shared" si="324"/>
        <v>0.85254543874327005</v>
      </c>
      <c r="Y454" s="4">
        <f t="shared" si="324"/>
        <v>0.79921300652623883</v>
      </c>
      <c r="Z454" s="4">
        <f t="shared" si="324"/>
        <v>0.73204982249993378</v>
      </c>
      <c r="AA454" s="4">
        <f t="shared" si="324"/>
        <v>0.65145592958786691</v>
      </c>
      <c r="AB454" s="4">
        <f t="shared" si="324"/>
        <v>0.56032247880849573</v>
      </c>
      <c r="AC454" s="4">
        <f t="shared" si="324"/>
        <v>0.46411326873185343</v>
      </c>
      <c r="AD454" s="4">
        <f t="shared" si="324"/>
        <v>0.36979727595523937</v>
      </c>
      <c r="AE454" s="4">
        <f t="shared" si="324"/>
        <v>0.28393948637231203</v>
      </c>
      <c r="AF454" s="4">
        <f t="shared" si="324"/>
        <v>0.21097259161117732</v>
      </c>
      <c r="AG454" s="4">
        <f t="shared" si="321"/>
        <v>0.15253917653798199</v>
      </c>
      <c r="AH454" s="4">
        <f t="shared" si="321"/>
        <v>0.10795188737709993</v>
      </c>
      <c r="AI454" s="4">
        <f t="shared" si="321"/>
        <v>7.5176653938091809E-2</v>
      </c>
      <c r="AJ454" s="4">
        <f t="shared" si="322"/>
        <v>5.1742836177502194E-2</v>
      </c>
      <c r="AK454" s="4">
        <f t="shared" si="322"/>
        <v>3.5319190625345942E-2</v>
      </c>
      <c r="AL454" s="4">
        <f t="shared" si="322"/>
        <v>2.3969442072658165E-2</v>
      </c>
      <c r="AM454" s="4">
        <f t="shared" si="322"/>
        <v>1.6202243558389728E-2</v>
      </c>
      <c r="AN454" s="4">
        <f t="shared" si="322"/>
        <v>1.0922240564108399E-2</v>
      </c>
      <c r="AO454" s="4">
        <f t="shared" si="322"/>
        <v>7.3493212906090566E-3</v>
      </c>
      <c r="AP454" s="4">
        <f t="shared" si="322"/>
        <v>4.9390262185057265E-3</v>
      </c>
      <c r="AQ454" s="4">
        <f t="shared" si="322"/>
        <v>3.3164275492956197E-3</v>
      </c>
      <c r="AR454" s="4">
        <f t="shared" si="322"/>
        <v>2.2256362146679809E-3</v>
      </c>
    </row>
    <row r="455" spans="1:44" ht="15.75" thickBot="1" x14ac:dyDescent="0.3">
      <c r="A455" s="24" t="s">
        <v>64</v>
      </c>
      <c r="B455" s="74">
        <f>'Parameter Input'!B143</f>
        <v>178500</v>
      </c>
      <c r="C455" s="75">
        <f>'Parameter Input'!C143</f>
        <v>178500</v>
      </c>
      <c r="D455" s="1" t="s">
        <v>65</v>
      </c>
      <c r="L455" s="56">
        <f>'Parameter Input'!E143</f>
        <v>12</v>
      </c>
      <c r="M455" s="57">
        <v>0</v>
      </c>
      <c r="N455" s="57">
        <v>1</v>
      </c>
      <c r="O455" s="57">
        <f>'Parameter Input'!F143</f>
        <v>0.9</v>
      </c>
      <c r="P455" s="58">
        <f>'Parameter Input'!G143</f>
        <v>0.4</v>
      </c>
      <c r="Q455" s="4">
        <f t="shared" si="324"/>
        <v>0.9867978615748374</v>
      </c>
      <c r="R455" s="4">
        <f t="shared" si="324"/>
        <v>0.98114509762858249</v>
      </c>
      <c r="S455" s="4">
        <f t="shared" si="324"/>
        <v>0.97311898315872036</v>
      </c>
      <c r="T455" s="4">
        <f t="shared" si="324"/>
        <v>0.96177484161592774</v>
      </c>
      <c r="U455" s="4">
        <f t="shared" si="324"/>
        <v>0.94584787155511363</v>
      </c>
      <c r="V455" s="4">
        <f t="shared" si="324"/>
        <v>0.92370360150141495</v>
      </c>
      <c r="W455" s="4">
        <f t="shared" si="324"/>
        <v>0.89334463567658451</v>
      </c>
      <c r="X455" s="4">
        <f t="shared" si="324"/>
        <v>0.85254543874327005</v>
      </c>
      <c r="Y455" s="4">
        <f t="shared" si="324"/>
        <v>0.79921300652623883</v>
      </c>
      <c r="Z455" s="4">
        <f t="shared" si="324"/>
        <v>0.73204982249993378</v>
      </c>
      <c r="AA455" s="4">
        <f t="shared" si="324"/>
        <v>0.65145592958786691</v>
      </c>
      <c r="AB455" s="4">
        <f t="shared" si="324"/>
        <v>0.56032247880849573</v>
      </c>
      <c r="AC455" s="4">
        <f t="shared" si="324"/>
        <v>0.46411326873185343</v>
      </c>
      <c r="AD455" s="4">
        <f t="shared" si="324"/>
        <v>0.36979727595523937</v>
      </c>
      <c r="AE455" s="4">
        <f t="shared" si="324"/>
        <v>0.28393948637231203</v>
      </c>
      <c r="AF455" s="4">
        <f t="shared" si="324"/>
        <v>0.21097259161117732</v>
      </c>
      <c r="AG455" s="4">
        <f t="shared" si="321"/>
        <v>0.15253917653798199</v>
      </c>
      <c r="AH455" s="4">
        <f t="shared" si="321"/>
        <v>0.10795188737709993</v>
      </c>
      <c r="AI455" s="4">
        <f t="shared" si="321"/>
        <v>7.5176653938091809E-2</v>
      </c>
      <c r="AJ455" s="4">
        <f t="shared" si="322"/>
        <v>5.1742836177502194E-2</v>
      </c>
      <c r="AK455" s="4">
        <f t="shared" si="322"/>
        <v>3.5319190625345942E-2</v>
      </c>
      <c r="AL455" s="4">
        <f t="shared" si="322"/>
        <v>2.3969442072658165E-2</v>
      </c>
      <c r="AM455" s="4">
        <f t="shared" si="322"/>
        <v>1.6202243558389728E-2</v>
      </c>
      <c r="AN455" s="4">
        <f t="shared" si="322"/>
        <v>1.0922240564108399E-2</v>
      </c>
      <c r="AO455" s="4">
        <f t="shared" si="322"/>
        <v>7.3493212906090566E-3</v>
      </c>
      <c r="AP455" s="4">
        <f t="shared" si="322"/>
        <v>4.9390262185057265E-3</v>
      </c>
      <c r="AQ455" s="4">
        <f t="shared" si="322"/>
        <v>3.3164275492956197E-3</v>
      </c>
      <c r="AR455" s="4">
        <f t="shared" si="322"/>
        <v>2.2256362146679809E-3</v>
      </c>
    </row>
    <row r="456" spans="1:44" x14ac:dyDescent="0.25">
      <c r="A456" s="25"/>
      <c r="B456" s="40"/>
    </row>
    <row r="457" spans="1:44" ht="15.75" thickBot="1" x14ac:dyDescent="0.3"/>
    <row r="458" spans="1:44" ht="15.75" thickBot="1" x14ac:dyDescent="0.3">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68" si="325">A439</f>
        <v>Capex vehicle</v>
      </c>
      <c r="B459" s="62">
        <f t="shared" ref="B459:B468" si="326">$B439+($C439-$B439)*(1-Q439)</f>
        <v>9950491.9809056409</v>
      </c>
      <c r="C459" s="62">
        <f t="shared" ref="C459:C468" si="327">$B439+($C439-$B439)*(1-R439)</f>
        <v>9929294.1161071844</v>
      </c>
      <c r="D459" s="62">
        <f t="shared" ref="D459:D468" si="328">$B439+($C439-$B439)*(1-S439)</f>
        <v>9899196.186845202</v>
      </c>
      <c r="E459" s="62">
        <f t="shared" ref="E459:E468" si="329">$B439+($C439-$B439)*(1-T439)</f>
        <v>9856655.6560597289</v>
      </c>
      <c r="F459" s="62">
        <f t="shared" ref="F459:F468" si="330">$B439+($C439-$B439)*(1-U439)</f>
        <v>9796929.5183316767</v>
      </c>
      <c r="G459" s="62">
        <f t="shared" ref="G459:G468" si="331">$B439+($C439-$B439)*(1-V439)</f>
        <v>9713888.5056303069</v>
      </c>
      <c r="H459" s="62">
        <f t="shared" ref="H459:H468" si="332">$B439+($C439-$B439)*(1-W439)</f>
        <v>9600042.3837871924</v>
      </c>
      <c r="I459" s="62">
        <f t="shared" ref="I459:I468" si="333">$B439+($C439-$B439)*(1-X439)</f>
        <v>9447045.3952872623</v>
      </c>
      <c r="J459" s="62">
        <f t="shared" ref="J459:J468" si="334">$B439+($C439-$B439)*(1-Y439)</f>
        <v>9247048.7744733952</v>
      </c>
      <c r="K459" s="62">
        <f t="shared" ref="K459:K468" si="335">$B439+($C439-$B439)*(1-Z439)</f>
        <v>8995186.8343747519</v>
      </c>
      <c r="L459" s="62">
        <f t="shared" ref="L459:L468" si="336">$B439+($C439-$B439)*(1-AA439)</f>
        <v>8692959.7359545007</v>
      </c>
      <c r="M459" s="62">
        <f t="shared" ref="M459:M468" si="337">$B439+($C439-$B439)*(1-AB439)</f>
        <v>8351209.2955318587</v>
      </c>
      <c r="N459" s="62">
        <f t="shared" ref="N459:N468" si="338">$B439+($C439-$B439)*(1-AC439)</f>
        <v>7990424.7577444501</v>
      </c>
      <c r="O459" s="62">
        <f t="shared" ref="O459:O468" si="339">$B439+($C439-$B439)*(1-AD439)</f>
        <v>7636739.7848321479</v>
      </c>
      <c r="P459" s="62">
        <f t="shared" ref="P459:P468" si="340">$B439+($C439-$B439)*(1-AE439)</f>
        <v>7314773.0738961697</v>
      </c>
      <c r="Q459" s="62">
        <f t="shared" ref="Q459:Q468" si="341">$B439+($C439-$B439)*(1-AF439)</f>
        <v>7041147.2185419146</v>
      </c>
      <c r="R459" s="62">
        <f t="shared" ref="R459:R468" si="342">$B439+($C439-$B439)*(1-AG439)</f>
        <v>6822021.912017433</v>
      </c>
      <c r="S459" s="62">
        <f t="shared" ref="S459:S468" si="343">$B439+($C439-$B439)*(1-AH439)</f>
        <v>6654819.5776641248</v>
      </c>
      <c r="T459" s="62">
        <f t="shared" ref="T459:T468" si="344">$B439+($C439-$B439)*(1-AI439)</f>
        <v>6531912.4522678442</v>
      </c>
      <c r="U459" s="62">
        <f t="shared" ref="U459:U468" si="345">$B439+($C439-$B439)*(1-AJ439)</f>
        <v>6444035.6356656328</v>
      </c>
      <c r="V459" s="62">
        <f t="shared" ref="V459:V468" si="346">$B439+($C439-$B439)*(1-AK439)</f>
        <v>6382446.9648450473</v>
      </c>
      <c r="W459" s="62">
        <f t="shared" ref="W459:W468" si="347">$B439+($C439-$B439)*(1-AL439)</f>
        <v>6339885.4077724684</v>
      </c>
      <c r="X459" s="62">
        <f t="shared" ref="X459:X468" si="348">$B439+($C439-$B439)*(1-AM439)</f>
        <v>6310758.4133439614</v>
      </c>
      <c r="Y459" s="62">
        <f t="shared" ref="Y459:Y468" si="349">$B439+($C439-$B439)*(1-AN439)</f>
        <v>6290958.4021154065</v>
      </c>
      <c r="Z459" s="62">
        <f t="shared" ref="Z459:Z468" si="350">$B439+($C439-$B439)*(1-AO439)</f>
        <v>6277559.9548397847</v>
      </c>
      <c r="AA459" s="62">
        <f t="shared" ref="AA459:AA468" si="351">$B439+($C439-$B439)*(1-AP439)</f>
        <v>6268521.3483193964</v>
      </c>
      <c r="AB459" s="62">
        <f t="shared" ref="AB459:AB468" si="352">$B439+($C439-$B439)*(1-AQ439)</f>
        <v>6262436.6033098586</v>
      </c>
      <c r="AC459" s="62">
        <f t="shared" ref="AC459:AC468" si="353">$B439+($C439-$B439)*(1-AR439)</f>
        <v>6258346.1358050052</v>
      </c>
    </row>
    <row r="460" spans="1:44" x14ac:dyDescent="0.25">
      <c r="A460" s="30" t="str">
        <f t="shared" si="325"/>
        <v>Residual value (vehicle)</v>
      </c>
      <c r="B460" s="62">
        <f t="shared" si="326"/>
        <v>-505775.93556100863</v>
      </c>
      <c r="C460" s="62">
        <f t="shared" si="327"/>
        <v>-508249.01978749514</v>
      </c>
      <c r="D460" s="62">
        <f t="shared" si="328"/>
        <v>-511760.44486805983</v>
      </c>
      <c r="E460" s="62">
        <f t="shared" si="329"/>
        <v>-516723.50679303159</v>
      </c>
      <c r="F460" s="62">
        <f t="shared" si="330"/>
        <v>-523691.55619463779</v>
      </c>
      <c r="G460" s="62">
        <f t="shared" si="331"/>
        <v>-533379.67434313102</v>
      </c>
      <c r="H460" s="62">
        <f t="shared" si="332"/>
        <v>-546661.72189149424</v>
      </c>
      <c r="I460" s="62">
        <f t="shared" si="333"/>
        <v>-564511.37054981932</v>
      </c>
      <c r="J460" s="62">
        <f t="shared" si="334"/>
        <v>-587844.30964477046</v>
      </c>
      <c r="K460" s="62">
        <f t="shared" si="335"/>
        <v>-617228.20265627897</v>
      </c>
      <c r="L460" s="62">
        <f t="shared" si="336"/>
        <v>-652488.03080530826</v>
      </c>
      <c r="M460" s="62">
        <f t="shared" si="337"/>
        <v>-692358.91552128317</v>
      </c>
      <c r="N460" s="62">
        <f t="shared" si="338"/>
        <v>-734450.44492981408</v>
      </c>
      <c r="O460" s="62">
        <f t="shared" si="339"/>
        <v>-775713.6917695828</v>
      </c>
      <c r="P460" s="62">
        <f t="shared" si="340"/>
        <v>-813276.4747121135</v>
      </c>
      <c r="Q460" s="62">
        <f t="shared" si="341"/>
        <v>-845199.49117010995</v>
      </c>
      <c r="R460" s="62">
        <f t="shared" si="342"/>
        <v>-870764.11026463285</v>
      </c>
      <c r="S460" s="62">
        <f t="shared" si="343"/>
        <v>-890271.04927251884</v>
      </c>
      <c r="T460" s="62">
        <f t="shared" si="344"/>
        <v>-904610.21390208486</v>
      </c>
      <c r="U460" s="62">
        <f t="shared" si="345"/>
        <v>-914862.50917234272</v>
      </c>
      <c r="V460" s="62">
        <f t="shared" si="346"/>
        <v>-922047.85410141107</v>
      </c>
      <c r="W460" s="62">
        <f t="shared" si="347"/>
        <v>-927013.36909321207</v>
      </c>
      <c r="X460" s="62">
        <f t="shared" si="348"/>
        <v>-930411.51844320446</v>
      </c>
      <c r="Y460" s="62">
        <f t="shared" si="349"/>
        <v>-932721.51975320256</v>
      </c>
      <c r="Z460" s="62">
        <f t="shared" si="350"/>
        <v>-934284.67193535855</v>
      </c>
      <c r="AA460" s="62">
        <f t="shared" si="351"/>
        <v>-935339.17602940369</v>
      </c>
      <c r="AB460" s="62">
        <f t="shared" si="352"/>
        <v>-936049.06294718315</v>
      </c>
      <c r="AC460" s="62">
        <f t="shared" si="353"/>
        <v>-936526.28415608278</v>
      </c>
    </row>
    <row r="461" spans="1:44" x14ac:dyDescent="0.25">
      <c r="A461" s="30" t="str">
        <f t="shared" si="325"/>
        <v>Capex costumization</v>
      </c>
      <c r="B461" s="62">
        <f t="shared" si="326"/>
        <v>3500000</v>
      </c>
      <c r="C461" s="62">
        <f t="shared" si="327"/>
        <v>3500000</v>
      </c>
      <c r="D461" s="62">
        <f t="shared" si="328"/>
        <v>3500000</v>
      </c>
      <c r="E461" s="62">
        <f t="shared" si="329"/>
        <v>3500000</v>
      </c>
      <c r="F461" s="62">
        <f t="shared" si="330"/>
        <v>3500000</v>
      </c>
      <c r="G461" s="62">
        <f t="shared" si="331"/>
        <v>3500000</v>
      </c>
      <c r="H461" s="62">
        <f t="shared" si="332"/>
        <v>3500000</v>
      </c>
      <c r="I461" s="62">
        <f t="shared" si="333"/>
        <v>3500000</v>
      </c>
      <c r="J461" s="62">
        <f t="shared" si="334"/>
        <v>3500000</v>
      </c>
      <c r="K461" s="62">
        <f t="shared" si="335"/>
        <v>3500000</v>
      </c>
      <c r="L461" s="62">
        <f t="shared" si="336"/>
        <v>3500000</v>
      </c>
      <c r="M461" s="62">
        <f t="shared" si="337"/>
        <v>3500000</v>
      </c>
      <c r="N461" s="62">
        <f t="shared" si="338"/>
        <v>3500000</v>
      </c>
      <c r="O461" s="62">
        <f t="shared" si="339"/>
        <v>3500000</v>
      </c>
      <c r="P461" s="62">
        <f t="shared" si="340"/>
        <v>3500000</v>
      </c>
      <c r="Q461" s="62">
        <f t="shared" si="341"/>
        <v>3500000</v>
      </c>
      <c r="R461" s="62">
        <f t="shared" si="342"/>
        <v>3500000</v>
      </c>
      <c r="S461" s="62">
        <f t="shared" si="343"/>
        <v>3500000</v>
      </c>
      <c r="T461" s="62">
        <f t="shared" si="344"/>
        <v>3500000</v>
      </c>
      <c r="U461" s="62">
        <f t="shared" si="345"/>
        <v>3500000</v>
      </c>
      <c r="V461" s="62">
        <f t="shared" si="346"/>
        <v>3500000</v>
      </c>
      <c r="W461" s="62">
        <f t="shared" si="347"/>
        <v>3500000</v>
      </c>
      <c r="X461" s="62">
        <f t="shared" si="348"/>
        <v>3500000</v>
      </c>
      <c r="Y461" s="62">
        <f t="shared" si="349"/>
        <v>3500000</v>
      </c>
      <c r="Z461" s="62">
        <f t="shared" si="350"/>
        <v>3500000</v>
      </c>
      <c r="AA461" s="62">
        <f t="shared" si="351"/>
        <v>3500000</v>
      </c>
      <c r="AB461" s="62">
        <f t="shared" si="352"/>
        <v>3500000</v>
      </c>
      <c r="AC461" s="62">
        <f t="shared" si="353"/>
        <v>3500000</v>
      </c>
    </row>
    <row r="462" spans="1:44" x14ac:dyDescent="0.25">
      <c r="A462" s="30" t="str">
        <f t="shared" si="325"/>
        <v>Residual value (costumization)</v>
      </c>
      <c r="B462" s="62">
        <f t="shared" si="326"/>
        <v>-175000</v>
      </c>
      <c r="C462" s="62">
        <f t="shared" si="327"/>
        <v>-175000</v>
      </c>
      <c r="D462" s="62">
        <f t="shared" si="328"/>
        <v>-175000</v>
      </c>
      <c r="E462" s="62">
        <f t="shared" si="329"/>
        <v>-175000</v>
      </c>
      <c r="F462" s="62">
        <f t="shared" si="330"/>
        <v>-175000</v>
      </c>
      <c r="G462" s="62">
        <f t="shared" si="331"/>
        <v>-175000</v>
      </c>
      <c r="H462" s="62">
        <f t="shared" si="332"/>
        <v>-175000</v>
      </c>
      <c r="I462" s="62">
        <f t="shared" si="333"/>
        <v>-175000</v>
      </c>
      <c r="J462" s="62">
        <f t="shared" si="334"/>
        <v>-175000</v>
      </c>
      <c r="K462" s="62">
        <f t="shared" si="335"/>
        <v>-175000</v>
      </c>
      <c r="L462" s="62">
        <f t="shared" si="336"/>
        <v>-175000</v>
      </c>
      <c r="M462" s="62">
        <f t="shared" si="337"/>
        <v>-175000</v>
      </c>
      <c r="N462" s="62">
        <f t="shared" si="338"/>
        <v>-175000</v>
      </c>
      <c r="O462" s="62">
        <f t="shared" si="339"/>
        <v>-175000</v>
      </c>
      <c r="P462" s="62">
        <f t="shared" si="340"/>
        <v>-175000</v>
      </c>
      <c r="Q462" s="62">
        <f t="shared" si="341"/>
        <v>-175000</v>
      </c>
      <c r="R462" s="62">
        <f t="shared" si="342"/>
        <v>-175000</v>
      </c>
      <c r="S462" s="62">
        <f t="shared" si="343"/>
        <v>-175000</v>
      </c>
      <c r="T462" s="62">
        <f t="shared" si="344"/>
        <v>-175000</v>
      </c>
      <c r="U462" s="62">
        <f t="shared" si="345"/>
        <v>-175000</v>
      </c>
      <c r="V462" s="62">
        <f t="shared" si="346"/>
        <v>-175000</v>
      </c>
      <c r="W462" s="62">
        <f t="shared" si="347"/>
        <v>-175000</v>
      </c>
      <c r="X462" s="62">
        <f t="shared" si="348"/>
        <v>-175000</v>
      </c>
      <c r="Y462" s="62">
        <f t="shared" si="349"/>
        <v>-175000</v>
      </c>
      <c r="Z462" s="62">
        <f t="shared" si="350"/>
        <v>-175000</v>
      </c>
      <c r="AA462" s="62">
        <f t="shared" si="351"/>
        <v>-175000</v>
      </c>
      <c r="AB462" s="62">
        <f t="shared" si="352"/>
        <v>-175000</v>
      </c>
      <c r="AC462" s="62">
        <f t="shared" si="353"/>
        <v>-175000</v>
      </c>
    </row>
    <row r="463" spans="1:44" x14ac:dyDescent="0.25">
      <c r="A463" s="30" t="str">
        <f t="shared" si="325"/>
        <v>WACC</v>
      </c>
      <c r="B463" s="62">
        <f t="shared" si="326"/>
        <v>0.06</v>
      </c>
      <c r="C463" s="62">
        <f t="shared" si="327"/>
        <v>0.06</v>
      </c>
      <c r="D463" s="62">
        <f t="shared" si="328"/>
        <v>0.06</v>
      </c>
      <c r="E463" s="62">
        <f t="shared" si="329"/>
        <v>0.06</v>
      </c>
      <c r="F463" s="62">
        <f t="shared" si="330"/>
        <v>0.06</v>
      </c>
      <c r="G463" s="62">
        <f t="shared" si="331"/>
        <v>0.06</v>
      </c>
      <c r="H463" s="62">
        <f t="shared" si="332"/>
        <v>0.06</v>
      </c>
      <c r="I463" s="62">
        <f t="shared" si="333"/>
        <v>0.06</v>
      </c>
      <c r="J463" s="62">
        <f t="shared" si="334"/>
        <v>0.06</v>
      </c>
      <c r="K463" s="62">
        <f t="shared" si="335"/>
        <v>0.06</v>
      </c>
      <c r="L463" s="62">
        <f t="shared" si="336"/>
        <v>0.06</v>
      </c>
      <c r="M463" s="62">
        <f t="shared" si="337"/>
        <v>0.06</v>
      </c>
      <c r="N463" s="62">
        <f t="shared" si="338"/>
        <v>0.06</v>
      </c>
      <c r="O463" s="62">
        <f t="shared" si="339"/>
        <v>0.06</v>
      </c>
      <c r="P463" s="62">
        <f t="shared" si="340"/>
        <v>0.06</v>
      </c>
      <c r="Q463" s="62">
        <f t="shared" si="341"/>
        <v>0.06</v>
      </c>
      <c r="R463" s="62">
        <f t="shared" si="342"/>
        <v>0.06</v>
      </c>
      <c r="S463" s="62">
        <f t="shared" si="343"/>
        <v>0.06</v>
      </c>
      <c r="T463" s="62">
        <f t="shared" si="344"/>
        <v>0.06</v>
      </c>
      <c r="U463" s="62">
        <f t="shared" si="345"/>
        <v>0.06</v>
      </c>
      <c r="V463" s="62">
        <f t="shared" si="346"/>
        <v>0.06</v>
      </c>
      <c r="W463" s="62">
        <f t="shared" si="347"/>
        <v>0.06</v>
      </c>
      <c r="X463" s="62">
        <f t="shared" si="348"/>
        <v>0.06</v>
      </c>
      <c r="Y463" s="62">
        <f t="shared" si="349"/>
        <v>0.06</v>
      </c>
      <c r="Z463" s="62">
        <f t="shared" si="350"/>
        <v>0.06</v>
      </c>
      <c r="AA463" s="62">
        <f t="shared" si="351"/>
        <v>0.06</v>
      </c>
      <c r="AB463" s="62">
        <f t="shared" si="352"/>
        <v>0.06</v>
      </c>
      <c r="AC463" s="62">
        <f t="shared" si="353"/>
        <v>0.06</v>
      </c>
    </row>
    <row r="464" spans="1:44" x14ac:dyDescent="0.25">
      <c r="A464" s="30" t="str">
        <f t="shared" si="325"/>
        <v>Opex fix (admin, crew, insurance)</v>
      </c>
      <c r="B464" s="62">
        <f t="shared" si="326"/>
        <v>650000</v>
      </c>
      <c r="C464" s="62">
        <f t="shared" si="327"/>
        <v>650000</v>
      </c>
      <c r="D464" s="62">
        <f t="shared" si="328"/>
        <v>650000</v>
      </c>
      <c r="E464" s="62">
        <f t="shared" si="329"/>
        <v>650000</v>
      </c>
      <c r="F464" s="62">
        <f t="shared" si="330"/>
        <v>650000</v>
      </c>
      <c r="G464" s="62">
        <f t="shared" si="331"/>
        <v>650000</v>
      </c>
      <c r="H464" s="62">
        <f t="shared" si="332"/>
        <v>650000</v>
      </c>
      <c r="I464" s="62">
        <f t="shared" si="333"/>
        <v>650000</v>
      </c>
      <c r="J464" s="62">
        <f t="shared" si="334"/>
        <v>650000</v>
      </c>
      <c r="K464" s="62">
        <f t="shared" si="335"/>
        <v>650000</v>
      </c>
      <c r="L464" s="62">
        <f t="shared" si="336"/>
        <v>650000</v>
      </c>
      <c r="M464" s="62">
        <f t="shared" si="337"/>
        <v>650000</v>
      </c>
      <c r="N464" s="62">
        <f t="shared" si="338"/>
        <v>650000</v>
      </c>
      <c r="O464" s="62">
        <f t="shared" si="339"/>
        <v>650000</v>
      </c>
      <c r="P464" s="62">
        <f t="shared" si="340"/>
        <v>650000</v>
      </c>
      <c r="Q464" s="62">
        <f t="shared" si="341"/>
        <v>650000</v>
      </c>
      <c r="R464" s="62">
        <f t="shared" si="342"/>
        <v>650000</v>
      </c>
      <c r="S464" s="62">
        <f t="shared" si="343"/>
        <v>650000</v>
      </c>
      <c r="T464" s="62">
        <f t="shared" si="344"/>
        <v>650000</v>
      </c>
      <c r="U464" s="62">
        <f t="shared" si="345"/>
        <v>650000</v>
      </c>
      <c r="V464" s="62">
        <f t="shared" si="346"/>
        <v>650000</v>
      </c>
      <c r="W464" s="62">
        <f t="shared" si="347"/>
        <v>650000</v>
      </c>
      <c r="X464" s="62">
        <f t="shared" si="348"/>
        <v>650000</v>
      </c>
      <c r="Y464" s="62">
        <f t="shared" si="349"/>
        <v>650000</v>
      </c>
      <c r="Z464" s="62">
        <f t="shared" si="350"/>
        <v>650000</v>
      </c>
      <c r="AA464" s="62">
        <f t="shared" si="351"/>
        <v>650000</v>
      </c>
      <c r="AB464" s="62">
        <f t="shared" si="352"/>
        <v>650000</v>
      </c>
      <c r="AC464" s="62">
        <f t="shared" si="353"/>
        <v>650000</v>
      </c>
    </row>
    <row r="465" spans="1:29" x14ac:dyDescent="0.25">
      <c r="A465" s="30" t="str">
        <f t="shared" si="325"/>
        <v>Opex maintenance &amp; repair</v>
      </c>
      <c r="B465" s="62">
        <f t="shared" si="326"/>
        <v>1293563.9575177333</v>
      </c>
      <c r="C465" s="62">
        <f t="shared" si="327"/>
        <v>1290808.235093934</v>
      </c>
      <c r="D465" s="62">
        <f t="shared" si="328"/>
        <v>1286895.5042898762</v>
      </c>
      <c r="E465" s="62">
        <f t="shared" si="329"/>
        <v>1281365.2352877648</v>
      </c>
      <c r="F465" s="62">
        <f t="shared" si="330"/>
        <v>1273600.837383118</v>
      </c>
      <c r="G465" s="62">
        <f t="shared" si="331"/>
        <v>1262805.5057319398</v>
      </c>
      <c r="H465" s="62">
        <f t="shared" si="332"/>
        <v>1248005.5098923349</v>
      </c>
      <c r="I465" s="62">
        <f t="shared" si="333"/>
        <v>1228115.9013873441</v>
      </c>
      <c r="J465" s="62">
        <f t="shared" si="334"/>
        <v>1202116.3406815415</v>
      </c>
      <c r="K465" s="62">
        <f t="shared" si="335"/>
        <v>1169374.2884687176</v>
      </c>
      <c r="L465" s="62">
        <f t="shared" si="336"/>
        <v>1130084.7656740851</v>
      </c>
      <c r="M465" s="62">
        <f t="shared" si="337"/>
        <v>1085657.2084191416</v>
      </c>
      <c r="N465" s="62">
        <f t="shared" si="338"/>
        <v>1038755.2185067786</v>
      </c>
      <c r="O465" s="62">
        <f t="shared" si="339"/>
        <v>992776.17202817916</v>
      </c>
      <c r="P465" s="62">
        <f t="shared" si="340"/>
        <v>950920.49960650213</v>
      </c>
      <c r="Q465" s="62">
        <f t="shared" si="341"/>
        <v>915349.13841044903</v>
      </c>
      <c r="R465" s="62">
        <f t="shared" si="342"/>
        <v>886862.84856226621</v>
      </c>
      <c r="S465" s="62">
        <f t="shared" si="343"/>
        <v>865126.54509633617</v>
      </c>
      <c r="T465" s="62">
        <f t="shared" si="344"/>
        <v>849148.61879481981</v>
      </c>
      <c r="U465" s="62">
        <f t="shared" si="345"/>
        <v>837724.6326365323</v>
      </c>
      <c r="V465" s="62">
        <f t="shared" si="346"/>
        <v>829718.10542985611</v>
      </c>
      <c r="W465" s="62">
        <f t="shared" si="347"/>
        <v>824185.10301042092</v>
      </c>
      <c r="X465" s="62">
        <f t="shared" si="348"/>
        <v>820398.59373471502</v>
      </c>
      <c r="Y465" s="62">
        <f t="shared" si="349"/>
        <v>817824.59227500285</v>
      </c>
      <c r="Z465" s="62">
        <f t="shared" si="350"/>
        <v>816082.79412917187</v>
      </c>
      <c r="AA465" s="62">
        <f t="shared" si="351"/>
        <v>814907.77528152149</v>
      </c>
      <c r="AB465" s="62">
        <f t="shared" si="352"/>
        <v>814116.75843028165</v>
      </c>
      <c r="AC465" s="62">
        <f t="shared" si="353"/>
        <v>813584.99765465059</v>
      </c>
    </row>
    <row r="466" spans="1:29" x14ac:dyDescent="0.25">
      <c r="A466" s="30" t="str">
        <f t="shared" si="325"/>
        <v>Opex var (mode-fees, shunting)</v>
      </c>
      <c r="B466" s="62">
        <f t="shared" si="326"/>
        <v>3.9215686274509802</v>
      </c>
      <c r="C466" s="62">
        <f t="shared" si="327"/>
        <v>3.9215686274509802</v>
      </c>
      <c r="D466" s="62">
        <f t="shared" si="328"/>
        <v>3.9215686274509802</v>
      </c>
      <c r="E466" s="62">
        <f t="shared" si="329"/>
        <v>3.9215686274509802</v>
      </c>
      <c r="F466" s="62">
        <f t="shared" si="330"/>
        <v>3.9215686274509802</v>
      </c>
      <c r="G466" s="62">
        <f t="shared" si="331"/>
        <v>3.9215686274509802</v>
      </c>
      <c r="H466" s="62">
        <f t="shared" si="332"/>
        <v>3.9215686274509802</v>
      </c>
      <c r="I466" s="62">
        <f t="shared" si="333"/>
        <v>3.9215686274509802</v>
      </c>
      <c r="J466" s="62">
        <f t="shared" si="334"/>
        <v>3.9215686274509802</v>
      </c>
      <c r="K466" s="62">
        <f t="shared" si="335"/>
        <v>3.9215686274509802</v>
      </c>
      <c r="L466" s="62">
        <f t="shared" si="336"/>
        <v>3.9215686274509802</v>
      </c>
      <c r="M466" s="62">
        <f t="shared" si="337"/>
        <v>3.9215686274509802</v>
      </c>
      <c r="N466" s="62">
        <f t="shared" si="338"/>
        <v>3.9215686274509802</v>
      </c>
      <c r="O466" s="62">
        <f t="shared" si="339"/>
        <v>3.9215686274509802</v>
      </c>
      <c r="P466" s="62">
        <f t="shared" si="340"/>
        <v>3.9215686274509802</v>
      </c>
      <c r="Q466" s="62">
        <f t="shared" si="341"/>
        <v>3.9215686274509802</v>
      </c>
      <c r="R466" s="62">
        <f t="shared" si="342"/>
        <v>3.9215686274509802</v>
      </c>
      <c r="S466" s="62">
        <f t="shared" si="343"/>
        <v>3.9215686274509802</v>
      </c>
      <c r="T466" s="62">
        <f t="shared" si="344"/>
        <v>3.9215686274509802</v>
      </c>
      <c r="U466" s="62">
        <f t="shared" si="345"/>
        <v>3.9215686274509802</v>
      </c>
      <c r="V466" s="62">
        <f t="shared" si="346"/>
        <v>3.9215686274509802</v>
      </c>
      <c r="W466" s="62">
        <f t="shared" si="347"/>
        <v>3.9215686274509802</v>
      </c>
      <c r="X466" s="62">
        <f t="shared" si="348"/>
        <v>3.9215686274509802</v>
      </c>
      <c r="Y466" s="62">
        <f t="shared" si="349"/>
        <v>3.9215686274509802</v>
      </c>
      <c r="Z466" s="62">
        <f t="shared" si="350"/>
        <v>3.9215686274509802</v>
      </c>
      <c r="AA466" s="62">
        <f t="shared" si="351"/>
        <v>3.9215686274509802</v>
      </c>
      <c r="AB466" s="62">
        <f t="shared" si="352"/>
        <v>3.9215686274509802</v>
      </c>
      <c r="AC466" s="62">
        <f t="shared" si="353"/>
        <v>3.9215686274509802</v>
      </c>
    </row>
    <row r="467" spans="1:29" x14ac:dyDescent="0.25">
      <c r="A467" s="30" t="str">
        <f t="shared" si="325"/>
        <v>Fuel Economy</v>
      </c>
      <c r="B467" s="62">
        <f t="shared" si="326"/>
        <v>33.590199999999996</v>
      </c>
      <c r="C467" s="62">
        <f t="shared" si="327"/>
        <v>33.590199999999996</v>
      </c>
      <c r="D467" s="62">
        <f t="shared" si="328"/>
        <v>33.590199999999996</v>
      </c>
      <c r="E467" s="62">
        <f t="shared" si="329"/>
        <v>33.590199999999996</v>
      </c>
      <c r="F467" s="62">
        <f t="shared" si="330"/>
        <v>33.590199999999996</v>
      </c>
      <c r="G467" s="62">
        <f t="shared" si="331"/>
        <v>33.590199999999996</v>
      </c>
      <c r="H467" s="62">
        <f t="shared" si="332"/>
        <v>33.590199999999996</v>
      </c>
      <c r="I467" s="62">
        <f t="shared" si="333"/>
        <v>33.590199999999996</v>
      </c>
      <c r="J467" s="62">
        <f t="shared" si="334"/>
        <v>33.590199999999996</v>
      </c>
      <c r="K467" s="62">
        <f t="shared" si="335"/>
        <v>33.590199999999996</v>
      </c>
      <c r="L467" s="62">
        <f t="shared" si="336"/>
        <v>33.590199999999996</v>
      </c>
      <c r="M467" s="62">
        <f t="shared" si="337"/>
        <v>33.590199999999996</v>
      </c>
      <c r="N467" s="62">
        <f t="shared" si="338"/>
        <v>33.590199999999996</v>
      </c>
      <c r="O467" s="62">
        <f t="shared" si="339"/>
        <v>33.590199999999996</v>
      </c>
      <c r="P467" s="62">
        <f t="shared" si="340"/>
        <v>33.590199999999996</v>
      </c>
      <c r="Q467" s="62">
        <f t="shared" si="341"/>
        <v>33.590199999999996</v>
      </c>
      <c r="R467" s="62">
        <f t="shared" si="342"/>
        <v>33.590199999999996</v>
      </c>
      <c r="S467" s="62">
        <f t="shared" si="343"/>
        <v>33.590199999999996</v>
      </c>
      <c r="T467" s="62">
        <f t="shared" si="344"/>
        <v>33.590199999999996</v>
      </c>
      <c r="U467" s="62">
        <f t="shared" si="345"/>
        <v>33.590199999999996</v>
      </c>
      <c r="V467" s="62">
        <f t="shared" si="346"/>
        <v>33.590199999999996</v>
      </c>
      <c r="W467" s="62">
        <f t="shared" si="347"/>
        <v>33.590199999999996</v>
      </c>
      <c r="X467" s="62">
        <f t="shared" si="348"/>
        <v>33.590199999999996</v>
      </c>
      <c r="Y467" s="62">
        <f t="shared" si="349"/>
        <v>33.590199999999996</v>
      </c>
      <c r="Z467" s="62">
        <f t="shared" si="350"/>
        <v>33.590199999999996</v>
      </c>
      <c r="AA467" s="62">
        <f t="shared" si="351"/>
        <v>33.590199999999996</v>
      </c>
      <c r="AB467" s="62">
        <f t="shared" si="352"/>
        <v>33.590199999999996</v>
      </c>
      <c r="AC467" s="62">
        <f t="shared" si="353"/>
        <v>33.590199999999996</v>
      </c>
    </row>
    <row r="468" spans="1:29" x14ac:dyDescent="0.25">
      <c r="A468" s="30" t="str">
        <f t="shared" si="325"/>
        <v>Fuel Cost</v>
      </c>
      <c r="B468" s="62">
        <f t="shared" si="326"/>
        <v>0.1331013876427829</v>
      </c>
      <c r="C468" s="62">
        <f t="shared" si="327"/>
        <v>0.13284065209015961</v>
      </c>
      <c r="D468" s="62">
        <f t="shared" si="328"/>
        <v>0.13247044498234223</v>
      </c>
      <c r="E468" s="62">
        <f t="shared" si="329"/>
        <v>0.13194719281007408</v>
      </c>
      <c r="F468" s="62">
        <f t="shared" si="330"/>
        <v>0.13121255620046077</v>
      </c>
      <c r="G468" s="62">
        <f t="shared" si="331"/>
        <v>0.13019114463175094</v>
      </c>
      <c r="H468" s="62">
        <f t="shared" si="332"/>
        <v>0.12879082758213251</v>
      </c>
      <c r="I468" s="62">
        <f t="shared" si="333"/>
        <v>0.126908951519354</v>
      </c>
      <c r="J468" s="62">
        <f t="shared" si="334"/>
        <v>0.12444897595358409</v>
      </c>
      <c r="K468" s="62">
        <f t="shared" si="335"/>
        <v>0.12135105251833415</v>
      </c>
      <c r="L468" s="62">
        <f t="shared" si="336"/>
        <v>0.11763363332194038</v>
      </c>
      <c r="M468" s="62">
        <f t="shared" si="337"/>
        <v>0.11343007363373329</v>
      </c>
      <c r="N468" s="62">
        <f t="shared" si="338"/>
        <v>0.10899239291766451</v>
      </c>
      <c r="O468" s="62">
        <f t="shared" si="339"/>
        <v>0.10464203745763898</v>
      </c>
      <c r="P468" s="62">
        <f t="shared" si="340"/>
        <v>0.10068181933659913</v>
      </c>
      <c r="Q468" s="62">
        <f t="shared" si="341"/>
        <v>9.7316197879620536E-2</v>
      </c>
      <c r="R468" s="62">
        <f t="shared" si="342"/>
        <v>9.4620937841233446E-2</v>
      </c>
      <c r="S468" s="62">
        <f t="shared" si="343"/>
        <v>9.2564334807767046E-2</v>
      </c>
      <c r="T468" s="62">
        <f t="shared" si="344"/>
        <v>9.1052566638367527E-2</v>
      </c>
      <c r="U468" s="62">
        <f t="shared" si="345"/>
        <v>8.9971674267489546E-2</v>
      </c>
      <c r="V468" s="62">
        <f t="shared" si="346"/>
        <v>8.9214128341311663E-2</v>
      </c>
      <c r="W468" s="62">
        <f t="shared" si="347"/>
        <v>8.8690617543911193E-2</v>
      </c>
      <c r="X468" s="62">
        <f t="shared" si="348"/>
        <v>8.833235301770638E-2</v>
      </c>
      <c r="Y468" s="62">
        <f t="shared" si="349"/>
        <v>8.8088811183719362E-2</v>
      </c>
      <c r="Z468" s="62">
        <f t="shared" si="350"/>
        <v>8.7924009134648928E-2</v>
      </c>
      <c r="AA468" s="62">
        <f t="shared" si="351"/>
        <v>8.7812833500289317E-2</v>
      </c>
      <c r="AB468" s="62">
        <f t="shared" si="352"/>
        <v>8.7737990615512101E-2</v>
      </c>
      <c r="AC468" s="62">
        <f t="shared" si="353"/>
        <v>8.768767751485286E-2</v>
      </c>
    </row>
    <row r="469" spans="1:29" x14ac:dyDescent="0.25">
      <c r="A469" s="30" t="str">
        <f t="shared" ref="A469" si="354">A449</f>
        <v>Emission Cost</v>
      </c>
      <c r="B469" s="66">
        <f>$B449+($C449-$B449)*(1-Q449)</f>
        <v>7.7616989698723951E-2</v>
      </c>
      <c r="C469" s="66">
        <f t="shared" ref="C469:AC469" si="355">$B449+($C449-$B449)*(1-R449)</f>
        <v>7.7543079413020161E-2</v>
      </c>
      <c r="D469" s="66">
        <f t="shared" si="355"/>
        <v>7.7437278485254071E-2</v>
      </c>
      <c r="E469" s="66">
        <f t="shared" si="355"/>
        <v>7.7285922817830824E-2</v>
      </c>
      <c r="F469" s="66">
        <f t="shared" si="355"/>
        <v>7.7069602170796822E-2</v>
      </c>
      <c r="G469" s="66">
        <f t="shared" si="355"/>
        <v>7.6760865858648872E-2</v>
      </c>
      <c r="H469" s="66">
        <f t="shared" si="355"/>
        <v>7.6321149608842037E-2</v>
      </c>
      <c r="I469" s="66">
        <f t="shared" si="355"/>
        <v>7.5696815568227049E-2</v>
      </c>
      <c r="J469" s="66">
        <f t="shared" si="355"/>
        <v>7.4814379396488564E-2</v>
      </c>
      <c r="K469" s="66">
        <f t="shared" si="355"/>
        <v>7.3575454931835024E-2</v>
      </c>
      <c r="L469" s="66">
        <f t="shared" si="355"/>
        <v>7.1852900182459184E-2</v>
      </c>
      <c r="M469" s="66">
        <f t="shared" si="355"/>
        <v>6.9491342061966249E-2</v>
      </c>
      <c r="N469" s="66">
        <f t="shared" si="355"/>
        <v>6.6317661002361278E-2</v>
      </c>
      <c r="O469" s="66">
        <f t="shared" si="355"/>
        <v>6.2169046747367229E-2</v>
      </c>
      <c r="P469" s="66">
        <f t="shared" si="355"/>
        <v>5.694456830002316E-2</v>
      </c>
      <c r="Q469" s="66">
        <f t="shared" si="355"/>
        <v>5.0675344131887581E-2</v>
      </c>
      <c r="R469" s="66">
        <f t="shared" si="355"/>
        <v>4.3586270611453572E-2</v>
      </c>
      <c r="S469" s="66">
        <f t="shared" si="355"/>
        <v>3.6102364781668152E-2</v>
      </c>
      <c r="T469" s="66">
        <f t="shared" si="355"/>
        <v>2.8765728220359679E-2</v>
      </c>
      <c r="U469" s="66">
        <f t="shared" si="355"/>
        <v>2.2087036944542227E-2</v>
      </c>
      <c r="V469" s="66">
        <f t="shared" si="355"/>
        <v>1.6411100424024307E-2</v>
      </c>
      <c r="W469" s="66">
        <f t="shared" si="355"/>
        <v>1.1865691773727857E-2</v>
      </c>
      <c r="X469" s="66">
        <f t="shared" si="355"/>
        <v>8.3973432339193438E-3</v>
      </c>
      <c r="Y469" s="66">
        <f t="shared" si="355"/>
        <v>5.84782889520509E-3</v>
      </c>
      <c r="Z469" s="66">
        <f t="shared" si="355"/>
        <v>4.0249630259926034E-3</v>
      </c>
      <c r="AA469" s="66">
        <f t="shared" si="355"/>
        <v>2.747403251869146E-3</v>
      </c>
      <c r="AB469" s="66">
        <f t="shared" si="355"/>
        <v>1.8645309229892715E-3</v>
      </c>
      <c r="AC469" s="66">
        <f t="shared" si="355"/>
        <v>1.2603373931211054E-3</v>
      </c>
    </row>
    <row r="470" spans="1:29" x14ac:dyDescent="0.25">
      <c r="A470" s="30" t="str">
        <f>A450</f>
        <v>Lifetime vehicle</v>
      </c>
      <c r="B470" s="62">
        <f>$B450+($C450-$B450)*(1-Q450)</f>
        <v>20</v>
      </c>
      <c r="C470" s="62">
        <f t="shared" ref="C470:L472" si="356">$B450+($C450-$B450)*(1-R450)</f>
        <v>20</v>
      </c>
      <c r="D470" s="62">
        <f t="shared" si="356"/>
        <v>20</v>
      </c>
      <c r="E470" s="62">
        <f t="shared" si="356"/>
        <v>20</v>
      </c>
      <c r="F470" s="62">
        <f t="shared" si="356"/>
        <v>20</v>
      </c>
      <c r="G470" s="62">
        <f t="shared" si="356"/>
        <v>20</v>
      </c>
      <c r="H470" s="62">
        <f t="shared" si="356"/>
        <v>20</v>
      </c>
      <c r="I470" s="62">
        <f t="shared" si="356"/>
        <v>20</v>
      </c>
      <c r="J470" s="62">
        <f t="shared" si="356"/>
        <v>20</v>
      </c>
      <c r="K470" s="62">
        <f t="shared" si="356"/>
        <v>20</v>
      </c>
      <c r="L470" s="62">
        <f t="shared" si="356"/>
        <v>20</v>
      </c>
      <c r="M470" s="62">
        <f t="shared" ref="M470:V472" si="357">$B450+($C450-$B450)*(1-AB450)</f>
        <v>20</v>
      </c>
      <c r="N470" s="62">
        <f t="shared" si="357"/>
        <v>20</v>
      </c>
      <c r="O470" s="62">
        <f t="shared" si="357"/>
        <v>20</v>
      </c>
      <c r="P470" s="62">
        <f t="shared" si="357"/>
        <v>20</v>
      </c>
      <c r="Q470" s="62">
        <f t="shared" si="357"/>
        <v>20</v>
      </c>
      <c r="R470" s="62">
        <f t="shared" si="357"/>
        <v>20</v>
      </c>
      <c r="S470" s="62">
        <f t="shared" si="357"/>
        <v>20</v>
      </c>
      <c r="T470" s="62">
        <f t="shared" si="357"/>
        <v>20</v>
      </c>
      <c r="U470" s="62">
        <f t="shared" si="357"/>
        <v>20</v>
      </c>
      <c r="V470" s="62">
        <f t="shared" si="357"/>
        <v>20</v>
      </c>
      <c r="W470" s="62">
        <f t="shared" ref="W470:AC472" si="358">$B450+($C450-$B450)*(1-AL450)</f>
        <v>20</v>
      </c>
      <c r="X470" s="62">
        <f t="shared" si="358"/>
        <v>20</v>
      </c>
      <c r="Y470" s="62">
        <f t="shared" si="358"/>
        <v>20</v>
      </c>
      <c r="Z470" s="62">
        <f t="shared" si="358"/>
        <v>20</v>
      </c>
      <c r="AA470" s="62">
        <f t="shared" si="358"/>
        <v>20</v>
      </c>
      <c r="AB470" s="62">
        <f t="shared" si="358"/>
        <v>20</v>
      </c>
      <c r="AC470" s="62">
        <f t="shared" si="358"/>
        <v>20</v>
      </c>
    </row>
    <row r="471" spans="1:29" x14ac:dyDescent="0.25">
      <c r="A471" s="30" t="str">
        <f>A451</f>
        <v>Lifetime costumization</v>
      </c>
      <c r="B471" s="62">
        <f>$B451+($C451-$B451)*(1-Q451)</f>
        <v>30</v>
      </c>
      <c r="C471" s="62">
        <f t="shared" si="356"/>
        <v>30</v>
      </c>
      <c r="D471" s="62">
        <f t="shared" si="356"/>
        <v>30</v>
      </c>
      <c r="E471" s="62">
        <f t="shared" si="356"/>
        <v>30</v>
      </c>
      <c r="F471" s="62">
        <f t="shared" si="356"/>
        <v>30</v>
      </c>
      <c r="G471" s="62">
        <f t="shared" si="356"/>
        <v>30</v>
      </c>
      <c r="H471" s="62">
        <f t="shared" si="356"/>
        <v>30</v>
      </c>
      <c r="I471" s="62">
        <f t="shared" si="356"/>
        <v>30</v>
      </c>
      <c r="J471" s="62">
        <f t="shared" si="356"/>
        <v>30</v>
      </c>
      <c r="K471" s="62">
        <f t="shared" si="356"/>
        <v>30</v>
      </c>
      <c r="L471" s="62">
        <f t="shared" si="356"/>
        <v>30</v>
      </c>
      <c r="M471" s="62">
        <f t="shared" si="357"/>
        <v>30</v>
      </c>
      <c r="N471" s="62">
        <f t="shared" si="357"/>
        <v>30</v>
      </c>
      <c r="O471" s="62">
        <f t="shared" si="357"/>
        <v>30</v>
      </c>
      <c r="P471" s="62">
        <f t="shared" si="357"/>
        <v>30</v>
      </c>
      <c r="Q471" s="62">
        <f t="shared" si="357"/>
        <v>30</v>
      </c>
      <c r="R471" s="62">
        <f t="shared" si="357"/>
        <v>30</v>
      </c>
      <c r="S471" s="62">
        <f t="shared" si="357"/>
        <v>30</v>
      </c>
      <c r="T471" s="62">
        <f t="shared" si="357"/>
        <v>30</v>
      </c>
      <c r="U471" s="62">
        <f t="shared" si="357"/>
        <v>30</v>
      </c>
      <c r="V471" s="62">
        <f t="shared" si="357"/>
        <v>30</v>
      </c>
      <c r="W471" s="62">
        <f t="shared" si="358"/>
        <v>30</v>
      </c>
      <c r="X471" s="62">
        <f t="shared" si="358"/>
        <v>30</v>
      </c>
      <c r="Y471" s="62">
        <f t="shared" si="358"/>
        <v>30</v>
      </c>
      <c r="Z471" s="62">
        <f t="shared" si="358"/>
        <v>30</v>
      </c>
      <c r="AA471" s="62">
        <f t="shared" si="358"/>
        <v>30</v>
      </c>
      <c r="AB471" s="62">
        <f t="shared" si="358"/>
        <v>30</v>
      </c>
      <c r="AC471" s="62">
        <f t="shared" si="358"/>
        <v>30</v>
      </c>
    </row>
    <row r="472" spans="1:29" x14ac:dyDescent="0.25">
      <c r="A472" s="30" t="str">
        <f>A452</f>
        <v>Tonnage .</v>
      </c>
      <c r="B472" s="62">
        <f>$B452+($C452-$B452)*(1-Q452)</f>
        <v>2800</v>
      </c>
      <c r="C472" s="62">
        <f t="shared" si="356"/>
        <v>2800</v>
      </c>
      <c r="D472" s="62">
        <f t="shared" si="356"/>
        <v>2800</v>
      </c>
      <c r="E472" s="62">
        <f t="shared" si="356"/>
        <v>2800</v>
      </c>
      <c r="F472" s="62">
        <f t="shared" si="356"/>
        <v>2800</v>
      </c>
      <c r="G472" s="62">
        <f t="shared" si="356"/>
        <v>2800</v>
      </c>
      <c r="H472" s="62">
        <f t="shared" si="356"/>
        <v>2800</v>
      </c>
      <c r="I472" s="62">
        <f t="shared" si="356"/>
        <v>2800</v>
      </c>
      <c r="J472" s="62">
        <f t="shared" si="356"/>
        <v>2800</v>
      </c>
      <c r="K472" s="62">
        <f t="shared" si="356"/>
        <v>2800</v>
      </c>
      <c r="L472" s="62">
        <f t="shared" si="356"/>
        <v>2800</v>
      </c>
      <c r="M472" s="62">
        <f t="shared" si="357"/>
        <v>2800</v>
      </c>
      <c r="N472" s="62">
        <f t="shared" si="357"/>
        <v>2800</v>
      </c>
      <c r="O472" s="62">
        <f t="shared" si="357"/>
        <v>2800</v>
      </c>
      <c r="P472" s="62">
        <f t="shared" si="357"/>
        <v>2800</v>
      </c>
      <c r="Q472" s="62">
        <f t="shared" si="357"/>
        <v>2800</v>
      </c>
      <c r="R472" s="62">
        <f t="shared" si="357"/>
        <v>2800</v>
      </c>
      <c r="S472" s="62">
        <f t="shared" si="357"/>
        <v>2800</v>
      </c>
      <c r="T472" s="62">
        <f t="shared" si="357"/>
        <v>2800</v>
      </c>
      <c r="U472" s="62">
        <f t="shared" si="357"/>
        <v>2800</v>
      </c>
      <c r="V472" s="62">
        <f t="shared" si="357"/>
        <v>2800</v>
      </c>
      <c r="W472" s="62">
        <f t="shared" si="358"/>
        <v>2800</v>
      </c>
      <c r="X472" s="62">
        <f t="shared" si="358"/>
        <v>2800</v>
      </c>
      <c r="Y472" s="62">
        <f t="shared" si="358"/>
        <v>2800</v>
      </c>
      <c r="Z472" s="62">
        <f t="shared" si="358"/>
        <v>2800</v>
      </c>
      <c r="AA472" s="62">
        <f t="shared" si="358"/>
        <v>2800</v>
      </c>
      <c r="AB472" s="62">
        <f t="shared" si="358"/>
        <v>2800</v>
      </c>
      <c r="AC472" s="62">
        <f t="shared" si="358"/>
        <v>2800</v>
      </c>
    </row>
    <row r="473" spans="1:29" x14ac:dyDescent="0.25">
      <c r="A473" s="30" t="str">
        <f>A453</f>
        <v>Market failure (av. utilization)</v>
      </c>
      <c r="B473" s="62">
        <f t="shared" ref="B473:K474" si="359">($B453+($C453-$B453)*(1-Q453))*B$44</f>
        <v>955.73333333333335</v>
      </c>
      <c r="C473" s="62">
        <f t="shared" si="359"/>
        <v>955.73333333333335</v>
      </c>
      <c r="D473" s="62">
        <f t="shared" si="359"/>
        <v>955.73333333333335</v>
      </c>
      <c r="E473" s="62">
        <f t="shared" si="359"/>
        <v>955.73333333333335</v>
      </c>
      <c r="F473" s="62">
        <f t="shared" si="359"/>
        <v>955.73333333333335</v>
      </c>
      <c r="G473" s="62">
        <f t="shared" si="359"/>
        <v>955.73333333333335</v>
      </c>
      <c r="H473" s="62">
        <f t="shared" si="359"/>
        <v>955.73333333333335</v>
      </c>
      <c r="I473" s="62">
        <f t="shared" si="359"/>
        <v>955.73333333333335</v>
      </c>
      <c r="J473" s="62">
        <f t="shared" si="359"/>
        <v>955.73333333333335</v>
      </c>
      <c r="K473" s="62">
        <f t="shared" si="359"/>
        <v>955.73333333333335</v>
      </c>
      <c r="L473" s="62">
        <f t="shared" ref="L473:U474" si="360">($B453+($C453-$B453)*(1-AA453))*L$44</f>
        <v>955.73333333333335</v>
      </c>
      <c r="M473" s="62">
        <f t="shared" si="360"/>
        <v>955.73333333333335</v>
      </c>
      <c r="N473" s="62">
        <f t="shared" si="360"/>
        <v>955.73333333333335</v>
      </c>
      <c r="O473" s="62">
        <f t="shared" si="360"/>
        <v>955.73333333333335</v>
      </c>
      <c r="P473" s="62">
        <f t="shared" si="360"/>
        <v>955.73333333333335</v>
      </c>
      <c r="Q473" s="62">
        <f t="shared" si="360"/>
        <v>955.73333333333335</v>
      </c>
      <c r="R473" s="62">
        <f t="shared" si="360"/>
        <v>955.73333333333335</v>
      </c>
      <c r="S473" s="62">
        <f t="shared" si="360"/>
        <v>955.73333333333335</v>
      </c>
      <c r="T473" s="62">
        <f t="shared" si="360"/>
        <v>955.73333333333335</v>
      </c>
      <c r="U473" s="62">
        <f t="shared" si="360"/>
        <v>955.73333333333335</v>
      </c>
      <c r="V473" s="62">
        <f t="shared" ref="V473:AC474" si="361">($B453+($C453-$B453)*(1-AK453))*V$44</f>
        <v>955.73333333333335</v>
      </c>
      <c r="W473" s="62">
        <f t="shared" si="361"/>
        <v>955.73333333333335</v>
      </c>
      <c r="X473" s="62">
        <f t="shared" si="361"/>
        <v>955.73333333333335</v>
      </c>
      <c r="Y473" s="62">
        <f t="shared" si="361"/>
        <v>955.73333333333335</v>
      </c>
      <c r="Z473" s="62">
        <f t="shared" si="361"/>
        <v>955.73333333333335</v>
      </c>
      <c r="AA473" s="62">
        <f t="shared" si="361"/>
        <v>955.73333333333335</v>
      </c>
      <c r="AB473" s="62">
        <f t="shared" si="361"/>
        <v>955.73333333333335</v>
      </c>
      <c r="AC473" s="62">
        <f t="shared" si="361"/>
        <v>955.73333333333335</v>
      </c>
    </row>
    <row r="474" spans="1:29" x14ac:dyDescent="0.25">
      <c r="A474" s="30" t="s">
        <v>73</v>
      </c>
      <c r="B474" s="62">
        <f t="shared" si="359"/>
        <v>79.471914462993496</v>
      </c>
      <c r="C474" s="62">
        <f t="shared" si="359"/>
        <v>79.245803905143291</v>
      </c>
      <c r="D474" s="62">
        <f t="shared" si="359"/>
        <v>78.924759326348806</v>
      </c>
      <c r="E474" s="62">
        <f t="shared" si="359"/>
        <v>78.470993664637106</v>
      </c>
      <c r="F474" s="62">
        <f t="shared" si="359"/>
        <v>77.833914862204551</v>
      </c>
      <c r="G474" s="62">
        <f t="shared" si="359"/>
        <v>76.948144060056592</v>
      </c>
      <c r="H474" s="62">
        <f t="shared" si="359"/>
        <v>75.733785427063381</v>
      </c>
      <c r="I474" s="62">
        <f t="shared" si="359"/>
        <v>74.101817549730796</v>
      </c>
      <c r="J474" s="62">
        <f t="shared" si="359"/>
        <v>71.968520261049548</v>
      </c>
      <c r="K474" s="62">
        <f t="shared" si="359"/>
        <v>69.281992899997348</v>
      </c>
      <c r="L474" s="62">
        <f t="shared" si="360"/>
        <v>66.058237183514677</v>
      </c>
      <c r="M474" s="62">
        <f t="shared" si="360"/>
        <v>62.412899152339826</v>
      </c>
      <c r="N474" s="62">
        <f t="shared" si="360"/>
        <v>58.564530749274141</v>
      </c>
      <c r="O474" s="62">
        <f t="shared" si="360"/>
        <v>54.79189103820957</v>
      </c>
      <c r="P474" s="62">
        <f t="shared" si="360"/>
        <v>51.357579454892473</v>
      </c>
      <c r="Q474" s="62">
        <f t="shared" si="360"/>
        <v>48.438903664447089</v>
      </c>
      <c r="R474" s="62">
        <f t="shared" si="360"/>
        <v>46.101567061519283</v>
      </c>
      <c r="S474" s="62">
        <f t="shared" si="360"/>
        <v>44.318075495083995</v>
      </c>
      <c r="T474" s="62">
        <f t="shared" si="360"/>
        <v>43.007066157523667</v>
      </c>
      <c r="U474" s="62">
        <f t="shared" si="360"/>
        <v>42.069713447100085</v>
      </c>
      <c r="V474" s="62">
        <f t="shared" si="361"/>
        <v>41.412767625013835</v>
      </c>
      <c r="W474" s="62">
        <f t="shared" si="361"/>
        <v>40.958777682906323</v>
      </c>
      <c r="X474" s="62">
        <f t="shared" si="361"/>
        <v>40.648089742335586</v>
      </c>
      <c r="Y474" s="62">
        <f t="shared" si="361"/>
        <v>40.43688962256433</v>
      </c>
      <c r="Z474" s="62">
        <f t="shared" si="361"/>
        <v>40.29397285162436</v>
      </c>
      <c r="AA474" s="62">
        <f t="shared" si="361"/>
        <v>40.197561048740226</v>
      </c>
      <c r="AB474" s="62">
        <f t="shared" si="361"/>
        <v>40.132657101971823</v>
      </c>
      <c r="AC474" s="62">
        <f t="shared" si="361"/>
        <v>40.08902544858671</v>
      </c>
    </row>
    <row r="475" spans="1:29" x14ac:dyDescent="0.25">
      <c r="A475" s="30" t="str">
        <f>A455</f>
        <v>Annual Mileage</v>
      </c>
      <c r="B475" s="62">
        <f t="shared" ref="B475:AC475" si="362">$B455+($C455-$B455)*(1-Q455)</f>
        <v>178500</v>
      </c>
      <c r="C475" s="62">
        <f t="shared" si="362"/>
        <v>178500</v>
      </c>
      <c r="D475" s="62">
        <f t="shared" si="362"/>
        <v>178500</v>
      </c>
      <c r="E475" s="62">
        <f t="shared" si="362"/>
        <v>178500</v>
      </c>
      <c r="F475" s="62">
        <f t="shared" si="362"/>
        <v>178500</v>
      </c>
      <c r="G475" s="62">
        <f t="shared" si="362"/>
        <v>178500</v>
      </c>
      <c r="H475" s="62">
        <f t="shared" si="362"/>
        <v>178500</v>
      </c>
      <c r="I475" s="62">
        <f t="shared" si="362"/>
        <v>178500</v>
      </c>
      <c r="J475" s="62">
        <f t="shared" si="362"/>
        <v>178500</v>
      </c>
      <c r="K475" s="62">
        <f t="shared" si="362"/>
        <v>178500</v>
      </c>
      <c r="L475" s="62">
        <f t="shared" si="362"/>
        <v>178500</v>
      </c>
      <c r="M475" s="62">
        <f t="shared" si="362"/>
        <v>178500</v>
      </c>
      <c r="N475" s="62">
        <f t="shared" si="362"/>
        <v>178500</v>
      </c>
      <c r="O475" s="62">
        <f t="shared" si="362"/>
        <v>178500</v>
      </c>
      <c r="P475" s="62">
        <f t="shared" si="362"/>
        <v>178500</v>
      </c>
      <c r="Q475" s="62">
        <f t="shared" si="362"/>
        <v>178500</v>
      </c>
      <c r="R475" s="62">
        <f t="shared" si="362"/>
        <v>178500</v>
      </c>
      <c r="S475" s="62">
        <f t="shared" si="362"/>
        <v>178500</v>
      </c>
      <c r="T475" s="62">
        <f t="shared" si="362"/>
        <v>178500</v>
      </c>
      <c r="U475" s="62">
        <f t="shared" si="362"/>
        <v>178500</v>
      </c>
      <c r="V475" s="62">
        <f t="shared" si="362"/>
        <v>178500</v>
      </c>
      <c r="W475" s="62">
        <f t="shared" si="362"/>
        <v>178500</v>
      </c>
      <c r="X475" s="62">
        <f t="shared" si="362"/>
        <v>178500</v>
      </c>
      <c r="Y475" s="62">
        <f t="shared" si="362"/>
        <v>178500</v>
      </c>
      <c r="Z475" s="62">
        <f t="shared" si="362"/>
        <v>178500</v>
      </c>
      <c r="AA475" s="62">
        <f t="shared" si="362"/>
        <v>178500</v>
      </c>
      <c r="AB475" s="62">
        <f t="shared" si="362"/>
        <v>178500</v>
      </c>
      <c r="AC475" s="62">
        <f t="shared" si="362"/>
        <v>178500</v>
      </c>
    </row>
    <row r="476" spans="1:29" ht="15.75" thickBot="1" x14ac:dyDescent="0.3">
      <c r="AC476" s="32"/>
    </row>
    <row r="477" spans="1:29" ht="15.75" thickBot="1" x14ac:dyDescent="0.3">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867529.23505697085</v>
      </c>
      <c r="C478" s="63">
        <f t="shared" ref="C478:AC478" si="363">((1+C463)^C470)*C463/(((1+C463)^C470)-1)*(C459)</f>
        <v>865681.10860566224</v>
      </c>
      <c r="D478" s="63">
        <f t="shared" si="363"/>
        <v>863057.03397703567</v>
      </c>
      <c r="E478" s="63">
        <f t="shared" si="363"/>
        <v>859348.15664694412</v>
      </c>
      <c r="F478" s="63">
        <f t="shared" si="363"/>
        <v>854140.95978918544</v>
      </c>
      <c r="G478" s="63">
        <f t="shared" si="363"/>
        <v>846901.06588590739</v>
      </c>
      <c r="H478" s="63">
        <f t="shared" si="363"/>
        <v>836975.44218948286</v>
      </c>
      <c r="I478" s="63">
        <f t="shared" si="363"/>
        <v>823636.46752832399</v>
      </c>
      <c r="J478" s="63">
        <f t="shared" si="363"/>
        <v>806199.8507457996</v>
      </c>
      <c r="K478" s="63">
        <f t="shared" si="363"/>
        <v>784241.37907896913</v>
      </c>
      <c r="L478" s="63">
        <f t="shared" si="363"/>
        <v>757891.84339680034</v>
      </c>
      <c r="M478" s="63">
        <f t="shared" si="363"/>
        <v>728096.48265190842</v>
      </c>
      <c r="N478" s="63">
        <f t="shared" si="363"/>
        <v>696641.64256081509</v>
      </c>
      <c r="O478" s="63">
        <f t="shared" si="363"/>
        <v>665805.77488808637</v>
      </c>
      <c r="P478" s="63">
        <f t="shared" si="363"/>
        <v>637735.24983383913</v>
      </c>
      <c r="Q478" s="63">
        <f t="shared" si="363"/>
        <v>613879.3008573663</v>
      </c>
      <c r="R478" s="63">
        <f t="shared" si="363"/>
        <v>594774.95808561263</v>
      </c>
      <c r="S478" s="63">
        <f t="shared" si="363"/>
        <v>580197.49663952412</v>
      </c>
      <c r="T478" s="63">
        <f t="shared" si="363"/>
        <v>569481.893362551</v>
      </c>
      <c r="U478" s="63">
        <f t="shared" si="363"/>
        <v>561820.39203855116</v>
      </c>
      <c r="V478" s="63">
        <f t="shared" si="363"/>
        <v>556450.81105826527</v>
      </c>
      <c r="W478" s="63">
        <f t="shared" si="363"/>
        <v>552740.10056064755</v>
      </c>
      <c r="X478" s="63">
        <f t="shared" si="363"/>
        <v>550200.67645533092</v>
      </c>
      <c r="Y478" s="63">
        <f t="shared" si="363"/>
        <v>548474.42124823271</v>
      </c>
      <c r="Z478" s="63">
        <f t="shared" si="363"/>
        <v>547306.28355832992</v>
      </c>
      <c r="AA478" s="63">
        <f t="shared" si="363"/>
        <v>546518.25665316184</v>
      </c>
      <c r="AB478" s="63">
        <f t="shared" si="363"/>
        <v>545987.76085518813</v>
      </c>
      <c r="AC478" s="63">
        <f t="shared" si="363"/>
        <v>545631.13525794924</v>
      </c>
    </row>
    <row r="479" spans="1:29" x14ac:dyDescent="0.25">
      <c r="A479" s="30" t="str">
        <f>A460</f>
        <v>Residual value (vehicle)</v>
      </c>
      <c r="B479" s="62">
        <f>((1+B463)^B470)*B463/(((1+B463)^B470)-1)*(B460)</f>
        <v>-44095.850871439077</v>
      </c>
      <c r="C479" s="62">
        <f t="shared" ref="C479:AC479" si="364">((1+C463)^C470)*C463/(((1+C463)^C470)-1)*(C460)</f>
        <v>-44311.465624091747</v>
      </c>
      <c r="D479" s="62">
        <f t="shared" si="364"/>
        <v>-44617.607664098185</v>
      </c>
      <c r="E479" s="62">
        <f t="shared" si="364"/>
        <v>-45050.310019275523</v>
      </c>
      <c r="F479" s="62">
        <f t="shared" si="364"/>
        <v>-45657.816319347374</v>
      </c>
      <c r="G479" s="62">
        <f t="shared" si="364"/>
        <v>-46502.470608063151</v>
      </c>
      <c r="H479" s="62">
        <f t="shared" si="364"/>
        <v>-47660.460039312675</v>
      </c>
      <c r="I479" s="62">
        <f t="shared" si="364"/>
        <v>-49216.673749781199</v>
      </c>
      <c r="J479" s="62">
        <f t="shared" si="364"/>
        <v>-51250.945707742365</v>
      </c>
      <c r="K479" s="62">
        <f t="shared" si="364"/>
        <v>-53812.767402205936</v>
      </c>
      <c r="L479" s="62">
        <f t="shared" si="364"/>
        <v>-56886.879898458967</v>
      </c>
      <c r="M479" s="62">
        <f t="shared" si="364"/>
        <v>-60363.005318696356</v>
      </c>
      <c r="N479" s="62">
        <f t="shared" si="364"/>
        <v>-64032.73666265724</v>
      </c>
      <c r="O479" s="62">
        <f t="shared" si="364"/>
        <v>-67630.254557808934</v>
      </c>
      <c r="P479" s="62">
        <f t="shared" si="364"/>
        <v>-70905.149147471107</v>
      </c>
      <c r="Q479" s="62">
        <f t="shared" si="364"/>
        <v>-73688.343194726258</v>
      </c>
      <c r="R479" s="62">
        <f t="shared" si="364"/>
        <v>-75917.183184764202</v>
      </c>
      <c r="S479" s="62">
        <f t="shared" si="364"/>
        <v>-77617.887020141206</v>
      </c>
      <c r="T479" s="62">
        <f t="shared" si="364"/>
        <v>-78868.040735788047</v>
      </c>
      <c r="U479" s="62">
        <f t="shared" si="364"/>
        <v>-79761.882556921351</v>
      </c>
      <c r="V479" s="62">
        <f t="shared" si="364"/>
        <v>-80388.333671288041</v>
      </c>
      <c r="W479" s="62">
        <f t="shared" si="364"/>
        <v>-80821.249896010122</v>
      </c>
      <c r="X479" s="62">
        <f t="shared" si="364"/>
        <v>-81117.516041630384</v>
      </c>
      <c r="Y479" s="62">
        <f t="shared" si="364"/>
        <v>-81318.912482458516</v>
      </c>
      <c r="Z479" s="62">
        <f t="shared" si="364"/>
        <v>-81455.19521294719</v>
      </c>
      <c r="AA479" s="62">
        <f t="shared" si="364"/>
        <v>-81547.131685216795</v>
      </c>
      <c r="AB479" s="62">
        <f t="shared" si="364"/>
        <v>-81609.022861647056</v>
      </c>
      <c r="AC479" s="62">
        <f t="shared" si="364"/>
        <v>-81650.629181324926</v>
      </c>
    </row>
    <row r="480" spans="1:29" x14ac:dyDescent="0.25">
      <c r="A480" s="30" t="str">
        <f>A461</f>
        <v>Capex costumization</v>
      </c>
      <c r="B480" s="62">
        <f>((1+B463)^B471)*B463/(((1+B463)^B471)-1)*(B461)</f>
        <v>254271.19021516517</v>
      </c>
      <c r="C480" s="62">
        <f t="shared" ref="C480:AC480" si="365">((1+C463)^C471)*C463/(((1+C463)^C471)-1)*(C461)</f>
        <v>254271.19021516517</v>
      </c>
      <c r="D480" s="62">
        <f t="shared" si="365"/>
        <v>254271.19021516517</v>
      </c>
      <c r="E480" s="62">
        <f t="shared" si="365"/>
        <v>254271.19021516517</v>
      </c>
      <c r="F480" s="62">
        <f t="shared" si="365"/>
        <v>254271.19021516517</v>
      </c>
      <c r="G480" s="62">
        <f t="shared" si="365"/>
        <v>254271.19021516517</v>
      </c>
      <c r="H480" s="62">
        <f t="shared" si="365"/>
        <v>254271.19021516517</v>
      </c>
      <c r="I480" s="62">
        <f t="shared" si="365"/>
        <v>254271.19021516517</v>
      </c>
      <c r="J480" s="62">
        <f t="shared" si="365"/>
        <v>254271.19021516517</v>
      </c>
      <c r="K480" s="62">
        <f t="shared" si="365"/>
        <v>254271.19021516517</v>
      </c>
      <c r="L480" s="62">
        <f t="shared" si="365"/>
        <v>254271.19021516517</v>
      </c>
      <c r="M480" s="62">
        <f t="shared" si="365"/>
        <v>254271.19021516517</v>
      </c>
      <c r="N480" s="62">
        <f t="shared" si="365"/>
        <v>254271.19021516517</v>
      </c>
      <c r="O480" s="62">
        <f t="shared" si="365"/>
        <v>254271.19021516517</v>
      </c>
      <c r="P480" s="62">
        <f t="shared" si="365"/>
        <v>254271.19021516517</v>
      </c>
      <c r="Q480" s="62">
        <f t="shared" si="365"/>
        <v>254271.19021516517</v>
      </c>
      <c r="R480" s="62">
        <f t="shared" si="365"/>
        <v>254271.19021516517</v>
      </c>
      <c r="S480" s="62">
        <f t="shared" si="365"/>
        <v>254271.19021516517</v>
      </c>
      <c r="T480" s="62">
        <f t="shared" si="365"/>
        <v>254271.19021516517</v>
      </c>
      <c r="U480" s="62">
        <f t="shared" si="365"/>
        <v>254271.19021516517</v>
      </c>
      <c r="V480" s="62">
        <f t="shared" si="365"/>
        <v>254271.19021516517</v>
      </c>
      <c r="W480" s="62">
        <f t="shared" si="365"/>
        <v>254271.19021516517</v>
      </c>
      <c r="X480" s="62">
        <f t="shared" si="365"/>
        <v>254271.19021516517</v>
      </c>
      <c r="Y480" s="62">
        <f t="shared" si="365"/>
        <v>254271.19021516517</v>
      </c>
      <c r="Z480" s="62">
        <f t="shared" si="365"/>
        <v>254271.19021516517</v>
      </c>
      <c r="AA480" s="62">
        <f t="shared" si="365"/>
        <v>254271.19021516517</v>
      </c>
      <c r="AB480" s="62">
        <f t="shared" si="365"/>
        <v>254271.19021516517</v>
      </c>
      <c r="AC480" s="62">
        <f t="shared" si="365"/>
        <v>254271.19021516517</v>
      </c>
    </row>
    <row r="481" spans="1:29" x14ac:dyDescent="0.25">
      <c r="A481" s="30" t="str">
        <f>A462</f>
        <v>Residual value (costumization)</v>
      </c>
      <c r="B481" s="62">
        <f>((1+B463)^B471)*B463/(((1+B463)^B471)-1)*(B462)</f>
        <v>-12713.559510758259</v>
      </c>
      <c r="C481" s="62">
        <f t="shared" ref="C481:AC481" si="366">((1+C463)^C471)*C463/(((1+C463)^C471)-1)*(C462)</f>
        <v>-12713.559510758259</v>
      </c>
      <c r="D481" s="62">
        <f t="shared" si="366"/>
        <v>-12713.559510758259</v>
      </c>
      <c r="E481" s="62">
        <f t="shared" si="366"/>
        <v>-12713.559510758259</v>
      </c>
      <c r="F481" s="62">
        <f t="shared" si="366"/>
        <v>-12713.559510758259</v>
      </c>
      <c r="G481" s="62">
        <f t="shared" si="366"/>
        <v>-12713.559510758259</v>
      </c>
      <c r="H481" s="62">
        <f t="shared" si="366"/>
        <v>-12713.559510758259</v>
      </c>
      <c r="I481" s="62">
        <f t="shared" si="366"/>
        <v>-12713.559510758259</v>
      </c>
      <c r="J481" s="62">
        <f t="shared" si="366"/>
        <v>-12713.559510758259</v>
      </c>
      <c r="K481" s="62">
        <f t="shared" si="366"/>
        <v>-12713.559510758259</v>
      </c>
      <c r="L481" s="62">
        <f t="shared" si="366"/>
        <v>-12713.559510758259</v>
      </c>
      <c r="M481" s="62">
        <f t="shared" si="366"/>
        <v>-12713.559510758259</v>
      </c>
      <c r="N481" s="62">
        <f t="shared" si="366"/>
        <v>-12713.559510758259</v>
      </c>
      <c r="O481" s="62">
        <f t="shared" si="366"/>
        <v>-12713.559510758259</v>
      </c>
      <c r="P481" s="62">
        <f t="shared" si="366"/>
        <v>-12713.559510758259</v>
      </c>
      <c r="Q481" s="62">
        <f t="shared" si="366"/>
        <v>-12713.559510758259</v>
      </c>
      <c r="R481" s="62">
        <f t="shared" si="366"/>
        <v>-12713.559510758259</v>
      </c>
      <c r="S481" s="62">
        <f t="shared" si="366"/>
        <v>-12713.559510758259</v>
      </c>
      <c r="T481" s="62">
        <f t="shared" si="366"/>
        <v>-12713.559510758259</v>
      </c>
      <c r="U481" s="62">
        <f t="shared" si="366"/>
        <v>-12713.559510758259</v>
      </c>
      <c r="V481" s="62">
        <f t="shared" si="366"/>
        <v>-12713.559510758259</v>
      </c>
      <c r="W481" s="62">
        <f t="shared" si="366"/>
        <v>-12713.559510758259</v>
      </c>
      <c r="X481" s="62">
        <f t="shared" si="366"/>
        <v>-12713.559510758259</v>
      </c>
      <c r="Y481" s="62">
        <f t="shared" si="366"/>
        <v>-12713.559510758259</v>
      </c>
      <c r="Z481" s="62">
        <f t="shared" si="366"/>
        <v>-12713.559510758259</v>
      </c>
      <c r="AA481" s="62">
        <f t="shared" si="366"/>
        <v>-12713.559510758259</v>
      </c>
      <c r="AB481" s="62">
        <f t="shared" si="366"/>
        <v>-12713.559510758259</v>
      </c>
      <c r="AC481" s="62">
        <f t="shared" si="366"/>
        <v>-12713.559510758259</v>
      </c>
    </row>
    <row r="482" spans="1:29" x14ac:dyDescent="0.25">
      <c r="A482" s="30" t="str">
        <f t="shared" ref="A482:AC482" si="367">A464</f>
        <v>Opex fix (admin, crew, insurance)</v>
      </c>
      <c r="B482" s="62">
        <f t="shared" si="367"/>
        <v>650000</v>
      </c>
      <c r="C482" s="62">
        <f t="shared" si="367"/>
        <v>650000</v>
      </c>
      <c r="D482" s="62">
        <f t="shared" si="367"/>
        <v>650000</v>
      </c>
      <c r="E482" s="62">
        <f t="shared" si="367"/>
        <v>650000</v>
      </c>
      <c r="F482" s="62">
        <f t="shared" si="367"/>
        <v>650000</v>
      </c>
      <c r="G482" s="62">
        <f t="shared" si="367"/>
        <v>650000</v>
      </c>
      <c r="H482" s="62">
        <f t="shared" si="367"/>
        <v>650000</v>
      </c>
      <c r="I482" s="62">
        <f t="shared" si="367"/>
        <v>650000</v>
      </c>
      <c r="J482" s="62">
        <f t="shared" si="367"/>
        <v>650000</v>
      </c>
      <c r="K482" s="62">
        <f t="shared" si="367"/>
        <v>650000</v>
      </c>
      <c r="L482" s="62">
        <f t="shared" si="367"/>
        <v>650000</v>
      </c>
      <c r="M482" s="62">
        <f t="shared" si="367"/>
        <v>650000</v>
      </c>
      <c r="N482" s="62">
        <f t="shared" si="367"/>
        <v>650000</v>
      </c>
      <c r="O482" s="62">
        <f t="shared" si="367"/>
        <v>650000</v>
      </c>
      <c r="P482" s="62">
        <f t="shared" si="367"/>
        <v>650000</v>
      </c>
      <c r="Q482" s="62">
        <f t="shared" si="367"/>
        <v>650000</v>
      </c>
      <c r="R482" s="62">
        <f t="shared" si="367"/>
        <v>650000</v>
      </c>
      <c r="S482" s="62">
        <f t="shared" si="367"/>
        <v>650000</v>
      </c>
      <c r="T482" s="62">
        <f t="shared" si="367"/>
        <v>650000</v>
      </c>
      <c r="U482" s="62">
        <f t="shared" si="367"/>
        <v>650000</v>
      </c>
      <c r="V482" s="62">
        <f t="shared" si="367"/>
        <v>650000</v>
      </c>
      <c r="W482" s="62">
        <f t="shared" si="367"/>
        <v>650000</v>
      </c>
      <c r="X482" s="62">
        <f t="shared" si="367"/>
        <v>650000</v>
      </c>
      <c r="Y482" s="62">
        <f t="shared" si="367"/>
        <v>650000</v>
      </c>
      <c r="Z482" s="62">
        <f t="shared" si="367"/>
        <v>650000</v>
      </c>
      <c r="AA482" s="62">
        <f t="shared" si="367"/>
        <v>650000</v>
      </c>
      <c r="AB482" s="62">
        <f t="shared" si="367"/>
        <v>650000</v>
      </c>
      <c r="AC482" s="62">
        <f t="shared" si="367"/>
        <v>650000</v>
      </c>
    </row>
    <row r="483" spans="1:29" x14ac:dyDescent="0.25">
      <c r="A483" s="30" t="str">
        <f t="shared" ref="A483:AC483" si="368">A465</f>
        <v>Opex maintenance &amp; repair</v>
      </c>
      <c r="B483" s="62">
        <f t="shared" si="368"/>
        <v>1293563.9575177333</v>
      </c>
      <c r="C483" s="62">
        <f t="shared" si="368"/>
        <v>1290808.235093934</v>
      </c>
      <c r="D483" s="62">
        <f t="shared" si="368"/>
        <v>1286895.5042898762</v>
      </c>
      <c r="E483" s="62">
        <f t="shared" si="368"/>
        <v>1281365.2352877648</v>
      </c>
      <c r="F483" s="62">
        <f t="shared" si="368"/>
        <v>1273600.837383118</v>
      </c>
      <c r="G483" s="62">
        <f t="shared" si="368"/>
        <v>1262805.5057319398</v>
      </c>
      <c r="H483" s="62">
        <f t="shared" si="368"/>
        <v>1248005.5098923349</v>
      </c>
      <c r="I483" s="62">
        <f t="shared" si="368"/>
        <v>1228115.9013873441</v>
      </c>
      <c r="J483" s="62">
        <f t="shared" si="368"/>
        <v>1202116.3406815415</v>
      </c>
      <c r="K483" s="62">
        <f t="shared" si="368"/>
        <v>1169374.2884687176</v>
      </c>
      <c r="L483" s="62">
        <f t="shared" si="368"/>
        <v>1130084.7656740851</v>
      </c>
      <c r="M483" s="62">
        <f t="shared" si="368"/>
        <v>1085657.2084191416</v>
      </c>
      <c r="N483" s="62">
        <f t="shared" si="368"/>
        <v>1038755.2185067786</v>
      </c>
      <c r="O483" s="62">
        <f t="shared" si="368"/>
        <v>992776.17202817916</v>
      </c>
      <c r="P483" s="62">
        <f t="shared" si="368"/>
        <v>950920.49960650213</v>
      </c>
      <c r="Q483" s="62">
        <f t="shared" si="368"/>
        <v>915349.13841044903</v>
      </c>
      <c r="R483" s="62">
        <f t="shared" si="368"/>
        <v>886862.84856226621</v>
      </c>
      <c r="S483" s="62">
        <f t="shared" si="368"/>
        <v>865126.54509633617</v>
      </c>
      <c r="T483" s="62">
        <f t="shared" si="368"/>
        <v>849148.61879481981</v>
      </c>
      <c r="U483" s="62">
        <f t="shared" si="368"/>
        <v>837724.6326365323</v>
      </c>
      <c r="V483" s="62">
        <f t="shared" si="368"/>
        <v>829718.10542985611</v>
      </c>
      <c r="W483" s="62">
        <f t="shared" si="368"/>
        <v>824185.10301042092</v>
      </c>
      <c r="X483" s="62">
        <f t="shared" si="368"/>
        <v>820398.59373471502</v>
      </c>
      <c r="Y483" s="62">
        <f t="shared" si="368"/>
        <v>817824.59227500285</v>
      </c>
      <c r="Z483" s="62">
        <f t="shared" si="368"/>
        <v>816082.79412917187</v>
      </c>
      <c r="AA483" s="62">
        <f t="shared" si="368"/>
        <v>814907.77528152149</v>
      </c>
      <c r="AB483" s="62">
        <f t="shared" si="368"/>
        <v>814116.75843028165</v>
      </c>
      <c r="AC483" s="62">
        <f t="shared" si="368"/>
        <v>813584.99765465059</v>
      </c>
    </row>
    <row r="484" spans="1:29" x14ac:dyDescent="0.25">
      <c r="A484" s="30" t="str">
        <f>A466</f>
        <v>Opex var (mode-fees, shunting)</v>
      </c>
      <c r="B484" s="62">
        <f>B466*B475</f>
        <v>700000</v>
      </c>
      <c r="C484" s="62">
        <f t="shared" ref="C484:AC484" si="369">C466*C475</f>
        <v>700000</v>
      </c>
      <c r="D484" s="62">
        <f t="shared" si="369"/>
        <v>700000</v>
      </c>
      <c r="E484" s="62">
        <f t="shared" si="369"/>
        <v>700000</v>
      </c>
      <c r="F484" s="62">
        <f t="shared" si="369"/>
        <v>700000</v>
      </c>
      <c r="G484" s="62">
        <f t="shared" si="369"/>
        <v>700000</v>
      </c>
      <c r="H484" s="62">
        <f t="shared" si="369"/>
        <v>700000</v>
      </c>
      <c r="I484" s="62">
        <f t="shared" si="369"/>
        <v>700000</v>
      </c>
      <c r="J484" s="62">
        <f t="shared" si="369"/>
        <v>700000</v>
      </c>
      <c r="K484" s="62">
        <f t="shared" si="369"/>
        <v>700000</v>
      </c>
      <c r="L484" s="62">
        <f t="shared" si="369"/>
        <v>700000</v>
      </c>
      <c r="M484" s="62">
        <f t="shared" si="369"/>
        <v>700000</v>
      </c>
      <c r="N484" s="62">
        <f t="shared" si="369"/>
        <v>700000</v>
      </c>
      <c r="O484" s="62">
        <f t="shared" si="369"/>
        <v>700000</v>
      </c>
      <c r="P484" s="62">
        <f t="shared" si="369"/>
        <v>700000</v>
      </c>
      <c r="Q484" s="62">
        <f t="shared" si="369"/>
        <v>700000</v>
      </c>
      <c r="R484" s="62">
        <f t="shared" si="369"/>
        <v>700000</v>
      </c>
      <c r="S484" s="62">
        <f t="shared" si="369"/>
        <v>700000</v>
      </c>
      <c r="T484" s="62">
        <f t="shared" si="369"/>
        <v>700000</v>
      </c>
      <c r="U484" s="62">
        <f t="shared" si="369"/>
        <v>700000</v>
      </c>
      <c r="V484" s="62">
        <f t="shared" si="369"/>
        <v>700000</v>
      </c>
      <c r="W484" s="62">
        <f t="shared" si="369"/>
        <v>700000</v>
      </c>
      <c r="X484" s="62">
        <f t="shared" si="369"/>
        <v>700000</v>
      </c>
      <c r="Y484" s="62">
        <f t="shared" si="369"/>
        <v>700000</v>
      </c>
      <c r="Z484" s="62">
        <f t="shared" si="369"/>
        <v>700000</v>
      </c>
      <c r="AA484" s="62">
        <f t="shared" si="369"/>
        <v>700000</v>
      </c>
      <c r="AB484" s="62">
        <f t="shared" si="369"/>
        <v>700000</v>
      </c>
      <c r="AC484" s="62">
        <f t="shared" si="369"/>
        <v>700000</v>
      </c>
    </row>
    <row r="485" spans="1:29" x14ac:dyDescent="0.25">
      <c r="A485" s="30" t="str">
        <f>A468</f>
        <v>Fuel Cost</v>
      </c>
      <c r="B485" s="62">
        <f>B467*B468*B475</f>
        <v>798056.04826895113</v>
      </c>
      <c r="C485" s="62">
        <f t="shared" ref="C485:AC485" si="370">C467*C468*C475</f>
        <v>796492.71682323981</v>
      </c>
      <c r="D485" s="62">
        <f t="shared" si="370"/>
        <v>794273.01027668803</v>
      </c>
      <c r="E485" s="62">
        <f t="shared" si="370"/>
        <v>791135.66837331757</v>
      </c>
      <c r="F485" s="62">
        <f t="shared" si="370"/>
        <v>786730.89694332192</v>
      </c>
      <c r="G485" s="62">
        <f t="shared" si="370"/>
        <v>780606.66567408491</v>
      </c>
      <c r="H485" s="62">
        <f t="shared" si="370"/>
        <v>772210.57371190842</v>
      </c>
      <c r="I485" s="62">
        <f t="shared" si="370"/>
        <v>760927.1258035847</v>
      </c>
      <c r="J485" s="62">
        <f t="shared" si="370"/>
        <v>746177.47958558018</v>
      </c>
      <c r="K485" s="62">
        <f t="shared" si="370"/>
        <v>727602.79318779043</v>
      </c>
      <c r="L485" s="62">
        <f t="shared" si="370"/>
        <v>705313.70269689942</v>
      </c>
      <c r="M485" s="62">
        <f t="shared" si="370"/>
        <v>680109.78639787121</v>
      </c>
      <c r="N485" s="62">
        <f t="shared" si="370"/>
        <v>653502.11537005368</v>
      </c>
      <c r="O485" s="62">
        <f t="shared" si="370"/>
        <v>627418.0335398108</v>
      </c>
      <c r="P485" s="62">
        <f t="shared" si="370"/>
        <v>603673.15694662137</v>
      </c>
      <c r="Q485" s="62">
        <f t="shared" si="370"/>
        <v>583493.39317786123</v>
      </c>
      <c r="R485" s="62">
        <f t="shared" si="370"/>
        <v>567333.01639001595</v>
      </c>
      <c r="S485" s="62">
        <f t="shared" si="370"/>
        <v>555001.93165218434</v>
      </c>
      <c r="T485" s="62">
        <f t="shared" si="370"/>
        <v>545937.59541545261</v>
      </c>
      <c r="U485" s="62">
        <f t="shared" si="370"/>
        <v>539456.72613689909</v>
      </c>
      <c r="V485" s="62">
        <f t="shared" si="370"/>
        <v>534914.59386514337</v>
      </c>
      <c r="W485" s="62">
        <f t="shared" si="370"/>
        <v>531775.70128409215</v>
      </c>
      <c r="X485" s="62">
        <f t="shared" si="370"/>
        <v>529627.6006738618</v>
      </c>
      <c r="Y485" s="62">
        <f t="shared" si="370"/>
        <v>528167.36019807158</v>
      </c>
      <c r="Z485" s="62">
        <f t="shared" si="370"/>
        <v>527179.23171679105</v>
      </c>
      <c r="AA485" s="62">
        <f t="shared" si="370"/>
        <v>526512.63921169308</v>
      </c>
      <c r="AB485" s="62">
        <f t="shared" si="370"/>
        <v>526063.89244861156</v>
      </c>
      <c r="AC485" s="62">
        <f t="shared" si="370"/>
        <v>525762.2226088047</v>
      </c>
    </row>
    <row r="486" spans="1:29" ht="15.75" thickBot="1" x14ac:dyDescent="0.3">
      <c r="A486" s="59" t="str">
        <f>A449</f>
        <v>Emission Cost</v>
      </c>
      <c r="B486" s="62">
        <f>B469*B475</f>
        <v>13854.632661222226</v>
      </c>
      <c r="C486" s="62">
        <f t="shared" ref="C486:AC486" si="371">C469*C475</f>
        <v>13841.439675224099</v>
      </c>
      <c r="D486" s="62">
        <f t="shared" si="371"/>
        <v>13822.554209617852</v>
      </c>
      <c r="E486" s="62">
        <f t="shared" si="371"/>
        <v>13795.537222982803</v>
      </c>
      <c r="F486" s="62">
        <f t="shared" si="371"/>
        <v>13756.923987487233</v>
      </c>
      <c r="G486" s="62">
        <f t="shared" si="371"/>
        <v>13701.814555768824</v>
      </c>
      <c r="H486" s="62">
        <f t="shared" si="371"/>
        <v>13623.325205178304</v>
      </c>
      <c r="I486" s="62">
        <f t="shared" si="371"/>
        <v>13511.881578928529</v>
      </c>
      <c r="J486" s="62">
        <f t="shared" si="371"/>
        <v>13354.366722273209</v>
      </c>
      <c r="K486" s="62">
        <f t="shared" si="371"/>
        <v>13133.218705332552</v>
      </c>
      <c r="L486" s="62">
        <f t="shared" si="371"/>
        <v>12825.742682568964</v>
      </c>
      <c r="M486" s="62">
        <f t="shared" si="371"/>
        <v>12404.204558060976</v>
      </c>
      <c r="N486" s="62">
        <f t="shared" si="371"/>
        <v>11837.702488921488</v>
      </c>
      <c r="O486" s="62">
        <f t="shared" si="371"/>
        <v>11097.17484440505</v>
      </c>
      <c r="P486" s="62">
        <f t="shared" si="371"/>
        <v>10164.605441554135</v>
      </c>
      <c r="Q486" s="62">
        <f t="shared" si="371"/>
        <v>9045.5489275419332</v>
      </c>
      <c r="R486" s="62">
        <f t="shared" si="371"/>
        <v>7780.1493041444628</v>
      </c>
      <c r="S486" s="62">
        <f t="shared" si="371"/>
        <v>6444.2721135277652</v>
      </c>
      <c r="T486" s="62">
        <f t="shared" si="371"/>
        <v>5134.682487334203</v>
      </c>
      <c r="U486" s="62">
        <f t="shared" si="371"/>
        <v>3942.5360946007872</v>
      </c>
      <c r="V486" s="62">
        <f t="shared" si="371"/>
        <v>2929.3814256883388</v>
      </c>
      <c r="W486" s="62">
        <f t="shared" si="371"/>
        <v>2118.0259816104226</v>
      </c>
      <c r="X486" s="62">
        <f t="shared" si="371"/>
        <v>1498.9257672546028</v>
      </c>
      <c r="Y486" s="62">
        <f t="shared" si="371"/>
        <v>1043.8374577941086</v>
      </c>
      <c r="Z486" s="62">
        <f t="shared" si="371"/>
        <v>718.45590013967967</v>
      </c>
      <c r="AA486" s="62">
        <f t="shared" si="371"/>
        <v>490.41148045864259</v>
      </c>
      <c r="AB486" s="62">
        <f t="shared" si="371"/>
        <v>332.81876975358495</v>
      </c>
      <c r="AC486" s="62">
        <f t="shared" si="371"/>
        <v>224.9702246721173</v>
      </c>
    </row>
    <row r="487" spans="1:29" ht="15.75" thickBot="1" x14ac:dyDescent="0.3">
      <c r="A487" s="31" t="s">
        <v>209</v>
      </c>
      <c r="B487" s="64">
        <f>B478+B479+B480+B481+B482+B483+B484+B485+B486</f>
        <v>4520465.6533378456</v>
      </c>
      <c r="C487" s="64">
        <f t="shared" ref="C487:AC487" si="372">C478+C479+C480+C481+C482+C483+C484+C485+C486</f>
        <v>4514069.6652783751</v>
      </c>
      <c r="D487" s="64">
        <f t="shared" si="372"/>
        <v>4504988.1257935269</v>
      </c>
      <c r="E487" s="64">
        <f t="shared" si="372"/>
        <v>4492151.91821614</v>
      </c>
      <c r="F487" s="64">
        <f t="shared" si="372"/>
        <v>4474129.4324881723</v>
      </c>
      <c r="G487" s="64">
        <f t="shared" si="372"/>
        <v>4449070.2119440446</v>
      </c>
      <c r="H487" s="64">
        <f t="shared" si="372"/>
        <v>4414712.0216639983</v>
      </c>
      <c r="I487" s="64">
        <f t="shared" si="372"/>
        <v>4368532.3332528071</v>
      </c>
      <c r="J487" s="64">
        <f t="shared" si="372"/>
        <v>4308154.7227318594</v>
      </c>
      <c r="K487" s="64">
        <f t="shared" si="372"/>
        <v>4232096.5427430104</v>
      </c>
      <c r="L487" s="64">
        <f t="shared" si="372"/>
        <v>4140786.805256302</v>
      </c>
      <c r="M487" s="64">
        <f t="shared" si="372"/>
        <v>4037462.3074126923</v>
      </c>
      <c r="N487" s="64">
        <f t="shared" si="372"/>
        <v>3928261.5729683186</v>
      </c>
      <c r="O487" s="64">
        <f t="shared" si="372"/>
        <v>3821024.5314470795</v>
      </c>
      <c r="P487" s="64">
        <f t="shared" si="372"/>
        <v>3723145.9933854523</v>
      </c>
      <c r="Q487" s="64">
        <f t="shared" si="372"/>
        <v>3639636.668882899</v>
      </c>
      <c r="R487" s="64">
        <f t="shared" si="372"/>
        <v>3572391.4198616818</v>
      </c>
      <c r="S487" s="64">
        <f t="shared" si="372"/>
        <v>3520709.9891858385</v>
      </c>
      <c r="T487" s="64">
        <f t="shared" si="372"/>
        <v>3482392.3800287764</v>
      </c>
      <c r="U487" s="64">
        <f t="shared" si="372"/>
        <v>3454740.035054069</v>
      </c>
      <c r="V487" s="64">
        <f t="shared" si="372"/>
        <v>3435182.1888120719</v>
      </c>
      <c r="W487" s="64">
        <f t="shared" si="372"/>
        <v>3421555.3116451679</v>
      </c>
      <c r="X487" s="64">
        <f t="shared" si="372"/>
        <v>3412165.9112939388</v>
      </c>
      <c r="Y487" s="64">
        <f t="shared" si="372"/>
        <v>3405748.9294010499</v>
      </c>
      <c r="Z487" s="64">
        <f t="shared" si="372"/>
        <v>3401389.2007958922</v>
      </c>
      <c r="AA487" s="64">
        <f t="shared" si="372"/>
        <v>3398439.5816460252</v>
      </c>
      <c r="AB487" s="64">
        <f t="shared" si="372"/>
        <v>3396449.8383465945</v>
      </c>
      <c r="AC487" s="64">
        <f t="shared" si="372"/>
        <v>3395110.3272691583</v>
      </c>
    </row>
    <row r="488" spans="1:29" ht="15.75" thickBot="1" x14ac:dyDescent="0.3">
      <c r="AC488" s="32"/>
    </row>
    <row r="489" spans="1:29" ht="15.75" thickBot="1" x14ac:dyDescent="0.3">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373">A478</f>
        <v>Capex vehicle</v>
      </c>
      <c r="B490" s="65">
        <f>((1+B463)^B470)*B463/(((1+B463)^B470)-1)*(B459)/B475</f>
        <v>4.8601077594228057</v>
      </c>
      <c r="C490" s="65">
        <f t="shared" ref="C490:AC490" si="374">((1+C463)^C470)*C463/(((1+C463)^C470)-1)*(C459)/C475</f>
        <v>4.8497541098356427</v>
      </c>
      <c r="D490" s="65">
        <f t="shared" si="374"/>
        <v>4.8350534116360544</v>
      </c>
      <c r="E490" s="65">
        <f t="shared" si="374"/>
        <v>4.8142753873778386</v>
      </c>
      <c r="F490" s="65">
        <f t="shared" si="374"/>
        <v>4.7851034161859127</v>
      </c>
      <c r="G490" s="65">
        <f t="shared" si="374"/>
        <v>4.7445437864756714</v>
      </c>
      <c r="H490" s="65">
        <f t="shared" si="374"/>
        <v>4.6889380514816965</v>
      </c>
      <c r="I490" s="65">
        <f t="shared" si="374"/>
        <v>4.6142099021194625</v>
      </c>
      <c r="J490" s="65">
        <f t="shared" si="374"/>
        <v>4.5165257744862721</v>
      </c>
      <c r="K490" s="65">
        <f t="shared" si="374"/>
        <v>4.3935091264928241</v>
      </c>
      <c r="L490" s="65">
        <f t="shared" si="374"/>
        <v>4.2458926800941192</v>
      </c>
      <c r="M490" s="65">
        <f t="shared" si="374"/>
        <v>4.0789718916073303</v>
      </c>
      <c r="N490" s="65">
        <f t="shared" si="374"/>
        <v>3.9027543000605887</v>
      </c>
      <c r="O490" s="65">
        <f t="shared" si="374"/>
        <v>3.7300043411097277</v>
      </c>
      <c r="P490" s="65">
        <f t="shared" si="374"/>
        <v>3.5727464976685668</v>
      </c>
      <c r="Q490" s="65">
        <f t="shared" si="374"/>
        <v>3.4390997246911277</v>
      </c>
      <c r="R490" s="65">
        <f t="shared" si="374"/>
        <v>3.3320725943171574</v>
      </c>
      <c r="S490" s="65">
        <f t="shared" si="374"/>
        <v>3.2504061436387905</v>
      </c>
      <c r="T490" s="65">
        <f t="shared" si="374"/>
        <v>3.1903747527313779</v>
      </c>
      <c r="U490" s="65">
        <f t="shared" si="374"/>
        <v>3.147453176686561</v>
      </c>
      <c r="V490" s="65">
        <f t="shared" si="374"/>
        <v>3.1173714905224945</v>
      </c>
      <c r="W490" s="65">
        <f t="shared" si="374"/>
        <v>3.0965831964181936</v>
      </c>
      <c r="X490" s="65">
        <f t="shared" si="374"/>
        <v>3.0823567308421902</v>
      </c>
      <c r="Y490" s="65">
        <f t="shared" si="374"/>
        <v>3.0726858333234324</v>
      </c>
      <c r="Z490" s="65">
        <f t="shared" si="374"/>
        <v>3.0661416445844814</v>
      </c>
      <c r="AA490" s="65">
        <f t="shared" si="374"/>
        <v>3.0617269280289179</v>
      </c>
      <c r="AB490" s="65">
        <f t="shared" si="374"/>
        <v>3.058754962774163</v>
      </c>
      <c r="AC490" s="65">
        <f t="shared" si="374"/>
        <v>3.0567570602686231</v>
      </c>
    </row>
    <row r="491" spans="1:29" x14ac:dyDescent="0.25">
      <c r="A491" s="30" t="str">
        <f t="shared" si="373"/>
        <v>Residual value (vehicle)</v>
      </c>
      <c r="B491" s="66">
        <f>((1+B463)^B470)*B463/(((1+B463)^B470)-1)*(B460)/B475</f>
        <v>-0.24703557911170351</v>
      </c>
      <c r="C491" s="66">
        <f t="shared" ref="C491:AC491" si="375">((1+C463)^C470)*C463/(((1+C463)^C470)-1)*(C460)/C475</f>
        <v>-0.24824350489687252</v>
      </c>
      <c r="D491" s="66">
        <f t="shared" si="375"/>
        <v>-0.24995858635349122</v>
      </c>
      <c r="E491" s="66">
        <f t="shared" si="375"/>
        <v>-0.25238268918361639</v>
      </c>
      <c r="F491" s="66">
        <f t="shared" si="375"/>
        <v>-0.25578608582267437</v>
      </c>
      <c r="G491" s="66">
        <f t="shared" si="375"/>
        <v>-0.26051804262220252</v>
      </c>
      <c r="H491" s="66">
        <f t="shared" si="375"/>
        <v>-0.26700537837149957</v>
      </c>
      <c r="I491" s="66">
        <f t="shared" si="375"/>
        <v>-0.27572366246376023</v>
      </c>
      <c r="J491" s="66">
        <f t="shared" si="375"/>
        <v>-0.28712014402096564</v>
      </c>
      <c r="K491" s="66">
        <f t="shared" si="375"/>
        <v>-0.301472086286868</v>
      </c>
      <c r="L491" s="66">
        <f t="shared" si="375"/>
        <v>-0.31869400503338358</v>
      </c>
      <c r="M491" s="66">
        <f t="shared" si="375"/>
        <v>-0.33816809702350897</v>
      </c>
      <c r="N491" s="66">
        <f t="shared" si="375"/>
        <v>-0.35872681603729545</v>
      </c>
      <c r="O491" s="66">
        <f t="shared" si="375"/>
        <v>-0.378880977914896</v>
      </c>
      <c r="P491" s="66">
        <f t="shared" si="375"/>
        <v>-0.39722772631636477</v>
      </c>
      <c r="Q491" s="66">
        <f t="shared" si="375"/>
        <v>-0.41281984983039921</v>
      </c>
      <c r="R491" s="66">
        <f t="shared" si="375"/>
        <v>-0.42530634837402914</v>
      </c>
      <c r="S491" s="66">
        <f t="shared" si="375"/>
        <v>-0.43483410095317204</v>
      </c>
      <c r="T491" s="66">
        <f t="shared" si="375"/>
        <v>-0.44183776322570334</v>
      </c>
      <c r="U491" s="66">
        <f t="shared" si="375"/>
        <v>-0.44684528043093191</v>
      </c>
      <c r="V491" s="66">
        <f t="shared" si="375"/>
        <v>-0.45035481048340636</v>
      </c>
      <c r="W491" s="66">
        <f t="shared" si="375"/>
        <v>-0.45278011146224156</v>
      </c>
      <c r="X491" s="66">
        <f t="shared" si="375"/>
        <v>-0.45443986577944195</v>
      </c>
      <c r="Y491" s="66">
        <f t="shared" si="375"/>
        <v>-0.45556813715663036</v>
      </c>
      <c r="Z491" s="66">
        <f t="shared" si="375"/>
        <v>-0.45633162584284143</v>
      </c>
      <c r="AA491" s="66">
        <f t="shared" si="375"/>
        <v>-0.45684667610765711</v>
      </c>
      <c r="AB491" s="66">
        <f t="shared" si="375"/>
        <v>-0.45719340538737846</v>
      </c>
      <c r="AC491" s="66">
        <f t="shared" si="375"/>
        <v>-0.45742649401302482</v>
      </c>
    </row>
    <row r="492" spans="1:29" x14ac:dyDescent="0.25">
      <c r="A492" s="30" t="str">
        <f t="shared" si="373"/>
        <v>Capex costumization</v>
      </c>
      <c r="B492" s="66">
        <f>((1+B463)^B471)*B463/(((1+B463)^B471)-1)*(B461)/B475</f>
        <v>1.4244884605891606</v>
      </c>
      <c r="C492" s="66">
        <f t="shared" ref="C492:AC492" si="376">((1+C463)^C471)*C463/(((1+C463)^C471)-1)*(C461)/C475</f>
        <v>1.4244884605891606</v>
      </c>
      <c r="D492" s="66">
        <f t="shared" si="376"/>
        <v>1.4244884605891606</v>
      </c>
      <c r="E492" s="66">
        <f t="shared" si="376"/>
        <v>1.4244884605891606</v>
      </c>
      <c r="F492" s="66">
        <f t="shared" si="376"/>
        <v>1.4244884605891606</v>
      </c>
      <c r="G492" s="66">
        <f t="shared" si="376"/>
        <v>1.4244884605891606</v>
      </c>
      <c r="H492" s="66">
        <f t="shared" si="376"/>
        <v>1.4244884605891606</v>
      </c>
      <c r="I492" s="66">
        <f t="shared" si="376"/>
        <v>1.4244884605891606</v>
      </c>
      <c r="J492" s="66">
        <f t="shared" si="376"/>
        <v>1.4244884605891606</v>
      </c>
      <c r="K492" s="66">
        <f t="shared" si="376"/>
        <v>1.4244884605891606</v>
      </c>
      <c r="L492" s="66">
        <f t="shared" si="376"/>
        <v>1.4244884605891606</v>
      </c>
      <c r="M492" s="66">
        <f t="shared" si="376"/>
        <v>1.4244884605891606</v>
      </c>
      <c r="N492" s="66">
        <f t="shared" si="376"/>
        <v>1.4244884605891606</v>
      </c>
      <c r="O492" s="66">
        <f t="shared" si="376"/>
        <v>1.4244884605891606</v>
      </c>
      <c r="P492" s="66">
        <f t="shared" si="376"/>
        <v>1.4244884605891606</v>
      </c>
      <c r="Q492" s="66">
        <f t="shared" si="376"/>
        <v>1.4244884605891606</v>
      </c>
      <c r="R492" s="66">
        <f t="shared" si="376"/>
        <v>1.4244884605891606</v>
      </c>
      <c r="S492" s="66">
        <f t="shared" si="376"/>
        <v>1.4244884605891606</v>
      </c>
      <c r="T492" s="66">
        <f t="shared" si="376"/>
        <v>1.4244884605891606</v>
      </c>
      <c r="U492" s="66">
        <f t="shared" si="376"/>
        <v>1.4244884605891606</v>
      </c>
      <c r="V492" s="66">
        <f t="shared" si="376"/>
        <v>1.4244884605891606</v>
      </c>
      <c r="W492" s="66">
        <f t="shared" si="376"/>
        <v>1.4244884605891606</v>
      </c>
      <c r="X492" s="66">
        <f t="shared" si="376"/>
        <v>1.4244884605891606</v>
      </c>
      <c r="Y492" s="66">
        <f t="shared" si="376"/>
        <v>1.4244884605891606</v>
      </c>
      <c r="Z492" s="66">
        <f t="shared" si="376"/>
        <v>1.4244884605891606</v>
      </c>
      <c r="AA492" s="66">
        <f t="shared" si="376"/>
        <v>1.4244884605891606</v>
      </c>
      <c r="AB492" s="66">
        <f t="shared" si="376"/>
        <v>1.4244884605891606</v>
      </c>
      <c r="AC492" s="66">
        <f t="shared" si="376"/>
        <v>1.4244884605891606</v>
      </c>
    </row>
    <row r="493" spans="1:29" x14ac:dyDescent="0.25">
      <c r="A493" s="30" t="str">
        <f t="shared" si="373"/>
        <v>Residual value (costumization)</v>
      </c>
      <c r="B493" s="66">
        <f>((1+B463)^B471)*B463/(((1+B463)^B471)-1)*(B462)/B475</f>
        <v>-7.1224423029458042E-2</v>
      </c>
      <c r="C493" s="66">
        <f t="shared" ref="C493:AC493" si="377">((1+C463)^C471)*C463/(((1+C463)^C471)-1)*(C462)/C475</f>
        <v>-7.1224423029458042E-2</v>
      </c>
      <c r="D493" s="66">
        <f t="shared" si="377"/>
        <v>-7.1224423029458042E-2</v>
      </c>
      <c r="E493" s="66">
        <f t="shared" si="377"/>
        <v>-7.1224423029458042E-2</v>
      </c>
      <c r="F493" s="66">
        <f t="shared" si="377"/>
        <v>-7.1224423029458042E-2</v>
      </c>
      <c r="G493" s="66">
        <f t="shared" si="377"/>
        <v>-7.1224423029458042E-2</v>
      </c>
      <c r="H493" s="66">
        <f t="shared" si="377"/>
        <v>-7.1224423029458042E-2</v>
      </c>
      <c r="I493" s="66">
        <f t="shared" si="377"/>
        <v>-7.1224423029458042E-2</v>
      </c>
      <c r="J493" s="66">
        <f t="shared" si="377"/>
        <v>-7.1224423029458042E-2</v>
      </c>
      <c r="K493" s="66">
        <f t="shared" si="377"/>
        <v>-7.1224423029458042E-2</v>
      </c>
      <c r="L493" s="66">
        <f t="shared" si="377"/>
        <v>-7.1224423029458042E-2</v>
      </c>
      <c r="M493" s="66">
        <f t="shared" si="377"/>
        <v>-7.1224423029458042E-2</v>
      </c>
      <c r="N493" s="66">
        <f t="shared" si="377"/>
        <v>-7.1224423029458042E-2</v>
      </c>
      <c r="O493" s="66">
        <f t="shared" si="377"/>
        <v>-7.1224423029458042E-2</v>
      </c>
      <c r="P493" s="66">
        <f t="shared" si="377"/>
        <v>-7.1224423029458042E-2</v>
      </c>
      <c r="Q493" s="66">
        <f t="shared" si="377"/>
        <v>-7.1224423029458042E-2</v>
      </c>
      <c r="R493" s="66">
        <f t="shared" si="377"/>
        <v>-7.1224423029458042E-2</v>
      </c>
      <c r="S493" s="66">
        <f t="shared" si="377"/>
        <v>-7.1224423029458042E-2</v>
      </c>
      <c r="T493" s="66">
        <f t="shared" si="377"/>
        <v>-7.1224423029458042E-2</v>
      </c>
      <c r="U493" s="66">
        <f t="shared" si="377"/>
        <v>-7.1224423029458042E-2</v>
      </c>
      <c r="V493" s="66">
        <f t="shared" si="377"/>
        <v>-7.1224423029458042E-2</v>
      </c>
      <c r="W493" s="66">
        <f t="shared" si="377"/>
        <v>-7.1224423029458042E-2</v>
      </c>
      <c r="X493" s="66">
        <f t="shared" si="377"/>
        <v>-7.1224423029458042E-2</v>
      </c>
      <c r="Y493" s="66">
        <f t="shared" si="377"/>
        <v>-7.1224423029458042E-2</v>
      </c>
      <c r="Z493" s="66">
        <f t="shared" si="377"/>
        <v>-7.1224423029458042E-2</v>
      </c>
      <c r="AA493" s="66">
        <f t="shared" si="377"/>
        <v>-7.1224423029458042E-2</v>
      </c>
      <c r="AB493" s="66">
        <f t="shared" si="377"/>
        <v>-7.1224423029458042E-2</v>
      </c>
      <c r="AC493" s="66">
        <f t="shared" si="377"/>
        <v>-7.1224423029458042E-2</v>
      </c>
    </row>
    <row r="494" spans="1:29" x14ac:dyDescent="0.25">
      <c r="A494" s="30" t="str">
        <f t="shared" si="373"/>
        <v>Opex fix (admin, crew, insurance)</v>
      </c>
      <c r="B494" s="66">
        <f>B464/B475</f>
        <v>3.6414565826330532</v>
      </c>
      <c r="C494" s="66">
        <f t="shared" ref="C494:AC494" si="378">C464/C475</f>
        <v>3.6414565826330532</v>
      </c>
      <c r="D494" s="66">
        <f t="shared" si="378"/>
        <v>3.6414565826330532</v>
      </c>
      <c r="E494" s="66">
        <f t="shared" si="378"/>
        <v>3.6414565826330532</v>
      </c>
      <c r="F494" s="66">
        <f t="shared" si="378"/>
        <v>3.6414565826330532</v>
      </c>
      <c r="G494" s="66">
        <f t="shared" si="378"/>
        <v>3.6414565826330532</v>
      </c>
      <c r="H494" s="66">
        <f t="shared" si="378"/>
        <v>3.6414565826330532</v>
      </c>
      <c r="I494" s="66">
        <f t="shared" si="378"/>
        <v>3.6414565826330532</v>
      </c>
      <c r="J494" s="66">
        <f t="shared" si="378"/>
        <v>3.6414565826330532</v>
      </c>
      <c r="K494" s="66">
        <f t="shared" si="378"/>
        <v>3.6414565826330532</v>
      </c>
      <c r="L494" s="66">
        <f t="shared" si="378"/>
        <v>3.6414565826330532</v>
      </c>
      <c r="M494" s="66">
        <f t="shared" si="378"/>
        <v>3.6414565826330532</v>
      </c>
      <c r="N494" s="66">
        <f t="shared" si="378"/>
        <v>3.6414565826330532</v>
      </c>
      <c r="O494" s="66">
        <f t="shared" si="378"/>
        <v>3.6414565826330532</v>
      </c>
      <c r="P494" s="66">
        <f t="shared" si="378"/>
        <v>3.6414565826330532</v>
      </c>
      <c r="Q494" s="66">
        <f t="shared" si="378"/>
        <v>3.6414565826330532</v>
      </c>
      <c r="R494" s="66">
        <f t="shared" si="378"/>
        <v>3.6414565826330532</v>
      </c>
      <c r="S494" s="66">
        <f t="shared" si="378"/>
        <v>3.6414565826330532</v>
      </c>
      <c r="T494" s="66">
        <f t="shared" si="378"/>
        <v>3.6414565826330532</v>
      </c>
      <c r="U494" s="66">
        <f t="shared" si="378"/>
        <v>3.6414565826330532</v>
      </c>
      <c r="V494" s="66">
        <f t="shared" si="378"/>
        <v>3.6414565826330532</v>
      </c>
      <c r="W494" s="66">
        <f t="shared" si="378"/>
        <v>3.6414565826330532</v>
      </c>
      <c r="X494" s="66">
        <f t="shared" si="378"/>
        <v>3.6414565826330532</v>
      </c>
      <c r="Y494" s="66">
        <f t="shared" si="378"/>
        <v>3.6414565826330532</v>
      </c>
      <c r="Z494" s="66">
        <f t="shared" si="378"/>
        <v>3.6414565826330532</v>
      </c>
      <c r="AA494" s="66">
        <f t="shared" si="378"/>
        <v>3.6414565826330532</v>
      </c>
      <c r="AB494" s="66">
        <f t="shared" si="378"/>
        <v>3.6414565826330532</v>
      </c>
      <c r="AC494" s="66">
        <f t="shared" si="378"/>
        <v>3.6414565826330532</v>
      </c>
    </row>
    <row r="495" spans="1:29" x14ac:dyDescent="0.25">
      <c r="A495" s="30" t="str">
        <f t="shared" si="373"/>
        <v>Opex maintenance &amp; repair</v>
      </c>
      <c r="B495" s="66">
        <f>B465/B475</f>
        <v>7.246856904861251</v>
      </c>
      <c r="C495" s="66">
        <f t="shared" ref="C495:AC495" si="379">C465/C475</f>
        <v>7.2314186839996299</v>
      </c>
      <c r="D495" s="66">
        <f t="shared" si="379"/>
        <v>7.2094986234726957</v>
      </c>
      <c r="E495" s="66">
        <f t="shared" si="379"/>
        <v>7.1785167243012031</v>
      </c>
      <c r="F495" s="66">
        <f t="shared" si="379"/>
        <v>7.1350186968241909</v>
      </c>
      <c r="G495" s="66">
        <f t="shared" si="379"/>
        <v>7.0745406483582061</v>
      </c>
      <c r="H495" s="66">
        <f t="shared" si="379"/>
        <v>6.9916275063996354</v>
      </c>
      <c r="I495" s="66">
        <f t="shared" si="379"/>
        <v>6.8802011282204152</v>
      </c>
      <c r="J495" s="66">
        <f t="shared" si="379"/>
        <v>6.7345453259470114</v>
      </c>
      <c r="K495" s="66">
        <f t="shared" si="379"/>
        <v>6.5511164620096221</v>
      </c>
      <c r="L495" s="66">
        <f t="shared" si="379"/>
        <v>6.3310070906111209</v>
      </c>
      <c r="M495" s="66">
        <f t="shared" si="379"/>
        <v>6.0821132124321657</v>
      </c>
      <c r="N495" s="66">
        <f t="shared" si="379"/>
        <v>5.8193569664245297</v>
      </c>
      <c r="O495" s="66">
        <f t="shared" si="379"/>
        <v>5.56177127186655</v>
      </c>
      <c r="P495" s="66">
        <f t="shared" si="379"/>
        <v>5.3272857120812445</v>
      </c>
      <c r="Q495" s="66">
        <f t="shared" si="379"/>
        <v>5.1280063776495748</v>
      </c>
      <c r="R495" s="66">
        <f t="shared" si="379"/>
        <v>4.9684193196765616</v>
      </c>
      <c r="S495" s="66">
        <f t="shared" si="379"/>
        <v>4.8466473114640678</v>
      </c>
      <c r="T495" s="66">
        <f t="shared" si="379"/>
        <v>4.7571351192987104</v>
      </c>
      <c r="U495" s="66">
        <f t="shared" si="379"/>
        <v>4.6931351968433184</v>
      </c>
      <c r="V495" s="66">
        <f t="shared" si="379"/>
        <v>4.6482807026882691</v>
      </c>
      <c r="W495" s="66">
        <f t="shared" si="379"/>
        <v>4.6172834902544588</v>
      </c>
      <c r="X495" s="66">
        <f t="shared" si="379"/>
        <v>4.5960705531356583</v>
      </c>
      <c r="Y495" s="66">
        <f t="shared" si="379"/>
        <v>4.5816503768907726</v>
      </c>
      <c r="Z495" s="66">
        <f t="shared" si="379"/>
        <v>4.5718924040849966</v>
      </c>
      <c r="AA495" s="66">
        <f t="shared" si="379"/>
        <v>4.5653096654426975</v>
      </c>
      <c r="AB495" s="66">
        <f t="shared" si="379"/>
        <v>4.5608781984889726</v>
      </c>
      <c r="AC495" s="66">
        <f t="shared" si="379"/>
        <v>4.5578991465246528</v>
      </c>
    </row>
    <row r="496" spans="1:29" x14ac:dyDescent="0.25">
      <c r="A496" s="30" t="str">
        <f t="shared" si="373"/>
        <v>Opex var (mode-fees, shunting)</v>
      </c>
      <c r="B496" s="66">
        <f>B466*B475/B475</f>
        <v>3.9215686274509802</v>
      </c>
      <c r="C496" s="66">
        <f t="shared" ref="C496:AC496" si="380">C466*C475/C475</f>
        <v>3.9215686274509802</v>
      </c>
      <c r="D496" s="66">
        <f t="shared" si="380"/>
        <v>3.9215686274509802</v>
      </c>
      <c r="E496" s="66">
        <f t="shared" si="380"/>
        <v>3.9215686274509802</v>
      </c>
      <c r="F496" s="66">
        <f t="shared" si="380"/>
        <v>3.9215686274509802</v>
      </c>
      <c r="G496" s="66">
        <f t="shared" si="380"/>
        <v>3.9215686274509802</v>
      </c>
      <c r="H496" s="66">
        <f t="shared" si="380"/>
        <v>3.9215686274509802</v>
      </c>
      <c r="I496" s="66">
        <f t="shared" si="380"/>
        <v>3.9215686274509802</v>
      </c>
      <c r="J496" s="66">
        <f t="shared" si="380"/>
        <v>3.9215686274509802</v>
      </c>
      <c r="K496" s="66">
        <f t="shared" si="380"/>
        <v>3.9215686274509802</v>
      </c>
      <c r="L496" s="66">
        <f t="shared" si="380"/>
        <v>3.9215686274509802</v>
      </c>
      <c r="M496" s="66">
        <f t="shared" si="380"/>
        <v>3.9215686274509802</v>
      </c>
      <c r="N496" s="66">
        <f t="shared" si="380"/>
        <v>3.9215686274509802</v>
      </c>
      <c r="O496" s="66">
        <f t="shared" si="380"/>
        <v>3.9215686274509802</v>
      </c>
      <c r="P496" s="66">
        <f t="shared" si="380"/>
        <v>3.9215686274509802</v>
      </c>
      <c r="Q496" s="66">
        <f t="shared" si="380"/>
        <v>3.9215686274509802</v>
      </c>
      <c r="R496" s="66">
        <f t="shared" si="380"/>
        <v>3.9215686274509802</v>
      </c>
      <c r="S496" s="66">
        <f t="shared" si="380"/>
        <v>3.9215686274509802</v>
      </c>
      <c r="T496" s="66">
        <f t="shared" si="380"/>
        <v>3.9215686274509802</v>
      </c>
      <c r="U496" s="66">
        <f t="shared" si="380"/>
        <v>3.9215686274509802</v>
      </c>
      <c r="V496" s="66">
        <f t="shared" si="380"/>
        <v>3.9215686274509802</v>
      </c>
      <c r="W496" s="66">
        <f t="shared" si="380"/>
        <v>3.9215686274509802</v>
      </c>
      <c r="X496" s="66">
        <f t="shared" si="380"/>
        <v>3.9215686274509802</v>
      </c>
      <c r="Y496" s="66">
        <f t="shared" si="380"/>
        <v>3.9215686274509802</v>
      </c>
      <c r="Z496" s="66">
        <f t="shared" si="380"/>
        <v>3.9215686274509802</v>
      </c>
      <c r="AA496" s="66">
        <f t="shared" si="380"/>
        <v>3.9215686274509802</v>
      </c>
      <c r="AB496" s="66">
        <f t="shared" si="380"/>
        <v>3.9215686274509802</v>
      </c>
      <c r="AC496" s="66">
        <f t="shared" si="380"/>
        <v>3.9215686274509802</v>
      </c>
    </row>
    <row r="497" spans="1:29" x14ac:dyDescent="0.25">
      <c r="A497" s="30" t="str">
        <f t="shared" si="373"/>
        <v>Fuel Cost</v>
      </c>
      <c r="B497" s="66">
        <f>B467*B468*B475/B475</f>
        <v>4.4709022311986057</v>
      </c>
      <c r="C497" s="66">
        <f t="shared" ref="C497:AC497" si="381">C467*C468*C475/C475</f>
        <v>4.4621440718388783</v>
      </c>
      <c r="D497" s="66">
        <f t="shared" si="381"/>
        <v>4.4497087410458711</v>
      </c>
      <c r="E497" s="66">
        <f t="shared" si="381"/>
        <v>4.4321325959289499</v>
      </c>
      <c r="F497" s="66">
        <f t="shared" si="381"/>
        <v>4.4074560052847165</v>
      </c>
      <c r="G497" s="66">
        <f t="shared" si="381"/>
        <v>4.3731465864094394</v>
      </c>
      <c r="H497" s="66">
        <f t="shared" si="381"/>
        <v>4.3261096566493471</v>
      </c>
      <c r="I497" s="66">
        <f t="shared" si="381"/>
        <v>4.2628970633254042</v>
      </c>
      <c r="J497" s="66">
        <f t="shared" si="381"/>
        <v>4.1802659920760794</v>
      </c>
      <c r="K497" s="66">
        <f t="shared" si="381"/>
        <v>4.076206124301347</v>
      </c>
      <c r="L497" s="66">
        <f t="shared" si="381"/>
        <v>3.9513372700106411</v>
      </c>
      <c r="M497" s="66">
        <f t="shared" si="381"/>
        <v>3.8101388593718277</v>
      </c>
      <c r="N497" s="66">
        <f t="shared" si="381"/>
        <v>3.6610762765829339</v>
      </c>
      <c r="O497" s="66">
        <f t="shared" si="381"/>
        <v>3.5149469666095845</v>
      </c>
      <c r="P497" s="66">
        <f t="shared" si="381"/>
        <v>3.3819224478802319</v>
      </c>
      <c r="Q497" s="66">
        <f t="shared" si="381"/>
        <v>3.2688705500160293</v>
      </c>
      <c r="R497" s="66">
        <f t="shared" si="381"/>
        <v>3.1783362262745993</v>
      </c>
      <c r="S497" s="66">
        <f t="shared" si="381"/>
        <v>3.1092545190598564</v>
      </c>
      <c r="T497" s="66">
        <f t="shared" si="381"/>
        <v>3.0584739238960932</v>
      </c>
      <c r="U497" s="66">
        <f t="shared" si="381"/>
        <v>3.0221665329798268</v>
      </c>
      <c r="V497" s="66">
        <f t="shared" si="381"/>
        <v>2.9967204138103272</v>
      </c>
      <c r="W497" s="66">
        <f t="shared" si="381"/>
        <v>2.9791355814234857</v>
      </c>
      <c r="X497" s="66">
        <f t="shared" si="381"/>
        <v>2.9671014043353603</v>
      </c>
      <c r="Y497" s="66">
        <f t="shared" si="381"/>
        <v>2.9589207854233703</v>
      </c>
      <c r="Z497" s="66">
        <f t="shared" si="381"/>
        <v>2.9533850516346836</v>
      </c>
      <c r="AA497" s="66">
        <f t="shared" si="381"/>
        <v>2.9496506398414177</v>
      </c>
      <c r="AB497" s="66">
        <f t="shared" si="381"/>
        <v>2.9471366523731741</v>
      </c>
      <c r="AC497" s="66">
        <f t="shared" si="381"/>
        <v>2.94544662525941</v>
      </c>
    </row>
    <row r="498" spans="1:29" ht="15.75" thickBot="1" x14ac:dyDescent="0.3">
      <c r="A498" s="59" t="str">
        <f t="shared" ref="A498" si="382">A486</f>
        <v>Emission Cost</v>
      </c>
      <c r="B498" s="66">
        <f>B469</f>
        <v>7.7616989698723951E-2</v>
      </c>
      <c r="C498" s="66">
        <f t="shared" ref="C498:AC498" si="383">C469</f>
        <v>7.7543079413020161E-2</v>
      </c>
      <c r="D498" s="66">
        <f t="shared" si="383"/>
        <v>7.7437278485254071E-2</v>
      </c>
      <c r="E498" s="66">
        <f t="shared" si="383"/>
        <v>7.7285922817830824E-2</v>
      </c>
      <c r="F498" s="66">
        <f t="shared" si="383"/>
        <v>7.7069602170796822E-2</v>
      </c>
      <c r="G498" s="66">
        <f t="shared" si="383"/>
        <v>7.6760865858648872E-2</v>
      </c>
      <c r="H498" s="66">
        <f t="shared" si="383"/>
        <v>7.6321149608842037E-2</v>
      </c>
      <c r="I498" s="66">
        <f t="shared" si="383"/>
        <v>7.5696815568227049E-2</v>
      </c>
      <c r="J498" s="66">
        <f t="shared" si="383"/>
        <v>7.4814379396488564E-2</v>
      </c>
      <c r="K498" s="66">
        <f t="shared" si="383"/>
        <v>7.3575454931835024E-2</v>
      </c>
      <c r="L498" s="66">
        <f t="shared" si="383"/>
        <v>7.1852900182459184E-2</v>
      </c>
      <c r="M498" s="66">
        <f t="shared" si="383"/>
        <v>6.9491342061966249E-2</v>
      </c>
      <c r="N498" s="66">
        <f t="shared" si="383"/>
        <v>6.6317661002361278E-2</v>
      </c>
      <c r="O498" s="66">
        <f t="shared" si="383"/>
        <v>6.2169046747367229E-2</v>
      </c>
      <c r="P498" s="66">
        <f t="shared" si="383"/>
        <v>5.694456830002316E-2</v>
      </c>
      <c r="Q498" s="66">
        <f t="shared" si="383"/>
        <v>5.0675344131887581E-2</v>
      </c>
      <c r="R498" s="66">
        <f t="shared" si="383"/>
        <v>4.3586270611453572E-2</v>
      </c>
      <c r="S498" s="66">
        <f t="shared" si="383"/>
        <v>3.6102364781668152E-2</v>
      </c>
      <c r="T498" s="66">
        <f t="shared" si="383"/>
        <v>2.8765728220359679E-2</v>
      </c>
      <c r="U498" s="66">
        <f t="shared" si="383"/>
        <v>2.2087036944542227E-2</v>
      </c>
      <c r="V498" s="66">
        <f t="shared" si="383"/>
        <v>1.6411100424024307E-2</v>
      </c>
      <c r="W498" s="66">
        <f t="shared" si="383"/>
        <v>1.1865691773727857E-2</v>
      </c>
      <c r="X498" s="66">
        <f t="shared" si="383"/>
        <v>8.3973432339193438E-3</v>
      </c>
      <c r="Y498" s="66">
        <f t="shared" si="383"/>
        <v>5.84782889520509E-3</v>
      </c>
      <c r="Z498" s="66">
        <f t="shared" si="383"/>
        <v>4.0249630259926034E-3</v>
      </c>
      <c r="AA498" s="66">
        <f t="shared" si="383"/>
        <v>2.747403251869146E-3</v>
      </c>
      <c r="AB498" s="66">
        <f t="shared" si="383"/>
        <v>1.8645309229892715E-3</v>
      </c>
      <c r="AC498" s="66">
        <f t="shared" si="383"/>
        <v>1.2603373931211054E-3</v>
      </c>
    </row>
    <row r="499" spans="1:29" ht="15.75" thickBot="1" x14ac:dyDescent="0.3">
      <c r="A499" s="31" t="s">
        <v>63</v>
      </c>
      <c r="B499" s="76">
        <f>B490+B491+B492-B493+B494+B495+B496+B497+B498</f>
        <v>25.467186399772338</v>
      </c>
      <c r="C499" s="76">
        <f t="shared" ref="C499:AC499" si="384">C490+C491+C492-C493+C494+C495+C496+C497+C498</f>
        <v>25.43135453389295</v>
      </c>
      <c r="D499" s="76">
        <f t="shared" si="384"/>
        <v>25.380477561989032</v>
      </c>
      <c r="E499" s="76">
        <f t="shared" si="384"/>
        <v>25.308566034944853</v>
      </c>
      <c r="F499" s="76">
        <f t="shared" si="384"/>
        <v>25.207599728345595</v>
      </c>
      <c r="G499" s="76">
        <f t="shared" si="384"/>
        <v>25.067211938182417</v>
      </c>
      <c r="H499" s="76">
        <f t="shared" si="384"/>
        <v>24.874729079470672</v>
      </c>
      <c r="I499" s="76">
        <f t="shared" si="384"/>
        <v>24.616019340472402</v>
      </c>
      <c r="J499" s="76">
        <f t="shared" si="384"/>
        <v>24.277769421587539</v>
      </c>
      <c r="K499" s="76">
        <f t="shared" si="384"/>
        <v>23.851673175151411</v>
      </c>
      <c r="L499" s="76">
        <f t="shared" si="384"/>
        <v>23.340134029567608</v>
      </c>
      <c r="M499" s="76">
        <f t="shared" si="384"/>
        <v>22.761285302152434</v>
      </c>
      <c r="N499" s="76">
        <f t="shared" si="384"/>
        <v>22.14951648173577</v>
      </c>
      <c r="O499" s="76">
        <f t="shared" si="384"/>
        <v>21.548748742120988</v>
      </c>
      <c r="P499" s="76">
        <f t="shared" si="384"/>
        <v>21.000409593316352</v>
      </c>
      <c r="Q499" s="76">
        <f t="shared" si="384"/>
        <v>20.532570240360872</v>
      </c>
      <c r="R499" s="76">
        <f t="shared" si="384"/>
        <v>20.155846156208394</v>
      </c>
      <c r="S499" s="76">
        <f t="shared" si="384"/>
        <v>19.866314331693864</v>
      </c>
      <c r="T499" s="76">
        <f t="shared" si="384"/>
        <v>19.651649854623489</v>
      </c>
      <c r="U499" s="76">
        <f t="shared" si="384"/>
        <v>19.496734756725967</v>
      </c>
      <c r="V499" s="76">
        <f t="shared" si="384"/>
        <v>19.387166990664358</v>
      </c>
      <c r="W499" s="76">
        <f t="shared" si="384"/>
        <v>19.310825942110277</v>
      </c>
      <c r="X499" s="76">
        <f t="shared" si="384"/>
        <v>19.258224259470339</v>
      </c>
      <c r="Y499" s="76">
        <f t="shared" si="384"/>
        <v>19.222274781078802</v>
      </c>
      <c r="Z499" s="76">
        <f t="shared" si="384"/>
        <v>19.197850531189964</v>
      </c>
      <c r="AA499" s="76">
        <f t="shared" si="384"/>
        <v>19.1813260541599</v>
      </c>
      <c r="AB499" s="76">
        <f t="shared" si="384"/>
        <v>19.170179032874575</v>
      </c>
      <c r="AC499" s="76">
        <f t="shared" si="384"/>
        <v>19.162674769135432</v>
      </c>
    </row>
    <row r="500" spans="1:29" ht="15.75" thickBot="1" x14ac:dyDescent="0.3"/>
    <row r="501" spans="1:29" ht="15.75" thickBot="1" x14ac:dyDescent="0.3">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385">A478</f>
        <v>Capex vehicle</v>
      </c>
      <c r="B502" s="65">
        <f>((1+B463)^B470)*B463/(((1+B463)^B470)-1)*(B459)/B475/(B472)</f>
        <v>1.7357527712224307E-3</v>
      </c>
      <c r="C502" s="65">
        <f t="shared" ref="C502:AC502" si="386">((1+C463)^C470)*C463/(((1+C463)^C470)-1)*(C459)/C475/(C472)</f>
        <v>1.7320550392270152E-3</v>
      </c>
      <c r="D502" s="65">
        <f t="shared" si="386"/>
        <v>1.7268047898700194E-3</v>
      </c>
      <c r="E502" s="65">
        <f t="shared" si="386"/>
        <v>1.7193840669206565E-3</v>
      </c>
      <c r="F502" s="65">
        <f t="shared" si="386"/>
        <v>1.7089655057806832E-3</v>
      </c>
      <c r="G502" s="65">
        <f t="shared" si="386"/>
        <v>1.6944799237413111E-3</v>
      </c>
      <c r="H502" s="65">
        <f t="shared" si="386"/>
        <v>1.6746207326720345E-3</v>
      </c>
      <c r="I502" s="65">
        <f t="shared" si="386"/>
        <v>1.647932107899808E-3</v>
      </c>
      <c r="J502" s="65">
        <f t="shared" si="386"/>
        <v>1.6130449194593829E-3</v>
      </c>
      <c r="K502" s="65">
        <f t="shared" si="386"/>
        <v>1.5691104023188658E-3</v>
      </c>
      <c r="L502" s="65">
        <f t="shared" si="386"/>
        <v>1.5163902428907568E-3</v>
      </c>
      <c r="M502" s="65">
        <f t="shared" si="386"/>
        <v>1.4567756755740466E-3</v>
      </c>
      <c r="N502" s="65">
        <f t="shared" si="386"/>
        <v>1.3938408214502103E-3</v>
      </c>
      <c r="O502" s="65">
        <f t="shared" si="386"/>
        <v>1.3321444075391885E-3</v>
      </c>
      <c r="P502" s="65">
        <f t="shared" si="386"/>
        <v>1.275980892024488E-3</v>
      </c>
      <c r="Q502" s="65">
        <f t="shared" si="386"/>
        <v>1.2282499016754028E-3</v>
      </c>
      <c r="R502" s="65">
        <f t="shared" si="386"/>
        <v>1.1900259265418419E-3</v>
      </c>
      <c r="S502" s="65">
        <f t="shared" si="386"/>
        <v>1.1608593370138539E-3</v>
      </c>
      <c r="T502" s="65">
        <f t="shared" si="386"/>
        <v>1.1394195545469208E-3</v>
      </c>
      <c r="U502" s="65">
        <f t="shared" si="386"/>
        <v>1.1240904202452003E-3</v>
      </c>
      <c r="V502" s="65">
        <f t="shared" si="386"/>
        <v>1.1133469609008908E-3</v>
      </c>
      <c r="W502" s="65">
        <f t="shared" si="386"/>
        <v>1.1059225701493549E-3</v>
      </c>
      <c r="X502" s="65">
        <f t="shared" si="386"/>
        <v>1.1008416895864966E-3</v>
      </c>
      <c r="Y502" s="65">
        <f t="shared" si="386"/>
        <v>1.0973877976155116E-3</v>
      </c>
      <c r="Z502" s="65">
        <f t="shared" si="386"/>
        <v>1.0950505873516005E-3</v>
      </c>
      <c r="AA502" s="65">
        <f t="shared" si="386"/>
        <v>1.0934739028674706E-3</v>
      </c>
      <c r="AB502" s="65">
        <f t="shared" si="386"/>
        <v>1.0924124867050583E-3</v>
      </c>
      <c r="AC502" s="65">
        <f t="shared" si="386"/>
        <v>1.0916989500959369E-3</v>
      </c>
    </row>
    <row r="503" spans="1:29" x14ac:dyDescent="0.25">
      <c r="A503" s="30" t="str">
        <f t="shared" si="385"/>
        <v>Residual value (vehicle)</v>
      </c>
      <c r="B503" s="68">
        <f>((1+B463)^B470)*B463/(((1+B463)^B470)-1)*(B460)/B475/(B472)</f>
        <v>-8.822699253989411E-5</v>
      </c>
      <c r="C503" s="68">
        <f t="shared" ref="C503:AC503" si="387">((1+C463)^C470)*C463/(((1+C463)^C470)-1)*(C460)/C475/(C472)</f>
        <v>-8.8658394606025906E-5</v>
      </c>
      <c r="D503" s="68">
        <f t="shared" si="387"/>
        <v>-8.927092369767544E-5</v>
      </c>
      <c r="E503" s="68">
        <f t="shared" si="387"/>
        <v>-9.0136674708434433E-5</v>
      </c>
      <c r="F503" s="68">
        <f t="shared" si="387"/>
        <v>-9.1352173508097987E-5</v>
      </c>
      <c r="G503" s="68">
        <f t="shared" si="387"/>
        <v>-9.3042158079358043E-5</v>
      </c>
      <c r="H503" s="68">
        <f t="shared" si="387"/>
        <v>-9.5359063704106992E-5</v>
      </c>
      <c r="I503" s="68">
        <f t="shared" si="387"/>
        <v>-9.8472736594200079E-5</v>
      </c>
      <c r="J503" s="68">
        <f t="shared" si="387"/>
        <v>-1.0254290857891629E-4</v>
      </c>
      <c r="K503" s="68">
        <f t="shared" si="387"/>
        <v>-1.0766860224531E-4</v>
      </c>
      <c r="L503" s="68">
        <f t="shared" si="387"/>
        <v>-1.1381928751192271E-4</v>
      </c>
      <c r="M503" s="68">
        <f t="shared" si="387"/>
        <v>-1.2077432036553891E-4</v>
      </c>
      <c r="N503" s="68">
        <f t="shared" si="387"/>
        <v>-1.281167200133198E-4</v>
      </c>
      <c r="O503" s="68">
        <f t="shared" si="387"/>
        <v>-1.3531463496960572E-4</v>
      </c>
      <c r="P503" s="68">
        <f t="shared" si="387"/>
        <v>-1.4186704511298743E-4</v>
      </c>
      <c r="Q503" s="68">
        <f t="shared" si="387"/>
        <v>-1.4743566065371401E-4</v>
      </c>
      <c r="R503" s="68">
        <f t="shared" si="387"/>
        <v>-1.5189512441929611E-4</v>
      </c>
      <c r="S503" s="68">
        <f t="shared" si="387"/>
        <v>-1.5529789319756145E-4</v>
      </c>
      <c r="T503" s="68">
        <f t="shared" si="387"/>
        <v>-1.5779920115203692E-4</v>
      </c>
      <c r="U503" s="68">
        <f t="shared" si="387"/>
        <v>-1.5958760015390426E-4</v>
      </c>
      <c r="V503" s="68">
        <f t="shared" si="387"/>
        <v>-1.6084100374407371E-4</v>
      </c>
      <c r="W503" s="68">
        <f t="shared" si="387"/>
        <v>-1.6170718266508627E-4</v>
      </c>
      <c r="X503" s="68">
        <f t="shared" si="387"/>
        <v>-1.6229995206408642E-4</v>
      </c>
      <c r="Y503" s="68">
        <f t="shared" si="387"/>
        <v>-1.6270290612736799E-4</v>
      </c>
      <c r="Z503" s="68">
        <f t="shared" si="387"/>
        <v>-1.6297558065815764E-4</v>
      </c>
      <c r="AA503" s="68">
        <f t="shared" si="387"/>
        <v>-1.6315952718130611E-4</v>
      </c>
      <c r="AB503" s="68">
        <f t="shared" si="387"/>
        <v>-1.6328335906692088E-4</v>
      </c>
      <c r="AC503" s="68">
        <f t="shared" si="387"/>
        <v>-1.6336660500465173E-4</v>
      </c>
    </row>
    <row r="504" spans="1:29" x14ac:dyDescent="0.25">
      <c r="A504" s="30" t="str">
        <f t="shared" si="385"/>
        <v>Capex costumization</v>
      </c>
      <c r="B504" s="66">
        <f>((1+B463)^B471)*B463/(((1+B463)^B471)-1)*(B461)/B475/(B472)</f>
        <v>5.0874587878184309E-4</v>
      </c>
      <c r="C504" s="66">
        <f t="shared" ref="C504:AC504" si="388">((1+C463)^C471)*C463/(((1+C463)^C471)-1)*(C461)/C475/(C472)</f>
        <v>5.0874587878184309E-4</v>
      </c>
      <c r="D504" s="66">
        <f t="shared" si="388"/>
        <v>5.0874587878184309E-4</v>
      </c>
      <c r="E504" s="66">
        <f t="shared" si="388"/>
        <v>5.0874587878184309E-4</v>
      </c>
      <c r="F504" s="66">
        <f t="shared" si="388"/>
        <v>5.0874587878184309E-4</v>
      </c>
      <c r="G504" s="66">
        <f t="shared" si="388"/>
        <v>5.0874587878184309E-4</v>
      </c>
      <c r="H504" s="66">
        <f t="shared" si="388"/>
        <v>5.0874587878184309E-4</v>
      </c>
      <c r="I504" s="66">
        <f t="shared" si="388"/>
        <v>5.0874587878184309E-4</v>
      </c>
      <c r="J504" s="66">
        <f t="shared" si="388"/>
        <v>5.0874587878184309E-4</v>
      </c>
      <c r="K504" s="66">
        <f t="shared" si="388"/>
        <v>5.0874587878184309E-4</v>
      </c>
      <c r="L504" s="66">
        <f t="shared" si="388"/>
        <v>5.0874587878184309E-4</v>
      </c>
      <c r="M504" s="66">
        <f t="shared" si="388"/>
        <v>5.0874587878184309E-4</v>
      </c>
      <c r="N504" s="66">
        <f t="shared" si="388"/>
        <v>5.0874587878184309E-4</v>
      </c>
      <c r="O504" s="66">
        <f t="shared" si="388"/>
        <v>5.0874587878184309E-4</v>
      </c>
      <c r="P504" s="66">
        <f t="shared" si="388"/>
        <v>5.0874587878184309E-4</v>
      </c>
      <c r="Q504" s="66">
        <f t="shared" si="388"/>
        <v>5.0874587878184309E-4</v>
      </c>
      <c r="R504" s="66">
        <f t="shared" si="388"/>
        <v>5.0874587878184309E-4</v>
      </c>
      <c r="S504" s="66">
        <f t="shared" si="388"/>
        <v>5.0874587878184309E-4</v>
      </c>
      <c r="T504" s="66">
        <f t="shared" si="388"/>
        <v>5.0874587878184309E-4</v>
      </c>
      <c r="U504" s="66">
        <f t="shared" si="388"/>
        <v>5.0874587878184309E-4</v>
      </c>
      <c r="V504" s="66">
        <f t="shared" si="388"/>
        <v>5.0874587878184309E-4</v>
      </c>
      <c r="W504" s="66">
        <f t="shared" si="388"/>
        <v>5.0874587878184309E-4</v>
      </c>
      <c r="X504" s="66">
        <f t="shared" si="388"/>
        <v>5.0874587878184309E-4</v>
      </c>
      <c r="Y504" s="66">
        <f t="shared" si="388"/>
        <v>5.0874587878184309E-4</v>
      </c>
      <c r="Z504" s="66">
        <f t="shared" si="388"/>
        <v>5.0874587878184309E-4</v>
      </c>
      <c r="AA504" s="66">
        <f t="shared" si="388"/>
        <v>5.0874587878184309E-4</v>
      </c>
      <c r="AB504" s="66">
        <f t="shared" si="388"/>
        <v>5.0874587878184309E-4</v>
      </c>
      <c r="AC504" s="66">
        <f t="shared" si="388"/>
        <v>5.0874587878184309E-4</v>
      </c>
    </row>
    <row r="505" spans="1:29" x14ac:dyDescent="0.25">
      <c r="A505" s="30" t="str">
        <f t="shared" si="385"/>
        <v>Residual value (costumization)</v>
      </c>
      <c r="B505" s="69">
        <f>((1+B463)^B471)*B463/(((1+B463)^B471)-1)*(B462)/B475/(B472)</f>
        <v>-2.5437293939092159E-5</v>
      </c>
      <c r="C505" s="69">
        <f t="shared" ref="C505:AC505" si="389">((1+C463)^C471)*C463/(((1+C463)^C471)-1)*(C462)/C475/(C472)</f>
        <v>-2.5437293939092159E-5</v>
      </c>
      <c r="D505" s="69">
        <f t="shared" si="389"/>
        <v>-2.5437293939092159E-5</v>
      </c>
      <c r="E505" s="69">
        <f t="shared" si="389"/>
        <v>-2.5437293939092159E-5</v>
      </c>
      <c r="F505" s="69">
        <f t="shared" si="389"/>
        <v>-2.5437293939092159E-5</v>
      </c>
      <c r="G505" s="69">
        <f t="shared" si="389"/>
        <v>-2.5437293939092159E-5</v>
      </c>
      <c r="H505" s="69">
        <f t="shared" si="389"/>
        <v>-2.5437293939092159E-5</v>
      </c>
      <c r="I505" s="69">
        <f t="shared" si="389"/>
        <v>-2.5437293939092159E-5</v>
      </c>
      <c r="J505" s="69">
        <f t="shared" si="389"/>
        <v>-2.5437293939092159E-5</v>
      </c>
      <c r="K505" s="69">
        <f t="shared" si="389"/>
        <v>-2.5437293939092159E-5</v>
      </c>
      <c r="L505" s="69">
        <f t="shared" si="389"/>
        <v>-2.5437293939092159E-5</v>
      </c>
      <c r="M505" s="69">
        <f t="shared" si="389"/>
        <v>-2.5437293939092159E-5</v>
      </c>
      <c r="N505" s="69">
        <f t="shared" si="389"/>
        <v>-2.5437293939092159E-5</v>
      </c>
      <c r="O505" s="69">
        <f t="shared" si="389"/>
        <v>-2.5437293939092159E-5</v>
      </c>
      <c r="P505" s="69">
        <f t="shared" si="389"/>
        <v>-2.5437293939092159E-5</v>
      </c>
      <c r="Q505" s="69">
        <f t="shared" si="389"/>
        <v>-2.5437293939092159E-5</v>
      </c>
      <c r="R505" s="69">
        <f t="shared" si="389"/>
        <v>-2.5437293939092159E-5</v>
      </c>
      <c r="S505" s="69">
        <f t="shared" si="389"/>
        <v>-2.5437293939092159E-5</v>
      </c>
      <c r="T505" s="69">
        <f t="shared" si="389"/>
        <v>-2.5437293939092159E-5</v>
      </c>
      <c r="U505" s="69">
        <f t="shared" si="389"/>
        <v>-2.5437293939092159E-5</v>
      </c>
      <c r="V505" s="69">
        <f t="shared" si="389"/>
        <v>-2.5437293939092159E-5</v>
      </c>
      <c r="W505" s="69">
        <f t="shared" si="389"/>
        <v>-2.5437293939092159E-5</v>
      </c>
      <c r="X505" s="69">
        <f t="shared" si="389"/>
        <v>-2.5437293939092159E-5</v>
      </c>
      <c r="Y505" s="69">
        <f t="shared" si="389"/>
        <v>-2.5437293939092159E-5</v>
      </c>
      <c r="Z505" s="69">
        <f t="shared" si="389"/>
        <v>-2.5437293939092159E-5</v>
      </c>
      <c r="AA505" s="69">
        <f t="shared" si="389"/>
        <v>-2.5437293939092159E-5</v>
      </c>
      <c r="AB505" s="69">
        <f t="shared" si="389"/>
        <v>-2.5437293939092159E-5</v>
      </c>
      <c r="AC505" s="69">
        <f t="shared" si="389"/>
        <v>-2.5437293939092159E-5</v>
      </c>
    </row>
    <row r="506" spans="1:29" x14ac:dyDescent="0.25">
      <c r="A506" s="30" t="str">
        <f t="shared" si="385"/>
        <v>Opex fix (admin, crew, insurance)</v>
      </c>
      <c r="B506" s="66">
        <f>B464/B475/(B472)</f>
        <v>1.3005202080832333E-3</v>
      </c>
      <c r="C506" s="66">
        <f t="shared" ref="C506:AC506" si="390">C464/C475/(C472)</f>
        <v>1.3005202080832333E-3</v>
      </c>
      <c r="D506" s="66">
        <f t="shared" si="390"/>
        <v>1.3005202080832333E-3</v>
      </c>
      <c r="E506" s="66">
        <f t="shared" si="390"/>
        <v>1.3005202080832333E-3</v>
      </c>
      <c r="F506" s="66">
        <f t="shared" si="390"/>
        <v>1.3005202080832333E-3</v>
      </c>
      <c r="G506" s="66">
        <f t="shared" si="390"/>
        <v>1.3005202080832333E-3</v>
      </c>
      <c r="H506" s="66">
        <f t="shared" si="390"/>
        <v>1.3005202080832333E-3</v>
      </c>
      <c r="I506" s="66">
        <f t="shared" si="390"/>
        <v>1.3005202080832333E-3</v>
      </c>
      <c r="J506" s="66">
        <f t="shared" si="390"/>
        <v>1.3005202080832333E-3</v>
      </c>
      <c r="K506" s="66">
        <f t="shared" si="390"/>
        <v>1.3005202080832333E-3</v>
      </c>
      <c r="L506" s="66">
        <f t="shared" si="390"/>
        <v>1.3005202080832333E-3</v>
      </c>
      <c r="M506" s="66">
        <f t="shared" si="390"/>
        <v>1.3005202080832333E-3</v>
      </c>
      <c r="N506" s="66">
        <f t="shared" si="390"/>
        <v>1.3005202080832333E-3</v>
      </c>
      <c r="O506" s="66">
        <f t="shared" si="390"/>
        <v>1.3005202080832333E-3</v>
      </c>
      <c r="P506" s="66">
        <f t="shared" si="390"/>
        <v>1.3005202080832333E-3</v>
      </c>
      <c r="Q506" s="66">
        <f t="shared" si="390"/>
        <v>1.3005202080832333E-3</v>
      </c>
      <c r="R506" s="66">
        <f t="shared" si="390"/>
        <v>1.3005202080832333E-3</v>
      </c>
      <c r="S506" s="66">
        <f t="shared" si="390"/>
        <v>1.3005202080832333E-3</v>
      </c>
      <c r="T506" s="66">
        <f t="shared" si="390"/>
        <v>1.3005202080832333E-3</v>
      </c>
      <c r="U506" s="66">
        <f t="shared" si="390"/>
        <v>1.3005202080832333E-3</v>
      </c>
      <c r="V506" s="66">
        <f t="shared" si="390"/>
        <v>1.3005202080832333E-3</v>
      </c>
      <c r="W506" s="66">
        <f t="shared" si="390"/>
        <v>1.3005202080832333E-3</v>
      </c>
      <c r="X506" s="66">
        <f t="shared" si="390"/>
        <v>1.3005202080832333E-3</v>
      </c>
      <c r="Y506" s="66">
        <f t="shared" si="390"/>
        <v>1.3005202080832333E-3</v>
      </c>
      <c r="Z506" s="66">
        <f t="shared" si="390"/>
        <v>1.3005202080832333E-3</v>
      </c>
      <c r="AA506" s="66">
        <f t="shared" si="390"/>
        <v>1.3005202080832333E-3</v>
      </c>
      <c r="AB506" s="66">
        <f t="shared" si="390"/>
        <v>1.3005202080832333E-3</v>
      </c>
      <c r="AC506" s="66">
        <f t="shared" si="390"/>
        <v>1.3005202080832333E-3</v>
      </c>
    </row>
    <row r="507" spans="1:29" x14ac:dyDescent="0.25">
      <c r="A507" s="30" t="str">
        <f t="shared" si="385"/>
        <v>Opex maintenance &amp; repair</v>
      </c>
      <c r="B507" s="66">
        <f>B465/B475/(B472)</f>
        <v>2.5881631803075897E-3</v>
      </c>
      <c r="C507" s="66">
        <f t="shared" ref="C507:AC507" si="391">C465/C475/(C472)</f>
        <v>2.582649529999868E-3</v>
      </c>
      <c r="D507" s="66">
        <f t="shared" si="391"/>
        <v>2.5748209369545342E-3</v>
      </c>
      <c r="E507" s="66">
        <f t="shared" si="391"/>
        <v>2.5637559729647153E-3</v>
      </c>
      <c r="F507" s="66">
        <f t="shared" si="391"/>
        <v>2.5482209631514968E-3</v>
      </c>
      <c r="G507" s="66">
        <f t="shared" si="391"/>
        <v>2.5266216601279308E-3</v>
      </c>
      <c r="H507" s="66">
        <f t="shared" si="391"/>
        <v>2.4970098237141556E-3</v>
      </c>
      <c r="I507" s="66">
        <f t="shared" si="391"/>
        <v>2.4572146886501483E-3</v>
      </c>
      <c r="J507" s="66">
        <f t="shared" si="391"/>
        <v>2.4051947592667899E-3</v>
      </c>
      <c r="K507" s="66">
        <f t="shared" si="391"/>
        <v>2.3396844507177221E-3</v>
      </c>
      <c r="L507" s="66">
        <f t="shared" si="391"/>
        <v>2.2610739609325433E-3</v>
      </c>
      <c r="M507" s="66">
        <f t="shared" si="391"/>
        <v>2.1721832901543448E-3</v>
      </c>
      <c r="N507" s="66">
        <f t="shared" si="391"/>
        <v>2.0783417737230462E-3</v>
      </c>
      <c r="O507" s="66">
        <f t="shared" si="391"/>
        <v>1.9863468828094821E-3</v>
      </c>
      <c r="P507" s="66">
        <f t="shared" si="391"/>
        <v>1.9026020400290159E-3</v>
      </c>
      <c r="Q507" s="66">
        <f t="shared" si="391"/>
        <v>1.8314308491605624E-3</v>
      </c>
      <c r="R507" s="66">
        <f t="shared" si="391"/>
        <v>1.7744354713130578E-3</v>
      </c>
      <c r="S507" s="66">
        <f t="shared" si="391"/>
        <v>1.7309454683800242E-3</v>
      </c>
      <c r="T507" s="66">
        <f t="shared" si="391"/>
        <v>1.6989768283209681E-3</v>
      </c>
      <c r="U507" s="66">
        <f t="shared" si="391"/>
        <v>1.676119713158328E-3</v>
      </c>
      <c r="V507" s="66">
        <f t="shared" si="391"/>
        <v>1.6601002509600961E-3</v>
      </c>
      <c r="W507" s="66">
        <f t="shared" si="391"/>
        <v>1.6490298179480209E-3</v>
      </c>
      <c r="X507" s="66">
        <f t="shared" si="391"/>
        <v>1.6414537689770209E-3</v>
      </c>
      <c r="Y507" s="66">
        <f t="shared" si="391"/>
        <v>1.6363037060324187E-3</v>
      </c>
      <c r="Z507" s="66">
        <f t="shared" si="391"/>
        <v>1.6328187157446416E-3</v>
      </c>
      <c r="AA507" s="66">
        <f t="shared" si="391"/>
        <v>1.6304677376581063E-3</v>
      </c>
      <c r="AB507" s="66">
        <f t="shared" si="391"/>
        <v>1.6288850708889187E-3</v>
      </c>
      <c r="AC507" s="66">
        <f t="shared" si="391"/>
        <v>1.6278211237588046E-3</v>
      </c>
    </row>
    <row r="508" spans="1:29" x14ac:dyDescent="0.25">
      <c r="A508" s="30" t="str">
        <f t="shared" si="385"/>
        <v>Opex var (mode-fees, shunting)</v>
      </c>
      <c r="B508" s="66">
        <f>B466*B475/B475/(B472)</f>
        <v>1.4005602240896359E-3</v>
      </c>
      <c r="C508" s="66">
        <f t="shared" ref="C508:AC508" si="392">C466*C475/C475/(C472)</f>
        <v>1.4005602240896359E-3</v>
      </c>
      <c r="D508" s="66">
        <f t="shared" si="392"/>
        <v>1.4005602240896359E-3</v>
      </c>
      <c r="E508" s="66">
        <f t="shared" si="392"/>
        <v>1.4005602240896359E-3</v>
      </c>
      <c r="F508" s="66">
        <f t="shared" si="392"/>
        <v>1.4005602240896359E-3</v>
      </c>
      <c r="G508" s="66">
        <f t="shared" si="392"/>
        <v>1.4005602240896359E-3</v>
      </c>
      <c r="H508" s="66">
        <f t="shared" si="392"/>
        <v>1.4005602240896359E-3</v>
      </c>
      <c r="I508" s="66">
        <f t="shared" si="392"/>
        <v>1.4005602240896359E-3</v>
      </c>
      <c r="J508" s="66">
        <f t="shared" si="392"/>
        <v>1.4005602240896359E-3</v>
      </c>
      <c r="K508" s="66">
        <f t="shared" si="392"/>
        <v>1.4005602240896359E-3</v>
      </c>
      <c r="L508" s="66">
        <f t="shared" si="392"/>
        <v>1.4005602240896359E-3</v>
      </c>
      <c r="M508" s="66">
        <f t="shared" si="392"/>
        <v>1.4005602240896359E-3</v>
      </c>
      <c r="N508" s="66">
        <f t="shared" si="392"/>
        <v>1.4005602240896359E-3</v>
      </c>
      <c r="O508" s="66">
        <f t="shared" si="392"/>
        <v>1.4005602240896359E-3</v>
      </c>
      <c r="P508" s="66">
        <f t="shared" si="392"/>
        <v>1.4005602240896359E-3</v>
      </c>
      <c r="Q508" s="66">
        <f t="shared" si="392"/>
        <v>1.4005602240896359E-3</v>
      </c>
      <c r="R508" s="66">
        <f t="shared" si="392"/>
        <v>1.4005602240896359E-3</v>
      </c>
      <c r="S508" s="66">
        <f t="shared" si="392"/>
        <v>1.4005602240896359E-3</v>
      </c>
      <c r="T508" s="66">
        <f t="shared" si="392"/>
        <v>1.4005602240896359E-3</v>
      </c>
      <c r="U508" s="66">
        <f t="shared" si="392"/>
        <v>1.4005602240896359E-3</v>
      </c>
      <c r="V508" s="66">
        <f t="shared" si="392"/>
        <v>1.4005602240896359E-3</v>
      </c>
      <c r="W508" s="66">
        <f t="shared" si="392"/>
        <v>1.4005602240896359E-3</v>
      </c>
      <c r="X508" s="66">
        <f t="shared" si="392"/>
        <v>1.4005602240896359E-3</v>
      </c>
      <c r="Y508" s="66">
        <f t="shared" si="392"/>
        <v>1.4005602240896359E-3</v>
      </c>
      <c r="Z508" s="66">
        <f t="shared" si="392"/>
        <v>1.4005602240896359E-3</v>
      </c>
      <c r="AA508" s="66">
        <f t="shared" si="392"/>
        <v>1.4005602240896359E-3</v>
      </c>
      <c r="AB508" s="66">
        <f t="shared" si="392"/>
        <v>1.4005602240896359E-3</v>
      </c>
      <c r="AC508" s="66">
        <f t="shared" si="392"/>
        <v>1.4005602240896359E-3</v>
      </c>
    </row>
    <row r="509" spans="1:29" x14ac:dyDescent="0.25">
      <c r="A509" s="30" t="str">
        <f t="shared" si="385"/>
        <v>Fuel Cost</v>
      </c>
      <c r="B509" s="66">
        <f>B467*B468*B475/B475/(B472)</f>
        <v>1.596750796856645E-3</v>
      </c>
      <c r="C509" s="66">
        <f t="shared" ref="C509:AC509" si="393">C467*C468*C475/C475/(C472)</f>
        <v>1.5936228827995993E-3</v>
      </c>
      <c r="D509" s="66">
        <f t="shared" si="393"/>
        <v>1.5891816932306682E-3</v>
      </c>
      <c r="E509" s="66">
        <f t="shared" si="393"/>
        <v>1.5829044985460536E-3</v>
      </c>
      <c r="F509" s="66">
        <f t="shared" si="393"/>
        <v>1.5740914304588273E-3</v>
      </c>
      <c r="G509" s="66">
        <f t="shared" si="393"/>
        <v>1.5618380665747998E-3</v>
      </c>
      <c r="H509" s="66">
        <f t="shared" si="393"/>
        <v>1.5450391630890525E-3</v>
      </c>
      <c r="I509" s="66">
        <f t="shared" si="393"/>
        <v>1.5224632369019301E-3</v>
      </c>
      <c r="J509" s="66">
        <f t="shared" si="393"/>
        <v>1.4929521400271711E-3</v>
      </c>
      <c r="K509" s="66">
        <f t="shared" si="393"/>
        <v>1.4557879015361954E-3</v>
      </c>
      <c r="L509" s="66">
        <f t="shared" si="393"/>
        <v>1.4111918821466576E-3</v>
      </c>
      <c r="M509" s="66">
        <f t="shared" si="393"/>
        <v>1.3607638783470813E-3</v>
      </c>
      <c r="N509" s="66">
        <f t="shared" si="393"/>
        <v>1.3075272416367622E-3</v>
      </c>
      <c r="O509" s="66">
        <f t="shared" si="393"/>
        <v>1.255338202360566E-3</v>
      </c>
      <c r="P509" s="66">
        <f t="shared" si="393"/>
        <v>1.2078294456715113E-3</v>
      </c>
      <c r="Q509" s="66">
        <f t="shared" si="393"/>
        <v>1.1674537678628676E-3</v>
      </c>
      <c r="R509" s="66">
        <f t="shared" si="393"/>
        <v>1.1351200808123569E-3</v>
      </c>
      <c r="S509" s="66">
        <f t="shared" si="393"/>
        <v>1.1104480425213773E-3</v>
      </c>
      <c r="T509" s="66">
        <f t="shared" si="393"/>
        <v>1.0923121156771762E-3</v>
      </c>
      <c r="U509" s="66">
        <f t="shared" si="393"/>
        <v>1.0793451903499381E-3</v>
      </c>
      <c r="V509" s="66">
        <f t="shared" si="393"/>
        <v>1.0702572906465455E-3</v>
      </c>
      <c r="W509" s="66">
        <f t="shared" si="393"/>
        <v>1.0639769933655306E-3</v>
      </c>
      <c r="X509" s="66">
        <f t="shared" si="393"/>
        <v>1.0596790729769144E-3</v>
      </c>
      <c r="Y509" s="66">
        <f t="shared" si="393"/>
        <v>1.0567574233654893E-3</v>
      </c>
      <c r="Z509" s="66">
        <f t="shared" si="393"/>
        <v>1.0547803755838155E-3</v>
      </c>
      <c r="AA509" s="66">
        <f t="shared" si="393"/>
        <v>1.0534466570862207E-3</v>
      </c>
      <c r="AB509" s="66">
        <f t="shared" si="393"/>
        <v>1.0525488044189908E-3</v>
      </c>
      <c r="AC509" s="66">
        <f t="shared" si="393"/>
        <v>1.0519452233069321E-3</v>
      </c>
    </row>
    <row r="510" spans="1:29" x14ac:dyDescent="0.25">
      <c r="A510" s="59" t="str">
        <f>A473</f>
        <v>Market failure (av. utilization)</v>
      </c>
      <c r="B510" s="66">
        <f t="shared" ref="B510:AC510" si="394">B499/B473-B499/B472</f>
        <v>1.7551325448503817E-2</v>
      </c>
      <c r="C510" s="66">
        <f t="shared" si="394"/>
        <v>1.7526631054329125E-2</v>
      </c>
      <c r="D510" s="66">
        <f t="shared" si="394"/>
        <v>1.7491567962643111E-2</v>
      </c>
      <c r="E510" s="66">
        <f t="shared" si="394"/>
        <v>1.744200840019916E-2</v>
      </c>
      <c r="F510" s="66">
        <f t="shared" si="394"/>
        <v>1.7372425035997105E-2</v>
      </c>
      <c r="G510" s="66">
        <f t="shared" si="394"/>
        <v>1.7275673406057637E-2</v>
      </c>
      <c r="H510" s="66">
        <f t="shared" si="394"/>
        <v>1.7143019203764667E-2</v>
      </c>
      <c r="I510" s="66">
        <f t="shared" si="394"/>
        <v>1.6964723150381368E-2</v>
      </c>
      <c r="J510" s="66">
        <f t="shared" si="394"/>
        <v>1.6731610064542754E-2</v>
      </c>
      <c r="K510" s="66">
        <f t="shared" si="394"/>
        <v>1.6437955564348211E-2</v>
      </c>
      <c r="L510" s="66">
        <f t="shared" si="394"/>
        <v>1.6085416030421872E-2</v>
      </c>
      <c r="M510" s="66">
        <f t="shared" si="394"/>
        <v>1.5686488475534742E-2</v>
      </c>
      <c r="N510" s="66">
        <f t="shared" si="394"/>
        <v>1.5264873244946246E-2</v>
      </c>
      <c r="O510" s="66">
        <f t="shared" si="394"/>
        <v>1.4850839674396998E-2</v>
      </c>
      <c r="P510" s="66">
        <f t="shared" si="394"/>
        <v>1.4472938531108087E-2</v>
      </c>
      <c r="Q510" s="66">
        <f t="shared" si="394"/>
        <v>1.4150515762748703E-2</v>
      </c>
      <c r="R510" s="66">
        <f t="shared" si="394"/>
        <v>1.389088727841371E-2</v>
      </c>
      <c r="S510" s="66">
        <f t="shared" si="394"/>
        <v>1.3691349441764464E-2</v>
      </c>
      <c r="T510" s="66">
        <f t="shared" si="394"/>
        <v>1.35434082424442E-2</v>
      </c>
      <c r="U510" s="66">
        <f t="shared" si="394"/>
        <v>1.3436644768167728E-2</v>
      </c>
      <c r="V510" s="66">
        <f t="shared" si="394"/>
        <v>1.336113350082058E-2</v>
      </c>
      <c r="W510" s="66">
        <f t="shared" si="394"/>
        <v>1.3308521226844972E-2</v>
      </c>
      <c r="X510" s="66">
        <f t="shared" si="394"/>
        <v>1.3272269509177381E-2</v>
      </c>
      <c r="Y510" s="66">
        <f t="shared" si="394"/>
        <v>1.3247494059504643E-2</v>
      </c>
      <c r="Z510" s="66">
        <f t="shared" si="394"/>
        <v>1.3230661498894869E-2</v>
      </c>
      <c r="AA510" s="66">
        <f t="shared" si="394"/>
        <v>1.3219273257191671E-2</v>
      </c>
      <c r="AB510" s="66">
        <f t="shared" si="394"/>
        <v>1.3211591018750055E-2</v>
      </c>
      <c r="AC510" s="66">
        <f t="shared" si="394"/>
        <v>1.3206419274487867E-2</v>
      </c>
    </row>
    <row r="511" spans="1:29" x14ac:dyDescent="0.25">
      <c r="A511" s="59" t="str">
        <f>A474</f>
        <v>Payload loss (fuel)</v>
      </c>
      <c r="B511" s="66">
        <f>B499/(B472-B474)-B499/B472</f>
        <v>2.6569500945889182E-4</v>
      </c>
      <c r="C511" s="66">
        <f t="shared" ref="C511:AC511" si="395">C499/(C472-C474)-C499/C472</f>
        <v>2.6454431239896978E-4</v>
      </c>
      <c r="D511" s="66">
        <f t="shared" si="395"/>
        <v>2.6291446080177819E-4</v>
      </c>
      <c r="E511" s="66">
        <f t="shared" si="395"/>
        <v>2.6061877091439721E-4</v>
      </c>
      <c r="F511" s="66">
        <f t="shared" si="395"/>
        <v>2.5741136571987185E-4</v>
      </c>
      <c r="G511" s="66">
        <f t="shared" si="395"/>
        <v>2.529823596895079E-4</v>
      </c>
      <c r="H511" s="66">
        <f t="shared" si="395"/>
        <v>2.4696786561455471E-4</v>
      </c>
      <c r="I511" s="66">
        <f t="shared" si="395"/>
        <v>2.3898961158565386E-4</v>
      </c>
      <c r="J511" s="66">
        <f t="shared" si="395"/>
        <v>2.2874096388435759E-4</v>
      </c>
      <c r="K511" s="66">
        <f t="shared" si="395"/>
        <v>2.1612466643745887E-4</v>
      </c>
      <c r="L511" s="66">
        <f t="shared" si="395"/>
        <v>2.0141093015401887E-4</v>
      </c>
      <c r="M511" s="66">
        <f t="shared" si="395"/>
        <v>1.8532975935802928E-4</v>
      </c>
      <c r="N511" s="66">
        <f t="shared" si="395"/>
        <v>1.6899072110551465E-4</v>
      </c>
      <c r="O511" s="66">
        <f t="shared" si="395"/>
        <v>1.5360489028573565E-4</v>
      </c>
      <c r="P511" s="66">
        <f t="shared" si="395"/>
        <v>1.4013803897885892E-4</v>
      </c>
      <c r="Q511" s="66">
        <f t="shared" si="395"/>
        <v>1.2909232731049547E-4</v>
      </c>
      <c r="R511" s="66">
        <f t="shared" si="395"/>
        <v>1.2050658313243409E-4</v>
      </c>
      <c r="S511" s="66">
        <f t="shared" si="395"/>
        <v>1.1410668192401649E-4</v>
      </c>
      <c r="T511" s="66">
        <f t="shared" si="395"/>
        <v>1.0948261199312821E-4</v>
      </c>
      <c r="U511" s="66">
        <f t="shared" si="395"/>
        <v>1.0621604391017597E-4</v>
      </c>
      <c r="V511" s="66">
        <f t="shared" si="395"/>
        <v>1.0394505979482906E-4</v>
      </c>
      <c r="W511" s="66">
        <f t="shared" si="395"/>
        <v>1.0238388769651975E-4</v>
      </c>
      <c r="X511" s="66">
        <f t="shared" si="395"/>
        <v>1.0131908472872913E-4</v>
      </c>
      <c r="Y511" s="66">
        <f t="shared" si="395"/>
        <v>1.0059679901270983E-4</v>
      </c>
      <c r="Z511" s="66">
        <f t="shared" si="395"/>
        <v>1.0010870470874948E-4</v>
      </c>
      <c r="AA511" s="66">
        <f t="shared" si="395"/>
        <v>9.9779725711982188E-5</v>
      </c>
      <c r="AB511" s="66">
        <f t="shared" si="395"/>
        <v>9.9558385308618803E-5</v>
      </c>
      <c r="AC511" s="66">
        <f t="shared" si="395"/>
        <v>9.94096449857566E-5</v>
      </c>
    </row>
    <row r="512" spans="1:29" ht="15.75" thickBot="1" x14ac:dyDescent="0.3">
      <c r="A512" s="59" t="str">
        <f>A449</f>
        <v>Emission Cost</v>
      </c>
      <c r="B512" s="68">
        <f>B469*B475/B475/(B472)</f>
        <v>2.7720353463829981E-5</v>
      </c>
      <c r="C512" s="68">
        <f t="shared" ref="C512:AC512" si="396">C469*C475/C475/(C472)</f>
        <v>2.7693956933221486E-5</v>
      </c>
      <c r="D512" s="68">
        <f t="shared" si="396"/>
        <v>2.7656170887590741E-5</v>
      </c>
      <c r="E512" s="68">
        <f t="shared" si="396"/>
        <v>2.7602115292082438E-5</v>
      </c>
      <c r="F512" s="68">
        <f t="shared" si="396"/>
        <v>2.7524857918141723E-5</v>
      </c>
      <c r="G512" s="68">
        <f t="shared" si="396"/>
        <v>2.7414594949517453E-5</v>
      </c>
      <c r="H512" s="68">
        <f t="shared" si="396"/>
        <v>2.7257553431729298E-5</v>
      </c>
      <c r="I512" s="68">
        <f t="shared" si="396"/>
        <v>2.7034576988652517E-5</v>
      </c>
      <c r="J512" s="68">
        <f t="shared" si="396"/>
        <v>2.671942121303163E-5</v>
      </c>
      <c r="K512" s="68">
        <f t="shared" si="396"/>
        <v>2.6276948189941081E-5</v>
      </c>
      <c r="L512" s="68">
        <f t="shared" si="396"/>
        <v>2.5661750065163995E-5</v>
      </c>
      <c r="M512" s="68">
        <f t="shared" si="396"/>
        <v>2.4818336450702231E-5</v>
      </c>
      <c r="N512" s="68">
        <f t="shared" si="396"/>
        <v>2.3684878929414742E-5</v>
      </c>
      <c r="O512" s="68">
        <f t="shared" si="396"/>
        <v>2.2203230981202583E-5</v>
      </c>
      <c r="P512" s="68">
        <f t="shared" si="396"/>
        <v>2.0337345821436844E-5</v>
      </c>
      <c r="Q512" s="68">
        <f t="shared" si="396"/>
        <v>1.8098337189959851E-5</v>
      </c>
      <c r="R512" s="68">
        <f t="shared" si="396"/>
        <v>1.5566525218376277E-5</v>
      </c>
      <c r="S512" s="68">
        <f t="shared" si="396"/>
        <v>1.2893701707738626E-5</v>
      </c>
      <c r="T512" s="68">
        <f t="shared" si="396"/>
        <v>1.0273474364414172E-5</v>
      </c>
      <c r="U512" s="68">
        <f t="shared" si="396"/>
        <v>7.8882274801936528E-6</v>
      </c>
      <c r="V512" s="68">
        <f t="shared" si="396"/>
        <v>5.8611072942943949E-6</v>
      </c>
      <c r="W512" s="68">
        <f t="shared" si="396"/>
        <v>4.2377470620456635E-6</v>
      </c>
      <c r="X512" s="68">
        <f t="shared" si="396"/>
        <v>2.9990511549711943E-6</v>
      </c>
      <c r="Y512" s="68">
        <f t="shared" si="396"/>
        <v>2.0885103197161035E-6</v>
      </c>
      <c r="Z512" s="68">
        <f t="shared" si="396"/>
        <v>1.4374867949973584E-6</v>
      </c>
      <c r="AA512" s="68">
        <f t="shared" si="396"/>
        <v>9.8121544709612368E-7</v>
      </c>
      <c r="AB512" s="68">
        <f t="shared" si="396"/>
        <v>6.6590390106759695E-7</v>
      </c>
      <c r="AC512" s="68">
        <f t="shared" si="396"/>
        <v>4.501204975432519E-7</v>
      </c>
    </row>
    <row r="513" spans="1:29" ht="15.75" thickBot="1" x14ac:dyDescent="0.3">
      <c r="A513" s="31" t="s">
        <v>210</v>
      </c>
      <c r="B513" s="67">
        <f>B502+B503+B504+B505+B506+B507+B508+B509+B510+B511+B512</f>
        <v>2.6861569584288928E-2</v>
      </c>
      <c r="C513" s="67">
        <f t="shared" ref="C513:AC513" si="397">C502+C503+C504+C505+C506+C507+C508+C509+C510+C511+C512</f>
        <v>2.6822927398097395E-2</v>
      </c>
      <c r="D513" s="67">
        <f t="shared" si="397"/>
        <v>2.6768064107705644E-2</v>
      </c>
      <c r="E513" s="67">
        <f t="shared" si="397"/>
        <v>2.6690526167144249E-2</v>
      </c>
      <c r="F513" s="67">
        <f t="shared" si="397"/>
        <v>2.6581676002533645E-2</v>
      </c>
      <c r="G513" s="67">
        <f t="shared" si="397"/>
        <v>2.6430356870076964E-2</v>
      </c>
      <c r="H513" s="67">
        <f t="shared" si="397"/>
        <v>2.6222944295597708E-2</v>
      </c>
      <c r="I513" s="67">
        <f t="shared" si="397"/>
        <v>2.5944273652828982E-2</v>
      </c>
      <c r="J513" s="67">
        <f t="shared" si="397"/>
        <v>2.5580108376830189E-2</v>
      </c>
      <c r="K513" s="67">
        <f t="shared" si="397"/>
        <v>2.5121660348318704E-2</v>
      </c>
      <c r="L513" s="67">
        <f t="shared" si="397"/>
        <v>2.4571714526114709E-2</v>
      </c>
      <c r="M513" s="67">
        <f t="shared" si="397"/>
        <v>2.394997411206903E-2</v>
      </c>
      <c r="N513" s="67">
        <f t="shared" si="397"/>
        <v>2.3293530978793494E-2</v>
      </c>
      <c r="O513" s="67">
        <f t="shared" si="397"/>
        <v>2.2649551670419186E-2</v>
      </c>
      <c r="P513" s="67">
        <f t="shared" si="397"/>
        <v>2.2062348265536033E-2</v>
      </c>
      <c r="Q513" s="67">
        <f t="shared" si="397"/>
        <v>2.1561794302309898E-2</v>
      </c>
      <c r="R513" s="67">
        <f t="shared" si="397"/>
        <v>2.1159035758028102E-2</v>
      </c>
      <c r="S513" s="67">
        <f t="shared" si="397"/>
        <v>2.0849693797129532E-2</v>
      </c>
      <c r="T513" s="67">
        <f t="shared" si="397"/>
        <v>2.062046264321039E-2</v>
      </c>
      <c r="U513" s="67">
        <f t="shared" si="397"/>
        <v>2.0455105780173278E-2</v>
      </c>
      <c r="V513" s="67">
        <f t="shared" si="397"/>
        <v>2.0338192183688784E-2</v>
      </c>
      <c r="W513" s="67">
        <f t="shared" si="397"/>
        <v>2.0256754077416974E-2</v>
      </c>
      <c r="X513" s="67">
        <f t="shared" si="397"/>
        <v>2.0200651241553048E-2</v>
      </c>
      <c r="Y513" s="67">
        <f t="shared" si="397"/>
        <v>2.0162314406738744E-2</v>
      </c>
      <c r="Z513" s="67">
        <f t="shared" si="397"/>
        <v>2.0136270805436136E-2</v>
      </c>
      <c r="AA513" s="67">
        <f t="shared" si="397"/>
        <v>2.0118651985796859E-2</v>
      </c>
      <c r="AB513" s="67">
        <f t="shared" si="397"/>
        <v>2.010676732792141E-2</v>
      </c>
      <c r="AC513" s="67">
        <f t="shared" si="397"/>
        <v>2.009876674914381E-2</v>
      </c>
    </row>
    <row r="515" spans="1:29" x14ac:dyDescent="0.25">
      <c r="B515" s="40"/>
    </row>
  </sheetData>
  <conditionalFormatting sqref="Q11:AR20 Q22:AR27">
    <cfRule type="colorScale" priority="50">
      <colorScale>
        <cfvo type="min"/>
        <cfvo type="max"/>
        <color rgb="FFFF7128"/>
        <color rgb="FFFFEF9C"/>
      </colorScale>
    </cfRule>
    <cfRule type="colorScale" priority="46">
      <colorScale>
        <cfvo type="min"/>
        <cfvo type="max"/>
        <color rgb="FFFF7128"/>
        <color rgb="FFFFEF9C"/>
      </colorScale>
    </cfRule>
    <cfRule type="colorScale" priority="47">
      <colorScale>
        <cfvo type="min"/>
        <cfvo type="percentile" val="50"/>
        <cfvo type="max"/>
        <color rgb="FFF8696B"/>
        <color rgb="FFFFEB84"/>
        <color rgb="FF63BE7B"/>
      </colorScale>
    </cfRule>
    <cfRule type="colorScale" priority="48">
      <colorScale>
        <cfvo type="min"/>
        <cfvo type="percentile" val="50"/>
        <cfvo type="max"/>
        <color theme="5" tint="-0.249977111117893"/>
        <color theme="7" tint="0.79998168889431442"/>
        <color theme="7" tint="0.39997558519241921"/>
      </colorScale>
    </cfRule>
    <cfRule type="colorScale" priority="49">
      <colorScale>
        <cfvo type="min"/>
        <cfvo type="percentile" val="50"/>
        <cfvo type="max"/>
        <color rgb="FFF8696B"/>
        <color rgb="FFFFEB84"/>
        <color rgb="FF63BE7B"/>
      </colorScale>
    </cfRule>
  </conditionalFormatting>
  <conditionalFormatting sqref="Q21:AR21">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26 Q128:AR133">
    <cfRule type="colorScale" priority="45">
      <colorScale>
        <cfvo type="min"/>
        <cfvo type="max"/>
        <color rgb="FFFF7128"/>
        <color rgb="FFFFEF9C"/>
      </colorScale>
    </cfRule>
    <cfRule type="colorScale" priority="43">
      <colorScale>
        <cfvo type="min"/>
        <cfvo type="percentile" val="50"/>
        <cfvo type="max"/>
        <color theme="5" tint="-0.249977111117893"/>
        <color theme="7" tint="0.79998168889431442"/>
        <color theme="7" tint="0.39997558519241921"/>
      </colorScale>
    </cfRule>
    <cfRule type="colorScale" priority="42">
      <colorScale>
        <cfvo type="min"/>
        <cfvo type="percentile" val="50"/>
        <cfvo type="max"/>
        <color rgb="FFF8696B"/>
        <color rgb="FFFFEB84"/>
        <color rgb="FF63BE7B"/>
      </colorScale>
    </cfRule>
    <cfRule type="colorScale" priority="41">
      <colorScale>
        <cfvo type="min"/>
        <cfvo type="max"/>
        <color rgb="FFFF7128"/>
        <color rgb="FFFFEF9C"/>
      </colorScale>
    </cfRule>
    <cfRule type="colorScale" priority="44">
      <colorScale>
        <cfvo type="min"/>
        <cfvo type="percentile" val="50"/>
        <cfvo type="max"/>
        <color rgb="FFF8696B"/>
        <color rgb="FFFFEB84"/>
        <color rgb="FF63BE7B"/>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40">
      <colorScale>
        <cfvo type="min"/>
        <cfvo type="max"/>
        <color rgb="FFFF7128"/>
        <color rgb="FFFFEF9C"/>
      </colorScale>
    </cfRule>
    <cfRule type="colorScale" priority="39">
      <colorScale>
        <cfvo type="min"/>
        <cfvo type="percentile" val="50"/>
        <cfvo type="max"/>
        <color rgb="FFF8696B"/>
        <color rgb="FFFFEB84"/>
        <color rgb="FF63BE7B"/>
      </colorScale>
    </cfRule>
    <cfRule type="colorScale" priority="37">
      <colorScale>
        <cfvo type="min"/>
        <cfvo type="percentile" val="50"/>
        <cfvo type="max"/>
        <color rgb="FFF8696B"/>
        <color rgb="FFFFEB84"/>
        <color rgb="FF63BE7B"/>
      </colorScale>
    </cfRule>
    <cfRule type="colorScale" priority="36">
      <colorScale>
        <cfvo type="min"/>
        <cfvo type="max"/>
        <color rgb="FFFF7128"/>
        <color rgb="FFFFEF9C"/>
      </colorScale>
    </cfRule>
    <cfRule type="colorScale" priority="38">
      <colorScale>
        <cfvo type="min"/>
        <cfvo type="percentile" val="50"/>
        <cfvo type="max"/>
        <color theme="5" tint="-0.249977111117893"/>
        <color theme="7" tint="0.79998168889431442"/>
        <color theme="7" tint="0.39997558519241921"/>
      </colorScale>
    </cfRule>
  </conditionalFormatting>
  <conditionalFormatting sqref="Q235:AR235">
    <cfRule type="colorScale" priority="13">
      <colorScale>
        <cfvo type="min"/>
        <cfvo type="percentile" val="50"/>
        <cfvo type="max"/>
        <color theme="5" tint="-0.249977111117893"/>
        <color theme="7" tint="0.79998168889431442"/>
        <color theme="7" tint="0.39997558519241921"/>
      </colorScale>
    </cfRule>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32">
      <colorScale>
        <cfvo type="min"/>
        <cfvo type="percentile" val="50"/>
        <cfvo type="max"/>
        <color rgb="FFF8696B"/>
        <color rgb="FFFFEB84"/>
        <color rgb="FF63BE7B"/>
      </colorScale>
    </cfRule>
    <cfRule type="colorScale" priority="31">
      <colorScale>
        <cfvo type="min"/>
        <cfvo type="max"/>
        <color rgb="FFFF7128"/>
        <color rgb="FFFFEF9C"/>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344:AR344">
    <cfRule type="colorScale" priority="10">
      <colorScale>
        <cfvo type="min"/>
        <cfvo type="max"/>
        <color rgb="FFFF7128"/>
        <color rgb="FFFFEF9C"/>
      </colorScale>
    </cfRule>
    <cfRule type="colorScale" priority="9">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onditionalFormatting>
  <conditionalFormatting sqref="Q439:AR448 Q450:AR455">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3FE2A-6500-43FA-8912-F10895FFEF20}">
  <sheetPr>
    <tabColor rgb="FFC00000"/>
  </sheetPr>
  <dimension ref="A1:BA515"/>
  <sheetViews>
    <sheetView topLeftCell="A433" zoomScale="80" zoomScaleNormal="80" workbookViewId="0">
      <selection activeCell="A446" sqref="A446"/>
    </sheetView>
  </sheetViews>
  <sheetFormatPr defaultColWidth="9.140625" defaultRowHeight="15" x14ac:dyDescent="0.25"/>
  <cols>
    <col min="1" max="1" width="38.5703125" style="4" customWidth="1"/>
    <col min="2" max="4" width="14.85546875" style="4" bestFit="1" customWidth="1"/>
    <col min="5" max="5" width="28" style="4" bestFit="1" customWidth="1"/>
    <col min="6" max="11" width="14.85546875" style="4" bestFit="1" customWidth="1"/>
    <col min="12" max="12" width="24.42578125" style="4" bestFit="1" customWidth="1"/>
    <col min="13" max="29" width="14.85546875" style="4" bestFit="1" customWidth="1"/>
    <col min="30" max="44" width="13.5703125" style="4" bestFit="1" customWidth="1"/>
    <col min="45" max="45" width="9.140625" style="4"/>
    <col min="46" max="46" width="35.140625" style="4" bestFit="1" customWidth="1"/>
    <col min="47" max="48" width="11.42578125" style="4" bestFit="1" customWidth="1"/>
    <col min="49" max="49" width="8.5703125" style="4" bestFit="1" customWidth="1"/>
    <col min="50" max="50" width="21.42578125" style="4" bestFit="1" customWidth="1"/>
    <col min="51" max="52" width="4.42578125" style="4" bestFit="1" customWidth="1"/>
    <col min="53" max="53" width="7" style="4" bestFit="1" customWidth="1"/>
    <col min="54" max="54" width="9.140625" style="4"/>
    <col min="55" max="55" width="31.5703125" style="4" bestFit="1" customWidth="1"/>
    <col min="56" max="57" width="9.5703125" style="4" bestFit="1" customWidth="1"/>
    <col min="58" max="58" width="11.42578125" style="4" bestFit="1" customWidth="1"/>
    <col min="59" max="59" width="8" style="4" bestFit="1" customWidth="1"/>
    <col min="60" max="61" width="4.42578125" style="4" bestFit="1" customWidth="1"/>
    <col min="62" max="62" width="7" style="4" bestFit="1" customWidth="1"/>
    <col min="63" max="63" width="9.140625" style="4"/>
    <col min="64" max="64" width="31.5703125" style="4" bestFit="1" customWidth="1"/>
    <col min="65" max="66" width="9.5703125" style="4" bestFit="1" customWidth="1"/>
    <col min="67" max="67" width="8.5703125" style="4" bestFit="1" customWidth="1"/>
    <col min="68" max="68" width="3.42578125" style="4" bestFit="1" customWidth="1"/>
    <col min="69" max="70" width="4.42578125" style="4" bestFit="1" customWidth="1"/>
    <col min="71" max="16384" width="9.140625" style="4"/>
  </cols>
  <sheetData>
    <row r="1" spans="1:53" s="3" customFormat="1" ht="21" x14ac:dyDescent="0.35">
      <c r="A1" s="2" t="str">
        <f>'Parameter Input'!A90</f>
        <v>Railway long-haul: Dry bulk</v>
      </c>
    </row>
    <row r="2" spans="1:53" s="3" customFormat="1" ht="21" x14ac:dyDescent="0.35">
      <c r="A2" s="2" t="s">
        <v>103</v>
      </c>
    </row>
    <row r="3" spans="1:53" x14ac:dyDescent="0.25">
      <c r="A3" s="33" t="s">
        <v>195</v>
      </c>
    </row>
    <row r="4" spans="1:53" x14ac:dyDescent="0.25">
      <c r="A4" s="33" t="s">
        <v>196</v>
      </c>
    </row>
    <row r="5" spans="1:53" ht="15.75" thickBot="1" x14ac:dyDescent="0.3">
      <c r="A5" s="34" t="s">
        <v>197</v>
      </c>
      <c r="B5" s="34"/>
    </row>
    <row r="6" spans="1:53" ht="15.75" thickBot="1" x14ac:dyDescent="0.3">
      <c r="A6" s="39" t="s">
        <v>198</v>
      </c>
      <c r="B6" s="35"/>
    </row>
    <row r="7" spans="1:53" ht="15.75" thickBot="1" x14ac:dyDescent="0.3">
      <c r="A7" s="38" t="s">
        <v>199</v>
      </c>
      <c r="B7" s="36"/>
    </row>
    <row r="8" spans="1:53" ht="15.75" thickBot="1" x14ac:dyDescent="0.3"/>
    <row r="9" spans="1:53"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c r="AT9" s="82"/>
      <c r="AU9" s="83"/>
      <c r="AV9" s="83"/>
      <c r="AW9" s="83"/>
      <c r="AX9" s="83" t="str">
        <f>L9</f>
        <v>Input Sigmoid function</v>
      </c>
      <c r="AY9" s="83"/>
      <c r="AZ9" s="83"/>
      <c r="BA9" s="84" t="s">
        <v>3</v>
      </c>
    </row>
    <row r="10" spans="1:53"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c r="AT10" s="85"/>
      <c r="AU10" s="80">
        <f>B9</f>
        <v>2023</v>
      </c>
      <c r="AV10" s="80">
        <f>C9</f>
        <v>2050</v>
      </c>
      <c r="AW10" s="80" t="str">
        <f>D10</f>
        <v>Unit</v>
      </c>
      <c r="AX10" s="80" t="str">
        <f>L10</f>
        <v>midway</v>
      </c>
      <c r="AY10" s="80" t="str">
        <f t="shared" ref="AY10:AZ12" si="0">O10</f>
        <v>a</v>
      </c>
      <c r="AZ10" s="80" t="str">
        <f t="shared" si="0"/>
        <v>k</v>
      </c>
      <c r="BA10" s="86"/>
    </row>
    <row r="11" spans="1:53" x14ac:dyDescent="0.25">
      <c r="A11" s="24" t="s">
        <v>18</v>
      </c>
      <c r="B11" s="41">
        <f>'Parameter Input'!$L$127</f>
        <v>10000000</v>
      </c>
      <c r="C11" s="42">
        <f>'Parameter Input'!$M$127</f>
        <v>4000000</v>
      </c>
      <c r="D11" s="1" t="s">
        <v>15</v>
      </c>
      <c r="L11" s="51">
        <f>'Parameter Input'!$O$127</f>
        <v>12</v>
      </c>
      <c r="M11" s="52">
        <v>0</v>
      </c>
      <c r="N11" s="52">
        <v>1</v>
      </c>
      <c r="O11" s="52">
        <f>'Parameter Input'!$P$127</f>
        <v>0.9</v>
      </c>
      <c r="P11" s="53">
        <f>'Parameter Input'!$Q$127</f>
        <v>0.4</v>
      </c>
      <c r="Q11" s="4">
        <f t="shared" ref="Q11:AR20" si="1">$N11+($M11-$N11)*((1/(1+EXP(-$P11*(Q$9-$L11)))^$O11))</f>
        <v>0.9867978615748374</v>
      </c>
      <c r="R11" s="4">
        <f t="shared" si="1"/>
        <v>0.98114509762858249</v>
      </c>
      <c r="S11" s="4">
        <f t="shared" si="1"/>
        <v>0.97311898315872036</v>
      </c>
      <c r="T11" s="4">
        <f t="shared" si="1"/>
        <v>0.96177484161592774</v>
      </c>
      <c r="U11" s="4">
        <f t="shared" si="1"/>
        <v>0.94584787155511363</v>
      </c>
      <c r="V11" s="4">
        <f t="shared" si="1"/>
        <v>0.92370360150141495</v>
      </c>
      <c r="W11" s="4">
        <f t="shared" si="1"/>
        <v>0.89334463567658451</v>
      </c>
      <c r="X11" s="4">
        <f t="shared" si="1"/>
        <v>0.85254543874327005</v>
      </c>
      <c r="Y11" s="4">
        <f t="shared" si="1"/>
        <v>0.79921300652623883</v>
      </c>
      <c r="Z11" s="4">
        <f t="shared" si="1"/>
        <v>0.73204982249993378</v>
      </c>
      <c r="AA11" s="4">
        <f t="shared" si="1"/>
        <v>0.65145592958786691</v>
      </c>
      <c r="AB11" s="4">
        <f t="shared" si="1"/>
        <v>0.56032247880849573</v>
      </c>
      <c r="AC11" s="4">
        <f t="shared" si="1"/>
        <v>0.46411326873185343</v>
      </c>
      <c r="AD11" s="4">
        <f t="shared" si="1"/>
        <v>0.36979727595523937</v>
      </c>
      <c r="AE11" s="4">
        <f t="shared" si="1"/>
        <v>0.28393948637231203</v>
      </c>
      <c r="AF11" s="4">
        <f t="shared" si="1"/>
        <v>0.21097259161117732</v>
      </c>
      <c r="AG11" s="4">
        <f t="shared" si="1"/>
        <v>0.15253917653798199</v>
      </c>
      <c r="AH11" s="4">
        <f t="shared" si="1"/>
        <v>0.10795188737709993</v>
      </c>
      <c r="AI11" s="4">
        <f t="shared" si="1"/>
        <v>7.5176653938091809E-2</v>
      </c>
      <c r="AJ11" s="4">
        <f t="shared" si="1"/>
        <v>5.1742836177502194E-2</v>
      </c>
      <c r="AK11" s="4">
        <f t="shared" si="1"/>
        <v>3.5319190625345942E-2</v>
      </c>
      <c r="AL11" s="4">
        <f t="shared" si="1"/>
        <v>2.3969442072658165E-2</v>
      </c>
      <c r="AM11" s="4">
        <f t="shared" si="1"/>
        <v>1.6202243558389728E-2</v>
      </c>
      <c r="AN11" s="4">
        <f t="shared" si="1"/>
        <v>1.0922240564108399E-2</v>
      </c>
      <c r="AO11" s="4">
        <f t="shared" si="1"/>
        <v>7.3493212906090566E-3</v>
      </c>
      <c r="AP11" s="4">
        <f t="shared" si="1"/>
        <v>4.9390262185057265E-3</v>
      </c>
      <c r="AQ11" s="4">
        <f t="shared" si="1"/>
        <v>3.3164275492956197E-3</v>
      </c>
      <c r="AR11" s="4">
        <f t="shared" si="1"/>
        <v>2.2256362146679809E-3</v>
      </c>
      <c r="AT11" s="85" t="str">
        <f t="shared" ref="AT11:AV12" si="2">A11</f>
        <v>Capex vehicle</v>
      </c>
      <c r="AU11" s="81">
        <f t="shared" si="2"/>
        <v>10000000</v>
      </c>
      <c r="AV11" s="81">
        <f t="shared" si="2"/>
        <v>4000000</v>
      </c>
      <c r="AW11" s="81" t="str">
        <f>D11</f>
        <v>[€]</v>
      </c>
      <c r="AX11" s="80">
        <f>L11</f>
        <v>12</v>
      </c>
      <c r="AY11" s="80">
        <f t="shared" si="0"/>
        <v>0.9</v>
      </c>
      <c r="AZ11" s="80">
        <f t="shared" si="0"/>
        <v>0.4</v>
      </c>
      <c r="BA11" s="86"/>
    </row>
    <row r="12" spans="1:53" x14ac:dyDescent="0.25">
      <c r="A12" s="24" t="s">
        <v>28</v>
      </c>
      <c r="B12" s="60">
        <f>'Parameter Input'!$L$128</f>
        <v>-500000</v>
      </c>
      <c r="C12" s="61">
        <f>'Parameter Input'!$M$128</f>
        <v>-600000</v>
      </c>
      <c r="D12" s="1" t="s">
        <v>15</v>
      </c>
      <c r="L12" s="54">
        <f>'Parameter Input'!$O$128</f>
        <v>12</v>
      </c>
      <c r="M12" s="37">
        <v>0</v>
      </c>
      <c r="N12" s="37">
        <v>1</v>
      </c>
      <c r="O12" s="37">
        <f>'Parameter Input'!$P$128</f>
        <v>0.9</v>
      </c>
      <c r="P12" s="55">
        <f>'Parameter Input'!$Q$128</f>
        <v>0.4</v>
      </c>
      <c r="Q12" s="4">
        <f t="shared" si="1"/>
        <v>0.9867978615748374</v>
      </c>
      <c r="R12" s="4">
        <f t="shared" si="1"/>
        <v>0.98114509762858249</v>
      </c>
      <c r="S12" s="4">
        <f t="shared" si="1"/>
        <v>0.97311898315872036</v>
      </c>
      <c r="T12" s="4">
        <f t="shared" si="1"/>
        <v>0.96177484161592774</v>
      </c>
      <c r="U12" s="4">
        <f t="shared" si="1"/>
        <v>0.94584787155511363</v>
      </c>
      <c r="V12" s="4">
        <f t="shared" si="1"/>
        <v>0.92370360150141495</v>
      </c>
      <c r="W12" s="4">
        <f t="shared" si="1"/>
        <v>0.89334463567658451</v>
      </c>
      <c r="X12" s="4">
        <f t="shared" si="1"/>
        <v>0.85254543874327005</v>
      </c>
      <c r="Y12" s="4">
        <f t="shared" si="1"/>
        <v>0.79921300652623883</v>
      </c>
      <c r="Z12" s="4">
        <f t="shared" si="1"/>
        <v>0.73204982249993378</v>
      </c>
      <c r="AA12" s="4">
        <f t="shared" si="1"/>
        <v>0.65145592958786691</v>
      </c>
      <c r="AB12" s="4">
        <f t="shared" si="1"/>
        <v>0.56032247880849573</v>
      </c>
      <c r="AC12" s="4">
        <f t="shared" si="1"/>
        <v>0.46411326873185343</v>
      </c>
      <c r="AD12" s="4">
        <f t="shared" si="1"/>
        <v>0.36979727595523937</v>
      </c>
      <c r="AE12" s="4">
        <f t="shared" si="1"/>
        <v>0.28393948637231203</v>
      </c>
      <c r="AF12" s="4">
        <f t="shared" si="1"/>
        <v>0.21097259161117732</v>
      </c>
      <c r="AG12" s="4">
        <f t="shared" si="1"/>
        <v>0.15253917653798199</v>
      </c>
      <c r="AH12" s="4">
        <f t="shared" si="1"/>
        <v>0.10795188737709993</v>
      </c>
      <c r="AI12" s="4">
        <f t="shared" si="1"/>
        <v>7.5176653938091809E-2</v>
      </c>
      <c r="AJ12" s="4">
        <f t="shared" si="1"/>
        <v>5.1742836177502194E-2</v>
      </c>
      <c r="AK12" s="4">
        <f t="shared" si="1"/>
        <v>3.5319190625345942E-2</v>
      </c>
      <c r="AL12" s="4">
        <f t="shared" si="1"/>
        <v>2.3969442072658165E-2</v>
      </c>
      <c r="AM12" s="4">
        <f t="shared" si="1"/>
        <v>1.6202243558389728E-2</v>
      </c>
      <c r="AN12" s="4">
        <f t="shared" si="1"/>
        <v>1.0922240564108399E-2</v>
      </c>
      <c r="AO12" s="4">
        <f t="shared" si="1"/>
        <v>7.3493212906090566E-3</v>
      </c>
      <c r="AP12" s="4">
        <f t="shared" si="1"/>
        <v>4.9390262185057265E-3</v>
      </c>
      <c r="AQ12" s="4">
        <f t="shared" si="1"/>
        <v>3.3164275492956197E-3</v>
      </c>
      <c r="AR12" s="4">
        <f t="shared" si="1"/>
        <v>2.2256362146679809E-3</v>
      </c>
      <c r="AT12" s="85" t="str">
        <f t="shared" si="2"/>
        <v>Residual value (vehicle)</v>
      </c>
      <c r="AU12" s="81">
        <f t="shared" si="2"/>
        <v>-500000</v>
      </c>
      <c r="AV12" s="81">
        <f t="shared" si="2"/>
        <v>-600000</v>
      </c>
      <c r="AW12" s="81" t="str">
        <f>D12</f>
        <v>[€]</v>
      </c>
      <c r="AX12" s="80">
        <f>L12</f>
        <v>12</v>
      </c>
      <c r="AY12" s="80">
        <f t="shared" si="0"/>
        <v>0.9</v>
      </c>
      <c r="AZ12" s="80">
        <f t="shared" si="0"/>
        <v>0.4</v>
      </c>
      <c r="BA12" s="86"/>
    </row>
    <row r="13" spans="1:53" x14ac:dyDescent="0.25">
      <c r="A13" s="24" t="s">
        <v>14</v>
      </c>
      <c r="B13" s="43">
        <f>'Parameter Input'!B91</f>
        <v>4200000</v>
      </c>
      <c r="C13" s="44">
        <f>'Parameter Input'!C91</f>
        <v>4200000</v>
      </c>
      <c r="D13" s="1" t="s">
        <v>15</v>
      </c>
      <c r="L13" s="54">
        <f>'Parameter Input'!E91</f>
        <v>12</v>
      </c>
      <c r="M13" s="37">
        <v>0</v>
      </c>
      <c r="N13" s="37">
        <v>1</v>
      </c>
      <c r="O13" s="37">
        <f>'Parameter Input'!F91</f>
        <v>0.9</v>
      </c>
      <c r="P13" s="55">
        <f>'Parameter Input'!G91</f>
        <v>0.4</v>
      </c>
      <c r="Q13" s="4">
        <f t="shared" si="1"/>
        <v>0.9867978615748374</v>
      </c>
      <c r="R13" s="4">
        <f t="shared" si="1"/>
        <v>0.98114509762858249</v>
      </c>
      <c r="S13" s="4">
        <f t="shared" si="1"/>
        <v>0.97311898315872036</v>
      </c>
      <c r="T13" s="4">
        <f t="shared" si="1"/>
        <v>0.96177484161592774</v>
      </c>
      <c r="U13" s="4">
        <f t="shared" si="1"/>
        <v>0.94584787155511363</v>
      </c>
      <c r="V13" s="4">
        <f t="shared" si="1"/>
        <v>0.92370360150141495</v>
      </c>
      <c r="W13" s="4">
        <f t="shared" si="1"/>
        <v>0.89334463567658451</v>
      </c>
      <c r="X13" s="4">
        <f t="shared" si="1"/>
        <v>0.85254543874327005</v>
      </c>
      <c r="Y13" s="4">
        <f t="shared" si="1"/>
        <v>0.79921300652623883</v>
      </c>
      <c r="Z13" s="4">
        <f t="shared" si="1"/>
        <v>0.73204982249993378</v>
      </c>
      <c r="AA13" s="4">
        <f t="shared" si="1"/>
        <v>0.65145592958786691</v>
      </c>
      <c r="AB13" s="4">
        <f t="shared" si="1"/>
        <v>0.56032247880849573</v>
      </c>
      <c r="AC13" s="4">
        <f t="shared" si="1"/>
        <v>0.46411326873185343</v>
      </c>
      <c r="AD13" s="4">
        <f t="shared" si="1"/>
        <v>0.36979727595523937</v>
      </c>
      <c r="AE13" s="4">
        <f t="shared" si="1"/>
        <v>0.28393948637231203</v>
      </c>
      <c r="AF13" s="4">
        <f t="shared" si="1"/>
        <v>0.21097259161117732</v>
      </c>
      <c r="AG13" s="4">
        <f t="shared" si="1"/>
        <v>0.15253917653798199</v>
      </c>
      <c r="AH13" s="4">
        <f t="shared" si="1"/>
        <v>0.10795188737709993</v>
      </c>
      <c r="AI13" s="4">
        <f t="shared" si="1"/>
        <v>7.5176653938091809E-2</v>
      </c>
      <c r="AJ13" s="4">
        <f t="shared" si="1"/>
        <v>5.1742836177502194E-2</v>
      </c>
      <c r="AK13" s="4">
        <f t="shared" si="1"/>
        <v>3.5319190625345942E-2</v>
      </c>
      <c r="AL13" s="4">
        <f t="shared" si="1"/>
        <v>2.3969442072658165E-2</v>
      </c>
      <c r="AM13" s="4">
        <f t="shared" si="1"/>
        <v>1.6202243558389728E-2</v>
      </c>
      <c r="AN13" s="4">
        <f t="shared" si="1"/>
        <v>1.0922240564108399E-2</v>
      </c>
      <c r="AO13" s="4">
        <f t="shared" si="1"/>
        <v>7.3493212906090566E-3</v>
      </c>
      <c r="AP13" s="4">
        <f t="shared" si="1"/>
        <v>4.9390262185057265E-3</v>
      </c>
      <c r="AQ13" s="4">
        <f t="shared" si="1"/>
        <v>3.3164275492956197E-3</v>
      </c>
      <c r="AR13" s="4">
        <f t="shared" si="1"/>
        <v>2.2256362146679809E-3</v>
      </c>
      <c r="AT13" s="85" t="str">
        <f t="shared" ref="AT13:AW14" si="3">A15</f>
        <v>WACC</v>
      </c>
      <c r="AU13" s="81">
        <f t="shared" si="3"/>
        <v>0.06</v>
      </c>
      <c r="AV13" s="81">
        <f t="shared" si="3"/>
        <v>0.06</v>
      </c>
      <c r="AW13" s="81" t="str">
        <f t="shared" si="3"/>
        <v>[%]</v>
      </c>
      <c r="AX13" s="80">
        <f>L15</f>
        <v>12</v>
      </c>
      <c r="AY13" s="80">
        <f>O15</f>
        <v>0.9</v>
      </c>
      <c r="AZ13" s="80">
        <f>P15</f>
        <v>0.4</v>
      </c>
      <c r="BA13" s="86"/>
    </row>
    <row r="14" spans="1:53" x14ac:dyDescent="0.25">
      <c r="A14" s="24" t="s">
        <v>25</v>
      </c>
      <c r="B14" s="60">
        <f>'Parameter Input'!B92</f>
        <v>-210000</v>
      </c>
      <c r="C14" s="61">
        <f>'Parameter Input'!C92</f>
        <v>-210000</v>
      </c>
      <c r="D14" s="1" t="s">
        <v>15</v>
      </c>
      <c r="L14" s="54">
        <f>'Parameter Input'!E92</f>
        <v>12</v>
      </c>
      <c r="M14" s="37">
        <v>0</v>
      </c>
      <c r="N14" s="37">
        <v>1</v>
      </c>
      <c r="O14" s="37">
        <f>'Parameter Input'!F92</f>
        <v>0.9</v>
      </c>
      <c r="P14" s="55">
        <f>'Parameter Input'!G92</f>
        <v>0.4</v>
      </c>
      <c r="Q14" s="4">
        <f t="shared" si="1"/>
        <v>0.9867978615748374</v>
      </c>
      <c r="R14" s="4">
        <f t="shared" si="1"/>
        <v>0.98114509762858249</v>
      </c>
      <c r="S14" s="4">
        <f t="shared" si="1"/>
        <v>0.97311898315872036</v>
      </c>
      <c r="T14" s="4">
        <f t="shared" si="1"/>
        <v>0.96177484161592774</v>
      </c>
      <c r="U14" s="4">
        <f t="shared" si="1"/>
        <v>0.94584787155511363</v>
      </c>
      <c r="V14" s="4">
        <f t="shared" si="1"/>
        <v>0.92370360150141495</v>
      </c>
      <c r="W14" s="4">
        <f t="shared" si="1"/>
        <v>0.89334463567658451</v>
      </c>
      <c r="X14" s="4">
        <f t="shared" si="1"/>
        <v>0.85254543874327005</v>
      </c>
      <c r="Y14" s="4">
        <f t="shared" si="1"/>
        <v>0.79921300652623883</v>
      </c>
      <c r="Z14" s="4">
        <f t="shared" si="1"/>
        <v>0.73204982249993378</v>
      </c>
      <c r="AA14" s="4">
        <f t="shared" si="1"/>
        <v>0.65145592958786691</v>
      </c>
      <c r="AB14" s="4">
        <f t="shared" si="1"/>
        <v>0.56032247880849573</v>
      </c>
      <c r="AC14" s="4">
        <f t="shared" si="1"/>
        <v>0.46411326873185343</v>
      </c>
      <c r="AD14" s="4">
        <f t="shared" si="1"/>
        <v>0.36979727595523937</v>
      </c>
      <c r="AE14" s="4">
        <f t="shared" si="1"/>
        <v>0.28393948637231203</v>
      </c>
      <c r="AF14" s="4">
        <f t="shared" si="1"/>
        <v>0.21097259161117732</v>
      </c>
      <c r="AG14" s="4">
        <f t="shared" si="1"/>
        <v>0.15253917653798199</v>
      </c>
      <c r="AH14" s="4">
        <f t="shared" si="1"/>
        <v>0.10795188737709993</v>
      </c>
      <c r="AI14" s="4">
        <f t="shared" si="1"/>
        <v>7.5176653938091809E-2</v>
      </c>
      <c r="AJ14" s="4">
        <f t="shared" si="1"/>
        <v>5.1742836177502194E-2</v>
      </c>
      <c r="AK14" s="4">
        <f t="shared" si="1"/>
        <v>3.5319190625345942E-2</v>
      </c>
      <c r="AL14" s="4">
        <f t="shared" si="1"/>
        <v>2.3969442072658165E-2</v>
      </c>
      <c r="AM14" s="4">
        <f t="shared" si="1"/>
        <v>1.6202243558389728E-2</v>
      </c>
      <c r="AN14" s="4">
        <f t="shared" si="1"/>
        <v>1.0922240564108399E-2</v>
      </c>
      <c r="AO14" s="4">
        <f t="shared" si="1"/>
        <v>7.3493212906090566E-3</v>
      </c>
      <c r="AP14" s="4">
        <f t="shared" si="1"/>
        <v>4.9390262185057265E-3</v>
      </c>
      <c r="AQ14" s="4">
        <f t="shared" si="1"/>
        <v>3.3164275492956197E-3</v>
      </c>
      <c r="AR14" s="4">
        <f t="shared" si="1"/>
        <v>2.2256362146679809E-3</v>
      </c>
      <c r="AT14" s="85" t="str">
        <f t="shared" si="3"/>
        <v>Opex fix (admin, crew, insurance)</v>
      </c>
      <c r="AU14" s="81">
        <f t="shared" si="3"/>
        <v>650000</v>
      </c>
      <c r="AV14" s="81">
        <f t="shared" si="3"/>
        <v>650000</v>
      </c>
      <c r="AW14" s="81" t="str">
        <f t="shared" si="3"/>
        <v>[€/a]</v>
      </c>
      <c r="AX14" s="80">
        <f>L16</f>
        <v>12</v>
      </c>
      <c r="AY14" s="80">
        <f>O16</f>
        <v>0.9</v>
      </c>
      <c r="AZ14" s="80">
        <f>P16</f>
        <v>0.4</v>
      </c>
      <c r="BA14" s="86"/>
    </row>
    <row r="15" spans="1:53" x14ac:dyDescent="0.25">
      <c r="A15" s="24" t="s">
        <v>79</v>
      </c>
      <c r="B15" s="45">
        <f>'Parameter Input'!$L$134</f>
        <v>0.06</v>
      </c>
      <c r="C15" s="46">
        <f>'Parameter Input'!$M$134</f>
        <v>0.06</v>
      </c>
      <c r="D15" s="1" t="s">
        <v>57</v>
      </c>
      <c r="L15" s="54">
        <f>'Parameter Input'!$O$134</f>
        <v>12</v>
      </c>
      <c r="M15" s="37">
        <v>0</v>
      </c>
      <c r="N15" s="37">
        <v>1</v>
      </c>
      <c r="O15" s="37">
        <f>'Parameter Input'!$P$134</f>
        <v>0.9</v>
      </c>
      <c r="P15" s="55">
        <f>'Parameter Input'!$Q$134</f>
        <v>0.4</v>
      </c>
      <c r="Q15" s="4">
        <f t="shared" si="1"/>
        <v>0.9867978615748374</v>
      </c>
      <c r="R15" s="4">
        <f t="shared" si="1"/>
        <v>0.98114509762858249</v>
      </c>
      <c r="S15" s="4">
        <f t="shared" si="1"/>
        <v>0.97311898315872036</v>
      </c>
      <c r="T15" s="4">
        <f t="shared" si="1"/>
        <v>0.96177484161592774</v>
      </c>
      <c r="U15" s="4">
        <f t="shared" si="1"/>
        <v>0.94584787155511363</v>
      </c>
      <c r="V15" s="4">
        <f t="shared" si="1"/>
        <v>0.92370360150141495</v>
      </c>
      <c r="W15" s="4">
        <f t="shared" si="1"/>
        <v>0.89334463567658451</v>
      </c>
      <c r="X15" s="4">
        <f t="shared" si="1"/>
        <v>0.85254543874327005</v>
      </c>
      <c r="Y15" s="4">
        <f t="shared" si="1"/>
        <v>0.79921300652623883</v>
      </c>
      <c r="Z15" s="4">
        <f t="shared" si="1"/>
        <v>0.73204982249993378</v>
      </c>
      <c r="AA15" s="4">
        <f t="shared" si="1"/>
        <v>0.65145592958786691</v>
      </c>
      <c r="AB15" s="4">
        <f t="shared" si="1"/>
        <v>0.56032247880849573</v>
      </c>
      <c r="AC15" s="4">
        <f t="shared" si="1"/>
        <v>0.46411326873185343</v>
      </c>
      <c r="AD15" s="4">
        <f t="shared" si="1"/>
        <v>0.36979727595523937</v>
      </c>
      <c r="AE15" s="4">
        <f t="shared" si="1"/>
        <v>0.28393948637231203</v>
      </c>
      <c r="AF15" s="4">
        <f t="shared" si="1"/>
        <v>0.21097259161117732</v>
      </c>
      <c r="AG15" s="4">
        <f t="shared" si="1"/>
        <v>0.15253917653798199</v>
      </c>
      <c r="AH15" s="4">
        <f t="shared" si="1"/>
        <v>0.10795188737709993</v>
      </c>
      <c r="AI15" s="4">
        <f t="shared" si="1"/>
        <v>7.5176653938091809E-2</v>
      </c>
      <c r="AJ15" s="4">
        <f t="shared" si="1"/>
        <v>5.1742836177502194E-2</v>
      </c>
      <c r="AK15" s="4">
        <f t="shared" si="1"/>
        <v>3.5319190625345942E-2</v>
      </c>
      <c r="AL15" s="4">
        <f t="shared" si="1"/>
        <v>2.3969442072658165E-2</v>
      </c>
      <c r="AM15" s="4">
        <f t="shared" si="1"/>
        <v>1.6202243558389728E-2</v>
      </c>
      <c r="AN15" s="4">
        <f t="shared" si="1"/>
        <v>1.0922240564108399E-2</v>
      </c>
      <c r="AO15" s="4">
        <f t="shared" si="1"/>
        <v>7.3493212906090566E-3</v>
      </c>
      <c r="AP15" s="4">
        <f t="shared" si="1"/>
        <v>4.9390262185057265E-3</v>
      </c>
      <c r="AQ15" s="4">
        <f t="shared" si="1"/>
        <v>3.3164275492956197E-3</v>
      </c>
      <c r="AR15" s="4">
        <f t="shared" si="1"/>
        <v>2.2256362146679809E-3</v>
      </c>
      <c r="AT15" s="85" t="str">
        <f>A18</f>
        <v>Opex var (mode-fees, shunting)</v>
      </c>
      <c r="AU15" s="81">
        <f>B18</f>
        <v>3.9215686274509802</v>
      </c>
      <c r="AV15" s="81">
        <f>C18</f>
        <v>3.9215686274509802</v>
      </c>
      <c r="AW15" s="81" t="str">
        <f>D18</f>
        <v>[€/km]</v>
      </c>
      <c r="AX15" s="80">
        <f>L18</f>
        <v>12</v>
      </c>
      <c r="AY15" s="80">
        <f>O18</f>
        <v>0.9</v>
      </c>
      <c r="AZ15" s="80">
        <f>P18</f>
        <v>0.4</v>
      </c>
      <c r="BA15" s="86"/>
    </row>
    <row r="16" spans="1:53" x14ac:dyDescent="0.25">
      <c r="A16" s="24" t="s">
        <v>37</v>
      </c>
      <c r="B16" s="43">
        <f>'Parameter Input'!B93</f>
        <v>650000</v>
      </c>
      <c r="C16" s="44">
        <f>'Parameter Input'!C93</f>
        <v>650000</v>
      </c>
      <c r="D16" s="1" t="s">
        <v>38</v>
      </c>
      <c r="L16" s="54">
        <f>'Parameter Input'!E93</f>
        <v>12</v>
      </c>
      <c r="M16" s="37">
        <v>0</v>
      </c>
      <c r="N16" s="37">
        <v>1</v>
      </c>
      <c r="O16" s="37">
        <f>'Parameter Input'!F93</f>
        <v>0.9</v>
      </c>
      <c r="P16" s="55">
        <f>'Parameter Input'!G93</f>
        <v>0.4</v>
      </c>
      <c r="Q16" s="4">
        <f t="shared" si="1"/>
        <v>0.9867978615748374</v>
      </c>
      <c r="R16" s="4">
        <f t="shared" si="1"/>
        <v>0.98114509762858249</v>
      </c>
      <c r="S16" s="4">
        <f t="shared" si="1"/>
        <v>0.97311898315872036</v>
      </c>
      <c r="T16" s="4">
        <f t="shared" si="1"/>
        <v>0.96177484161592774</v>
      </c>
      <c r="U16" s="4">
        <f t="shared" si="1"/>
        <v>0.94584787155511363</v>
      </c>
      <c r="V16" s="4">
        <f t="shared" si="1"/>
        <v>0.92370360150141495</v>
      </c>
      <c r="W16" s="4">
        <f t="shared" si="1"/>
        <v>0.89334463567658451</v>
      </c>
      <c r="X16" s="4">
        <f t="shared" si="1"/>
        <v>0.85254543874327005</v>
      </c>
      <c r="Y16" s="4">
        <f t="shared" si="1"/>
        <v>0.79921300652623883</v>
      </c>
      <c r="Z16" s="4">
        <f t="shared" si="1"/>
        <v>0.73204982249993378</v>
      </c>
      <c r="AA16" s="4">
        <f t="shared" si="1"/>
        <v>0.65145592958786691</v>
      </c>
      <c r="AB16" s="4">
        <f t="shared" si="1"/>
        <v>0.56032247880849573</v>
      </c>
      <c r="AC16" s="4">
        <f t="shared" si="1"/>
        <v>0.46411326873185343</v>
      </c>
      <c r="AD16" s="4">
        <f t="shared" si="1"/>
        <v>0.36979727595523937</v>
      </c>
      <c r="AE16" s="4">
        <f t="shared" si="1"/>
        <v>0.28393948637231203</v>
      </c>
      <c r="AF16" s="4">
        <f t="shared" si="1"/>
        <v>0.21097259161117732</v>
      </c>
      <c r="AG16" s="4">
        <f t="shared" si="1"/>
        <v>0.15253917653798199</v>
      </c>
      <c r="AH16" s="4">
        <f t="shared" si="1"/>
        <v>0.10795188737709993</v>
      </c>
      <c r="AI16" s="4">
        <f t="shared" si="1"/>
        <v>7.5176653938091809E-2</v>
      </c>
      <c r="AJ16" s="4">
        <f t="shared" si="1"/>
        <v>5.1742836177502194E-2</v>
      </c>
      <c r="AK16" s="4">
        <f t="shared" si="1"/>
        <v>3.5319190625345942E-2</v>
      </c>
      <c r="AL16" s="4">
        <f t="shared" si="1"/>
        <v>2.3969442072658165E-2</v>
      </c>
      <c r="AM16" s="4">
        <f t="shared" si="1"/>
        <v>1.6202243558389728E-2</v>
      </c>
      <c r="AN16" s="4">
        <f t="shared" si="1"/>
        <v>1.0922240564108399E-2</v>
      </c>
      <c r="AO16" s="4">
        <f t="shared" si="1"/>
        <v>7.3493212906090566E-3</v>
      </c>
      <c r="AP16" s="4">
        <f t="shared" si="1"/>
        <v>4.9390262185057265E-3</v>
      </c>
      <c r="AQ16" s="4">
        <f t="shared" si="1"/>
        <v>3.3164275492956197E-3</v>
      </c>
      <c r="AR16" s="4">
        <f t="shared" si="1"/>
        <v>2.2256362146679809E-3</v>
      </c>
      <c r="AT16" s="85" t="str">
        <f t="shared" ref="AT16:AW17" si="4">A22</f>
        <v>Lifetime vehicle</v>
      </c>
      <c r="AU16" s="81">
        <f t="shared" si="4"/>
        <v>20</v>
      </c>
      <c r="AV16" s="81">
        <f t="shared" si="4"/>
        <v>20</v>
      </c>
      <c r="AW16" s="81" t="str">
        <f t="shared" si="4"/>
        <v>[a]</v>
      </c>
      <c r="AX16" s="80">
        <f>L22</f>
        <v>12</v>
      </c>
      <c r="AY16" s="80">
        <f>O22</f>
        <v>0.9</v>
      </c>
      <c r="AZ16" s="80">
        <f>P22</f>
        <v>0.4</v>
      </c>
      <c r="BA16" s="86"/>
    </row>
    <row r="17" spans="1:53" x14ac:dyDescent="0.25">
      <c r="A17" s="24" t="s">
        <v>52</v>
      </c>
      <c r="B17" s="43">
        <f>'Parameter Input'!$L$130</f>
        <v>1400000.0000000002</v>
      </c>
      <c r="C17" s="44">
        <f>'Parameter Input'!$M$130</f>
        <v>560000</v>
      </c>
      <c r="D17" s="1" t="s">
        <v>38</v>
      </c>
      <c r="L17" s="54">
        <f>'Parameter Input'!$O$130</f>
        <v>12</v>
      </c>
      <c r="M17" s="37">
        <v>0</v>
      </c>
      <c r="N17" s="37">
        <v>1</v>
      </c>
      <c r="O17" s="37">
        <f>'Parameter Input'!$P$130</f>
        <v>0.9</v>
      </c>
      <c r="P17" s="55">
        <f>'Parameter Input'!$Q$130</f>
        <v>0.4</v>
      </c>
      <c r="Q17" s="4">
        <f t="shared" si="1"/>
        <v>0.9867978615748374</v>
      </c>
      <c r="R17" s="4">
        <f t="shared" si="1"/>
        <v>0.98114509762858249</v>
      </c>
      <c r="S17" s="4">
        <f t="shared" si="1"/>
        <v>0.97311898315872036</v>
      </c>
      <c r="T17" s="4">
        <f t="shared" si="1"/>
        <v>0.96177484161592774</v>
      </c>
      <c r="U17" s="4">
        <f t="shared" si="1"/>
        <v>0.94584787155511363</v>
      </c>
      <c r="V17" s="4">
        <f t="shared" si="1"/>
        <v>0.92370360150141495</v>
      </c>
      <c r="W17" s="4">
        <f t="shared" si="1"/>
        <v>0.89334463567658451</v>
      </c>
      <c r="X17" s="4">
        <f t="shared" si="1"/>
        <v>0.85254543874327005</v>
      </c>
      <c r="Y17" s="4">
        <f t="shared" si="1"/>
        <v>0.79921300652623883</v>
      </c>
      <c r="Z17" s="4">
        <f t="shared" si="1"/>
        <v>0.73204982249993378</v>
      </c>
      <c r="AA17" s="4">
        <f t="shared" si="1"/>
        <v>0.65145592958786691</v>
      </c>
      <c r="AB17" s="4">
        <f t="shared" si="1"/>
        <v>0.56032247880849573</v>
      </c>
      <c r="AC17" s="4">
        <f t="shared" si="1"/>
        <v>0.46411326873185343</v>
      </c>
      <c r="AD17" s="4">
        <f t="shared" si="1"/>
        <v>0.36979727595523937</v>
      </c>
      <c r="AE17" s="4">
        <f t="shared" si="1"/>
        <v>0.28393948637231203</v>
      </c>
      <c r="AF17" s="4">
        <f t="shared" si="1"/>
        <v>0.21097259161117732</v>
      </c>
      <c r="AG17" s="4">
        <f t="shared" si="1"/>
        <v>0.15253917653798199</v>
      </c>
      <c r="AH17" s="4">
        <f t="shared" si="1"/>
        <v>0.10795188737709993</v>
      </c>
      <c r="AI17" s="4">
        <f t="shared" si="1"/>
        <v>7.5176653938091809E-2</v>
      </c>
      <c r="AJ17" s="4">
        <f t="shared" si="1"/>
        <v>5.1742836177502194E-2</v>
      </c>
      <c r="AK17" s="4">
        <f t="shared" si="1"/>
        <v>3.5319190625345942E-2</v>
      </c>
      <c r="AL17" s="4">
        <f t="shared" si="1"/>
        <v>2.3969442072658165E-2</v>
      </c>
      <c r="AM17" s="4">
        <f t="shared" si="1"/>
        <v>1.6202243558389728E-2</v>
      </c>
      <c r="AN17" s="4">
        <f t="shared" si="1"/>
        <v>1.0922240564108399E-2</v>
      </c>
      <c r="AO17" s="4">
        <f t="shared" si="1"/>
        <v>7.3493212906090566E-3</v>
      </c>
      <c r="AP17" s="4">
        <f t="shared" si="1"/>
        <v>4.9390262185057265E-3</v>
      </c>
      <c r="AQ17" s="4">
        <f t="shared" si="1"/>
        <v>3.3164275492956197E-3</v>
      </c>
      <c r="AR17" s="4">
        <f t="shared" si="1"/>
        <v>2.2256362146679809E-3</v>
      </c>
      <c r="AT17" s="85" t="str">
        <f t="shared" si="4"/>
        <v>Lifetime costumization</v>
      </c>
      <c r="AU17" s="81">
        <f t="shared" si="4"/>
        <v>30</v>
      </c>
      <c r="AV17" s="81">
        <f t="shared" si="4"/>
        <v>30</v>
      </c>
      <c r="AW17" s="81" t="str">
        <f t="shared" si="4"/>
        <v>[a]</v>
      </c>
      <c r="AX17" s="80">
        <f>L23</f>
        <v>12</v>
      </c>
      <c r="AY17" s="80">
        <f>O23</f>
        <v>0.9</v>
      </c>
      <c r="AZ17" s="80">
        <f>P23</f>
        <v>0.4</v>
      </c>
      <c r="BA17" s="86"/>
    </row>
    <row r="18" spans="1:53" ht="15.75" thickBot="1" x14ac:dyDescent="0.3">
      <c r="A18" s="24" t="s">
        <v>287</v>
      </c>
      <c r="B18" s="45">
        <f>'Parameter Input'!B98</f>
        <v>3.9215686274509802</v>
      </c>
      <c r="C18" s="46">
        <f>'Parameter Input'!C98</f>
        <v>3.9215686274509802</v>
      </c>
      <c r="D18" s="1" t="s">
        <v>76</v>
      </c>
      <c r="L18" s="54">
        <f>'Parameter Input'!E98</f>
        <v>12</v>
      </c>
      <c r="M18" s="37">
        <v>0</v>
      </c>
      <c r="N18" s="37">
        <v>1</v>
      </c>
      <c r="O18" s="37">
        <f>'Parameter Input'!F98</f>
        <v>0.9</v>
      </c>
      <c r="P18" s="55">
        <f>'Parameter Input'!G98</f>
        <v>0.4</v>
      </c>
      <c r="Q18" s="4">
        <f t="shared" si="1"/>
        <v>0.9867978615748374</v>
      </c>
      <c r="R18" s="4">
        <f t="shared" si="1"/>
        <v>0.98114509762858249</v>
      </c>
      <c r="S18" s="4">
        <f t="shared" si="1"/>
        <v>0.97311898315872036</v>
      </c>
      <c r="T18" s="4">
        <f t="shared" si="1"/>
        <v>0.96177484161592774</v>
      </c>
      <c r="U18" s="4">
        <f t="shared" si="1"/>
        <v>0.94584787155511363</v>
      </c>
      <c r="V18" s="4">
        <f t="shared" si="1"/>
        <v>0.92370360150141495</v>
      </c>
      <c r="W18" s="4">
        <f t="shared" si="1"/>
        <v>0.89334463567658451</v>
      </c>
      <c r="X18" s="4">
        <f t="shared" si="1"/>
        <v>0.85254543874327005</v>
      </c>
      <c r="Y18" s="4">
        <f t="shared" si="1"/>
        <v>0.79921300652623883</v>
      </c>
      <c r="Z18" s="4">
        <f t="shared" si="1"/>
        <v>0.73204982249993378</v>
      </c>
      <c r="AA18" s="4">
        <f t="shared" si="1"/>
        <v>0.65145592958786691</v>
      </c>
      <c r="AB18" s="4">
        <f t="shared" si="1"/>
        <v>0.56032247880849573</v>
      </c>
      <c r="AC18" s="4">
        <f t="shared" si="1"/>
        <v>0.46411326873185343</v>
      </c>
      <c r="AD18" s="4">
        <f t="shared" si="1"/>
        <v>0.36979727595523937</v>
      </c>
      <c r="AE18" s="4">
        <f t="shared" si="1"/>
        <v>0.28393948637231203</v>
      </c>
      <c r="AF18" s="4">
        <f t="shared" si="1"/>
        <v>0.21097259161117732</v>
      </c>
      <c r="AG18" s="4">
        <f t="shared" si="1"/>
        <v>0.15253917653798199</v>
      </c>
      <c r="AH18" s="4">
        <f t="shared" si="1"/>
        <v>0.10795188737709993</v>
      </c>
      <c r="AI18" s="4">
        <f t="shared" si="1"/>
        <v>7.5176653938091809E-2</v>
      </c>
      <c r="AJ18" s="4">
        <f t="shared" si="1"/>
        <v>5.1742836177502194E-2</v>
      </c>
      <c r="AK18" s="4">
        <f t="shared" si="1"/>
        <v>3.5319190625345942E-2</v>
      </c>
      <c r="AL18" s="4">
        <f t="shared" si="1"/>
        <v>2.3969442072658165E-2</v>
      </c>
      <c r="AM18" s="4">
        <f t="shared" si="1"/>
        <v>1.6202243558389728E-2</v>
      </c>
      <c r="AN18" s="4">
        <f t="shared" si="1"/>
        <v>1.0922240564108399E-2</v>
      </c>
      <c r="AO18" s="4">
        <f t="shared" si="1"/>
        <v>7.3493212906090566E-3</v>
      </c>
      <c r="AP18" s="4">
        <f t="shared" si="1"/>
        <v>4.9390262185057265E-3</v>
      </c>
      <c r="AQ18" s="4">
        <f t="shared" si="1"/>
        <v>3.3164275492956197E-3</v>
      </c>
      <c r="AR18" s="4">
        <f t="shared" si="1"/>
        <v>2.2256362146679809E-3</v>
      </c>
    </row>
    <row r="19" spans="1:53" x14ac:dyDescent="0.25">
      <c r="A19" s="24" t="s">
        <v>59</v>
      </c>
      <c r="B19" s="47">
        <f>'Parameter Input'!$L$131</f>
        <v>48.858472727272719</v>
      </c>
      <c r="C19" s="48">
        <f>'Parameter Input'!$M$131</f>
        <v>41.341784615384611</v>
      </c>
      <c r="D19" s="1" t="s">
        <v>60</v>
      </c>
      <c r="L19" s="54">
        <f>'Parameter Input'!$O$131</f>
        <v>12</v>
      </c>
      <c r="M19" s="37">
        <v>0</v>
      </c>
      <c r="N19" s="37">
        <v>1</v>
      </c>
      <c r="O19" s="37">
        <f>'Parameter Input'!$P$131</f>
        <v>0.9</v>
      </c>
      <c r="P19" s="55">
        <f>'Parameter Input'!$Q$131</f>
        <v>0.4</v>
      </c>
      <c r="Q19" s="4">
        <f t="shared" si="1"/>
        <v>0.9867978615748374</v>
      </c>
      <c r="R19" s="4">
        <f t="shared" si="1"/>
        <v>0.98114509762858249</v>
      </c>
      <c r="S19" s="4">
        <f t="shared" si="1"/>
        <v>0.97311898315872036</v>
      </c>
      <c r="T19" s="4">
        <f t="shared" si="1"/>
        <v>0.96177484161592774</v>
      </c>
      <c r="U19" s="4">
        <f t="shared" si="1"/>
        <v>0.94584787155511363</v>
      </c>
      <c r="V19" s="4">
        <f t="shared" si="1"/>
        <v>0.92370360150141495</v>
      </c>
      <c r="W19" s="4">
        <f t="shared" si="1"/>
        <v>0.89334463567658451</v>
      </c>
      <c r="X19" s="4">
        <f t="shared" si="1"/>
        <v>0.85254543874327005</v>
      </c>
      <c r="Y19" s="4">
        <f t="shared" si="1"/>
        <v>0.79921300652623883</v>
      </c>
      <c r="Z19" s="4">
        <f t="shared" si="1"/>
        <v>0.73204982249993378</v>
      </c>
      <c r="AA19" s="4">
        <f t="shared" si="1"/>
        <v>0.65145592958786691</v>
      </c>
      <c r="AB19" s="4">
        <f t="shared" si="1"/>
        <v>0.56032247880849573</v>
      </c>
      <c r="AC19" s="4">
        <f t="shared" si="1"/>
        <v>0.46411326873185343</v>
      </c>
      <c r="AD19" s="4">
        <f t="shared" si="1"/>
        <v>0.36979727595523937</v>
      </c>
      <c r="AE19" s="4">
        <f t="shared" si="1"/>
        <v>0.28393948637231203</v>
      </c>
      <c r="AF19" s="4">
        <f t="shared" si="1"/>
        <v>0.21097259161117732</v>
      </c>
      <c r="AG19" s="4">
        <f t="shared" si="1"/>
        <v>0.15253917653798199</v>
      </c>
      <c r="AH19" s="4">
        <f t="shared" si="1"/>
        <v>0.10795188737709993</v>
      </c>
      <c r="AI19" s="4">
        <f t="shared" si="1"/>
        <v>7.5176653938091809E-2</v>
      </c>
      <c r="AJ19" s="4">
        <f t="shared" si="1"/>
        <v>5.1742836177502194E-2</v>
      </c>
      <c r="AK19" s="4">
        <f t="shared" si="1"/>
        <v>3.5319190625345942E-2</v>
      </c>
      <c r="AL19" s="4">
        <f t="shared" si="1"/>
        <v>2.3969442072658165E-2</v>
      </c>
      <c r="AM19" s="4">
        <f t="shared" si="1"/>
        <v>1.6202243558389728E-2</v>
      </c>
      <c r="AN19" s="4">
        <f t="shared" si="1"/>
        <v>1.0922240564108399E-2</v>
      </c>
      <c r="AO19" s="4">
        <f t="shared" si="1"/>
        <v>7.3493212906090566E-3</v>
      </c>
      <c r="AP19" s="4">
        <f t="shared" si="1"/>
        <v>4.9390262185057265E-3</v>
      </c>
      <c r="AQ19" s="4">
        <f t="shared" si="1"/>
        <v>3.3164275492956197E-3</v>
      </c>
      <c r="AR19" s="4">
        <f t="shared" si="1"/>
        <v>2.2256362146679809E-3</v>
      </c>
      <c r="AT19" s="82" t="str">
        <f>A1</f>
        <v>Railway long-haul: Dry bulk</v>
      </c>
      <c r="AU19" s="83"/>
      <c r="AV19" s="83"/>
      <c r="AW19" s="83"/>
      <c r="AX19" s="83"/>
      <c r="AY19" s="83"/>
      <c r="AZ19" s="83"/>
      <c r="BA19" s="84"/>
    </row>
    <row r="20" spans="1:53" x14ac:dyDescent="0.25">
      <c r="A20" s="24" t="s">
        <v>67</v>
      </c>
      <c r="B20" s="45">
        <f>'Parameter Input'!$L$132</f>
        <v>0.2544561408768215</v>
      </c>
      <c r="C20" s="46">
        <f>'Parameter Input'!$M$132</f>
        <v>0.10949010032952979</v>
      </c>
      <c r="D20" s="1" t="s">
        <v>68</v>
      </c>
      <c r="L20" s="54">
        <f>'Parameter Input'!$O$132</f>
        <v>12</v>
      </c>
      <c r="M20" s="37">
        <v>0</v>
      </c>
      <c r="N20" s="37">
        <v>1</v>
      </c>
      <c r="O20" s="37">
        <f>'Parameter Input'!$P$132</f>
        <v>0.9</v>
      </c>
      <c r="P20" s="55">
        <f>'Parameter Input'!$Q$132</f>
        <v>0.4</v>
      </c>
      <c r="Q20" s="4">
        <f t="shared" si="1"/>
        <v>0.9867978615748374</v>
      </c>
      <c r="R20" s="4">
        <f t="shared" si="1"/>
        <v>0.98114509762858249</v>
      </c>
      <c r="S20" s="4">
        <f t="shared" si="1"/>
        <v>0.97311898315872036</v>
      </c>
      <c r="T20" s="4">
        <f t="shared" ref="T20:AR27" si="5">$N20+($M20-$N20)*((1/(1+EXP(-$P20*(T$9-$L20)))^$O20))</f>
        <v>0.96177484161592774</v>
      </c>
      <c r="U20" s="4">
        <f t="shared" si="5"/>
        <v>0.94584787155511363</v>
      </c>
      <c r="V20" s="4">
        <f t="shared" si="5"/>
        <v>0.92370360150141495</v>
      </c>
      <c r="W20" s="4">
        <f t="shared" si="5"/>
        <v>0.89334463567658451</v>
      </c>
      <c r="X20" s="4">
        <f t="shared" si="5"/>
        <v>0.85254543874327005</v>
      </c>
      <c r="Y20" s="4">
        <f t="shared" si="5"/>
        <v>0.79921300652623883</v>
      </c>
      <c r="Z20" s="4">
        <f t="shared" si="5"/>
        <v>0.73204982249993378</v>
      </c>
      <c r="AA20" s="4">
        <f t="shared" si="5"/>
        <v>0.65145592958786691</v>
      </c>
      <c r="AB20" s="4">
        <f t="shared" si="5"/>
        <v>0.56032247880849573</v>
      </c>
      <c r="AC20" s="4">
        <f t="shared" si="5"/>
        <v>0.46411326873185343</v>
      </c>
      <c r="AD20" s="4">
        <f t="shared" si="5"/>
        <v>0.36979727595523937</v>
      </c>
      <c r="AE20" s="4">
        <f t="shared" si="5"/>
        <v>0.28393948637231203</v>
      </c>
      <c r="AF20" s="4">
        <f t="shared" si="5"/>
        <v>0.21097259161117732</v>
      </c>
      <c r="AG20" s="4">
        <f t="shared" si="5"/>
        <v>0.15253917653798199</v>
      </c>
      <c r="AH20" s="4">
        <f t="shared" si="5"/>
        <v>0.10795188737709993</v>
      </c>
      <c r="AI20" s="4">
        <f t="shared" si="5"/>
        <v>7.5176653938091809E-2</v>
      </c>
      <c r="AJ20" s="4">
        <f t="shared" si="5"/>
        <v>5.1742836177502194E-2</v>
      </c>
      <c r="AK20" s="4">
        <f t="shared" si="5"/>
        <v>3.5319190625345942E-2</v>
      </c>
      <c r="AL20" s="4">
        <f t="shared" si="5"/>
        <v>2.3969442072658165E-2</v>
      </c>
      <c r="AM20" s="4">
        <f t="shared" si="5"/>
        <v>1.6202243558389728E-2</v>
      </c>
      <c r="AN20" s="4">
        <f t="shared" si="5"/>
        <v>1.0922240564108399E-2</v>
      </c>
      <c r="AO20" s="4">
        <f t="shared" si="5"/>
        <v>7.3493212906090566E-3</v>
      </c>
      <c r="AP20" s="4">
        <f t="shared" si="5"/>
        <v>4.9390262185057265E-3</v>
      </c>
      <c r="AQ20" s="4">
        <f t="shared" si="5"/>
        <v>3.3164275492956197E-3</v>
      </c>
      <c r="AR20" s="4">
        <f t="shared" si="5"/>
        <v>2.2256362146679809E-3</v>
      </c>
      <c r="AT20" s="85" t="str">
        <f>A2</f>
        <v>Hydrogen</v>
      </c>
      <c r="AU20" s="80"/>
      <c r="AV20" s="80"/>
      <c r="AW20" s="80"/>
      <c r="AX20" s="80"/>
      <c r="AY20" s="80"/>
      <c r="AZ20" s="80"/>
      <c r="BA20" s="86"/>
    </row>
    <row r="21" spans="1:53" x14ac:dyDescent="0.25">
      <c r="A21" s="24" t="s">
        <v>206</v>
      </c>
      <c r="B21" s="115">
        <f>'Parameter Input'!$L$135</f>
        <v>0.17621088524590159</v>
      </c>
      <c r="C21" s="116">
        <f>'Parameter Input'!$M$135</f>
        <v>0</v>
      </c>
      <c r="D21" s="1" t="s">
        <v>76</v>
      </c>
      <c r="L21" s="54">
        <f>'Parameter Input'!$O$135</f>
        <v>17</v>
      </c>
      <c r="M21" s="37">
        <v>0</v>
      </c>
      <c r="N21" s="37">
        <v>1</v>
      </c>
      <c r="O21" s="37">
        <f>'Parameter Input'!$P$135</f>
        <v>0.9</v>
      </c>
      <c r="P21" s="55">
        <f>'Parameter Input'!$Q$135</f>
        <v>0.4</v>
      </c>
      <c r="Q21" s="4">
        <f t="shared" ref="Q21:AR21" si="6">$N21+($M21-$N21)*((1/(1+EXP(-$P21*(Q$9-$L21)))^$O21))</f>
        <v>0.99780374543478534</v>
      </c>
      <c r="R21" s="4">
        <f t="shared" si="6"/>
        <v>0.99685359315256394</v>
      </c>
      <c r="S21" s="4">
        <f t="shared" si="6"/>
        <v>0.99549347132349975</v>
      </c>
      <c r="T21" s="4">
        <f t="shared" si="6"/>
        <v>0.99354772139898062</v>
      </c>
      <c r="U21" s="4">
        <f t="shared" si="6"/>
        <v>0.99076681540580536</v>
      </c>
      <c r="V21" s="4">
        <f t="shared" si="6"/>
        <v>0.9867978615748374</v>
      </c>
      <c r="W21" s="4">
        <f t="shared" si="6"/>
        <v>0.98114509762858249</v>
      </c>
      <c r="X21" s="4">
        <f t="shared" si="6"/>
        <v>0.97311898315872036</v>
      </c>
      <c r="Y21" s="4">
        <f t="shared" si="6"/>
        <v>0.96177484161592774</v>
      </c>
      <c r="Z21" s="4">
        <f t="shared" si="6"/>
        <v>0.94584787155511363</v>
      </c>
      <c r="AA21" s="4">
        <f t="shared" si="6"/>
        <v>0.92370360150141495</v>
      </c>
      <c r="AB21" s="4">
        <f t="shared" si="6"/>
        <v>0.89334463567658451</v>
      </c>
      <c r="AC21" s="4">
        <f t="shared" si="6"/>
        <v>0.85254543874327005</v>
      </c>
      <c r="AD21" s="4">
        <f t="shared" si="6"/>
        <v>0.79921300652623883</v>
      </c>
      <c r="AE21" s="4">
        <f t="shared" si="6"/>
        <v>0.73204982249993378</v>
      </c>
      <c r="AF21" s="4">
        <f t="shared" si="6"/>
        <v>0.65145592958786691</v>
      </c>
      <c r="AG21" s="4">
        <f t="shared" si="6"/>
        <v>0.56032247880849573</v>
      </c>
      <c r="AH21" s="4">
        <f t="shared" si="6"/>
        <v>0.46411326873185343</v>
      </c>
      <c r="AI21" s="4">
        <f t="shared" si="6"/>
        <v>0.36979727595523937</v>
      </c>
      <c r="AJ21" s="4">
        <f t="shared" si="6"/>
        <v>0.28393948637231203</v>
      </c>
      <c r="AK21" s="4">
        <f t="shared" si="6"/>
        <v>0.21097259161117732</v>
      </c>
      <c r="AL21" s="4">
        <f t="shared" si="6"/>
        <v>0.15253917653798199</v>
      </c>
      <c r="AM21" s="4">
        <f t="shared" si="6"/>
        <v>0.10795188737709993</v>
      </c>
      <c r="AN21" s="4">
        <f t="shared" si="6"/>
        <v>7.5176653938091809E-2</v>
      </c>
      <c r="AO21" s="4">
        <f t="shared" si="6"/>
        <v>5.1742836177502194E-2</v>
      </c>
      <c r="AP21" s="4">
        <f t="shared" si="6"/>
        <v>3.5319190625345942E-2</v>
      </c>
      <c r="AQ21" s="4">
        <f t="shared" si="6"/>
        <v>2.3969442072658165E-2</v>
      </c>
      <c r="AR21" s="4">
        <f t="shared" si="6"/>
        <v>1.6202243558389728E-2</v>
      </c>
    </row>
    <row r="22" spans="1:53" x14ac:dyDescent="0.25">
      <c r="A22" s="24" t="s">
        <v>41</v>
      </c>
      <c r="B22" s="43">
        <f>'Parameter Input'!$L$129</f>
        <v>20</v>
      </c>
      <c r="C22" s="44">
        <f>'Parameter Input'!$M$129</f>
        <v>20</v>
      </c>
      <c r="D22" s="1" t="s">
        <v>42</v>
      </c>
      <c r="L22" s="54">
        <f>'Parameter Input'!$O$129</f>
        <v>12</v>
      </c>
      <c r="M22" s="37">
        <v>0</v>
      </c>
      <c r="N22" s="37">
        <v>1</v>
      </c>
      <c r="O22" s="37">
        <f>'Parameter Input'!$P$129</f>
        <v>0.9</v>
      </c>
      <c r="P22" s="55">
        <f>'Parameter Input'!$Q$129</f>
        <v>0.4</v>
      </c>
      <c r="Q22" s="4">
        <f t="shared" ref="Q22:AF27" si="7">$N22+($M22-$N22)*((1/(1+EXP(-$P22*(Q$9-$L22)))^$O22))</f>
        <v>0.9867978615748374</v>
      </c>
      <c r="R22" s="4">
        <f t="shared" si="7"/>
        <v>0.98114509762858249</v>
      </c>
      <c r="S22" s="4">
        <f t="shared" si="7"/>
        <v>0.97311898315872036</v>
      </c>
      <c r="T22" s="4">
        <f t="shared" si="7"/>
        <v>0.96177484161592774</v>
      </c>
      <c r="U22" s="4">
        <f t="shared" si="7"/>
        <v>0.94584787155511363</v>
      </c>
      <c r="V22" s="4">
        <f t="shared" si="7"/>
        <v>0.92370360150141495</v>
      </c>
      <c r="W22" s="4">
        <f t="shared" si="7"/>
        <v>0.89334463567658451</v>
      </c>
      <c r="X22" s="4">
        <f t="shared" si="7"/>
        <v>0.85254543874327005</v>
      </c>
      <c r="Y22" s="4">
        <f t="shared" si="7"/>
        <v>0.79921300652623883</v>
      </c>
      <c r="Z22" s="4">
        <f t="shared" si="7"/>
        <v>0.73204982249993378</v>
      </c>
      <c r="AA22" s="4">
        <f t="shared" si="7"/>
        <v>0.65145592958786691</v>
      </c>
      <c r="AB22" s="4">
        <f t="shared" si="7"/>
        <v>0.56032247880849573</v>
      </c>
      <c r="AC22" s="4">
        <f t="shared" si="7"/>
        <v>0.46411326873185343</v>
      </c>
      <c r="AD22" s="4">
        <f t="shared" si="7"/>
        <v>0.36979727595523937</v>
      </c>
      <c r="AE22" s="4">
        <f t="shared" si="7"/>
        <v>0.28393948637231203</v>
      </c>
      <c r="AF22" s="4">
        <f t="shared" si="7"/>
        <v>0.21097259161117732</v>
      </c>
      <c r="AG22" s="4">
        <f t="shared" si="5"/>
        <v>0.15253917653798199</v>
      </c>
      <c r="AH22" s="4">
        <f t="shared" si="5"/>
        <v>0.10795188737709993</v>
      </c>
      <c r="AI22" s="4">
        <f t="shared" si="5"/>
        <v>7.5176653938091809E-2</v>
      </c>
      <c r="AJ22" s="4">
        <f t="shared" si="5"/>
        <v>5.1742836177502194E-2</v>
      </c>
      <c r="AK22" s="4">
        <f t="shared" si="5"/>
        <v>3.5319190625345942E-2</v>
      </c>
      <c r="AL22" s="4">
        <f t="shared" si="5"/>
        <v>2.3969442072658165E-2</v>
      </c>
      <c r="AM22" s="4">
        <f t="shared" si="5"/>
        <v>1.6202243558389728E-2</v>
      </c>
      <c r="AN22" s="4">
        <f t="shared" si="5"/>
        <v>1.0922240564108399E-2</v>
      </c>
      <c r="AO22" s="4">
        <f t="shared" si="5"/>
        <v>7.3493212906090566E-3</v>
      </c>
      <c r="AP22" s="4">
        <f t="shared" si="5"/>
        <v>4.9390262185057265E-3</v>
      </c>
      <c r="AQ22" s="4">
        <f t="shared" si="5"/>
        <v>3.3164275492956197E-3</v>
      </c>
      <c r="AR22" s="4">
        <f t="shared" si="5"/>
        <v>2.2256362146679809E-3</v>
      </c>
      <c r="AT22" s="85" t="str">
        <f t="shared" ref="AT22:AW23" si="8">A13</f>
        <v>Capex costumization</v>
      </c>
      <c r="AU22" s="81">
        <f t="shared" si="8"/>
        <v>4200000</v>
      </c>
      <c r="AV22" s="81">
        <f t="shared" si="8"/>
        <v>4200000</v>
      </c>
      <c r="AW22" s="81" t="str">
        <f t="shared" si="8"/>
        <v>[€]</v>
      </c>
      <c r="AX22" s="80">
        <f>L13</f>
        <v>12</v>
      </c>
      <c r="AY22" s="80">
        <f>O13</f>
        <v>0.9</v>
      </c>
      <c r="AZ22" s="80">
        <f>P13</f>
        <v>0.4</v>
      </c>
      <c r="BA22" s="86"/>
    </row>
    <row r="23" spans="1:53" x14ac:dyDescent="0.25">
      <c r="A23" s="24" t="s">
        <v>70</v>
      </c>
      <c r="B23" s="43">
        <f>'Parameter Input'!B97</f>
        <v>30</v>
      </c>
      <c r="C23" s="44">
        <f>'Parameter Input'!C97</f>
        <v>30</v>
      </c>
      <c r="D23" s="1" t="s">
        <v>42</v>
      </c>
      <c r="L23" s="54">
        <f>'Parameter Input'!E97</f>
        <v>12</v>
      </c>
      <c r="M23" s="37">
        <v>0</v>
      </c>
      <c r="N23" s="37">
        <v>1</v>
      </c>
      <c r="O23" s="37">
        <f>'Parameter Input'!F97</f>
        <v>0.9</v>
      </c>
      <c r="P23" s="55">
        <f>'Parameter Input'!G97</f>
        <v>0.4</v>
      </c>
      <c r="Q23" s="4">
        <f t="shared" si="7"/>
        <v>0.9867978615748374</v>
      </c>
      <c r="R23" s="4">
        <f t="shared" si="7"/>
        <v>0.98114509762858249</v>
      </c>
      <c r="S23" s="4">
        <f t="shared" si="7"/>
        <v>0.97311898315872036</v>
      </c>
      <c r="T23" s="4">
        <f t="shared" si="7"/>
        <v>0.96177484161592774</v>
      </c>
      <c r="U23" s="4">
        <f t="shared" si="7"/>
        <v>0.94584787155511363</v>
      </c>
      <c r="V23" s="4">
        <f t="shared" si="7"/>
        <v>0.92370360150141495</v>
      </c>
      <c r="W23" s="4">
        <f t="shared" si="7"/>
        <v>0.89334463567658451</v>
      </c>
      <c r="X23" s="4">
        <f t="shared" si="7"/>
        <v>0.85254543874327005</v>
      </c>
      <c r="Y23" s="4">
        <f t="shared" si="7"/>
        <v>0.79921300652623883</v>
      </c>
      <c r="Z23" s="4">
        <f t="shared" si="7"/>
        <v>0.73204982249993378</v>
      </c>
      <c r="AA23" s="4">
        <f t="shared" si="7"/>
        <v>0.65145592958786691</v>
      </c>
      <c r="AB23" s="4">
        <f t="shared" si="7"/>
        <v>0.56032247880849573</v>
      </c>
      <c r="AC23" s="4">
        <f t="shared" si="7"/>
        <v>0.46411326873185343</v>
      </c>
      <c r="AD23" s="4">
        <f t="shared" si="7"/>
        <v>0.36979727595523937</v>
      </c>
      <c r="AE23" s="4">
        <f t="shared" si="7"/>
        <v>0.28393948637231203</v>
      </c>
      <c r="AF23" s="4">
        <f t="shared" si="7"/>
        <v>0.21097259161117732</v>
      </c>
      <c r="AG23" s="4">
        <f t="shared" si="5"/>
        <v>0.15253917653798199</v>
      </c>
      <c r="AH23" s="4">
        <f t="shared" si="5"/>
        <v>0.10795188737709993</v>
      </c>
      <c r="AI23" s="4">
        <f t="shared" si="5"/>
        <v>7.5176653938091809E-2</v>
      </c>
      <c r="AJ23" s="4">
        <f t="shared" si="5"/>
        <v>5.1742836177502194E-2</v>
      </c>
      <c r="AK23" s="4">
        <f t="shared" si="5"/>
        <v>3.5319190625345942E-2</v>
      </c>
      <c r="AL23" s="4">
        <f t="shared" si="5"/>
        <v>2.3969442072658165E-2</v>
      </c>
      <c r="AM23" s="4">
        <f t="shared" si="5"/>
        <v>1.6202243558389728E-2</v>
      </c>
      <c r="AN23" s="4">
        <f t="shared" si="5"/>
        <v>1.0922240564108399E-2</v>
      </c>
      <c r="AO23" s="4">
        <f t="shared" si="5"/>
        <v>7.3493212906090566E-3</v>
      </c>
      <c r="AP23" s="4">
        <f t="shared" si="5"/>
        <v>4.9390262185057265E-3</v>
      </c>
      <c r="AQ23" s="4">
        <f t="shared" si="5"/>
        <v>3.3164275492956197E-3</v>
      </c>
      <c r="AR23" s="4">
        <f t="shared" si="5"/>
        <v>2.2256362146679809E-3</v>
      </c>
      <c r="AT23" s="85" t="str">
        <f t="shared" si="8"/>
        <v>Residual value (costumization)</v>
      </c>
      <c r="AU23" s="81">
        <f t="shared" si="8"/>
        <v>-210000</v>
      </c>
      <c r="AV23" s="81">
        <f t="shared" si="8"/>
        <v>-210000</v>
      </c>
      <c r="AW23" s="81" t="str">
        <f t="shared" si="8"/>
        <v>[€]</v>
      </c>
      <c r="AX23" s="80">
        <f>L14</f>
        <v>12</v>
      </c>
      <c r="AY23" s="80">
        <f>O14</f>
        <v>0.9</v>
      </c>
      <c r="AZ23" s="80">
        <f>P14</f>
        <v>0.4</v>
      </c>
      <c r="BA23" s="86"/>
    </row>
    <row r="24" spans="1:53" x14ac:dyDescent="0.25">
      <c r="A24" s="24" t="s">
        <v>48</v>
      </c>
      <c r="B24" s="70">
        <f>'Parameter Input'!B94</f>
        <v>2240</v>
      </c>
      <c r="C24" s="71">
        <f>'Parameter Input'!C94</f>
        <v>2240</v>
      </c>
      <c r="D24" s="1" t="s">
        <v>49</v>
      </c>
      <c r="L24" s="54">
        <f>'Parameter Input'!E94</f>
        <v>12</v>
      </c>
      <c r="M24" s="37">
        <v>0</v>
      </c>
      <c r="N24" s="37">
        <v>1</v>
      </c>
      <c r="O24" s="37">
        <f>'Parameter Input'!F94</f>
        <v>0.9</v>
      </c>
      <c r="P24" s="55">
        <f>'Parameter Input'!G94</f>
        <v>0.4</v>
      </c>
      <c r="Q24" s="4">
        <f t="shared" si="7"/>
        <v>0.9867978615748374</v>
      </c>
      <c r="R24" s="4">
        <f t="shared" si="7"/>
        <v>0.98114509762858249</v>
      </c>
      <c r="S24" s="4">
        <f t="shared" si="7"/>
        <v>0.97311898315872036</v>
      </c>
      <c r="T24" s="4">
        <f t="shared" si="7"/>
        <v>0.96177484161592774</v>
      </c>
      <c r="U24" s="4">
        <f t="shared" si="7"/>
        <v>0.94584787155511363</v>
      </c>
      <c r="V24" s="4">
        <f t="shared" si="7"/>
        <v>0.92370360150141495</v>
      </c>
      <c r="W24" s="4">
        <f t="shared" si="7"/>
        <v>0.89334463567658451</v>
      </c>
      <c r="X24" s="4">
        <f t="shared" si="7"/>
        <v>0.85254543874327005</v>
      </c>
      <c r="Y24" s="4">
        <f t="shared" si="7"/>
        <v>0.79921300652623883</v>
      </c>
      <c r="Z24" s="4">
        <f t="shared" si="7"/>
        <v>0.73204982249993378</v>
      </c>
      <c r="AA24" s="4">
        <f t="shared" si="7"/>
        <v>0.65145592958786691</v>
      </c>
      <c r="AB24" s="4">
        <f t="shared" si="7"/>
        <v>0.56032247880849573</v>
      </c>
      <c r="AC24" s="4">
        <f t="shared" si="7"/>
        <v>0.46411326873185343</v>
      </c>
      <c r="AD24" s="4">
        <f t="shared" si="7"/>
        <v>0.36979727595523937</v>
      </c>
      <c r="AE24" s="4">
        <f t="shared" si="7"/>
        <v>0.28393948637231203</v>
      </c>
      <c r="AF24" s="4">
        <f t="shared" si="7"/>
        <v>0.21097259161117732</v>
      </c>
      <c r="AG24" s="4">
        <f t="shared" si="5"/>
        <v>0.15253917653798199</v>
      </c>
      <c r="AH24" s="4">
        <f t="shared" si="5"/>
        <v>0.10795188737709993</v>
      </c>
      <c r="AI24" s="4">
        <f t="shared" si="5"/>
        <v>7.5176653938091809E-2</v>
      </c>
      <c r="AJ24" s="4">
        <f t="shared" si="5"/>
        <v>5.1742836177502194E-2</v>
      </c>
      <c r="AK24" s="4">
        <f t="shared" si="5"/>
        <v>3.5319190625345942E-2</v>
      </c>
      <c r="AL24" s="4">
        <f t="shared" si="5"/>
        <v>2.3969442072658165E-2</v>
      </c>
      <c r="AM24" s="4">
        <f t="shared" si="5"/>
        <v>1.6202243558389728E-2</v>
      </c>
      <c r="AN24" s="4">
        <f t="shared" si="5"/>
        <v>1.0922240564108399E-2</v>
      </c>
      <c r="AO24" s="4">
        <f t="shared" si="5"/>
        <v>7.3493212906090566E-3</v>
      </c>
      <c r="AP24" s="4">
        <f t="shared" si="5"/>
        <v>4.9390262185057265E-3</v>
      </c>
      <c r="AQ24" s="4">
        <f t="shared" si="5"/>
        <v>3.3164275492956197E-3</v>
      </c>
      <c r="AR24" s="4">
        <f t="shared" si="5"/>
        <v>2.2256362146679809E-3</v>
      </c>
      <c r="AT24" s="85" t="str">
        <f t="shared" ref="AT24:AW27" si="9">A24</f>
        <v xml:space="preserve">Tonnage </v>
      </c>
      <c r="AU24" s="81">
        <f t="shared" si="9"/>
        <v>2240</v>
      </c>
      <c r="AV24" s="81">
        <f t="shared" si="9"/>
        <v>2240</v>
      </c>
      <c r="AW24" s="81" t="str">
        <f t="shared" si="9"/>
        <v>[t]</v>
      </c>
      <c r="AX24" s="80">
        <f>L24</f>
        <v>12</v>
      </c>
      <c r="AY24" s="80">
        <f t="shared" ref="AY24:AZ27" si="10">O24</f>
        <v>0.9</v>
      </c>
      <c r="AZ24" s="80">
        <f t="shared" si="10"/>
        <v>0.4</v>
      </c>
      <c r="BA24" s="86"/>
    </row>
    <row r="25" spans="1:53" x14ac:dyDescent="0.25">
      <c r="A25" s="24" t="s">
        <v>56</v>
      </c>
      <c r="B25" s="72">
        <f>'Parameter Input'!B95</f>
        <v>0.64</v>
      </c>
      <c r="C25" s="73">
        <f>'Parameter Input'!C95</f>
        <v>0.64</v>
      </c>
      <c r="D25" s="1" t="s">
        <v>57</v>
      </c>
      <c r="L25" s="54">
        <f>'Parameter Input'!E95</f>
        <v>12</v>
      </c>
      <c r="M25" s="37">
        <v>0</v>
      </c>
      <c r="N25" s="37">
        <v>1</v>
      </c>
      <c r="O25" s="37">
        <f>'Parameter Input'!F95</f>
        <v>0.9</v>
      </c>
      <c r="P25" s="55">
        <f>'Parameter Input'!G95</f>
        <v>0.4</v>
      </c>
      <c r="Q25" s="4">
        <f t="shared" si="7"/>
        <v>0.9867978615748374</v>
      </c>
      <c r="R25" s="4">
        <f t="shared" si="7"/>
        <v>0.98114509762858249</v>
      </c>
      <c r="S25" s="4">
        <f t="shared" si="7"/>
        <v>0.97311898315872036</v>
      </c>
      <c r="T25" s="4">
        <f t="shared" si="7"/>
        <v>0.96177484161592774</v>
      </c>
      <c r="U25" s="4">
        <f t="shared" si="7"/>
        <v>0.94584787155511363</v>
      </c>
      <c r="V25" s="4">
        <f t="shared" si="7"/>
        <v>0.92370360150141495</v>
      </c>
      <c r="W25" s="4">
        <f t="shared" si="7"/>
        <v>0.89334463567658451</v>
      </c>
      <c r="X25" s="4">
        <f t="shared" si="7"/>
        <v>0.85254543874327005</v>
      </c>
      <c r="Y25" s="4">
        <f t="shared" si="7"/>
        <v>0.79921300652623883</v>
      </c>
      <c r="Z25" s="4">
        <f t="shared" si="7"/>
        <v>0.73204982249993378</v>
      </c>
      <c r="AA25" s="4">
        <f t="shared" si="7"/>
        <v>0.65145592958786691</v>
      </c>
      <c r="AB25" s="4">
        <f t="shared" si="7"/>
        <v>0.56032247880849573</v>
      </c>
      <c r="AC25" s="4">
        <f t="shared" si="7"/>
        <v>0.46411326873185343</v>
      </c>
      <c r="AD25" s="4">
        <f t="shared" si="7"/>
        <v>0.36979727595523937</v>
      </c>
      <c r="AE25" s="4">
        <f t="shared" si="7"/>
        <v>0.28393948637231203</v>
      </c>
      <c r="AF25" s="4">
        <f t="shared" si="7"/>
        <v>0.21097259161117732</v>
      </c>
      <c r="AG25" s="4">
        <f t="shared" si="5"/>
        <v>0.15253917653798199</v>
      </c>
      <c r="AH25" s="4">
        <f t="shared" si="5"/>
        <v>0.10795188737709993</v>
      </c>
      <c r="AI25" s="4">
        <f t="shared" si="5"/>
        <v>7.5176653938091809E-2</v>
      </c>
      <c r="AJ25" s="4">
        <f t="shared" si="5"/>
        <v>5.1742836177502194E-2</v>
      </c>
      <c r="AK25" s="4">
        <f t="shared" si="5"/>
        <v>3.5319190625345942E-2</v>
      </c>
      <c r="AL25" s="4">
        <f t="shared" si="5"/>
        <v>2.3969442072658165E-2</v>
      </c>
      <c r="AM25" s="4">
        <f t="shared" si="5"/>
        <v>1.6202243558389728E-2</v>
      </c>
      <c r="AN25" s="4">
        <f t="shared" si="5"/>
        <v>1.0922240564108399E-2</v>
      </c>
      <c r="AO25" s="4">
        <f t="shared" si="5"/>
        <v>7.3493212906090566E-3</v>
      </c>
      <c r="AP25" s="4">
        <f t="shared" si="5"/>
        <v>4.9390262185057265E-3</v>
      </c>
      <c r="AQ25" s="4">
        <f t="shared" si="5"/>
        <v>3.3164275492956197E-3</v>
      </c>
      <c r="AR25" s="4">
        <f t="shared" si="5"/>
        <v>2.2256362146679809E-3</v>
      </c>
      <c r="AT25" s="85" t="str">
        <f t="shared" si="9"/>
        <v>Market failure (av. utilization)</v>
      </c>
      <c r="AU25" s="81">
        <f t="shared" si="9"/>
        <v>0.64</v>
      </c>
      <c r="AV25" s="81">
        <f t="shared" si="9"/>
        <v>0.64</v>
      </c>
      <c r="AW25" s="81" t="str">
        <f t="shared" si="9"/>
        <v>[%]</v>
      </c>
      <c r="AX25" s="80">
        <f>L25</f>
        <v>12</v>
      </c>
      <c r="AY25" s="80">
        <f t="shared" si="10"/>
        <v>0.9</v>
      </c>
      <c r="AZ25" s="80">
        <f t="shared" si="10"/>
        <v>0.4</v>
      </c>
      <c r="BA25" s="86"/>
    </row>
    <row r="26" spans="1:53" x14ac:dyDescent="0.25">
      <c r="A26" s="24" t="s">
        <v>73</v>
      </c>
      <c r="B26" s="72">
        <f>'Parameter Input'!$L$133</f>
        <v>1.7857142857142856E-2</v>
      </c>
      <c r="C26" s="73">
        <f>'Parameter Input'!$M$133</f>
        <v>1.7857142857142856E-2</v>
      </c>
      <c r="D26" s="1" t="s">
        <v>57</v>
      </c>
      <c r="L26" s="54">
        <f>'Parameter Input'!$O$133</f>
        <v>12</v>
      </c>
      <c r="M26" s="37">
        <v>0</v>
      </c>
      <c r="N26" s="37">
        <v>1</v>
      </c>
      <c r="O26" s="37">
        <f>'Parameter Input'!$P$133</f>
        <v>0.9</v>
      </c>
      <c r="P26" s="55">
        <f>'Parameter Input'!$Q$133</f>
        <v>0.4</v>
      </c>
      <c r="Q26" s="4">
        <f t="shared" si="7"/>
        <v>0.9867978615748374</v>
      </c>
      <c r="R26" s="4">
        <f t="shared" si="7"/>
        <v>0.98114509762858249</v>
      </c>
      <c r="S26" s="4">
        <f t="shared" si="7"/>
        <v>0.97311898315872036</v>
      </c>
      <c r="T26" s="4">
        <f t="shared" si="7"/>
        <v>0.96177484161592774</v>
      </c>
      <c r="U26" s="4">
        <f t="shared" si="7"/>
        <v>0.94584787155511363</v>
      </c>
      <c r="V26" s="4">
        <f t="shared" si="7"/>
        <v>0.92370360150141495</v>
      </c>
      <c r="W26" s="4">
        <f t="shared" si="7"/>
        <v>0.89334463567658451</v>
      </c>
      <c r="X26" s="4">
        <f t="shared" si="7"/>
        <v>0.85254543874327005</v>
      </c>
      <c r="Y26" s="4">
        <f t="shared" si="7"/>
        <v>0.79921300652623883</v>
      </c>
      <c r="Z26" s="4">
        <f t="shared" si="7"/>
        <v>0.73204982249993378</v>
      </c>
      <c r="AA26" s="4">
        <f t="shared" si="7"/>
        <v>0.65145592958786691</v>
      </c>
      <c r="AB26" s="4">
        <f t="shared" si="7"/>
        <v>0.56032247880849573</v>
      </c>
      <c r="AC26" s="4">
        <f t="shared" si="7"/>
        <v>0.46411326873185343</v>
      </c>
      <c r="AD26" s="4">
        <f t="shared" si="7"/>
        <v>0.36979727595523937</v>
      </c>
      <c r="AE26" s="4">
        <f t="shared" si="7"/>
        <v>0.28393948637231203</v>
      </c>
      <c r="AF26" s="4">
        <f t="shared" si="7"/>
        <v>0.21097259161117732</v>
      </c>
      <c r="AG26" s="4">
        <f t="shared" si="5"/>
        <v>0.15253917653798199</v>
      </c>
      <c r="AH26" s="4">
        <f t="shared" si="5"/>
        <v>0.10795188737709993</v>
      </c>
      <c r="AI26" s="4">
        <f t="shared" si="5"/>
        <v>7.5176653938091809E-2</v>
      </c>
      <c r="AJ26" s="4">
        <f t="shared" si="5"/>
        <v>5.1742836177502194E-2</v>
      </c>
      <c r="AK26" s="4">
        <f t="shared" si="5"/>
        <v>3.5319190625345942E-2</v>
      </c>
      <c r="AL26" s="4">
        <f t="shared" si="5"/>
        <v>2.3969442072658165E-2</v>
      </c>
      <c r="AM26" s="4">
        <f t="shared" si="5"/>
        <v>1.6202243558389728E-2</v>
      </c>
      <c r="AN26" s="4">
        <f t="shared" si="5"/>
        <v>1.0922240564108399E-2</v>
      </c>
      <c r="AO26" s="4">
        <f t="shared" si="5"/>
        <v>7.3493212906090566E-3</v>
      </c>
      <c r="AP26" s="4">
        <f t="shared" si="5"/>
        <v>4.9390262185057265E-3</v>
      </c>
      <c r="AQ26" s="4">
        <f t="shared" si="5"/>
        <v>3.3164275492956197E-3</v>
      </c>
      <c r="AR26" s="4">
        <f t="shared" si="5"/>
        <v>2.2256362146679809E-3</v>
      </c>
      <c r="AT26" s="85" t="str">
        <f t="shared" si="9"/>
        <v>Payload loss (fuel)</v>
      </c>
      <c r="AU26" s="81">
        <f t="shared" si="9"/>
        <v>1.7857142857142856E-2</v>
      </c>
      <c r="AV26" s="81">
        <f t="shared" si="9"/>
        <v>1.7857142857142856E-2</v>
      </c>
      <c r="AW26" s="81" t="str">
        <f t="shared" si="9"/>
        <v>[%]</v>
      </c>
      <c r="AX26" s="80">
        <f>L26</f>
        <v>12</v>
      </c>
      <c r="AY26" s="80">
        <f t="shared" si="10"/>
        <v>0.9</v>
      </c>
      <c r="AZ26" s="80">
        <f t="shared" si="10"/>
        <v>0.4</v>
      </c>
      <c r="BA26" s="86"/>
    </row>
    <row r="27" spans="1:53" ht="15.75" thickBot="1" x14ac:dyDescent="0.3">
      <c r="A27" s="24" t="s">
        <v>64</v>
      </c>
      <c r="B27" s="74">
        <f>'Parameter Input'!B96</f>
        <v>178500</v>
      </c>
      <c r="C27" s="75">
        <f>'Parameter Input'!C96</f>
        <v>178500</v>
      </c>
      <c r="D27" s="1" t="s">
        <v>65</v>
      </c>
      <c r="L27" s="56">
        <f>'Parameter Input'!E96</f>
        <v>12</v>
      </c>
      <c r="M27" s="57">
        <v>0</v>
      </c>
      <c r="N27" s="57">
        <v>1</v>
      </c>
      <c r="O27" s="57">
        <f>'Parameter Input'!F96</f>
        <v>0.9</v>
      </c>
      <c r="P27" s="58">
        <f>'Parameter Input'!G96</f>
        <v>0.4</v>
      </c>
      <c r="Q27" s="4">
        <f t="shared" si="7"/>
        <v>0.9867978615748374</v>
      </c>
      <c r="R27" s="4">
        <f t="shared" si="7"/>
        <v>0.98114509762858249</v>
      </c>
      <c r="S27" s="4">
        <f t="shared" si="7"/>
        <v>0.97311898315872036</v>
      </c>
      <c r="T27" s="4">
        <f t="shared" si="7"/>
        <v>0.96177484161592774</v>
      </c>
      <c r="U27" s="4">
        <f t="shared" si="7"/>
        <v>0.94584787155511363</v>
      </c>
      <c r="V27" s="4">
        <f t="shared" si="7"/>
        <v>0.92370360150141495</v>
      </c>
      <c r="W27" s="4">
        <f t="shared" si="7"/>
        <v>0.89334463567658451</v>
      </c>
      <c r="X27" s="4">
        <f t="shared" si="7"/>
        <v>0.85254543874327005</v>
      </c>
      <c r="Y27" s="4">
        <f t="shared" si="7"/>
        <v>0.79921300652623883</v>
      </c>
      <c r="Z27" s="4">
        <f t="shared" si="7"/>
        <v>0.73204982249993378</v>
      </c>
      <c r="AA27" s="4">
        <f t="shared" si="7"/>
        <v>0.65145592958786691</v>
      </c>
      <c r="AB27" s="4">
        <f t="shared" si="7"/>
        <v>0.56032247880849573</v>
      </c>
      <c r="AC27" s="4">
        <f t="shared" si="7"/>
        <v>0.46411326873185343</v>
      </c>
      <c r="AD27" s="4">
        <f t="shared" si="7"/>
        <v>0.36979727595523937</v>
      </c>
      <c r="AE27" s="4">
        <f t="shared" si="7"/>
        <v>0.28393948637231203</v>
      </c>
      <c r="AF27" s="4">
        <f t="shared" si="7"/>
        <v>0.21097259161117732</v>
      </c>
      <c r="AG27" s="4">
        <f t="shared" si="5"/>
        <v>0.15253917653798199</v>
      </c>
      <c r="AH27" s="4">
        <f t="shared" si="5"/>
        <v>0.10795188737709993</v>
      </c>
      <c r="AI27" s="4">
        <f t="shared" si="5"/>
        <v>7.5176653938091809E-2</v>
      </c>
      <c r="AJ27" s="4">
        <f t="shared" si="5"/>
        <v>5.1742836177502194E-2</v>
      </c>
      <c r="AK27" s="4">
        <f t="shared" si="5"/>
        <v>3.5319190625345942E-2</v>
      </c>
      <c r="AL27" s="4">
        <f t="shared" si="5"/>
        <v>2.3969442072658165E-2</v>
      </c>
      <c r="AM27" s="4">
        <f t="shared" si="5"/>
        <v>1.6202243558389728E-2</v>
      </c>
      <c r="AN27" s="4">
        <f t="shared" si="5"/>
        <v>1.0922240564108399E-2</v>
      </c>
      <c r="AO27" s="4">
        <f t="shared" si="5"/>
        <v>7.3493212906090566E-3</v>
      </c>
      <c r="AP27" s="4">
        <f t="shared" si="5"/>
        <v>4.9390262185057265E-3</v>
      </c>
      <c r="AQ27" s="4">
        <f t="shared" si="5"/>
        <v>3.3164275492956197E-3</v>
      </c>
      <c r="AR27" s="4">
        <f t="shared" si="5"/>
        <v>2.2256362146679809E-3</v>
      </c>
      <c r="AT27" s="87" t="str">
        <f t="shared" si="9"/>
        <v>Annual Mileage</v>
      </c>
      <c r="AU27" s="88">
        <f t="shared" si="9"/>
        <v>178500</v>
      </c>
      <c r="AV27" s="88">
        <f t="shared" si="9"/>
        <v>178500</v>
      </c>
      <c r="AW27" s="88" t="str">
        <f t="shared" si="9"/>
        <v>[km/a]</v>
      </c>
      <c r="AX27" s="89">
        <f>L27</f>
        <v>12</v>
      </c>
      <c r="AY27" s="89">
        <f t="shared" si="10"/>
        <v>0.9</v>
      </c>
      <c r="AZ27" s="89">
        <f t="shared" si="10"/>
        <v>0.4</v>
      </c>
      <c r="BA27" s="90"/>
    </row>
    <row r="28" spans="1:53" ht="15.75" thickBot="1" x14ac:dyDescent="0.3">
      <c r="A28" s="25"/>
      <c r="B28" s="40"/>
    </row>
    <row r="29" spans="1:53" ht="15.75" thickBot="1" x14ac:dyDescent="0.3">
      <c r="AT29" s="82" t="str">
        <f>A1</f>
        <v>Railway long-haul: Dry bulk</v>
      </c>
      <c r="AU29" s="83"/>
      <c r="AV29" s="83"/>
      <c r="AW29" s="83"/>
      <c r="AX29" s="83">
        <f>U9</f>
        <v>4</v>
      </c>
      <c r="AY29" s="83"/>
      <c r="AZ29" s="83"/>
      <c r="BA29" s="84" t="s">
        <v>3</v>
      </c>
    </row>
    <row r="30" spans="1:53"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c r="AT30" s="85" t="str">
        <f>A2</f>
        <v>Hydrogen</v>
      </c>
      <c r="AU30" s="80">
        <f>B9</f>
        <v>2023</v>
      </c>
      <c r="AV30" s="80">
        <f>C9</f>
        <v>2050</v>
      </c>
      <c r="AW30" s="80" t="str">
        <f>D10</f>
        <v>Unit</v>
      </c>
      <c r="AX30" s="80" t="str">
        <f>L10</f>
        <v>midway</v>
      </c>
      <c r="AY30" s="80" t="str">
        <f>O10</f>
        <v>a</v>
      </c>
      <c r="AZ30" s="80" t="str">
        <f>P10</f>
        <v>k</v>
      </c>
      <c r="BA30" s="86"/>
    </row>
    <row r="31" spans="1:53" x14ac:dyDescent="0.25">
      <c r="A31" s="29" t="str">
        <f t="shared" ref="A31:A40" si="11">A11</f>
        <v>Capex vehicle</v>
      </c>
      <c r="B31" s="62">
        <f t="shared" ref="B31:B39" si="12">$B11+($C11-$B11)*(1-Q11)</f>
        <v>9920787.1694490239</v>
      </c>
      <c r="C31" s="62">
        <f t="shared" ref="C31:C39" si="13">$B11+($C11-$B11)*(1-R11)</f>
        <v>9886870.5857714955</v>
      </c>
      <c r="D31" s="62">
        <f t="shared" ref="D31:D39" si="14">$B11+($C11-$B11)*(1-S11)</f>
        <v>9838713.8989523221</v>
      </c>
      <c r="E31" s="62">
        <f t="shared" ref="E31:E39" si="15">$B11+($C11-$B11)*(1-T11)</f>
        <v>9770649.0496955663</v>
      </c>
      <c r="F31" s="62">
        <f t="shared" ref="F31:F39" si="16">$B11+($C11-$B11)*(1-U11)</f>
        <v>9675087.2293306813</v>
      </c>
      <c r="G31" s="62">
        <f t="shared" ref="G31:G39" si="17">$B11+($C11-$B11)*(1-V11)</f>
        <v>9542221.6090084892</v>
      </c>
      <c r="H31" s="62">
        <f t="shared" ref="H31:H39" si="18">$B11+($C11-$B11)*(1-W11)</f>
        <v>9360067.8140595071</v>
      </c>
      <c r="I31" s="62">
        <f t="shared" ref="I31:I39" si="19">$B11+($C11-$B11)*(1-X11)</f>
        <v>9115272.63245962</v>
      </c>
      <c r="J31" s="62">
        <f t="shared" ref="J31:J39" si="20">$B11+($C11-$B11)*(1-Y11)</f>
        <v>8795278.0391574334</v>
      </c>
      <c r="K31" s="62">
        <f t="shared" ref="K31:K39" si="21">$B11+($C11-$B11)*(1-Z11)</f>
        <v>8392298.9349996019</v>
      </c>
      <c r="L31" s="62">
        <f t="shared" ref="L31:L39" si="22">$B11+($C11-$B11)*(1-AA11)</f>
        <v>7908735.5775272017</v>
      </c>
      <c r="M31" s="62">
        <f t="shared" ref="M31:M39" si="23">$B11+($C11-$B11)*(1-AB11)</f>
        <v>7361934.872850975</v>
      </c>
      <c r="N31" s="62">
        <f t="shared" ref="N31:N39" si="24">$B11+($C11-$B11)*(1-AC11)</f>
        <v>6784679.6123911208</v>
      </c>
      <c r="O31" s="62">
        <f t="shared" ref="O31:O39" si="25">$B11+($C11-$B11)*(1-AD11)</f>
        <v>6218783.6557314359</v>
      </c>
      <c r="P31" s="62">
        <f t="shared" ref="P31:P39" si="26">$B11+($C11-$B11)*(1-AE11)</f>
        <v>5703636.9182338724</v>
      </c>
      <c r="Q31" s="62">
        <f t="shared" ref="Q31:Q39" si="27">$B11+($C11-$B11)*(1-AF11)</f>
        <v>5265835.5496670641</v>
      </c>
      <c r="R31" s="62">
        <f t="shared" ref="R31:R39" si="28">$B11+($C11-$B11)*(1-AG11)</f>
        <v>4915235.0592278922</v>
      </c>
      <c r="S31" s="62">
        <f t="shared" ref="S31:S39" si="29">$B11+($C11-$B11)*(1-AH11)</f>
        <v>4647711.3242625995</v>
      </c>
      <c r="T31" s="62">
        <f t="shared" ref="T31:T39" si="30">$B11+($C11-$B11)*(1-AI11)</f>
        <v>4451059.923628551</v>
      </c>
      <c r="U31" s="62">
        <f t="shared" ref="U31:U39" si="31">$B11+($C11-$B11)*(1-AJ11)</f>
        <v>4310457.0170650128</v>
      </c>
      <c r="V31" s="62">
        <f t="shared" ref="V31:V39" si="32">$B11+($C11-$B11)*(1-AK11)</f>
        <v>4211915.1437520757</v>
      </c>
      <c r="W31" s="62">
        <f t="shared" ref="W31:W39" si="33">$B11+($C11-$B11)*(1-AL11)</f>
        <v>4143816.6524359491</v>
      </c>
      <c r="X31" s="62">
        <f t="shared" ref="X31:X39" si="34">$B11+($C11-$B11)*(1-AM11)</f>
        <v>4097213.4613503385</v>
      </c>
      <c r="Y31" s="62">
        <f t="shared" ref="Y31:Y39" si="35">$B11+($C11-$B11)*(1-AN11)</f>
        <v>4065533.4433846502</v>
      </c>
      <c r="Z31" s="62">
        <f t="shared" ref="Z31:Z39" si="36">$B11+($C11-$B11)*(1-AO11)</f>
        <v>4044095.9277436547</v>
      </c>
      <c r="AA31" s="62">
        <f t="shared" ref="AA31:AA39" si="37">$B11+($C11-$B11)*(1-AP11)</f>
        <v>4029634.1573110344</v>
      </c>
      <c r="AB31" s="62">
        <f t="shared" ref="AB31:AB39" si="38">$B11+($C11-$B11)*(1-AQ11)</f>
        <v>4019898.5652957736</v>
      </c>
      <c r="AC31" s="62">
        <f t="shared" ref="AC31:AC39" si="39">$B11+($C11-$B11)*(1-AR11)</f>
        <v>4013353.8172880076</v>
      </c>
      <c r="AT31" s="85" t="str">
        <f>A17</f>
        <v>Opex maintenance &amp; repair</v>
      </c>
      <c r="AU31" s="81">
        <f>B17</f>
        <v>1400000.0000000002</v>
      </c>
      <c r="AV31" s="81">
        <f>C17</f>
        <v>560000</v>
      </c>
      <c r="AW31" s="81" t="str">
        <f>D17</f>
        <v>[€/a]</v>
      </c>
      <c r="AX31" s="80">
        <f>L17</f>
        <v>12</v>
      </c>
      <c r="AY31" s="80">
        <f>O17</f>
        <v>0.9</v>
      </c>
      <c r="AZ31" s="80">
        <f>P17</f>
        <v>0.4</v>
      </c>
      <c r="BA31" s="86"/>
    </row>
    <row r="32" spans="1:53" x14ac:dyDescent="0.25">
      <c r="A32" s="30" t="str">
        <f t="shared" si="11"/>
        <v>Residual value (vehicle)</v>
      </c>
      <c r="B32" s="62">
        <f t="shared" si="12"/>
        <v>-501320.21384251624</v>
      </c>
      <c r="C32" s="62">
        <f t="shared" si="13"/>
        <v>-501885.49023714173</v>
      </c>
      <c r="D32" s="62">
        <f t="shared" si="14"/>
        <v>-502688.10168412799</v>
      </c>
      <c r="E32" s="62">
        <f t="shared" si="15"/>
        <v>-503822.51583840721</v>
      </c>
      <c r="F32" s="62">
        <f t="shared" si="16"/>
        <v>-505415.21284448862</v>
      </c>
      <c r="G32" s="62">
        <f t="shared" si="17"/>
        <v>-507629.63984985853</v>
      </c>
      <c r="H32" s="62">
        <f t="shared" si="18"/>
        <v>-510665.53643234156</v>
      </c>
      <c r="I32" s="62">
        <f t="shared" si="19"/>
        <v>-514745.45612567302</v>
      </c>
      <c r="J32" s="62">
        <f t="shared" si="20"/>
        <v>-520078.69934737612</v>
      </c>
      <c r="K32" s="62">
        <f t="shared" si="21"/>
        <v>-526795.01775000663</v>
      </c>
      <c r="L32" s="62">
        <f t="shared" si="22"/>
        <v>-534854.40704121336</v>
      </c>
      <c r="M32" s="62">
        <f t="shared" si="23"/>
        <v>-543967.75211915048</v>
      </c>
      <c r="N32" s="62">
        <f t="shared" si="24"/>
        <v>-553588.67312681465</v>
      </c>
      <c r="O32" s="62">
        <f t="shared" si="25"/>
        <v>-563020.27240447607</v>
      </c>
      <c r="P32" s="62">
        <f t="shared" si="26"/>
        <v>-571606.05136276875</v>
      </c>
      <c r="Q32" s="62">
        <f t="shared" si="27"/>
        <v>-578902.74083888228</v>
      </c>
      <c r="R32" s="62">
        <f t="shared" si="28"/>
        <v>-584746.08234620176</v>
      </c>
      <c r="S32" s="62">
        <f t="shared" si="29"/>
        <v>-589204.81126228999</v>
      </c>
      <c r="T32" s="62">
        <f t="shared" si="30"/>
        <v>-592482.33460619079</v>
      </c>
      <c r="U32" s="62">
        <f t="shared" si="31"/>
        <v>-594825.71638224972</v>
      </c>
      <c r="V32" s="62">
        <f t="shared" si="32"/>
        <v>-596468.08093746542</v>
      </c>
      <c r="W32" s="62">
        <f t="shared" si="33"/>
        <v>-597603.05579273414</v>
      </c>
      <c r="X32" s="62">
        <f t="shared" si="34"/>
        <v>-598379.77564416104</v>
      </c>
      <c r="Y32" s="62">
        <f t="shared" si="35"/>
        <v>-598907.77594358916</v>
      </c>
      <c r="Z32" s="62">
        <f t="shared" si="36"/>
        <v>-599265.06787093915</v>
      </c>
      <c r="AA32" s="62">
        <f t="shared" si="37"/>
        <v>-599506.0973781494</v>
      </c>
      <c r="AB32" s="62">
        <f t="shared" si="38"/>
        <v>-599668.35724507039</v>
      </c>
      <c r="AC32" s="62">
        <f t="shared" si="39"/>
        <v>-599777.43637853325</v>
      </c>
      <c r="AT32" s="85" t="str">
        <f t="shared" ref="AT32:AW33" si="40">A19</f>
        <v>Fuel Economy</v>
      </c>
      <c r="AU32" s="81">
        <f t="shared" si="40"/>
        <v>48.858472727272719</v>
      </c>
      <c r="AV32" s="81">
        <f t="shared" si="40"/>
        <v>41.341784615384611</v>
      </c>
      <c r="AW32" s="81" t="str">
        <f t="shared" si="40"/>
        <v>[kWh/km]</v>
      </c>
      <c r="AX32" s="80">
        <f>L19</f>
        <v>12</v>
      </c>
      <c r="AY32" s="80">
        <f>O19</f>
        <v>0.9</v>
      </c>
      <c r="AZ32" s="80">
        <f>P19</f>
        <v>0.4</v>
      </c>
      <c r="BA32" s="86"/>
    </row>
    <row r="33" spans="1:53" x14ac:dyDescent="0.25">
      <c r="A33" s="30" t="str">
        <f t="shared" si="11"/>
        <v>Capex costumization</v>
      </c>
      <c r="B33" s="62">
        <f t="shared" si="12"/>
        <v>4200000</v>
      </c>
      <c r="C33" s="62">
        <f t="shared" si="13"/>
        <v>4200000</v>
      </c>
      <c r="D33" s="62">
        <f t="shared" si="14"/>
        <v>4200000</v>
      </c>
      <c r="E33" s="62">
        <f t="shared" si="15"/>
        <v>4200000</v>
      </c>
      <c r="F33" s="62">
        <f t="shared" si="16"/>
        <v>4200000</v>
      </c>
      <c r="G33" s="62">
        <f t="shared" si="17"/>
        <v>4200000</v>
      </c>
      <c r="H33" s="62">
        <f t="shared" si="18"/>
        <v>4200000</v>
      </c>
      <c r="I33" s="62">
        <f t="shared" si="19"/>
        <v>4200000</v>
      </c>
      <c r="J33" s="62">
        <f t="shared" si="20"/>
        <v>4200000</v>
      </c>
      <c r="K33" s="62">
        <f t="shared" si="21"/>
        <v>4200000</v>
      </c>
      <c r="L33" s="62">
        <f t="shared" si="22"/>
        <v>4200000</v>
      </c>
      <c r="M33" s="62">
        <f t="shared" si="23"/>
        <v>4200000</v>
      </c>
      <c r="N33" s="62">
        <f t="shared" si="24"/>
        <v>4200000</v>
      </c>
      <c r="O33" s="62">
        <f t="shared" si="25"/>
        <v>4200000</v>
      </c>
      <c r="P33" s="62">
        <f t="shared" si="26"/>
        <v>4200000</v>
      </c>
      <c r="Q33" s="62">
        <f t="shared" si="27"/>
        <v>4200000</v>
      </c>
      <c r="R33" s="62">
        <f t="shared" si="28"/>
        <v>4200000</v>
      </c>
      <c r="S33" s="62">
        <f t="shared" si="29"/>
        <v>4200000</v>
      </c>
      <c r="T33" s="62">
        <f t="shared" si="30"/>
        <v>4200000</v>
      </c>
      <c r="U33" s="62">
        <f t="shared" si="31"/>
        <v>4200000</v>
      </c>
      <c r="V33" s="62">
        <f t="shared" si="32"/>
        <v>4200000</v>
      </c>
      <c r="W33" s="62">
        <f t="shared" si="33"/>
        <v>4200000</v>
      </c>
      <c r="X33" s="62">
        <f t="shared" si="34"/>
        <v>4200000</v>
      </c>
      <c r="Y33" s="62">
        <f t="shared" si="35"/>
        <v>4200000</v>
      </c>
      <c r="Z33" s="62">
        <f t="shared" si="36"/>
        <v>4200000</v>
      </c>
      <c r="AA33" s="62">
        <f t="shared" si="37"/>
        <v>4200000</v>
      </c>
      <c r="AB33" s="62">
        <f t="shared" si="38"/>
        <v>4200000</v>
      </c>
      <c r="AC33" s="62">
        <f t="shared" si="39"/>
        <v>4200000</v>
      </c>
      <c r="AT33" s="85" t="str">
        <f t="shared" si="40"/>
        <v>Fuel Cost</v>
      </c>
      <c r="AU33" s="81">
        <f t="shared" si="40"/>
        <v>0.2544561408768215</v>
      </c>
      <c r="AV33" s="81">
        <f t="shared" si="40"/>
        <v>0.10949010032952979</v>
      </c>
      <c r="AW33" s="81" t="str">
        <f t="shared" si="40"/>
        <v>[€/kWh]</v>
      </c>
      <c r="AX33" s="80">
        <f>L20</f>
        <v>12</v>
      </c>
      <c r="AY33" s="80">
        <f>O20</f>
        <v>0.9</v>
      </c>
      <c r="AZ33" s="80">
        <f>P20</f>
        <v>0.4</v>
      </c>
      <c r="BA33" s="86"/>
    </row>
    <row r="34" spans="1:53" x14ac:dyDescent="0.25">
      <c r="A34" s="30" t="str">
        <f t="shared" si="11"/>
        <v>Residual value (costumization)</v>
      </c>
      <c r="B34" s="62">
        <f t="shared" si="12"/>
        <v>-210000</v>
      </c>
      <c r="C34" s="62">
        <f t="shared" si="13"/>
        <v>-210000</v>
      </c>
      <c r="D34" s="62">
        <f t="shared" si="14"/>
        <v>-210000</v>
      </c>
      <c r="E34" s="62">
        <f t="shared" si="15"/>
        <v>-210000</v>
      </c>
      <c r="F34" s="62">
        <f t="shared" si="16"/>
        <v>-210000</v>
      </c>
      <c r="G34" s="62">
        <f t="shared" si="17"/>
        <v>-210000</v>
      </c>
      <c r="H34" s="62">
        <f t="shared" si="18"/>
        <v>-210000</v>
      </c>
      <c r="I34" s="62">
        <f t="shared" si="19"/>
        <v>-210000</v>
      </c>
      <c r="J34" s="62">
        <f t="shared" si="20"/>
        <v>-210000</v>
      </c>
      <c r="K34" s="62">
        <f t="shared" si="21"/>
        <v>-210000</v>
      </c>
      <c r="L34" s="62">
        <f t="shared" si="22"/>
        <v>-210000</v>
      </c>
      <c r="M34" s="62">
        <f t="shared" si="23"/>
        <v>-210000</v>
      </c>
      <c r="N34" s="62">
        <f t="shared" si="24"/>
        <v>-210000</v>
      </c>
      <c r="O34" s="62">
        <f t="shared" si="25"/>
        <v>-210000</v>
      </c>
      <c r="P34" s="62">
        <f t="shared" si="26"/>
        <v>-210000</v>
      </c>
      <c r="Q34" s="62">
        <f t="shared" si="27"/>
        <v>-210000</v>
      </c>
      <c r="R34" s="62">
        <f t="shared" si="28"/>
        <v>-210000</v>
      </c>
      <c r="S34" s="62">
        <f t="shared" si="29"/>
        <v>-210000</v>
      </c>
      <c r="T34" s="62">
        <f t="shared" si="30"/>
        <v>-210000</v>
      </c>
      <c r="U34" s="62">
        <f t="shared" si="31"/>
        <v>-210000</v>
      </c>
      <c r="V34" s="62">
        <f t="shared" si="32"/>
        <v>-210000</v>
      </c>
      <c r="W34" s="62">
        <f t="shared" si="33"/>
        <v>-210000</v>
      </c>
      <c r="X34" s="62">
        <f t="shared" si="34"/>
        <v>-210000</v>
      </c>
      <c r="Y34" s="62">
        <f t="shared" si="35"/>
        <v>-210000</v>
      </c>
      <c r="Z34" s="62">
        <f t="shared" si="36"/>
        <v>-210000</v>
      </c>
      <c r="AA34" s="62">
        <f t="shared" si="37"/>
        <v>-210000</v>
      </c>
      <c r="AB34" s="62">
        <f t="shared" si="38"/>
        <v>-210000</v>
      </c>
      <c r="AC34" s="62">
        <f t="shared" si="39"/>
        <v>-210000</v>
      </c>
    </row>
    <row r="35" spans="1:53" x14ac:dyDescent="0.25">
      <c r="A35" s="30" t="str">
        <f t="shared" si="11"/>
        <v>WACC</v>
      </c>
      <c r="B35" s="62">
        <f t="shared" si="12"/>
        <v>0.06</v>
      </c>
      <c r="C35" s="62">
        <f t="shared" si="13"/>
        <v>0.06</v>
      </c>
      <c r="D35" s="62">
        <f t="shared" si="14"/>
        <v>0.06</v>
      </c>
      <c r="E35" s="62">
        <f t="shared" si="15"/>
        <v>0.06</v>
      </c>
      <c r="F35" s="62">
        <f t="shared" si="16"/>
        <v>0.06</v>
      </c>
      <c r="G35" s="62">
        <f t="shared" si="17"/>
        <v>0.06</v>
      </c>
      <c r="H35" s="62">
        <f t="shared" si="18"/>
        <v>0.06</v>
      </c>
      <c r="I35" s="62">
        <f t="shared" si="19"/>
        <v>0.06</v>
      </c>
      <c r="J35" s="62">
        <f t="shared" si="20"/>
        <v>0.06</v>
      </c>
      <c r="K35" s="62">
        <f t="shared" si="21"/>
        <v>0.06</v>
      </c>
      <c r="L35" s="62">
        <f t="shared" si="22"/>
        <v>0.06</v>
      </c>
      <c r="M35" s="62">
        <f t="shared" si="23"/>
        <v>0.06</v>
      </c>
      <c r="N35" s="62">
        <f t="shared" si="24"/>
        <v>0.06</v>
      </c>
      <c r="O35" s="62">
        <f t="shared" si="25"/>
        <v>0.06</v>
      </c>
      <c r="P35" s="62">
        <f t="shared" si="26"/>
        <v>0.06</v>
      </c>
      <c r="Q35" s="62">
        <f t="shared" si="27"/>
        <v>0.06</v>
      </c>
      <c r="R35" s="62">
        <f t="shared" si="28"/>
        <v>0.06</v>
      </c>
      <c r="S35" s="62">
        <f t="shared" si="29"/>
        <v>0.06</v>
      </c>
      <c r="T35" s="62">
        <f t="shared" si="30"/>
        <v>0.06</v>
      </c>
      <c r="U35" s="62">
        <f t="shared" si="31"/>
        <v>0.06</v>
      </c>
      <c r="V35" s="62">
        <f t="shared" si="32"/>
        <v>0.06</v>
      </c>
      <c r="W35" s="62">
        <f t="shared" si="33"/>
        <v>0.06</v>
      </c>
      <c r="X35" s="62">
        <f t="shared" si="34"/>
        <v>0.06</v>
      </c>
      <c r="Y35" s="62">
        <f t="shared" si="35"/>
        <v>0.06</v>
      </c>
      <c r="Z35" s="62">
        <f t="shared" si="36"/>
        <v>0.06</v>
      </c>
      <c r="AA35" s="62">
        <f t="shared" si="37"/>
        <v>0.06</v>
      </c>
      <c r="AB35" s="62">
        <f t="shared" si="38"/>
        <v>0.06</v>
      </c>
      <c r="AC35" s="62">
        <f t="shared" si="39"/>
        <v>0.06</v>
      </c>
    </row>
    <row r="36" spans="1:53" x14ac:dyDescent="0.25">
      <c r="A36" s="30" t="str">
        <f t="shared" si="11"/>
        <v>Opex fix (admin, crew, insurance)</v>
      </c>
      <c r="B36" s="62">
        <f t="shared" si="12"/>
        <v>650000</v>
      </c>
      <c r="C36" s="62">
        <f t="shared" si="13"/>
        <v>650000</v>
      </c>
      <c r="D36" s="62">
        <f t="shared" si="14"/>
        <v>650000</v>
      </c>
      <c r="E36" s="62">
        <f t="shared" si="15"/>
        <v>650000</v>
      </c>
      <c r="F36" s="62">
        <f t="shared" si="16"/>
        <v>650000</v>
      </c>
      <c r="G36" s="62">
        <f t="shared" si="17"/>
        <v>650000</v>
      </c>
      <c r="H36" s="62">
        <f t="shared" si="18"/>
        <v>650000</v>
      </c>
      <c r="I36" s="62">
        <f t="shared" si="19"/>
        <v>650000</v>
      </c>
      <c r="J36" s="62">
        <f t="shared" si="20"/>
        <v>650000</v>
      </c>
      <c r="K36" s="62">
        <f t="shared" si="21"/>
        <v>650000</v>
      </c>
      <c r="L36" s="62">
        <f t="shared" si="22"/>
        <v>650000</v>
      </c>
      <c r="M36" s="62">
        <f t="shared" si="23"/>
        <v>650000</v>
      </c>
      <c r="N36" s="62">
        <f t="shared" si="24"/>
        <v>650000</v>
      </c>
      <c r="O36" s="62">
        <f t="shared" si="25"/>
        <v>650000</v>
      </c>
      <c r="P36" s="62">
        <f t="shared" si="26"/>
        <v>650000</v>
      </c>
      <c r="Q36" s="62">
        <f t="shared" si="27"/>
        <v>650000</v>
      </c>
      <c r="R36" s="62">
        <f t="shared" si="28"/>
        <v>650000</v>
      </c>
      <c r="S36" s="62">
        <f t="shared" si="29"/>
        <v>650000</v>
      </c>
      <c r="T36" s="62">
        <f t="shared" si="30"/>
        <v>650000</v>
      </c>
      <c r="U36" s="62">
        <f t="shared" si="31"/>
        <v>650000</v>
      </c>
      <c r="V36" s="62">
        <f t="shared" si="32"/>
        <v>650000</v>
      </c>
      <c r="W36" s="62">
        <f t="shared" si="33"/>
        <v>650000</v>
      </c>
      <c r="X36" s="62">
        <f t="shared" si="34"/>
        <v>650000</v>
      </c>
      <c r="Y36" s="62">
        <f t="shared" si="35"/>
        <v>650000</v>
      </c>
      <c r="Z36" s="62">
        <f t="shared" si="36"/>
        <v>650000</v>
      </c>
      <c r="AA36" s="62">
        <f t="shared" si="37"/>
        <v>650000</v>
      </c>
      <c r="AB36" s="62">
        <f t="shared" si="38"/>
        <v>650000</v>
      </c>
      <c r="AC36" s="62">
        <f t="shared" si="39"/>
        <v>650000</v>
      </c>
    </row>
    <row r="37" spans="1:53" x14ac:dyDescent="0.25">
      <c r="A37" s="30" t="str">
        <f t="shared" si="11"/>
        <v>Opex maintenance &amp; repair</v>
      </c>
      <c r="B37" s="62">
        <f t="shared" si="12"/>
        <v>1388910.2037228637</v>
      </c>
      <c r="C37" s="62">
        <f t="shared" si="13"/>
        <v>1384161.8820080096</v>
      </c>
      <c r="D37" s="62">
        <f t="shared" si="14"/>
        <v>1377419.9458533253</v>
      </c>
      <c r="E37" s="62">
        <f t="shared" si="15"/>
        <v>1367890.8669573795</v>
      </c>
      <c r="F37" s="62">
        <f t="shared" si="16"/>
        <v>1354512.2121062956</v>
      </c>
      <c r="G37" s="62">
        <f t="shared" si="17"/>
        <v>1335911.0252611889</v>
      </c>
      <c r="H37" s="62">
        <f t="shared" si="18"/>
        <v>1310409.4939683313</v>
      </c>
      <c r="I37" s="62">
        <f t="shared" si="19"/>
        <v>1276138.1685443469</v>
      </c>
      <c r="J37" s="62">
        <f t="shared" si="20"/>
        <v>1231338.9254820407</v>
      </c>
      <c r="K37" s="62">
        <f t="shared" si="21"/>
        <v>1174921.8508999445</v>
      </c>
      <c r="L37" s="62">
        <f t="shared" si="22"/>
        <v>1107222.9808538083</v>
      </c>
      <c r="M37" s="62">
        <f t="shared" si="23"/>
        <v>1030670.8821991365</v>
      </c>
      <c r="N37" s="62">
        <f t="shared" si="24"/>
        <v>949855.14573475695</v>
      </c>
      <c r="O37" s="62">
        <f t="shared" si="25"/>
        <v>870629.71180240111</v>
      </c>
      <c r="P37" s="62">
        <f t="shared" si="26"/>
        <v>798509.16855274222</v>
      </c>
      <c r="Q37" s="62">
        <f t="shared" si="27"/>
        <v>737216.97695338901</v>
      </c>
      <c r="R37" s="62">
        <f t="shared" si="28"/>
        <v>688132.90829190495</v>
      </c>
      <c r="S37" s="62">
        <f t="shared" si="29"/>
        <v>650679.58539676399</v>
      </c>
      <c r="T37" s="62">
        <f t="shared" si="30"/>
        <v>623148.38930799719</v>
      </c>
      <c r="U37" s="62">
        <f t="shared" si="31"/>
        <v>603463.98238910188</v>
      </c>
      <c r="V37" s="62">
        <f t="shared" si="32"/>
        <v>589668.12012529059</v>
      </c>
      <c r="W37" s="62">
        <f t="shared" si="33"/>
        <v>580134.33134103287</v>
      </c>
      <c r="X37" s="62">
        <f t="shared" si="34"/>
        <v>573609.8845890474</v>
      </c>
      <c r="Y37" s="62">
        <f t="shared" si="35"/>
        <v>569174.682073851</v>
      </c>
      <c r="Z37" s="62">
        <f t="shared" si="36"/>
        <v>566173.42988411163</v>
      </c>
      <c r="AA37" s="62">
        <f t="shared" si="37"/>
        <v>564148.78202354477</v>
      </c>
      <c r="AB37" s="62">
        <f t="shared" si="38"/>
        <v>562785.79914140829</v>
      </c>
      <c r="AC37" s="62">
        <f t="shared" si="39"/>
        <v>561869.53442032111</v>
      </c>
    </row>
    <row r="38" spans="1:53" x14ac:dyDescent="0.25">
      <c r="A38" s="30" t="str">
        <f t="shared" si="11"/>
        <v>Opex var (mode-fees, shunting)</v>
      </c>
      <c r="B38" s="62">
        <f t="shared" si="12"/>
        <v>3.9215686274509802</v>
      </c>
      <c r="C38" s="62">
        <f t="shared" si="13"/>
        <v>3.9215686274509802</v>
      </c>
      <c r="D38" s="62">
        <f t="shared" si="14"/>
        <v>3.9215686274509802</v>
      </c>
      <c r="E38" s="62">
        <f t="shared" si="15"/>
        <v>3.9215686274509802</v>
      </c>
      <c r="F38" s="62">
        <f t="shared" si="16"/>
        <v>3.9215686274509802</v>
      </c>
      <c r="G38" s="62">
        <f t="shared" si="17"/>
        <v>3.9215686274509802</v>
      </c>
      <c r="H38" s="62">
        <f t="shared" si="18"/>
        <v>3.9215686274509802</v>
      </c>
      <c r="I38" s="62">
        <f t="shared" si="19"/>
        <v>3.9215686274509802</v>
      </c>
      <c r="J38" s="62">
        <f t="shared" si="20"/>
        <v>3.9215686274509802</v>
      </c>
      <c r="K38" s="62">
        <f t="shared" si="21"/>
        <v>3.9215686274509802</v>
      </c>
      <c r="L38" s="62">
        <f t="shared" si="22"/>
        <v>3.9215686274509802</v>
      </c>
      <c r="M38" s="62">
        <f t="shared" si="23"/>
        <v>3.9215686274509802</v>
      </c>
      <c r="N38" s="62">
        <f t="shared" si="24"/>
        <v>3.9215686274509802</v>
      </c>
      <c r="O38" s="62">
        <f t="shared" si="25"/>
        <v>3.9215686274509802</v>
      </c>
      <c r="P38" s="62">
        <f t="shared" si="26"/>
        <v>3.9215686274509802</v>
      </c>
      <c r="Q38" s="62">
        <f t="shared" si="27"/>
        <v>3.9215686274509802</v>
      </c>
      <c r="R38" s="62">
        <f t="shared" si="28"/>
        <v>3.9215686274509802</v>
      </c>
      <c r="S38" s="62">
        <f t="shared" si="29"/>
        <v>3.9215686274509802</v>
      </c>
      <c r="T38" s="62">
        <f t="shared" si="30"/>
        <v>3.9215686274509802</v>
      </c>
      <c r="U38" s="62">
        <f t="shared" si="31"/>
        <v>3.9215686274509802</v>
      </c>
      <c r="V38" s="62">
        <f t="shared" si="32"/>
        <v>3.9215686274509802</v>
      </c>
      <c r="W38" s="62">
        <f t="shared" si="33"/>
        <v>3.9215686274509802</v>
      </c>
      <c r="X38" s="62">
        <f t="shared" si="34"/>
        <v>3.9215686274509802</v>
      </c>
      <c r="Y38" s="62">
        <f t="shared" si="35"/>
        <v>3.9215686274509802</v>
      </c>
      <c r="Z38" s="62">
        <f t="shared" si="36"/>
        <v>3.9215686274509802</v>
      </c>
      <c r="AA38" s="62">
        <f t="shared" si="37"/>
        <v>3.9215686274509802</v>
      </c>
      <c r="AB38" s="62">
        <f t="shared" si="38"/>
        <v>3.9215686274509802</v>
      </c>
      <c r="AC38" s="62">
        <f t="shared" si="39"/>
        <v>3.9215686274509802</v>
      </c>
    </row>
    <row r="39" spans="1:53" x14ac:dyDescent="0.25">
      <c r="A39" s="30" t="str">
        <f t="shared" si="11"/>
        <v>Fuel Economy</v>
      </c>
      <c r="B39" s="62">
        <f t="shared" si="12"/>
        <v>48.759236370320799</v>
      </c>
      <c r="C39" s="62">
        <f t="shared" si="13"/>
        <v>48.716746306766673</v>
      </c>
      <c r="D39" s="62">
        <f t="shared" si="14"/>
        <v>48.65641650754641</v>
      </c>
      <c r="E39" s="62">
        <f t="shared" si="15"/>
        <v>48.571146133672123</v>
      </c>
      <c r="F39" s="62">
        <f t="shared" si="16"/>
        <v>48.451428067157607</v>
      </c>
      <c r="G39" s="62">
        <f t="shared" si="17"/>
        <v>48.28497649569853</v>
      </c>
      <c r="H39" s="62">
        <f t="shared" si="18"/>
        <v>48.056777618193806</v>
      </c>
      <c r="I39" s="62">
        <f t="shared" si="19"/>
        <v>47.750102779630581</v>
      </c>
      <c r="J39" s="62">
        <f t="shared" si="20"/>
        <v>47.349219520406741</v>
      </c>
      <c r="K39" s="62">
        <f t="shared" si="21"/>
        <v>46.844374813479661</v>
      </c>
      <c r="L39" s="62">
        <f t="shared" si="22"/>
        <v>46.238575656736749</v>
      </c>
      <c r="M39" s="62">
        <f t="shared" si="23"/>
        <v>45.553553930668109</v>
      </c>
      <c r="N39" s="62">
        <f t="shared" si="24"/>
        <v>44.830379305030867</v>
      </c>
      <c r="O39" s="62">
        <f t="shared" si="25"/>
        <v>44.121435403365965</v>
      </c>
      <c r="P39" s="62">
        <f t="shared" si="26"/>
        <v>43.476069177094985</v>
      </c>
      <c r="Q39" s="62">
        <f t="shared" si="27"/>
        <v>42.92759978668257</v>
      </c>
      <c r="R39" s="62">
        <f t="shared" si="28"/>
        <v>42.488374030264865</v>
      </c>
      <c r="S39" s="62">
        <f t="shared" si="29"/>
        <v>42.153225283887942</v>
      </c>
      <c r="T39" s="62">
        <f t="shared" si="30"/>
        <v>41.906864076332596</v>
      </c>
      <c r="U39" s="62">
        <f t="shared" si="31"/>
        <v>41.730719376955413</v>
      </c>
      <c r="V39" s="62">
        <f t="shared" si="32"/>
        <v>41.60726795567966</v>
      </c>
      <c r="W39" s="62">
        <f t="shared" si="33"/>
        <v>41.52195543566075</v>
      </c>
      <c r="X39" s="62">
        <f t="shared" si="34"/>
        <v>41.463571826925872</v>
      </c>
      <c r="Y39" s="62">
        <f t="shared" si="35"/>
        <v>41.423883691188024</v>
      </c>
      <c r="Z39" s="62">
        <f t="shared" si="36"/>
        <v>41.397027171360179</v>
      </c>
      <c r="AA39" s="62">
        <f t="shared" si="37"/>
        <v>41.378909735045553</v>
      </c>
      <c r="AB39" s="62">
        <f t="shared" si="38"/>
        <v>41.366713166918338</v>
      </c>
      <c r="AC39" s="62">
        <f t="shared" si="39"/>
        <v>41.358514028660792</v>
      </c>
    </row>
    <row r="40" spans="1:53" x14ac:dyDescent="0.25">
      <c r="A40" s="30" t="str">
        <f t="shared" si="11"/>
        <v>Fuel Cost</v>
      </c>
      <c r="B40" s="62">
        <f>$B20+($C20-$B20)*(1-Q20)</f>
        <v>0.25254227914256844</v>
      </c>
      <c r="C40" s="62">
        <f>$B20+($C20-$B20)*(1-R20)</f>
        <v>0.25172282033513138</v>
      </c>
      <c r="D40" s="62">
        <f>$B20+($C20-$B20)*(1-S20)</f>
        <v>0.25055930629945611</v>
      </c>
      <c r="E40" s="62">
        <f t="shared" ref="E40:AC41" si="41">$B20+($C20-$B20)*(1-T20)</f>
        <v>0.24891479101658942</v>
      </c>
      <c r="F40" s="62">
        <f t="shared" si="41"/>
        <v>0.24660592122895794</v>
      </c>
      <c r="G40" s="62">
        <f t="shared" si="41"/>
        <v>0.24339575407846328</v>
      </c>
      <c r="H40" s="62">
        <f t="shared" si="41"/>
        <v>0.23899473500772708</v>
      </c>
      <c r="I40" s="62">
        <f t="shared" si="41"/>
        <v>0.23308023697079527</v>
      </c>
      <c r="J40" s="62">
        <f t="shared" si="41"/>
        <v>0.22534884543953543</v>
      </c>
      <c r="K40" s="62">
        <f t="shared" si="41"/>
        <v>0.21561246458069289</v>
      </c>
      <c r="L40" s="62">
        <f t="shared" si="41"/>
        <v>0.20392908703293811</v>
      </c>
      <c r="M40" s="62">
        <f t="shared" si="41"/>
        <v>0.19071783151204119</v>
      </c>
      <c r="N40" s="62">
        <f t="shared" si="41"/>
        <v>0.17677076326304775</v>
      </c>
      <c r="O40" s="62">
        <f t="shared" si="41"/>
        <v>0.16309814722993504</v>
      </c>
      <c r="P40" s="62">
        <f t="shared" si="41"/>
        <v>0.15065168342395555</v>
      </c>
      <c r="Q40" s="62">
        <f t="shared" si="41"/>
        <v>0.14007396159940294</v>
      </c>
      <c r="R40" s="62">
        <f t="shared" si="41"/>
        <v>0.13160310078058535</v>
      </c>
      <c r="S40" s="62">
        <f t="shared" si="41"/>
        <v>0.12513945801219511</v>
      </c>
      <c r="T40" s="62">
        <f t="shared" si="41"/>
        <v>0.1203881621925289</v>
      </c>
      <c r="U40" s="62">
        <f t="shared" si="41"/>
        <v>0.11699105441686944</v>
      </c>
      <c r="V40" s="62">
        <f t="shared" si="41"/>
        <v>0.11461018354982119</v>
      </c>
      <c r="W40" s="62">
        <f t="shared" si="41"/>
        <v>0.11296485544093068</v>
      </c>
      <c r="X40" s="62">
        <f t="shared" si="41"/>
        <v>0.11183887542617238</v>
      </c>
      <c r="Y40" s="62">
        <f t="shared" si="41"/>
        <v>0.11107345429801357</v>
      </c>
      <c r="Z40" s="62">
        <f t="shared" si="41"/>
        <v>0.11055550233773928</v>
      </c>
      <c r="AA40" s="62">
        <f t="shared" si="41"/>
        <v>0.11020609140458582</v>
      </c>
      <c r="AB40" s="62">
        <f t="shared" si="41"/>
        <v>0.10997086970011311</v>
      </c>
      <c r="AC40" s="62">
        <f t="shared" si="41"/>
        <v>0.10981274199926885</v>
      </c>
    </row>
    <row r="41" spans="1:53" x14ac:dyDescent="0.25">
      <c r="A41" s="30" t="str">
        <f t="shared" ref="A41" si="42">A21</f>
        <v>Emission Cost</v>
      </c>
      <c r="B41" s="66">
        <f>$B21+($C21-$B21)*(1-Q21)</f>
        <v>0.17582388128473975</v>
      </c>
      <c r="C41" s="66">
        <f t="shared" ref="C41" si="43">$B21+($C21-$B21)*(1-R21)</f>
        <v>0.17565645410997111</v>
      </c>
      <c r="D41" s="66">
        <f t="shared" ref="D41" si="44">$B21+($C21-$B21)*(1-S21)</f>
        <v>0.17541678583842943</v>
      </c>
      <c r="E41" s="66">
        <f t="shared" si="41"/>
        <v>0.17507392352176276</v>
      </c>
      <c r="F41" s="66">
        <f t="shared" si="41"/>
        <v>0.17458389761491974</v>
      </c>
      <c r="G41" s="66">
        <f t="shared" si="41"/>
        <v>0.17388452474686475</v>
      </c>
      <c r="H41" s="66">
        <f t="shared" si="41"/>
        <v>0.17288844620780905</v>
      </c>
      <c r="I41" s="66">
        <f t="shared" si="41"/>
        <v>0.17147415747198971</v>
      </c>
      <c r="J41" s="66">
        <f t="shared" si="41"/>
        <v>0.16947519624837942</v>
      </c>
      <c r="K41" s="66">
        <f t="shared" si="41"/>
        <v>0.16666869075467838</v>
      </c>
      <c r="L41" s="66">
        <f t="shared" si="41"/>
        <v>0.16276662932539185</v>
      </c>
      <c r="M41" s="66">
        <f t="shared" si="41"/>
        <v>0.15741704908224841</v>
      </c>
      <c r="N41" s="66">
        <f t="shared" si="41"/>
        <v>0.15022778647330717</v>
      </c>
      <c r="O41" s="66">
        <f t="shared" si="41"/>
        <v>0.14083003138002706</v>
      </c>
      <c r="P41" s="66">
        <f t="shared" si="41"/>
        <v>0.12899514726681846</v>
      </c>
      <c r="Q41" s="66">
        <f t="shared" si="41"/>
        <v>0.11479362605136975</v>
      </c>
      <c r="R41" s="66">
        <f t="shared" si="41"/>
        <v>9.8734920014022967E-2</v>
      </c>
      <c r="S41" s="66">
        <f t="shared" si="41"/>
        <v>8.1781809937608918E-2</v>
      </c>
      <c r="T41" s="66">
        <f t="shared" si="41"/>
        <v>6.5162305357595693E-2</v>
      </c>
      <c r="U41" s="66">
        <f t="shared" si="41"/>
        <v>5.0033228249931727E-2</v>
      </c>
      <c r="V41" s="66">
        <f t="shared" si="41"/>
        <v>3.7175667130427636E-2</v>
      </c>
      <c r="W41" s="66">
        <f t="shared" si="41"/>
        <v>2.6879063332438669E-2</v>
      </c>
      <c r="X41" s="66">
        <f t="shared" si="41"/>
        <v>1.9022297638684654E-2</v>
      </c>
      <c r="Y41" s="66">
        <f t="shared" si="41"/>
        <v>1.324694474025595E-2</v>
      </c>
      <c r="Z41" s="66">
        <f t="shared" si="41"/>
        <v>9.1176509679713191E-3</v>
      </c>
      <c r="AA41" s="66">
        <f t="shared" si="41"/>
        <v>6.2236258462609606E-3</v>
      </c>
      <c r="AB41" s="66">
        <f t="shared" si="41"/>
        <v>4.2236766064734643E-3</v>
      </c>
      <c r="AC41" s="66">
        <f t="shared" si="41"/>
        <v>2.8550116803935655E-3</v>
      </c>
    </row>
    <row r="42" spans="1:53" x14ac:dyDescent="0.25">
      <c r="A42" s="30" t="str">
        <f>A22</f>
        <v>Lifetime vehicle</v>
      </c>
      <c r="B42" s="62">
        <f>$B22+($C22-$B22)*(1-Q22)</f>
        <v>20</v>
      </c>
      <c r="C42" s="62">
        <f t="shared" ref="C42:L44" si="45">$B22+($C22-$B22)*(1-R22)</f>
        <v>20</v>
      </c>
      <c r="D42" s="62">
        <f t="shared" si="45"/>
        <v>20</v>
      </c>
      <c r="E42" s="62">
        <f t="shared" si="45"/>
        <v>20</v>
      </c>
      <c r="F42" s="62">
        <f t="shared" si="45"/>
        <v>20</v>
      </c>
      <c r="G42" s="62">
        <f t="shared" si="45"/>
        <v>20</v>
      </c>
      <c r="H42" s="62">
        <f t="shared" si="45"/>
        <v>20</v>
      </c>
      <c r="I42" s="62">
        <f t="shared" si="45"/>
        <v>20</v>
      </c>
      <c r="J42" s="62">
        <f t="shared" si="45"/>
        <v>20</v>
      </c>
      <c r="K42" s="62">
        <f t="shared" si="45"/>
        <v>20</v>
      </c>
      <c r="L42" s="62">
        <f t="shared" si="45"/>
        <v>20</v>
      </c>
      <c r="M42" s="62">
        <f t="shared" ref="M42:V44" si="46">$B22+($C22-$B22)*(1-AB22)</f>
        <v>20</v>
      </c>
      <c r="N42" s="62">
        <f t="shared" si="46"/>
        <v>20</v>
      </c>
      <c r="O42" s="62">
        <f t="shared" si="46"/>
        <v>20</v>
      </c>
      <c r="P42" s="62">
        <f t="shared" si="46"/>
        <v>20</v>
      </c>
      <c r="Q42" s="62">
        <f t="shared" si="46"/>
        <v>20</v>
      </c>
      <c r="R42" s="62">
        <f t="shared" si="46"/>
        <v>20</v>
      </c>
      <c r="S42" s="62">
        <f t="shared" si="46"/>
        <v>20</v>
      </c>
      <c r="T42" s="62">
        <f t="shared" si="46"/>
        <v>20</v>
      </c>
      <c r="U42" s="62">
        <f t="shared" si="46"/>
        <v>20</v>
      </c>
      <c r="V42" s="62">
        <f t="shared" si="46"/>
        <v>20</v>
      </c>
      <c r="W42" s="62">
        <f t="shared" ref="W42:AC44" si="47">$B22+($C22-$B22)*(1-AL22)</f>
        <v>20</v>
      </c>
      <c r="X42" s="62">
        <f t="shared" si="47"/>
        <v>20</v>
      </c>
      <c r="Y42" s="62">
        <f t="shared" si="47"/>
        <v>20</v>
      </c>
      <c r="Z42" s="62">
        <f t="shared" si="47"/>
        <v>20</v>
      </c>
      <c r="AA42" s="62">
        <f t="shared" si="47"/>
        <v>20</v>
      </c>
      <c r="AB42" s="62">
        <f t="shared" si="47"/>
        <v>20</v>
      </c>
      <c r="AC42" s="62">
        <f t="shared" si="47"/>
        <v>20</v>
      </c>
    </row>
    <row r="43" spans="1:53" x14ac:dyDescent="0.25">
      <c r="A43" s="30" t="str">
        <f>A23</f>
        <v>Lifetime costumization</v>
      </c>
      <c r="B43" s="62">
        <f>$B23+($C23-$B23)*(1-Q23)</f>
        <v>30</v>
      </c>
      <c r="C43" s="62">
        <f t="shared" si="45"/>
        <v>30</v>
      </c>
      <c r="D43" s="62">
        <f t="shared" si="45"/>
        <v>30</v>
      </c>
      <c r="E43" s="62">
        <f t="shared" si="45"/>
        <v>30</v>
      </c>
      <c r="F43" s="62">
        <f t="shared" si="45"/>
        <v>30</v>
      </c>
      <c r="G43" s="62">
        <f t="shared" si="45"/>
        <v>30</v>
      </c>
      <c r="H43" s="62">
        <f t="shared" si="45"/>
        <v>30</v>
      </c>
      <c r="I43" s="62">
        <f t="shared" si="45"/>
        <v>30</v>
      </c>
      <c r="J43" s="62">
        <f t="shared" si="45"/>
        <v>30</v>
      </c>
      <c r="K43" s="62">
        <f t="shared" si="45"/>
        <v>30</v>
      </c>
      <c r="L43" s="62">
        <f t="shared" si="45"/>
        <v>30</v>
      </c>
      <c r="M43" s="62">
        <f t="shared" si="46"/>
        <v>30</v>
      </c>
      <c r="N43" s="62">
        <f t="shared" si="46"/>
        <v>30</v>
      </c>
      <c r="O43" s="62">
        <f t="shared" si="46"/>
        <v>30</v>
      </c>
      <c r="P43" s="62">
        <f t="shared" si="46"/>
        <v>30</v>
      </c>
      <c r="Q43" s="62">
        <f t="shared" si="46"/>
        <v>30</v>
      </c>
      <c r="R43" s="62">
        <f t="shared" si="46"/>
        <v>30</v>
      </c>
      <c r="S43" s="62">
        <f t="shared" si="46"/>
        <v>30</v>
      </c>
      <c r="T43" s="62">
        <f t="shared" si="46"/>
        <v>30</v>
      </c>
      <c r="U43" s="62">
        <f t="shared" si="46"/>
        <v>30</v>
      </c>
      <c r="V43" s="62">
        <f t="shared" si="46"/>
        <v>30</v>
      </c>
      <c r="W43" s="62">
        <f t="shared" si="47"/>
        <v>30</v>
      </c>
      <c r="X43" s="62">
        <f t="shared" si="47"/>
        <v>30</v>
      </c>
      <c r="Y43" s="62">
        <f t="shared" si="47"/>
        <v>30</v>
      </c>
      <c r="Z43" s="62">
        <f t="shared" si="47"/>
        <v>30</v>
      </c>
      <c r="AA43" s="62">
        <f t="shared" si="47"/>
        <v>30</v>
      </c>
      <c r="AB43" s="62">
        <f t="shared" si="47"/>
        <v>30</v>
      </c>
      <c r="AC43" s="62">
        <f t="shared" si="47"/>
        <v>30</v>
      </c>
    </row>
    <row r="44" spans="1:53" x14ac:dyDescent="0.25">
      <c r="A44" s="30" t="str">
        <f>A24</f>
        <v xml:space="preserve">Tonnage </v>
      </c>
      <c r="B44" s="62">
        <f>$B24+($C24-$B24)*(1-Q24)</f>
        <v>2240</v>
      </c>
      <c r="C44" s="62">
        <f t="shared" si="45"/>
        <v>2240</v>
      </c>
      <c r="D44" s="62">
        <f t="shared" si="45"/>
        <v>2240</v>
      </c>
      <c r="E44" s="62">
        <f t="shared" si="45"/>
        <v>2240</v>
      </c>
      <c r="F44" s="62">
        <f t="shared" si="45"/>
        <v>2240</v>
      </c>
      <c r="G44" s="62">
        <f t="shared" si="45"/>
        <v>2240</v>
      </c>
      <c r="H44" s="62">
        <f t="shared" si="45"/>
        <v>2240</v>
      </c>
      <c r="I44" s="62">
        <f t="shared" si="45"/>
        <v>2240</v>
      </c>
      <c r="J44" s="62">
        <f t="shared" si="45"/>
        <v>2240</v>
      </c>
      <c r="K44" s="62">
        <f t="shared" si="45"/>
        <v>2240</v>
      </c>
      <c r="L44" s="62">
        <f t="shared" si="45"/>
        <v>2240</v>
      </c>
      <c r="M44" s="62">
        <f t="shared" si="46"/>
        <v>2240</v>
      </c>
      <c r="N44" s="62">
        <f t="shared" si="46"/>
        <v>2240</v>
      </c>
      <c r="O44" s="62">
        <f t="shared" si="46"/>
        <v>2240</v>
      </c>
      <c r="P44" s="62">
        <f t="shared" si="46"/>
        <v>2240</v>
      </c>
      <c r="Q44" s="62">
        <f t="shared" si="46"/>
        <v>2240</v>
      </c>
      <c r="R44" s="62">
        <f t="shared" si="46"/>
        <v>2240</v>
      </c>
      <c r="S44" s="62">
        <f t="shared" si="46"/>
        <v>2240</v>
      </c>
      <c r="T44" s="62">
        <f t="shared" si="46"/>
        <v>2240</v>
      </c>
      <c r="U44" s="62">
        <f t="shared" si="46"/>
        <v>2240</v>
      </c>
      <c r="V44" s="62">
        <f t="shared" si="46"/>
        <v>2240</v>
      </c>
      <c r="W44" s="62">
        <f t="shared" si="47"/>
        <v>2240</v>
      </c>
      <c r="X44" s="62">
        <f t="shared" si="47"/>
        <v>2240</v>
      </c>
      <c r="Y44" s="62">
        <f t="shared" si="47"/>
        <v>2240</v>
      </c>
      <c r="Z44" s="62">
        <f t="shared" si="47"/>
        <v>2240</v>
      </c>
      <c r="AA44" s="62">
        <f t="shared" si="47"/>
        <v>2240</v>
      </c>
      <c r="AB44" s="62">
        <f t="shared" si="47"/>
        <v>2240</v>
      </c>
      <c r="AC44" s="62">
        <f t="shared" si="47"/>
        <v>2240</v>
      </c>
    </row>
    <row r="45" spans="1:53" x14ac:dyDescent="0.25">
      <c r="A45" s="30" t="str">
        <f>A25</f>
        <v>Market failure (av. utilization)</v>
      </c>
      <c r="B45" s="62">
        <f t="shared" ref="B45:K46" si="48">($B25+($C25-$B25)*(1-Q25))*B$44</f>
        <v>1433.6000000000001</v>
      </c>
      <c r="C45" s="62">
        <f t="shared" si="48"/>
        <v>1433.6000000000001</v>
      </c>
      <c r="D45" s="62">
        <f t="shared" si="48"/>
        <v>1433.6000000000001</v>
      </c>
      <c r="E45" s="62">
        <f t="shared" si="48"/>
        <v>1433.6000000000001</v>
      </c>
      <c r="F45" s="62">
        <f t="shared" si="48"/>
        <v>1433.6000000000001</v>
      </c>
      <c r="G45" s="62">
        <f t="shared" si="48"/>
        <v>1433.6000000000001</v>
      </c>
      <c r="H45" s="62">
        <f t="shared" si="48"/>
        <v>1433.6000000000001</v>
      </c>
      <c r="I45" s="62">
        <f t="shared" si="48"/>
        <v>1433.6000000000001</v>
      </c>
      <c r="J45" s="62">
        <f t="shared" si="48"/>
        <v>1433.6000000000001</v>
      </c>
      <c r="K45" s="62">
        <f t="shared" si="48"/>
        <v>1433.6000000000001</v>
      </c>
      <c r="L45" s="62">
        <f t="shared" ref="L45:U46" si="49">($B25+($C25-$B25)*(1-AA25))*L$44</f>
        <v>1433.6000000000001</v>
      </c>
      <c r="M45" s="62">
        <f t="shared" si="49"/>
        <v>1433.6000000000001</v>
      </c>
      <c r="N45" s="62">
        <f t="shared" si="49"/>
        <v>1433.6000000000001</v>
      </c>
      <c r="O45" s="62">
        <f t="shared" si="49"/>
        <v>1433.6000000000001</v>
      </c>
      <c r="P45" s="62">
        <f t="shared" si="49"/>
        <v>1433.6000000000001</v>
      </c>
      <c r="Q45" s="62">
        <f t="shared" si="49"/>
        <v>1433.6000000000001</v>
      </c>
      <c r="R45" s="62">
        <f t="shared" si="49"/>
        <v>1433.6000000000001</v>
      </c>
      <c r="S45" s="62">
        <f t="shared" si="49"/>
        <v>1433.6000000000001</v>
      </c>
      <c r="T45" s="62">
        <f t="shared" si="49"/>
        <v>1433.6000000000001</v>
      </c>
      <c r="U45" s="62">
        <f t="shared" si="49"/>
        <v>1433.6000000000001</v>
      </c>
      <c r="V45" s="62">
        <f t="shared" ref="V45:AC46" si="50">($B25+($C25-$B25)*(1-AK25))*V$44</f>
        <v>1433.6000000000001</v>
      </c>
      <c r="W45" s="62">
        <f t="shared" si="50"/>
        <v>1433.6000000000001</v>
      </c>
      <c r="X45" s="62">
        <f t="shared" si="50"/>
        <v>1433.6000000000001</v>
      </c>
      <c r="Y45" s="62">
        <f t="shared" si="50"/>
        <v>1433.6000000000001</v>
      </c>
      <c r="Z45" s="62">
        <f t="shared" si="50"/>
        <v>1433.6000000000001</v>
      </c>
      <c r="AA45" s="62">
        <f t="shared" si="50"/>
        <v>1433.6000000000001</v>
      </c>
      <c r="AB45" s="62">
        <f t="shared" si="50"/>
        <v>1433.6000000000001</v>
      </c>
      <c r="AC45" s="62">
        <f t="shared" si="50"/>
        <v>1433.6000000000001</v>
      </c>
    </row>
    <row r="46" spans="1:53" x14ac:dyDescent="0.25">
      <c r="A46" s="30" t="s">
        <v>73</v>
      </c>
      <c r="B46" s="62">
        <f t="shared" si="48"/>
        <v>40</v>
      </c>
      <c r="C46" s="62">
        <f t="shared" si="48"/>
        <v>40</v>
      </c>
      <c r="D46" s="62">
        <f t="shared" si="48"/>
        <v>40</v>
      </c>
      <c r="E46" s="62">
        <f t="shared" si="48"/>
        <v>40</v>
      </c>
      <c r="F46" s="62">
        <f t="shared" si="48"/>
        <v>40</v>
      </c>
      <c r="G46" s="62">
        <f t="shared" si="48"/>
        <v>40</v>
      </c>
      <c r="H46" s="62">
        <f t="shared" si="48"/>
        <v>40</v>
      </c>
      <c r="I46" s="62">
        <f t="shared" si="48"/>
        <v>40</v>
      </c>
      <c r="J46" s="62">
        <f t="shared" si="48"/>
        <v>40</v>
      </c>
      <c r="K46" s="62">
        <f t="shared" si="48"/>
        <v>40</v>
      </c>
      <c r="L46" s="62">
        <f t="shared" si="49"/>
        <v>40</v>
      </c>
      <c r="M46" s="62">
        <f t="shared" si="49"/>
        <v>40</v>
      </c>
      <c r="N46" s="62">
        <f t="shared" si="49"/>
        <v>40</v>
      </c>
      <c r="O46" s="62">
        <f t="shared" si="49"/>
        <v>40</v>
      </c>
      <c r="P46" s="62">
        <f t="shared" si="49"/>
        <v>40</v>
      </c>
      <c r="Q46" s="62">
        <f t="shared" si="49"/>
        <v>40</v>
      </c>
      <c r="R46" s="62">
        <f t="shared" si="49"/>
        <v>40</v>
      </c>
      <c r="S46" s="62">
        <f t="shared" si="49"/>
        <v>40</v>
      </c>
      <c r="T46" s="62">
        <f t="shared" si="49"/>
        <v>40</v>
      </c>
      <c r="U46" s="62">
        <f t="shared" si="49"/>
        <v>40</v>
      </c>
      <c r="V46" s="62">
        <f t="shared" si="50"/>
        <v>40</v>
      </c>
      <c r="W46" s="62">
        <f t="shared" si="50"/>
        <v>40</v>
      </c>
      <c r="X46" s="62">
        <f t="shared" si="50"/>
        <v>40</v>
      </c>
      <c r="Y46" s="62">
        <f t="shared" si="50"/>
        <v>40</v>
      </c>
      <c r="Z46" s="62">
        <f t="shared" si="50"/>
        <v>40</v>
      </c>
      <c r="AA46" s="62">
        <f t="shared" si="50"/>
        <v>40</v>
      </c>
      <c r="AB46" s="62">
        <f t="shared" si="50"/>
        <v>40</v>
      </c>
      <c r="AC46" s="62">
        <f t="shared" si="50"/>
        <v>40</v>
      </c>
    </row>
    <row r="47" spans="1:53" x14ac:dyDescent="0.25">
      <c r="A47" s="30" t="str">
        <f>A27</f>
        <v>Annual Mileage</v>
      </c>
      <c r="B47" s="62">
        <f t="shared" ref="B47:AC47" si="51">$B27+($C27-$B27)*(1-Q27)</f>
        <v>178500</v>
      </c>
      <c r="C47" s="62">
        <f t="shared" si="51"/>
        <v>178500</v>
      </c>
      <c r="D47" s="62">
        <f t="shared" si="51"/>
        <v>178500</v>
      </c>
      <c r="E47" s="62">
        <f t="shared" si="51"/>
        <v>178500</v>
      </c>
      <c r="F47" s="62">
        <f t="shared" si="51"/>
        <v>178500</v>
      </c>
      <c r="G47" s="62">
        <f t="shared" si="51"/>
        <v>178500</v>
      </c>
      <c r="H47" s="62">
        <f t="shared" si="51"/>
        <v>178500</v>
      </c>
      <c r="I47" s="62">
        <f t="shared" si="51"/>
        <v>178500</v>
      </c>
      <c r="J47" s="62">
        <f t="shared" si="51"/>
        <v>178500</v>
      </c>
      <c r="K47" s="62">
        <f t="shared" si="51"/>
        <v>178500</v>
      </c>
      <c r="L47" s="62">
        <f t="shared" si="51"/>
        <v>178500</v>
      </c>
      <c r="M47" s="62">
        <f t="shared" si="51"/>
        <v>178500</v>
      </c>
      <c r="N47" s="62">
        <f t="shared" si="51"/>
        <v>178500</v>
      </c>
      <c r="O47" s="62">
        <f t="shared" si="51"/>
        <v>178500</v>
      </c>
      <c r="P47" s="62">
        <f t="shared" si="51"/>
        <v>178500</v>
      </c>
      <c r="Q47" s="62">
        <f t="shared" si="51"/>
        <v>178500</v>
      </c>
      <c r="R47" s="62">
        <f t="shared" si="51"/>
        <v>178500</v>
      </c>
      <c r="S47" s="62">
        <f t="shared" si="51"/>
        <v>178500</v>
      </c>
      <c r="T47" s="62">
        <f t="shared" si="51"/>
        <v>178500</v>
      </c>
      <c r="U47" s="62">
        <f t="shared" si="51"/>
        <v>178500</v>
      </c>
      <c r="V47" s="62">
        <f t="shared" si="51"/>
        <v>178500</v>
      </c>
      <c r="W47" s="62">
        <f t="shared" si="51"/>
        <v>178500</v>
      </c>
      <c r="X47" s="62">
        <f t="shared" si="51"/>
        <v>178500</v>
      </c>
      <c r="Y47" s="62">
        <f t="shared" si="51"/>
        <v>178500</v>
      </c>
      <c r="Z47" s="62">
        <f t="shared" si="51"/>
        <v>178500</v>
      </c>
      <c r="AA47" s="62">
        <f t="shared" si="51"/>
        <v>178500</v>
      </c>
      <c r="AB47" s="62">
        <f t="shared" si="51"/>
        <v>178500</v>
      </c>
      <c r="AC47" s="62">
        <f t="shared" si="51"/>
        <v>178500</v>
      </c>
    </row>
    <row r="48" spans="1:53"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864939.43423004472</v>
      </c>
      <c r="C50" s="63">
        <f t="shared" ref="C50:AC50" si="52">((1+C35)^C42)*C35/(((1+C35)^C42)-1)*(C31)</f>
        <v>861982.43190795113</v>
      </c>
      <c r="D50" s="63">
        <f t="shared" si="52"/>
        <v>857783.91250214854</v>
      </c>
      <c r="E50" s="63">
        <f t="shared" si="52"/>
        <v>851849.70877400215</v>
      </c>
      <c r="F50" s="63">
        <f t="shared" si="52"/>
        <v>843518.19380158815</v>
      </c>
      <c r="G50" s="63">
        <f t="shared" si="52"/>
        <v>831934.36355634325</v>
      </c>
      <c r="H50" s="63">
        <f t="shared" si="52"/>
        <v>816053.36564206402</v>
      </c>
      <c r="I50" s="63">
        <f t="shared" si="52"/>
        <v>794711.00618420995</v>
      </c>
      <c r="J50" s="63">
        <f t="shared" si="52"/>
        <v>766812.41933217109</v>
      </c>
      <c r="K50" s="63">
        <f t="shared" si="52"/>
        <v>731678.86466524214</v>
      </c>
      <c r="L50" s="63">
        <f t="shared" si="52"/>
        <v>689519.60757377208</v>
      </c>
      <c r="M50" s="63">
        <f t="shared" si="52"/>
        <v>641847.03038194508</v>
      </c>
      <c r="N50" s="63">
        <f t="shared" si="52"/>
        <v>591519.28623619571</v>
      </c>
      <c r="O50" s="63">
        <f t="shared" si="52"/>
        <v>542181.89795982966</v>
      </c>
      <c r="P50" s="63">
        <f t="shared" si="52"/>
        <v>497269.05787303421</v>
      </c>
      <c r="Q50" s="63">
        <f t="shared" si="52"/>
        <v>459099.53951067774</v>
      </c>
      <c r="R50" s="63">
        <f t="shared" si="52"/>
        <v>428532.59107587172</v>
      </c>
      <c r="S50" s="63">
        <f t="shared" si="52"/>
        <v>405208.65276213008</v>
      </c>
      <c r="T50" s="63">
        <f t="shared" si="52"/>
        <v>388063.68751897325</v>
      </c>
      <c r="U50" s="63">
        <f t="shared" si="52"/>
        <v>375805.28540057357</v>
      </c>
      <c r="V50" s="63">
        <f t="shared" si="52"/>
        <v>367213.95583211613</v>
      </c>
      <c r="W50" s="63">
        <f t="shared" si="52"/>
        <v>361276.81903592765</v>
      </c>
      <c r="X50" s="63">
        <f t="shared" si="52"/>
        <v>357213.74046742113</v>
      </c>
      <c r="Y50" s="63">
        <f t="shared" si="52"/>
        <v>354451.73213606392</v>
      </c>
      <c r="Z50" s="63">
        <f t="shared" si="52"/>
        <v>352582.71183221939</v>
      </c>
      <c r="AA50" s="63">
        <f t="shared" si="52"/>
        <v>351321.86878395046</v>
      </c>
      <c r="AB50" s="63">
        <f t="shared" si="52"/>
        <v>350473.07550719258</v>
      </c>
      <c r="AC50" s="63">
        <f t="shared" si="52"/>
        <v>349902.47455161036</v>
      </c>
    </row>
    <row r="51" spans="1:29" x14ac:dyDescent="0.25">
      <c r="A51" s="30" t="str">
        <f>A32</f>
        <v>Residual value (vehicle)</v>
      </c>
      <c r="B51" s="62">
        <f>((1+B35)^B42)*B35/(((1+B35)^B42)-1)*(B32)</f>
        <v>-43707.380747400188</v>
      </c>
      <c r="C51" s="62">
        <f t="shared" ref="C51:AC51" si="53">((1+C35)^C42)*C35/(((1+C35)^C42)-1)*(C32)</f>
        <v>-43756.664119435081</v>
      </c>
      <c r="D51" s="62">
        <f t="shared" si="53"/>
        <v>-43826.639442865126</v>
      </c>
      <c r="E51" s="62">
        <f t="shared" si="53"/>
        <v>-43925.54283833423</v>
      </c>
      <c r="F51" s="62">
        <f t="shared" si="53"/>
        <v>-44064.401421207796</v>
      </c>
      <c r="G51" s="62">
        <f t="shared" si="53"/>
        <v>-44257.465258628545</v>
      </c>
      <c r="H51" s="62">
        <f t="shared" si="53"/>
        <v>-44522.148557199871</v>
      </c>
      <c r="I51" s="62">
        <f t="shared" si="53"/>
        <v>-44877.854548164105</v>
      </c>
      <c r="J51" s="62">
        <f t="shared" si="53"/>
        <v>-45342.830995698081</v>
      </c>
      <c r="K51" s="62">
        <f t="shared" si="53"/>
        <v>-45928.390240146902</v>
      </c>
      <c r="L51" s="62">
        <f t="shared" si="53"/>
        <v>-46631.044525004734</v>
      </c>
      <c r="M51" s="62">
        <f t="shared" si="53"/>
        <v>-47425.587478201858</v>
      </c>
      <c r="N51" s="62">
        <f t="shared" si="53"/>
        <v>-48264.383213964342</v>
      </c>
      <c r="O51" s="62">
        <f t="shared" si="53"/>
        <v>-49086.673018570444</v>
      </c>
      <c r="P51" s="62">
        <f t="shared" si="53"/>
        <v>-49835.220353350363</v>
      </c>
      <c r="Q51" s="62">
        <f t="shared" si="53"/>
        <v>-50471.378992722974</v>
      </c>
      <c r="R51" s="62">
        <f t="shared" si="53"/>
        <v>-50980.828133303068</v>
      </c>
      <c r="S51" s="62">
        <f t="shared" si="53"/>
        <v>-51369.560438532098</v>
      </c>
      <c r="T51" s="62">
        <f t="shared" si="53"/>
        <v>-51655.309859251378</v>
      </c>
      <c r="U51" s="62">
        <f t="shared" si="53"/>
        <v>-51859.616561224706</v>
      </c>
      <c r="V51" s="62">
        <f t="shared" si="53"/>
        <v>-52002.805387365668</v>
      </c>
      <c r="W51" s="62">
        <f t="shared" si="53"/>
        <v>-52101.757667302139</v>
      </c>
      <c r="X51" s="62">
        <f t="shared" si="53"/>
        <v>-52169.475643443919</v>
      </c>
      <c r="Y51" s="62">
        <f t="shared" si="53"/>
        <v>-52215.509115633206</v>
      </c>
      <c r="Z51" s="62">
        <f t="shared" si="53"/>
        <v>-52246.659454030618</v>
      </c>
      <c r="AA51" s="62">
        <f t="shared" si="53"/>
        <v>-52267.673504835089</v>
      </c>
      <c r="AB51" s="62">
        <f t="shared" si="53"/>
        <v>-52281.820059447724</v>
      </c>
      <c r="AC51" s="62">
        <f t="shared" si="53"/>
        <v>-52291.330075374099</v>
      </c>
    </row>
    <row r="52" spans="1:29" x14ac:dyDescent="0.25">
      <c r="A52" s="30" t="str">
        <f>A33</f>
        <v>Capex costumization</v>
      </c>
      <c r="B52" s="62">
        <f>((1+B35)^B43)*B35/(((1+B35)^B43)-1)*(B33)</f>
        <v>305125.4282581982</v>
      </c>
      <c r="C52" s="62">
        <f t="shared" ref="C52:AC52" si="54">((1+C35)^C43)*C35/(((1+C35)^C43)-1)*(C33)</f>
        <v>305125.4282581982</v>
      </c>
      <c r="D52" s="62">
        <f t="shared" si="54"/>
        <v>305125.4282581982</v>
      </c>
      <c r="E52" s="62">
        <f t="shared" si="54"/>
        <v>305125.4282581982</v>
      </c>
      <c r="F52" s="62">
        <f t="shared" si="54"/>
        <v>305125.4282581982</v>
      </c>
      <c r="G52" s="62">
        <f t="shared" si="54"/>
        <v>305125.4282581982</v>
      </c>
      <c r="H52" s="62">
        <f t="shared" si="54"/>
        <v>305125.4282581982</v>
      </c>
      <c r="I52" s="62">
        <f t="shared" si="54"/>
        <v>305125.4282581982</v>
      </c>
      <c r="J52" s="62">
        <f t="shared" si="54"/>
        <v>305125.4282581982</v>
      </c>
      <c r="K52" s="62">
        <f t="shared" si="54"/>
        <v>305125.4282581982</v>
      </c>
      <c r="L52" s="62">
        <f t="shared" si="54"/>
        <v>305125.4282581982</v>
      </c>
      <c r="M52" s="62">
        <f t="shared" si="54"/>
        <v>305125.4282581982</v>
      </c>
      <c r="N52" s="62">
        <f t="shared" si="54"/>
        <v>305125.4282581982</v>
      </c>
      <c r="O52" s="62">
        <f t="shared" si="54"/>
        <v>305125.4282581982</v>
      </c>
      <c r="P52" s="62">
        <f t="shared" si="54"/>
        <v>305125.4282581982</v>
      </c>
      <c r="Q52" s="62">
        <f t="shared" si="54"/>
        <v>305125.4282581982</v>
      </c>
      <c r="R52" s="62">
        <f t="shared" si="54"/>
        <v>305125.4282581982</v>
      </c>
      <c r="S52" s="62">
        <f t="shared" si="54"/>
        <v>305125.4282581982</v>
      </c>
      <c r="T52" s="62">
        <f t="shared" si="54"/>
        <v>305125.4282581982</v>
      </c>
      <c r="U52" s="62">
        <f t="shared" si="54"/>
        <v>305125.4282581982</v>
      </c>
      <c r="V52" s="62">
        <f t="shared" si="54"/>
        <v>305125.4282581982</v>
      </c>
      <c r="W52" s="62">
        <f t="shared" si="54"/>
        <v>305125.4282581982</v>
      </c>
      <c r="X52" s="62">
        <f t="shared" si="54"/>
        <v>305125.4282581982</v>
      </c>
      <c r="Y52" s="62">
        <f t="shared" si="54"/>
        <v>305125.4282581982</v>
      </c>
      <c r="Z52" s="62">
        <f t="shared" si="54"/>
        <v>305125.4282581982</v>
      </c>
      <c r="AA52" s="62">
        <f t="shared" si="54"/>
        <v>305125.4282581982</v>
      </c>
      <c r="AB52" s="62">
        <f t="shared" si="54"/>
        <v>305125.4282581982</v>
      </c>
      <c r="AC52" s="62">
        <f t="shared" si="54"/>
        <v>305125.4282581982</v>
      </c>
    </row>
    <row r="53" spans="1:29" x14ac:dyDescent="0.25">
      <c r="A53" s="30" t="str">
        <f>A34</f>
        <v>Residual value (costumization)</v>
      </c>
      <c r="B53" s="62">
        <f>((1+B35)^B43)*B35/(((1+B35)^B43)-1)*(B34)</f>
        <v>-15256.271412909911</v>
      </c>
      <c r="C53" s="62">
        <f t="shared" ref="C53:AC53" si="55">((1+C35)^C43)*C35/(((1+C35)^C43)-1)*(C34)</f>
        <v>-15256.271412909911</v>
      </c>
      <c r="D53" s="62">
        <f t="shared" si="55"/>
        <v>-15256.271412909911</v>
      </c>
      <c r="E53" s="62">
        <f t="shared" si="55"/>
        <v>-15256.271412909911</v>
      </c>
      <c r="F53" s="62">
        <f t="shared" si="55"/>
        <v>-15256.271412909911</v>
      </c>
      <c r="G53" s="62">
        <f t="shared" si="55"/>
        <v>-15256.271412909911</v>
      </c>
      <c r="H53" s="62">
        <f t="shared" si="55"/>
        <v>-15256.271412909911</v>
      </c>
      <c r="I53" s="62">
        <f t="shared" si="55"/>
        <v>-15256.271412909911</v>
      </c>
      <c r="J53" s="62">
        <f t="shared" si="55"/>
        <v>-15256.271412909911</v>
      </c>
      <c r="K53" s="62">
        <f t="shared" si="55"/>
        <v>-15256.271412909911</v>
      </c>
      <c r="L53" s="62">
        <f t="shared" si="55"/>
        <v>-15256.271412909911</v>
      </c>
      <c r="M53" s="62">
        <f t="shared" si="55"/>
        <v>-15256.271412909911</v>
      </c>
      <c r="N53" s="62">
        <f t="shared" si="55"/>
        <v>-15256.271412909911</v>
      </c>
      <c r="O53" s="62">
        <f t="shared" si="55"/>
        <v>-15256.271412909911</v>
      </c>
      <c r="P53" s="62">
        <f t="shared" si="55"/>
        <v>-15256.271412909911</v>
      </c>
      <c r="Q53" s="62">
        <f t="shared" si="55"/>
        <v>-15256.271412909911</v>
      </c>
      <c r="R53" s="62">
        <f t="shared" si="55"/>
        <v>-15256.271412909911</v>
      </c>
      <c r="S53" s="62">
        <f t="shared" si="55"/>
        <v>-15256.271412909911</v>
      </c>
      <c r="T53" s="62">
        <f t="shared" si="55"/>
        <v>-15256.271412909911</v>
      </c>
      <c r="U53" s="62">
        <f t="shared" si="55"/>
        <v>-15256.271412909911</v>
      </c>
      <c r="V53" s="62">
        <f t="shared" si="55"/>
        <v>-15256.271412909911</v>
      </c>
      <c r="W53" s="62">
        <f t="shared" si="55"/>
        <v>-15256.271412909911</v>
      </c>
      <c r="X53" s="62">
        <f t="shared" si="55"/>
        <v>-15256.271412909911</v>
      </c>
      <c r="Y53" s="62">
        <f t="shared" si="55"/>
        <v>-15256.271412909911</v>
      </c>
      <c r="Z53" s="62">
        <f t="shared" si="55"/>
        <v>-15256.271412909911</v>
      </c>
      <c r="AA53" s="62">
        <f t="shared" si="55"/>
        <v>-15256.271412909911</v>
      </c>
      <c r="AB53" s="62">
        <f t="shared" si="55"/>
        <v>-15256.271412909911</v>
      </c>
      <c r="AC53" s="62">
        <f t="shared" si="55"/>
        <v>-15256.271412909911</v>
      </c>
    </row>
    <row r="54" spans="1:29" x14ac:dyDescent="0.25">
      <c r="A54" s="30" t="str">
        <f t="shared" ref="A54:AC54" si="56">A36</f>
        <v>Opex fix (admin, crew, insurance)</v>
      </c>
      <c r="B54" s="62">
        <f t="shared" si="56"/>
        <v>650000</v>
      </c>
      <c r="C54" s="62">
        <f t="shared" si="56"/>
        <v>650000</v>
      </c>
      <c r="D54" s="62">
        <f t="shared" si="56"/>
        <v>650000</v>
      </c>
      <c r="E54" s="62">
        <f t="shared" si="56"/>
        <v>650000</v>
      </c>
      <c r="F54" s="62">
        <f t="shared" si="56"/>
        <v>650000</v>
      </c>
      <c r="G54" s="62">
        <f t="shared" si="56"/>
        <v>650000</v>
      </c>
      <c r="H54" s="62">
        <f t="shared" si="56"/>
        <v>650000</v>
      </c>
      <c r="I54" s="62">
        <f t="shared" si="56"/>
        <v>650000</v>
      </c>
      <c r="J54" s="62">
        <f t="shared" si="56"/>
        <v>650000</v>
      </c>
      <c r="K54" s="62">
        <f t="shared" si="56"/>
        <v>650000</v>
      </c>
      <c r="L54" s="62">
        <f t="shared" si="56"/>
        <v>650000</v>
      </c>
      <c r="M54" s="62">
        <f t="shared" si="56"/>
        <v>650000</v>
      </c>
      <c r="N54" s="62">
        <f t="shared" si="56"/>
        <v>650000</v>
      </c>
      <c r="O54" s="62">
        <f t="shared" si="56"/>
        <v>650000</v>
      </c>
      <c r="P54" s="62">
        <f t="shared" si="56"/>
        <v>650000</v>
      </c>
      <c r="Q54" s="62">
        <f t="shared" si="56"/>
        <v>650000</v>
      </c>
      <c r="R54" s="62">
        <f t="shared" si="56"/>
        <v>650000</v>
      </c>
      <c r="S54" s="62">
        <f t="shared" si="56"/>
        <v>650000</v>
      </c>
      <c r="T54" s="62">
        <f t="shared" si="56"/>
        <v>650000</v>
      </c>
      <c r="U54" s="62">
        <f t="shared" si="56"/>
        <v>650000</v>
      </c>
      <c r="V54" s="62">
        <f t="shared" si="56"/>
        <v>650000</v>
      </c>
      <c r="W54" s="62">
        <f t="shared" si="56"/>
        <v>650000</v>
      </c>
      <c r="X54" s="62">
        <f t="shared" si="56"/>
        <v>650000</v>
      </c>
      <c r="Y54" s="62">
        <f t="shared" si="56"/>
        <v>650000</v>
      </c>
      <c r="Z54" s="62">
        <f t="shared" si="56"/>
        <v>650000</v>
      </c>
      <c r="AA54" s="62">
        <f t="shared" si="56"/>
        <v>650000</v>
      </c>
      <c r="AB54" s="62">
        <f t="shared" si="56"/>
        <v>650000</v>
      </c>
      <c r="AC54" s="62">
        <f t="shared" si="56"/>
        <v>650000</v>
      </c>
    </row>
    <row r="55" spans="1:29" x14ac:dyDescent="0.25">
      <c r="A55" s="30" t="str">
        <f t="shared" ref="A55:AC55" si="57">A37</f>
        <v>Opex maintenance &amp; repair</v>
      </c>
      <c r="B55" s="62">
        <f t="shared" si="57"/>
        <v>1388910.2037228637</v>
      </c>
      <c r="C55" s="62">
        <f t="shared" si="57"/>
        <v>1384161.8820080096</v>
      </c>
      <c r="D55" s="62">
        <f t="shared" si="57"/>
        <v>1377419.9458533253</v>
      </c>
      <c r="E55" s="62">
        <f t="shared" si="57"/>
        <v>1367890.8669573795</v>
      </c>
      <c r="F55" s="62">
        <f t="shared" si="57"/>
        <v>1354512.2121062956</v>
      </c>
      <c r="G55" s="62">
        <f t="shared" si="57"/>
        <v>1335911.0252611889</v>
      </c>
      <c r="H55" s="62">
        <f t="shared" si="57"/>
        <v>1310409.4939683313</v>
      </c>
      <c r="I55" s="62">
        <f t="shared" si="57"/>
        <v>1276138.1685443469</v>
      </c>
      <c r="J55" s="62">
        <f t="shared" si="57"/>
        <v>1231338.9254820407</v>
      </c>
      <c r="K55" s="62">
        <f t="shared" si="57"/>
        <v>1174921.8508999445</v>
      </c>
      <c r="L55" s="62">
        <f t="shared" si="57"/>
        <v>1107222.9808538083</v>
      </c>
      <c r="M55" s="62">
        <f t="shared" si="57"/>
        <v>1030670.8821991365</v>
      </c>
      <c r="N55" s="62">
        <f t="shared" si="57"/>
        <v>949855.14573475695</v>
      </c>
      <c r="O55" s="62">
        <f t="shared" si="57"/>
        <v>870629.71180240111</v>
      </c>
      <c r="P55" s="62">
        <f t="shared" si="57"/>
        <v>798509.16855274222</v>
      </c>
      <c r="Q55" s="62">
        <f t="shared" si="57"/>
        <v>737216.97695338901</v>
      </c>
      <c r="R55" s="62">
        <f t="shared" si="57"/>
        <v>688132.90829190495</v>
      </c>
      <c r="S55" s="62">
        <f t="shared" si="57"/>
        <v>650679.58539676399</v>
      </c>
      <c r="T55" s="62">
        <f t="shared" si="57"/>
        <v>623148.38930799719</v>
      </c>
      <c r="U55" s="62">
        <f t="shared" si="57"/>
        <v>603463.98238910188</v>
      </c>
      <c r="V55" s="62">
        <f t="shared" si="57"/>
        <v>589668.12012529059</v>
      </c>
      <c r="W55" s="62">
        <f t="shared" si="57"/>
        <v>580134.33134103287</v>
      </c>
      <c r="X55" s="62">
        <f t="shared" si="57"/>
        <v>573609.8845890474</v>
      </c>
      <c r="Y55" s="62">
        <f t="shared" si="57"/>
        <v>569174.682073851</v>
      </c>
      <c r="Z55" s="62">
        <f t="shared" si="57"/>
        <v>566173.42988411163</v>
      </c>
      <c r="AA55" s="62">
        <f t="shared" si="57"/>
        <v>564148.78202354477</v>
      </c>
      <c r="AB55" s="62">
        <f t="shared" si="57"/>
        <v>562785.79914140829</v>
      </c>
      <c r="AC55" s="62">
        <f t="shared" si="57"/>
        <v>561869.53442032111</v>
      </c>
    </row>
    <row r="56" spans="1:29" x14ac:dyDescent="0.25">
      <c r="A56" s="30" t="str">
        <f>A38</f>
        <v>Opex var (mode-fees, shunting)</v>
      </c>
      <c r="B56" s="62">
        <f>B38*B47</f>
        <v>700000</v>
      </c>
      <c r="C56" s="62">
        <f t="shared" ref="C56:AC56" si="58">C38*C47</f>
        <v>700000</v>
      </c>
      <c r="D56" s="62">
        <f t="shared" si="58"/>
        <v>700000</v>
      </c>
      <c r="E56" s="62">
        <f t="shared" si="58"/>
        <v>700000</v>
      </c>
      <c r="F56" s="62">
        <f t="shared" si="58"/>
        <v>700000</v>
      </c>
      <c r="G56" s="62">
        <f t="shared" si="58"/>
        <v>700000</v>
      </c>
      <c r="H56" s="62">
        <f t="shared" si="58"/>
        <v>700000</v>
      </c>
      <c r="I56" s="62">
        <f t="shared" si="58"/>
        <v>700000</v>
      </c>
      <c r="J56" s="62">
        <f t="shared" si="58"/>
        <v>700000</v>
      </c>
      <c r="K56" s="62">
        <f t="shared" si="58"/>
        <v>700000</v>
      </c>
      <c r="L56" s="62">
        <f t="shared" si="58"/>
        <v>700000</v>
      </c>
      <c r="M56" s="62">
        <f t="shared" si="58"/>
        <v>700000</v>
      </c>
      <c r="N56" s="62">
        <f t="shared" si="58"/>
        <v>700000</v>
      </c>
      <c r="O56" s="62">
        <f t="shared" si="58"/>
        <v>700000</v>
      </c>
      <c r="P56" s="62">
        <f t="shared" si="58"/>
        <v>700000</v>
      </c>
      <c r="Q56" s="62">
        <f t="shared" si="58"/>
        <v>700000</v>
      </c>
      <c r="R56" s="62">
        <f t="shared" si="58"/>
        <v>700000</v>
      </c>
      <c r="S56" s="62">
        <f t="shared" si="58"/>
        <v>700000</v>
      </c>
      <c r="T56" s="62">
        <f t="shared" si="58"/>
        <v>700000</v>
      </c>
      <c r="U56" s="62">
        <f t="shared" si="58"/>
        <v>700000</v>
      </c>
      <c r="V56" s="62">
        <f t="shared" si="58"/>
        <v>700000</v>
      </c>
      <c r="W56" s="62">
        <f t="shared" si="58"/>
        <v>700000</v>
      </c>
      <c r="X56" s="62">
        <f t="shared" si="58"/>
        <v>700000</v>
      </c>
      <c r="Y56" s="62">
        <f t="shared" si="58"/>
        <v>700000</v>
      </c>
      <c r="Z56" s="62">
        <f t="shared" si="58"/>
        <v>700000</v>
      </c>
      <c r="AA56" s="62">
        <f t="shared" si="58"/>
        <v>700000</v>
      </c>
      <c r="AB56" s="62">
        <f t="shared" si="58"/>
        <v>700000</v>
      </c>
      <c r="AC56" s="62">
        <f t="shared" si="58"/>
        <v>700000</v>
      </c>
    </row>
    <row r="57" spans="1:29" x14ac:dyDescent="0.25">
      <c r="A57" s="30" t="str">
        <f>A40</f>
        <v>Fuel Cost</v>
      </c>
      <c r="B57" s="62">
        <f>B39*B40*B47</f>
        <v>2198007.7097748476</v>
      </c>
      <c r="C57" s="62">
        <f t="shared" ref="C57:AC57" si="59">C39*C40*C47</f>
        <v>2188966.344853437</v>
      </c>
      <c r="D57" s="62">
        <f t="shared" si="59"/>
        <v>2176150.2571359598</v>
      </c>
      <c r="E57" s="62">
        <f t="shared" si="59"/>
        <v>2158078.6890399111</v>
      </c>
      <c r="F57" s="62">
        <f t="shared" si="59"/>
        <v>2132791.0160247581</v>
      </c>
      <c r="G57" s="62">
        <f t="shared" si="59"/>
        <v>2097795.9502724083</v>
      </c>
      <c r="H57" s="62">
        <f t="shared" si="59"/>
        <v>2050129.0545451115</v>
      </c>
      <c r="I57" s="62">
        <f t="shared" si="59"/>
        <v>1986634.5409192187</v>
      </c>
      <c r="J57" s="62">
        <f t="shared" si="59"/>
        <v>1904611.4133225391</v>
      </c>
      <c r="K57" s="62">
        <f t="shared" si="59"/>
        <v>1802891.2522917814</v>
      </c>
      <c r="L57" s="62">
        <f t="shared" si="59"/>
        <v>1683146.2077096445</v>
      </c>
      <c r="M57" s="62">
        <f t="shared" si="59"/>
        <v>1550785.691663306</v>
      </c>
      <c r="N57" s="62">
        <f t="shared" si="59"/>
        <v>1414559.0155313208</v>
      </c>
      <c r="O57" s="62">
        <f t="shared" si="59"/>
        <v>1284508.1995834436</v>
      </c>
      <c r="P57" s="62">
        <f t="shared" si="59"/>
        <v>1169129.1273181483</v>
      </c>
      <c r="Q57" s="62">
        <f t="shared" si="59"/>
        <v>1073327.4550872648</v>
      </c>
      <c r="R57" s="62">
        <f t="shared" si="59"/>
        <v>998100.91585720517</v>
      </c>
      <c r="S57" s="62">
        <f t="shared" si="59"/>
        <v>941593.17014026793</v>
      </c>
      <c r="T57" s="62">
        <f t="shared" si="59"/>
        <v>900548.62736821966</v>
      </c>
      <c r="U57" s="62">
        <f t="shared" si="59"/>
        <v>871458.57377498294</v>
      </c>
      <c r="V57" s="62">
        <f t="shared" si="59"/>
        <v>851198.06620715652</v>
      </c>
      <c r="W57" s="62">
        <f t="shared" si="59"/>
        <v>837258.12227443152</v>
      </c>
      <c r="X57" s="62">
        <f t="shared" si="59"/>
        <v>827747.20510321483</v>
      </c>
      <c r="Y57" s="62">
        <f t="shared" si="59"/>
        <v>821295.25258546346</v>
      </c>
      <c r="Z57" s="62">
        <f t="shared" si="59"/>
        <v>816935.44045804988</v>
      </c>
      <c r="AA57" s="62">
        <f t="shared" si="59"/>
        <v>813997.1116641328</v>
      </c>
      <c r="AB57" s="62">
        <f t="shared" si="59"/>
        <v>812020.31611280167</v>
      </c>
      <c r="AC57" s="62">
        <f t="shared" si="59"/>
        <v>810691.99174469069</v>
      </c>
    </row>
    <row r="58" spans="1:29" ht="15.75" thickBot="1" x14ac:dyDescent="0.3">
      <c r="A58" s="59" t="str">
        <f>A21</f>
        <v>Emission Cost</v>
      </c>
      <c r="B58" s="62">
        <f>B41*B47</f>
        <v>31384.562809326046</v>
      </c>
      <c r="C58" s="62">
        <f t="shared" ref="C58:AC58" si="60">C41*C47</f>
        <v>31354.677058629841</v>
      </c>
      <c r="D58" s="62">
        <f t="shared" si="60"/>
        <v>31311.896272159654</v>
      </c>
      <c r="E58" s="62">
        <f t="shared" si="60"/>
        <v>31250.695348634654</v>
      </c>
      <c r="F58" s="62">
        <f t="shared" si="60"/>
        <v>31163.225724263175</v>
      </c>
      <c r="G58" s="62">
        <f t="shared" si="60"/>
        <v>31038.387667315357</v>
      </c>
      <c r="H58" s="62">
        <f t="shared" si="60"/>
        <v>30860.587648093915</v>
      </c>
      <c r="I58" s="62">
        <f t="shared" si="60"/>
        <v>30608.137108750165</v>
      </c>
      <c r="J58" s="62">
        <f t="shared" si="60"/>
        <v>30251.322530335729</v>
      </c>
      <c r="K58" s="62">
        <f t="shared" si="60"/>
        <v>29750.36129971009</v>
      </c>
      <c r="L58" s="62">
        <f t="shared" si="60"/>
        <v>29053.843334582445</v>
      </c>
      <c r="M58" s="62">
        <f t="shared" si="60"/>
        <v>28098.943261181339</v>
      </c>
      <c r="N58" s="62">
        <f t="shared" si="60"/>
        <v>26815.659885485329</v>
      </c>
      <c r="O58" s="62">
        <f t="shared" si="60"/>
        <v>25138.160601334832</v>
      </c>
      <c r="P58" s="62">
        <f t="shared" si="60"/>
        <v>23025.633787127095</v>
      </c>
      <c r="Q58" s="62">
        <f t="shared" si="60"/>
        <v>20490.662250169502</v>
      </c>
      <c r="R58" s="62">
        <f t="shared" si="60"/>
        <v>17624.183222503099</v>
      </c>
      <c r="S58" s="62">
        <f t="shared" si="60"/>
        <v>14598.053073863191</v>
      </c>
      <c r="T58" s="62">
        <f t="shared" si="60"/>
        <v>11631.47150633083</v>
      </c>
      <c r="U58" s="62">
        <f t="shared" si="60"/>
        <v>8930.9312426128126</v>
      </c>
      <c r="V58" s="62">
        <f t="shared" si="60"/>
        <v>6635.8565827813327</v>
      </c>
      <c r="W58" s="62">
        <f t="shared" si="60"/>
        <v>4797.9128048403027</v>
      </c>
      <c r="X58" s="62">
        <f t="shared" si="60"/>
        <v>3395.4801285052108</v>
      </c>
      <c r="Y58" s="62">
        <f t="shared" si="60"/>
        <v>2364.579636135687</v>
      </c>
      <c r="Z58" s="62">
        <f t="shared" si="60"/>
        <v>1627.5006977828805</v>
      </c>
      <c r="AA58" s="62">
        <f t="shared" si="60"/>
        <v>1110.9172135575814</v>
      </c>
      <c r="AB58" s="62">
        <f t="shared" si="60"/>
        <v>753.92627425551336</v>
      </c>
      <c r="AC58" s="62">
        <f t="shared" si="60"/>
        <v>509.61958495025141</v>
      </c>
    </row>
    <row r="59" spans="1:29" ht="15.75" thickBot="1" x14ac:dyDescent="0.3">
      <c r="A59" s="31" t="s">
        <v>209</v>
      </c>
      <c r="B59" s="64">
        <f>B50+B51+B52+B53+B54+B55+B56+B57+B58</f>
        <v>6079403.686634969</v>
      </c>
      <c r="C59" s="64">
        <f t="shared" ref="C59:AC59" si="61">C50+C51+C52+C53+C54+C55+C56+C57+C58</f>
        <v>6062577.8285538806</v>
      </c>
      <c r="D59" s="64">
        <f t="shared" si="61"/>
        <v>6038708.5291660167</v>
      </c>
      <c r="E59" s="64">
        <f t="shared" si="61"/>
        <v>6005013.5741268815</v>
      </c>
      <c r="F59" s="64">
        <f t="shared" si="61"/>
        <v>5957789.403080985</v>
      </c>
      <c r="G59" s="64">
        <f t="shared" si="61"/>
        <v>5892291.4183439147</v>
      </c>
      <c r="H59" s="64">
        <f t="shared" si="61"/>
        <v>5802799.5100916885</v>
      </c>
      <c r="I59" s="64">
        <f t="shared" si="61"/>
        <v>5683083.15505365</v>
      </c>
      <c r="J59" s="64">
        <f t="shared" si="61"/>
        <v>5527540.4065166768</v>
      </c>
      <c r="K59" s="64">
        <f t="shared" si="61"/>
        <v>5333183.0957618197</v>
      </c>
      <c r="L59" s="64">
        <f t="shared" si="61"/>
        <v>5102180.7517920909</v>
      </c>
      <c r="M59" s="64">
        <f t="shared" si="61"/>
        <v>4843846.1168726552</v>
      </c>
      <c r="N59" s="64">
        <f t="shared" si="61"/>
        <v>4574353.8810190829</v>
      </c>
      <c r="O59" s="64">
        <f t="shared" si="61"/>
        <v>4313240.4537737267</v>
      </c>
      <c r="P59" s="64">
        <f t="shared" si="61"/>
        <v>4077966.9240229903</v>
      </c>
      <c r="Q59" s="64">
        <f t="shared" si="61"/>
        <v>3879532.4116540663</v>
      </c>
      <c r="R59" s="64">
        <f t="shared" si="61"/>
        <v>3721278.92715947</v>
      </c>
      <c r="S59" s="64">
        <f t="shared" si="61"/>
        <v>3600579.0577797811</v>
      </c>
      <c r="T59" s="64">
        <f t="shared" si="61"/>
        <v>3511606.0226875576</v>
      </c>
      <c r="U59" s="64">
        <f t="shared" si="61"/>
        <v>3447668.3130913344</v>
      </c>
      <c r="V59" s="64">
        <f t="shared" si="61"/>
        <v>3402582.3502052668</v>
      </c>
      <c r="W59" s="64">
        <f t="shared" si="61"/>
        <v>3371234.5846342184</v>
      </c>
      <c r="X59" s="64">
        <f t="shared" si="61"/>
        <v>3349665.991490033</v>
      </c>
      <c r="Y59" s="64">
        <f t="shared" si="61"/>
        <v>3334939.894161169</v>
      </c>
      <c r="Z59" s="64">
        <f t="shared" si="61"/>
        <v>3324941.5802634214</v>
      </c>
      <c r="AA59" s="64">
        <f t="shared" si="61"/>
        <v>3318180.163025639</v>
      </c>
      <c r="AB59" s="64">
        <f t="shared" si="61"/>
        <v>3313620.4538214984</v>
      </c>
      <c r="AC59" s="64">
        <f t="shared" si="61"/>
        <v>3310551.4470714862</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62">A50</f>
        <v>Capex vehicle</v>
      </c>
      <c r="B62" s="65">
        <f>((1+B35)^B42)*B35/(((1+B35)^B42)-1)*(B31)/B47</f>
        <v>4.8455990713167774</v>
      </c>
      <c r="C62" s="65">
        <f t="shared" ref="C62:AC62" si="63">((1+C35)^C42)*C35/(((1+C35)^C42)-1)*(C31)/C47</f>
        <v>4.8290332319773173</v>
      </c>
      <c r="D62" s="65">
        <f t="shared" si="63"/>
        <v>4.8055121148579749</v>
      </c>
      <c r="E62" s="65">
        <f t="shared" si="63"/>
        <v>4.7722672760448299</v>
      </c>
      <c r="F62" s="65">
        <f t="shared" si="63"/>
        <v>4.7255921221377486</v>
      </c>
      <c r="G62" s="65">
        <f t="shared" si="63"/>
        <v>4.6606967146013627</v>
      </c>
      <c r="H62" s="65">
        <f t="shared" si="63"/>
        <v>4.571727538611003</v>
      </c>
      <c r="I62" s="65">
        <f t="shared" si="63"/>
        <v>4.4521624996314282</v>
      </c>
      <c r="J62" s="65">
        <f t="shared" si="63"/>
        <v>4.2958678954183256</v>
      </c>
      <c r="K62" s="65">
        <f t="shared" si="63"/>
        <v>4.0990412586288079</v>
      </c>
      <c r="L62" s="65">
        <f t="shared" si="63"/>
        <v>3.8628549443908802</v>
      </c>
      <c r="M62" s="65">
        <f t="shared" si="63"/>
        <v>3.5957816828120173</v>
      </c>
      <c r="N62" s="65">
        <f t="shared" si="63"/>
        <v>3.3138335363372309</v>
      </c>
      <c r="O62" s="65">
        <f t="shared" si="63"/>
        <v>3.0374336020158523</v>
      </c>
      <c r="P62" s="65">
        <f t="shared" si="63"/>
        <v>2.7858210525099958</v>
      </c>
      <c r="Q62" s="65">
        <f t="shared" si="63"/>
        <v>2.5719862157460938</v>
      </c>
      <c r="R62" s="65">
        <f t="shared" si="63"/>
        <v>2.4007428071477408</v>
      </c>
      <c r="S62" s="65">
        <f t="shared" si="63"/>
        <v>2.2700764860623535</v>
      </c>
      <c r="T62" s="65">
        <f t="shared" si="63"/>
        <v>2.1740262606104945</v>
      </c>
      <c r="U62" s="65">
        <f t="shared" si="63"/>
        <v>2.1053517389387877</v>
      </c>
      <c r="V62" s="65">
        <f t="shared" si="63"/>
        <v>2.0572210410762808</v>
      </c>
      <c r="W62" s="65">
        <f t="shared" si="63"/>
        <v>2.0239597705093986</v>
      </c>
      <c r="X62" s="65">
        <f t="shared" si="63"/>
        <v>2.0011974255877933</v>
      </c>
      <c r="Y62" s="65">
        <f t="shared" si="63"/>
        <v>1.985723989557781</v>
      </c>
      <c r="Z62" s="65">
        <f t="shared" si="63"/>
        <v>1.9752532875754587</v>
      </c>
      <c r="AA62" s="65">
        <f t="shared" si="63"/>
        <v>1.9681897410865572</v>
      </c>
      <c r="AB62" s="65">
        <f t="shared" si="63"/>
        <v>1.9634345966789499</v>
      </c>
      <c r="AC62" s="65">
        <f t="shared" si="63"/>
        <v>1.9602379526700859</v>
      </c>
    </row>
    <row r="63" spans="1:29" x14ac:dyDescent="0.25">
      <c r="A63" s="30" t="str">
        <f t="shared" si="62"/>
        <v>Residual value (vehicle)</v>
      </c>
      <c r="B63" s="66">
        <f>((1+B35)^B42)*B35/(((1+B35)^B42)-1)*(B32)/B47</f>
        <v>-0.24485927589579937</v>
      </c>
      <c r="C63" s="66">
        <f t="shared" ref="C63:AC63" si="64">((1+C35)^C42)*C35/(((1+C35)^C42)-1)*(C32)/C47</f>
        <v>-0.2451353732181237</v>
      </c>
      <c r="D63" s="66">
        <f t="shared" si="64"/>
        <v>-0.24552739183677941</v>
      </c>
      <c r="E63" s="66">
        <f t="shared" si="64"/>
        <v>-0.24608147248366516</v>
      </c>
      <c r="F63" s="66">
        <f t="shared" si="64"/>
        <v>-0.24685939171544985</v>
      </c>
      <c r="G63" s="66">
        <f t="shared" si="64"/>
        <v>-0.24794098184105628</v>
      </c>
      <c r="H63" s="66">
        <f t="shared" si="64"/>
        <v>-0.24942380144089563</v>
      </c>
      <c r="I63" s="66">
        <f t="shared" si="64"/>
        <v>-0.25141655209055519</v>
      </c>
      <c r="J63" s="66">
        <f t="shared" si="64"/>
        <v>-0.25402146216077354</v>
      </c>
      <c r="K63" s="66">
        <f t="shared" si="64"/>
        <v>-0.25730190610726555</v>
      </c>
      <c r="L63" s="66">
        <f t="shared" si="64"/>
        <v>-0.26123834467789769</v>
      </c>
      <c r="M63" s="66">
        <f t="shared" si="64"/>
        <v>-0.26568956570421209</v>
      </c>
      <c r="N63" s="66">
        <f t="shared" si="64"/>
        <v>-0.27038870147879185</v>
      </c>
      <c r="O63" s="66">
        <f t="shared" si="64"/>
        <v>-0.27499536705081479</v>
      </c>
      <c r="P63" s="66">
        <f t="shared" si="64"/>
        <v>-0.27918890954257908</v>
      </c>
      <c r="Q63" s="66">
        <f t="shared" si="64"/>
        <v>-0.28275282348864411</v>
      </c>
      <c r="R63" s="66">
        <f t="shared" si="64"/>
        <v>-0.28560688029861664</v>
      </c>
      <c r="S63" s="66">
        <f t="shared" si="64"/>
        <v>-0.28778465231670641</v>
      </c>
      <c r="T63" s="66">
        <f t="shared" si="64"/>
        <v>-0.28938548940757075</v>
      </c>
      <c r="U63" s="66">
        <f t="shared" si="64"/>
        <v>-0.29053006476876586</v>
      </c>
      <c r="V63" s="66">
        <f t="shared" si="64"/>
        <v>-0.29133224306647432</v>
      </c>
      <c r="W63" s="66">
        <f t="shared" si="64"/>
        <v>-0.29188659757592234</v>
      </c>
      <c r="X63" s="66">
        <f t="shared" si="64"/>
        <v>-0.29226596999128246</v>
      </c>
      <c r="Y63" s="66">
        <f t="shared" si="64"/>
        <v>-0.29252386059178265</v>
      </c>
      <c r="Z63" s="66">
        <f t="shared" si="64"/>
        <v>-0.29269837229148804</v>
      </c>
      <c r="AA63" s="66">
        <f t="shared" si="64"/>
        <v>-0.29281609806630304</v>
      </c>
      <c r="AB63" s="66">
        <f t="shared" si="64"/>
        <v>-0.29289535047309651</v>
      </c>
      <c r="AC63" s="66">
        <f t="shared" si="64"/>
        <v>-0.29294862787324427</v>
      </c>
    </row>
    <row r="64" spans="1:29" x14ac:dyDescent="0.25">
      <c r="A64" s="30" t="str">
        <f t="shared" si="62"/>
        <v>Capex costumization</v>
      </c>
      <c r="B64" s="66">
        <f>((1+B35)^B43)*B35/(((1+B35)^B43)-1)*(B33)/B47</f>
        <v>1.7093861527069927</v>
      </c>
      <c r="C64" s="66">
        <f t="shared" ref="C64:AC64" si="65">((1+C35)^C43)*C35/(((1+C35)^C43)-1)*(C33)/C47</f>
        <v>1.7093861527069927</v>
      </c>
      <c r="D64" s="66">
        <f t="shared" si="65"/>
        <v>1.7093861527069927</v>
      </c>
      <c r="E64" s="66">
        <f t="shared" si="65"/>
        <v>1.7093861527069927</v>
      </c>
      <c r="F64" s="66">
        <f t="shared" si="65"/>
        <v>1.7093861527069927</v>
      </c>
      <c r="G64" s="66">
        <f t="shared" si="65"/>
        <v>1.7093861527069927</v>
      </c>
      <c r="H64" s="66">
        <f t="shared" si="65"/>
        <v>1.7093861527069927</v>
      </c>
      <c r="I64" s="66">
        <f t="shared" si="65"/>
        <v>1.7093861527069927</v>
      </c>
      <c r="J64" s="66">
        <f t="shared" si="65"/>
        <v>1.7093861527069927</v>
      </c>
      <c r="K64" s="66">
        <f t="shared" si="65"/>
        <v>1.7093861527069927</v>
      </c>
      <c r="L64" s="66">
        <f t="shared" si="65"/>
        <v>1.7093861527069927</v>
      </c>
      <c r="M64" s="66">
        <f t="shared" si="65"/>
        <v>1.7093861527069927</v>
      </c>
      <c r="N64" s="66">
        <f t="shared" si="65"/>
        <v>1.7093861527069927</v>
      </c>
      <c r="O64" s="66">
        <f t="shared" si="65"/>
        <v>1.7093861527069927</v>
      </c>
      <c r="P64" s="66">
        <f t="shared" si="65"/>
        <v>1.7093861527069927</v>
      </c>
      <c r="Q64" s="66">
        <f t="shared" si="65"/>
        <v>1.7093861527069927</v>
      </c>
      <c r="R64" s="66">
        <f t="shared" si="65"/>
        <v>1.7093861527069927</v>
      </c>
      <c r="S64" s="66">
        <f t="shared" si="65"/>
        <v>1.7093861527069927</v>
      </c>
      <c r="T64" s="66">
        <f t="shared" si="65"/>
        <v>1.7093861527069927</v>
      </c>
      <c r="U64" s="66">
        <f t="shared" si="65"/>
        <v>1.7093861527069927</v>
      </c>
      <c r="V64" s="66">
        <f t="shared" si="65"/>
        <v>1.7093861527069927</v>
      </c>
      <c r="W64" s="66">
        <f t="shared" si="65"/>
        <v>1.7093861527069927</v>
      </c>
      <c r="X64" s="66">
        <f t="shared" si="65"/>
        <v>1.7093861527069927</v>
      </c>
      <c r="Y64" s="66">
        <f t="shared" si="65"/>
        <v>1.7093861527069927</v>
      </c>
      <c r="Z64" s="66">
        <f t="shared" si="65"/>
        <v>1.7093861527069927</v>
      </c>
      <c r="AA64" s="66">
        <f t="shared" si="65"/>
        <v>1.7093861527069927</v>
      </c>
      <c r="AB64" s="66">
        <f t="shared" si="65"/>
        <v>1.7093861527069927</v>
      </c>
      <c r="AC64" s="66">
        <f t="shared" si="65"/>
        <v>1.7093861527069927</v>
      </c>
    </row>
    <row r="65" spans="1:29" x14ac:dyDescent="0.25">
      <c r="A65" s="30" t="str">
        <f t="shared" si="62"/>
        <v>Residual value (costumization)</v>
      </c>
      <c r="B65" s="66">
        <f>((1+B35)^B43)*B35/(((1+B35)^B43)-1)*(B34)/B47</f>
        <v>-8.5469307635349642E-2</v>
      </c>
      <c r="C65" s="66">
        <f t="shared" ref="C65:AC65" si="66">((1+C35)^C43)*C35/(((1+C35)^C43)-1)*(C34)/C47</f>
        <v>-8.5469307635349642E-2</v>
      </c>
      <c r="D65" s="66">
        <f t="shared" si="66"/>
        <v>-8.5469307635349642E-2</v>
      </c>
      <c r="E65" s="66">
        <f t="shared" si="66"/>
        <v>-8.5469307635349642E-2</v>
      </c>
      <c r="F65" s="66">
        <f t="shared" si="66"/>
        <v>-8.5469307635349642E-2</v>
      </c>
      <c r="G65" s="66">
        <f t="shared" si="66"/>
        <v>-8.5469307635349642E-2</v>
      </c>
      <c r="H65" s="66">
        <f t="shared" si="66"/>
        <v>-8.5469307635349642E-2</v>
      </c>
      <c r="I65" s="66">
        <f t="shared" si="66"/>
        <v>-8.5469307635349642E-2</v>
      </c>
      <c r="J65" s="66">
        <f t="shared" si="66"/>
        <v>-8.5469307635349642E-2</v>
      </c>
      <c r="K65" s="66">
        <f t="shared" si="66"/>
        <v>-8.5469307635349642E-2</v>
      </c>
      <c r="L65" s="66">
        <f t="shared" si="66"/>
        <v>-8.5469307635349642E-2</v>
      </c>
      <c r="M65" s="66">
        <f t="shared" si="66"/>
        <v>-8.5469307635349642E-2</v>
      </c>
      <c r="N65" s="66">
        <f t="shared" si="66"/>
        <v>-8.5469307635349642E-2</v>
      </c>
      <c r="O65" s="66">
        <f t="shared" si="66"/>
        <v>-8.5469307635349642E-2</v>
      </c>
      <c r="P65" s="66">
        <f t="shared" si="66"/>
        <v>-8.5469307635349642E-2</v>
      </c>
      <c r="Q65" s="66">
        <f t="shared" si="66"/>
        <v>-8.5469307635349642E-2</v>
      </c>
      <c r="R65" s="66">
        <f t="shared" si="66"/>
        <v>-8.5469307635349642E-2</v>
      </c>
      <c r="S65" s="66">
        <f t="shared" si="66"/>
        <v>-8.5469307635349642E-2</v>
      </c>
      <c r="T65" s="66">
        <f t="shared" si="66"/>
        <v>-8.5469307635349642E-2</v>
      </c>
      <c r="U65" s="66">
        <f t="shared" si="66"/>
        <v>-8.5469307635349642E-2</v>
      </c>
      <c r="V65" s="66">
        <f t="shared" si="66"/>
        <v>-8.5469307635349642E-2</v>
      </c>
      <c r="W65" s="66">
        <f t="shared" si="66"/>
        <v>-8.5469307635349642E-2</v>
      </c>
      <c r="X65" s="66">
        <f t="shared" si="66"/>
        <v>-8.5469307635349642E-2</v>
      </c>
      <c r="Y65" s="66">
        <f t="shared" si="66"/>
        <v>-8.5469307635349642E-2</v>
      </c>
      <c r="Z65" s="66">
        <f t="shared" si="66"/>
        <v>-8.5469307635349642E-2</v>
      </c>
      <c r="AA65" s="66">
        <f t="shared" si="66"/>
        <v>-8.5469307635349642E-2</v>
      </c>
      <c r="AB65" s="66">
        <f t="shared" si="66"/>
        <v>-8.5469307635349642E-2</v>
      </c>
      <c r="AC65" s="66">
        <f t="shared" si="66"/>
        <v>-8.5469307635349642E-2</v>
      </c>
    </row>
    <row r="66" spans="1:29" x14ac:dyDescent="0.25">
      <c r="A66" s="30" t="str">
        <f t="shared" si="62"/>
        <v>Opex fix (admin, crew, insurance)</v>
      </c>
      <c r="B66" s="66">
        <f>B36/B47</f>
        <v>3.6414565826330532</v>
      </c>
      <c r="C66" s="66">
        <f t="shared" ref="C66:AC66" si="67">C36/C47</f>
        <v>3.6414565826330532</v>
      </c>
      <c r="D66" s="66">
        <f t="shared" si="67"/>
        <v>3.6414565826330532</v>
      </c>
      <c r="E66" s="66">
        <f t="shared" si="67"/>
        <v>3.6414565826330532</v>
      </c>
      <c r="F66" s="66">
        <f t="shared" si="67"/>
        <v>3.6414565826330532</v>
      </c>
      <c r="G66" s="66">
        <f t="shared" si="67"/>
        <v>3.6414565826330532</v>
      </c>
      <c r="H66" s="66">
        <f t="shared" si="67"/>
        <v>3.6414565826330532</v>
      </c>
      <c r="I66" s="66">
        <f t="shared" si="67"/>
        <v>3.6414565826330532</v>
      </c>
      <c r="J66" s="66">
        <f t="shared" si="67"/>
        <v>3.6414565826330532</v>
      </c>
      <c r="K66" s="66">
        <f t="shared" si="67"/>
        <v>3.6414565826330532</v>
      </c>
      <c r="L66" s="66">
        <f t="shared" si="67"/>
        <v>3.6414565826330532</v>
      </c>
      <c r="M66" s="66">
        <f t="shared" si="67"/>
        <v>3.6414565826330532</v>
      </c>
      <c r="N66" s="66">
        <f t="shared" si="67"/>
        <v>3.6414565826330532</v>
      </c>
      <c r="O66" s="66">
        <f t="shared" si="67"/>
        <v>3.6414565826330532</v>
      </c>
      <c r="P66" s="66">
        <f t="shared" si="67"/>
        <v>3.6414565826330532</v>
      </c>
      <c r="Q66" s="66">
        <f t="shared" si="67"/>
        <v>3.6414565826330532</v>
      </c>
      <c r="R66" s="66">
        <f t="shared" si="67"/>
        <v>3.6414565826330532</v>
      </c>
      <c r="S66" s="66">
        <f t="shared" si="67"/>
        <v>3.6414565826330532</v>
      </c>
      <c r="T66" s="66">
        <f t="shared" si="67"/>
        <v>3.6414565826330532</v>
      </c>
      <c r="U66" s="66">
        <f t="shared" si="67"/>
        <v>3.6414565826330532</v>
      </c>
      <c r="V66" s="66">
        <f t="shared" si="67"/>
        <v>3.6414565826330532</v>
      </c>
      <c r="W66" s="66">
        <f t="shared" si="67"/>
        <v>3.6414565826330532</v>
      </c>
      <c r="X66" s="66">
        <f t="shared" si="67"/>
        <v>3.6414565826330532</v>
      </c>
      <c r="Y66" s="66">
        <f t="shared" si="67"/>
        <v>3.6414565826330532</v>
      </c>
      <c r="Z66" s="66">
        <f t="shared" si="67"/>
        <v>3.6414565826330532</v>
      </c>
      <c r="AA66" s="66">
        <f t="shared" si="67"/>
        <v>3.6414565826330532</v>
      </c>
      <c r="AB66" s="66">
        <f t="shared" si="67"/>
        <v>3.6414565826330532</v>
      </c>
      <c r="AC66" s="66">
        <f t="shared" si="67"/>
        <v>3.6414565826330532</v>
      </c>
    </row>
    <row r="67" spans="1:29" x14ac:dyDescent="0.25">
      <c r="A67" s="30" t="str">
        <f t="shared" si="62"/>
        <v>Opex maintenance &amp; repair</v>
      </c>
      <c r="B67" s="66">
        <f>B37/B47</f>
        <v>7.7810095446659027</v>
      </c>
      <c r="C67" s="66">
        <f t="shared" ref="C67:AC67" si="68">C37/C47</f>
        <v>7.7544083025658797</v>
      </c>
      <c r="D67" s="66">
        <f t="shared" si="68"/>
        <v>7.7166383521194692</v>
      </c>
      <c r="E67" s="66">
        <f t="shared" si="68"/>
        <v>7.6632541566239745</v>
      </c>
      <c r="F67" s="66">
        <f t="shared" si="68"/>
        <v>7.5883037092789669</v>
      </c>
      <c r="G67" s="66">
        <f t="shared" si="68"/>
        <v>7.4840953796145033</v>
      </c>
      <c r="H67" s="66">
        <f t="shared" si="68"/>
        <v>7.3412296580858891</v>
      </c>
      <c r="I67" s="66">
        <f t="shared" si="68"/>
        <v>7.1492334372232325</v>
      </c>
      <c r="J67" s="66">
        <f t="shared" si="68"/>
        <v>6.8982572856136732</v>
      </c>
      <c r="K67" s="66">
        <f t="shared" si="68"/>
        <v>6.5821952431369439</v>
      </c>
      <c r="L67" s="66">
        <f t="shared" si="68"/>
        <v>6.202929864727218</v>
      </c>
      <c r="M67" s="66">
        <f t="shared" si="68"/>
        <v>5.7740665669419418</v>
      </c>
      <c r="N67" s="66">
        <f t="shared" si="68"/>
        <v>5.3213173430518594</v>
      </c>
      <c r="O67" s="66">
        <f t="shared" si="68"/>
        <v>4.8774773770442641</v>
      </c>
      <c r="P67" s="66">
        <f t="shared" si="68"/>
        <v>4.4734407201834294</v>
      </c>
      <c r="Q67" s="66">
        <f t="shared" si="68"/>
        <v>4.13006709777809</v>
      </c>
      <c r="R67" s="66">
        <f t="shared" si="68"/>
        <v>3.855086320963053</v>
      </c>
      <c r="S67" s="66">
        <f t="shared" si="68"/>
        <v>3.6452637837353725</v>
      </c>
      <c r="T67" s="66">
        <f t="shared" si="68"/>
        <v>3.4910273910812166</v>
      </c>
      <c r="U67" s="66">
        <f t="shared" si="68"/>
        <v>3.3807506016196185</v>
      </c>
      <c r="V67" s="66">
        <f t="shared" si="68"/>
        <v>3.3034628578447651</v>
      </c>
      <c r="W67" s="66">
        <f t="shared" si="68"/>
        <v>3.2500522764203521</v>
      </c>
      <c r="X67" s="66">
        <f t="shared" si="68"/>
        <v>3.2135007540002656</v>
      </c>
      <c r="Y67" s="66">
        <f t="shared" si="68"/>
        <v>3.188653681086</v>
      </c>
      <c r="Z67" s="66">
        <f t="shared" si="68"/>
        <v>3.1718399433283566</v>
      </c>
      <c r="AA67" s="66">
        <f t="shared" si="68"/>
        <v>3.1604973782831638</v>
      </c>
      <c r="AB67" s="66">
        <f t="shared" si="68"/>
        <v>3.1528616198398223</v>
      </c>
      <c r="AC67" s="66">
        <f t="shared" si="68"/>
        <v>3.1477284841474571</v>
      </c>
    </row>
    <row r="68" spans="1:29" x14ac:dyDescent="0.25">
      <c r="A68" s="30" t="str">
        <f t="shared" si="62"/>
        <v>Opex var (mode-fees, shunting)</v>
      </c>
      <c r="B68" s="66">
        <f>B38*B47/B47</f>
        <v>3.9215686274509802</v>
      </c>
      <c r="C68" s="66">
        <f t="shared" ref="C68:AC68" si="69">C38*C47/C47</f>
        <v>3.9215686274509802</v>
      </c>
      <c r="D68" s="66">
        <f t="shared" si="69"/>
        <v>3.9215686274509802</v>
      </c>
      <c r="E68" s="66">
        <f t="shared" si="69"/>
        <v>3.9215686274509802</v>
      </c>
      <c r="F68" s="66">
        <f t="shared" si="69"/>
        <v>3.9215686274509802</v>
      </c>
      <c r="G68" s="66">
        <f t="shared" si="69"/>
        <v>3.9215686274509802</v>
      </c>
      <c r="H68" s="66">
        <f t="shared" si="69"/>
        <v>3.9215686274509802</v>
      </c>
      <c r="I68" s="66">
        <f t="shared" si="69"/>
        <v>3.9215686274509802</v>
      </c>
      <c r="J68" s="66">
        <f t="shared" si="69"/>
        <v>3.9215686274509802</v>
      </c>
      <c r="K68" s="66">
        <f t="shared" si="69"/>
        <v>3.9215686274509802</v>
      </c>
      <c r="L68" s="66">
        <f t="shared" si="69"/>
        <v>3.9215686274509802</v>
      </c>
      <c r="M68" s="66">
        <f t="shared" si="69"/>
        <v>3.9215686274509802</v>
      </c>
      <c r="N68" s="66">
        <f t="shared" si="69"/>
        <v>3.9215686274509802</v>
      </c>
      <c r="O68" s="66">
        <f t="shared" si="69"/>
        <v>3.9215686274509802</v>
      </c>
      <c r="P68" s="66">
        <f t="shared" si="69"/>
        <v>3.9215686274509802</v>
      </c>
      <c r="Q68" s="66">
        <f t="shared" si="69"/>
        <v>3.9215686274509802</v>
      </c>
      <c r="R68" s="66">
        <f t="shared" si="69"/>
        <v>3.9215686274509802</v>
      </c>
      <c r="S68" s="66">
        <f t="shared" si="69"/>
        <v>3.9215686274509802</v>
      </c>
      <c r="T68" s="66">
        <f t="shared" si="69"/>
        <v>3.9215686274509802</v>
      </c>
      <c r="U68" s="66">
        <f t="shared" si="69"/>
        <v>3.9215686274509802</v>
      </c>
      <c r="V68" s="66">
        <f t="shared" si="69"/>
        <v>3.9215686274509802</v>
      </c>
      <c r="W68" s="66">
        <f t="shared" si="69"/>
        <v>3.9215686274509802</v>
      </c>
      <c r="X68" s="66">
        <f t="shared" si="69"/>
        <v>3.9215686274509802</v>
      </c>
      <c r="Y68" s="66">
        <f t="shared" si="69"/>
        <v>3.9215686274509802</v>
      </c>
      <c r="Z68" s="66">
        <f t="shared" si="69"/>
        <v>3.9215686274509802</v>
      </c>
      <c r="AA68" s="66">
        <f t="shared" si="69"/>
        <v>3.9215686274509802</v>
      </c>
      <c r="AB68" s="66">
        <f t="shared" si="69"/>
        <v>3.9215686274509802</v>
      </c>
      <c r="AC68" s="66">
        <f t="shared" si="69"/>
        <v>3.9215686274509802</v>
      </c>
    </row>
    <row r="69" spans="1:29" x14ac:dyDescent="0.25">
      <c r="A69" s="30" t="str">
        <f t="shared" si="62"/>
        <v>Fuel Cost</v>
      </c>
      <c r="B69" s="66">
        <f>B39*B40*B47/B47</f>
        <v>12.313768682212032</v>
      </c>
      <c r="C69" s="66">
        <f t="shared" ref="C69:AC69" si="70">C39*C40*C47/C47</f>
        <v>12.263116777890403</v>
      </c>
      <c r="D69" s="66">
        <f t="shared" si="70"/>
        <v>12.191317967148235</v>
      </c>
      <c r="E69" s="66">
        <f t="shared" si="70"/>
        <v>12.090076689299222</v>
      </c>
      <c r="F69" s="66">
        <f t="shared" si="70"/>
        <v>11.94840905335999</v>
      </c>
      <c r="G69" s="66">
        <f t="shared" si="70"/>
        <v>11.75235826483142</v>
      </c>
      <c r="H69" s="66">
        <f t="shared" si="70"/>
        <v>11.485316832185498</v>
      </c>
      <c r="I69" s="66">
        <f t="shared" si="70"/>
        <v>11.129605271256127</v>
      </c>
      <c r="J69" s="66">
        <f t="shared" si="70"/>
        <v>10.670091951386773</v>
      </c>
      <c r="K69" s="66">
        <f t="shared" si="70"/>
        <v>10.100231105276086</v>
      </c>
      <c r="L69" s="66">
        <f t="shared" si="70"/>
        <v>9.4293905193817622</v>
      </c>
      <c r="M69" s="66">
        <f t="shared" si="70"/>
        <v>8.6878750233238424</v>
      </c>
      <c r="N69" s="66">
        <f t="shared" si="70"/>
        <v>7.9247003671222451</v>
      </c>
      <c r="O69" s="66">
        <f t="shared" si="70"/>
        <v>7.1961243674142494</v>
      </c>
      <c r="P69" s="66">
        <f t="shared" si="70"/>
        <v>6.5497430101857042</v>
      </c>
      <c r="Q69" s="66">
        <f t="shared" si="70"/>
        <v>6.0130389640743127</v>
      </c>
      <c r="R69" s="66">
        <f t="shared" si="70"/>
        <v>5.5916017695081521</v>
      </c>
      <c r="S69" s="66">
        <f t="shared" si="70"/>
        <v>5.2750317654916969</v>
      </c>
      <c r="T69" s="66">
        <f t="shared" si="70"/>
        <v>5.0450903494017911</v>
      </c>
      <c r="U69" s="66">
        <f t="shared" si="70"/>
        <v>4.8821208614844984</v>
      </c>
      <c r="V69" s="66">
        <f t="shared" si="70"/>
        <v>4.768616617407039</v>
      </c>
      <c r="W69" s="66">
        <f t="shared" si="70"/>
        <v>4.6905216934141825</v>
      </c>
      <c r="X69" s="66">
        <f t="shared" si="70"/>
        <v>4.6372392442757135</v>
      </c>
      <c r="Y69" s="66">
        <f t="shared" si="70"/>
        <v>4.6010938520194031</v>
      </c>
      <c r="Z69" s="66">
        <f t="shared" si="70"/>
        <v>4.5766691342187666</v>
      </c>
      <c r="AA69" s="66">
        <f t="shared" si="70"/>
        <v>4.5602079084825364</v>
      </c>
      <c r="AB69" s="66">
        <f t="shared" si="70"/>
        <v>4.5491334236011296</v>
      </c>
      <c r="AC69" s="66">
        <f t="shared" si="70"/>
        <v>4.5416918305024687</v>
      </c>
    </row>
    <row r="70" spans="1:29" ht="15.75" thickBot="1" x14ac:dyDescent="0.3">
      <c r="A70" s="59" t="str">
        <f t="shared" ref="A70" si="71">A58</f>
        <v>Emission Cost</v>
      </c>
      <c r="B70" s="66">
        <f>B41</f>
        <v>0.17582388128473975</v>
      </c>
      <c r="C70" s="66">
        <f t="shared" ref="C70:AC70" si="72">C41</f>
        <v>0.17565645410997111</v>
      </c>
      <c r="D70" s="66">
        <f t="shared" si="72"/>
        <v>0.17541678583842943</v>
      </c>
      <c r="E70" s="66">
        <f t="shared" si="72"/>
        <v>0.17507392352176276</v>
      </c>
      <c r="F70" s="66">
        <f t="shared" si="72"/>
        <v>0.17458389761491974</v>
      </c>
      <c r="G70" s="66">
        <f t="shared" si="72"/>
        <v>0.17388452474686475</v>
      </c>
      <c r="H70" s="66">
        <f t="shared" si="72"/>
        <v>0.17288844620780905</v>
      </c>
      <c r="I70" s="66">
        <f t="shared" si="72"/>
        <v>0.17147415747198971</v>
      </c>
      <c r="J70" s="66">
        <f t="shared" si="72"/>
        <v>0.16947519624837942</v>
      </c>
      <c r="K70" s="66">
        <f t="shared" si="72"/>
        <v>0.16666869075467838</v>
      </c>
      <c r="L70" s="66">
        <f t="shared" si="72"/>
        <v>0.16276662932539185</v>
      </c>
      <c r="M70" s="66">
        <f t="shared" si="72"/>
        <v>0.15741704908224841</v>
      </c>
      <c r="N70" s="66">
        <f t="shared" si="72"/>
        <v>0.15022778647330717</v>
      </c>
      <c r="O70" s="66">
        <f t="shared" si="72"/>
        <v>0.14083003138002706</v>
      </c>
      <c r="P70" s="66">
        <f t="shared" si="72"/>
        <v>0.12899514726681846</v>
      </c>
      <c r="Q70" s="66">
        <f t="shared" si="72"/>
        <v>0.11479362605136975</v>
      </c>
      <c r="R70" s="66">
        <f t="shared" si="72"/>
        <v>9.8734920014022967E-2</v>
      </c>
      <c r="S70" s="66">
        <f t="shared" si="72"/>
        <v>8.1781809937608918E-2</v>
      </c>
      <c r="T70" s="66">
        <f t="shared" si="72"/>
        <v>6.5162305357595693E-2</v>
      </c>
      <c r="U70" s="66">
        <f t="shared" si="72"/>
        <v>5.0033228249931727E-2</v>
      </c>
      <c r="V70" s="66">
        <f t="shared" si="72"/>
        <v>3.7175667130427636E-2</v>
      </c>
      <c r="W70" s="66">
        <f t="shared" si="72"/>
        <v>2.6879063332438669E-2</v>
      </c>
      <c r="X70" s="66">
        <f t="shared" si="72"/>
        <v>1.9022297638684654E-2</v>
      </c>
      <c r="Y70" s="66">
        <f t="shared" si="72"/>
        <v>1.324694474025595E-2</v>
      </c>
      <c r="Z70" s="66">
        <f t="shared" si="72"/>
        <v>9.1176509679713191E-3</v>
      </c>
      <c r="AA70" s="66">
        <f t="shared" si="72"/>
        <v>6.2236258462609606E-3</v>
      </c>
      <c r="AB70" s="66">
        <f t="shared" si="72"/>
        <v>4.2236766064734643E-3</v>
      </c>
      <c r="AC70" s="66">
        <f t="shared" si="72"/>
        <v>2.8550116803935655E-3</v>
      </c>
    </row>
    <row r="71" spans="1:29" ht="15.75" thickBot="1" x14ac:dyDescent="0.3">
      <c r="A71" s="31" t="s">
        <v>63</v>
      </c>
      <c r="B71" s="76">
        <f>B62+B63+B64-B65+B66+B67+B68+B69+B70</f>
        <v>34.229222574010031</v>
      </c>
      <c r="C71" s="76">
        <f t="shared" ref="C71:AC71" si="73">C62+C63+C64-C65+C66+C67+C68+C69+C70</f>
        <v>34.134960063751819</v>
      </c>
      <c r="D71" s="76">
        <f t="shared" si="73"/>
        <v>34.001238498553704</v>
      </c>
      <c r="E71" s="76">
        <f t="shared" si="73"/>
        <v>33.812471243432505</v>
      </c>
      <c r="F71" s="76">
        <f t="shared" si="73"/>
        <v>33.547910061102556</v>
      </c>
      <c r="G71" s="76">
        <f t="shared" si="73"/>
        <v>33.180974572379476</v>
      </c>
      <c r="H71" s="76">
        <f t="shared" si="73"/>
        <v>32.679619344075675</v>
      </c>
      <c r="I71" s="76">
        <f t="shared" si="73"/>
        <v>32.008939483918596</v>
      </c>
      <c r="J71" s="76">
        <f t="shared" si="73"/>
        <v>31.137551536932751</v>
      </c>
      <c r="K71" s="76">
        <f t="shared" si="73"/>
        <v>30.04871506211563</v>
      </c>
      <c r="L71" s="76">
        <f t="shared" si="73"/>
        <v>28.754584283573731</v>
      </c>
      <c r="M71" s="76">
        <f t="shared" si="73"/>
        <v>27.307331426882214</v>
      </c>
      <c r="N71" s="76">
        <f t="shared" si="73"/>
        <v>25.797571001932226</v>
      </c>
      <c r="O71" s="76">
        <f t="shared" si="73"/>
        <v>24.334750681229956</v>
      </c>
      <c r="P71" s="76">
        <f t="shared" si="73"/>
        <v>23.016691691029742</v>
      </c>
      <c r="Q71" s="76">
        <f t="shared" si="73"/>
        <v>21.905013750587599</v>
      </c>
      <c r="R71" s="76">
        <f t="shared" si="73"/>
        <v>21.01843960776073</v>
      </c>
      <c r="S71" s="76">
        <f t="shared" si="73"/>
        <v>20.342249863336704</v>
      </c>
      <c r="T71" s="76">
        <f t="shared" si="73"/>
        <v>19.843801487469904</v>
      </c>
      <c r="U71" s="76">
        <f t="shared" si="73"/>
        <v>19.485607035950444</v>
      </c>
      <c r="V71" s="76">
        <f t="shared" si="73"/>
        <v>19.233024610818411</v>
      </c>
      <c r="W71" s="76">
        <f t="shared" si="73"/>
        <v>19.057406876526823</v>
      </c>
      <c r="X71" s="76">
        <f t="shared" si="73"/>
        <v>18.93657442193755</v>
      </c>
      <c r="Y71" s="76">
        <f t="shared" si="73"/>
        <v>18.854075277238035</v>
      </c>
      <c r="Z71" s="76">
        <f t="shared" si="73"/>
        <v>18.79806231422544</v>
      </c>
      <c r="AA71" s="76">
        <f t="shared" si="73"/>
        <v>18.76018322605859</v>
      </c>
      <c r="AB71" s="76">
        <f t="shared" si="73"/>
        <v>18.734638636679652</v>
      </c>
      <c r="AC71" s="76">
        <f t="shared" si="73"/>
        <v>18.717445321553537</v>
      </c>
    </row>
    <row r="72" spans="1:29" ht="15.75" thickBot="1" x14ac:dyDescent="0.3"/>
    <row r="73" spans="1:29" ht="15.75" thickBot="1" x14ac:dyDescent="0.3">
      <c r="A73" s="26" t="s">
        <v>208</v>
      </c>
      <c r="B73" s="157">
        <v>2023</v>
      </c>
      <c r="C73" s="157">
        <v>2024</v>
      </c>
      <c r="D73" s="157">
        <v>2025</v>
      </c>
      <c r="E73" s="157">
        <v>2026</v>
      </c>
      <c r="F73" s="157">
        <v>2027</v>
      </c>
      <c r="G73" s="157">
        <v>2028</v>
      </c>
      <c r="H73" s="157">
        <v>2029</v>
      </c>
      <c r="I73" s="157">
        <v>2030</v>
      </c>
      <c r="J73" s="157">
        <v>2031</v>
      </c>
      <c r="K73" s="157">
        <v>2032</v>
      </c>
      <c r="L73" s="157">
        <v>2033</v>
      </c>
      <c r="M73" s="157">
        <v>2034</v>
      </c>
      <c r="N73" s="157">
        <v>2035</v>
      </c>
      <c r="O73" s="157">
        <v>2036</v>
      </c>
      <c r="P73" s="157">
        <v>2037</v>
      </c>
      <c r="Q73" s="157">
        <v>2038</v>
      </c>
      <c r="R73" s="157">
        <v>2039</v>
      </c>
      <c r="S73" s="157">
        <v>2040</v>
      </c>
      <c r="T73" s="157">
        <v>2041</v>
      </c>
      <c r="U73" s="157">
        <v>2042</v>
      </c>
      <c r="V73" s="157">
        <v>2043</v>
      </c>
      <c r="W73" s="157">
        <v>2044</v>
      </c>
      <c r="X73" s="157">
        <v>2045</v>
      </c>
      <c r="Y73" s="157">
        <v>2046</v>
      </c>
      <c r="Z73" s="157">
        <v>2047</v>
      </c>
      <c r="AA73" s="157">
        <v>2048</v>
      </c>
      <c r="AB73" s="157">
        <v>2049</v>
      </c>
      <c r="AC73" s="158">
        <v>2050</v>
      </c>
    </row>
    <row r="74" spans="1:29" x14ac:dyDescent="0.25">
      <c r="A74" s="29" t="str">
        <f t="shared" ref="A74:A81" si="74">A50</f>
        <v>Capex vehicle</v>
      </c>
      <c r="B74" s="65">
        <f>((1+B35)^B42)*B35/(((1+B35)^B42)-1)*(B31)/B47/(B44)</f>
        <v>2.1632138711235615E-3</v>
      </c>
      <c r="C74" s="65">
        <f t="shared" ref="C74:AC74" si="75">((1+C35)^C42)*C35/(((1+C35)^C42)-1)*(C31)/C47/(C44)</f>
        <v>2.1558184071327311E-3</v>
      </c>
      <c r="D74" s="65">
        <f t="shared" si="75"/>
        <v>2.145317908418739E-3</v>
      </c>
      <c r="E74" s="65">
        <f t="shared" si="75"/>
        <v>2.1304764625200132E-3</v>
      </c>
      <c r="F74" s="65">
        <f t="shared" si="75"/>
        <v>2.1096393402400665E-3</v>
      </c>
      <c r="G74" s="65">
        <f t="shared" si="75"/>
        <v>2.0806681761613224E-3</v>
      </c>
      <c r="H74" s="65">
        <f t="shared" si="75"/>
        <v>2.0409497940227692E-3</v>
      </c>
      <c r="I74" s="65">
        <f t="shared" si="75"/>
        <v>1.9875725444783161E-3</v>
      </c>
      <c r="J74" s="65">
        <f t="shared" si="75"/>
        <v>1.9177981675974668E-3</v>
      </c>
      <c r="K74" s="65">
        <f t="shared" si="75"/>
        <v>1.829929133316432E-3</v>
      </c>
      <c r="L74" s="65">
        <f t="shared" si="75"/>
        <v>1.7244888144602143E-3</v>
      </c>
      <c r="M74" s="65">
        <f t="shared" si="75"/>
        <v>1.6052596798267933E-3</v>
      </c>
      <c r="N74" s="65">
        <f t="shared" si="75"/>
        <v>1.479389971579121E-3</v>
      </c>
      <c r="O74" s="65">
        <f t="shared" si="75"/>
        <v>1.3559971437570768E-3</v>
      </c>
      <c r="P74" s="65">
        <f t="shared" si="75"/>
        <v>1.2436701127276767E-3</v>
      </c>
      <c r="Q74" s="65">
        <f t="shared" si="75"/>
        <v>1.1482081320295062E-3</v>
      </c>
      <c r="R74" s="65">
        <f t="shared" si="75"/>
        <v>1.0717601817623844E-3</v>
      </c>
      <c r="S74" s="65">
        <f t="shared" si="75"/>
        <v>1.0134270027064077E-3</v>
      </c>
      <c r="T74" s="65">
        <f t="shared" si="75"/>
        <v>9.7054743777254216E-4</v>
      </c>
      <c r="U74" s="65">
        <f t="shared" si="75"/>
        <v>9.3988916916910165E-4</v>
      </c>
      <c r="V74" s="65">
        <f t="shared" si="75"/>
        <v>9.1840225048048251E-4</v>
      </c>
      <c r="W74" s="65">
        <f t="shared" si="75"/>
        <v>9.0355346897741005E-4</v>
      </c>
      <c r="X74" s="65">
        <f t="shared" si="75"/>
        <v>8.9339170785169349E-4</v>
      </c>
      <c r="Y74" s="65">
        <f t="shared" si="75"/>
        <v>8.8648392390972366E-4</v>
      </c>
      <c r="Z74" s="65">
        <f t="shared" si="75"/>
        <v>8.8180950338190116E-4</v>
      </c>
      <c r="AA74" s="65">
        <f t="shared" si="75"/>
        <v>8.7865613441364158E-4</v>
      </c>
      <c r="AB74" s="65">
        <f t="shared" si="75"/>
        <v>8.7653330208881694E-4</v>
      </c>
      <c r="AC74" s="65">
        <f t="shared" si="75"/>
        <v>8.7510622887057403E-4</v>
      </c>
    </row>
    <row r="75" spans="1:29" x14ac:dyDescent="0.25">
      <c r="A75" s="30" t="str">
        <f t="shared" si="74"/>
        <v>Residual value (vehicle)</v>
      </c>
      <c r="B75" s="68">
        <f>((1+B35)^B42)*B35/(((1+B35)^B42)-1)*(B32)/B47/(B44)</f>
        <v>-1.0931217673919614E-4</v>
      </c>
      <c r="C75" s="68">
        <f t="shared" ref="C75:AC75" si="76">((1+C35)^C42)*C35/(((1+C35)^C42)-1)*(C32)/C47/(C44)</f>
        <v>-1.0943543447237665E-4</v>
      </c>
      <c r="D75" s="68">
        <f t="shared" si="76"/>
        <v>-1.0961044278427652E-4</v>
      </c>
      <c r="E75" s="68">
        <f t="shared" si="76"/>
        <v>-1.0985780021592194E-4</v>
      </c>
      <c r="F75" s="68">
        <f t="shared" si="76"/>
        <v>-1.102050855872544E-4</v>
      </c>
      <c r="G75" s="68">
        <f t="shared" si="76"/>
        <v>-1.1068793832190012E-4</v>
      </c>
      <c r="H75" s="68">
        <f t="shared" si="76"/>
        <v>-1.1134991135754269E-4</v>
      </c>
      <c r="I75" s="68">
        <f t="shared" si="76"/>
        <v>-1.1223953218328357E-4</v>
      </c>
      <c r="J75" s="68">
        <f t="shared" si="76"/>
        <v>-1.1340243846463104E-4</v>
      </c>
      <c r="K75" s="68">
        <f t="shared" si="76"/>
        <v>-1.1486692236931498E-4</v>
      </c>
      <c r="L75" s="68">
        <f t="shared" si="76"/>
        <v>-1.1662426101691861E-4</v>
      </c>
      <c r="M75" s="68">
        <f t="shared" si="76"/>
        <v>-1.1861141326080898E-4</v>
      </c>
      <c r="N75" s="68">
        <f t="shared" si="76"/>
        <v>-1.2070924173160351E-4</v>
      </c>
      <c r="O75" s="68">
        <f t="shared" si="76"/>
        <v>-1.2276578886197088E-4</v>
      </c>
      <c r="P75" s="68">
        <f t="shared" si="76"/>
        <v>-1.2463790604579422E-4</v>
      </c>
      <c r="Q75" s="68">
        <f t="shared" si="76"/>
        <v>-1.2622893905743041E-4</v>
      </c>
      <c r="R75" s="68">
        <f t="shared" si="76"/>
        <v>-1.2750307156188243E-4</v>
      </c>
      <c r="S75" s="68">
        <f t="shared" si="76"/>
        <v>-1.2847529121281536E-4</v>
      </c>
      <c r="T75" s="68">
        <f t="shared" si="76"/>
        <v>-1.2918995062837979E-4</v>
      </c>
      <c r="U75" s="68">
        <f t="shared" si="76"/>
        <v>-1.2970092177177047E-4</v>
      </c>
      <c r="V75" s="68">
        <f t="shared" si="76"/>
        <v>-1.3005903708324747E-4</v>
      </c>
      <c r="W75" s="68">
        <f t="shared" si="76"/>
        <v>-1.3030651677496533E-4</v>
      </c>
      <c r="X75" s="68">
        <f t="shared" si="76"/>
        <v>-1.3047587946039396E-4</v>
      </c>
      <c r="Y75" s="68">
        <f t="shared" si="76"/>
        <v>-1.305910091927601E-4</v>
      </c>
      <c r="Z75" s="68">
        <f t="shared" si="76"/>
        <v>-1.3066891620155716E-4</v>
      </c>
      <c r="AA75" s="68">
        <f t="shared" si="76"/>
        <v>-1.3072147235102815E-4</v>
      </c>
      <c r="AB75" s="68">
        <f t="shared" si="76"/>
        <v>-1.3075685288977524E-4</v>
      </c>
      <c r="AC75" s="68">
        <f t="shared" si="76"/>
        <v>-1.3078063744341263E-4</v>
      </c>
    </row>
    <row r="76" spans="1:29" x14ac:dyDescent="0.25">
      <c r="A76" s="30" t="str">
        <f t="shared" si="74"/>
        <v>Capex costumization</v>
      </c>
      <c r="B76" s="66">
        <f>((1+B35)^B43)*B35/(((1+B35)^B43)-1)*(B33)/B47/(B44)</f>
        <v>7.6311881817276459E-4</v>
      </c>
      <c r="C76" s="66">
        <f t="shared" ref="C76:AC76" si="77">((1+C35)^C43)*C35/(((1+C35)^C43)-1)*(C33)/C47/(C44)</f>
        <v>7.6311881817276459E-4</v>
      </c>
      <c r="D76" s="66">
        <f t="shared" si="77"/>
        <v>7.6311881817276459E-4</v>
      </c>
      <c r="E76" s="66">
        <f t="shared" si="77"/>
        <v>7.6311881817276459E-4</v>
      </c>
      <c r="F76" s="66">
        <f t="shared" si="77"/>
        <v>7.6311881817276459E-4</v>
      </c>
      <c r="G76" s="66">
        <f t="shared" si="77"/>
        <v>7.6311881817276459E-4</v>
      </c>
      <c r="H76" s="66">
        <f t="shared" si="77"/>
        <v>7.6311881817276459E-4</v>
      </c>
      <c r="I76" s="66">
        <f t="shared" si="77"/>
        <v>7.6311881817276459E-4</v>
      </c>
      <c r="J76" s="66">
        <f t="shared" si="77"/>
        <v>7.6311881817276459E-4</v>
      </c>
      <c r="K76" s="66">
        <f t="shared" si="77"/>
        <v>7.6311881817276459E-4</v>
      </c>
      <c r="L76" s="66">
        <f t="shared" si="77"/>
        <v>7.6311881817276459E-4</v>
      </c>
      <c r="M76" s="66">
        <f t="shared" si="77"/>
        <v>7.6311881817276459E-4</v>
      </c>
      <c r="N76" s="66">
        <f t="shared" si="77"/>
        <v>7.6311881817276459E-4</v>
      </c>
      <c r="O76" s="66">
        <f t="shared" si="77"/>
        <v>7.6311881817276459E-4</v>
      </c>
      <c r="P76" s="66">
        <f t="shared" si="77"/>
        <v>7.6311881817276459E-4</v>
      </c>
      <c r="Q76" s="66">
        <f t="shared" si="77"/>
        <v>7.6311881817276459E-4</v>
      </c>
      <c r="R76" s="66">
        <f t="shared" si="77"/>
        <v>7.6311881817276459E-4</v>
      </c>
      <c r="S76" s="66">
        <f t="shared" si="77"/>
        <v>7.6311881817276459E-4</v>
      </c>
      <c r="T76" s="66">
        <f t="shared" si="77"/>
        <v>7.6311881817276459E-4</v>
      </c>
      <c r="U76" s="66">
        <f t="shared" si="77"/>
        <v>7.6311881817276459E-4</v>
      </c>
      <c r="V76" s="66">
        <f t="shared" si="77"/>
        <v>7.6311881817276459E-4</v>
      </c>
      <c r="W76" s="66">
        <f t="shared" si="77"/>
        <v>7.6311881817276459E-4</v>
      </c>
      <c r="X76" s="66">
        <f t="shared" si="77"/>
        <v>7.6311881817276459E-4</v>
      </c>
      <c r="Y76" s="66">
        <f t="shared" si="77"/>
        <v>7.6311881817276459E-4</v>
      </c>
      <c r="Z76" s="66">
        <f t="shared" si="77"/>
        <v>7.6311881817276459E-4</v>
      </c>
      <c r="AA76" s="66">
        <f t="shared" si="77"/>
        <v>7.6311881817276459E-4</v>
      </c>
      <c r="AB76" s="66">
        <f t="shared" si="77"/>
        <v>7.6311881817276459E-4</v>
      </c>
      <c r="AC76" s="66">
        <f t="shared" si="77"/>
        <v>7.6311881817276459E-4</v>
      </c>
    </row>
    <row r="77" spans="1:29" x14ac:dyDescent="0.25">
      <c r="A77" s="30" t="str">
        <f t="shared" si="74"/>
        <v>Residual value (costumization)</v>
      </c>
      <c r="B77" s="69">
        <f>((1+B35)^B43)*B35/(((1+B35)^B43)-1)*(B34)/B47/(B44)</f>
        <v>-3.8155940908638231E-5</v>
      </c>
      <c r="C77" s="69">
        <f t="shared" ref="C77:AC77" si="78">((1+C35)^C43)*C35/(((1+C35)^C43)-1)*(C34)/C47/(C44)</f>
        <v>-3.8155940908638231E-5</v>
      </c>
      <c r="D77" s="69">
        <f t="shared" si="78"/>
        <v>-3.8155940908638231E-5</v>
      </c>
      <c r="E77" s="69">
        <f t="shared" si="78"/>
        <v>-3.8155940908638231E-5</v>
      </c>
      <c r="F77" s="69">
        <f t="shared" si="78"/>
        <v>-3.8155940908638231E-5</v>
      </c>
      <c r="G77" s="69">
        <f t="shared" si="78"/>
        <v>-3.8155940908638231E-5</v>
      </c>
      <c r="H77" s="69">
        <f t="shared" si="78"/>
        <v>-3.8155940908638231E-5</v>
      </c>
      <c r="I77" s="69">
        <f t="shared" si="78"/>
        <v>-3.8155940908638231E-5</v>
      </c>
      <c r="J77" s="69">
        <f t="shared" si="78"/>
        <v>-3.8155940908638231E-5</v>
      </c>
      <c r="K77" s="69">
        <f t="shared" si="78"/>
        <v>-3.8155940908638231E-5</v>
      </c>
      <c r="L77" s="69">
        <f t="shared" si="78"/>
        <v>-3.8155940908638231E-5</v>
      </c>
      <c r="M77" s="69">
        <f t="shared" si="78"/>
        <v>-3.8155940908638231E-5</v>
      </c>
      <c r="N77" s="69">
        <f t="shared" si="78"/>
        <v>-3.8155940908638231E-5</v>
      </c>
      <c r="O77" s="69">
        <f t="shared" si="78"/>
        <v>-3.8155940908638231E-5</v>
      </c>
      <c r="P77" s="69">
        <f t="shared" si="78"/>
        <v>-3.8155940908638231E-5</v>
      </c>
      <c r="Q77" s="69">
        <f t="shared" si="78"/>
        <v>-3.8155940908638231E-5</v>
      </c>
      <c r="R77" s="69">
        <f t="shared" si="78"/>
        <v>-3.8155940908638231E-5</v>
      </c>
      <c r="S77" s="69">
        <f t="shared" si="78"/>
        <v>-3.8155940908638231E-5</v>
      </c>
      <c r="T77" s="69">
        <f t="shared" si="78"/>
        <v>-3.8155940908638231E-5</v>
      </c>
      <c r="U77" s="69">
        <f t="shared" si="78"/>
        <v>-3.8155940908638231E-5</v>
      </c>
      <c r="V77" s="69">
        <f t="shared" si="78"/>
        <v>-3.8155940908638231E-5</v>
      </c>
      <c r="W77" s="69">
        <f t="shared" si="78"/>
        <v>-3.8155940908638231E-5</v>
      </c>
      <c r="X77" s="69">
        <f t="shared" si="78"/>
        <v>-3.8155940908638231E-5</v>
      </c>
      <c r="Y77" s="69">
        <f t="shared" si="78"/>
        <v>-3.8155940908638231E-5</v>
      </c>
      <c r="Z77" s="69">
        <f t="shared" si="78"/>
        <v>-3.8155940908638231E-5</v>
      </c>
      <c r="AA77" s="69">
        <f t="shared" si="78"/>
        <v>-3.8155940908638231E-5</v>
      </c>
      <c r="AB77" s="69">
        <f t="shared" si="78"/>
        <v>-3.8155940908638231E-5</v>
      </c>
      <c r="AC77" s="69">
        <f t="shared" si="78"/>
        <v>-3.8155940908638231E-5</v>
      </c>
    </row>
    <row r="78" spans="1:29" x14ac:dyDescent="0.25">
      <c r="A78" s="30" t="str">
        <f t="shared" si="74"/>
        <v>Opex fix (admin, crew, insurance)</v>
      </c>
      <c r="B78" s="66">
        <f>B36/B47/(B44)</f>
        <v>1.6256502601040416E-3</v>
      </c>
      <c r="C78" s="66">
        <f t="shared" ref="C78:AC78" si="79">C36/C47/(C44)</f>
        <v>1.6256502601040416E-3</v>
      </c>
      <c r="D78" s="66">
        <f t="shared" si="79"/>
        <v>1.6256502601040416E-3</v>
      </c>
      <c r="E78" s="66">
        <f t="shared" si="79"/>
        <v>1.6256502601040416E-3</v>
      </c>
      <c r="F78" s="66">
        <f t="shared" si="79"/>
        <v>1.6256502601040416E-3</v>
      </c>
      <c r="G78" s="66">
        <f t="shared" si="79"/>
        <v>1.6256502601040416E-3</v>
      </c>
      <c r="H78" s="66">
        <f t="shared" si="79"/>
        <v>1.6256502601040416E-3</v>
      </c>
      <c r="I78" s="66">
        <f t="shared" si="79"/>
        <v>1.6256502601040416E-3</v>
      </c>
      <c r="J78" s="66">
        <f t="shared" si="79"/>
        <v>1.6256502601040416E-3</v>
      </c>
      <c r="K78" s="66">
        <f t="shared" si="79"/>
        <v>1.6256502601040416E-3</v>
      </c>
      <c r="L78" s="66">
        <f t="shared" si="79"/>
        <v>1.6256502601040416E-3</v>
      </c>
      <c r="M78" s="66">
        <f t="shared" si="79"/>
        <v>1.6256502601040416E-3</v>
      </c>
      <c r="N78" s="66">
        <f t="shared" si="79"/>
        <v>1.6256502601040416E-3</v>
      </c>
      <c r="O78" s="66">
        <f t="shared" si="79"/>
        <v>1.6256502601040416E-3</v>
      </c>
      <c r="P78" s="66">
        <f t="shared" si="79"/>
        <v>1.6256502601040416E-3</v>
      </c>
      <c r="Q78" s="66">
        <f t="shared" si="79"/>
        <v>1.6256502601040416E-3</v>
      </c>
      <c r="R78" s="66">
        <f t="shared" si="79"/>
        <v>1.6256502601040416E-3</v>
      </c>
      <c r="S78" s="66">
        <f t="shared" si="79"/>
        <v>1.6256502601040416E-3</v>
      </c>
      <c r="T78" s="66">
        <f t="shared" si="79"/>
        <v>1.6256502601040416E-3</v>
      </c>
      <c r="U78" s="66">
        <f t="shared" si="79"/>
        <v>1.6256502601040416E-3</v>
      </c>
      <c r="V78" s="66">
        <f t="shared" si="79"/>
        <v>1.6256502601040416E-3</v>
      </c>
      <c r="W78" s="66">
        <f t="shared" si="79"/>
        <v>1.6256502601040416E-3</v>
      </c>
      <c r="X78" s="66">
        <f t="shared" si="79"/>
        <v>1.6256502601040416E-3</v>
      </c>
      <c r="Y78" s="66">
        <f t="shared" si="79"/>
        <v>1.6256502601040416E-3</v>
      </c>
      <c r="Z78" s="66">
        <f t="shared" si="79"/>
        <v>1.6256502601040416E-3</v>
      </c>
      <c r="AA78" s="66">
        <f t="shared" si="79"/>
        <v>1.6256502601040416E-3</v>
      </c>
      <c r="AB78" s="66">
        <f t="shared" si="79"/>
        <v>1.6256502601040416E-3</v>
      </c>
      <c r="AC78" s="66">
        <f t="shared" si="79"/>
        <v>1.6256502601040416E-3</v>
      </c>
    </row>
    <row r="79" spans="1:29" x14ac:dyDescent="0.25">
      <c r="A79" s="30" t="str">
        <f t="shared" si="74"/>
        <v>Opex maintenance &amp; repair</v>
      </c>
      <c r="B79" s="66">
        <f>B37/B47/(B44)</f>
        <v>3.4736649752972778E-3</v>
      </c>
      <c r="C79" s="66">
        <f t="shared" ref="C79:AC79" si="80">C37/C47/(C44)</f>
        <v>3.4617894207883393E-3</v>
      </c>
      <c r="D79" s="66">
        <f t="shared" si="80"/>
        <v>3.44492783576762E-3</v>
      </c>
      <c r="E79" s="66">
        <f t="shared" si="80"/>
        <v>3.4210956056357029E-3</v>
      </c>
      <c r="F79" s="66">
        <f t="shared" si="80"/>
        <v>3.387635584499539E-3</v>
      </c>
      <c r="G79" s="66">
        <f t="shared" si="80"/>
        <v>3.3411140087564748E-3</v>
      </c>
      <c r="H79" s="66">
        <f t="shared" si="80"/>
        <v>3.2773346687883435E-3</v>
      </c>
      <c r="I79" s="66">
        <f t="shared" si="80"/>
        <v>3.1916220701889431E-3</v>
      </c>
      <c r="J79" s="66">
        <f t="shared" si="80"/>
        <v>3.0795791453632469E-3</v>
      </c>
      <c r="K79" s="66">
        <f t="shared" si="80"/>
        <v>2.9384800192575641E-3</v>
      </c>
      <c r="L79" s="66">
        <f t="shared" si="80"/>
        <v>2.7691651181817939E-3</v>
      </c>
      <c r="M79" s="66">
        <f t="shared" si="80"/>
        <v>2.5777082888133671E-3</v>
      </c>
      <c r="N79" s="66">
        <f t="shared" si="80"/>
        <v>2.3755880995767228E-3</v>
      </c>
      <c r="O79" s="66">
        <f t="shared" si="80"/>
        <v>2.1774452576090466E-3</v>
      </c>
      <c r="P79" s="66">
        <f t="shared" si="80"/>
        <v>1.9970717500818881E-3</v>
      </c>
      <c r="Q79" s="66">
        <f t="shared" si="80"/>
        <v>1.8437799543652188E-3</v>
      </c>
      <c r="R79" s="66">
        <f t="shared" si="80"/>
        <v>1.7210206790013629E-3</v>
      </c>
      <c r="S79" s="66">
        <f t="shared" si="80"/>
        <v>1.6273499034532913E-3</v>
      </c>
      <c r="T79" s="66">
        <f t="shared" si="80"/>
        <v>1.5584943710184004E-3</v>
      </c>
      <c r="U79" s="66">
        <f t="shared" si="80"/>
        <v>1.5092636614373297E-3</v>
      </c>
      <c r="V79" s="66">
        <f t="shared" si="80"/>
        <v>1.4747602043949845E-3</v>
      </c>
      <c r="W79" s="66">
        <f t="shared" si="80"/>
        <v>1.4509161948305144E-3</v>
      </c>
      <c r="X79" s="66">
        <f t="shared" si="80"/>
        <v>1.4345985508929758E-3</v>
      </c>
      <c r="Y79" s="66">
        <f t="shared" si="80"/>
        <v>1.4235061076276786E-3</v>
      </c>
      <c r="Z79" s="66">
        <f t="shared" si="80"/>
        <v>1.4159999747001592E-3</v>
      </c>
      <c r="AA79" s="66">
        <f t="shared" si="80"/>
        <v>1.4109363295906981E-3</v>
      </c>
      <c r="AB79" s="66">
        <f t="shared" si="80"/>
        <v>1.4075275088570635E-3</v>
      </c>
      <c r="AC79" s="66">
        <f t="shared" si="80"/>
        <v>1.4052359304229719E-3</v>
      </c>
    </row>
    <row r="80" spans="1:29" x14ac:dyDescent="0.25">
      <c r="A80" s="30" t="str">
        <f t="shared" si="74"/>
        <v>Opex var (mode-fees, shunting)</v>
      </c>
      <c r="B80" s="66">
        <f>B38*B47/B47/(B44)</f>
        <v>1.7507002801120447E-3</v>
      </c>
      <c r="C80" s="66">
        <f t="shared" ref="C80:AC80" si="81">C38*C47/C47/(C44)</f>
        <v>1.7507002801120447E-3</v>
      </c>
      <c r="D80" s="66">
        <f t="shared" si="81"/>
        <v>1.7507002801120447E-3</v>
      </c>
      <c r="E80" s="66">
        <f t="shared" si="81"/>
        <v>1.7507002801120447E-3</v>
      </c>
      <c r="F80" s="66">
        <f t="shared" si="81"/>
        <v>1.7507002801120447E-3</v>
      </c>
      <c r="G80" s="66">
        <f t="shared" si="81"/>
        <v>1.7507002801120447E-3</v>
      </c>
      <c r="H80" s="66">
        <f t="shared" si="81"/>
        <v>1.7507002801120447E-3</v>
      </c>
      <c r="I80" s="66">
        <f t="shared" si="81"/>
        <v>1.7507002801120447E-3</v>
      </c>
      <c r="J80" s="66">
        <f t="shared" si="81"/>
        <v>1.7507002801120447E-3</v>
      </c>
      <c r="K80" s="66">
        <f t="shared" si="81"/>
        <v>1.7507002801120447E-3</v>
      </c>
      <c r="L80" s="66">
        <f t="shared" si="81"/>
        <v>1.7507002801120447E-3</v>
      </c>
      <c r="M80" s="66">
        <f t="shared" si="81"/>
        <v>1.7507002801120447E-3</v>
      </c>
      <c r="N80" s="66">
        <f t="shared" si="81"/>
        <v>1.7507002801120447E-3</v>
      </c>
      <c r="O80" s="66">
        <f t="shared" si="81"/>
        <v>1.7507002801120447E-3</v>
      </c>
      <c r="P80" s="66">
        <f t="shared" si="81"/>
        <v>1.7507002801120447E-3</v>
      </c>
      <c r="Q80" s="66">
        <f t="shared" si="81"/>
        <v>1.7507002801120447E-3</v>
      </c>
      <c r="R80" s="66">
        <f t="shared" si="81"/>
        <v>1.7507002801120447E-3</v>
      </c>
      <c r="S80" s="66">
        <f t="shared" si="81"/>
        <v>1.7507002801120447E-3</v>
      </c>
      <c r="T80" s="66">
        <f t="shared" si="81"/>
        <v>1.7507002801120447E-3</v>
      </c>
      <c r="U80" s="66">
        <f t="shared" si="81"/>
        <v>1.7507002801120447E-3</v>
      </c>
      <c r="V80" s="66">
        <f t="shared" si="81"/>
        <v>1.7507002801120447E-3</v>
      </c>
      <c r="W80" s="66">
        <f t="shared" si="81"/>
        <v>1.7507002801120447E-3</v>
      </c>
      <c r="X80" s="66">
        <f t="shared" si="81"/>
        <v>1.7507002801120447E-3</v>
      </c>
      <c r="Y80" s="66">
        <f t="shared" si="81"/>
        <v>1.7507002801120447E-3</v>
      </c>
      <c r="Z80" s="66">
        <f t="shared" si="81"/>
        <v>1.7507002801120447E-3</v>
      </c>
      <c r="AA80" s="66">
        <f t="shared" si="81"/>
        <v>1.7507002801120447E-3</v>
      </c>
      <c r="AB80" s="66">
        <f t="shared" si="81"/>
        <v>1.7507002801120447E-3</v>
      </c>
      <c r="AC80" s="66">
        <f t="shared" si="81"/>
        <v>1.7507002801120447E-3</v>
      </c>
    </row>
    <row r="81" spans="1:29" x14ac:dyDescent="0.25">
      <c r="A81" s="30" t="str">
        <f t="shared" si="74"/>
        <v>Fuel Cost</v>
      </c>
      <c r="B81" s="66">
        <f>B39*B40*B47/B47/(B44)</f>
        <v>5.4972181617018003E-3</v>
      </c>
      <c r="C81" s="66">
        <f t="shared" ref="C81:AC81" si="82">C39*C40*C47/C47/(C44)</f>
        <v>5.4746057044153581E-3</v>
      </c>
      <c r="D81" s="66">
        <f t="shared" si="82"/>
        <v>5.4425526639054617E-3</v>
      </c>
      <c r="E81" s="66">
        <f t="shared" si="82"/>
        <v>5.3973556648657245E-3</v>
      </c>
      <c r="F81" s="66">
        <f t="shared" si="82"/>
        <v>5.3341111845357095E-3</v>
      </c>
      <c r="G81" s="66">
        <f t="shared" si="82"/>
        <v>5.2465885110854552E-3</v>
      </c>
      <c r="H81" s="66">
        <f t="shared" si="82"/>
        <v>5.1273735857970976E-3</v>
      </c>
      <c r="I81" s="66">
        <f t="shared" si="82"/>
        <v>4.9685737818107711E-3</v>
      </c>
      <c r="J81" s="66">
        <f t="shared" si="82"/>
        <v>4.7634339068690955E-3</v>
      </c>
      <c r="K81" s="66">
        <f t="shared" si="82"/>
        <v>4.5090317434268237E-3</v>
      </c>
      <c r="L81" s="66">
        <f t="shared" si="82"/>
        <v>4.2095493390097152E-3</v>
      </c>
      <c r="M81" s="66">
        <f t="shared" si="82"/>
        <v>3.8785156354124296E-3</v>
      </c>
      <c r="N81" s="66">
        <f t="shared" si="82"/>
        <v>3.5378126638938596E-3</v>
      </c>
      <c r="O81" s="66">
        <f t="shared" si="82"/>
        <v>3.2125555211670758E-3</v>
      </c>
      <c r="P81" s="66">
        <f t="shared" si="82"/>
        <v>2.9239924152614752E-3</v>
      </c>
      <c r="Q81" s="66">
        <f t="shared" si="82"/>
        <v>2.6843923946760326E-3</v>
      </c>
      <c r="R81" s="66">
        <f t="shared" si="82"/>
        <v>2.4962507899589964E-3</v>
      </c>
      <c r="S81" s="66">
        <f t="shared" si="82"/>
        <v>2.3549248953087932E-3</v>
      </c>
      <c r="T81" s="66">
        <f t="shared" si="82"/>
        <v>2.252272477411514E-3</v>
      </c>
      <c r="U81" s="66">
        <f t="shared" si="82"/>
        <v>2.179518241734151E-3</v>
      </c>
      <c r="V81" s="66">
        <f t="shared" si="82"/>
        <v>2.1288467041995708E-3</v>
      </c>
      <c r="W81" s="66">
        <f t="shared" si="82"/>
        <v>2.0939828988456172E-3</v>
      </c>
      <c r="X81" s="66">
        <f t="shared" si="82"/>
        <v>2.0701960911945149E-3</v>
      </c>
      <c r="Y81" s="66">
        <f t="shared" si="82"/>
        <v>2.0540597553658051E-3</v>
      </c>
      <c r="Z81" s="66">
        <f t="shared" si="82"/>
        <v>2.0431558634905209E-3</v>
      </c>
      <c r="AA81" s="66">
        <f t="shared" si="82"/>
        <v>2.0358071020011325E-3</v>
      </c>
      <c r="AB81" s="66">
        <f t="shared" si="82"/>
        <v>2.0308631355362185E-3</v>
      </c>
      <c r="AC81" s="66">
        <f t="shared" si="82"/>
        <v>2.0275409957600308E-3</v>
      </c>
    </row>
    <row r="82" spans="1:29" x14ac:dyDescent="0.25">
      <c r="A82" s="59" t="str">
        <f>A45</f>
        <v>Market failure (av. utilization)</v>
      </c>
      <c r="B82" s="66">
        <f t="shared" ref="B82:AC82" si="83">B71/B45-B71/B44</f>
        <v>8.5955079008395684E-3</v>
      </c>
      <c r="C82" s="66">
        <f t="shared" si="83"/>
        <v>8.5718370695805329E-3</v>
      </c>
      <c r="D82" s="66">
        <f t="shared" si="83"/>
        <v>8.5382574354627011E-3</v>
      </c>
      <c r="E82" s="66">
        <f t="shared" si="83"/>
        <v>8.4908549439423105E-3</v>
      </c>
      <c r="F82" s="66">
        <f t="shared" si="83"/>
        <v>8.4244193791831162E-3</v>
      </c>
      <c r="G82" s="66">
        <f t="shared" si="83"/>
        <v>8.3322759807872553E-3</v>
      </c>
      <c r="H82" s="66">
        <f t="shared" si="83"/>
        <v>8.2063776254654285E-3</v>
      </c>
      <c r="I82" s="66">
        <f t="shared" si="83"/>
        <v>8.0379591337965215E-3</v>
      </c>
      <c r="J82" s="66">
        <f t="shared" si="83"/>
        <v>7.8191396158592275E-3</v>
      </c>
      <c r="K82" s="66">
        <f t="shared" si="83"/>
        <v>7.5457152778750178E-3</v>
      </c>
      <c r="L82" s="66">
        <f t="shared" si="83"/>
        <v>7.2207382408527761E-3</v>
      </c>
      <c r="M82" s="66">
        <f t="shared" si="83"/>
        <v>6.8573097891166251E-3</v>
      </c>
      <c r="N82" s="66">
        <f t="shared" si="83"/>
        <v>6.4781846824048545E-3</v>
      </c>
      <c r="O82" s="66">
        <f t="shared" si="83"/>
        <v>6.1108469902642175E-3</v>
      </c>
      <c r="P82" s="66">
        <f t="shared" si="83"/>
        <v>5.7798611947340282E-3</v>
      </c>
      <c r="Q82" s="66">
        <f t="shared" si="83"/>
        <v>5.5007009976363926E-3</v>
      </c>
      <c r="R82" s="66">
        <f t="shared" si="83"/>
        <v>5.2780679818595581E-3</v>
      </c>
      <c r="S82" s="66">
        <f t="shared" si="83"/>
        <v>5.1082658696995058E-3</v>
      </c>
      <c r="T82" s="66">
        <f t="shared" si="83"/>
        <v>4.9830974717418822E-3</v>
      </c>
      <c r="U82" s="66">
        <f t="shared" si="83"/>
        <v>4.8931490882688049E-3</v>
      </c>
      <c r="V82" s="66">
        <f t="shared" si="83"/>
        <v>4.8297215819577462E-3</v>
      </c>
      <c r="W82" s="66">
        <f t="shared" si="83"/>
        <v>4.7856211464492576E-3</v>
      </c>
      <c r="X82" s="66">
        <f t="shared" si="83"/>
        <v>4.7552781751517264E-3</v>
      </c>
      <c r="Y82" s="66">
        <f t="shared" si="83"/>
        <v>4.7345613140385677E-3</v>
      </c>
      <c r="Z82" s="66">
        <f t="shared" si="83"/>
        <v>4.7204955588177715E-3</v>
      </c>
      <c r="AA82" s="66">
        <f t="shared" si="83"/>
        <v>4.7109835110080156E-3</v>
      </c>
      <c r="AB82" s="66">
        <f t="shared" si="83"/>
        <v>4.7045688540769213E-3</v>
      </c>
      <c r="AC82" s="66">
        <f t="shared" si="83"/>
        <v>4.7002513363276176E-3</v>
      </c>
    </row>
    <row r="83" spans="1:29" x14ac:dyDescent="0.25">
      <c r="A83" s="59" t="str">
        <f>A46</f>
        <v>Payload loss (fuel)</v>
      </c>
      <c r="B83" s="66">
        <f>B71/(B44-B46)-B71/B44</f>
        <v>2.7783459881501604E-4</v>
      </c>
      <c r="C83" s="66">
        <f t="shared" ref="C83:AC83" si="84">C71/(C44-C46)-C71/C44</f>
        <v>2.7706948103694597E-4</v>
      </c>
      <c r="D83" s="66">
        <f t="shared" si="84"/>
        <v>2.7598407872202538E-4</v>
      </c>
      <c r="E83" s="66">
        <f t="shared" si="84"/>
        <v>2.7445187697591397E-4</v>
      </c>
      <c r="F83" s="66">
        <f t="shared" si="84"/>
        <v>2.7230446478167594E-4</v>
      </c>
      <c r="G83" s="66">
        <f t="shared" si="84"/>
        <v>2.6932609230827416E-4</v>
      </c>
      <c r="H83" s="66">
        <f t="shared" si="84"/>
        <v>2.6525665052009456E-4</v>
      </c>
      <c r="I83" s="66">
        <f t="shared" si="84"/>
        <v>2.5981282048635236E-4</v>
      </c>
      <c r="J83" s="66">
        <f t="shared" si="84"/>
        <v>2.5273986637120577E-4</v>
      </c>
      <c r="K83" s="66">
        <f t="shared" si="84"/>
        <v>2.4390190797171814E-4</v>
      </c>
      <c r="L83" s="66">
        <f t="shared" si="84"/>
        <v>2.333975997043311E-4</v>
      </c>
      <c r="M83" s="66">
        <f t="shared" si="84"/>
        <v>2.2165041742599166E-4</v>
      </c>
      <c r="N83" s="66">
        <f t="shared" si="84"/>
        <v>2.0939586852217716E-4</v>
      </c>
      <c r="O83" s="66">
        <f t="shared" si="84"/>
        <v>1.9752232695803389E-4</v>
      </c>
      <c r="P83" s="66">
        <f t="shared" si="84"/>
        <v>1.8682379619342285E-4</v>
      </c>
      <c r="Q83" s="66">
        <f t="shared" si="84"/>
        <v>1.7780043628723777E-4</v>
      </c>
      <c r="R83" s="66">
        <f t="shared" si="84"/>
        <v>1.7060421759546203E-4</v>
      </c>
      <c r="S83" s="66">
        <f t="shared" si="84"/>
        <v>1.6511566447513677E-4</v>
      </c>
      <c r="T83" s="66">
        <f t="shared" si="84"/>
        <v>1.6106981726842461E-4</v>
      </c>
      <c r="U83" s="66">
        <f t="shared" si="84"/>
        <v>1.5816239477232409E-4</v>
      </c>
      <c r="V83" s="66">
        <f t="shared" si="84"/>
        <v>1.5611221275014901E-4</v>
      </c>
      <c r="W83" s="66">
        <f t="shared" si="84"/>
        <v>1.5468674412765296E-4</v>
      </c>
      <c r="X83" s="66">
        <f t="shared" si="84"/>
        <v>1.5370596121702489E-4</v>
      </c>
      <c r="Y83" s="66">
        <f t="shared" si="84"/>
        <v>1.5303632530225784E-4</v>
      </c>
      <c r="Z83" s="66">
        <f t="shared" si="84"/>
        <v>1.5258167462845265E-4</v>
      </c>
      <c r="AA83" s="66">
        <f t="shared" si="84"/>
        <v>1.5227421449722812E-4</v>
      </c>
      <c r="AB83" s="66">
        <f t="shared" si="84"/>
        <v>1.5206687205097241E-4</v>
      </c>
      <c r="AC83" s="66">
        <f t="shared" si="84"/>
        <v>1.5192731592169988E-4</v>
      </c>
    </row>
    <row r="84" spans="1:29" ht="15.75" thickBot="1" x14ac:dyDescent="0.3">
      <c r="A84" s="59" t="str">
        <f>A21</f>
        <v>Emission Cost</v>
      </c>
      <c r="B84" s="68">
        <f>B41*B47/B47/(B44)</f>
        <v>7.8492804144973097E-5</v>
      </c>
      <c r="C84" s="68">
        <f t="shared" ref="C84:AC84" si="85">C41*C47/C47/(C44)</f>
        <v>7.8418059870522812E-5</v>
      </c>
      <c r="D84" s="68">
        <f t="shared" si="85"/>
        <v>7.8311065106441712E-5</v>
      </c>
      <c r="E84" s="68">
        <f t="shared" si="85"/>
        <v>7.8158001572215522E-5</v>
      </c>
      <c r="F84" s="68">
        <f t="shared" si="85"/>
        <v>7.7939240006660596E-5</v>
      </c>
      <c r="G84" s="68">
        <f t="shared" si="85"/>
        <v>7.7627019976278912E-5</v>
      </c>
      <c r="H84" s="68">
        <f t="shared" si="85"/>
        <v>7.7182342057057613E-5</v>
      </c>
      <c r="I84" s="68">
        <f t="shared" si="85"/>
        <v>7.6550963157138264E-5</v>
      </c>
      <c r="J84" s="68">
        <f t="shared" si="85"/>
        <v>7.5658569753740809E-5</v>
      </c>
      <c r="K84" s="68">
        <f t="shared" si="85"/>
        <v>7.4405665515481418E-5</v>
      </c>
      <c r="L84" s="68">
        <f t="shared" si="85"/>
        <v>7.2663673805978507E-5</v>
      </c>
      <c r="M84" s="68">
        <f t="shared" si="85"/>
        <v>7.027546834028947E-5</v>
      </c>
      <c r="N84" s="68">
        <f t="shared" si="85"/>
        <v>6.7065976104154992E-5</v>
      </c>
      <c r="O84" s="68">
        <f t="shared" si="85"/>
        <v>6.2870549723226371E-5</v>
      </c>
      <c r="P84" s="68">
        <f t="shared" si="85"/>
        <v>5.7587119315543959E-5</v>
      </c>
      <c r="Q84" s="68">
        <f t="shared" si="85"/>
        <v>5.1247154487218644E-5</v>
      </c>
      <c r="R84" s="68">
        <f t="shared" si="85"/>
        <v>4.4078089291974538E-5</v>
      </c>
      <c r="S84" s="68">
        <f t="shared" si="85"/>
        <v>3.6509736579289694E-5</v>
      </c>
      <c r="T84" s="68">
        <f t="shared" si="85"/>
        <v>2.9090314891783792E-5</v>
      </c>
      <c r="U84" s="68">
        <f t="shared" si="85"/>
        <v>2.2336262611576661E-5</v>
      </c>
      <c r="V84" s="68">
        <f t="shared" si="85"/>
        <v>1.6596279968940909E-5</v>
      </c>
      <c r="W84" s="68">
        <f t="shared" si="85"/>
        <v>1.1999581844838692E-5</v>
      </c>
      <c r="X84" s="68">
        <f t="shared" si="85"/>
        <v>8.4920971601270772E-6</v>
      </c>
      <c r="Y84" s="68">
        <f t="shared" si="85"/>
        <v>5.9138146161856922E-6</v>
      </c>
      <c r="Z84" s="68">
        <f t="shared" si="85"/>
        <v>4.0703798964157678E-6</v>
      </c>
      <c r="AA84" s="68">
        <f t="shared" si="85"/>
        <v>2.778404395652214E-6</v>
      </c>
      <c r="AB84" s="68">
        <f t="shared" si="85"/>
        <v>1.885569913604225E-6</v>
      </c>
      <c r="AC84" s="68">
        <f t="shared" si="85"/>
        <v>1.2745587858899847E-6</v>
      </c>
    </row>
    <row r="85" spans="1:29" ht="15.75" thickBot="1" x14ac:dyDescent="0.3">
      <c r="A85" s="31" t="s">
        <v>210</v>
      </c>
      <c r="B85" s="77">
        <f>B74+B75+B76+B77+B78+B79+B80+B81+B82+B83+B84</f>
        <v>2.4077933552663213E-2</v>
      </c>
      <c r="C85" s="77">
        <f t="shared" ref="C85:AC85" si="86">C74+C75+C76+C77+C78+C79+C80+C81+C82+C83+C84</f>
        <v>2.4011416125832262E-2</v>
      </c>
      <c r="D85" s="77">
        <f t="shared" si="86"/>
        <v>2.3917053962078924E-2</v>
      </c>
      <c r="E85" s="77">
        <f t="shared" si="86"/>
        <v>2.3783848172776175E-2</v>
      </c>
      <c r="F85" s="77">
        <f t="shared" si="86"/>
        <v>2.3597157525139727E-2</v>
      </c>
      <c r="G85" s="77">
        <f t="shared" si="86"/>
        <v>2.3338225268233374E-2</v>
      </c>
      <c r="H85" s="77">
        <f t="shared" si="86"/>
        <v>2.2984438172773462E-2</v>
      </c>
      <c r="I85" s="77">
        <f t="shared" si="86"/>
        <v>2.2511165199214971E-2</v>
      </c>
      <c r="J85" s="77">
        <f t="shared" si="86"/>
        <v>2.1896260250829563E-2</v>
      </c>
      <c r="K85" s="77">
        <f t="shared" si="86"/>
        <v>2.1127910242473937E-2</v>
      </c>
      <c r="L85" s="77">
        <f t="shared" si="86"/>
        <v>2.0214691942478102E-2</v>
      </c>
      <c r="M85" s="77">
        <f t="shared" si="86"/>
        <v>1.9193421283154901E-2</v>
      </c>
      <c r="N85" s="77">
        <f t="shared" si="86"/>
        <v>1.8128041437829499E-2</v>
      </c>
      <c r="O85" s="77">
        <f t="shared" si="86"/>
        <v>1.709578541809692E-2</v>
      </c>
      <c r="P85" s="77">
        <f t="shared" si="86"/>
        <v>1.6165681899748454E-2</v>
      </c>
      <c r="Q85" s="77">
        <f t="shared" si="86"/>
        <v>1.538121354790439E-2</v>
      </c>
      <c r="R85" s="77">
        <f t="shared" si="86"/>
        <v>1.4755592285388069E-2</v>
      </c>
      <c r="S85" s="77">
        <f t="shared" si="86"/>
        <v>1.4278431198489821E-2</v>
      </c>
      <c r="T85" s="77">
        <f t="shared" si="86"/>
        <v>1.392669535695638E-2</v>
      </c>
      <c r="U85" s="77">
        <f t="shared" si="86"/>
        <v>1.367393131370173E-2</v>
      </c>
      <c r="V85" s="77">
        <f t="shared" si="86"/>
        <v>1.3495693614148839E-2</v>
      </c>
      <c r="W85" s="77">
        <f t="shared" si="86"/>
        <v>1.3371766935780538E-2</v>
      </c>
      <c r="X85" s="77">
        <f t="shared" si="86"/>
        <v>1.3286500121487882E-2</v>
      </c>
      <c r="Y85" s="77">
        <f t="shared" si="86"/>
        <v>1.322828364914767E-2</v>
      </c>
      <c r="Z85" s="77">
        <f t="shared" si="86"/>
        <v>1.3188757456193878E-2</v>
      </c>
      <c r="AA85" s="77">
        <f t="shared" si="86"/>
        <v>1.3162027641035553E-2</v>
      </c>
      <c r="AB85" s="77">
        <f t="shared" si="86"/>
        <v>1.3144001807114034E-2</v>
      </c>
      <c r="AC85" s="77">
        <f t="shared" si="86"/>
        <v>1.3131869146125583E-2</v>
      </c>
    </row>
    <row r="87" spans="1:29" x14ac:dyDescent="0.25">
      <c r="B87" s="40"/>
    </row>
    <row r="107" spans="1:2" s="3" customFormat="1" ht="21" x14ac:dyDescent="0.35">
      <c r="A107" s="2" t="str">
        <f>'Parameter Input'!A102</f>
        <v>Railway long-haul: Liquid bulk</v>
      </c>
    </row>
    <row r="108" spans="1:2" s="3" customFormat="1" ht="21" x14ac:dyDescent="0.35">
      <c r="A108" s="2" t="s">
        <v>103</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Input'!$L$127</f>
        <v>10000000</v>
      </c>
      <c r="C117" s="42">
        <f>'Parameter Input'!$M$127</f>
        <v>4000000</v>
      </c>
      <c r="D117" s="1" t="s">
        <v>15</v>
      </c>
      <c r="L117" s="51">
        <f>'Parameter Input'!$O$127</f>
        <v>12</v>
      </c>
      <c r="M117" s="52">
        <v>0</v>
      </c>
      <c r="N117" s="52">
        <v>1</v>
      </c>
      <c r="O117" s="52">
        <f>'Parameter Input'!$P$127</f>
        <v>0.9</v>
      </c>
      <c r="P117" s="53">
        <f>'Parameter Input'!$Q$127</f>
        <v>0.4</v>
      </c>
      <c r="Q117" s="4">
        <f t="shared" ref="Q117:AR126" si="87">$N117+($M117-$N117)*((1/(1+EXP(-$P117*(Q$9-$L117)))^$O117))</f>
        <v>0.9867978615748374</v>
      </c>
      <c r="R117" s="4">
        <f t="shared" si="87"/>
        <v>0.98114509762858249</v>
      </c>
      <c r="S117" s="4">
        <f t="shared" si="87"/>
        <v>0.97311898315872036</v>
      </c>
      <c r="T117" s="4">
        <f t="shared" si="87"/>
        <v>0.96177484161592774</v>
      </c>
      <c r="U117" s="4">
        <f t="shared" si="87"/>
        <v>0.94584787155511363</v>
      </c>
      <c r="V117" s="4">
        <f t="shared" si="87"/>
        <v>0.92370360150141495</v>
      </c>
      <c r="W117" s="4">
        <f t="shared" si="87"/>
        <v>0.89334463567658451</v>
      </c>
      <c r="X117" s="4">
        <f t="shared" si="87"/>
        <v>0.85254543874327005</v>
      </c>
      <c r="Y117" s="4">
        <f t="shared" si="87"/>
        <v>0.79921300652623883</v>
      </c>
      <c r="Z117" s="4">
        <f t="shared" si="87"/>
        <v>0.73204982249993378</v>
      </c>
      <c r="AA117" s="4">
        <f t="shared" si="87"/>
        <v>0.65145592958786691</v>
      </c>
      <c r="AB117" s="4">
        <f t="shared" si="87"/>
        <v>0.56032247880849573</v>
      </c>
      <c r="AC117" s="4">
        <f t="shared" si="87"/>
        <v>0.46411326873185343</v>
      </c>
      <c r="AD117" s="4">
        <f t="shared" si="87"/>
        <v>0.36979727595523937</v>
      </c>
      <c r="AE117" s="4">
        <f t="shared" si="87"/>
        <v>0.28393948637231203</v>
      </c>
      <c r="AF117" s="4">
        <f t="shared" si="87"/>
        <v>0.21097259161117732</v>
      </c>
      <c r="AG117" s="4">
        <f t="shared" si="87"/>
        <v>0.15253917653798199</v>
      </c>
      <c r="AH117" s="4">
        <f t="shared" si="87"/>
        <v>0.10795188737709993</v>
      </c>
      <c r="AI117" s="4">
        <f t="shared" si="87"/>
        <v>7.5176653938091809E-2</v>
      </c>
      <c r="AJ117" s="4">
        <f t="shared" si="87"/>
        <v>5.1742836177502194E-2</v>
      </c>
      <c r="AK117" s="4">
        <f t="shared" si="87"/>
        <v>3.5319190625345942E-2</v>
      </c>
      <c r="AL117" s="4">
        <f t="shared" si="87"/>
        <v>2.3969442072658165E-2</v>
      </c>
      <c r="AM117" s="4">
        <f t="shared" si="87"/>
        <v>1.6202243558389728E-2</v>
      </c>
      <c r="AN117" s="4">
        <f t="shared" si="87"/>
        <v>1.0922240564108399E-2</v>
      </c>
      <c r="AO117" s="4">
        <f t="shared" si="87"/>
        <v>7.3493212906090566E-3</v>
      </c>
      <c r="AP117" s="4">
        <f t="shared" si="87"/>
        <v>4.9390262185057265E-3</v>
      </c>
      <c r="AQ117" s="4">
        <f t="shared" si="87"/>
        <v>3.3164275492956197E-3</v>
      </c>
      <c r="AR117" s="4">
        <f t="shared" si="87"/>
        <v>2.2256362146679809E-3</v>
      </c>
    </row>
    <row r="118" spans="1:44" x14ac:dyDescent="0.25">
      <c r="A118" s="24" t="s">
        <v>28</v>
      </c>
      <c r="B118" s="60">
        <f>'Parameter Input'!$L$128</f>
        <v>-500000</v>
      </c>
      <c r="C118" s="61">
        <f>'Parameter Input'!$M$128</f>
        <v>-600000</v>
      </c>
      <c r="D118" s="1" t="s">
        <v>15</v>
      </c>
      <c r="L118" s="54">
        <f>'Parameter Input'!$O$128</f>
        <v>12</v>
      </c>
      <c r="M118" s="37">
        <v>0</v>
      </c>
      <c r="N118" s="37">
        <v>1</v>
      </c>
      <c r="O118" s="37">
        <f>'Parameter Input'!$P$128</f>
        <v>0.9</v>
      </c>
      <c r="P118" s="55">
        <f>'Parameter Input'!$Q$128</f>
        <v>0.4</v>
      </c>
      <c r="Q118" s="4">
        <f t="shared" si="87"/>
        <v>0.9867978615748374</v>
      </c>
      <c r="R118" s="4">
        <f t="shared" si="87"/>
        <v>0.98114509762858249</v>
      </c>
      <c r="S118" s="4">
        <f t="shared" si="87"/>
        <v>0.97311898315872036</v>
      </c>
      <c r="T118" s="4">
        <f t="shared" si="87"/>
        <v>0.96177484161592774</v>
      </c>
      <c r="U118" s="4">
        <f t="shared" si="87"/>
        <v>0.94584787155511363</v>
      </c>
      <c r="V118" s="4">
        <f t="shared" si="87"/>
        <v>0.92370360150141495</v>
      </c>
      <c r="W118" s="4">
        <f t="shared" si="87"/>
        <v>0.89334463567658451</v>
      </c>
      <c r="X118" s="4">
        <f t="shared" si="87"/>
        <v>0.85254543874327005</v>
      </c>
      <c r="Y118" s="4">
        <f t="shared" si="87"/>
        <v>0.79921300652623883</v>
      </c>
      <c r="Z118" s="4">
        <f t="shared" si="87"/>
        <v>0.73204982249993378</v>
      </c>
      <c r="AA118" s="4">
        <f t="shared" si="87"/>
        <v>0.65145592958786691</v>
      </c>
      <c r="AB118" s="4">
        <f t="shared" si="87"/>
        <v>0.56032247880849573</v>
      </c>
      <c r="AC118" s="4">
        <f t="shared" si="87"/>
        <v>0.46411326873185343</v>
      </c>
      <c r="AD118" s="4">
        <f t="shared" si="87"/>
        <v>0.36979727595523937</v>
      </c>
      <c r="AE118" s="4">
        <f t="shared" si="87"/>
        <v>0.28393948637231203</v>
      </c>
      <c r="AF118" s="4">
        <f t="shared" si="87"/>
        <v>0.21097259161117732</v>
      </c>
      <c r="AG118" s="4">
        <f t="shared" si="87"/>
        <v>0.15253917653798199</v>
      </c>
      <c r="AH118" s="4">
        <f t="shared" si="87"/>
        <v>0.10795188737709993</v>
      </c>
      <c r="AI118" s="4">
        <f t="shared" si="87"/>
        <v>7.5176653938091809E-2</v>
      </c>
      <c r="AJ118" s="4">
        <f t="shared" si="87"/>
        <v>5.1742836177502194E-2</v>
      </c>
      <c r="AK118" s="4">
        <f t="shared" si="87"/>
        <v>3.5319190625345942E-2</v>
      </c>
      <c r="AL118" s="4">
        <f t="shared" si="87"/>
        <v>2.3969442072658165E-2</v>
      </c>
      <c r="AM118" s="4">
        <f t="shared" si="87"/>
        <v>1.6202243558389728E-2</v>
      </c>
      <c r="AN118" s="4">
        <f t="shared" si="87"/>
        <v>1.0922240564108399E-2</v>
      </c>
      <c r="AO118" s="4">
        <f t="shared" si="87"/>
        <v>7.3493212906090566E-3</v>
      </c>
      <c r="AP118" s="4">
        <f t="shared" si="87"/>
        <v>4.9390262185057265E-3</v>
      </c>
      <c r="AQ118" s="4">
        <f t="shared" si="87"/>
        <v>3.3164275492956197E-3</v>
      </c>
      <c r="AR118" s="4">
        <f t="shared" si="87"/>
        <v>2.2256362146679809E-3</v>
      </c>
    </row>
    <row r="119" spans="1:44" x14ac:dyDescent="0.25">
      <c r="A119" s="24" t="s">
        <v>14</v>
      </c>
      <c r="B119" s="43">
        <f>'Parameter Input'!B103</f>
        <v>5600000</v>
      </c>
      <c r="C119" s="44">
        <f>'Parameter Input'!C103</f>
        <v>5600000</v>
      </c>
      <c r="D119" s="1" t="s">
        <v>15</v>
      </c>
      <c r="L119" s="54">
        <f>'Parameter Input'!E91</f>
        <v>12</v>
      </c>
      <c r="M119" s="37">
        <v>0</v>
      </c>
      <c r="N119" s="37">
        <v>1</v>
      </c>
      <c r="O119" s="37">
        <f>'Parameter Input'!F91</f>
        <v>0.9</v>
      </c>
      <c r="P119" s="55">
        <f>'Parameter Input'!G91</f>
        <v>0.4</v>
      </c>
      <c r="Q119" s="4">
        <f t="shared" si="87"/>
        <v>0.9867978615748374</v>
      </c>
      <c r="R119" s="4">
        <f t="shared" si="87"/>
        <v>0.98114509762858249</v>
      </c>
      <c r="S119" s="4">
        <f t="shared" si="87"/>
        <v>0.97311898315872036</v>
      </c>
      <c r="T119" s="4">
        <f t="shared" si="87"/>
        <v>0.96177484161592774</v>
      </c>
      <c r="U119" s="4">
        <f t="shared" si="87"/>
        <v>0.94584787155511363</v>
      </c>
      <c r="V119" s="4">
        <f t="shared" si="87"/>
        <v>0.92370360150141495</v>
      </c>
      <c r="W119" s="4">
        <f t="shared" si="87"/>
        <v>0.89334463567658451</v>
      </c>
      <c r="X119" s="4">
        <f t="shared" si="87"/>
        <v>0.85254543874327005</v>
      </c>
      <c r="Y119" s="4">
        <f t="shared" si="87"/>
        <v>0.79921300652623883</v>
      </c>
      <c r="Z119" s="4">
        <f t="shared" si="87"/>
        <v>0.73204982249993378</v>
      </c>
      <c r="AA119" s="4">
        <f t="shared" si="87"/>
        <v>0.65145592958786691</v>
      </c>
      <c r="AB119" s="4">
        <f t="shared" si="87"/>
        <v>0.56032247880849573</v>
      </c>
      <c r="AC119" s="4">
        <f t="shared" si="87"/>
        <v>0.46411326873185343</v>
      </c>
      <c r="AD119" s="4">
        <f t="shared" si="87"/>
        <v>0.36979727595523937</v>
      </c>
      <c r="AE119" s="4">
        <f t="shared" si="87"/>
        <v>0.28393948637231203</v>
      </c>
      <c r="AF119" s="4">
        <f t="shared" si="87"/>
        <v>0.21097259161117732</v>
      </c>
      <c r="AG119" s="4">
        <f t="shared" si="87"/>
        <v>0.15253917653798199</v>
      </c>
      <c r="AH119" s="4">
        <f t="shared" si="87"/>
        <v>0.10795188737709993</v>
      </c>
      <c r="AI119" s="4">
        <f t="shared" si="87"/>
        <v>7.5176653938091809E-2</v>
      </c>
      <c r="AJ119" s="4">
        <f t="shared" si="87"/>
        <v>5.1742836177502194E-2</v>
      </c>
      <c r="AK119" s="4">
        <f t="shared" si="87"/>
        <v>3.5319190625345942E-2</v>
      </c>
      <c r="AL119" s="4">
        <f t="shared" si="87"/>
        <v>2.3969442072658165E-2</v>
      </c>
      <c r="AM119" s="4">
        <f t="shared" si="87"/>
        <v>1.6202243558389728E-2</v>
      </c>
      <c r="AN119" s="4">
        <f t="shared" si="87"/>
        <v>1.0922240564108399E-2</v>
      </c>
      <c r="AO119" s="4">
        <f t="shared" si="87"/>
        <v>7.3493212906090566E-3</v>
      </c>
      <c r="AP119" s="4">
        <f t="shared" si="87"/>
        <v>4.9390262185057265E-3</v>
      </c>
      <c r="AQ119" s="4">
        <f t="shared" si="87"/>
        <v>3.3164275492956197E-3</v>
      </c>
      <c r="AR119" s="4">
        <f t="shared" si="87"/>
        <v>2.2256362146679809E-3</v>
      </c>
    </row>
    <row r="120" spans="1:44" x14ac:dyDescent="0.25">
      <c r="A120" s="24" t="s">
        <v>25</v>
      </c>
      <c r="B120" s="60">
        <f>'Parameter Input'!B104</f>
        <v>-280000</v>
      </c>
      <c r="C120" s="61">
        <f>'Parameter Input'!C104</f>
        <v>-280000</v>
      </c>
      <c r="D120" s="1" t="s">
        <v>15</v>
      </c>
      <c r="L120" s="54">
        <f>'Parameter Input'!E92</f>
        <v>12</v>
      </c>
      <c r="M120" s="37">
        <v>0</v>
      </c>
      <c r="N120" s="37">
        <v>1</v>
      </c>
      <c r="O120" s="37">
        <f>'Parameter Input'!F92</f>
        <v>0.9</v>
      </c>
      <c r="P120" s="55">
        <f>'Parameter Input'!G92</f>
        <v>0.4</v>
      </c>
      <c r="Q120" s="4">
        <f t="shared" si="87"/>
        <v>0.9867978615748374</v>
      </c>
      <c r="R120" s="4">
        <f t="shared" si="87"/>
        <v>0.98114509762858249</v>
      </c>
      <c r="S120" s="4">
        <f t="shared" si="87"/>
        <v>0.97311898315872036</v>
      </c>
      <c r="T120" s="4">
        <f t="shared" si="87"/>
        <v>0.96177484161592774</v>
      </c>
      <c r="U120" s="4">
        <f t="shared" si="87"/>
        <v>0.94584787155511363</v>
      </c>
      <c r="V120" s="4">
        <f t="shared" si="87"/>
        <v>0.92370360150141495</v>
      </c>
      <c r="W120" s="4">
        <f t="shared" si="87"/>
        <v>0.89334463567658451</v>
      </c>
      <c r="X120" s="4">
        <f t="shared" si="87"/>
        <v>0.85254543874327005</v>
      </c>
      <c r="Y120" s="4">
        <f t="shared" si="87"/>
        <v>0.79921300652623883</v>
      </c>
      <c r="Z120" s="4">
        <f t="shared" si="87"/>
        <v>0.73204982249993378</v>
      </c>
      <c r="AA120" s="4">
        <f t="shared" si="87"/>
        <v>0.65145592958786691</v>
      </c>
      <c r="AB120" s="4">
        <f t="shared" si="87"/>
        <v>0.56032247880849573</v>
      </c>
      <c r="AC120" s="4">
        <f t="shared" si="87"/>
        <v>0.46411326873185343</v>
      </c>
      <c r="AD120" s="4">
        <f t="shared" si="87"/>
        <v>0.36979727595523937</v>
      </c>
      <c r="AE120" s="4">
        <f t="shared" si="87"/>
        <v>0.28393948637231203</v>
      </c>
      <c r="AF120" s="4">
        <f t="shared" si="87"/>
        <v>0.21097259161117732</v>
      </c>
      <c r="AG120" s="4">
        <f t="shared" si="87"/>
        <v>0.15253917653798199</v>
      </c>
      <c r="AH120" s="4">
        <f t="shared" si="87"/>
        <v>0.10795188737709993</v>
      </c>
      <c r="AI120" s="4">
        <f t="shared" si="87"/>
        <v>7.5176653938091809E-2</v>
      </c>
      <c r="AJ120" s="4">
        <f t="shared" si="87"/>
        <v>5.1742836177502194E-2</v>
      </c>
      <c r="AK120" s="4">
        <f t="shared" si="87"/>
        <v>3.5319190625345942E-2</v>
      </c>
      <c r="AL120" s="4">
        <f t="shared" si="87"/>
        <v>2.3969442072658165E-2</v>
      </c>
      <c r="AM120" s="4">
        <f t="shared" si="87"/>
        <v>1.6202243558389728E-2</v>
      </c>
      <c r="AN120" s="4">
        <f t="shared" si="87"/>
        <v>1.0922240564108399E-2</v>
      </c>
      <c r="AO120" s="4">
        <f t="shared" si="87"/>
        <v>7.3493212906090566E-3</v>
      </c>
      <c r="AP120" s="4">
        <f t="shared" si="87"/>
        <v>4.9390262185057265E-3</v>
      </c>
      <c r="AQ120" s="4">
        <f t="shared" si="87"/>
        <v>3.3164275492956197E-3</v>
      </c>
      <c r="AR120" s="4">
        <f t="shared" si="87"/>
        <v>2.2256362146679809E-3</v>
      </c>
    </row>
    <row r="121" spans="1:44" x14ac:dyDescent="0.25">
      <c r="A121" s="24" t="s">
        <v>79</v>
      </c>
      <c r="B121" s="45">
        <f>'Parameter Input'!$L$134</f>
        <v>0.06</v>
      </c>
      <c r="C121" s="46">
        <f>'Parameter Input'!$M$134</f>
        <v>0.06</v>
      </c>
      <c r="D121" s="1" t="s">
        <v>57</v>
      </c>
      <c r="L121" s="54">
        <f>'Parameter Input'!$O$134</f>
        <v>12</v>
      </c>
      <c r="M121" s="37">
        <v>0</v>
      </c>
      <c r="N121" s="37">
        <v>1</v>
      </c>
      <c r="O121" s="37">
        <f>'Parameter Input'!$P$134</f>
        <v>0.9</v>
      </c>
      <c r="P121" s="55">
        <f>'Parameter Input'!$Q$134</f>
        <v>0.4</v>
      </c>
      <c r="Q121" s="4">
        <f t="shared" si="87"/>
        <v>0.9867978615748374</v>
      </c>
      <c r="R121" s="4">
        <f t="shared" si="87"/>
        <v>0.98114509762858249</v>
      </c>
      <c r="S121" s="4">
        <f t="shared" si="87"/>
        <v>0.97311898315872036</v>
      </c>
      <c r="T121" s="4">
        <f t="shared" si="87"/>
        <v>0.96177484161592774</v>
      </c>
      <c r="U121" s="4">
        <f t="shared" si="87"/>
        <v>0.94584787155511363</v>
      </c>
      <c r="V121" s="4">
        <f t="shared" si="87"/>
        <v>0.92370360150141495</v>
      </c>
      <c r="W121" s="4">
        <f t="shared" si="87"/>
        <v>0.89334463567658451</v>
      </c>
      <c r="X121" s="4">
        <f t="shared" si="87"/>
        <v>0.85254543874327005</v>
      </c>
      <c r="Y121" s="4">
        <f t="shared" si="87"/>
        <v>0.79921300652623883</v>
      </c>
      <c r="Z121" s="4">
        <f t="shared" si="87"/>
        <v>0.73204982249993378</v>
      </c>
      <c r="AA121" s="4">
        <f t="shared" si="87"/>
        <v>0.65145592958786691</v>
      </c>
      <c r="AB121" s="4">
        <f t="shared" si="87"/>
        <v>0.56032247880849573</v>
      </c>
      <c r="AC121" s="4">
        <f t="shared" si="87"/>
        <v>0.46411326873185343</v>
      </c>
      <c r="AD121" s="4">
        <f t="shared" si="87"/>
        <v>0.36979727595523937</v>
      </c>
      <c r="AE121" s="4">
        <f t="shared" si="87"/>
        <v>0.28393948637231203</v>
      </c>
      <c r="AF121" s="4">
        <f t="shared" si="87"/>
        <v>0.21097259161117732</v>
      </c>
      <c r="AG121" s="4">
        <f t="shared" si="87"/>
        <v>0.15253917653798199</v>
      </c>
      <c r="AH121" s="4">
        <f t="shared" si="87"/>
        <v>0.10795188737709993</v>
      </c>
      <c r="AI121" s="4">
        <f t="shared" si="87"/>
        <v>7.5176653938091809E-2</v>
      </c>
      <c r="AJ121" s="4">
        <f t="shared" si="87"/>
        <v>5.1742836177502194E-2</v>
      </c>
      <c r="AK121" s="4">
        <f t="shared" si="87"/>
        <v>3.5319190625345942E-2</v>
      </c>
      <c r="AL121" s="4">
        <f t="shared" si="87"/>
        <v>2.3969442072658165E-2</v>
      </c>
      <c r="AM121" s="4">
        <f t="shared" si="87"/>
        <v>1.6202243558389728E-2</v>
      </c>
      <c r="AN121" s="4">
        <f t="shared" si="87"/>
        <v>1.0922240564108399E-2</v>
      </c>
      <c r="AO121" s="4">
        <f t="shared" si="87"/>
        <v>7.3493212906090566E-3</v>
      </c>
      <c r="AP121" s="4">
        <f t="shared" si="87"/>
        <v>4.9390262185057265E-3</v>
      </c>
      <c r="AQ121" s="4">
        <f t="shared" si="87"/>
        <v>3.3164275492956197E-3</v>
      </c>
      <c r="AR121" s="4">
        <f t="shared" si="87"/>
        <v>2.2256362146679809E-3</v>
      </c>
    </row>
    <row r="122" spans="1:44" x14ac:dyDescent="0.25">
      <c r="A122" s="24" t="s">
        <v>37</v>
      </c>
      <c r="B122" s="43">
        <f>'Parameter Input'!B105</f>
        <v>620000</v>
      </c>
      <c r="C122" s="44">
        <f>'Parameter Input'!C105</f>
        <v>620000</v>
      </c>
      <c r="D122" s="1" t="s">
        <v>38</v>
      </c>
      <c r="L122" s="54">
        <f>'Parameter Input'!E93</f>
        <v>12</v>
      </c>
      <c r="M122" s="37">
        <v>0</v>
      </c>
      <c r="N122" s="37">
        <v>1</v>
      </c>
      <c r="O122" s="37">
        <f>'Parameter Input'!F93</f>
        <v>0.9</v>
      </c>
      <c r="P122" s="55">
        <f>'Parameter Input'!G93</f>
        <v>0.4</v>
      </c>
      <c r="Q122" s="4">
        <f t="shared" si="87"/>
        <v>0.9867978615748374</v>
      </c>
      <c r="R122" s="4">
        <f t="shared" si="87"/>
        <v>0.98114509762858249</v>
      </c>
      <c r="S122" s="4">
        <f t="shared" si="87"/>
        <v>0.97311898315872036</v>
      </c>
      <c r="T122" s="4">
        <f t="shared" si="87"/>
        <v>0.96177484161592774</v>
      </c>
      <c r="U122" s="4">
        <f t="shared" si="87"/>
        <v>0.94584787155511363</v>
      </c>
      <c r="V122" s="4">
        <f t="shared" si="87"/>
        <v>0.92370360150141495</v>
      </c>
      <c r="W122" s="4">
        <f t="shared" si="87"/>
        <v>0.89334463567658451</v>
      </c>
      <c r="X122" s="4">
        <f t="shared" si="87"/>
        <v>0.85254543874327005</v>
      </c>
      <c r="Y122" s="4">
        <f t="shared" si="87"/>
        <v>0.79921300652623883</v>
      </c>
      <c r="Z122" s="4">
        <f t="shared" si="87"/>
        <v>0.73204982249993378</v>
      </c>
      <c r="AA122" s="4">
        <f t="shared" si="87"/>
        <v>0.65145592958786691</v>
      </c>
      <c r="AB122" s="4">
        <f t="shared" si="87"/>
        <v>0.56032247880849573</v>
      </c>
      <c r="AC122" s="4">
        <f t="shared" si="87"/>
        <v>0.46411326873185343</v>
      </c>
      <c r="AD122" s="4">
        <f t="shared" si="87"/>
        <v>0.36979727595523937</v>
      </c>
      <c r="AE122" s="4">
        <f t="shared" si="87"/>
        <v>0.28393948637231203</v>
      </c>
      <c r="AF122" s="4">
        <f t="shared" si="87"/>
        <v>0.21097259161117732</v>
      </c>
      <c r="AG122" s="4">
        <f t="shared" si="87"/>
        <v>0.15253917653798199</v>
      </c>
      <c r="AH122" s="4">
        <f t="shared" si="87"/>
        <v>0.10795188737709993</v>
      </c>
      <c r="AI122" s="4">
        <f t="shared" si="87"/>
        <v>7.5176653938091809E-2</v>
      </c>
      <c r="AJ122" s="4">
        <f t="shared" si="87"/>
        <v>5.1742836177502194E-2</v>
      </c>
      <c r="AK122" s="4">
        <f t="shared" si="87"/>
        <v>3.5319190625345942E-2</v>
      </c>
      <c r="AL122" s="4">
        <f t="shared" si="87"/>
        <v>2.3969442072658165E-2</v>
      </c>
      <c r="AM122" s="4">
        <f t="shared" si="87"/>
        <v>1.6202243558389728E-2</v>
      </c>
      <c r="AN122" s="4">
        <f t="shared" si="87"/>
        <v>1.0922240564108399E-2</v>
      </c>
      <c r="AO122" s="4">
        <f t="shared" si="87"/>
        <v>7.3493212906090566E-3</v>
      </c>
      <c r="AP122" s="4">
        <f t="shared" si="87"/>
        <v>4.9390262185057265E-3</v>
      </c>
      <c r="AQ122" s="4">
        <f t="shared" si="87"/>
        <v>3.3164275492956197E-3</v>
      </c>
      <c r="AR122" s="4">
        <f t="shared" si="87"/>
        <v>2.2256362146679809E-3</v>
      </c>
    </row>
    <row r="123" spans="1:44" x14ac:dyDescent="0.25">
      <c r="A123" s="24" t="s">
        <v>52</v>
      </c>
      <c r="B123" s="43">
        <f>'Parameter Input'!$L$130</f>
        <v>1400000.0000000002</v>
      </c>
      <c r="C123" s="44">
        <f>'Parameter Input'!$M$130</f>
        <v>560000</v>
      </c>
      <c r="D123" s="1" t="s">
        <v>38</v>
      </c>
      <c r="L123" s="54">
        <f>'Parameter Input'!$O$130</f>
        <v>12</v>
      </c>
      <c r="M123" s="37">
        <v>0</v>
      </c>
      <c r="N123" s="37">
        <v>1</v>
      </c>
      <c r="O123" s="37">
        <f>'Parameter Input'!$P$130</f>
        <v>0.9</v>
      </c>
      <c r="P123" s="55">
        <f>'Parameter Input'!$Q$130</f>
        <v>0.4</v>
      </c>
      <c r="Q123" s="4">
        <f t="shared" si="87"/>
        <v>0.9867978615748374</v>
      </c>
      <c r="R123" s="4">
        <f t="shared" si="87"/>
        <v>0.98114509762858249</v>
      </c>
      <c r="S123" s="4">
        <f t="shared" si="87"/>
        <v>0.97311898315872036</v>
      </c>
      <c r="T123" s="4">
        <f t="shared" si="87"/>
        <v>0.96177484161592774</v>
      </c>
      <c r="U123" s="4">
        <f t="shared" si="87"/>
        <v>0.94584787155511363</v>
      </c>
      <c r="V123" s="4">
        <f t="shared" si="87"/>
        <v>0.92370360150141495</v>
      </c>
      <c r="W123" s="4">
        <f t="shared" si="87"/>
        <v>0.89334463567658451</v>
      </c>
      <c r="X123" s="4">
        <f t="shared" si="87"/>
        <v>0.85254543874327005</v>
      </c>
      <c r="Y123" s="4">
        <f t="shared" si="87"/>
        <v>0.79921300652623883</v>
      </c>
      <c r="Z123" s="4">
        <f t="shared" si="87"/>
        <v>0.73204982249993378</v>
      </c>
      <c r="AA123" s="4">
        <f t="shared" si="87"/>
        <v>0.65145592958786691</v>
      </c>
      <c r="AB123" s="4">
        <f t="shared" si="87"/>
        <v>0.56032247880849573</v>
      </c>
      <c r="AC123" s="4">
        <f t="shared" si="87"/>
        <v>0.46411326873185343</v>
      </c>
      <c r="AD123" s="4">
        <f t="shared" si="87"/>
        <v>0.36979727595523937</v>
      </c>
      <c r="AE123" s="4">
        <f t="shared" si="87"/>
        <v>0.28393948637231203</v>
      </c>
      <c r="AF123" s="4">
        <f t="shared" si="87"/>
        <v>0.21097259161117732</v>
      </c>
      <c r="AG123" s="4">
        <f t="shared" si="87"/>
        <v>0.15253917653798199</v>
      </c>
      <c r="AH123" s="4">
        <f t="shared" si="87"/>
        <v>0.10795188737709993</v>
      </c>
      <c r="AI123" s="4">
        <f t="shared" si="87"/>
        <v>7.5176653938091809E-2</v>
      </c>
      <c r="AJ123" s="4">
        <f t="shared" si="87"/>
        <v>5.1742836177502194E-2</v>
      </c>
      <c r="AK123" s="4">
        <f t="shared" si="87"/>
        <v>3.5319190625345942E-2</v>
      </c>
      <c r="AL123" s="4">
        <f t="shared" si="87"/>
        <v>2.3969442072658165E-2</v>
      </c>
      <c r="AM123" s="4">
        <f t="shared" si="87"/>
        <v>1.6202243558389728E-2</v>
      </c>
      <c r="AN123" s="4">
        <f t="shared" si="87"/>
        <v>1.0922240564108399E-2</v>
      </c>
      <c r="AO123" s="4">
        <f t="shared" si="87"/>
        <v>7.3493212906090566E-3</v>
      </c>
      <c r="AP123" s="4">
        <f t="shared" si="87"/>
        <v>4.9390262185057265E-3</v>
      </c>
      <c r="AQ123" s="4">
        <f t="shared" si="87"/>
        <v>3.3164275492956197E-3</v>
      </c>
      <c r="AR123" s="4">
        <f t="shared" si="87"/>
        <v>2.2256362146679809E-3</v>
      </c>
    </row>
    <row r="124" spans="1:44" x14ac:dyDescent="0.25">
      <c r="A124" s="24" t="s">
        <v>287</v>
      </c>
      <c r="B124" s="45">
        <f>'Parameter Input'!B110</f>
        <v>3.6414565826330532</v>
      </c>
      <c r="C124" s="46">
        <f>'Parameter Input'!C110</f>
        <v>3.6414565826330532</v>
      </c>
      <c r="D124" s="1" t="s">
        <v>76</v>
      </c>
      <c r="L124" s="54">
        <f>'Parameter Input'!E98</f>
        <v>12</v>
      </c>
      <c r="M124" s="37">
        <v>0</v>
      </c>
      <c r="N124" s="37">
        <v>1</v>
      </c>
      <c r="O124" s="37">
        <f>'Parameter Input'!F98</f>
        <v>0.9</v>
      </c>
      <c r="P124" s="55">
        <f>'Parameter Input'!G98</f>
        <v>0.4</v>
      </c>
      <c r="Q124" s="4">
        <f t="shared" si="87"/>
        <v>0.9867978615748374</v>
      </c>
      <c r="R124" s="4">
        <f t="shared" si="87"/>
        <v>0.98114509762858249</v>
      </c>
      <c r="S124" s="4">
        <f t="shared" si="87"/>
        <v>0.97311898315872036</v>
      </c>
      <c r="T124" s="4">
        <f t="shared" si="87"/>
        <v>0.96177484161592774</v>
      </c>
      <c r="U124" s="4">
        <f t="shared" si="87"/>
        <v>0.94584787155511363</v>
      </c>
      <c r="V124" s="4">
        <f t="shared" si="87"/>
        <v>0.92370360150141495</v>
      </c>
      <c r="W124" s="4">
        <f t="shared" si="87"/>
        <v>0.89334463567658451</v>
      </c>
      <c r="X124" s="4">
        <f t="shared" si="87"/>
        <v>0.85254543874327005</v>
      </c>
      <c r="Y124" s="4">
        <f t="shared" si="87"/>
        <v>0.79921300652623883</v>
      </c>
      <c r="Z124" s="4">
        <f t="shared" si="87"/>
        <v>0.73204982249993378</v>
      </c>
      <c r="AA124" s="4">
        <f t="shared" si="87"/>
        <v>0.65145592958786691</v>
      </c>
      <c r="AB124" s="4">
        <f t="shared" si="87"/>
        <v>0.56032247880849573</v>
      </c>
      <c r="AC124" s="4">
        <f t="shared" si="87"/>
        <v>0.46411326873185343</v>
      </c>
      <c r="AD124" s="4">
        <f t="shared" si="87"/>
        <v>0.36979727595523937</v>
      </c>
      <c r="AE124" s="4">
        <f t="shared" si="87"/>
        <v>0.28393948637231203</v>
      </c>
      <c r="AF124" s="4">
        <f t="shared" si="87"/>
        <v>0.21097259161117732</v>
      </c>
      <c r="AG124" s="4">
        <f t="shared" si="87"/>
        <v>0.15253917653798199</v>
      </c>
      <c r="AH124" s="4">
        <f t="shared" si="87"/>
        <v>0.10795188737709993</v>
      </c>
      <c r="AI124" s="4">
        <f t="shared" si="87"/>
        <v>7.5176653938091809E-2</v>
      </c>
      <c r="AJ124" s="4">
        <f t="shared" si="87"/>
        <v>5.1742836177502194E-2</v>
      </c>
      <c r="AK124" s="4">
        <f t="shared" si="87"/>
        <v>3.5319190625345942E-2</v>
      </c>
      <c r="AL124" s="4">
        <f t="shared" si="87"/>
        <v>2.3969442072658165E-2</v>
      </c>
      <c r="AM124" s="4">
        <f t="shared" si="87"/>
        <v>1.6202243558389728E-2</v>
      </c>
      <c r="AN124" s="4">
        <f t="shared" si="87"/>
        <v>1.0922240564108399E-2</v>
      </c>
      <c r="AO124" s="4">
        <f t="shared" si="87"/>
        <v>7.3493212906090566E-3</v>
      </c>
      <c r="AP124" s="4">
        <f t="shared" si="87"/>
        <v>4.9390262185057265E-3</v>
      </c>
      <c r="AQ124" s="4">
        <f t="shared" si="87"/>
        <v>3.3164275492956197E-3</v>
      </c>
      <c r="AR124" s="4">
        <f t="shared" si="87"/>
        <v>2.2256362146679809E-3</v>
      </c>
    </row>
    <row r="125" spans="1:44" x14ac:dyDescent="0.25">
      <c r="A125" s="24" t="s">
        <v>59</v>
      </c>
      <c r="B125" s="47">
        <f>'Parameter Input'!$L$131</f>
        <v>48.858472727272719</v>
      </c>
      <c r="C125" s="48">
        <f>'Parameter Input'!$M$131</f>
        <v>41.341784615384611</v>
      </c>
      <c r="D125" s="1" t="s">
        <v>60</v>
      </c>
      <c r="L125" s="54">
        <f>'Parameter Input'!$O$131</f>
        <v>12</v>
      </c>
      <c r="M125" s="37">
        <v>0</v>
      </c>
      <c r="N125" s="37">
        <v>1</v>
      </c>
      <c r="O125" s="37">
        <f>'Parameter Input'!$P$131</f>
        <v>0.9</v>
      </c>
      <c r="P125" s="55">
        <f>'Parameter Input'!$Q$131</f>
        <v>0.4</v>
      </c>
      <c r="Q125" s="4">
        <f t="shared" si="87"/>
        <v>0.9867978615748374</v>
      </c>
      <c r="R125" s="4">
        <f t="shared" si="87"/>
        <v>0.98114509762858249</v>
      </c>
      <c r="S125" s="4">
        <f t="shared" si="87"/>
        <v>0.97311898315872036</v>
      </c>
      <c r="T125" s="4">
        <f t="shared" si="87"/>
        <v>0.96177484161592774</v>
      </c>
      <c r="U125" s="4">
        <f t="shared" si="87"/>
        <v>0.94584787155511363</v>
      </c>
      <c r="V125" s="4">
        <f t="shared" si="87"/>
        <v>0.92370360150141495</v>
      </c>
      <c r="W125" s="4">
        <f t="shared" si="87"/>
        <v>0.89334463567658451</v>
      </c>
      <c r="X125" s="4">
        <f t="shared" si="87"/>
        <v>0.85254543874327005</v>
      </c>
      <c r="Y125" s="4">
        <f t="shared" si="87"/>
        <v>0.79921300652623883</v>
      </c>
      <c r="Z125" s="4">
        <f t="shared" si="87"/>
        <v>0.73204982249993378</v>
      </c>
      <c r="AA125" s="4">
        <f t="shared" si="87"/>
        <v>0.65145592958786691</v>
      </c>
      <c r="AB125" s="4">
        <f t="shared" si="87"/>
        <v>0.56032247880849573</v>
      </c>
      <c r="AC125" s="4">
        <f t="shared" si="87"/>
        <v>0.46411326873185343</v>
      </c>
      <c r="AD125" s="4">
        <f t="shared" si="87"/>
        <v>0.36979727595523937</v>
      </c>
      <c r="AE125" s="4">
        <f t="shared" si="87"/>
        <v>0.28393948637231203</v>
      </c>
      <c r="AF125" s="4">
        <f t="shared" si="87"/>
        <v>0.21097259161117732</v>
      </c>
      <c r="AG125" s="4">
        <f t="shared" si="87"/>
        <v>0.15253917653798199</v>
      </c>
      <c r="AH125" s="4">
        <f t="shared" si="87"/>
        <v>0.10795188737709993</v>
      </c>
      <c r="AI125" s="4">
        <f t="shared" si="87"/>
        <v>7.5176653938091809E-2</v>
      </c>
      <c r="AJ125" s="4">
        <f t="shared" si="87"/>
        <v>5.1742836177502194E-2</v>
      </c>
      <c r="AK125" s="4">
        <f t="shared" si="87"/>
        <v>3.5319190625345942E-2</v>
      </c>
      <c r="AL125" s="4">
        <f t="shared" si="87"/>
        <v>2.3969442072658165E-2</v>
      </c>
      <c r="AM125" s="4">
        <f t="shared" si="87"/>
        <v>1.6202243558389728E-2</v>
      </c>
      <c r="AN125" s="4">
        <f t="shared" si="87"/>
        <v>1.0922240564108399E-2</v>
      </c>
      <c r="AO125" s="4">
        <f t="shared" si="87"/>
        <v>7.3493212906090566E-3</v>
      </c>
      <c r="AP125" s="4">
        <f t="shared" si="87"/>
        <v>4.9390262185057265E-3</v>
      </c>
      <c r="AQ125" s="4">
        <f t="shared" si="87"/>
        <v>3.3164275492956197E-3</v>
      </c>
      <c r="AR125" s="4">
        <f t="shared" si="87"/>
        <v>2.2256362146679809E-3</v>
      </c>
    </row>
    <row r="126" spans="1:44" x14ac:dyDescent="0.25">
      <c r="A126" s="24" t="s">
        <v>67</v>
      </c>
      <c r="B126" s="45">
        <f>'Parameter Input'!$L$132</f>
        <v>0.2544561408768215</v>
      </c>
      <c r="C126" s="46">
        <f>'Parameter Input'!$M$132</f>
        <v>0.10949010032952979</v>
      </c>
      <c r="D126" s="1" t="s">
        <v>68</v>
      </c>
      <c r="L126" s="54">
        <f>'Parameter Input'!$O$132</f>
        <v>12</v>
      </c>
      <c r="M126" s="37">
        <v>0</v>
      </c>
      <c r="N126" s="37">
        <v>1</v>
      </c>
      <c r="O126" s="37">
        <f>'Parameter Input'!$P$132</f>
        <v>0.9</v>
      </c>
      <c r="P126" s="55">
        <f>'Parameter Input'!$Q$132</f>
        <v>0.4</v>
      </c>
      <c r="Q126" s="4">
        <f t="shared" si="87"/>
        <v>0.9867978615748374</v>
      </c>
      <c r="R126" s="4">
        <f t="shared" si="87"/>
        <v>0.98114509762858249</v>
      </c>
      <c r="S126" s="4">
        <f t="shared" si="87"/>
        <v>0.97311898315872036</v>
      </c>
      <c r="T126" s="4">
        <f t="shared" ref="T126:AI133" si="88">$N126+($M126-$N126)*((1/(1+EXP(-$P126*(T$9-$L126)))^$O126))</f>
        <v>0.96177484161592774</v>
      </c>
      <c r="U126" s="4">
        <f t="shared" si="88"/>
        <v>0.94584787155511363</v>
      </c>
      <c r="V126" s="4">
        <f t="shared" si="88"/>
        <v>0.92370360150141495</v>
      </c>
      <c r="W126" s="4">
        <f t="shared" si="88"/>
        <v>0.89334463567658451</v>
      </c>
      <c r="X126" s="4">
        <f t="shared" si="88"/>
        <v>0.85254543874327005</v>
      </c>
      <c r="Y126" s="4">
        <f t="shared" si="88"/>
        <v>0.79921300652623883</v>
      </c>
      <c r="Z126" s="4">
        <f t="shared" si="88"/>
        <v>0.73204982249993378</v>
      </c>
      <c r="AA126" s="4">
        <f t="shared" si="88"/>
        <v>0.65145592958786691</v>
      </c>
      <c r="AB126" s="4">
        <f t="shared" si="88"/>
        <v>0.56032247880849573</v>
      </c>
      <c r="AC126" s="4">
        <f t="shared" si="88"/>
        <v>0.46411326873185343</v>
      </c>
      <c r="AD126" s="4">
        <f t="shared" si="88"/>
        <v>0.36979727595523937</v>
      </c>
      <c r="AE126" s="4">
        <f t="shared" si="88"/>
        <v>0.28393948637231203</v>
      </c>
      <c r="AF126" s="4">
        <f t="shared" si="88"/>
        <v>0.21097259161117732</v>
      </c>
      <c r="AG126" s="4">
        <f t="shared" si="88"/>
        <v>0.15253917653798199</v>
      </c>
      <c r="AH126" s="4">
        <f t="shared" si="88"/>
        <v>0.10795188737709993</v>
      </c>
      <c r="AI126" s="4">
        <f t="shared" si="88"/>
        <v>7.5176653938091809E-2</v>
      </c>
      <c r="AJ126" s="4">
        <f t="shared" ref="AJ126:AR133" si="89">$N126+($M126-$N126)*((1/(1+EXP(-$P126*(AJ$9-$L126)))^$O126))</f>
        <v>5.1742836177502194E-2</v>
      </c>
      <c r="AK126" s="4">
        <f t="shared" si="89"/>
        <v>3.5319190625345942E-2</v>
      </c>
      <c r="AL126" s="4">
        <f t="shared" si="89"/>
        <v>2.3969442072658165E-2</v>
      </c>
      <c r="AM126" s="4">
        <f t="shared" si="89"/>
        <v>1.6202243558389728E-2</v>
      </c>
      <c r="AN126" s="4">
        <f t="shared" si="89"/>
        <v>1.0922240564108399E-2</v>
      </c>
      <c r="AO126" s="4">
        <f t="shared" si="89"/>
        <v>7.3493212906090566E-3</v>
      </c>
      <c r="AP126" s="4">
        <f t="shared" si="89"/>
        <v>4.9390262185057265E-3</v>
      </c>
      <c r="AQ126" s="4">
        <f t="shared" si="89"/>
        <v>3.3164275492956197E-3</v>
      </c>
      <c r="AR126" s="4">
        <f t="shared" si="89"/>
        <v>2.2256362146679809E-3</v>
      </c>
    </row>
    <row r="127" spans="1:44" x14ac:dyDescent="0.25">
      <c r="A127" s="24" t="s">
        <v>206</v>
      </c>
      <c r="B127" s="115">
        <f>'Parameter Input'!$L$135</f>
        <v>0.17621088524590159</v>
      </c>
      <c r="C127" s="116">
        <f>'Parameter Input'!$M$135</f>
        <v>0</v>
      </c>
      <c r="D127" s="1" t="s">
        <v>76</v>
      </c>
      <c r="L127" s="54">
        <f>'Parameter Input'!$O$135</f>
        <v>17</v>
      </c>
      <c r="M127" s="37">
        <v>0</v>
      </c>
      <c r="N127" s="37">
        <v>1</v>
      </c>
      <c r="O127" s="37">
        <f>'Parameter Input'!$P$135</f>
        <v>0.9</v>
      </c>
      <c r="P127" s="55">
        <f>'Parameter Input'!$Q$135</f>
        <v>0.4</v>
      </c>
      <c r="Q127" s="4">
        <f t="shared" ref="Q127:AR127" si="90">$N127+($M127-$N127)*((1/(1+EXP(-$P127*(Q$9-$L127)))^$O127))</f>
        <v>0.99780374543478534</v>
      </c>
      <c r="R127" s="4">
        <f t="shared" si="90"/>
        <v>0.99685359315256394</v>
      </c>
      <c r="S127" s="4">
        <f t="shared" si="90"/>
        <v>0.99549347132349975</v>
      </c>
      <c r="T127" s="4">
        <f t="shared" si="90"/>
        <v>0.99354772139898062</v>
      </c>
      <c r="U127" s="4">
        <f t="shared" si="90"/>
        <v>0.99076681540580536</v>
      </c>
      <c r="V127" s="4">
        <f t="shared" si="90"/>
        <v>0.9867978615748374</v>
      </c>
      <c r="W127" s="4">
        <f t="shared" si="90"/>
        <v>0.98114509762858249</v>
      </c>
      <c r="X127" s="4">
        <f t="shared" si="90"/>
        <v>0.97311898315872036</v>
      </c>
      <c r="Y127" s="4">
        <f t="shared" si="90"/>
        <v>0.96177484161592774</v>
      </c>
      <c r="Z127" s="4">
        <f t="shared" si="90"/>
        <v>0.94584787155511363</v>
      </c>
      <c r="AA127" s="4">
        <f t="shared" si="90"/>
        <v>0.92370360150141495</v>
      </c>
      <c r="AB127" s="4">
        <f t="shared" si="90"/>
        <v>0.89334463567658451</v>
      </c>
      <c r="AC127" s="4">
        <f t="shared" si="90"/>
        <v>0.85254543874327005</v>
      </c>
      <c r="AD127" s="4">
        <f t="shared" si="90"/>
        <v>0.79921300652623883</v>
      </c>
      <c r="AE127" s="4">
        <f t="shared" si="90"/>
        <v>0.73204982249993378</v>
      </c>
      <c r="AF127" s="4">
        <f t="shared" si="90"/>
        <v>0.65145592958786691</v>
      </c>
      <c r="AG127" s="4">
        <f t="shared" si="90"/>
        <v>0.56032247880849573</v>
      </c>
      <c r="AH127" s="4">
        <f t="shared" si="90"/>
        <v>0.46411326873185343</v>
      </c>
      <c r="AI127" s="4">
        <f t="shared" si="90"/>
        <v>0.36979727595523937</v>
      </c>
      <c r="AJ127" s="4">
        <f t="shared" si="90"/>
        <v>0.28393948637231203</v>
      </c>
      <c r="AK127" s="4">
        <f t="shared" si="90"/>
        <v>0.21097259161117732</v>
      </c>
      <c r="AL127" s="4">
        <f t="shared" si="90"/>
        <v>0.15253917653798199</v>
      </c>
      <c r="AM127" s="4">
        <f t="shared" si="90"/>
        <v>0.10795188737709993</v>
      </c>
      <c r="AN127" s="4">
        <f t="shared" si="90"/>
        <v>7.5176653938091809E-2</v>
      </c>
      <c r="AO127" s="4">
        <f t="shared" si="90"/>
        <v>5.1742836177502194E-2</v>
      </c>
      <c r="AP127" s="4">
        <f t="shared" si="90"/>
        <v>3.5319190625345942E-2</v>
      </c>
      <c r="AQ127" s="4">
        <f t="shared" si="90"/>
        <v>2.3969442072658165E-2</v>
      </c>
      <c r="AR127" s="4">
        <f t="shared" si="90"/>
        <v>1.6202243558389728E-2</v>
      </c>
    </row>
    <row r="128" spans="1:44" x14ac:dyDescent="0.25">
      <c r="A128" s="24" t="s">
        <v>41</v>
      </c>
      <c r="B128" s="43">
        <f>'Parameter Input'!$L$129</f>
        <v>20</v>
      </c>
      <c r="C128" s="44">
        <f>'Parameter Input'!$M$129</f>
        <v>20</v>
      </c>
      <c r="D128" s="1" t="s">
        <v>42</v>
      </c>
      <c r="L128" s="54">
        <f>'Parameter Input'!$O$129</f>
        <v>12</v>
      </c>
      <c r="M128" s="37">
        <v>0</v>
      </c>
      <c r="N128" s="37">
        <v>1</v>
      </c>
      <c r="O128" s="37">
        <f>'Parameter Input'!$P$129</f>
        <v>0.9</v>
      </c>
      <c r="P128" s="55">
        <f>'Parameter Input'!$Q$129</f>
        <v>0.4</v>
      </c>
      <c r="Q128" s="4">
        <f t="shared" ref="Q128:AF133" si="91">$N128+($M128-$N128)*((1/(1+EXP(-$P128*(Q$9-$L128)))^$O128))</f>
        <v>0.9867978615748374</v>
      </c>
      <c r="R128" s="4">
        <f t="shared" si="91"/>
        <v>0.98114509762858249</v>
      </c>
      <c r="S128" s="4">
        <f t="shared" si="91"/>
        <v>0.97311898315872036</v>
      </c>
      <c r="T128" s="4">
        <f t="shared" si="91"/>
        <v>0.96177484161592774</v>
      </c>
      <c r="U128" s="4">
        <f t="shared" si="91"/>
        <v>0.94584787155511363</v>
      </c>
      <c r="V128" s="4">
        <f t="shared" si="91"/>
        <v>0.92370360150141495</v>
      </c>
      <c r="W128" s="4">
        <f t="shared" si="91"/>
        <v>0.89334463567658451</v>
      </c>
      <c r="X128" s="4">
        <f t="shared" si="91"/>
        <v>0.85254543874327005</v>
      </c>
      <c r="Y128" s="4">
        <f t="shared" si="91"/>
        <v>0.79921300652623883</v>
      </c>
      <c r="Z128" s="4">
        <f t="shared" si="91"/>
        <v>0.73204982249993378</v>
      </c>
      <c r="AA128" s="4">
        <f t="shared" si="91"/>
        <v>0.65145592958786691</v>
      </c>
      <c r="AB128" s="4">
        <f t="shared" si="91"/>
        <v>0.56032247880849573</v>
      </c>
      <c r="AC128" s="4">
        <f t="shared" si="91"/>
        <v>0.46411326873185343</v>
      </c>
      <c r="AD128" s="4">
        <f t="shared" si="91"/>
        <v>0.36979727595523937</v>
      </c>
      <c r="AE128" s="4">
        <f t="shared" si="91"/>
        <v>0.28393948637231203</v>
      </c>
      <c r="AF128" s="4">
        <f t="shared" si="91"/>
        <v>0.21097259161117732</v>
      </c>
      <c r="AG128" s="4">
        <f t="shared" si="88"/>
        <v>0.15253917653798199</v>
      </c>
      <c r="AH128" s="4">
        <f t="shared" si="88"/>
        <v>0.10795188737709993</v>
      </c>
      <c r="AI128" s="4">
        <f t="shared" si="88"/>
        <v>7.5176653938091809E-2</v>
      </c>
      <c r="AJ128" s="4">
        <f t="shared" si="89"/>
        <v>5.1742836177502194E-2</v>
      </c>
      <c r="AK128" s="4">
        <f t="shared" si="89"/>
        <v>3.5319190625345942E-2</v>
      </c>
      <c r="AL128" s="4">
        <f t="shared" si="89"/>
        <v>2.3969442072658165E-2</v>
      </c>
      <c r="AM128" s="4">
        <f t="shared" si="89"/>
        <v>1.6202243558389728E-2</v>
      </c>
      <c r="AN128" s="4">
        <f t="shared" si="89"/>
        <v>1.0922240564108399E-2</v>
      </c>
      <c r="AO128" s="4">
        <f t="shared" si="89"/>
        <v>7.3493212906090566E-3</v>
      </c>
      <c r="AP128" s="4">
        <f t="shared" si="89"/>
        <v>4.9390262185057265E-3</v>
      </c>
      <c r="AQ128" s="4">
        <f t="shared" si="89"/>
        <v>3.3164275492956197E-3</v>
      </c>
      <c r="AR128" s="4">
        <f t="shared" si="89"/>
        <v>2.2256362146679809E-3</v>
      </c>
    </row>
    <row r="129" spans="1:44" x14ac:dyDescent="0.25">
      <c r="A129" s="24" t="s">
        <v>70</v>
      </c>
      <c r="B129" s="43">
        <f>'Parameter Input'!B109</f>
        <v>30</v>
      </c>
      <c r="C129" s="44">
        <f>'Parameter Input'!C109</f>
        <v>30</v>
      </c>
      <c r="D129" s="1" t="s">
        <v>42</v>
      </c>
      <c r="L129" s="54">
        <f>'Parameter Input'!E97</f>
        <v>12</v>
      </c>
      <c r="M129" s="37">
        <v>0</v>
      </c>
      <c r="N129" s="37">
        <v>1</v>
      </c>
      <c r="O129" s="37">
        <f>'Parameter Input'!F97</f>
        <v>0.9</v>
      </c>
      <c r="P129" s="55">
        <f>'Parameter Input'!G97</f>
        <v>0.4</v>
      </c>
      <c r="Q129" s="4">
        <f t="shared" si="91"/>
        <v>0.9867978615748374</v>
      </c>
      <c r="R129" s="4">
        <f t="shared" si="91"/>
        <v>0.98114509762858249</v>
      </c>
      <c r="S129" s="4">
        <f t="shared" si="91"/>
        <v>0.97311898315872036</v>
      </c>
      <c r="T129" s="4">
        <f t="shared" si="91"/>
        <v>0.96177484161592774</v>
      </c>
      <c r="U129" s="4">
        <f t="shared" si="91"/>
        <v>0.94584787155511363</v>
      </c>
      <c r="V129" s="4">
        <f t="shared" si="91"/>
        <v>0.92370360150141495</v>
      </c>
      <c r="W129" s="4">
        <f t="shared" si="91"/>
        <v>0.89334463567658451</v>
      </c>
      <c r="X129" s="4">
        <f t="shared" si="91"/>
        <v>0.85254543874327005</v>
      </c>
      <c r="Y129" s="4">
        <f t="shared" si="91"/>
        <v>0.79921300652623883</v>
      </c>
      <c r="Z129" s="4">
        <f t="shared" si="91"/>
        <v>0.73204982249993378</v>
      </c>
      <c r="AA129" s="4">
        <f t="shared" si="91"/>
        <v>0.65145592958786691</v>
      </c>
      <c r="AB129" s="4">
        <f t="shared" si="91"/>
        <v>0.56032247880849573</v>
      </c>
      <c r="AC129" s="4">
        <f t="shared" si="91"/>
        <v>0.46411326873185343</v>
      </c>
      <c r="AD129" s="4">
        <f t="shared" si="91"/>
        <v>0.36979727595523937</v>
      </c>
      <c r="AE129" s="4">
        <f t="shared" si="91"/>
        <v>0.28393948637231203</v>
      </c>
      <c r="AF129" s="4">
        <f t="shared" si="91"/>
        <v>0.21097259161117732</v>
      </c>
      <c r="AG129" s="4">
        <f t="shared" si="88"/>
        <v>0.15253917653798199</v>
      </c>
      <c r="AH129" s="4">
        <f t="shared" si="88"/>
        <v>0.10795188737709993</v>
      </c>
      <c r="AI129" s="4">
        <f t="shared" si="88"/>
        <v>7.5176653938091809E-2</v>
      </c>
      <c r="AJ129" s="4">
        <f t="shared" si="89"/>
        <v>5.1742836177502194E-2</v>
      </c>
      <c r="AK129" s="4">
        <f t="shared" si="89"/>
        <v>3.5319190625345942E-2</v>
      </c>
      <c r="AL129" s="4">
        <f t="shared" si="89"/>
        <v>2.3969442072658165E-2</v>
      </c>
      <c r="AM129" s="4">
        <f t="shared" si="89"/>
        <v>1.6202243558389728E-2</v>
      </c>
      <c r="AN129" s="4">
        <f t="shared" si="89"/>
        <v>1.0922240564108399E-2</v>
      </c>
      <c r="AO129" s="4">
        <f t="shared" si="89"/>
        <v>7.3493212906090566E-3</v>
      </c>
      <c r="AP129" s="4">
        <f t="shared" si="89"/>
        <v>4.9390262185057265E-3</v>
      </c>
      <c r="AQ129" s="4">
        <f t="shared" si="89"/>
        <v>3.3164275492956197E-3</v>
      </c>
      <c r="AR129" s="4">
        <f t="shared" si="89"/>
        <v>2.2256362146679809E-3</v>
      </c>
    </row>
    <row r="130" spans="1:44" x14ac:dyDescent="0.25">
      <c r="A130" s="24" t="s">
        <v>207</v>
      </c>
      <c r="B130" s="70">
        <f>'Parameter Input'!B106</f>
        <v>2240</v>
      </c>
      <c r="C130" s="71">
        <f>'Parameter Input'!C106</f>
        <v>2240</v>
      </c>
      <c r="D130" s="1" t="s">
        <v>49</v>
      </c>
      <c r="L130" s="54">
        <f>'Parameter Input'!E94</f>
        <v>12</v>
      </c>
      <c r="M130" s="37">
        <v>0</v>
      </c>
      <c r="N130" s="37">
        <v>1</v>
      </c>
      <c r="O130" s="37">
        <f>'Parameter Input'!F94</f>
        <v>0.9</v>
      </c>
      <c r="P130" s="55">
        <f>'Parameter Input'!G94</f>
        <v>0.4</v>
      </c>
      <c r="Q130" s="4">
        <f t="shared" si="91"/>
        <v>0.9867978615748374</v>
      </c>
      <c r="R130" s="4">
        <f t="shared" si="91"/>
        <v>0.98114509762858249</v>
      </c>
      <c r="S130" s="4">
        <f t="shared" si="91"/>
        <v>0.97311898315872036</v>
      </c>
      <c r="T130" s="4">
        <f t="shared" si="91"/>
        <v>0.96177484161592774</v>
      </c>
      <c r="U130" s="4">
        <f t="shared" si="91"/>
        <v>0.94584787155511363</v>
      </c>
      <c r="V130" s="4">
        <f t="shared" si="91"/>
        <v>0.92370360150141495</v>
      </c>
      <c r="W130" s="4">
        <f t="shared" si="91"/>
        <v>0.89334463567658451</v>
      </c>
      <c r="X130" s="4">
        <f t="shared" si="91"/>
        <v>0.85254543874327005</v>
      </c>
      <c r="Y130" s="4">
        <f t="shared" si="91"/>
        <v>0.79921300652623883</v>
      </c>
      <c r="Z130" s="4">
        <f t="shared" si="91"/>
        <v>0.73204982249993378</v>
      </c>
      <c r="AA130" s="4">
        <f t="shared" si="91"/>
        <v>0.65145592958786691</v>
      </c>
      <c r="AB130" s="4">
        <f t="shared" si="91"/>
        <v>0.56032247880849573</v>
      </c>
      <c r="AC130" s="4">
        <f t="shared" si="91"/>
        <v>0.46411326873185343</v>
      </c>
      <c r="AD130" s="4">
        <f t="shared" si="91"/>
        <v>0.36979727595523937</v>
      </c>
      <c r="AE130" s="4">
        <f t="shared" si="91"/>
        <v>0.28393948637231203</v>
      </c>
      <c r="AF130" s="4">
        <f t="shared" si="91"/>
        <v>0.21097259161117732</v>
      </c>
      <c r="AG130" s="4">
        <f t="shared" si="88"/>
        <v>0.15253917653798199</v>
      </c>
      <c r="AH130" s="4">
        <f t="shared" si="88"/>
        <v>0.10795188737709993</v>
      </c>
      <c r="AI130" s="4">
        <f t="shared" si="88"/>
        <v>7.5176653938091809E-2</v>
      </c>
      <c r="AJ130" s="4">
        <f t="shared" si="89"/>
        <v>5.1742836177502194E-2</v>
      </c>
      <c r="AK130" s="4">
        <f t="shared" si="89"/>
        <v>3.5319190625345942E-2</v>
      </c>
      <c r="AL130" s="4">
        <f t="shared" si="89"/>
        <v>2.3969442072658165E-2</v>
      </c>
      <c r="AM130" s="4">
        <f t="shared" si="89"/>
        <v>1.6202243558389728E-2</v>
      </c>
      <c r="AN130" s="4">
        <f t="shared" si="89"/>
        <v>1.0922240564108399E-2</v>
      </c>
      <c r="AO130" s="4">
        <f t="shared" si="89"/>
        <v>7.3493212906090566E-3</v>
      </c>
      <c r="AP130" s="4">
        <f t="shared" si="89"/>
        <v>4.9390262185057265E-3</v>
      </c>
      <c r="AQ130" s="4">
        <f t="shared" si="89"/>
        <v>3.3164275492956197E-3</v>
      </c>
      <c r="AR130" s="4">
        <f t="shared" si="89"/>
        <v>2.2256362146679809E-3</v>
      </c>
    </row>
    <row r="131" spans="1:44" x14ac:dyDescent="0.25">
      <c r="A131" s="24" t="s">
        <v>56</v>
      </c>
      <c r="B131" s="72">
        <f>'Parameter Input'!B107</f>
        <v>0.42666666666666669</v>
      </c>
      <c r="C131" s="73">
        <f>'Parameter Input'!C107</f>
        <v>0.42666666666666669</v>
      </c>
      <c r="D131" s="1" t="s">
        <v>57</v>
      </c>
      <c r="L131" s="54">
        <f>'Parameter Input'!E95</f>
        <v>12</v>
      </c>
      <c r="M131" s="37">
        <v>0</v>
      </c>
      <c r="N131" s="37">
        <v>1</v>
      </c>
      <c r="O131" s="37">
        <f>'Parameter Input'!F95</f>
        <v>0.9</v>
      </c>
      <c r="P131" s="55">
        <f>'Parameter Input'!G95</f>
        <v>0.4</v>
      </c>
      <c r="Q131" s="4">
        <f t="shared" si="91"/>
        <v>0.9867978615748374</v>
      </c>
      <c r="R131" s="4">
        <f t="shared" si="91"/>
        <v>0.98114509762858249</v>
      </c>
      <c r="S131" s="4">
        <f t="shared" si="91"/>
        <v>0.97311898315872036</v>
      </c>
      <c r="T131" s="4">
        <f t="shared" si="91"/>
        <v>0.96177484161592774</v>
      </c>
      <c r="U131" s="4">
        <f t="shared" si="91"/>
        <v>0.94584787155511363</v>
      </c>
      <c r="V131" s="4">
        <f t="shared" si="91"/>
        <v>0.92370360150141495</v>
      </c>
      <c r="W131" s="4">
        <f t="shared" si="91"/>
        <v>0.89334463567658451</v>
      </c>
      <c r="X131" s="4">
        <f t="shared" si="91"/>
        <v>0.85254543874327005</v>
      </c>
      <c r="Y131" s="4">
        <f t="shared" si="91"/>
        <v>0.79921300652623883</v>
      </c>
      <c r="Z131" s="4">
        <f t="shared" si="91"/>
        <v>0.73204982249993378</v>
      </c>
      <c r="AA131" s="4">
        <f t="shared" si="91"/>
        <v>0.65145592958786691</v>
      </c>
      <c r="AB131" s="4">
        <f t="shared" si="91"/>
        <v>0.56032247880849573</v>
      </c>
      <c r="AC131" s="4">
        <f t="shared" si="91"/>
        <v>0.46411326873185343</v>
      </c>
      <c r="AD131" s="4">
        <f t="shared" si="91"/>
        <v>0.36979727595523937</v>
      </c>
      <c r="AE131" s="4">
        <f t="shared" si="91"/>
        <v>0.28393948637231203</v>
      </c>
      <c r="AF131" s="4">
        <f t="shared" si="91"/>
        <v>0.21097259161117732</v>
      </c>
      <c r="AG131" s="4">
        <f t="shared" si="88"/>
        <v>0.15253917653798199</v>
      </c>
      <c r="AH131" s="4">
        <f t="shared" si="88"/>
        <v>0.10795188737709993</v>
      </c>
      <c r="AI131" s="4">
        <f t="shared" si="88"/>
        <v>7.5176653938091809E-2</v>
      </c>
      <c r="AJ131" s="4">
        <f t="shared" si="89"/>
        <v>5.1742836177502194E-2</v>
      </c>
      <c r="AK131" s="4">
        <f t="shared" si="89"/>
        <v>3.5319190625345942E-2</v>
      </c>
      <c r="AL131" s="4">
        <f t="shared" si="89"/>
        <v>2.3969442072658165E-2</v>
      </c>
      <c r="AM131" s="4">
        <f t="shared" si="89"/>
        <v>1.6202243558389728E-2</v>
      </c>
      <c r="AN131" s="4">
        <f t="shared" si="89"/>
        <v>1.0922240564108399E-2</v>
      </c>
      <c r="AO131" s="4">
        <f t="shared" si="89"/>
        <v>7.3493212906090566E-3</v>
      </c>
      <c r="AP131" s="4">
        <f t="shared" si="89"/>
        <v>4.9390262185057265E-3</v>
      </c>
      <c r="AQ131" s="4">
        <f t="shared" si="89"/>
        <v>3.3164275492956197E-3</v>
      </c>
      <c r="AR131" s="4">
        <f t="shared" si="89"/>
        <v>2.2256362146679809E-3</v>
      </c>
    </row>
    <row r="132" spans="1:44" x14ac:dyDescent="0.25">
      <c r="A132" s="24" t="s">
        <v>73</v>
      </c>
      <c r="B132" s="72">
        <f>'Parameter Input'!$L$133</f>
        <v>1.7857142857142856E-2</v>
      </c>
      <c r="C132" s="73">
        <f>'Parameter Input'!$M$133</f>
        <v>1.7857142857142856E-2</v>
      </c>
      <c r="D132" s="1" t="s">
        <v>57</v>
      </c>
      <c r="L132" s="54">
        <f>'Parameter Input'!$O$133</f>
        <v>12</v>
      </c>
      <c r="M132" s="37">
        <v>0</v>
      </c>
      <c r="N132" s="37">
        <v>1</v>
      </c>
      <c r="O132" s="37">
        <f>'Parameter Input'!$P$133</f>
        <v>0.9</v>
      </c>
      <c r="P132" s="55">
        <f>'Parameter Input'!$Q$133</f>
        <v>0.4</v>
      </c>
      <c r="Q132" s="4">
        <f t="shared" si="91"/>
        <v>0.9867978615748374</v>
      </c>
      <c r="R132" s="4">
        <f t="shared" si="91"/>
        <v>0.98114509762858249</v>
      </c>
      <c r="S132" s="4">
        <f t="shared" si="91"/>
        <v>0.97311898315872036</v>
      </c>
      <c r="T132" s="4">
        <f t="shared" si="91"/>
        <v>0.96177484161592774</v>
      </c>
      <c r="U132" s="4">
        <f t="shared" si="91"/>
        <v>0.94584787155511363</v>
      </c>
      <c r="V132" s="4">
        <f t="shared" si="91"/>
        <v>0.92370360150141495</v>
      </c>
      <c r="W132" s="4">
        <f t="shared" si="91"/>
        <v>0.89334463567658451</v>
      </c>
      <c r="X132" s="4">
        <f t="shared" si="91"/>
        <v>0.85254543874327005</v>
      </c>
      <c r="Y132" s="4">
        <f t="shared" si="91"/>
        <v>0.79921300652623883</v>
      </c>
      <c r="Z132" s="4">
        <f t="shared" si="91"/>
        <v>0.73204982249993378</v>
      </c>
      <c r="AA132" s="4">
        <f t="shared" si="91"/>
        <v>0.65145592958786691</v>
      </c>
      <c r="AB132" s="4">
        <f t="shared" si="91"/>
        <v>0.56032247880849573</v>
      </c>
      <c r="AC132" s="4">
        <f t="shared" si="91"/>
        <v>0.46411326873185343</v>
      </c>
      <c r="AD132" s="4">
        <f t="shared" si="91"/>
        <v>0.36979727595523937</v>
      </c>
      <c r="AE132" s="4">
        <f t="shared" si="91"/>
        <v>0.28393948637231203</v>
      </c>
      <c r="AF132" s="4">
        <f t="shared" si="91"/>
        <v>0.21097259161117732</v>
      </c>
      <c r="AG132" s="4">
        <f t="shared" si="88"/>
        <v>0.15253917653798199</v>
      </c>
      <c r="AH132" s="4">
        <f t="shared" si="88"/>
        <v>0.10795188737709993</v>
      </c>
      <c r="AI132" s="4">
        <f t="shared" si="88"/>
        <v>7.5176653938091809E-2</v>
      </c>
      <c r="AJ132" s="4">
        <f t="shared" si="89"/>
        <v>5.1742836177502194E-2</v>
      </c>
      <c r="AK132" s="4">
        <f t="shared" si="89"/>
        <v>3.5319190625345942E-2</v>
      </c>
      <c r="AL132" s="4">
        <f t="shared" si="89"/>
        <v>2.3969442072658165E-2</v>
      </c>
      <c r="AM132" s="4">
        <f t="shared" si="89"/>
        <v>1.6202243558389728E-2</v>
      </c>
      <c r="AN132" s="4">
        <f t="shared" si="89"/>
        <v>1.0922240564108399E-2</v>
      </c>
      <c r="AO132" s="4">
        <f t="shared" si="89"/>
        <v>7.3493212906090566E-3</v>
      </c>
      <c r="AP132" s="4">
        <f t="shared" si="89"/>
        <v>4.9390262185057265E-3</v>
      </c>
      <c r="AQ132" s="4">
        <f t="shared" si="89"/>
        <v>3.3164275492956197E-3</v>
      </c>
      <c r="AR132" s="4">
        <f t="shared" si="89"/>
        <v>2.2256362146679809E-3</v>
      </c>
    </row>
    <row r="133" spans="1:44" ht="15.75" thickBot="1" x14ac:dyDescent="0.3">
      <c r="A133" s="24" t="s">
        <v>64</v>
      </c>
      <c r="B133" s="74">
        <f>'Parameter Input'!B108</f>
        <v>178500</v>
      </c>
      <c r="C133" s="75">
        <f>'Parameter Input'!C108</f>
        <v>178500</v>
      </c>
      <c r="D133" s="1" t="s">
        <v>65</v>
      </c>
      <c r="L133" s="56">
        <f>'Parameter Input'!E96</f>
        <v>12</v>
      </c>
      <c r="M133" s="57">
        <v>0</v>
      </c>
      <c r="N133" s="57">
        <v>1</v>
      </c>
      <c r="O133" s="57">
        <f>'Parameter Input'!F96</f>
        <v>0.9</v>
      </c>
      <c r="P133" s="58">
        <f>'Parameter Input'!G96</f>
        <v>0.4</v>
      </c>
      <c r="Q133" s="4">
        <f t="shared" si="91"/>
        <v>0.9867978615748374</v>
      </c>
      <c r="R133" s="4">
        <f t="shared" si="91"/>
        <v>0.98114509762858249</v>
      </c>
      <c r="S133" s="4">
        <f t="shared" si="91"/>
        <v>0.97311898315872036</v>
      </c>
      <c r="T133" s="4">
        <f t="shared" si="91"/>
        <v>0.96177484161592774</v>
      </c>
      <c r="U133" s="4">
        <f t="shared" si="91"/>
        <v>0.94584787155511363</v>
      </c>
      <c r="V133" s="4">
        <f t="shared" si="91"/>
        <v>0.92370360150141495</v>
      </c>
      <c r="W133" s="4">
        <f t="shared" si="91"/>
        <v>0.89334463567658451</v>
      </c>
      <c r="X133" s="4">
        <f t="shared" si="91"/>
        <v>0.85254543874327005</v>
      </c>
      <c r="Y133" s="4">
        <f t="shared" si="91"/>
        <v>0.79921300652623883</v>
      </c>
      <c r="Z133" s="4">
        <f t="shared" si="91"/>
        <v>0.73204982249993378</v>
      </c>
      <c r="AA133" s="4">
        <f t="shared" si="91"/>
        <v>0.65145592958786691</v>
      </c>
      <c r="AB133" s="4">
        <f t="shared" si="91"/>
        <v>0.56032247880849573</v>
      </c>
      <c r="AC133" s="4">
        <f t="shared" si="91"/>
        <v>0.46411326873185343</v>
      </c>
      <c r="AD133" s="4">
        <f t="shared" si="91"/>
        <v>0.36979727595523937</v>
      </c>
      <c r="AE133" s="4">
        <f t="shared" si="91"/>
        <v>0.28393948637231203</v>
      </c>
      <c r="AF133" s="4">
        <f t="shared" si="91"/>
        <v>0.21097259161117732</v>
      </c>
      <c r="AG133" s="4">
        <f t="shared" si="88"/>
        <v>0.15253917653798199</v>
      </c>
      <c r="AH133" s="4">
        <f t="shared" si="88"/>
        <v>0.10795188737709993</v>
      </c>
      <c r="AI133" s="4">
        <f t="shared" si="88"/>
        <v>7.5176653938091809E-2</v>
      </c>
      <c r="AJ133" s="4">
        <f t="shared" si="89"/>
        <v>5.1742836177502194E-2</v>
      </c>
      <c r="AK133" s="4">
        <f t="shared" si="89"/>
        <v>3.5319190625345942E-2</v>
      </c>
      <c r="AL133" s="4">
        <f t="shared" si="89"/>
        <v>2.3969442072658165E-2</v>
      </c>
      <c r="AM133" s="4">
        <f t="shared" si="89"/>
        <v>1.6202243558389728E-2</v>
      </c>
      <c r="AN133" s="4">
        <f t="shared" si="89"/>
        <v>1.0922240564108399E-2</v>
      </c>
      <c r="AO133" s="4">
        <f t="shared" si="89"/>
        <v>7.3493212906090566E-3</v>
      </c>
      <c r="AP133" s="4">
        <f t="shared" si="89"/>
        <v>4.9390262185057265E-3</v>
      </c>
      <c r="AQ133" s="4">
        <f t="shared" si="89"/>
        <v>3.3164275492956197E-3</v>
      </c>
      <c r="AR133" s="4">
        <f t="shared" si="89"/>
        <v>2.2256362146679809E-3</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92">A117</f>
        <v>Capex vehicle</v>
      </c>
      <c r="B137" s="62">
        <f t="shared" ref="B137:B146" si="93">$B117+($C117-$B117)*(1-Q117)</f>
        <v>9920787.1694490239</v>
      </c>
      <c r="C137" s="62">
        <f t="shared" ref="C137:C146" si="94">$B117+($C117-$B117)*(1-R117)</f>
        <v>9886870.5857714955</v>
      </c>
      <c r="D137" s="62">
        <f t="shared" ref="D137:D146" si="95">$B117+($C117-$B117)*(1-S117)</f>
        <v>9838713.8989523221</v>
      </c>
      <c r="E137" s="62">
        <f t="shared" ref="E137:E146" si="96">$B117+($C117-$B117)*(1-T117)</f>
        <v>9770649.0496955663</v>
      </c>
      <c r="F137" s="62">
        <f t="shared" ref="F137:F146" si="97">$B117+($C117-$B117)*(1-U117)</f>
        <v>9675087.2293306813</v>
      </c>
      <c r="G137" s="62">
        <f t="shared" ref="G137:G146" si="98">$B117+($C117-$B117)*(1-V117)</f>
        <v>9542221.6090084892</v>
      </c>
      <c r="H137" s="62">
        <f t="shared" ref="H137:H146" si="99">$B117+($C117-$B117)*(1-W117)</f>
        <v>9360067.8140595071</v>
      </c>
      <c r="I137" s="62">
        <f t="shared" ref="I137:I146" si="100">$B117+($C117-$B117)*(1-X117)</f>
        <v>9115272.63245962</v>
      </c>
      <c r="J137" s="62">
        <f t="shared" ref="J137:J146" si="101">$B117+($C117-$B117)*(1-Y117)</f>
        <v>8795278.0391574334</v>
      </c>
      <c r="K137" s="62">
        <f t="shared" ref="K137:K146" si="102">$B117+($C117-$B117)*(1-Z117)</f>
        <v>8392298.9349996019</v>
      </c>
      <c r="L137" s="62">
        <f t="shared" ref="L137:L146" si="103">$B117+($C117-$B117)*(1-AA117)</f>
        <v>7908735.5775272017</v>
      </c>
      <c r="M137" s="62">
        <f t="shared" ref="M137:M146" si="104">$B117+($C117-$B117)*(1-AB117)</f>
        <v>7361934.872850975</v>
      </c>
      <c r="N137" s="62">
        <f t="shared" ref="N137:N146" si="105">$B117+($C117-$B117)*(1-AC117)</f>
        <v>6784679.6123911208</v>
      </c>
      <c r="O137" s="62">
        <f t="shared" ref="O137:O146" si="106">$B117+($C117-$B117)*(1-AD117)</f>
        <v>6218783.6557314359</v>
      </c>
      <c r="P137" s="62">
        <f t="shared" ref="P137:P146" si="107">$B117+($C117-$B117)*(1-AE117)</f>
        <v>5703636.9182338724</v>
      </c>
      <c r="Q137" s="62">
        <f t="shared" ref="Q137:Q146" si="108">$B117+($C117-$B117)*(1-AF117)</f>
        <v>5265835.5496670641</v>
      </c>
      <c r="R137" s="62">
        <f t="shared" ref="R137:R146" si="109">$B117+($C117-$B117)*(1-AG117)</f>
        <v>4915235.0592278922</v>
      </c>
      <c r="S137" s="62">
        <f t="shared" ref="S137:S146" si="110">$B117+($C117-$B117)*(1-AH117)</f>
        <v>4647711.3242625995</v>
      </c>
      <c r="T137" s="62">
        <f t="shared" ref="T137:T146" si="111">$B117+($C117-$B117)*(1-AI117)</f>
        <v>4451059.923628551</v>
      </c>
      <c r="U137" s="62">
        <f t="shared" ref="U137:U146" si="112">$B117+($C117-$B117)*(1-AJ117)</f>
        <v>4310457.0170650128</v>
      </c>
      <c r="V137" s="62">
        <f t="shared" ref="V137:V146" si="113">$B117+($C117-$B117)*(1-AK117)</f>
        <v>4211915.1437520757</v>
      </c>
      <c r="W137" s="62">
        <f t="shared" ref="W137:W146" si="114">$B117+($C117-$B117)*(1-AL117)</f>
        <v>4143816.6524359491</v>
      </c>
      <c r="X137" s="62">
        <f t="shared" ref="X137:X146" si="115">$B117+($C117-$B117)*(1-AM117)</f>
        <v>4097213.4613503385</v>
      </c>
      <c r="Y137" s="62">
        <f t="shared" ref="Y137:Y146" si="116">$B117+($C117-$B117)*(1-AN117)</f>
        <v>4065533.4433846502</v>
      </c>
      <c r="Z137" s="62">
        <f t="shared" ref="Z137:Z146" si="117">$B117+($C117-$B117)*(1-AO117)</f>
        <v>4044095.9277436547</v>
      </c>
      <c r="AA137" s="62">
        <f t="shared" ref="AA137:AA146" si="118">$B117+($C117-$B117)*(1-AP117)</f>
        <v>4029634.1573110344</v>
      </c>
      <c r="AB137" s="62">
        <f t="shared" ref="AB137:AB146" si="119">$B117+($C117-$B117)*(1-AQ117)</f>
        <v>4019898.5652957736</v>
      </c>
      <c r="AC137" s="62">
        <f t="shared" ref="AC137:AC146" si="120">$B117+($C117-$B117)*(1-AR117)</f>
        <v>4013353.8172880076</v>
      </c>
    </row>
    <row r="138" spans="1:44" x14ac:dyDescent="0.25">
      <c r="A138" s="30" t="str">
        <f t="shared" si="92"/>
        <v>Residual value (vehicle)</v>
      </c>
      <c r="B138" s="62">
        <f t="shared" si="93"/>
        <v>-501320.21384251624</v>
      </c>
      <c r="C138" s="62">
        <f t="shared" si="94"/>
        <v>-501885.49023714173</v>
      </c>
      <c r="D138" s="62">
        <f t="shared" si="95"/>
        <v>-502688.10168412799</v>
      </c>
      <c r="E138" s="62">
        <f t="shared" si="96"/>
        <v>-503822.51583840721</v>
      </c>
      <c r="F138" s="62">
        <f t="shared" si="97"/>
        <v>-505415.21284448862</v>
      </c>
      <c r="G138" s="62">
        <f t="shared" si="98"/>
        <v>-507629.63984985853</v>
      </c>
      <c r="H138" s="62">
        <f t="shared" si="99"/>
        <v>-510665.53643234156</v>
      </c>
      <c r="I138" s="62">
        <f t="shared" si="100"/>
        <v>-514745.45612567302</v>
      </c>
      <c r="J138" s="62">
        <f t="shared" si="101"/>
        <v>-520078.69934737612</v>
      </c>
      <c r="K138" s="62">
        <f t="shared" si="102"/>
        <v>-526795.01775000663</v>
      </c>
      <c r="L138" s="62">
        <f t="shared" si="103"/>
        <v>-534854.40704121336</v>
      </c>
      <c r="M138" s="62">
        <f t="shared" si="104"/>
        <v>-543967.75211915048</v>
      </c>
      <c r="N138" s="62">
        <f t="shared" si="105"/>
        <v>-553588.67312681465</v>
      </c>
      <c r="O138" s="62">
        <f t="shared" si="106"/>
        <v>-563020.27240447607</v>
      </c>
      <c r="P138" s="62">
        <f t="shared" si="107"/>
        <v>-571606.05136276875</v>
      </c>
      <c r="Q138" s="62">
        <f t="shared" si="108"/>
        <v>-578902.74083888228</v>
      </c>
      <c r="R138" s="62">
        <f t="shared" si="109"/>
        <v>-584746.08234620176</v>
      </c>
      <c r="S138" s="62">
        <f t="shared" si="110"/>
        <v>-589204.81126228999</v>
      </c>
      <c r="T138" s="62">
        <f t="shared" si="111"/>
        <v>-592482.33460619079</v>
      </c>
      <c r="U138" s="62">
        <f t="shared" si="112"/>
        <v>-594825.71638224972</v>
      </c>
      <c r="V138" s="62">
        <f t="shared" si="113"/>
        <v>-596468.08093746542</v>
      </c>
      <c r="W138" s="62">
        <f t="shared" si="114"/>
        <v>-597603.05579273414</v>
      </c>
      <c r="X138" s="62">
        <f t="shared" si="115"/>
        <v>-598379.77564416104</v>
      </c>
      <c r="Y138" s="62">
        <f t="shared" si="116"/>
        <v>-598907.77594358916</v>
      </c>
      <c r="Z138" s="62">
        <f t="shared" si="117"/>
        <v>-599265.06787093915</v>
      </c>
      <c r="AA138" s="62">
        <f t="shared" si="118"/>
        <v>-599506.0973781494</v>
      </c>
      <c r="AB138" s="62">
        <f t="shared" si="119"/>
        <v>-599668.35724507039</v>
      </c>
      <c r="AC138" s="62">
        <f t="shared" si="120"/>
        <v>-599777.43637853325</v>
      </c>
    </row>
    <row r="139" spans="1:44" x14ac:dyDescent="0.25">
      <c r="A139" s="30" t="str">
        <f t="shared" si="92"/>
        <v>Capex costumization</v>
      </c>
      <c r="B139" s="62">
        <f t="shared" si="93"/>
        <v>5600000</v>
      </c>
      <c r="C139" s="62">
        <f t="shared" si="94"/>
        <v>5600000</v>
      </c>
      <c r="D139" s="62">
        <f t="shared" si="95"/>
        <v>5600000</v>
      </c>
      <c r="E139" s="62">
        <f t="shared" si="96"/>
        <v>5600000</v>
      </c>
      <c r="F139" s="62">
        <f t="shared" si="97"/>
        <v>5600000</v>
      </c>
      <c r="G139" s="62">
        <f t="shared" si="98"/>
        <v>5600000</v>
      </c>
      <c r="H139" s="62">
        <f t="shared" si="99"/>
        <v>5600000</v>
      </c>
      <c r="I139" s="62">
        <f t="shared" si="100"/>
        <v>5600000</v>
      </c>
      <c r="J139" s="62">
        <f t="shared" si="101"/>
        <v>5600000</v>
      </c>
      <c r="K139" s="62">
        <f t="shared" si="102"/>
        <v>5600000</v>
      </c>
      <c r="L139" s="62">
        <f t="shared" si="103"/>
        <v>5600000</v>
      </c>
      <c r="M139" s="62">
        <f t="shared" si="104"/>
        <v>5600000</v>
      </c>
      <c r="N139" s="62">
        <f t="shared" si="105"/>
        <v>5600000</v>
      </c>
      <c r="O139" s="62">
        <f t="shared" si="106"/>
        <v>5600000</v>
      </c>
      <c r="P139" s="62">
        <f t="shared" si="107"/>
        <v>5600000</v>
      </c>
      <c r="Q139" s="62">
        <f t="shared" si="108"/>
        <v>5600000</v>
      </c>
      <c r="R139" s="62">
        <f t="shared" si="109"/>
        <v>5600000</v>
      </c>
      <c r="S139" s="62">
        <f t="shared" si="110"/>
        <v>5600000</v>
      </c>
      <c r="T139" s="62">
        <f t="shared" si="111"/>
        <v>5600000</v>
      </c>
      <c r="U139" s="62">
        <f t="shared" si="112"/>
        <v>5600000</v>
      </c>
      <c r="V139" s="62">
        <f t="shared" si="113"/>
        <v>5600000</v>
      </c>
      <c r="W139" s="62">
        <f t="shared" si="114"/>
        <v>5600000</v>
      </c>
      <c r="X139" s="62">
        <f t="shared" si="115"/>
        <v>5600000</v>
      </c>
      <c r="Y139" s="62">
        <f t="shared" si="116"/>
        <v>5600000</v>
      </c>
      <c r="Z139" s="62">
        <f t="shared" si="117"/>
        <v>5600000</v>
      </c>
      <c r="AA139" s="62">
        <f t="shared" si="118"/>
        <v>5600000</v>
      </c>
      <c r="AB139" s="62">
        <f t="shared" si="119"/>
        <v>5600000</v>
      </c>
      <c r="AC139" s="62">
        <f t="shared" si="120"/>
        <v>5600000</v>
      </c>
    </row>
    <row r="140" spans="1:44" x14ac:dyDescent="0.25">
      <c r="A140" s="30" t="str">
        <f t="shared" si="92"/>
        <v>Residual value (costumization)</v>
      </c>
      <c r="B140" s="62">
        <f t="shared" si="93"/>
        <v>-280000</v>
      </c>
      <c r="C140" s="62">
        <f t="shared" si="94"/>
        <v>-280000</v>
      </c>
      <c r="D140" s="62">
        <f t="shared" si="95"/>
        <v>-280000</v>
      </c>
      <c r="E140" s="62">
        <f t="shared" si="96"/>
        <v>-280000</v>
      </c>
      <c r="F140" s="62">
        <f t="shared" si="97"/>
        <v>-280000</v>
      </c>
      <c r="G140" s="62">
        <f t="shared" si="98"/>
        <v>-280000</v>
      </c>
      <c r="H140" s="62">
        <f t="shared" si="99"/>
        <v>-280000</v>
      </c>
      <c r="I140" s="62">
        <f t="shared" si="100"/>
        <v>-280000</v>
      </c>
      <c r="J140" s="62">
        <f t="shared" si="101"/>
        <v>-280000</v>
      </c>
      <c r="K140" s="62">
        <f t="shared" si="102"/>
        <v>-280000</v>
      </c>
      <c r="L140" s="62">
        <f t="shared" si="103"/>
        <v>-280000</v>
      </c>
      <c r="M140" s="62">
        <f t="shared" si="104"/>
        <v>-280000</v>
      </c>
      <c r="N140" s="62">
        <f t="shared" si="105"/>
        <v>-280000</v>
      </c>
      <c r="O140" s="62">
        <f t="shared" si="106"/>
        <v>-280000</v>
      </c>
      <c r="P140" s="62">
        <f t="shared" si="107"/>
        <v>-280000</v>
      </c>
      <c r="Q140" s="62">
        <f t="shared" si="108"/>
        <v>-280000</v>
      </c>
      <c r="R140" s="62">
        <f t="shared" si="109"/>
        <v>-280000</v>
      </c>
      <c r="S140" s="62">
        <f t="shared" si="110"/>
        <v>-280000</v>
      </c>
      <c r="T140" s="62">
        <f t="shared" si="111"/>
        <v>-280000</v>
      </c>
      <c r="U140" s="62">
        <f t="shared" si="112"/>
        <v>-280000</v>
      </c>
      <c r="V140" s="62">
        <f t="shared" si="113"/>
        <v>-280000</v>
      </c>
      <c r="W140" s="62">
        <f t="shared" si="114"/>
        <v>-280000</v>
      </c>
      <c r="X140" s="62">
        <f t="shared" si="115"/>
        <v>-280000</v>
      </c>
      <c r="Y140" s="62">
        <f t="shared" si="116"/>
        <v>-280000</v>
      </c>
      <c r="Z140" s="62">
        <f t="shared" si="117"/>
        <v>-280000</v>
      </c>
      <c r="AA140" s="62">
        <f t="shared" si="118"/>
        <v>-280000</v>
      </c>
      <c r="AB140" s="62">
        <f t="shared" si="119"/>
        <v>-280000</v>
      </c>
      <c r="AC140" s="62">
        <f t="shared" si="120"/>
        <v>-280000</v>
      </c>
    </row>
    <row r="141" spans="1:44" x14ac:dyDescent="0.25">
      <c r="A141" s="30" t="str">
        <f t="shared" si="92"/>
        <v>WACC</v>
      </c>
      <c r="B141" s="62">
        <f t="shared" si="93"/>
        <v>0.06</v>
      </c>
      <c r="C141" s="62">
        <f t="shared" si="94"/>
        <v>0.06</v>
      </c>
      <c r="D141" s="62">
        <f t="shared" si="95"/>
        <v>0.06</v>
      </c>
      <c r="E141" s="62">
        <f t="shared" si="96"/>
        <v>0.06</v>
      </c>
      <c r="F141" s="62">
        <f t="shared" si="97"/>
        <v>0.06</v>
      </c>
      <c r="G141" s="62">
        <f t="shared" si="98"/>
        <v>0.06</v>
      </c>
      <c r="H141" s="62">
        <f t="shared" si="99"/>
        <v>0.06</v>
      </c>
      <c r="I141" s="62">
        <f t="shared" si="100"/>
        <v>0.06</v>
      </c>
      <c r="J141" s="62">
        <f t="shared" si="101"/>
        <v>0.06</v>
      </c>
      <c r="K141" s="62">
        <f t="shared" si="102"/>
        <v>0.06</v>
      </c>
      <c r="L141" s="62">
        <f t="shared" si="103"/>
        <v>0.06</v>
      </c>
      <c r="M141" s="62">
        <f t="shared" si="104"/>
        <v>0.06</v>
      </c>
      <c r="N141" s="62">
        <f t="shared" si="105"/>
        <v>0.06</v>
      </c>
      <c r="O141" s="62">
        <f t="shared" si="106"/>
        <v>0.06</v>
      </c>
      <c r="P141" s="62">
        <f t="shared" si="107"/>
        <v>0.06</v>
      </c>
      <c r="Q141" s="62">
        <f t="shared" si="108"/>
        <v>0.06</v>
      </c>
      <c r="R141" s="62">
        <f t="shared" si="109"/>
        <v>0.06</v>
      </c>
      <c r="S141" s="62">
        <f t="shared" si="110"/>
        <v>0.06</v>
      </c>
      <c r="T141" s="62">
        <f t="shared" si="111"/>
        <v>0.06</v>
      </c>
      <c r="U141" s="62">
        <f t="shared" si="112"/>
        <v>0.06</v>
      </c>
      <c r="V141" s="62">
        <f t="shared" si="113"/>
        <v>0.06</v>
      </c>
      <c r="W141" s="62">
        <f t="shared" si="114"/>
        <v>0.06</v>
      </c>
      <c r="X141" s="62">
        <f t="shared" si="115"/>
        <v>0.06</v>
      </c>
      <c r="Y141" s="62">
        <f t="shared" si="116"/>
        <v>0.06</v>
      </c>
      <c r="Z141" s="62">
        <f t="shared" si="117"/>
        <v>0.06</v>
      </c>
      <c r="AA141" s="62">
        <f t="shared" si="118"/>
        <v>0.06</v>
      </c>
      <c r="AB141" s="62">
        <f t="shared" si="119"/>
        <v>0.06</v>
      </c>
      <c r="AC141" s="62">
        <f t="shared" si="120"/>
        <v>0.06</v>
      </c>
    </row>
    <row r="142" spans="1:44" x14ac:dyDescent="0.25">
      <c r="A142" s="30" t="str">
        <f t="shared" si="92"/>
        <v>Opex fix (admin, crew, insurance)</v>
      </c>
      <c r="B142" s="62">
        <f t="shared" si="93"/>
        <v>620000</v>
      </c>
      <c r="C142" s="62">
        <f t="shared" si="94"/>
        <v>620000</v>
      </c>
      <c r="D142" s="62">
        <f t="shared" si="95"/>
        <v>620000</v>
      </c>
      <c r="E142" s="62">
        <f t="shared" si="96"/>
        <v>620000</v>
      </c>
      <c r="F142" s="62">
        <f t="shared" si="97"/>
        <v>620000</v>
      </c>
      <c r="G142" s="62">
        <f t="shared" si="98"/>
        <v>620000</v>
      </c>
      <c r="H142" s="62">
        <f t="shared" si="99"/>
        <v>620000</v>
      </c>
      <c r="I142" s="62">
        <f t="shared" si="100"/>
        <v>620000</v>
      </c>
      <c r="J142" s="62">
        <f t="shared" si="101"/>
        <v>620000</v>
      </c>
      <c r="K142" s="62">
        <f t="shared" si="102"/>
        <v>620000</v>
      </c>
      <c r="L142" s="62">
        <f t="shared" si="103"/>
        <v>620000</v>
      </c>
      <c r="M142" s="62">
        <f t="shared" si="104"/>
        <v>620000</v>
      </c>
      <c r="N142" s="62">
        <f t="shared" si="105"/>
        <v>620000</v>
      </c>
      <c r="O142" s="62">
        <f t="shared" si="106"/>
        <v>620000</v>
      </c>
      <c r="P142" s="62">
        <f t="shared" si="107"/>
        <v>620000</v>
      </c>
      <c r="Q142" s="62">
        <f t="shared" si="108"/>
        <v>620000</v>
      </c>
      <c r="R142" s="62">
        <f t="shared" si="109"/>
        <v>620000</v>
      </c>
      <c r="S142" s="62">
        <f t="shared" si="110"/>
        <v>620000</v>
      </c>
      <c r="T142" s="62">
        <f t="shared" si="111"/>
        <v>620000</v>
      </c>
      <c r="U142" s="62">
        <f t="shared" si="112"/>
        <v>620000</v>
      </c>
      <c r="V142" s="62">
        <f t="shared" si="113"/>
        <v>620000</v>
      </c>
      <c r="W142" s="62">
        <f t="shared" si="114"/>
        <v>620000</v>
      </c>
      <c r="X142" s="62">
        <f t="shared" si="115"/>
        <v>620000</v>
      </c>
      <c r="Y142" s="62">
        <f t="shared" si="116"/>
        <v>620000</v>
      </c>
      <c r="Z142" s="62">
        <f t="shared" si="117"/>
        <v>620000</v>
      </c>
      <c r="AA142" s="62">
        <f t="shared" si="118"/>
        <v>620000</v>
      </c>
      <c r="AB142" s="62">
        <f t="shared" si="119"/>
        <v>620000</v>
      </c>
      <c r="AC142" s="62">
        <f t="shared" si="120"/>
        <v>620000</v>
      </c>
    </row>
    <row r="143" spans="1:44" x14ac:dyDescent="0.25">
      <c r="A143" s="30" t="str">
        <f t="shared" si="92"/>
        <v>Opex maintenance &amp; repair</v>
      </c>
      <c r="B143" s="62">
        <f t="shared" si="93"/>
        <v>1388910.2037228637</v>
      </c>
      <c r="C143" s="62">
        <f t="shared" si="94"/>
        <v>1384161.8820080096</v>
      </c>
      <c r="D143" s="62">
        <f t="shared" si="95"/>
        <v>1377419.9458533253</v>
      </c>
      <c r="E143" s="62">
        <f t="shared" si="96"/>
        <v>1367890.8669573795</v>
      </c>
      <c r="F143" s="62">
        <f t="shared" si="97"/>
        <v>1354512.2121062956</v>
      </c>
      <c r="G143" s="62">
        <f t="shared" si="98"/>
        <v>1335911.0252611889</v>
      </c>
      <c r="H143" s="62">
        <f t="shared" si="99"/>
        <v>1310409.4939683313</v>
      </c>
      <c r="I143" s="62">
        <f t="shared" si="100"/>
        <v>1276138.1685443469</v>
      </c>
      <c r="J143" s="62">
        <f t="shared" si="101"/>
        <v>1231338.9254820407</v>
      </c>
      <c r="K143" s="62">
        <f t="shared" si="102"/>
        <v>1174921.8508999445</v>
      </c>
      <c r="L143" s="62">
        <f t="shared" si="103"/>
        <v>1107222.9808538083</v>
      </c>
      <c r="M143" s="62">
        <f t="shared" si="104"/>
        <v>1030670.8821991365</v>
      </c>
      <c r="N143" s="62">
        <f t="shared" si="105"/>
        <v>949855.14573475695</v>
      </c>
      <c r="O143" s="62">
        <f t="shared" si="106"/>
        <v>870629.71180240111</v>
      </c>
      <c r="P143" s="62">
        <f t="shared" si="107"/>
        <v>798509.16855274222</v>
      </c>
      <c r="Q143" s="62">
        <f t="shared" si="108"/>
        <v>737216.97695338901</v>
      </c>
      <c r="R143" s="62">
        <f t="shared" si="109"/>
        <v>688132.90829190495</v>
      </c>
      <c r="S143" s="62">
        <f t="shared" si="110"/>
        <v>650679.58539676399</v>
      </c>
      <c r="T143" s="62">
        <f t="shared" si="111"/>
        <v>623148.38930799719</v>
      </c>
      <c r="U143" s="62">
        <f t="shared" si="112"/>
        <v>603463.98238910188</v>
      </c>
      <c r="V143" s="62">
        <f t="shared" si="113"/>
        <v>589668.12012529059</v>
      </c>
      <c r="W143" s="62">
        <f t="shared" si="114"/>
        <v>580134.33134103287</v>
      </c>
      <c r="X143" s="62">
        <f t="shared" si="115"/>
        <v>573609.8845890474</v>
      </c>
      <c r="Y143" s="62">
        <f t="shared" si="116"/>
        <v>569174.682073851</v>
      </c>
      <c r="Z143" s="62">
        <f t="shared" si="117"/>
        <v>566173.42988411163</v>
      </c>
      <c r="AA143" s="62">
        <f t="shared" si="118"/>
        <v>564148.78202354477</v>
      </c>
      <c r="AB143" s="62">
        <f t="shared" si="119"/>
        <v>562785.79914140829</v>
      </c>
      <c r="AC143" s="62">
        <f t="shared" si="120"/>
        <v>561869.53442032111</v>
      </c>
    </row>
    <row r="144" spans="1:44" x14ac:dyDescent="0.25">
      <c r="A144" s="30" t="str">
        <f t="shared" si="92"/>
        <v>Opex var (mode-fees, shunting)</v>
      </c>
      <c r="B144" s="62">
        <f t="shared" si="93"/>
        <v>3.6414565826330532</v>
      </c>
      <c r="C144" s="62">
        <f t="shared" si="94"/>
        <v>3.6414565826330532</v>
      </c>
      <c r="D144" s="62">
        <f t="shared" si="95"/>
        <v>3.6414565826330532</v>
      </c>
      <c r="E144" s="62">
        <f t="shared" si="96"/>
        <v>3.6414565826330532</v>
      </c>
      <c r="F144" s="62">
        <f t="shared" si="97"/>
        <v>3.6414565826330532</v>
      </c>
      <c r="G144" s="62">
        <f t="shared" si="98"/>
        <v>3.6414565826330532</v>
      </c>
      <c r="H144" s="62">
        <f t="shared" si="99"/>
        <v>3.6414565826330532</v>
      </c>
      <c r="I144" s="62">
        <f t="shared" si="100"/>
        <v>3.6414565826330532</v>
      </c>
      <c r="J144" s="62">
        <f t="shared" si="101"/>
        <v>3.6414565826330532</v>
      </c>
      <c r="K144" s="62">
        <f t="shared" si="102"/>
        <v>3.6414565826330532</v>
      </c>
      <c r="L144" s="62">
        <f t="shared" si="103"/>
        <v>3.6414565826330532</v>
      </c>
      <c r="M144" s="62">
        <f t="shared" si="104"/>
        <v>3.6414565826330532</v>
      </c>
      <c r="N144" s="62">
        <f t="shared" si="105"/>
        <v>3.6414565826330532</v>
      </c>
      <c r="O144" s="62">
        <f t="shared" si="106"/>
        <v>3.6414565826330532</v>
      </c>
      <c r="P144" s="62">
        <f t="shared" si="107"/>
        <v>3.6414565826330532</v>
      </c>
      <c r="Q144" s="62">
        <f t="shared" si="108"/>
        <v>3.6414565826330532</v>
      </c>
      <c r="R144" s="62">
        <f t="shared" si="109"/>
        <v>3.6414565826330532</v>
      </c>
      <c r="S144" s="62">
        <f t="shared" si="110"/>
        <v>3.6414565826330532</v>
      </c>
      <c r="T144" s="62">
        <f t="shared" si="111"/>
        <v>3.6414565826330532</v>
      </c>
      <c r="U144" s="62">
        <f t="shared" si="112"/>
        <v>3.6414565826330532</v>
      </c>
      <c r="V144" s="62">
        <f t="shared" si="113"/>
        <v>3.6414565826330532</v>
      </c>
      <c r="W144" s="62">
        <f t="shared" si="114"/>
        <v>3.6414565826330532</v>
      </c>
      <c r="X144" s="62">
        <f t="shared" si="115"/>
        <v>3.6414565826330532</v>
      </c>
      <c r="Y144" s="62">
        <f t="shared" si="116"/>
        <v>3.6414565826330532</v>
      </c>
      <c r="Z144" s="62">
        <f t="shared" si="117"/>
        <v>3.6414565826330532</v>
      </c>
      <c r="AA144" s="62">
        <f t="shared" si="118"/>
        <v>3.6414565826330532</v>
      </c>
      <c r="AB144" s="62">
        <f t="shared" si="119"/>
        <v>3.6414565826330532</v>
      </c>
      <c r="AC144" s="62">
        <f t="shared" si="120"/>
        <v>3.6414565826330532</v>
      </c>
    </row>
    <row r="145" spans="1:29" x14ac:dyDescent="0.25">
      <c r="A145" s="30" t="str">
        <f t="shared" si="92"/>
        <v>Fuel Economy</v>
      </c>
      <c r="B145" s="62">
        <f t="shared" si="93"/>
        <v>48.759236370320799</v>
      </c>
      <c r="C145" s="62">
        <f t="shared" si="94"/>
        <v>48.716746306766673</v>
      </c>
      <c r="D145" s="62">
        <f t="shared" si="95"/>
        <v>48.65641650754641</v>
      </c>
      <c r="E145" s="62">
        <f t="shared" si="96"/>
        <v>48.571146133672123</v>
      </c>
      <c r="F145" s="62">
        <f t="shared" si="97"/>
        <v>48.451428067157607</v>
      </c>
      <c r="G145" s="62">
        <f t="shared" si="98"/>
        <v>48.28497649569853</v>
      </c>
      <c r="H145" s="62">
        <f t="shared" si="99"/>
        <v>48.056777618193806</v>
      </c>
      <c r="I145" s="62">
        <f t="shared" si="100"/>
        <v>47.750102779630581</v>
      </c>
      <c r="J145" s="62">
        <f t="shared" si="101"/>
        <v>47.349219520406741</v>
      </c>
      <c r="K145" s="62">
        <f t="shared" si="102"/>
        <v>46.844374813479661</v>
      </c>
      <c r="L145" s="62">
        <f t="shared" si="103"/>
        <v>46.238575656736749</v>
      </c>
      <c r="M145" s="62">
        <f t="shared" si="104"/>
        <v>45.553553930668109</v>
      </c>
      <c r="N145" s="62">
        <f t="shared" si="105"/>
        <v>44.830379305030867</v>
      </c>
      <c r="O145" s="62">
        <f t="shared" si="106"/>
        <v>44.121435403365965</v>
      </c>
      <c r="P145" s="62">
        <f t="shared" si="107"/>
        <v>43.476069177094985</v>
      </c>
      <c r="Q145" s="62">
        <f t="shared" si="108"/>
        <v>42.92759978668257</v>
      </c>
      <c r="R145" s="62">
        <f t="shared" si="109"/>
        <v>42.488374030264865</v>
      </c>
      <c r="S145" s="62">
        <f t="shared" si="110"/>
        <v>42.153225283887942</v>
      </c>
      <c r="T145" s="62">
        <f t="shared" si="111"/>
        <v>41.906864076332596</v>
      </c>
      <c r="U145" s="62">
        <f t="shared" si="112"/>
        <v>41.730719376955413</v>
      </c>
      <c r="V145" s="62">
        <f t="shared" si="113"/>
        <v>41.60726795567966</v>
      </c>
      <c r="W145" s="62">
        <f t="shared" si="114"/>
        <v>41.52195543566075</v>
      </c>
      <c r="X145" s="62">
        <f t="shared" si="115"/>
        <v>41.463571826925872</v>
      </c>
      <c r="Y145" s="62">
        <f t="shared" si="116"/>
        <v>41.423883691188024</v>
      </c>
      <c r="Z145" s="62">
        <f t="shared" si="117"/>
        <v>41.397027171360179</v>
      </c>
      <c r="AA145" s="62">
        <f t="shared" si="118"/>
        <v>41.378909735045553</v>
      </c>
      <c r="AB145" s="62">
        <f t="shared" si="119"/>
        <v>41.366713166918338</v>
      </c>
      <c r="AC145" s="62">
        <f t="shared" si="120"/>
        <v>41.358514028660792</v>
      </c>
    </row>
    <row r="146" spans="1:29" x14ac:dyDescent="0.25">
      <c r="A146" s="30" t="str">
        <f t="shared" si="92"/>
        <v>Fuel Cost</v>
      </c>
      <c r="B146" s="62">
        <f t="shared" si="93"/>
        <v>0.25254227914256844</v>
      </c>
      <c r="C146" s="62">
        <f t="shared" si="94"/>
        <v>0.25172282033513138</v>
      </c>
      <c r="D146" s="62">
        <f t="shared" si="95"/>
        <v>0.25055930629945611</v>
      </c>
      <c r="E146" s="62">
        <f t="shared" si="96"/>
        <v>0.24891479101658942</v>
      </c>
      <c r="F146" s="62">
        <f t="shared" si="97"/>
        <v>0.24660592122895794</v>
      </c>
      <c r="G146" s="62">
        <f t="shared" si="98"/>
        <v>0.24339575407846328</v>
      </c>
      <c r="H146" s="62">
        <f t="shared" si="99"/>
        <v>0.23899473500772708</v>
      </c>
      <c r="I146" s="62">
        <f t="shared" si="100"/>
        <v>0.23308023697079527</v>
      </c>
      <c r="J146" s="62">
        <f t="shared" si="101"/>
        <v>0.22534884543953543</v>
      </c>
      <c r="K146" s="62">
        <f t="shared" si="102"/>
        <v>0.21561246458069289</v>
      </c>
      <c r="L146" s="62">
        <f t="shared" si="103"/>
        <v>0.20392908703293811</v>
      </c>
      <c r="M146" s="62">
        <f t="shared" si="104"/>
        <v>0.19071783151204119</v>
      </c>
      <c r="N146" s="62">
        <f t="shared" si="105"/>
        <v>0.17677076326304775</v>
      </c>
      <c r="O146" s="62">
        <f t="shared" si="106"/>
        <v>0.16309814722993504</v>
      </c>
      <c r="P146" s="62">
        <f t="shared" si="107"/>
        <v>0.15065168342395555</v>
      </c>
      <c r="Q146" s="62">
        <f t="shared" si="108"/>
        <v>0.14007396159940294</v>
      </c>
      <c r="R146" s="62">
        <f t="shared" si="109"/>
        <v>0.13160310078058535</v>
      </c>
      <c r="S146" s="62">
        <f t="shared" si="110"/>
        <v>0.12513945801219511</v>
      </c>
      <c r="T146" s="62">
        <f t="shared" si="111"/>
        <v>0.1203881621925289</v>
      </c>
      <c r="U146" s="62">
        <f t="shared" si="112"/>
        <v>0.11699105441686944</v>
      </c>
      <c r="V146" s="62">
        <f t="shared" si="113"/>
        <v>0.11461018354982119</v>
      </c>
      <c r="W146" s="62">
        <f t="shared" si="114"/>
        <v>0.11296485544093068</v>
      </c>
      <c r="X146" s="62">
        <f t="shared" si="115"/>
        <v>0.11183887542617238</v>
      </c>
      <c r="Y146" s="62">
        <f t="shared" si="116"/>
        <v>0.11107345429801357</v>
      </c>
      <c r="Z146" s="62">
        <f t="shared" si="117"/>
        <v>0.11055550233773928</v>
      </c>
      <c r="AA146" s="62">
        <f t="shared" si="118"/>
        <v>0.11020609140458582</v>
      </c>
      <c r="AB146" s="62">
        <f t="shared" si="119"/>
        <v>0.10997086970011311</v>
      </c>
      <c r="AC146" s="62">
        <f t="shared" si="120"/>
        <v>0.10981274199926885</v>
      </c>
    </row>
    <row r="147" spans="1:29" x14ac:dyDescent="0.25">
      <c r="A147" s="30" t="str">
        <f t="shared" ref="A147" si="121">A127</f>
        <v>Emission Cost</v>
      </c>
      <c r="B147" s="66">
        <f>$B127+($C127-$B127)*(1-Q127)</f>
        <v>0.17582388128473975</v>
      </c>
      <c r="C147" s="66">
        <f t="shared" ref="C147" si="122">$B127+($C127-$B127)*(1-R127)</f>
        <v>0.17565645410997111</v>
      </c>
      <c r="D147" s="66">
        <f t="shared" ref="D147" si="123">$B127+($C127-$B127)*(1-S127)</f>
        <v>0.17541678583842943</v>
      </c>
      <c r="E147" s="66">
        <f t="shared" ref="E147" si="124">$B127+($C127-$B127)*(1-T127)</f>
        <v>0.17507392352176276</v>
      </c>
      <c r="F147" s="66">
        <f t="shared" ref="F147" si="125">$B127+($C127-$B127)*(1-U127)</f>
        <v>0.17458389761491974</v>
      </c>
      <c r="G147" s="66">
        <f t="shared" ref="G147" si="126">$B127+($C127-$B127)*(1-V127)</f>
        <v>0.17388452474686475</v>
      </c>
      <c r="H147" s="66">
        <f t="shared" ref="H147" si="127">$B127+($C127-$B127)*(1-W127)</f>
        <v>0.17288844620780905</v>
      </c>
      <c r="I147" s="66">
        <f t="shared" ref="I147" si="128">$B127+($C127-$B127)*(1-X127)</f>
        <v>0.17147415747198971</v>
      </c>
      <c r="J147" s="66">
        <f t="shared" ref="J147" si="129">$B127+($C127-$B127)*(1-Y127)</f>
        <v>0.16947519624837942</v>
      </c>
      <c r="K147" s="66">
        <f t="shared" ref="K147" si="130">$B127+($C127-$B127)*(1-Z127)</f>
        <v>0.16666869075467838</v>
      </c>
      <c r="L147" s="66">
        <f t="shared" ref="L147" si="131">$B127+($C127-$B127)*(1-AA127)</f>
        <v>0.16276662932539185</v>
      </c>
      <c r="M147" s="66">
        <f t="shared" ref="M147" si="132">$B127+($C127-$B127)*(1-AB127)</f>
        <v>0.15741704908224841</v>
      </c>
      <c r="N147" s="66">
        <f t="shared" ref="N147" si="133">$B127+($C127-$B127)*(1-AC127)</f>
        <v>0.15022778647330717</v>
      </c>
      <c r="O147" s="66">
        <f t="shared" ref="O147" si="134">$B127+($C127-$B127)*(1-AD127)</f>
        <v>0.14083003138002706</v>
      </c>
      <c r="P147" s="66">
        <f t="shared" ref="P147" si="135">$B127+($C127-$B127)*(1-AE127)</f>
        <v>0.12899514726681846</v>
      </c>
      <c r="Q147" s="66">
        <f t="shared" ref="Q147" si="136">$B127+($C127-$B127)*(1-AF127)</f>
        <v>0.11479362605136975</v>
      </c>
      <c r="R147" s="66">
        <f t="shared" ref="R147" si="137">$B127+($C127-$B127)*(1-AG127)</f>
        <v>9.8734920014022967E-2</v>
      </c>
      <c r="S147" s="66">
        <f t="shared" ref="S147" si="138">$B127+($C127-$B127)*(1-AH127)</f>
        <v>8.1781809937608918E-2</v>
      </c>
      <c r="T147" s="66">
        <f t="shared" ref="T147" si="139">$B127+($C127-$B127)*(1-AI127)</f>
        <v>6.5162305357595693E-2</v>
      </c>
      <c r="U147" s="66">
        <f t="shared" ref="U147" si="140">$B127+($C127-$B127)*(1-AJ127)</f>
        <v>5.0033228249931727E-2</v>
      </c>
      <c r="V147" s="66">
        <f t="shared" ref="V147" si="141">$B127+($C127-$B127)*(1-AK127)</f>
        <v>3.7175667130427636E-2</v>
      </c>
      <c r="W147" s="66">
        <f t="shared" ref="W147" si="142">$B127+($C127-$B127)*(1-AL127)</f>
        <v>2.6879063332438669E-2</v>
      </c>
      <c r="X147" s="66">
        <f t="shared" ref="X147" si="143">$B127+($C127-$B127)*(1-AM127)</f>
        <v>1.9022297638684654E-2</v>
      </c>
      <c r="Y147" s="66">
        <f t="shared" ref="Y147" si="144">$B127+($C127-$B127)*(1-AN127)</f>
        <v>1.324694474025595E-2</v>
      </c>
      <c r="Z147" s="66">
        <f t="shared" ref="Z147" si="145">$B127+($C127-$B127)*(1-AO127)</f>
        <v>9.1176509679713191E-3</v>
      </c>
      <c r="AA147" s="66">
        <f t="shared" ref="AA147" si="146">$B127+($C127-$B127)*(1-AP127)</f>
        <v>6.2236258462609606E-3</v>
      </c>
      <c r="AB147" s="66">
        <f t="shared" ref="AB147" si="147">$B127+($C127-$B127)*(1-AQ127)</f>
        <v>4.2236766064734643E-3</v>
      </c>
      <c r="AC147" s="66">
        <f t="shared" ref="AC147" si="148">$B127+($C127-$B127)*(1-AR127)</f>
        <v>2.8550116803935655E-3</v>
      </c>
    </row>
    <row r="148" spans="1:29" x14ac:dyDescent="0.25">
      <c r="A148" s="30" t="str">
        <f>A128</f>
        <v>Lifetime vehicle</v>
      </c>
      <c r="B148" s="62">
        <f>$B128+($C128-$B128)*(1-Q128)</f>
        <v>20</v>
      </c>
      <c r="C148" s="62">
        <f t="shared" ref="C148:L150" si="149">$B128+($C128-$B128)*(1-R128)</f>
        <v>20</v>
      </c>
      <c r="D148" s="62">
        <f t="shared" si="149"/>
        <v>20</v>
      </c>
      <c r="E148" s="62">
        <f t="shared" si="149"/>
        <v>20</v>
      </c>
      <c r="F148" s="62">
        <f t="shared" si="149"/>
        <v>20</v>
      </c>
      <c r="G148" s="62">
        <f t="shared" si="149"/>
        <v>20</v>
      </c>
      <c r="H148" s="62">
        <f t="shared" si="149"/>
        <v>20</v>
      </c>
      <c r="I148" s="62">
        <f t="shared" si="149"/>
        <v>20</v>
      </c>
      <c r="J148" s="62">
        <f t="shared" si="149"/>
        <v>20</v>
      </c>
      <c r="K148" s="62">
        <f t="shared" si="149"/>
        <v>20</v>
      </c>
      <c r="L148" s="62">
        <f t="shared" si="149"/>
        <v>20</v>
      </c>
      <c r="M148" s="62">
        <f t="shared" ref="M148:V150" si="150">$B128+($C128-$B128)*(1-AB128)</f>
        <v>20</v>
      </c>
      <c r="N148" s="62">
        <f t="shared" si="150"/>
        <v>20</v>
      </c>
      <c r="O148" s="62">
        <f t="shared" si="150"/>
        <v>20</v>
      </c>
      <c r="P148" s="62">
        <f t="shared" si="150"/>
        <v>20</v>
      </c>
      <c r="Q148" s="62">
        <f t="shared" si="150"/>
        <v>20</v>
      </c>
      <c r="R148" s="62">
        <f t="shared" si="150"/>
        <v>20</v>
      </c>
      <c r="S148" s="62">
        <f t="shared" si="150"/>
        <v>20</v>
      </c>
      <c r="T148" s="62">
        <f t="shared" si="150"/>
        <v>20</v>
      </c>
      <c r="U148" s="62">
        <f t="shared" si="150"/>
        <v>20</v>
      </c>
      <c r="V148" s="62">
        <f t="shared" si="150"/>
        <v>20</v>
      </c>
      <c r="W148" s="62">
        <f t="shared" ref="W148:AC150" si="151">$B128+($C128-$B128)*(1-AL128)</f>
        <v>20</v>
      </c>
      <c r="X148" s="62">
        <f t="shared" si="151"/>
        <v>20</v>
      </c>
      <c r="Y148" s="62">
        <f t="shared" si="151"/>
        <v>20</v>
      </c>
      <c r="Z148" s="62">
        <f t="shared" si="151"/>
        <v>20</v>
      </c>
      <c r="AA148" s="62">
        <f t="shared" si="151"/>
        <v>20</v>
      </c>
      <c r="AB148" s="62">
        <f t="shared" si="151"/>
        <v>20</v>
      </c>
      <c r="AC148" s="62">
        <f t="shared" si="151"/>
        <v>20</v>
      </c>
    </row>
    <row r="149" spans="1:29" x14ac:dyDescent="0.25">
      <c r="A149" s="30" t="str">
        <f>A129</f>
        <v>Lifetime costumization</v>
      </c>
      <c r="B149" s="62">
        <f>$B129+($C129-$B129)*(1-Q129)</f>
        <v>30</v>
      </c>
      <c r="C149" s="62">
        <f t="shared" si="149"/>
        <v>30</v>
      </c>
      <c r="D149" s="62">
        <f t="shared" si="149"/>
        <v>30</v>
      </c>
      <c r="E149" s="62">
        <f t="shared" si="149"/>
        <v>30</v>
      </c>
      <c r="F149" s="62">
        <f t="shared" si="149"/>
        <v>30</v>
      </c>
      <c r="G149" s="62">
        <f t="shared" si="149"/>
        <v>30</v>
      </c>
      <c r="H149" s="62">
        <f t="shared" si="149"/>
        <v>30</v>
      </c>
      <c r="I149" s="62">
        <f t="shared" si="149"/>
        <v>30</v>
      </c>
      <c r="J149" s="62">
        <f t="shared" si="149"/>
        <v>30</v>
      </c>
      <c r="K149" s="62">
        <f t="shared" si="149"/>
        <v>30</v>
      </c>
      <c r="L149" s="62">
        <f t="shared" si="149"/>
        <v>30</v>
      </c>
      <c r="M149" s="62">
        <f t="shared" si="150"/>
        <v>30</v>
      </c>
      <c r="N149" s="62">
        <f t="shared" si="150"/>
        <v>30</v>
      </c>
      <c r="O149" s="62">
        <f t="shared" si="150"/>
        <v>30</v>
      </c>
      <c r="P149" s="62">
        <f t="shared" si="150"/>
        <v>30</v>
      </c>
      <c r="Q149" s="62">
        <f t="shared" si="150"/>
        <v>30</v>
      </c>
      <c r="R149" s="62">
        <f t="shared" si="150"/>
        <v>30</v>
      </c>
      <c r="S149" s="62">
        <f t="shared" si="150"/>
        <v>30</v>
      </c>
      <c r="T149" s="62">
        <f t="shared" si="150"/>
        <v>30</v>
      </c>
      <c r="U149" s="62">
        <f t="shared" si="150"/>
        <v>30</v>
      </c>
      <c r="V149" s="62">
        <f t="shared" si="150"/>
        <v>30</v>
      </c>
      <c r="W149" s="62">
        <f t="shared" si="151"/>
        <v>30</v>
      </c>
      <c r="X149" s="62">
        <f t="shared" si="151"/>
        <v>30</v>
      </c>
      <c r="Y149" s="62">
        <f t="shared" si="151"/>
        <v>30</v>
      </c>
      <c r="Z149" s="62">
        <f t="shared" si="151"/>
        <v>30</v>
      </c>
      <c r="AA149" s="62">
        <f t="shared" si="151"/>
        <v>30</v>
      </c>
      <c r="AB149" s="62">
        <f t="shared" si="151"/>
        <v>30</v>
      </c>
      <c r="AC149" s="62">
        <f t="shared" si="151"/>
        <v>30</v>
      </c>
    </row>
    <row r="150" spans="1:29" x14ac:dyDescent="0.25">
      <c r="A150" s="30" t="str">
        <f>A130</f>
        <v>Tonnage .</v>
      </c>
      <c r="B150" s="62">
        <f>$B130+($C130-$B130)*(1-Q130)</f>
        <v>2240</v>
      </c>
      <c r="C150" s="62">
        <f t="shared" si="149"/>
        <v>2240</v>
      </c>
      <c r="D150" s="62">
        <f t="shared" si="149"/>
        <v>2240</v>
      </c>
      <c r="E150" s="62">
        <f t="shared" si="149"/>
        <v>2240</v>
      </c>
      <c r="F150" s="62">
        <f t="shared" si="149"/>
        <v>2240</v>
      </c>
      <c r="G150" s="62">
        <f t="shared" si="149"/>
        <v>2240</v>
      </c>
      <c r="H150" s="62">
        <f t="shared" si="149"/>
        <v>2240</v>
      </c>
      <c r="I150" s="62">
        <f t="shared" si="149"/>
        <v>2240</v>
      </c>
      <c r="J150" s="62">
        <f t="shared" si="149"/>
        <v>2240</v>
      </c>
      <c r="K150" s="62">
        <f t="shared" si="149"/>
        <v>2240</v>
      </c>
      <c r="L150" s="62">
        <f t="shared" si="149"/>
        <v>2240</v>
      </c>
      <c r="M150" s="62">
        <f t="shared" si="150"/>
        <v>2240</v>
      </c>
      <c r="N150" s="62">
        <f t="shared" si="150"/>
        <v>2240</v>
      </c>
      <c r="O150" s="62">
        <f t="shared" si="150"/>
        <v>2240</v>
      </c>
      <c r="P150" s="62">
        <f t="shared" si="150"/>
        <v>2240</v>
      </c>
      <c r="Q150" s="62">
        <f t="shared" si="150"/>
        <v>2240</v>
      </c>
      <c r="R150" s="62">
        <f t="shared" si="150"/>
        <v>2240</v>
      </c>
      <c r="S150" s="62">
        <f t="shared" si="150"/>
        <v>2240</v>
      </c>
      <c r="T150" s="62">
        <f t="shared" si="150"/>
        <v>2240</v>
      </c>
      <c r="U150" s="62">
        <f t="shared" si="150"/>
        <v>2240</v>
      </c>
      <c r="V150" s="62">
        <f t="shared" si="150"/>
        <v>2240</v>
      </c>
      <c r="W150" s="62">
        <f t="shared" si="151"/>
        <v>2240</v>
      </c>
      <c r="X150" s="62">
        <f t="shared" si="151"/>
        <v>2240</v>
      </c>
      <c r="Y150" s="62">
        <f t="shared" si="151"/>
        <v>2240</v>
      </c>
      <c r="Z150" s="62">
        <f t="shared" si="151"/>
        <v>2240</v>
      </c>
      <c r="AA150" s="62">
        <f t="shared" si="151"/>
        <v>2240</v>
      </c>
      <c r="AB150" s="62">
        <f t="shared" si="151"/>
        <v>2240</v>
      </c>
      <c r="AC150" s="62">
        <f t="shared" si="151"/>
        <v>2240</v>
      </c>
    </row>
    <row r="151" spans="1:29" x14ac:dyDescent="0.25">
      <c r="A151" s="30" t="str">
        <f>A131</f>
        <v>Market failure (av. utilization)</v>
      </c>
      <c r="B151" s="62">
        <f t="shared" ref="B151:K152" si="152">($B131+($C131-$B131)*(1-Q131))*B$44</f>
        <v>955.73333333333335</v>
      </c>
      <c r="C151" s="62">
        <f t="shared" si="152"/>
        <v>955.73333333333335</v>
      </c>
      <c r="D151" s="62">
        <f t="shared" si="152"/>
        <v>955.73333333333335</v>
      </c>
      <c r="E151" s="62">
        <f t="shared" si="152"/>
        <v>955.73333333333335</v>
      </c>
      <c r="F151" s="62">
        <f t="shared" si="152"/>
        <v>955.73333333333335</v>
      </c>
      <c r="G151" s="62">
        <f t="shared" si="152"/>
        <v>955.73333333333335</v>
      </c>
      <c r="H151" s="62">
        <f t="shared" si="152"/>
        <v>955.73333333333335</v>
      </c>
      <c r="I151" s="62">
        <f t="shared" si="152"/>
        <v>955.73333333333335</v>
      </c>
      <c r="J151" s="62">
        <f t="shared" si="152"/>
        <v>955.73333333333335</v>
      </c>
      <c r="K151" s="62">
        <f t="shared" si="152"/>
        <v>955.73333333333335</v>
      </c>
      <c r="L151" s="62">
        <f t="shared" ref="L151:U152" si="153">($B131+($C131-$B131)*(1-AA131))*L$44</f>
        <v>955.73333333333335</v>
      </c>
      <c r="M151" s="62">
        <f t="shared" si="153"/>
        <v>955.73333333333335</v>
      </c>
      <c r="N151" s="62">
        <f t="shared" si="153"/>
        <v>955.73333333333335</v>
      </c>
      <c r="O151" s="62">
        <f t="shared" si="153"/>
        <v>955.73333333333335</v>
      </c>
      <c r="P151" s="62">
        <f t="shared" si="153"/>
        <v>955.73333333333335</v>
      </c>
      <c r="Q151" s="62">
        <f t="shared" si="153"/>
        <v>955.73333333333335</v>
      </c>
      <c r="R151" s="62">
        <f t="shared" si="153"/>
        <v>955.73333333333335</v>
      </c>
      <c r="S151" s="62">
        <f t="shared" si="153"/>
        <v>955.73333333333335</v>
      </c>
      <c r="T151" s="62">
        <f t="shared" si="153"/>
        <v>955.73333333333335</v>
      </c>
      <c r="U151" s="62">
        <f t="shared" si="153"/>
        <v>955.73333333333335</v>
      </c>
      <c r="V151" s="62">
        <f t="shared" ref="V151:AC152" si="154">($B131+($C131-$B131)*(1-AK131))*V$44</f>
        <v>955.73333333333335</v>
      </c>
      <c r="W151" s="62">
        <f t="shared" si="154"/>
        <v>955.73333333333335</v>
      </c>
      <c r="X151" s="62">
        <f t="shared" si="154"/>
        <v>955.73333333333335</v>
      </c>
      <c r="Y151" s="62">
        <f t="shared" si="154"/>
        <v>955.73333333333335</v>
      </c>
      <c r="Z151" s="62">
        <f t="shared" si="154"/>
        <v>955.73333333333335</v>
      </c>
      <c r="AA151" s="62">
        <f t="shared" si="154"/>
        <v>955.73333333333335</v>
      </c>
      <c r="AB151" s="62">
        <f t="shared" si="154"/>
        <v>955.73333333333335</v>
      </c>
      <c r="AC151" s="62">
        <f t="shared" si="154"/>
        <v>955.73333333333335</v>
      </c>
    </row>
    <row r="152" spans="1:29" x14ac:dyDescent="0.25">
      <c r="A152" s="30" t="s">
        <v>73</v>
      </c>
      <c r="B152" s="62">
        <f t="shared" si="152"/>
        <v>40</v>
      </c>
      <c r="C152" s="62">
        <f t="shared" si="152"/>
        <v>40</v>
      </c>
      <c r="D152" s="62">
        <f t="shared" si="152"/>
        <v>40</v>
      </c>
      <c r="E152" s="62">
        <f t="shared" si="152"/>
        <v>40</v>
      </c>
      <c r="F152" s="62">
        <f t="shared" si="152"/>
        <v>40</v>
      </c>
      <c r="G152" s="62">
        <f t="shared" si="152"/>
        <v>40</v>
      </c>
      <c r="H152" s="62">
        <f t="shared" si="152"/>
        <v>40</v>
      </c>
      <c r="I152" s="62">
        <f t="shared" si="152"/>
        <v>40</v>
      </c>
      <c r="J152" s="62">
        <f t="shared" si="152"/>
        <v>40</v>
      </c>
      <c r="K152" s="62">
        <f t="shared" si="152"/>
        <v>40</v>
      </c>
      <c r="L152" s="62">
        <f t="shared" si="153"/>
        <v>40</v>
      </c>
      <c r="M152" s="62">
        <f t="shared" si="153"/>
        <v>40</v>
      </c>
      <c r="N152" s="62">
        <f t="shared" si="153"/>
        <v>40</v>
      </c>
      <c r="O152" s="62">
        <f t="shared" si="153"/>
        <v>40</v>
      </c>
      <c r="P152" s="62">
        <f t="shared" si="153"/>
        <v>40</v>
      </c>
      <c r="Q152" s="62">
        <f t="shared" si="153"/>
        <v>40</v>
      </c>
      <c r="R152" s="62">
        <f t="shared" si="153"/>
        <v>40</v>
      </c>
      <c r="S152" s="62">
        <f t="shared" si="153"/>
        <v>40</v>
      </c>
      <c r="T152" s="62">
        <f t="shared" si="153"/>
        <v>40</v>
      </c>
      <c r="U152" s="62">
        <f t="shared" si="153"/>
        <v>40</v>
      </c>
      <c r="V152" s="62">
        <f t="shared" si="154"/>
        <v>40</v>
      </c>
      <c r="W152" s="62">
        <f t="shared" si="154"/>
        <v>40</v>
      </c>
      <c r="X152" s="62">
        <f t="shared" si="154"/>
        <v>40</v>
      </c>
      <c r="Y152" s="62">
        <f t="shared" si="154"/>
        <v>40</v>
      </c>
      <c r="Z152" s="62">
        <f t="shared" si="154"/>
        <v>40</v>
      </c>
      <c r="AA152" s="62">
        <f t="shared" si="154"/>
        <v>40</v>
      </c>
      <c r="AB152" s="62">
        <f t="shared" si="154"/>
        <v>40</v>
      </c>
      <c r="AC152" s="62">
        <f t="shared" si="154"/>
        <v>40</v>
      </c>
    </row>
    <row r="153" spans="1:29" x14ac:dyDescent="0.25">
      <c r="A153" s="30" t="str">
        <f>A133</f>
        <v>Annual Mileage</v>
      </c>
      <c r="B153" s="62">
        <f t="shared" ref="B153:AC153" si="155">$B133+($C133-$B133)*(1-Q133)</f>
        <v>178500</v>
      </c>
      <c r="C153" s="62">
        <f t="shared" si="155"/>
        <v>178500</v>
      </c>
      <c r="D153" s="62">
        <f t="shared" si="155"/>
        <v>178500</v>
      </c>
      <c r="E153" s="62">
        <f t="shared" si="155"/>
        <v>178500</v>
      </c>
      <c r="F153" s="62">
        <f t="shared" si="155"/>
        <v>178500</v>
      </c>
      <c r="G153" s="62">
        <f t="shared" si="155"/>
        <v>178500</v>
      </c>
      <c r="H153" s="62">
        <f t="shared" si="155"/>
        <v>178500</v>
      </c>
      <c r="I153" s="62">
        <f t="shared" si="155"/>
        <v>178500</v>
      </c>
      <c r="J153" s="62">
        <f t="shared" si="155"/>
        <v>178500</v>
      </c>
      <c r="K153" s="62">
        <f t="shared" si="155"/>
        <v>178500</v>
      </c>
      <c r="L153" s="62">
        <f t="shared" si="155"/>
        <v>178500</v>
      </c>
      <c r="M153" s="62">
        <f t="shared" si="155"/>
        <v>178500</v>
      </c>
      <c r="N153" s="62">
        <f t="shared" si="155"/>
        <v>178500</v>
      </c>
      <c r="O153" s="62">
        <f t="shared" si="155"/>
        <v>178500</v>
      </c>
      <c r="P153" s="62">
        <f t="shared" si="155"/>
        <v>178500</v>
      </c>
      <c r="Q153" s="62">
        <f t="shared" si="155"/>
        <v>178500</v>
      </c>
      <c r="R153" s="62">
        <f t="shared" si="155"/>
        <v>178500</v>
      </c>
      <c r="S153" s="62">
        <f t="shared" si="155"/>
        <v>178500</v>
      </c>
      <c r="T153" s="62">
        <f t="shared" si="155"/>
        <v>178500</v>
      </c>
      <c r="U153" s="62">
        <f t="shared" si="155"/>
        <v>178500</v>
      </c>
      <c r="V153" s="62">
        <f t="shared" si="155"/>
        <v>178500</v>
      </c>
      <c r="W153" s="62">
        <f t="shared" si="155"/>
        <v>178500</v>
      </c>
      <c r="X153" s="62">
        <f t="shared" si="155"/>
        <v>178500</v>
      </c>
      <c r="Y153" s="62">
        <f t="shared" si="155"/>
        <v>178500</v>
      </c>
      <c r="Z153" s="62">
        <f t="shared" si="155"/>
        <v>178500</v>
      </c>
      <c r="AA153" s="62">
        <f t="shared" si="155"/>
        <v>178500</v>
      </c>
      <c r="AB153" s="62">
        <f t="shared" si="155"/>
        <v>178500</v>
      </c>
      <c r="AC153" s="62">
        <f t="shared" si="155"/>
        <v>178500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864939.43423004472</v>
      </c>
      <c r="C156" s="63">
        <f t="shared" ref="C156:AC156" si="156">((1+C141)^C148)*C141/(((1+C141)^C148)-1)*(C137)</f>
        <v>861982.43190795113</v>
      </c>
      <c r="D156" s="63">
        <f t="shared" si="156"/>
        <v>857783.91250214854</v>
      </c>
      <c r="E156" s="63">
        <f t="shared" si="156"/>
        <v>851849.70877400215</v>
      </c>
      <c r="F156" s="63">
        <f t="shared" si="156"/>
        <v>843518.19380158815</v>
      </c>
      <c r="G156" s="63">
        <f t="shared" si="156"/>
        <v>831934.36355634325</v>
      </c>
      <c r="H156" s="63">
        <f t="shared" si="156"/>
        <v>816053.36564206402</v>
      </c>
      <c r="I156" s="63">
        <f t="shared" si="156"/>
        <v>794711.00618420995</v>
      </c>
      <c r="J156" s="63">
        <f t="shared" si="156"/>
        <v>766812.41933217109</v>
      </c>
      <c r="K156" s="63">
        <f t="shared" si="156"/>
        <v>731678.86466524214</v>
      </c>
      <c r="L156" s="63">
        <f t="shared" si="156"/>
        <v>689519.60757377208</v>
      </c>
      <c r="M156" s="63">
        <f t="shared" si="156"/>
        <v>641847.03038194508</v>
      </c>
      <c r="N156" s="63">
        <f t="shared" si="156"/>
        <v>591519.28623619571</v>
      </c>
      <c r="O156" s="63">
        <f t="shared" si="156"/>
        <v>542181.89795982966</v>
      </c>
      <c r="P156" s="63">
        <f t="shared" si="156"/>
        <v>497269.05787303421</v>
      </c>
      <c r="Q156" s="63">
        <f t="shared" si="156"/>
        <v>459099.53951067774</v>
      </c>
      <c r="R156" s="63">
        <f t="shared" si="156"/>
        <v>428532.59107587172</v>
      </c>
      <c r="S156" s="63">
        <f t="shared" si="156"/>
        <v>405208.65276213008</v>
      </c>
      <c r="T156" s="63">
        <f t="shared" si="156"/>
        <v>388063.68751897325</v>
      </c>
      <c r="U156" s="63">
        <f t="shared" si="156"/>
        <v>375805.28540057357</v>
      </c>
      <c r="V156" s="63">
        <f t="shared" si="156"/>
        <v>367213.95583211613</v>
      </c>
      <c r="W156" s="63">
        <f t="shared" si="156"/>
        <v>361276.81903592765</v>
      </c>
      <c r="X156" s="63">
        <f t="shared" si="156"/>
        <v>357213.74046742113</v>
      </c>
      <c r="Y156" s="63">
        <f t="shared" si="156"/>
        <v>354451.73213606392</v>
      </c>
      <c r="Z156" s="63">
        <f t="shared" si="156"/>
        <v>352582.71183221939</v>
      </c>
      <c r="AA156" s="63">
        <f t="shared" si="156"/>
        <v>351321.86878395046</v>
      </c>
      <c r="AB156" s="63">
        <f t="shared" si="156"/>
        <v>350473.07550719258</v>
      </c>
      <c r="AC156" s="63">
        <f t="shared" si="156"/>
        <v>349902.47455161036</v>
      </c>
    </row>
    <row r="157" spans="1:29" x14ac:dyDescent="0.25">
      <c r="A157" s="30" t="str">
        <f>A138</f>
        <v>Residual value (vehicle)</v>
      </c>
      <c r="B157" s="62">
        <f>((1+B141)^B148)*B141/(((1+B141)^B148)-1)*(B138)</f>
        <v>-43707.380747400188</v>
      </c>
      <c r="C157" s="62">
        <f t="shared" ref="C157:AC157" si="157">((1+C141)^C148)*C141/(((1+C141)^C148)-1)*(C138)</f>
        <v>-43756.664119435081</v>
      </c>
      <c r="D157" s="62">
        <f t="shared" si="157"/>
        <v>-43826.639442865126</v>
      </c>
      <c r="E157" s="62">
        <f t="shared" si="157"/>
        <v>-43925.54283833423</v>
      </c>
      <c r="F157" s="62">
        <f t="shared" si="157"/>
        <v>-44064.401421207796</v>
      </c>
      <c r="G157" s="62">
        <f t="shared" si="157"/>
        <v>-44257.465258628545</v>
      </c>
      <c r="H157" s="62">
        <f t="shared" si="157"/>
        <v>-44522.148557199871</v>
      </c>
      <c r="I157" s="62">
        <f t="shared" si="157"/>
        <v>-44877.854548164105</v>
      </c>
      <c r="J157" s="62">
        <f t="shared" si="157"/>
        <v>-45342.830995698081</v>
      </c>
      <c r="K157" s="62">
        <f t="shared" si="157"/>
        <v>-45928.390240146902</v>
      </c>
      <c r="L157" s="62">
        <f t="shared" si="157"/>
        <v>-46631.044525004734</v>
      </c>
      <c r="M157" s="62">
        <f t="shared" si="157"/>
        <v>-47425.587478201858</v>
      </c>
      <c r="N157" s="62">
        <f t="shared" si="157"/>
        <v>-48264.383213964342</v>
      </c>
      <c r="O157" s="62">
        <f t="shared" si="157"/>
        <v>-49086.673018570444</v>
      </c>
      <c r="P157" s="62">
        <f t="shared" si="157"/>
        <v>-49835.220353350363</v>
      </c>
      <c r="Q157" s="62">
        <f t="shared" si="157"/>
        <v>-50471.378992722974</v>
      </c>
      <c r="R157" s="62">
        <f t="shared" si="157"/>
        <v>-50980.828133303068</v>
      </c>
      <c r="S157" s="62">
        <f t="shared" si="157"/>
        <v>-51369.560438532098</v>
      </c>
      <c r="T157" s="62">
        <f t="shared" si="157"/>
        <v>-51655.309859251378</v>
      </c>
      <c r="U157" s="62">
        <f t="shared" si="157"/>
        <v>-51859.616561224706</v>
      </c>
      <c r="V157" s="62">
        <f t="shared" si="157"/>
        <v>-52002.805387365668</v>
      </c>
      <c r="W157" s="62">
        <f t="shared" si="157"/>
        <v>-52101.757667302139</v>
      </c>
      <c r="X157" s="62">
        <f t="shared" si="157"/>
        <v>-52169.475643443919</v>
      </c>
      <c r="Y157" s="62">
        <f t="shared" si="157"/>
        <v>-52215.509115633206</v>
      </c>
      <c r="Z157" s="62">
        <f t="shared" si="157"/>
        <v>-52246.659454030618</v>
      </c>
      <c r="AA157" s="62">
        <f t="shared" si="157"/>
        <v>-52267.673504835089</v>
      </c>
      <c r="AB157" s="62">
        <f t="shared" si="157"/>
        <v>-52281.820059447724</v>
      </c>
      <c r="AC157" s="62">
        <f t="shared" si="157"/>
        <v>-52291.330075374099</v>
      </c>
    </row>
    <row r="158" spans="1:29" x14ac:dyDescent="0.25">
      <c r="A158" s="30" t="str">
        <f>A139</f>
        <v>Capex costumization</v>
      </c>
      <c r="B158" s="62">
        <f>((1+B141)^B149)*B141/(((1+B141)^B149)-1)*(B139)</f>
        <v>406833.9043442643</v>
      </c>
      <c r="C158" s="62">
        <f t="shared" ref="C158:AC158" si="158">((1+C141)^C149)*C141/(((1+C141)^C149)-1)*(C139)</f>
        <v>406833.9043442643</v>
      </c>
      <c r="D158" s="62">
        <f t="shared" si="158"/>
        <v>406833.9043442643</v>
      </c>
      <c r="E158" s="62">
        <f t="shared" si="158"/>
        <v>406833.9043442643</v>
      </c>
      <c r="F158" s="62">
        <f t="shared" si="158"/>
        <v>406833.9043442643</v>
      </c>
      <c r="G158" s="62">
        <f t="shared" si="158"/>
        <v>406833.9043442643</v>
      </c>
      <c r="H158" s="62">
        <f t="shared" si="158"/>
        <v>406833.9043442643</v>
      </c>
      <c r="I158" s="62">
        <f t="shared" si="158"/>
        <v>406833.9043442643</v>
      </c>
      <c r="J158" s="62">
        <f t="shared" si="158"/>
        <v>406833.9043442643</v>
      </c>
      <c r="K158" s="62">
        <f t="shared" si="158"/>
        <v>406833.9043442643</v>
      </c>
      <c r="L158" s="62">
        <f t="shared" si="158"/>
        <v>406833.9043442643</v>
      </c>
      <c r="M158" s="62">
        <f t="shared" si="158"/>
        <v>406833.9043442643</v>
      </c>
      <c r="N158" s="62">
        <f t="shared" si="158"/>
        <v>406833.9043442643</v>
      </c>
      <c r="O158" s="62">
        <f t="shared" si="158"/>
        <v>406833.9043442643</v>
      </c>
      <c r="P158" s="62">
        <f t="shared" si="158"/>
        <v>406833.9043442643</v>
      </c>
      <c r="Q158" s="62">
        <f t="shared" si="158"/>
        <v>406833.9043442643</v>
      </c>
      <c r="R158" s="62">
        <f t="shared" si="158"/>
        <v>406833.9043442643</v>
      </c>
      <c r="S158" s="62">
        <f t="shared" si="158"/>
        <v>406833.9043442643</v>
      </c>
      <c r="T158" s="62">
        <f t="shared" si="158"/>
        <v>406833.9043442643</v>
      </c>
      <c r="U158" s="62">
        <f t="shared" si="158"/>
        <v>406833.9043442643</v>
      </c>
      <c r="V158" s="62">
        <f t="shared" si="158"/>
        <v>406833.9043442643</v>
      </c>
      <c r="W158" s="62">
        <f t="shared" si="158"/>
        <v>406833.9043442643</v>
      </c>
      <c r="X158" s="62">
        <f t="shared" si="158"/>
        <v>406833.9043442643</v>
      </c>
      <c r="Y158" s="62">
        <f t="shared" si="158"/>
        <v>406833.9043442643</v>
      </c>
      <c r="Z158" s="62">
        <f t="shared" si="158"/>
        <v>406833.9043442643</v>
      </c>
      <c r="AA158" s="62">
        <f t="shared" si="158"/>
        <v>406833.9043442643</v>
      </c>
      <c r="AB158" s="62">
        <f t="shared" si="158"/>
        <v>406833.9043442643</v>
      </c>
      <c r="AC158" s="62">
        <f t="shared" si="158"/>
        <v>406833.9043442643</v>
      </c>
    </row>
    <row r="159" spans="1:29" x14ac:dyDescent="0.25">
      <c r="A159" s="30" t="str">
        <f>A140</f>
        <v>Residual value (costumization)</v>
      </c>
      <c r="B159" s="62">
        <f>((1+B141)^B149)*B141/(((1+B141)^B149)-1)*(B140)</f>
        <v>-20341.695217213215</v>
      </c>
      <c r="C159" s="62">
        <f t="shared" ref="C159:AC159" si="159">((1+C141)^C149)*C141/(((1+C141)^C149)-1)*(C140)</f>
        <v>-20341.695217213215</v>
      </c>
      <c r="D159" s="62">
        <f t="shared" si="159"/>
        <v>-20341.695217213215</v>
      </c>
      <c r="E159" s="62">
        <f t="shared" si="159"/>
        <v>-20341.695217213215</v>
      </c>
      <c r="F159" s="62">
        <f t="shared" si="159"/>
        <v>-20341.695217213215</v>
      </c>
      <c r="G159" s="62">
        <f t="shared" si="159"/>
        <v>-20341.695217213215</v>
      </c>
      <c r="H159" s="62">
        <f t="shared" si="159"/>
        <v>-20341.695217213215</v>
      </c>
      <c r="I159" s="62">
        <f t="shared" si="159"/>
        <v>-20341.695217213215</v>
      </c>
      <c r="J159" s="62">
        <f t="shared" si="159"/>
        <v>-20341.695217213215</v>
      </c>
      <c r="K159" s="62">
        <f t="shared" si="159"/>
        <v>-20341.695217213215</v>
      </c>
      <c r="L159" s="62">
        <f t="shared" si="159"/>
        <v>-20341.695217213215</v>
      </c>
      <c r="M159" s="62">
        <f t="shared" si="159"/>
        <v>-20341.695217213215</v>
      </c>
      <c r="N159" s="62">
        <f t="shared" si="159"/>
        <v>-20341.695217213215</v>
      </c>
      <c r="O159" s="62">
        <f t="shared" si="159"/>
        <v>-20341.695217213215</v>
      </c>
      <c r="P159" s="62">
        <f t="shared" si="159"/>
        <v>-20341.695217213215</v>
      </c>
      <c r="Q159" s="62">
        <f t="shared" si="159"/>
        <v>-20341.695217213215</v>
      </c>
      <c r="R159" s="62">
        <f t="shared" si="159"/>
        <v>-20341.695217213215</v>
      </c>
      <c r="S159" s="62">
        <f t="shared" si="159"/>
        <v>-20341.695217213215</v>
      </c>
      <c r="T159" s="62">
        <f t="shared" si="159"/>
        <v>-20341.695217213215</v>
      </c>
      <c r="U159" s="62">
        <f t="shared" si="159"/>
        <v>-20341.695217213215</v>
      </c>
      <c r="V159" s="62">
        <f t="shared" si="159"/>
        <v>-20341.695217213215</v>
      </c>
      <c r="W159" s="62">
        <f t="shared" si="159"/>
        <v>-20341.695217213215</v>
      </c>
      <c r="X159" s="62">
        <f t="shared" si="159"/>
        <v>-20341.695217213215</v>
      </c>
      <c r="Y159" s="62">
        <f t="shared" si="159"/>
        <v>-20341.695217213215</v>
      </c>
      <c r="Z159" s="62">
        <f t="shared" si="159"/>
        <v>-20341.695217213215</v>
      </c>
      <c r="AA159" s="62">
        <f t="shared" si="159"/>
        <v>-20341.695217213215</v>
      </c>
      <c r="AB159" s="62">
        <f t="shared" si="159"/>
        <v>-20341.695217213215</v>
      </c>
      <c r="AC159" s="62">
        <f t="shared" si="159"/>
        <v>-20341.695217213215</v>
      </c>
    </row>
    <row r="160" spans="1:29" x14ac:dyDescent="0.25">
      <c r="A160" s="30" t="str">
        <f t="shared" ref="A160:AC160" si="160">A142</f>
        <v>Opex fix (admin, crew, insurance)</v>
      </c>
      <c r="B160" s="62">
        <f t="shared" si="160"/>
        <v>620000</v>
      </c>
      <c r="C160" s="62">
        <f t="shared" si="160"/>
        <v>620000</v>
      </c>
      <c r="D160" s="62">
        <f t="shared" si="160"/>
        <v>620000</v>
      </c>
      <c r="E160" s="62">
        <f t="shared" si="160"/>
        <v>620000</v>
      </c>
      <c r="F160" s="62">
        <f t="shared" si="160"/>
        <v>620000</v>
      </c>
      <c r="G160" s="62">
        <f t="shared" si="160"/>
        <v>620000</v>
      </c>
      <c r="H160" s="62">
        <f t="shared" si="160"/>
        <v>620000</v>
      </c>
      <c r="I160" s="62">
        <f t="shared" si="160"/>
        <v>620000</v>
      </c>
      <c r="J160" s="62">
        <f t="shared" si="160"/>
        <v>620000</v>
      </c>
      <c r="K160" s="62">
        <f t="shared" si="160"/>
        <v>620000</v>
      </c>
      <c r="L160" s="62">
        <f t="shared" si="160"/>
        <v>620000</v>
      </c>
      <c r="M160" s="62">
        <f t="shared" si="160"/>
        <v>620000</v>
      </c>
      <c r="N160" s="62">
        <f t="shared" si="160"/>
        <v>620000</v>
      </c>
      <c r="O160" s="62">
        <f t="shared" si="160"/>
        <v>620000</v>
      </c>
      <c r="P160" s="62">
        <f t="shared" si="160"/>
        <v>620000</v>
      </c>
      <c r="Q160" s="62">
        <f t="shared" si="160"/>
        <v>620000</v>
      </c>
      <c r="R160" s="62">
        <f t="shared" si="160"/>
        <v>620000</v>
      </c>
      <c r="S160" s="62">
        <f t="shared" si="160"/>
        <v>620000</v>
      </c>
      <c r="T160" s="62">
        <f t="shared" si="160"/>
        <v>620000</v>
      </c>
      <c r="U160" s="62">
        <f t="shared" si="160"/>
        <v>620000</v>
      </c>
      <c r="V160" s="62">
        <f t="shared" si="160"/>
        <v>620000</v>
      </c>
      <c r="W160" s="62">
        <f t="shared" si="160"/>
        <v>620000</v>
      </c>
      <c r="X160" s="62">
        <f t="shared" si="160"/>
        <v>620000</v>
      </c>
      <c r="Y160" s="62">
        <f t="shared" si="160"/>
        <v>620000</v>
      </c>
      <c r="Z160" s="62">
        <f t="shared" si="160"/>
        <v>620000</v>
      </c>
      <c r="AA160" s="62">
        <f t="shared" si="160"/>
        <v>620000</v>
      </c>
      <c r="AB160" s="62">
        <f t="shared" si="160"/>
        <v>620000</v>
      </c>
      <c r="AC160" s="62">
        <f t="shared" si="160"/>
        <v>620000</v>
      </c>
    </row>
    <row r="161" spans="1:29" x14ac:dyDescent="0.25">
      <c r="A161" s="30" t="str">
        <f t="shared" ref="A161:AC161" si="161">A143</f>
        <v>Opex maintenance &amp; repair</v>
      </c>
      <c r="B161" s="62">
        <f t="shared" si="161"/>
        <v>1388910.2037228637</v>
      </c>
      <c r="C161" s="62">
        <f t="shared" si="161"/>
        <v>1384161.8820080096</v>
      </c>
      <c r="D161" s="62">
        <f t="shared" si="161"/>
        <v>1377419.9458533253</v>
      </c>
      <c r="E161" s="62">
        <f t="shared" si="161"/>
        <v>1367890.8669573795</v>
      </c>
      <c r="F161" s="62">
        <f t="shared" si="161"/>
        <v>1354512.2121062956</v>
      </c>
      <c r="G161" s="62">
        <f t="shared" si="161"/>
        <v>1335911.0252611889</v>
      </c>
      <c r="H161" s="62">
        <f t="shared" si="161"/>
        <v>1310409.4939683313</v>
      </c>
      <c r="I161" s="62">
        <f t="shared" si="161"/>
        <v>1276138.1685443469</v>
      </c>
      <c r="J161" s="62">
        <f t="shared" si="161"/>
        <v>1231338.9254820407</v>
      </c>
      <c r="K161" s="62">
        <f t="shared" si="161"/>
        <v>1174921.8508999445</v>
      </c>
      <c r="L161" s="62">
        <f t="shared" si="161"/>
        <v>1107222.9808538083</v>
      </c>
      <c r="M161" s="62">
        <f t="shared" si="161"/>
        <v>1030670.8821991365</v>
      </c>
      <c r="N161" s="62">
        <f t="shared" si="161"/>
        <v>949855.14573475695</v>
      </c>
      <c r="O161" s="62">
        <f t="shared" si="161"/>
        <v>870629.71180240111</v>
      </c>
      <c r="P161" s="62">
        <f t="shared" si="161"/>
        <v>798509.16855274222</v>
      </c>
      <c r="Q161" s="62">
        <f t="shared" si="161"/>
        <v>737216.97695338901</v>
      </c>
      <c r="R161" s="62">
        <f t="shared" si="161"/>
        <v>688132.90829190495</v>
      </c>
      <c r="S161" s="62">
        <f t="shared" si="161"/>
        <v>650679.58539676399</v>
      </c>
      <c r="T161" s="62">
        <f t="shared" si="161"/>
        <v>623148.38930799719</v>
      </c>
      <c r="U161" s="62">
        <f t="shared" si="161"/>
        <v>603463.98238910188</v>
      </c>
      <c r="V161" s="62">
        <f t="shared" si="161"/>
        <v>589668.12012529059</v>
      </c>
      <c r="W161" s="62">
        <f t="shared" si="161"/>
        <v>580134.33134103287</v>
      </c>
      <c r="X161" s="62">
        <f t="shared" si="161"/>
        <v>573609.8845890474</v>
      </c>
      <c r="Y161" s="62">
        <f t="shared" si="161"/>
        <v>569174.682073851</v>
      </c>
      <c r="Z161" s="62">
        <f t="shared" si="161"/>
        <v>566173.42988411163</v>
      </c>
      <c r="AA161" s="62">
        <f t="shared" si="161"/>
        <v>564148.78202354477</v>
      </c>
      <c r="AB161" s="62">
        <f t="shared" si="161"/>
        <v>562785.79914140829</v>
      </c>
      <c r="AC161" s="62">
        <f t="shared" si="161"/>
        <v>561869.53442032111</v>
      </c>
    </row>
    <row r="162" spans="1:29" x14ac:dyDescent="0.25">
      <c r="A162" s="30" t="str">
        <f>A144</f>
        <v>Opex var (mode-fees, shunting)</v>
      </c>
      <c r="B162" s="62">
        <f>B144*B153</f>
        <v>650000</v>
      </c>
      <c r="C162" s="62">
        <f t="shared" ref="C162:AC162" si="162">C144*C153</f>
        <v>650000</v>
      </c>
      <c r="D162" s="62">
        <f t="shared" si="162"/>
        <v>650000</v>
      </c>
      <c r="E162" s="62">
        <f t="shared" si="162"/>
        <v>650000</v>
      </c>
      <c r="F162" s="62">
        <f t="shared" si="162"/>
        <v>650000</v>
      </c>
      <c r="G162" s="62">
        <f t="shared" si="162"/>
        <v>650000</v>
      </c>
      <c r="H162" s="62">
        <f t="shared" si="162"/>
        <v>650000</v>
      </c>
      <c r="I162" s="62">
        <f t="shared" si="162"/>
        <v>650000</v>
      </c>
      <c r="J162" s="62">
        <f t="shared" si="162"/>
        <v>650000</v>
      </c>
      <c r="K162" s="62">
        <f t="shared" si="162"/>
        <v>650000</v>
      </c>
      <c r="L162" s="62">
        <f t="shared" si="162"/>
        <v>650000</v>
      </c>
      <c r="M162" s="62">
        <f t="shared" si="162"/>
        <v>650000</v>
      </c>
      <c r="N162" s="62">
        <f t="shared" si="162"/>
        <v>650000</v>
      </c>
      <c r="O162" s="62">
        <f t="shared" si="162"/>
        <v>650000</v>
      </c>
      <c r="P162" s="62">
        <f t="shared" si="162"/>
        <v>650000</v>
      </c>
      <c r="Q162" s="62">
        <f t="shared" si="162"/>
        <v>650000</v>
      </c>
      <c r="R162" s="62">
        <f t="shared" si="162"/>
        <v>650000</v>
      </c>
      <c r="S162" s="62">
        <f t="shared" si="162"/>
        <v>650000</v>
      </c>
      <c r="T162" s="62">
        <f t="shared" si="162"/>
        <v>650000</v>
      </c>
      <c r="U162" s="62">
        <f t="shared" si="162"/>
        <v>650000</v>
      </c>
      <c r="V162" s="62">
        <f t="shared" si="162"/>
        <v>650000</v>
      </c>
      <c r="W162" s="62">
        <f t="shared" si="162"/>
        <v>650000</v>
      </c>
      <c r="X162" s="62">
        <f t="shared" si="162"/>
        <v>650000</v>
      </c>
      <c r="Y162" s="62">
        <f t="shared" si="162"/>
        <v>650000</v>
      </c>
      <c r="Z162" s="62">
        <f t="shared" si="162"/>
        <v>650000</v>
      </c>
      <c r="AA162" s="62">
        <f t="shared" si="162"/>
        <v>650000</v>
      </c>
      <c r="AB162" s="62">
        <f t="shared" si="162"/>
        <v>650000</v>
      </c>
      <c r="AC162" s="62">
        <f t="shared" si="162"/>
        <v>650000</v>
      </c>
    </row>
    <row r="163" spans="1:29" x14ac:dyDescent="0.25">
      <c r="A163" s="30" t="str">
        <f>A146</f>
        <v>Fuel Cost</v>
      </c>
      <c r="B163" s="62">
        <f>B145*B146*B153</f>
        <v>2198007.7097748476</v>
      </c>
      <c r="C163" s="62">
        <f t="shared" ref="C163:AC163" si="163">C145*C146*C153</f>
        <v>2188966.344853437</v>
      </c>
      <c r="D163" s="62">
        <f t="shared" si="163"/>
        <v>2176150.2571359598</v>
      </c>
      <c r="E163" s="62">
        <f t="shared" si="163"/>
        <v>2158078.6890399111</v>
      </c>
      <c r="F163" s="62">
        <f t="shared" si="163"/>
        <v>2132791.0160247581</v>
      </c>
      <c r="G163" s="62">
        <f t="shared" si="163"/>
        <v>2097795.9502724083</v>
      </c>
      <c r="H163" s="62">
        <f t="shared" si="163"/>
        <v>2050129.0545451115</v>
      </c>
      <c r="I163" s="62">
        <f t="shared" si="163"/>
        <v>1986634.5409192187</v>
      </c>
      <c r="J163" s="62">
        <f t="shared" si="163"/>
        <v>1904611.4133225391</v>
      </c>
      <c r="K163" s="62">
        <f t="shared" si="163"/>
        <v>1802891.2522917814</v>
      </c>
      <c r="L163" s="62">
        <f t="shared" si="163"/>
        <v>1683146.2077096445</v>
      </c>
      <c r="M163" s="62">
        <f t="shared" si="163"/>
        <v>1550785.691663306</v>
      </c>
      <c r="N163" s="62">
        <f t="shared" si="163"/>
        <v>1414559.0155313208</v>
      </c>
      <c r="O163" s="62">
        <f t="shared" si="163"/>
        <v>1284508.1995834436</v>
      </c>
      <c r="P163" s="62">
        <f t="shared" si="163"/>
        <v>1169129.1273181483</v>
      </c>
      <c r="Q163" s="62">
        <f t="shared" si="163"/>
        <v>1073327.4550872648</v>
      </c>
      <c r="R163" s="62">
        <f t="shared" si="163"/>
        <v>998100.91585720517</v>
      </c>
      <c r="S163" s="62">
        <f t="shared" si="163"/>
        <v>941593.17014026793</v>
      </c>
      <c r="T163" s="62">
        <f t="shared" si="163"/>
        <v>900548.62736821966</v>
      </c>
      <c r="U163" s="62">
        <f t="shared" si="163"/>
        <v>871458.57377498294</v>
      </c>
      <c r="V163" s="62">
        <f t="shared" si="163"/>
        <v>851198.06620715652</v>
      </c>
      <c r="W163" s="62">
        <f t="shared" si="163"/>
        <v>837258.12227443152</v>
      </c>
      <c r="X163" s="62">
        <f t="shared" si="163"/>
        <v>827747.20510321483</v>
      </c>
      <c r="Y163" s="62">
        <f t="shared" si="163"/>
        <v>821295.25258546346</v>
      </c>
      <c r="Z163" s="62">
        <f t="shared" si="163"/>
        <v>816935.44045804988</v>
      </c>
      <c r="AA163" s="62">
        <f t="shared" si="163"/>
        <v>813997.1116641328</v>
      </c>
      <c r="AB163" s="62">
        <f t="shared" si="163"/>
        <v>812020.31611280167</v>
      </c>
      <c r="AC163" s="62">
        <f t="shared" si="163"/>
        <v>810691.99174469069</v>
      </c>
    </row>
    <row r="164" spans="1:29" ht="15.75" thickBot="1" x14ac:dyDescent="0.3">
      <c r="A164" s="59" t="str">
        <f>A127</f>
        <v>Emission Cost</v>
      </c>
      <c r="B164" s="62">
        <f>B147*B153</f>
        <v>31384.562809326046</v>
      </c>
      <c r="C164" s="62">
        <f t="shared" ref="C164:AC164" si="164">C147*C153</f>
        <v>31354.677058629841</v>
      </c>
      <c r="D164" s="62">
        <f t="shared" si="164"/>
        <v>31311.896272159654</v>
      </c>
      <c r="E164" s="62">
        <f t="shared" si="164"/>
        <v>31250.695348634654</v>
      </c>
      <c r="F164" s="62">
        <f t="shared" si="164"/>
        <v>31163.225724263175</v>
      </c>
      <c r="G164" s="62">
        <f t="shared" si="164"/>
        <v>31038.387667315357</v>
      </c>
      <c r="H164" s="62">
        <f t="shared" si="164"/>
        <v>30860.587648093915</v>
      </c>
      <c r="I164" s="62">
        <f t="shared" si="164"/>
        <v>30608.137108750165</v>
      </c>
      <c r="J164" s="62">
        <f t="shared" si="164"/>
        <v>30251.322530335729</v>
      </c>
      <c r="K164" s="62">
        <f t="shared" si="164"/>
        <v>29750.36129971009</v>
      </c>
      <c r="L164" s="62">
        <f t="shared" si="164"/>
        <v>29053.843334582445</v>
      </c>
      <c r="M164" s="62">
        <f t="shared" si="164"/>
        <v>28098.943261181339</v>
      </c>
      <c r="N164" s="62">
        <f t="shared" si="164"/>
        <v>26815.659885485329</v>
      </c>
      <c r="O164" s="62">
        <f t="shared" si="164"/>
        <v>25138.160601334832</v>
      </c>
      <c r="P164" s="62">
        <f t="shared" si="164"/>
        <v>23025.633787127095</v>
      </c>
      <c r="Q164" s="62">
        <f t="shared" si="164"/>
        <v>20490.662250169502</v>
      </c>
      <c r="R164" s="62">
        <f t="shared" si="164"/>
        <v>17624.183222503099</v>
      </c>
      <c r="S164" s="62">
        <f t="shared" si="164"/>
        <v>14598.053073863191</v>
      </c>
      <c r="T164" s="62">
        <f t="shared" si="164"/>
        <v>11631.47150633083</v>
      </c>
      <c r="U164" s="62">
        <f t="shared" si="164"/>
        <v>8930.9312426128126</v>
      </c>
      <c r="V164" s="62">
        <f t="shared" si="164"/>
        <v>6635.8565827813327</v>
      </c>
      <c r="W164" s="62">
        <f t="shared" si="164"/>
        <v>4797.9128048403027</v>
      </c>
      <c r="X164" s="62">
        <f t="shared" si="164"/>
        <v>3395.4801285052108</v>
      </c>
      <c r="Y164" s="62">
        <f t="shared" si="164"/>
        <v>2364.579636135687</v>
      </c>
      <c r="Z164" s="62">
        <f t="shared" si="164"/>
        <v>1627.5006977828805</v>
      </c>
      <c r="AA164" s="62">
        <f t="shared" si="164"/>
        <v>1110.9172135575814</v>
      </c>
      <c r="AB164" s="62">
        <f t="shared" si="164"/>
        <v>753.92627425551336</v>
      </c>
      <c r="AC164" s="62">
        <f t="shared" si="164"/>
        <v>509.61958495025141</v>
      </c>
    </row>
    <row r="165" spans="1:29" ht="15.75" thickBot="1" x14ac:dyDescent="0.3">
      <c r="A165" s="31" t="s">
        <v>209</v>
      </c>
      <c r="B165" s="64">
        <f>B156+B157+B158+B159+B160+B161+B162+B163+B164</f>
        <v>6096026.7389167324</v>
      </c>
      <c r="C165" s="64">
        <f t="shared" ref="C165:AC165" si="165">C156+C157+C158+C159+C160+C161+C162+C163+C164</f>
        <v>6079200.880835643</v>
      </c>
      <c r="D165" s="64">
        <f t="shared" si="165"/>
        <v>6055331.5814477801</v>
      </c>
      <c r="E165" s="64">
        <f t="shared" si="165"/>
        <v>6021636.626408644</v>
      </c>
      <c r="F165" s="64">
        <f t="shared" si="165"/>
        <v>5974412.4553627484</v>
      </c>
      <c r="G165" s="64">
        <f t="shared" si="165"/>
        <v>5908914.4706256781</v>
      </c>
      <c r="H165" s="64">
        <f t="shared" si="165"/>
        <v>5819422.5623734519</v>
      </c>
      <c r="I165" s="64">
        <f t="shared" si="165"/>
        <v>5699706.2073354125</v>
      </c>
      <c r="J165" s="64">
        <f t="shared" si="165"/>
        <v>5544163.4587984392</v>
      </c>
      <c r="K165" s="64">
        <f t="shared" si="165"/>
        <v>5349806.1480435822</v>
      </c>
      <c r="L165" s="64">
        <f t="shared" si="165"/>
        <v>5118803.8040738543</v>
      </c>
      <c r="M165" s="64">
        <f t="shared" si="165"/>
        <v>4860469.1691544177</v>
      </c>
      <c r="N165" s="64">
        <f t="shared" si="165"/>
        <v>4590976.9333008463</v>
      </c>
      <c r="O165" s="64">
        <f t="shared" si="165"/>
        <v>4329863.5060554892</v>
      </c>
      <c r="P165" s="64">
        <f t="shared" si="165"/>
        <v>4094589.9763047528</v>
      </c>
      <c r="Q165" s="64">
        <f t="shared" si="165"/>
        <v>3896155.4639358297</v>
      </c>
      <c r="R165" s="64">
        <f t="shared" si="165"/>
        <v>3737901.9794412325</v>
      </c>
      <c r="S165" s="64">
        <f t="shared" si="165"/>
        <v>3617202.110061544</v>
      </c>
      <c r="T165" s="64">
        <f t="shared" si="165"/>
        <v>3528229.0749693206</v>
      </c>
      <c r="U165" s="64">
        <f t="shared" si="165"/>
        <v>3464291.3653730969</v>
      </c>
      <c r="V165" s="64">
        <f t="shared" si="165"/>
        <v>3419205.4024870298</v>
      </c>
      <c r="W165" s="64">
        <f t="shared" si="165"/>
        <v>3387857.6369159808</v>
      </c>
      <c r="X165" s="64">
        <f t="shared" si="165"/>
        <v>3366289.0437717959</v>
      </c>
      <c r="Y165" s="64">
        <f t="shared" si="165"/>
        <v>3351562.9464429324</v>
      </c>
      <c r="Z165" s="64">
        <f t="shared" si="165"/>
        <v>3341564.6325451839</v>
      </c>
      <c r="AA165" s="64">
        <f t="shared" si="165"/>
        <v>3334803.2153074015</v>
      </c>
      <c r="AB165" s="64">
        <f t="shared" si="165"/>
        <v>3330243.5061032609</v>
      </c>
      <c r="AC165" s="64">
        <f t="shared" si="165"/>
        <v>3327174.4993532491</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66">A156</f>
        <v>Capex vehicle</v>
      </c>
      <c r="B168" s="65">
        <f>((1+B141)^B148)*B141/(((1+B141)^B148)-1)*(B137)/B153</f>
        <v>4.8455990713167774</v>
      </c>
      <c r="C168" s="65">
        <f t="shared" ref="C168:AC168" si="167">((1+C141)^C148)*C141/(((1+C141)^C148)-1)*(C137)/C153</f>
        <v>4.8290332319773173</v>
      </c>
      <c r="D168" s="65">
        <f t="shared" si="167"/>
        <v>4.8055121148579749</v>
      </c>
      <c r="E168" s="65">
        <f t="shared" si="167"/>
        <v>4.7722672760448299</v>
      </c>
      <c r="F168" s="65">
        <f t="shared" si="167"/>
        <v>4.7255921221377486</v>
      </c>
      <c r="G168" s="65">
        <f t="shared" si="167"/>
        <v>4.6606967146013627</v>
      </c>
      <c r="H168" s="65">
        <f t="shared" si="167"/>
        <v>4.571727538611003</v>
      </c>
      <c r="I168" s="65">
        <f t="shared" si="167"/>
        <v>4.4521624996314282</v>
      </c>
      <c r="J168" s="65">
        <f t="shared" si="167"/>
        <v>4.2958678954183256</v>
      </c>
      <c r="K168" s="65">
        <f t="shared" si="167"/>
        <v>4.0990412586288079</v>
      </c>
      <c r="L168" s="65">
        <f t="shared" si="167"/>
        <v>3.8628549443908802</v>
      </c>
      <c r="M168" s="65">
        <f t="shared" si="167"/>
        <v>3.5957816828120173</v>
      </c>
      <c r="N168" s="65">
        <f t="shared" si="167"/>
        <v>3.3138335363372309</v>
      </c>
      <c r="O168" s="65">
        <f t="shared" si="167"/>
        <v>3.0374336020158523</v>
      </c>
      <c r="P168" s="65">
        <f t="shared" si="167"/>
        <v>2.7858210525099958</v>
      </c>
      <c r="Q168" s="65">
        <f t="shared" si="167"/>
        <v>2.5719862157460938</v>
      </c>
      <c r="R168" s="65">
        <f t="shared" si="167"/>
        <v>2.4007428071477408</v>
      </c>
      <c r="S168" s="65">
        <f t="shared" si="167"/>
        <v>2.2700764860623535</v>
      </c>
      <c r="T168" s="65">
        <f t="shared" si="167"/>
        <v>2.1740262606104945</v>
      </c>
      <c r="U168" s="65">
        <f t="shared" si="167"/>
        <v>2.1053517389387877</v>
      </c>
      <c r="V168" s="65">
        <f t="shared" si="167"/>
        <v>2.0572210410762808</v>
      </c>
      <c r="W168" s="65">
        <f t="shared" si="167"/>
        <v>2.0239597705093986</v>
      </c>
      <c r="X168" s="65">
        <f t="shared" si="167"/>
        <v>2.0011974255877933</v>
      </c>
      <c r="Y168" s="65">
        <f t="shared" si="167"/>
        <v>1.985723989557781</v>
      </c>
      <c r="Z168" s="65">
        <f t="shared" si="167"/>
        <v>1.9752532875754587</v>
      </c>
      <c r="AA168" s="65">
        <f t="shared" si="167"/>
        <v>1.9681897410865572</v>
      </c>
      <c r="AB168" s="65">
        <f t="shared" si="167"/>
        <v>1.9634345966789499</v>
      </c>
      <c r="AC168" s="65">
        <f t="shared" si="167"/>
        <v>1.9602379526700859</v>
      </c>
    </row>
    <row r="169" spans="1:29" x14ac:dyDescent="0.25">
      <c r="A169" s="30" t="str">
        <f t="shared" si="166"/>
        <v>Residual value (vehicle)</v>
      </c>
      <c r="B169" s="66">
        <f>((1+B141)^B148)*B141/(((1+B141)^B148)-1)*(B138)/B153</f>
        <v>-0.24485927589579937</v>
      </c>
      <c r="C169" s="66">
        <f t="shared" ref="C169:AC169" si="168">((1+C141)^C148)*C141/(((1+C141)^C148)-1)*(C138)/C153</f>
        <v>-0.2451353732181237</v>
      </c>
      <c r="D169" s="66">
        <f t="shared" si="168"/>
        <v>-0.24552739183677941</v>
      </c>
      <c r="E169" s="66">
        <f t="shared" si="168"/>
        <v>-0.24608147248366516</v>
      </c>
      <c r="F169" s="66">
        <f t="shared" si="168"/>
        <v>-0.24685939171544985</v>
      </c>
      <c r="G169" s="66">
        <f t="shared" si="168"/>
        <v>-0.24794098184105628</v>
      </c>
      <c r="H169" s="66">
        <f t="shared" si="168"/>
        <v>-0.24942380144089563</v>
      </c>
      <c r="I169" s="66">
        <f t="shared" si="168"/>
        <v>-0.25141655209055519</v>
      </c>
      <c r="J169" s="66">
        <f t="shared" si="168"/>
        <v>-0.25402146216077354</v>
      </c>
      <c r="K169" s="66">
        <f t="shared" si="168"/>
        <v>-0.25730190610726555</v>
      </c>
      <c r="L169" s="66">
        <f t="shared" si="168"/>
        <v>-0.26123834467789769</v>
      </c>
      <c r="M169" s="66">
        <f t="shared" si="168"/>
        <v>-0.26568956570421209</v>
      </c>
      <c r="N169" s="66">
        <f t="shared" si="168"/>
        <v>-0.27038870147879185</v>
      </c>
      <c r="O169" s="66">
        <f t="shared" si="168"/>
        <v>-0.27499536705081479</v>
      </c>
      <c r="P169" s="66">
        <f t="shared" si="168"/>
        <v>-0.27918890954257908</v>
      </c>
      <c r="Q169" s="66">
        <f t="shared" si="168"/>
        <v>-0.28275282348864411</v>
      </c>
      <c r="R169" s="66">
        <f t="shared" si="168"/>
        <v>-0.28560688029861664</v>
      </c>
      <c r="S169" s="66">
        <f t="shared" si="168"/>
        <v>-0.28778465231670641</v>
      </c>
      <c r="T169" s="66">
        <f t="shared" si="168"/>
        <v>-0.28938548940757075</v>
      </c>
      <c r="U169" s="66">
        <f t="shared" si="168"/>
        <v>-0.29053006476876586</v>
      </c>
      <c r="V169" s="66">
        <f t="shared" si="168"/>
        <v>-0.29133224306647432</v>
      </c>
      <c r="W169" s="66">
        <f t="shared" si="168"/>
        <v>-0.29188659757592234</v>
      </c>
      <c r="X169" s="66">
        <f t="shared" si="168"/>
        <v>-0.29226596999128246</v>
      </c>
      <c r="Y169" s="66">
        <f t="shared" si="168"/>
        <v>-0.29252386059178265</v>
      </c>
      <c r="Z169" s="66">
        <f t="shared" si="168"/>
        <v>-0.29269837229148804</v>
      </c>
      <c r="AA169" s="66">
        <f t="shared" si="168"/>
        <v>-0.29281609806630304</v>
      </c>
      <c r="AB169" s="66">
        <f t="shared" si="168"/>
        <v>-0.29289535047309651</v>
      </c>
      <c r="AC169" s="66">
        <f t="shared" si="168"/>
        <v>-0.29294862787324427</v>
      </c>
    </row>
    <row r="170" spans="1:29" x14ac:dyDescent="0.25">
      <c r="A170" s="30" t="str">
        <f t="shared" si="166"/>
        <v>Capex costumization</v>
      </c>
      <c r="B170" s="66">
        <f>((1+B141)^B149)*B141/(((1+B141)^B149)-1)*(B139)/B153</f>
        <v>2.2791815369426573</v>
      </c>
      <c r="C170" s="66">
        <f t="shared" ref="C170:AC170" si="169">((1+C141)^C149)*C141/(((1+C141)^C149)-1)*(C139)/C153</f>
        <v>2.2791815369426573</v>
      </c>
      <c r="D170" s="66">
        <f t="shared" si="169"/>
        <v>2.2791815369426573</v>
      </c>
      <c r="E170" s="66">
        <f t="shared" si="169"/>
        <v>2.2791815369426573</v>
      </c>
      <c r="F170" s="66">
        <f t="shared" si="169"/>
        <v>2.2791815369426573</v>
      </c>
      <c r="G170" s="66">
        <f t="shared" si="169"/>
        <v>2.2791815369426573</v>
      </c>
      <c r="H170" s="66">
        <f t="shared" si="169"/>
        <v>2.2791815369426573</v>
      </c>
      <c r="I170" s="66">
        <f t="shared" si="169"/>
        <v>2.2791815369426573</v>
      </c>
      <c r="J170" s="66">
        <f t="shared" si="169"/>
        <v>2.2791815369426573</v>
      </c>
      <c r="K170" s="66">
        <f t="shared" si="169"/>
        <v>2.2791815369426573</v>
      </c>
      <c r="L170" s="66">
        <f t="shared" si="169"/>
        <v>2.2791815369426573</v>
      </c>
      <c r="M170" s="66">
        <f t="shared" si="169"/>
        <v>2.2791815369426573</v>
      </c>
      <c r="N170" s="66">
        <f t="shared" si="169"/>
        <v>2.2791815369426573</v>
      </c>
      <c r="O170" s="66">
        <f t="shared" si="169"/>
        <v>2.2791815369426573</v>
      </c>
      <c r="P170" s="66">
        <f t="shared" si="169"/>
        <v>2.2791815369426573</v>
      </c>
      <c r="Q170" s="66">
        <f t="shared" si="169"/>
        <v>2.2791815369426573</v>
      </c>
      <c r="R170" s="66">
        <f t="shared" si="169"/>
        <v>2.2791815369426573</v>
      </c>
      <c r="S170" s="66">
        <f t="shared" si="169"/>
        <v>2.2791815369426573</v>
      </c>
      <c r="T170" s="66">
        <f t="shared" si="169"/>
        <v>2.2791815369426573</v>
      </c>
      <c r="U170" s="66">
        <f t="shared" si="169"/>
        <v>2.2791815369426573</v>
      </c>
      <c r="V170" s="66">
        <f t="shared" si="169"/>
        <v>2.2791815369426573</v>
      </c>
      <c r="W170" s="66">
        <f t="shared" si="169"/>
        <v>2.2791815369426573</v>
      </c>
      <c r="X170" s="66">
        <f t="shared" si="169"/>
        <v>2.2791815369426573</v>
      </c>
      <c r="Y170" s="66">
        <f t="shared" si="169"/>
        <v>2.2791815369426573</v>
      </c>
      <c r="Z170" s="66">
        <f t="shared" si="169"/>
        <v>2.2791815369426573</v>
      </c>
      <c r="AA170" s="66">
        <f t="shared" si="169"/>
        <v>2.2791815369426573</v>
      </c>
      <c r="AB170" s="66">
        <f t="shared" si="169"/>
        <v>2.2791815369426573</v>
      </c>
      <c r="AC170" s="66">
        <f t="shared" si="169"/>
        <v>2.2791815369426573</v>
      </c>
    </row>
    <row r="171" spans="1:29" x14ac:dyDescent="0.25">
      <c r="A171" s="30" t="str">
        <f t="shared" si="166"/>
        <v>Residual value (costumization)</v>
      </c>
      <c r="B171" s="66">
        <f>((1+B141)^B149)*B141/(((1+B141)^B149)-1)*(B140)/B153</f>
        <v>-0.11395907684713286</v>
      </c>
      <c r="C171" s="66">
        <f t="shared" ref="C171:AC171" si="170">((1+C141)^C149)*C141/(((1+C141)^C149)-1)*(C140)/C153</f>
        <v>-0.11395907684713286</v>
      </c>
      <c r="D171" s="66">
        <f t="shared" si="170"/>
        <v>-0.11395907684713286</v>
      </c>
      <c r="E171" s="66">
        <f t="shared" si="170"/>
        <v>-0.11395907684713286</v>
      </c>
      <c r="F171" s="66">
        <f t="shared" si="170"/>
        <v>-0.11395907684713286</v>
      </c>
      <c r="G171" s="66">
        <f t="shared" si="170"/>
        <v>-0.11395907684713286</v>
      </c>
      <c r="H171" s="66">
        <f t="shared" si="170"/>
        <v>-0.11395907684713286</v>
      </c>
      <c r="I171" s="66">
        <f t="shared" si="170"/>
        <v>-0.11395907684713286</v>
      </c>
      <c r="J171" s="66">
        <f t="shared" si="170"/>
        <v>-0.11395907684713286</v>
      </c>
      <c r="K171" s="66">
        <f t="shared" si="170"/>
        <v>-0.11395907684713286</v>
      </c>
      <c r="L171" s="66">
        <f t="shared" si="170"/>
        <v>-0.11395907684713286</v>
      </c>
      <c r="M171" s="66">
        <f t="shared" si="170"/>
        <v>-0.11395907684713286</v>
      </c>
      <c r="N171" s="66">
        <f t="shared" si="170"/>
        <v>-0.11395907684713286</v>
      </c>
      <c r="O171" s="66">
        <f t="shared" si="170"/>
        <v>-0.11395907684713286</v>
      </c>
      <c r="P171" s="66">
        <f t="shared" si="170"/>
        <v>-0.11395907684713286</v>
      </c>
      <c r="Q171" s="66">
        <f t="shared" si="170"/>
        <v>-0.11395907684713286</v>
      </c>
      <c r="R171" s="66">
        <f t="shared" si="170"/>
        <v>-0.11395907684713286</v>
      </c>
      <c r="S171" s="66">
        <f t="shared" si="170"/>
        <v>-0.11395907684713286</v>
      </c>
      <c r="T171" s="66">
        <f t="shared" si="170"/>
        <v>-0.11395907684713286</v>
      </c>
      <c r="U171" s="66">
        <f t="shared" si="170"/>
        <v>-0.11395907684713286</v>
      </c>
      <c r="V171" s="66">
        <f t="shared" si="170"/>
        <v>-0.11395907684713286</v>
      </c>
      <c r="W171" s="66">
        <f t="shared" si="170"/>
        <v>-0.11395907684713286</v>
      </c>
      <c r="X171" s="66">
        <f t="shared" si="170"/>
        <v>-0.11395907684713286</v>
      </c>
      <c r="Y171" s="66">
        <f t="shared" si="170"/>
        <v>-0.11395907684713286</v>
      </c>
      <c r="Z171" s="66">
        <f t="shared" si="170"/>
        <v>-0.11395907684713286</v>
      </c>
      <c r="AA171" s="66">
        <f t="shared" si="170"/>
        <v>-0.11395907684713286</v>
      </c>
      <c r="AB171" s="66">
        <f t="shared" si="170"/>
        <v>-0.11395907684713286</v>
      </c>
      <c r="AC171" s="66">
        <f t="shared" si="170"/>
        <v>-0.11395907684713286</v>
      </c>
    </row>
    <row r="172" spans="1:29" x14ac:dyDescent="0.25">
      <c r="A172" s="30" t="str">
        <f t="shared" si="166"/>
        <v>Opex fix (admin, crew, insurance)</v>
      </c>
      <c r="B172" s="66">
        <f>B142/B153</f>
        <v>3.473389355742297</v>
      </c>
      <c r="C172" s="66">
        <f t="shared" ref="C172:AC172" si="171">C142/C153</f>
        <v>3.473389355742297</v>
      </c>
      <c r="D172" s="66">
        <f t="shared" si="171"/>
        <v>3.473389355742297</v>
      </c>
      <c r="E172" s="66">
        <f t="shared" si="171"/>
        <v>3.473389355742297</v>
      </c>
      <c r="F172" s="66">
        <f t="shared" si="171"/>
        <v>3.473389355742297</v>
      </c>
      <c r="G172" s="66">
        <f t="shared" si="171"/>
        <v>3.473389355742297</v>
      </c>
      <c r="H172" s="66">
        <f t="shared" si="171"/>
        <v>3.473389355742297</v>
      </c>
      <c r="I172" s="66">
        <f t="shared" si="171"/>
        <v>3.473389355742297</v>
      </c>
      <c r="J172" s="66">
        <f t="shared" si="171"/>
        <v>3.473389355742297</v>
      </c>
      <c r="K172" s="66">
        <f t="shared" si="171"/>
        <v>3.473389355742297</v>
      </c>
      <c r="L172" s="66">
        <f t="shared" si="171"/>
        <v>3.473389355742297</v>
      </c>
      <c r="M172" s="66">
        <f t="shared" si="171"/>
        <v>3.473389355742297</v>
      </c>
      <c r="N172" s="66">
        <f t="shared" si="171"/>
        <v>3.473389355742297</v>
      </c>
      <c r="O172" s="66">
        <f t="shared" si="171"/>
        <v>3.473389355742297</v>
      </c>
      <c r="P172" s="66">
        <f t="shared" si="171"/>
        <v>3.473389355742297</v>
      </c>
      <c r="Q172" s="66">
        <f t="shared" si="171"/>
        <v>3.473389355742297</v>
      </c>
      <c r="R172" s="66">
        <f t="shared" si="171"/>
        <v>3.473389355742297</v>
      </c>
      <c r="S172" s="66">
        <f t="shared" si="171"/>
        <v>3.473389355742297</v>
      </c>
      <c r="T172" s="66">
        <f t="shared" si="171"/>
        <v>3.473389355742297</v>
      </c>
      <c r="U172" s="66">
        <f t="shared" si="171"/>
        <v>3.473389355742297</v>
      </c>
      <c r="V172" s="66">
        <f t="shared" si="171"/>
        <v>3.473389355742297</v>
      </c>
      <c r="W172" s="66">
        <f t="shared" si="171"/>
        <v>3.473389355742297</v>
      </c>
      <c r="X172" s="66">
        <f t="shared" si="171"/>
        <v>3.473389355742297</v>
      </c>
      <c r="Y172" s="66">
        <f t="shared" si="171"/>
        <v>3.473389355742297</v>
      </c>
      <c r="Z172" s="66">
        <f t="shared" si="171"/>
        <v>3.473389355742297</v>
      </c>
      <c r="AA172" s="66">
        <f t="shared" si="171"/>
        <v>3.473389355742297</v>
      </c>
      <c r="AB172" s="66">
        <f t="shared" si="171"/>
        <v>3.473389355742297</v>
      </c>
      <c r="AC172" s="66">
        <f t="shared" si="171"/>
        <v>3.473389355742297</v>
      </c>
    </row>
    <row r="173" spans="1:29" x14ac:dyDescent="0.25">
      <c r="A173" s="30" t="str">
        <f t="shared" si="166"/>
        <v>Opex maintenance &amp; repair</v>
      </c>
      <c r="B173" s="66">
        <f>B143/B153</f>
        <v>7.7810095446659027</v>
      </c>
      <c r="C173" s="66">
        <f t="shared" ref="C173:AC173" si="172">C143/C153</f>
        <v>7.7544083025658797</v>
      </c>
      <c r="D173" s="66">
        <f t="shared" si="172"/>
        <v>7.7166383521194692</v>
      </c>
      <c r="E173" s="66">
        <f t="shared" si="172"/>
        <v>7.6632541566239745</v>
      </c>
      <c r="F173" s="66">
        <f t="shared" si="172"/>
        <v>7.5883037092789669</v>
      </c>
      <c r="G173" s="66">
        <f t="shared" si="172"/>
        <v>7.4840953796145033</v>
      </c>
      <c r="H173" s="66">
        <f t="shared" si="172"/>
        <v>7.3412296580858891</v>
      </c>
      <c r="I173" s="66">
        <f t="shared" si="172"/>
        <v>7.1492334372232325</v>
      </c>
      <c r="J173" s="66">
        <f t="shared" si="172"/>
        <v>6.8982572856136732</v>
      </c>
      <c r="K173" s="66">
        <f t="shared" si="172"/>
        <v>6.5821952431369439</v>
      </c>
      <c r="L173" s="66">
        <f t="shared" si="172"/>
        <v>6.202929864727218</v>
      </c>
      <c r="M173" s="66">
        <f t="shared" si="172"/>
        <v>5.7740665669419418</v>
      </c>
      <c r="N173" s="66">
        <f t="shared" si="172"/>
        <v>5.3213173430518594</v>
      </c>
      <c r="O173" s="66">
        <f t="shared" si="172"/>
        <v>4.8774773770442641</v>
      </c>
      <c r="P173" s="66">
        <f t="shared" si="172"/>
        <v>4.4734407201834294</v>
      </c>
      <c r="Q173" s="66">
        <f t="shared" si="172"/>
        <v>4.13006709777809</v>
      </c>
      <c r="R173" s="66">
        <f t="shared" si="172"/>
        <v>3.855086320963053</v>
      </c>
      <c r="S173" s="66">
        <f t="shared" si="172"/>
        <v>3.6452637837353725</v>
      </c>
      <c r="T173" s="66">
        <f t="shared" si="172"/>
        <v>3.4910273910812166</v>
      </c>
      <c r="U173" s="66">
        <f t="shared" si="172"/>
        <v>3.3807506016196185</v>
      </c>
      <c r="V173" s="66">
        <f t="shared" si="172"/>
        <v>3.3034628578447651</v>
      </c>
      <c r="W173" s="66">
        <f t="shared" si="172"/>
        <v>3.2500522764203521</v>
      </c>
      <c r="X173" s="66">
        <f t="shared" si="172"/>
        <v>3.2135007540002656</v>
      </c>
      <c r="Y173" s="66">
        <f t="shared" si="172"/>
        <v>3.188653681086</v>
      </c>
      <c r="Z173" s="66">
        <f t="shared" si="172"/>
        <v>3.1718399433283566</v>
      </c>
      <c r="AA173" s="66">
        <f t="shared" si="172"/>
        <v>3.1604973782831638</v>
      </c>
      <c r="AB173" s="66">
        <f t="shared" si="172"/>
        <v>3.1528616198398223</v>
      </c>
      <c r="AC173" s="66">
        <f t="shared" si="172"/>
        <v>3.1477284841474571</v>
      </c>
    </row>
    <row r="174" spans="1:29" x14ac:dyDescent="0.25">
      <c r="A174" s="30" t="str">
        <f t="shared" si="166"/>
        <v>Opex var (mode-fees, shunting)</v>
      </c>
      <c r="B174" s="66">
        <f>B144*B153/B153</f>
        <v>3.6414565826330532</v>
      </c>
      <c r="C174" s="66">
        <f t="shared" ref="C174:AC174" si="173">C144*C153/C153</f>
        <v>3.6414565826330532</v>
      </c>
      <c r="D174" s="66">
        <f t="shared" si="173"/>
        <v>3.6414565826330532</v>
      </c>
      <c r="E174" s="66">
        <f t="shared" si="173"/>
        <v>3.6414565826330532</v>
      </c>
      <c r="F174" s="66">
        <f t="shared" si="173"/>
        <v>3.6414565826330532</v>
      </c>
      <c r="G174" s="66">
        <f t="shared" si="173"/>
        <v>3.6414565826330532</v>
      </c>
      <c r="H174" s="66">
        <f t="shared" si="173"/>
        <v>3.6414565826330532</v>
      </c>
      <c r="I174" s="66">
        <f t="shared" si="173"/>
        <v>3.6414565826330532</v>
      </c>
      <c r="J174" s="66">
        <f t="shared" si="173"/>
        <v>3.6414565826330532</v>
      </c>
      <c r="K174" s="66">
        <f t="shared" si="173"/>
        <v>3.6414565826330532</v>
      </c>
      <c r="L174" s="66">
        <f t="shared" si="173"/>
        <v>3.6414565826330532</v>
      </c>
      <c r="M174" s="66">
        <f t="shared" si="173"/>
        <v>3.6414565826330532</v>
      </c>
      <c r="N174" s="66">
        <f t="shared" si="173"/>
        <v>3.6414565826330532</v>
      </c>
      <c r="O174" s="66">
        <f t="shared" si="173"/>
        <v>3.6414565826330532</v>
      </c>
      <c r="P174" s="66">
        <f t="shared" si="173"/>
        <v>3.6414565826330532</v>
      </c>
      <c r="Q174" s="66">
        <f t="shared" si="173"/>
        <v>3.6414565826330532</v>
      </c>
      <c r="R174" s="66">
        <f t="shared" si="173"/>
        <v>3.6414565826330532</v>
      </c>
      <c r="S174" s="66">
        <f t="shared" si="173"/>
        <v>3.6414565826330532</v>
      </c>
      <c r="T174" s="66">
        <f t="shared" si="173"/>
        <v>3.6414565826330532</v>
      </c>
      <c r="U174" s="66">
        <f t="shared" si="173"/>
        <v>3.6414565826330532</v>
      </c>
      <c r="V174" s="66">
        <f t="shared" si="173"/>
        <v>3.6414565826330532</v>
      </c>
      <c r="W174" s="66">
        <f t="shared" si="173"/>
        <v>3.6414565826330532</v>
      </c>
      <c r="X174" s="66">
        <f t="shared" si="173"/>
        <v>3.6414565826330532</v>
      </c>
      <c r="Y174" s="66">
        <f t="shared" si="173"/>
        <v>3.6414565826330532</v>
      </c>
      <c r="Z174" s="66">
        <f t="shared" si="173"/>
        <v>3.6414565826330532</v>
      </c>
      <c r="AA174" s="66">
        <f t="shared" si="173"/>
        <v>3.6414565826330532</v>
      </c>
      <c r="AB174" s="66">
        <f t="shared" si="173"/>
        <v>3.6414565826330532</v>
      </c>
      <c r="AC174" s="66">
        <f t="shared" si="173"/>
        <v>3.6414565826330532</v>
      </c>
    </row>
    <row r="175" spans="1:29" x14ac:dyDescent="0.25">
      <c r="A175" s="30" t="str">
        <f t="shared" si="166"/>
        <v>Fuel Cost</v>
      </c>
      <c r="B175" s="66">
        <f>B145*B146*B153/B153</f>
        <v>12.313768682212032</v>
      </c>
      <c r="C175" s="66">
        <f t="shared" ref="C175:AC175" si="174">C145*C146*C153/C153</f>
        <v>12.263116777890403</v>
      </c>
      <c r="D175" s="66">
        <f t="shared" si="174"/>
        <v>12.191317967148235</v>
      </c>
      <c r="E175" s="66">
        <f t="shared" si="174"/>
        <v>12.090076689299222</v>
      </c>
      <c r="F175" s="66">
        <f t="shared" si="174"/>
        <v>11.94840905335999</v>
      </c>
      <c r="G175" s="66">
        <f t="shared" si="174"/>
        <v>11.75235826483142</v>
      </c>
      <c r="H175" s="66">
        <f t="shared" si="174"/>
        <v>11.485316832185498</v>
      </c>
      <c r="I175" s="66">
        <f t="shared" si="174"/>
        <v>11.129605271256127</v>
      </c>
      <c r="J175" s="66">
        <f t="shared" si="174"/>
        <v>10.670091951386773</v>
      </c>
      <c r="K175" s="66">
        <f t="shared" si="174"/>
        <v>10.100231105276086</v>
      </c>
      <c r="L175" s="66">
        <f t="shared" si="174"/>
        <v>9.4293905193817622</v>
      </c>
      <c r="M175" s="66">
        <f t="shared" si="174"/>
        <v>8.6878750233238424</v>
      </c>
      <c r="N175" s="66">
        <f t="shared" si="174"/>
        <v>7.9247003671222451</v>
      </c>
      <c r="O175" s="66">
        <f t="shared" si="174"/>
        <v>7.1961243674142494</v>
      </c>
      <c r="P175" s="66">
        <f t="shared" si="174"/>
        <v>6.5497430101857042</v>
      </c>
      <c r="Q175" s="66">
        <f t="shared" si="174"/>
        <v>6.0130389640743127</v>
      </c>
      <c r="R175" s="66">
        <f t="shared" si="174"/>
        <v>5.5916017695081521</v>
      </c>
      <c r="S175" s="66">
        <f t="shared" si="174"/>
        <v>5.2750317654916969</v>
      </c>
      <c r="T175" s="66">
        <f t="shared" si="174"/>
        <v>5.0450903494017911</v>
      </c>
      <c r="U175" s="66">
        <f t="shared" si="174"/>
        <v>4.8821208614844984</v>
      </c>
      <c r="V175" s="66">
        <f t="shared" si="174"/>
        <v>4.768616617407039</v>
      </c>
      <c r="W175" s="66">
        <f t="shared" si="174"/>
        <v>4.6905216934141825</v>
      </c>
      <c r="X175" s="66">
        <f t="shared" si="174"/>
        <v>4.6372392442757135</v>
      </c>
      <c r="Y175" s="66">
        <f t="shared" si="174"/>
        <v>4.6010938520194031</v>
      </c>
      <c r="Z175" s="66">
        <f t="shared" si="174"/>
        <v>4.5766691342187666</v>
      </c>
      <c r="AA175" s="66">
        <f t="shared" si="174"/>
        <v>4.5602079084825364</v>
      </c>
      <c r="AB175" s="66">
        <f t="shared" si="174"/>
        <v>4.5491334236011296</v>
      </c>
      <c r="AC175" s="66">
        <f t="shared" si="174"/>
        <v>4.5416918305024687</v>
      </c>
    </row>
    <row r="176" spans="1:29" ht="15.75" thickBot="1" x14ac:dyDescent="0.3">
      <c r="A176" s="59" t="str">
        <f t="shared" ref="A176" si="175">A164</f>
        <v>Emission Cost</v>
      </c>
      <c r="B176" s="66">
        <f>B147</f>
        <v>0.17582388128473975</v>
      </c>
      <c r="C176" s="66">
        <f t="shared" ref="C176:AC176" si="176">C147</f>
        <v>0.17565645410997111</v>
      </c>
      <c r="D176" s="66">
        <f t="shared" si="176"/>
        <v>0.17541678583842943</v>
      </c>
      <c r="E176" s="66">
        <f t="shared" si="176"/>
        <v>0.17507392352176276</v>
      </c>
      <c r="F176" s="66">
        <f t="shared" si="176"/>
        <v>0.17458389761491974</v>
      </c>
      <c r="G176" s="66">
        <f t="shared" si="176"/>
        <v>0.17388452474686475</v>
      </c>
      <c r="H176" s="66">
        <f t="shared" si="176"/>
        <v>0.17288844620780905</v>
      </c>
      <c r="I176" s="66">
        <f t="shared" si="176"/>
        <v>0.17147415747198971</v>
      </c>
      <c r="J176" s="66">
        <f t="shared" si="176"/>
        <v>0.16947519624837942</v>
      </c>
      <c r="K176" s="66">
        <f t="shared" si="176"/>
        <v>0.16666869075467838</v>
      </c>
      <c r="L176" s="66">
        <f t="shared" si="176"/>
        <v>0.16276662932539185</v>
      </c>
      <c r="M176" s="66">
        <f t="shared" si="176"/>
        <v>0.15741704908224841</v>
      </c>
      <c r="N176" s="66">
        <f t="shared" si="176"/>
        <v>0.15022778647330717</v>
      </c>
      <c r="O176" s="66">
        <f t="shared" si="176"/>
        <v>0.14083003138002706</v>
      </c>
      <c r="P176" s="66">
        <f t="shared" si="176"/>
        <v>0.12899514726681846</v>
      </c>
      <c r="Q176" s="66">
        <f t="shared" si="176"/>
        <v>0.11479362605136975</v>
      </c>
      <c r="R176" s="66">
        <f t="shared" si="176"/>
        <v>9.8734920014022967E-2</v>
      </c>
      <c r="S176" s="66">
        <f t="shared" si="176"/>
        <v>8.1781809937608918E-2</v>
      </c>
      <c r="T176" s="66">
        <f t="shared" si="176"/>
        <v>6.5162305357595693E-2</v>
      </c>
      <c r="U176" s="66">
        <f t="shared" si="176"/>
        <v>5.0033228249931727E-2</v>
      </c>
      <c r="V176" s="66">
        <f t="shared" si="176"/>
        <v>3.7175667130427636E-2</v>
      </c>
      <c r="W176" s="66">
        <f t="shared" si="176"/>
        <v>2.6879063332438669E-2</v>
      </c>
      <c r="X176" s="66">
        <f t="shared" si="176"/>
        <v>1.9022297638684654E-2</v>
      </c>
      <c r="Y176" s="66">
        <f t="shared" si="176"/>
        <v>1.324694474025595E-2</v>
      </c>
      <c r="Z176" s="66">
        <f t="shared" si="176"/>
        <v>9.1176509679713191E-3</v>
      </c>
      <c r="AA176" s="66">
        <f t="shared" si="176"/>
        <v>6.2236258462609606E-3</v>
      </c>
      <c r="AB176" s="66">
        <f t="shared" si="176"/>
        <v>4.2236766064734643E-3</v>
      </c>
      <c r="AC176" s="66">
        <f t="shared" si="176"/>
        <v>2.8550116803935655E-3</v>
      </c>
    </row>
    <row r="177" spans="1:29" ht="15.75" thickBot="1" x14ac:dyDescent="0.3">
      <c r="A177" s="31" t="s">
        <v>63</v>
      </c>
      <c r="B177" s="76">
        <f>B168+B169+B170-B171+B172+B173+B174+B175+B176</f>
        <v>34.379328455748791</v>
      </c>
      <c r="C177" s="76">
        <f t="shared" ref="C177:AC177" si="177">C168+C169+C170-C171+C172+C173+C174+C175+C176</f>
        <v>34.285065945490587</v>
      </c>
      <c r="D177" s="76">
        <f t="shared" si="177"/>
        <v>34.151344380292471</v>
      </c>
      <c r="E177" s="76">
        <f t="shared" si="177"/>
        <v>33.962577125171272</v>
      </c>
      <c r="F177" s="76">
        <f t="shared" si="177"/>
        <v>33.698015942841323</v>
      </c>
      <c r="G177" s="76">
        <f t="shared" si="177"/>
        <v>33.331080454118236</v>
      </c>
      <c r="H177" s="76">
        <f t="shared" si="177"/>
        <v>32.829725225814443</v>
      </c>
      <c r="I177" s="76">
        <f t="shared" si="177"/>
        <v>32.159045365657363</v>
      </c>
      <c r="J177" s="76">
        <f t="shared" si="177"/>
        <v>31.287657418671518</v>
      </c>
      <c r="K177" s="76">
        <f t="shared" si="177"/>
        <v>30.198820943854397</v>
      </c>
      <c r="L177" s="76">
        <f t="shared" si="177"/>
        <v>28.904690165312498</v>
      </c>
      <c r="M177" s="76">
        <f t="shared" si="177"/>
        <v>27.457437308620975</v>
      </c>
      <c r="N177" s="76">
        <f t="shared" si="177"/>
        <v>25.947676883670994</v>
      </c>
      <c r="O177" s="76">
        <f t="shared" si="177"/>
        <v>24.484856562968719</v>
      </c>
      <c r="P177" s="76">
        <f t="shared" si="177"/>
        <v>23.166797572768509</v>
      </c>
      <c r="Q177" s="76">
        <f t="shared" si="177"/>
        <v>22.05511963232636</v>
      </c>
      <c r="R177" s="76">
        <f t="shared" si="177"/>
        <v>21.168545489499493</v>
      </c>
      <c r="S177" s="76">
        <f t="shared" si="177"/>
        <v>20.492355745075464</v>
      </c>
      <c r="T177" s="76">
        <f t="shared" si="177"/>
        <v>19.993907369208667</v>
      </c>
      <c r="U177" s="76">
        <f t="shared" si="177"/>
        <v>19.635712917689208</v>
      </c>
      <c r="V177" s="76">
        <f t="shared" si="177"/>
        <v>19.383130492557179</v>
      </c>
      <c r="W177" s="76">
        <f t="shared" si="177"/>
        <v>19.207512758265587</v>
      </c>
      <c r="X177" s="76">
        <f t="shared" si="177"/>
        <v>19.086680303676314</v>
      </c>
      <c r="Y177" s="76">
        <f t="shared" si="177"/>
        <v>19.004181158976795</v>
      </c>
      <c r="Z177" s="76">
        <f t="shared" si="177"/>
        <v>18.948168195964207</v>
      </c>
      <c r="AA177" s="76">
        <f t="shared" si="177"/>
        <v>18.910289107797354</v>
      </c>
      <c r="AB177" s="76">
        <f t="shared" si="177"/>
        <v>18.884744518418415</v>
      </c>
      <c r="AC177" s="76">
        <f t="shared" si="177"/>
        <v>18.867551203292297</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78">A156</f>
        <v>Capex vehicle</v>
      </c>
      <c r="B180" s="65">
        <f>((1+B141)^B148)*B141/(((1+B141)^B148)-1)*(B137)/B153/(B150)</f>
        <v>2.1632138711235615E-3</v>
      </c>
      <c r="C180" s="65">
        <f t="shared" ref="C180:AC180" si="179">((1+C141)^C148)*C141/(((1+C141)^C148)-1)*(C137)/C153/(C150)</f>
        <v>2.1558184071327311E-3</v>
      </c>
      <c r="D180" s="65">
        <f t="shared" si="179"/>
        <v>2.145317908418739E-3</v>
      </c>
      <c r="E180" s="65">
        <f t="shared" si="179"/>
        <v>2.1304764625200132E-3</v>
      </c>
      <c r="F180" s="65">
        <f t="shared" si="179"/>
        <v>2.1096393402400665E-3</v>
      </c>
      <c r="G180" s="65">
        <f t="shared" si="179"/>
        <v>2.0806681761613224E-3</v>
      </c>
      <c r="H180" s="65">
        <f t="shared" si="179"/>
        <v>2.0409497940227692E-3</v>
      </c>
      <c r="I180" s="65">
        <f t="shared" si="179"/>
        <v>1.9875725444783161E-3</v>
      </c>
      <c r="J180" s="65">
        <f t="shared" si="179"/>
        <v>1.9177981675974668E-3</v>
      </c>
      <c r="K180" s="65">
        <f t="shared" si="179"/>
        <v>1.829929133316432E-3</v>
      </c>
      <c r="L180" s="65">
        <f t="shared" si="179"/>
        <v>1.7244888144602143E-3</v>
      </c>
      <c r="M180" s="65">
        <f t="shared" si="179"/>
        <v>1.6052596798267933E-3</v>
      </c>
      <c r="N180" s="65">
        <f t="shared" si="179"/>
        <v>1.479389971579121E-3</v>
      </c>
      <c r="O180" s="65">
        <f t="shared" si="179"/>
        <v>1.3559971437570768E-3</v>
      </c>
      <c r="P180" s="65">
        <f t="shared" si="179"/>
        <v>1.2436701127276767E-3</v>
      </c>
      <c r="Q180" s="65">
        <f t="shared" si="179"/>
        <v>1.1482081320295062E-3</v>
      </c>
      <c r="R180" s="65">
        <f t="shared" si="179"/>
        <v>1.0717601817623844E-3</v>
      </c>
      <c r="S180" s="65">
        <f t="shared" si="179"/>
        <v>1.0134270027064077E-3</v>
      </c>
      <c r="T180" s="65">
        <f t="shared" si="179"/>
        <v>9.7054743777254216E-4</v>
      </c>
      <c r="U180" s="65">
        <f t="shared" si="179"/>
        <v>9.3988916916910165E-4</v>
      </c>
      <c r="V180" s="65">
        <f t="shared" si="179"/>
        <v>9.1840225048048251E-4</v>
      </c>
      <c r="W180" s="65">
        <f t="shared" si="179"/>
        <v>9.0355346897741005E-4</v>
      </c>
      <c r="X180" s="65">
        <f t="shared" si="179"/>
        <v>8.9339170785169349E-4</v>
      </c>
      <c r="Y180" s="65">
        <f t="shared" si="179"/>
        <v>8.8648392390972366E-4</v>
      </c>
      <c r="Z180" s="65">
        <f t="shared" si="179"/>
        <v>8.8180950338190116E-4</v>
      </c>
      <c r="AA180" s="65">
        <f t="shared" si="179"/>
        <v>8.7865613441364158E-4</v>
      </c>
      <c r="AB180" s="65">
        <f t="shared" si="179"/>
        <v>8.7653330208881694E-4</v>
      </c>
      <c r="AC180" s="65">
        <f t="shared" si="179"/>
        <v>8.7510622887057403E-4</v>
      </c>
    </row>
    <row r="181" spans="1:29" x14ac:dyDescent="0.25">
      <c r="A181" s="30" t="str">
        <f t="shared" si="178"/>
        <v>Residual value (vehicle)</v>
      </c>
      <c r="B181" s="68">
        <f>((1+B141)^B148)*B141/(((1+B141)^B148)-1)*(B138)/B153/(B150)</f>
        <v>-1.0931217673919614E-4</v>
      </c>
      <c r="C181" s="68">
        <f t="shared" ref="C181:AC181" si="180">((1+C141)^C148)*C141/(((1+C141)^C148)-1)*(C138)/C153/(C150)</f>
        <v>-1.0943543447237665E-4</v>
      </c>
      <c r="D181" s="68">
        <f t="shared" si="180"/>
        <v>-1.0961044278427652E-4</v>
      </c>
      <c r="E181" s="68">
        <f t="shared" si="180"/>
        <v>-1.0985780021592194E-4</v>
      </c>
      <c r="F181" s="68">
        <f t="shared" si="180"/>
        <v>-1.102050855872544E-4</v>
      </c>
      <c r="G181" s="68">
        <f t="shared" si="180"/>
        <v>-1.1068793832190012E-4</v>
      </c>
      <c r="H181" s="68">
        <f t="shared" si="180"/>
        <v>-1.1134991135754269E-4</v>
      </c>
      <c r="I181" s="68">
        <f t="shared" si="180"/>
        <v>-1.1223953218328357E-4</v>
      </c>
      <c r="J181" s="68">
        <f t="shared" si="180"/>
        <v>-1.1340243846463104E-4</v>
      </c>
      <c r="K181" s="68">
        <f t="shared" si="180"/>
        <v>-1.1486692236931498E-4</v>
      </c>
      <c r="L181" s="68">
        <f t="shared" si="180"/>
        <v>-1.1662426101691861E-4</v>
      </c>
      <c r="M181" s="68">
        <f t="shared" si="180"/>
        <v>-1.1861141326080898E-4</v>
      </c>
      <c r="N181" s="68">
        <f t="shared" si="180"/>
        <v>-1.2070924173160351E-4</v>
      </c>
      <c r="O181" s="68">
        <f t="shared" si="180"/>
        <v>-1.2276578886197088E-4</v>
      </c>
      <c r="P181" s="68">
        <f t="shared" si="180"/>
        <v>-1.2463790604579422E-4</v>
      </c>
      <c r="Q181" s="68">
        <f t="shared" si="180"/>
        <v>-1.2622893905743041E-4</v>
      </c>
      <c r="R181" s="68">
        <f t="shared" si="180"/>
        <v>-1.2750307156188243E-4</v>
      </c>
      <c r="S181" s="68">
        <f t="shared" si="180"/>
        <v>-1.2847529121281536E-4</v>
      </c>
      <c r="T181" s="68">
        <f t="shared" si="180"/>
        <v>-1.2918995062837979E-4</v>
      </c>
      <c r="U181" s="68">
        <f t="shared" si="180"/>
        <v>-1.2970092177177047E-4</v>
      </c>
      <c r="V181" s="68">
        <f t="shared" si="180"/>
        <v>-1.3005903708324747E-4</v>
      </c>
      <c r="W181" s="68">
        <f t="shared" si="180"/>
        <v>-1.3030651677496533E-4</v>
      </c>
      <c r="X181" s="68">
        <f t="shared" si="180"/>
        <v>-1.3047587946039396E-4</v>
      </c>
      <c r="Y181" s="68">
        <f t="shared" si="180"/>
        <v>-1.305910091927601E-4</v>
      </c>
      <c r="Z181" s="68">
        <f t="shared" si="180"/>
        <v>-1.3066891620155716E-4</v>
      </c>
      <c r="AA181" s="68">
        <f t="shared" si="180"/>
        <v>-1.3072147235102815E-4</v>
      </c>
      <c r="AB181" s="68">
        <f t="shared" si="180"/>
        <v>-1.3075685288977524E-4</v>
      </c>
      <c r="AC181" s="68">
        <f t="shared" si="180"/>
        <v>-1.3078063744341263E-4</v>
      </c>
    </row>
    <row r="182" spans="1:29" x14ac:dyDescent="0.25">
      <c r="A182" s="30" t="str">
        <f t="shared" si="178"/>
        <v>Capex costumization</v>
      </c>
      <c r="B182" s="66">
        <f>((1+B141)^B149)*B141/(((1+B141)^B149)-1)*(B139)/B153/(B150)</f>
        <v>1.0174917575636864E-3</v>
      </c>
      <c r="C182" s="66">
        <f t="shared" ref="C182:AC182" si="181">((1+C141)^C149)*C141/(((1+C141)^C149)-1)*(C139)/C153/(C150)</f>
        <v>1.0174917575636864E-3</v>
      </c>
      <c r="D182" s="66">
        <f t="shared" si="181"/>
        <v>1.0174917575636864E-3</v>
      </c>
      <c r="E182" s="66">
        <f t="shared" si="181"/>
        <v>1.0174917575636864E-3</v>
      </c>
      <c r="F182" s="66">
        <f t="shared" si="181"/>
        <v>1.0174917575636864E-3</v>
      </c>
      <c r="G182" s="66">
        <f t="shared" si="181"/>
        <v>1.0174917575636864E-3</v>
      </c>
      <c r="H182" s="66">
        <f t="shared" si="181"/>
        <v>1.0174917575636864E-3</v>
      </c>
      <c r="I182" s="66">
        <f t="shared" si="181"/>
        <v>1.0174917575636864E-3</v>
      </c>
      <c r="J182" s="66">
        <f t="shared" si="181"/>
        <v>1.0174917575636864E-3</v>
      </c>
      <c r="K182" s="66">
        <f t="shared" si="181"/>
        <v>1.0174917575636864E-3</v>
      </c>
      <c r="L182" s="66">
        <f t="shared" si="181"/>
        <v>1.0174917575636864E-3</v>
      </c>
      <c r="M182" s="66">
        <f t="shared" si="181"/>
        <v>1.0174917575636864E-3</v>
      </c>
      <c r="N182" s="66">
        <f t="shared" si="181"/>
        <v>1.0174917575636864E-3</v>
      </c>
      <c r="O182" s="66">
        <f t="shared" si="181"/>
        <v>1.0174917575636864E-3</v>
      </c>
      <c r="P182" s="66">
        <f t="shared" si="181"/>
        <v>1.0174917575636864E-3</v>
      </c>
      <c r="Q182" s="66">
        <f t="shared" si="181"/>
        <v>1.0174917575636864E-3</v>
      </c>
      <c r="R182" s="66">
        <f t="shared" si="181"/>
        <v>1.0174917575636864E-3</v>
      </c>
      <c r="S182" s="66">
        <f t="shared" si="181"/>
        <v>1.0174917575636864E-3</v>
      </c>
      <c r="T182" s="66">
        <f t="shared" si="181"/>
        <v>1.0174917575636864E-3</v>
      </c>
      <c r="U182" s="66">
        <f t="shared" si="181"/>
        <v>1.0174917575636864E-3</v>
      </c>
      <c r="V182" s="66">
        <f t="shared" si="181"/>
        <v>1.0174917575636864E-3</v>
      </c>
      <c r="W182" s="66">
        <f t="shared" si="181"/>
        <v>1.0174917575636864E-3</v>
      </c>
      <c r="X182" s="66">
        <f t="shared" si="181"/>
        <v>1.0174917575636864E-3</v>
      </c>
      <c r="Y182" s="66">
        <f t="shared" si="181"/>
        <v>1.0174917575636864E-3</v>
      </c>
      <c r="Z182" s="66">
        <f t="shared" si="181"/>
        <v>1.0174917575636864E-3</v>
      </c>
      <c r="AA182" s="66">
        <f t="shared" si="181"/>
        <v>1.0174917575636864E-3</v>
      </c>
      <c r="AB182" s="66">
        <f t="shared" si="181"/>
        <v>1.0174917575636864E-3</v>
      </c>
      <c r="AC182" s="66">
        <f t="shared" si="181"/>
        <v>1.0174917575636864E-3</v>
      </c>
    </row>
    <row r="183" spans="1:29" x14ac:dyDescent="0.25">
      <c r="A183" s="30" t="str">
        <f t="shared" si="178"/>
        <v>Residual value (costumization)</v>
      </c>
      <c r="B183" s="69">
        <f>((1+B141)^B149)*B141/(((1+B141)^B149)-1)*(B140)/B153/(B150)</f>
        <v>-5.0874587878184312E-5</v>
      </c>
      <c r="C183" s="69">
        <f t="shared" ref="C183:AC183" si="182">((1+C141)^C149)*C141/(((1+C141)^C149)-1)*(C140)/C153/(C150)</f>
        <v>-5.0874587878184312E-5</v>
      </c>
      <c r="D183" s="69">
        <f t="shared" si="182"/>
        <v>-5.0874587878184312E-5</v>
      </c>
      <c r="E183" s="69">
        <f t="shared" si="182"/>
        <v>-5.0874587878184312E-5</v>
      </c>
      <c r="F183" s="69">
        <f t="shared" si="182"/>
        <v>-5.0874587878184312E-5</v>
      </c>
      <c r="G183" s="69">
        <f t="shared" si="182"/>
        <v>-5.0874587878184312E-5</v>
      </c>
      <c r="H183" s="69">
        <f t="shared" si="182"/>
        <v>-5.0874587878184312E-5</v>
      </c>
      <c r="I183" s="69">
        <f t="shared" si="182"/>
        <v>-5.0874587878184312E-5</v>
      </c>
      <c r="J183" s="69">
        <f t="shared" si="182"/>
        <v>-5.0874587878184312E-5</v>
      </c>
      <c r="K183" s="69">
        <f t="shared" si="182"/>
        <v>-5.0874587878184312E-5</v>
      </c>
      <c r="L183" s="69">
        <f t="shared" si="182"/>
        <v>-5.0874587878184312E-5</v>
      </c>
      <c r="M183" s="69">
        <f t="shared" si="182"/>
        <v>-5.0874587878184312E-5</v>
      </c>
      <c r="N183" s="69">
        <f t="shared" si="182"/>
        <v>-5.0874587878184312E-5</v>
      </c>
      <c r="O183" s="69">
        <f t="shared" si="182"/>
        <v>-5.0874587878184312E-5</v>
      </c>
      <c r="P183" s="69">
        <f t="shared" si="182"/>
        <v>-5.0874587878184312E-5</v>
      </c>
      <c r="Q183" s="69">
        <f t="shared" si="182"/>
        <v>-5.0874587878184312E-5</v>
      </c>
      <c r="R183" s="69">
        <f t="shared" si="182"/>
        <v>-5.0874587878184312E-5</v>
      </c>
      <c r="S183" s="69">
        <f t="shared" si="182"/>
        <v>-5.0874587878184312E-5</v>
      </c>
      <c r="T183" s="69">
        <f t="shared" si="182"/>
        <v>-5.0874587878184312E-5</v>
      </c>
      <c r="U183" s="69">
        <f t="shared" si="182"/>
        <v>-5.0874587878184312E-5</v>
      </c>
      <c r="V183" s="69">
        <f t="shared" si="182"/>
        <v>-5.0874587878184312E-5</v>
      </c>
      <c r="W183" s="69">
        <f t="shared" si="182"/>
        <v>-5.0874587878184312E-5</v>
      </c>
      <c r="X183" s="69">
        <f t="shared" si="182"/>
        <v>-5.0874587878184312E-5</v>
      </c>
      <c r="Y183" s="69">
        <f t="shared" si="182"/>
        <v>-5.0874587878184312E-5</v>
      </c>
      <c r="Z183" s="69">
        <f t="shared" si="182"/>
        <v>-5.0874587878184312E-5</v>
      </c>
      <c r="AA183" s="69">
        <f t="shared" si="182"/>
        <v>-5.0874587878184312E-5</v>
      </c>
      <c r="AB183" s="69">
        <f t="shared" si="182"/>
        <v>-5.0874587878184312E-5</v>
      </c>
      <c r="AC183" s="69">
        <f t="shared" si="182"/>
        <v>-5.0874587878184312E-5</v>
      </c>
    </row>
    <row r="184" spans="1:29" x14ac:dyDescent="0.25">
      <c r="A184" s="30" t="str">
        <f t="shared" si="178"/>
        <v>Opex fix (admin, crew, insurance)</v>
      </c>
      <c r="B184" s="66">
        <f>B142/B153/(B150)</f>
        <v>1.5506202480992397E-3</v>
      </c>
      <c r="C184" s="66">
        <f t="shared" ref="C184:AC184" si="183">C142/C153/(C150)</f>
        <v>1.5506202480992397E-3</v>
      </c>
      <c r="D184" s="66">
        <f t="shared" si="183"/>
        <v>1.5506202480992397E-3</v>
      </c>
      <c r="E184" s="66">
        <f t="shared" si="183"/>
        <v>1.5506202480992397E-3</v>
      </c>
      <c r="F184" s="66">
        <f t="shared" si="183"/>
        <v>1.5506202480992397E-3</v>
      </c>
      <c r="G184" s="66">
        <f t="shared" si="183"/>
        <v>1.5506202480992397E-3</v>
      </c>
      <c r="H184" s="66">
        <f t="shared" si="183"/>
        <v>1.5506202480992397E-3</v>
      </c>
      <c r="I184" s="66">
        <f t="shared" si="183"/>
        <v>1.5506202480992397E-3</v>
      </c>
      <c r="J184" s="66">
        <f t="shared" si="183"/>
        <v>1.5506202480992397E-3</v>
      </c>
      <c r="K184" s="66">
        <f t="shared" si="183"/>
        <v>1.5506202480992397E-3</v>
      </c>
      <c r="L184" s="66">
        <f t="shared" si="183"/>
        <v>1.5506202480992397E-3</v>
      </c>
      <c r="M184" s="66">
        <f t="shared" si="183"/>
        <v>1.5506202480992397E-3</v>
      </c>
      <c r="N184" s="66">
        <f t="shared" si="183"/>
        <v>1.5506202480992397E-3</v>
      </c>
      <c r="O184" s="66">
        <f t="shared" si="183"/>
        <v>1.5506202480992397E-3</v>
      </c>
      <c r="P184" s="66">
        <f t="shared" si="183"/>
        <v>1.5506202480992397E-3</v>
      </c>
      <c r="Q184" s="66">
        <f t="shared" si="183"/>
        <v>1.5506202480992397E-3</v>
      </c>
      <c r="R184" s="66">
        <f t="shared" si="183"/>
        <v>1.5506202480992397E-3</v>
      </c>
      <c r="S184" s="66">
        <f t="shared" si="183"/>
        <v>1.5506202480992397E-3</v>
      </c>
      <c r="T184" s="66">
        <f t="shared" si="183"/>
        <v>1.5506202480992397E-3</v>
      </c>
      <c r="U184" s="66">
        <f t="shared" si="183"/>
        <v>1.5506202480992397E-3</v>
      </c>
      <c r="V184" s="66">
        <f t="shared" si="183"/>
        <v>1.5506202480992397E-3</v>
      </c>
      <c r="W184" s="66">
        <f t="shared" si="183"/>
        <v>1.5506202480992397E-3</v>
      </c>
      <c r="X184" s="66">
        <f t="shared" si="183"/>
        <v>1.5506202480992397E-3</v>
      </c>
      <c r="Y184" s="66">
        <f t="shared" si="183"/>
        <v>1.5506202480992397E-3</v>
      </c>
      <c r="Z184" s="66">
        <f t="shared" si="183"/>
        <v>1.5506202480992397E-3</v>
      </c>
      <c r="AA184" s="66">
        <f t="shared" si="183"/>
        <v>1.5506202480992397E-3</v>
      </c>
      <c r="AB184" s="66">
        <f t="shared" si="183"/>
        <v>1.5506202480992397E-3</v>
      </c>
      <c r="AC184" s="66">
        <f t="shared" si="183"/>
        <v>1.5506202480992397E-3</v>
      </c>
    </row>
    <row r="185" spans="1:29" x14ac:dyDescent="0.25">
      <c r="A185" s="30" t="str">
        <f t="shared" si="178"/>
        <v>Opex maintenance &amp; repair</v>
      </c>
      <c r="B185" s="66">
        <f>B143/B153/(B150)</f>
        <v>3.4736649752972778E-3</v>
      </c>
      <c r="C185" s="66">
        <f t="shared" ref="C185:AC185" si="184">C143/C153/(C150)</f>
        <v>3.4617894207883393E-3</v>
      </c>
      <c r="D185" s="66">
        <f t="shared" si="184"/>
        <v>3.44492783576762E-3</v>
      </c>
      <c r="E185" s="66">
        <f t="shared" si="184"/>
        <v>3.4210956056357029E-3</v>
      </c>
      <c r="F185" s="66">
        <f t="shared" si="184"/>
        <v>3.387635584499539E-3</v>
      </c>
      <c r="G185" s="66">
        <f t="shared" si="184"/>
        <v>3.3411140087564748E-3</v>
      </c>
      <c r="H185" s="66">
        <f t="shared" si="184"/>
        <v>3.2773346687883435E-3</v>
      </c>
      <c r="I185" s="66">
        <f t="shared" si="184"/>
        <v>3.1916220701889431E-3</v>
      </c>
      <c r="J185" s="66">
        <f t="shared" si="184"/>
        <v>3.0795791453632469E-3</v>
      </c>
      <c r="K185" s="66">
        <f t="shared" si="184"/>
        <v>2.9384800192575641E-3</v>
      </c>
      <c r="L185" s="66">
        <f t="shared" si="184"/>
        <v>2.7691651181817939E-3</v>
      </c>
      <c r="M185" s="66">
        <f t="shared" si="184"/>
        <v>2.5777082888133671E-3</v>
      </c>
      <c r="N185" s="66">
        <f t="shared" si="184"/>
        <v>2.3755880995767228E-3</v>
      </c>
      <c r="O185" s="66">
        <f t="shared" si="184"/>
        <v>2.1774452576090466E-3</v>
      </c>
      <c r="P185" s="66">
        <f t="shared" si="184"/>
        <v>1.9970717500818881E-3</v>
      </c>
      <c r="Q185" s="66">
        <f t="shared" si="184"/>
        <v>1.8437799543652188E-3</v>
      </c>
      <c r="R185" s="66">
        <f t="shared" si="184"/>
        <v>1.7210206790013629E-3</v>
      </c>
      <c r="S185" s="66">
        <f t="shared" si="184"/>
        <v>1.6273499034532913E-3</v>
      </c>
      <c r="T185" s="66">
        <f t="shared" si="184"/>
        <v>1.5584943710184004E-3</v>
      </c>
      <c r="U185" s="66">
        <f t="shared" si="184"/>
        <v>1.5092636614373297E-3</v>
      </c>
      <c r="V185" s="66">
        <f t="shared" si="184"/>
        <v>1.4747602043949845E-3</v>
      </c>
      <c r="W185" s="66">
        <f t="shared" si="184"/>
        <v>1.4509161948305144E-3</v>
      </c>
      <c r="X185" s="66">
        <f t="shared" si="184"/>
        <v>1.4345985508929758E-3</v>
      </c>
      <c r="Y185" s="66">
        <f t="shared" si="184"/>
        <v>1.4235061076276786E-3</v>
      </c>
      <c r="Z185" s="66">
        <f t="shared" si="184"/>
        <v>1.4159999747001592E-3</v>
      </c>
      <c r="AA185" s="66">
        <f t="shared" si="184"/>
        <v>1.4109363295906981E-3</v>
      </c>
      <c r="AB185" s="66">
        <f t="shared" si="184"/>
        <v>1.4075275088570635E-3</v>
      </c>
      <c r="AC185" s="66">
        <f t="shared" si="184"/>
        <v>1.4052359304229719E-3</v>
      </c>
    </row>
    <row r="186" spans="1:29" x14ac:dyDescent="0.25">
      <c r="A186" s="30" t="str">
        <f t="shared" si="178"/>
        <v>Opex var (mode-fees, shunting)</v>
      </c>
      <c r="B186" s="66">
        <f>B144*B153/B153/(B150)</f>
        <v>1.6256502601040416E-3</v>
      </c>
      <c r="C186" s="66">
        <f t="shared" ref="C186:AC186" si="185">C144*C153/C153/(C150)</f>
        <v>1.6256502601040416E-3</v>
      </c>
      <c r="D186" s="66">
        <f t="shared" si="185"/>
        <v>1.6256502601040416E-3</v>
      </c>
      <c r="E186" s="66">
        <f t="shared" si="185"/>
        <v>1.6256502601040416E-3</v>
      </c>
      <c r="F186" s="66">
        <f t="shared" si="185"/>
        <v>1.6256502601040416E-3</v>
      </c>
      <c r="G186" s="66">
        <f t="shared" si="185"/>
        <v>1.6256502601040416E-3</v>
      </c>
      <c r="H186" s="66">
        <f t="shared" si="185"/>
        <v>1.6256502601040416E-3</v>
      </c>
      <c r="I186" s="66">
        <f t="shared" si="185"/>
        <v>1.6256502601040416E-3</v>
      </c>
      <c r="J186" s="66">
        <f t="shared" si="185"/>
        <v>1.6256502601040416E-3</v>
      </c>
      <c r="K186" s="66">
        <f t="shared" si="185"/>
        <v>1.6256502601040416E-3</v>
      </c>
      <c r="L186" s="66">
        <f t="shared" si="185"/>
        <v>1.6256502601040416E-3</v>
      </c>
      <c r="M186" s="66">
        <f t="shared" si="185"/>
        <v>1.6256502601040416E-3</v>
      </c>
      <c r="N186" s="66">
        <f t="shared" si="185"/>
        <v>1.6256502601040416E-3</v>
      </c>
      <c r="O186" s="66">
        <f t="shared" si="185"/>
        <v>1.6256502601040416E-3</v>
      </c>
      <c r="P186" s="66">
        <f t="shared" si="185"/>
        <v>1.6256502601040416E-3</v>
      </c>
      <c r="Q186" s="66">
        <f t="shared" si="185"/>
        <v>1.6256502601040416E-3</v>
      </c>
      <c r="R186" s="66">
        <f t="shared" si="185"/>
        <v>1.6256502601040416E-3</v>
      </c>
      <c r="S186" s="66">
        <f t="shared" si="185"/>
        <v>1.6256502601040416E-3</v>
      </c>
      <c r="T186" s="66">
        <f t="shared" si="185"/>
        <v>1.6256502601040416E-3</v>
      </c>
      <c r="U186" s="66">
        <f t="shared" si="185"/>
        <v>1.6256502601040416E-3</v>
      </c>
      <c r="V186" s="66">
        <f t="shared" si="185"/>
        <v>1.6256502601040416E-3</v>
      </c>
      <c r="W186" s="66">
        <f t="shared" si="185"/>
        <v>1.6256502601040416E-3</v>
      </c>
      <c r="X186" s="66">
        <f t="shared" si="185"/>
        <v>1.6256502601040416E-3</v>
      </c>
      <c r="Y186" s="66">
        <f t="shared" si="185"/>
        <v>1.6256502601040416E-3</v>
      </c>
      <c r="Z186" s="66">
        <f t="shared" si="185"/>
        <v>1.6256502601040416E-3</v>
      </c>
      <c r="AA186" s="66">
        <f t="shared" si="185"/>
        <v>1.6256502601040416E-3</v>
      </c>
      <c r="AB186" s="66">
        <f t="shared" si="185"/>
        <v>1.6256502601040416E-3</v>
      </c>
      <c r="AC186" s="66">
        <f t="shared" si="185"/>
        <v>1.6256502601040416E-3</v>
      </c>
    </row>
    <row r="187" spans="1:29" x14ac:dyDescent="0.25">
      <c r="A187" s="30" t="str">
        <f t="shared" si="178"/>
        <v>Fuel Cost</v>
      </c>
      <c r="B187" s="66">
        <f>B145*B146*B153/B153/(B150)</f>
        <v>5.4972181617018003E-3</v>
      </c>
      <c r="C187" s="66">
        <f t="shared" ref="C187:AC187" si="186">C145*C146*C153/C153/(C150)</f>
        <v>5.4746057044153581E-3</v>
      </c>
      <c r="D187" s="66">
        <f t="shared" si="186"/>
        <v>5.4425526639054617E-3</v>
      </c>
      <c r="E187" s="66">
        <f t="shared" si="186"/>
        <v>5.3973556648657245E-3</v>
      </c>
      <c r="F187" s="66">
        <f t="shared" si="186"/>
        <v>5.3341111845357095E-3</v>
      </c>
      <c r="G187" s="66">
        <f t="shared" si="186"/>
        <v>5.2465885110854552E-3</v>
      </c>
      <c r="H187" s="66">
        <f t="shared" si="186"/>
        <v>5.1273735857970976E-3</v>
      </c>
      <c r="I187" s="66">
        <f t="shared" si="186"/>
        <v>4.9685737818107711E-3</v>
      </c>
      <c r="J187" s="66">
        <f t="shared" si="186"/>
        <v>4.7634339068690955E-3</v>
      </c>
      <c r="K187" s="66">
        <f t="shared" si="186"/>
        <v>4.5090317434268237E-3</v>
      </c>
      <c r="L187" s="66">
        <f t="shared" si="186"/>
        <v>4.2095493390097152E-3</v>
      </c>
      <c r="M187" s="66">
        <f t="shared" si="186"/>
        <v>3.8785156354124296E-3</v>
      </c>
      <c r="N187" s="66">
        <f t="shared" si="186"/>
        <v>3.5378126638938596E-3</v>
      </c>
      <c r="O187" s="66">
        <f t="shared" si="186"/>
        <v>3.2125555211670758E-3</v>
      </c>
      <c r="P187" s="66">
        <f t="shared" si="186"/>
        <v>2.9239924152614752E-3</v>
      </c>
      <c r="Q187" s="66">
        <f t="shared" si="186"/>
        <v>2.6843923946760326E-3</v>
      </c>
      <c r="R187" s="66">
        <f t="shared" si="186"/>
        <v>2.4962507899589964E-3</v>
      </c>
      <c r="S187" s="66">
        <f t="shared" si="186"/>
        <v>2.3549248953087932E-3</v>
      </c>
      <c r="T187" s="66">
        <f t="shared" si="186"/>
        <v>2.252272477411514E-3</v>
      </c>
      <c r="U187" s="66">
        <f t="shared" si="186"/>
        <v>2.179518241734151E-3</v>
      </c>
      <c r="V187" s="66">
        <f t="shared" si="186"/>
        <v>2.1288467041995708E-3</v>
      </c>
      <c r="W187" s="66">
        <f t="shared" si="186"/>
        <v>2.0939828988456172E-3</v>
      </c>
      <c r="X187" s="66">
        <f t="shared" si="186"/>
        <v>2.0701960911945149E-3</v>
      </c>
      <c r="Y187" s="66">
        <f t="shared" si="186"/>
        <v>2.0540597553658051E-3</v>
      </c>
      <c r="Z187" s="66">
        <f t="shared" si="186"/>
        <v>2.0431558634905209E-3</v>
      </c>
      <c r="AA187" s="66">
        <f t="shared" si="186"/>
        <v>2.0358071020011325E-3</v>
      </c>
      <c r="AB187" s="66">
        <f t="shared" si="186"/>
        <v>2.0308631355362185E-3</v>
      </c>
      <c r="AC187" s="66">
        <f t="shared" si="186"/>
        <v>2.0275409957600308E-3</v>
      </c>
    </row>
    <row r="188" spans="1:29" x14ac:dyDescent="0.25">
      <c r="A188" s="59" t="str">
        <f>A151</f>
        <v>Market failure (av. utilization)</v>
      </c>
      <c r="B188" s="66">
        <f t="shared" ref="B188:AC188" si="187">B177/B151-B177/B150</f>
        <v>2.0623760094826978E-2</v>
      </c>
      <c r="C188" s="66">
        <f t="shared" si="187"/>
        <v>2.0567213109041506E-2</v>
      </c>
      <c r="D188" s="66">
        <f t="shared" si="187"/>
        <v>2.0486995094204465E-2</v>
      </c>
      <c r="E188" s="66">
        <f t="shared" si="187"/>
        <v>2.0373755808905762E-2</v>
      </c>
      <c r="F188" s="66">
        <f t="shared" si="187"/>
        <v>2.0215048626425453E-2</v>
      </c>
      <c r="G188" s="66">
        <f t="shared" si="187"/>
        <v>1.9994928285813111E-2</v>
      </c>
      <c r="H188" s="66">
        <f t="shared" si="187"/>
        <v>1.9694171103655421E-2</v>
      </c>
      <c r="I188" s="66">
        <f t="shared" si="187"/>
        <v>1.9291838040224142E-2</v>
      </c>
      <c r="J188" s="66">
        <f t="shared" si="187"/>
        <v>1.8769102525151717E-2</v>
      </c>
      <c r="K188" s="66">
        <f t="shared" si="187"/>
        <v>1.8115922162189442E-2</v>
      </c>
      <c r="L188" s="66">
        <f t="shared" si="187"/>
        <v>1.7339588129302978E-2</v>
      </c>
      <c r="M188" s="66">
        <f t="shared" si="187"/>
        <v>1.647139793904439E-2</v>
      </c>
      <c r="N188" s="66">
        <f t="shared" si="187"/>
        <v>1.5565710184121831E-2</v>
      </c>
      <c r="O188" s="66">
        <f t="shared" si="187"/>
        <v>1.4688181252896971E-2</v>
      </c>
      <c r="P188" s="66">
        <f t="shared" si="187"/>
        <v>1.389749296357486E-2</v>
      </c>
      <c r="Q188" s="66">
        <f t="shared" si="187"/>
        <v>1.3230610270508279E-2</v>
      </c>
      <c r="R188" s="66">
        <f t="shared" si="187"/>
        <v>1.2698764732819169E-2</v>
      </c>
      <c r="S188" s="66">
        <f t="shared" si="187"/>
        <v>1.2293126353770157E-2</v>
      </c>
      <c r="T188" s="66">
        <f t="shared" si="187"/>
        <v>1.1994112958649172E-2</v>
      </c>
      <c r="U188" s="66">
        <f t="shared" si="187"/>
        <v>1.1779236264796818E-2</v>
      </c>
      <c r="V188" s="66">
        <f t="shared" si="187"/>
        <v>1.1627714999720406E-2</v>
      </c>
      <c r="W188" s="66">
        <f t="shared" si="187"/>
        <v>1.1522363959339008E-2</v>
      </c>
      <c r="X188" s="66">
        <f t="shared" si="187"/>
        <v>1.1449877972350468E-2</v>
      </c>
      <c r="Y188" s="66">
        <f t="shared" si="187"/>
        <v>1.1400387693024585E-2</v>
      </c>
      <c r="Z188" s="66">
        <f t="shared" si="187"/>
        <v>1.1366786166663796E-2</v>
      </c>
      <c r="AA188" s="66">
        <f t="shared" si="187"/>
        <v>1.1344062941340487E-2</v>
      </c>
      <c r="AB188" s="66">
        <f t="shared" si="187"/>
        <v>1.1328739038671759E-2</v>
      </c>
      <c r="AC188" s="66">
        <f t="shared" si="187"/>
        <v>1.131842496849287E-2</v>
      </c>
    </row>
    <row r="189" spans="1:29" x14ac:dyDescent="0.25">
      <c r="A189" s="59" t="str">
        <f>A152</f>
        <v>Payload loss (fuel)</v>
      </c>
      <c r="B189" s="66">
        <f>B177/(B150-B152)-B177/B150</f>
        <v>2.7905299071224673E-4</v>
      </c>
      <c r="C189" s="66">
        <f t="shared" ref="C189:AC189" si="188">C177/(C150-C152)-C177/C150</f>
        <v>2.7828787293417666E-4</v>
      </c>
      <c r="D189" s="66">
        <f t="shared" si="188"/>
        <v>2.7720247061925607E-4</v>
      </c>
      <c r="E189" s="66">
        <f t="shared" si="188"/>
        <v>2.7567026887314466E-4</v>
      </c>
      <c r="F189" s="66">
        <f t="shared" si="188"/>
        <v>2.7352285667890663E-4</v>
      </c>
      <c r="G189" s="66">
        <f t="shared" si="188"/>
        <v>2.7054448420550485E-4</v>
      </c>
      <c r="H189" s="66">
        <f t="shared" si="188"/>
        <v>2.6647504241732352E-4</v>
      </c>
      <c r="I189" s="66">
        <f t="shared" si="188"/>
        <v>2.6103121238358305E-4</v>
      </c>
      <c r="J189" s="66">
        <f t="shared" si="188"/>
        <v>2.5395825826843646E-4</v>
      </c>
      <c r="K189" s="66">
        <f t="shared" si="188"/>
        <v>2.4512029986894709E-4</v>
      </c>
      <c r="L189" s="66">
        <f t="shared" si="188"/>
        <v>2.346159916015618E-4</v>
      </c>
      <c r="M189" s="66">
        <f t="shared" si="188"/>
        <v>2.2286880932322235E-4</v>
      </c>
      <c r="N189" s="66">
        <f t="shared" si="188"/>
        <v>2.1061426041940785E-4</v>
      </c>
      <c r="O189" s="66">
        <f t="shared" si="188"/>
        <v>1.9874071885526458E-4</v>
      </c>
      <c r="P189" s="66">
        <f t="shared" si="188"/>
        <v>1.8804218809065354E-4</v>
      </c>
      <c r="Q189" s="66">
        <f t="shared" si="188"/>
        <v>1.7901882818446846E-4</v>
      </c>
      <c r="R189" s="66">
        <f t="shared" si="188"/>
        <v>1.7182260949269099E-4</v>
      </c>
      <c r="S189" s="66">
        <f t="shared" si="188"/>
        <v>1.6633405637236573E-4</v>
      </c>
      <c r="T189" s="66">
        <f t="shared" si="188"/>
        <v>1.622882091656553E-4</v>
      </c>
      <c r="U189" s="66">
        <f t="shared" si="188"/>
        <v>1.5938078666955478E-4</v>
      </c>
      <c r="V189" s="66">
        <f t="shared" si="188"/>
        <v>1.573306046473797E-4</v>
      </c>
      <c r="W189" s="66">
        <f t="shared" si="188"/>
        <v>1.5590513602488192E-4</v>
      </c>
      <c r="X189" s="66">
        <f t="shared" si="188"/>
        <v>1.5492435311425558E-4</v>
      </c>
      <c r="Y189" s="66">
        <f t="shared" si="188"/>
        <v>1.5425471719948854E-4</v>
      </c>
      <c r="Z189" s="66">
        <f t="shared" si="188"/>
        <v>1.5380006652568334E-4</v>
      </c>
      <c r="AA189" s="66">
        <f t="shared" si="188"/>
        <v>1.5349260639445882E-4</v>
      </c>
      <c r="AB189" s="66">
        <f t="shared" si="188"/>
        <v>1.5328526394820137E-4</v>
      </c>
      <c r="AC189" s="66">
        <f t="shared" si="188"/>
        <v>1.5314570781893057E-4</v>
      </c>
    </row>
    <row r="190" spans="1:29" ht="15.75" thickBot="1" x14ac:dyDescent="0.3">
      <c r="A190" s="59" t="str">
        <f>A127</f>
        <v>Emission Cost</v>
      </c>
      <c r="B190" s="68">
        <f>B147*B153/B153/(B150)</f>
        <v>7.8492804144973097E-5</v>
      </c>
      <c r="C190" s="68">
        <f t="shared" ref="C190:AC190" si="189">C147*C153/C153/(C150)</f>
        <v>7.8418059870522812E-5</v>
      </c>
      <c r="D190" s="68">
        <f t="shared" si="189"/>
        <v>7.8311065106441712E-5</v>
      </c>
      <c r="E190" s="68">
        <f t="shared" si="189"/>
        <v>7.8158001572215522E-5</v>
      </c>
      <c r="F190" s="68">
        <f t="shared" si="189"/>
        <v>7.7939240006660596E-5</v>
      </c>
      <c r="G190" s="68">
        <f t="shared" si="189"/>
        <v>7.7627019976278912E-5</v>
      </c>
      <c r="H190" s="68">
        <f t="shared" si="189"/>
        <v>7.7182342057057613E-5</v>
      </c>
      <c r="I190" s="68">
        <f t="shared" si="189"/>
        <v>7.6550963157138264E-5</v>
      </c>
      <c r="J190" s="68">
        <f t="shared" si="189"/>
        <v>7.5658569753740809E-5</v>
      </c>
      <c r="K190" s="68">
        <f t="shared" si="189"/>
        <v>7.4405665515481418E-5</v>
      </c>
      <c r="L190" s="68">
        <f t="shared" si="189"/>
        <v>7.2663673805978507E-5</v>
      </c>
      <c r="M190" s="68">
        <f t="shared" si="189"/>
        <v>7.027546834028947E-5</v>
      </c>
      <c r="N190" s="68">
        <f t="shared" si="189"/>
        <v>6.7065976104154992E-5</v>
      </c>
      <c r="O190" s="68">
        <f t="shared" si="189"/>
        <v>6.2870549723226371E-5</v>
      </c>
      <c r="P190" s="68">
        <f t="shared" si="189"/>
        <v>5.7587119315543959E-5</v>
      </c>
      <c r="Q190" s="68">
        <f t="shared" si="189"/>
        <v>5.1247154487218644E-5</v>
      </c>
      <c r="R190" s="68">
        <f t="shared" si="189"/>
        <v>4.4078089291974538E-5</v>
      </c>
      <c r="S190" s="68">
        <f t="shared" si="189"/>
        <v>3.6509736579289694E-5</v>
      </c>
      <c r="T190" s="68">
        <f t="shared" si="189"/>
        <v>2.9090314891783792E-5</v>
      </c>
      <c r="U190" s="68">
        <f t="shared" si="189"/>
        <v>2.2336262611576661E-5</v>
      </c>
      <c r="V190" s="68">
        <f t="shared" si="189"/>
        <v>1.6596279968940909E-5</v>
      </c>
      <c r="W190" s="68">
        <f t="shared" si="189"/>
        <v>1.1999581844838692E-5</v>
      </c>
      <c r="X190" s="68">
        <f t="shared" si="189"/>
        <v>8.4920971601270772E-6</v>
      </c>
      <c r="Y190" s="68">
        <f t="shared" si="189"/>
        <v>5.9138146161856922E-6</v>
      </c>
      <c r="Z190" s="68">
        <f t="shared" si="189"/>
        <v>4.0703798964157678E-6</v>
      </c>
      <c r="AA190" s="68">
        <f t="shared" si="189"/>
        <v>2.778404395652214E-6</v>
      </c>
      <c r="AB190" s="68">
        <f t="shared" si="189"/>
        <v>1.885569913604225E-6</v>
      </c>
      <c r="AC190" s="68">
        <f t="shared" si="189"/>
        <v>1.2745587858899847E-6</v>
      </c>
    </row>
    <row r="191" spans="1:29" ht="15.75" thickBot="1" x14ac:dyDescent="0.3">
      <c r="A191" s="31" t="s">
        <v>210</v>
      </c>
      <c r="B191" s="67">
        <f>B180+B181+B182+B183+B184+B185+B186+B187+B188+B189+B190</f>
        <v>3.6148978398956422E-2</v>
      </c>
      <c r="C191" s="67">
        <f t="shared" ref="C191:AC191" si="190">C180+C181+C182+C183+C184+C185+C186+C187+C188+C189+C190</f>
        <v>3.604958481759904E-2</v>
      </c>
      <c r="D191" s="67">
        <f t="shared" si="190"/>
        <v>3.5908584273126487E-2</v>
      </c>
      <c r="E191" s="67">
        <f t="shared" si="190"/>
        <v>3.5709541690045421E-2</v>
      </c>
      <c r="F191" s="67">
        <f t="shared" si="190"/>
        <v>3.5430579424687865E-2</v>
      </c>
      <c r="G191" s="67">
        <f t="shared" si="190"/>
        <v>3.5043670225565038E-2</v>
      </c>
      <c r="H191" s="67">
        <f t="shared" si="190"/>
        <v>3.4515024303269248E-2</v>
      </c>
      <c r="I191" s="67">
        <f t="shared" si="190"/>
        <v>3.3807836757948392E-2</v>
      </c>
      <c r="J191" s="67">
        <f t="shared" si="190"/>
        <v>3.2889015812427862E-2</v>
      </c>
      <c r="K191" s="67">
        <f t="shared" si="190"/>
        <v>3.1740909779094155E-2</v>
      </c>
      <c r="L191" s="67">
        <f t="shared" si="190"/>
        <v>3.0376334483234103E-2</v>
      </c>
      <c r="M191" s="67">
        <f t="shared" si="190"/>
        <v>2.8850302085388465E-2</v>
      </c>
      <c r="N191" s="67">
        <f t="shared" si="190"/>
        <v>2.7258359591852271E-2</v>
      </c>
      <c r="O191" s="67">
        <f t="shared" si="190"/>
        <v>2.5715912333035468E-2</v>
      </c>
      <c r="P191" s="67">
        <f t="shared" si="190"/>
        <v>2.4326106320895085E-2</v>
      </c>
      <c r="Q191" s="67">
        <f t="shared" si="190"/>
        <v>2.3153915473082078E-2</v>
      </c>
      <c r="R191" s="67">
        <f t="shared" si="190"/>
        <v>2.2219081688653483E-2</v>
      </c>
      <c r="S191" s="67">
        <f t="shared" si="190"/>
        <v>2.1506084334866275E-2</v>
      </c>
      <c r="T191" s="67">
        <f t="shared" si="190"/>
        <v>2.0980503496169475E-2</v>
      </c>
      <c r="U191" s="67">
        <f t="shared" si="190"/>
        <v>2.0602811142535545E-2</v>
      </c>
      <c r="V191" s="67">
        <f t="shared" si="190"/>
        <v>2.0336479684217302E-2</v>
      </c>
      <c r="W191" s="67">
        <f t="shared" si="190"/>
        <v>2.0151302400976092E-2</v>
      </c>
      <c r="X191" s="67">
        <f t="shared" si="190"/>
        <v>2.0023892570992421E-2</v>
      </c>
      <c r="Y191" s="67">
        <f t="shared" si="190"/>
        <v>1.9936902680439492E-2</v>
      </c>
      <c r="Z191" s="67">
        <f t="shared" si="190"/>
        <v>1.9877840716345699E-2</v>
      </c>
      <c r="AA191" s="67">
        <f t="shared" si="190"/>
        <v>1.9837899723673828E-2</v>
      </c>
      <c r="AB191" s="67">
        <f t="shared" si="190"/>
        <v>1.9810964644014668E-2</v>
      </c>
      <c r="AC191" s="67">
        <f t="shared" si="190"/>
        <v>1.979283543059664E-2</v>
      </c>
    </row>
    <row r="193" spans="2:2" x14ac:dyDescent="0.25">
      <c r="B193" s="40"/>
    </row>
    <row r="215" spans="1:44" s="3" customFormat="1" ht="21" x14ac:dyDescent="0.35">
      <c r="A215" s="2" t="str">
        <f>'Parameter Input'!A114</f>
        <v>Railway long-haul: Container</v>
      </c>
    </row>
    <row r="216" spans="1:44" s="3" customFormat="1" ht="21" x14ac:dyDescent="0.35">
      <c r="A216" s="2" t="s">
        <v>103</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Input'!$L$127</f>
        <v>10000000</v>
      </c>
      <c r="C225" s="42">
        <f>'Parameter Input'!$M$127</f>
        <v>4000000</v>
      </c>
      <c r="D225" s="1" t="s">
        <v>15</v>
      </c>
      <c r="L225" s="51">
        <f>'Parameter Input'!$O$127</f>
        <v>12</v>
      </c>
      <c r="M225" s="52">
        <v>0</v>
      </c>
      <c r="N225" s="52">
        <v>1</v>
      </c>
      <c r="O225" s="52">
        <f>'Parameter Input'!$P$127</f>
        <v>0.9</v>
      </c>
      <c r="P225" s="53">
        <f>'Parameter Input'!$Q$127</f>
        <v>0.4</v>
      </c>
      <c r="Q225" s="4">
        <f t="shared" ref="Q225:AR234" si="191">$N225+($M225-$N225)*((1/(1+EXP(-$P225*(Q$9-$L225)))^$O225))</f>
        <v>0.9867978615748374</v>
      </c>
      <c r="R225" s="4">
        <f t="shared" si="191"/>
        <v>0.98114509762858249</v>
      </c>
      <c r="S225" s="4">
        <f t="shared" si="191"/>
        <v>0.97311898315872036</v>
      </c>
      <c r="T225" s="4">
        <f t="shared" si="191"/>
        <v>0.96177484161592774</v>
      </c>
      <c r="U225" s="4">
        <f t="shared" si="191"/>
        <v>0.94584787155511363</v>
      </c>
      <c r="V225" s="4">
        <f t="shared" si="191"/>
        <v>0.92370360150141495</v>
      </c>
      <c r="W225" s="4">
        <f t="shared" si="191"/>
        <v>0.89334463567658451</v>
      </c>
      <c r="X225" s="4">
        <f t="shared" si="191"/>
        <v>0.85254543874327005</v>
      </c>
      <c r="Y225" s="4">
        <f t="shared" si="191"/>
        <v>0.79921300652623883</v>
      </c>
      <c r="Z225" s="4">
        <f t="shared" si="191"/>
        <v>0.73204982249993378</v>
      </c>
      <c r="AA225" s="4">
        <f t="shared" si="191"/>
        <v>0.65145592958786691</v>
      </c>
      <c r="AB225" s="4">
        <f t="shared" si="191"/>
        <v>0.56032247880849573</v>
      </c>
      <c r="AC225" s="4">
        <f t="shared" si="191"/>
        <v>0.46411326873185343</v>
      </c>
      <c r="AD225" s="4">
        <f t="shared" si="191"/>
        <v>0.36979727595523937</v>
      </c>
      <c r="AE225" s="4">
        <f t="shared" si="191"/>
        <v>0.28393948637231203</v>
      </c>
      <c r="AF225" s="4">
        <f t="shared" si="191"/>
        <v>0.21097259161117732</v>
      </c>
      <c r="AG225" s="4">
        <f t="shared" si="191"/>
        <v>0.15253917653798199</v>
      </c>
      <c r="AH225" s="4">
        <f t="shared" si="191"/>
        <v>0.10795188737709993</v>
      </c>
      <c r="AI225" s="4">
        <f t="shared" si="191"/>
        <v>7.5176653938091809E-2</v>
      </c>
      <c r="AJ225" s="4">
        <f t="shared" si="191"/>
        <v>5.1742836177502194E-2</v>
      </c>
      <c r="AK225" s="4">
        <f t="shared" si="191"/>
        <v>3.5319190625345942E-2</v>
      </c>
      <c r="AL225" s="4">
        <f t="shared" si="191"/>
        <v>2.3969442072658165E-2</v>
      </c>
      <c r="AM225" s="4">
        <f t="shared" si="191"/>
        <v>1.6202243558389728E-2</v>
      </c>
      <c r="AN225" s="4">
        <f t="shared" si="191"/>
        <v>1.0922240564108399E-2</v>
      </c>
      <c r="AO225" s="4">
        <f t="shared" si="191"/>
        <v>7.3493212906090566E-3</v>
      </c>
      <c r="AP225" s="4">
        <f t="shared" si="191"/>
        <v>4.9390262185057265E-3</v>
      </c>
      <c r="AQ225" s="4">
        <f t="shared" si="191"/>
        <v>3.3164275492956197E-3</v>
      </c>
      <c r="AR225" s="4">
        <f t="shared" si="191"/>
        <v>2.2256362146679809E-3</v>
      </c>
    </row>
    <row r="226" spans="1:44" x14ac:dyDescent="0.25">
      <c r="A226" s="24" t="s">
        <v>28</v>
      </c>
      <c r="B226" s="60">
        <f>'Parameter Input'!$L$128</f>
        <v>-500000</v>
      </c>
      <c r="C226" s="61">
        <f>'Parameter Input'!$M$128</f>
        <v>-600000</v>
      </c>
      <c r="D226" s="1" t="s">
        <v>15</v>
      </c>
      <c r="L226" s="54">
        <f>'Parameter Input'!$O$128</f>
        <v>12</v>
      </c>
      <c r="M226" s="37">
        <v>0</v>
      </c>
      <c r="N226" s="37">
        <v>1</v>
      </c>
      <c r="O226" s="37">
        <f>'Parameter Input'!$P$128</f>
        <v>0.9</v>
      </c>
      <c r="P226" s="55">
        <f>'Parameter Input'!$Q$128</f>
        <v>0.4</v>
      </c>
      <c r="Q226" s="4">
        <f t="shared" si="191"/>
        <v>0.9867978615748374</v>
      </c>
      <c r="R226" s="4">
        <f t="shared" si="191"/>
        <v>0.98114509762858249</v>
      </c>
      <c r="S226" s="4">
        <f t="shared" si="191"/>
        <v>0.97311898315872036</v>
      </c>
      <c r="T226" s="4">
        <f t="shared" si="191"/>
        <v>0.96177484161592774</v>
      </c>
      <c r="U226" s="4">
        <f t="shared" si="191"/>
        <v>0.94584787155511363</v>
      </c>
      <c r="V226" s="4">
        <f t="shared" si="191"/>
        <v>0.92370360150141495</v>
      </c>
      <c r="W226" s="4">
        <f t="shared" si="191"/>
        <v>0.89334463567658451</v>
      </c>
      <c r="X226" s="4">
        <f t="shared" si="191"/>
        <v>0.85254543874327005</v>
      </c>
      <c r="Y226" s="4">
        <f t="shared" si="191"/>
        <v>0.79921300652623883</v>
      </c>
      <c r="Z226" s="4">
        <f t="shared" si="191"/>
        <v>0.73204982249993378</v>
      </c>
      <c r="AA226" s="4">
        <f t="shared" si="191"/>
        <v>0.65145592958786691</v>
      </c>
      <c r="AB226" s="4">
        <f t="shared" si="191"/>
        <v>0.56032247880849573</v>
      </c>
      <c r="AC226" s="4">
        <f t="shared" si="191"/>
        <v>0.46411326873185343</v>
      </c>
      <c r="AD226" s="4">
        <f t="shared" si="191"/>
        <v>0.36979727595523937</v>
      </c>
      <c r="AE226" s="4">
        <f t="shared" si="191"/>
        <v>0.28393948637231203</v>
      </c>
      <c r="AF226" s="4">
        <f t="shared" si="191"/>
        <v>0.21097259161117732</v>
      </c>
      <c r="AG226" s="4">
        <f t="shared" si="191"/>
        <v>0.15253917653798199</v>
      </c>
      <c r="AH226" s="4">
        <f t="shared" si="191"/>
        <v>0.10795188737709993</v>
      </c>
      <c r="AI226" s="4">
        <f t="shared" si="191"/>
        <v>7.5176653938091809E-2</v>
      </c>
      <c r="AJ226" s="4">
        <f t="shared" si="191"/>
        <v>5.1742836177502194E-2</v>
      </c>
      <c r="AK226" s="4">
        <f t="shared" si="191"/>
        <v>3.5319190625345942E-2</v>
      </c>
      <c r="AL226" s="4">
        <f t="shared" si="191"/>
        <v>2.3969442072658165E-2</v>
      </c>
      <c r="AM226" s="4">
        <f t="shared" si="191"/>
        <v>1.6202243558389728E-2</v>
      </c>
      <c r="AN226" s="4">
        <f t="shared" si="191"/>
        <v>1.0922240564108399E-2</v>
      </c>
      <c r="AO226" s="4">
        <f t="shared" si="191"/>
        <v>7.3493212906090566E-3</v>
      </c>
      <c r="AP226" s="4">
        <f t="shared" si="191"/>
        <v>4.9390262185057265E-3</v>
      </c>
      <c r="AQ226" s="4">
        <f t="shared" si="191"/>
        <v>3.3164275492956197E-3</v>
      </c>
      <c r="AR226" s="4">
        <f t="shared" si="191"/>
        <v>2.2256362146679809E-3</v>
      </c>
    </row>
    <row r="227" spans="1:44" x14ac:dyDescent="0.25">
      <c r="A227" s="24" t="s">
        <v>14</v>
      </c>
      <c r="B227" s="43">
        <f>'Parameter Input'!B115</f>
        <v>2800000</v>
      </c>
      <c r="C227" s="44">
        <f>'Parameter Input'!C115</f>
        <v>2800000</v>
      </c>
      <c r="D227" s="1" t="s">
        <v>15</v>
      </c>
      <c r="L227" s="54">
        <f>'Parameter Input'!E115</f>
        <v>12</v>
      </c>
      <c r="M227" s="37">
        <v>0</v>
      </c>
      <c r="N227" s="37">
        <v>1</v>
      </c>
      <c r="O227" s="37">
        <f>'Parameter Input'!F115</f>
        <v>0.9</v>
      </c>
      <c r="P227" s="55">
        <f>'Parameter Input'!G115</f>
        <v>0.4</v>
      </c>
      <c r="Q227" s="4">
        <f t="shared" si="191"/>
        <v>0.9867978615748374</v>
      </c>
      <c r="R227" s="4">
        <f t="shared" si="191"/>
        <v>0.98114509762858249</v>
      </c>
      <c r="S227" s="4">
        <f t="shared" si="191"/>
        <v>0.97311898315872036</v>
      </c>
      <c r="T227" s="4">
        <f t="shared" si="191"/>
        <v>0.96177484161592774</v>
      </c>
      <c r="U227" s="4">
        <f t="shared" si="191"/>
        <v>0.94584787155511363</v>
      </c>
      <c r="V227" s="4">
        <f t="shared" si="191"/>
        <v>0.92370360150141495</v>
      </c>
      <c r="W227" s="4">
        <f t="shared" si="191"/>
        <v>0.89334463567658451</v>
      </c>
      <c r="X227" s="4">
        <f t="shared" si="191"/>
        <v>0.85254543874327005</v>
      </c>
      <c r="Y227" s="4">
        <f t="shared" si="191"/>
        <v>0.79921300652623883</v>
      </c>
      <c r="Z227" s="4">
        <f t="shared" si="191"/>
        <v>0.73204982249993378</v>
      </c>
      <c r="AA227" s="4">
        <f t="shared" si="191"/>
        <v>0.65145592958786691</v>
      </c>
      <c r="AB227" s="4">
        <f t="shared" si="191"/>
        <v>0.56032247880849573</v>
      </c>
      <c r="AC227" s="4">
        <f t="shared" si="191"/>
        <v>0.46411326873185343</v>
      </c>
      <c r="AD227" s="4">
        <f t="shared" si="191"/>
        <v>0.36979727595523937</v>
      </c>
      <c r="AE227" s="4">
        <f t="shared" si="191"/>
        <v>0.28393948637231203</v>
      </c>
      <c r="AF227" s="4">
        <f t="shared" si="191"/>
        <v>0.21097259161117732</v>
      </c>
      <c r="AG227" s="4">
        <f t="shared" si="191"/>
        <v>0.15253917653798199</v>
      </c>
      <c r="AH227" s="4">
        <f t="shared" si="191"/>
        <v>0.10795188737709993</v>
      </c>
      <c r="AI227" s="4">
        <f t="shared" si="191"/>
        <v>7.5176653938091809E-2</v>
      </c>
      <c r="AJ227" s="4">
        <f t="shared" si="191"/>
        <v>5.1742836177502194E-2</v>
      </c>
      <c r="AK227" s="4">
        <f t="shared" si="191"/>
        <v>3.5319190625345942E-2</v>
      </c>
      <c r="AL227" s="4">
        <f t="shared" si="191"/>
        <v>2.3969442072658165E-2</v>
      </c>
      <c r="AM227" s="4">
        <f t="shared" si="191"/>
        <v>1.6202243558389728E-2</v>
      </c>
      <c r="AN227" s="4">
        <f t="shared" si="191"/>
        <v>1.0922240564108399E-2</v>
      </c>
      <c r="AO227" s="4">
        <f t="shared" si="191"/>
        <v>7.3493212906090566E-3</v>
      </c>
      <c r="AP227" s="4">
        <f t="shared" si="191"/>
        <v>4.9390262185057265E-3</v>
      </c>
      <c r="AQ227" s="4">
        <f t="shared" si="191"/>
        <v>3.3164275492956197E-3</v>
      </c>
      <c r="AR227" s="4">
        <f t="shared" si="191"/>
        <v>2.2256362146679809E-3</v>
      </c>
    </row>
    <row r="228" spans="1:44" x14ac:dyDescent="0.25">
      <c r="A228" s="24" t="s">
        <v>25</v>
      </c>
      <c r="B228" s="60">
        <f>'Parameter Input'!B116</f>
        <v>-140000</v>
      </c>
      <c r="C228" s="61">
        <f>'Parameter Input'!C116</f>
        <v>-140000</v>
      </c>
      <c r="D228" s="1" t="s">
        <v>15</v>
      </c>
      <c r="L228" s="54">
        <f>'Parameter Input'!E116</f>
        <v>12</v>
      </c>
      <c r="M228" s="37">
        <v>0</v>
      </c>
      <c r="N228" s="37">
        <v>1</v>
      </c>
      <c r="O228" s="37">
        <f>'Parameter Input'!F116</f>
        <v>0.9</v>
      </c>
      <c r="P228" s="55">
        <f>'Parameter Input'!G116</f>
        <v>0.4</v>
      </c>
      <c r="Q228" s="4">
        <f t="shared" si="191"/>
        <v>0.9867978615748374</v>
      </c>
      <c r="R228" s="4">
        <f t="shared" si="191"/>
        <v>0.98114509762858249</v>
      </c>
      <c r="S228" s="4">
        <f t="shared" si="191"/>
        <v>0.97311898315872036</v>
      </c>
      <c r="T228" s="4">
        <f t="shared" si="191"/>
        <v>0.96177484161592774</v>
      </c>
      <c r="U228" s="4">
        <f t="shared" si="191"/>
        <v>0.94584787155511363</v>
      </c>
      <c r="V228" s="4">
        <f t="shared" si="191"/>
        <v>0.92370360150141495</v>
      </c>
      <c r="W228" s="4">
        <f t="shared" si="191"/>
        <v>0.89334463567658451</v>
      </c>
      <c r="X228" s="4">
        <f t="shared" si="191"/>
        <v>0.85254543874327005</v>
      </c>
      <c r="Y228" s="4">
        <f t="shared" si="191"/>
        <v>0.79921300652623883</v>
      </c>
      <c r="Z228" s="4">
        <f t="shared" si="191"/>
        <v>0.73204982249993378</v>
      </c>
      <c r="AA228" s="4">
        <f t="shared" si="191"/>
        <v>0.65145592958786691</v>
      </c>
      <c r="AB228" s="4">
        <f t="shared" si="191"/>
        <v>0.56032247880849573</v>
      </c>
      <c r="AC228" s="4">
        <f t="shared" si="191"/>
        <v>0.46411326873185343</v>
      </c>
      <c r="AD228" s="4">
        <f t="shared" si="191"/>
        <v>0.36979727595523937</v>
      </c>
      <c r="AE228" s="4">
        <f t="shared" si="191"/>
        <v>0.28393948637231203</v>
      </c>
      <c r="AF228" s="4">
        <f t="shared" si="191"/>
        <v>0.21097259161117732</v>
      </c>
      <c r="AG228" s="4">
        <f t="shared" si="191"/>
        <v>0.15253917653798199</v>
      </c>
      <c r="AH228" s="4">
        <f t="shared" si="191"/>
        <v>0.10795188737709993</v>
      </c>
      <c r="AI228" s="4">
        <f t="shared" si="191"/>
        <v>7.5176653938091809E-2</v>
      </c>
      <c r="AJ228" s="4">
        <f t="shared" si="191"/>
        <v>5.1742836177502194E-2</v>
      </c>
      <c r="AK228" s="4">
        <f t="shared" si="191"/>
        <v>3.5319190625345942E-2</v>
      </c>
      <c r="AL228" s="4">
        <f t="shared" si="191"/>
        <v>2.3969442072658165E-2</v>
      </c>
      <c r="AM228" s="4">
        <f t="shared" si="191"/>
        <v>1.6202243558389728E-2</v>
      </c>
      <c r="AN228" s="4">
        <f t="shared" si="191"/>
        <v>1.0922240564108399E-2</v>
      </c>
      <c r="AO228" s="4">
        <f t="shared" si="191"/>
        <v>7.3493212906090566E-3</v>
      </c>
      <c r="AP228" s="4">
        <f t="shared" si="191"/>
        <v>4.9390262185057265E-3</v>
      </c>
      <c r="AQ228" s="4">
        <f t="shared" si="191"/>
        <v>3.3164275492956197E-3</v>
      </c>
      <c r="AR228" s="4">
        <f t="shared" si="191"/>
        <v>2.2256362146679809E-3</v>
      </c>
    </row>
    <row r="229" spans="1:44" x14ac:dyDescent="0.25">
      <c r="A229" s="24" t="s">
        <v>79</v>
      </c>
      <c r="B229" s="45">
        <f>'Parameter Input'!$L$134</f>
        <v>0.06</v>
      </c>
      <c r="C229" s="46">
        <f>'Parameter Input'!$M$134</f>
        <v>0.06</v>
      </c>
      <c r="D229" s="1" t="s">
        <v>57</v>
      </c>
      <c r="L229" s="54">
        <f>'Parameter Input'!$O$134</f>
        <v>12</v>
      </c>
      <c r="M229" s="37">
        <v>0</v>
      </c>
      <c r="N229" s="37">
        <v>1</v>
      </c>
      <c r="O229" s="37">
        <f>'Parameter Input'!$P$134</f>
        <v>0.9</v>
      </c>
      <c r="P229" s="55">
        <f>'Parameter Input'!$Q$134</f>
        <v>0.4</v>
      </c>
      <c r="Q229" s="4">
        <f t="shared" si="191"/>
        <v>0.9867978615748374</v>
      </c>
      <c r="R229" s="4">
        <f t="shared" si="191"/>
        <v>0.98114509762858249</v>
      </c>
      <c r="S229" s="4">
        <f t="shared" si="191"/>
        <v>0.97311898315872036</v>
      </c>
      <c r="T229" s="4">
        <f t="shared" si="191"/>
        <v>0.96177484161592774</v>
      </c>
      <c r="U229" s="4">
        <f t="shared" si="191"/>
        <v>0.94584787155511363</v>
      </c>
      <c r="V229" s="4">
        <f t="shared" si="191"/>
        <v>0.92370360150141495</v>
      </c>
      <c r="W229" s="4">
        <f t="shared" si="191"/>
        <v>0.89334463567658451</v>
      </c>
      <c r="X229" s="4">
        <f t="shared" si="191"/>
        <v>0.85254543874327005</v>
      </c>
      <c r="Y229" s="4">
        <f t="shared" si="191"/>
        <v>0.79921300652623883</v>
      </c>
      <c r="Z229" s="4">
        <f t="shared" si="191"/>
        <v>0.73204982249993378</v>
      </c>
      <c r="AA229" s="4">
        <f t="shared" si="191"/>
        <v>0.65145592958786691</v>
      </c>
      <c r="AB229" s="4">
        <f t="shared" si="191"/>
        <v>0.56032247880849573</v>
      </c>
      <c r="AC229" s="4">
        <f t="shared" si="191"/>
        <v>0.46411326873185343</v>
      </c>
      <c r="AD229" s="4">
        <f t="shared" si="191"/>
        <v>0.36979727595523937</v>
      </c>
      <c r="AE229" s="4">
        <f t="shared" si="191"/>
        <v>0.28393948637231203</v>
      </c>
      <c r="AF229" s="4">
        <f t="shared" si="191"/>
        <v>0.21097259161117732</v>
      </c>
      <c r="AG229" s="4">
        <f t="shared" si="191"/>
        <v>0.15253917653798199</v>
      </c>
      <c r="AH229" s="4">
        <f t="shared" si="191"/>
        <v>0.10795188737709993</v>
      </c>
      <c r="AI229" s="4">
        <f t="shared" si="191"/>
        <v>7.5176653938091809E-2</v>
      </c>
      <c r="AJ229" s="4">
        <f t="shared" si="191"/>
        <v>5.1742836177502194E-2</v>
      </c>
      <c r="AK229" s="4">
        <f t="shared" si="191"/>
        <v>3.5319190625345942E-2</v>
      </c>
      <c r="AL229" s="4">
        <f t="shared" si="191"/>
        <v>2.3969442072658165E-2</v>
      </c>
      <c r="AM229" s="4">
        <f t="shared" si="191"/>
        <v>1.6202243558389728E-2</v>
      </c>
      <c r="AN229" s="4">
        <f t="shared" si="191"/>
        <v>1.0922240564108399E-2</v>
      </c>
      <c r="AO229" s="4">
        <f t="shared" si="191"/>
        <v>7.3493212906090566E-3</v>
      </c>
      <c r="AP229" s="4">
        <f t="shared" si="191"/>
        <v>4.9390262185057265E-3</v>
      </c>
      <c r="AQ229" s="4">
        <f t="shared" si="191"/>
        <v>3.3164275492956197E-3</v>
      </c>
      <c r="AR229" s="4">
        <f t="shared" si="191"/>
        <v>2.2256362146679809E-3</v>
      </c>
    </row>
    <row r="230" spans="1:44" x14ac:dyDescent="0.25">
      <c r="A230" s="24" t="s">
        <v>37</v>
      </c>
      <c r="B230" s="43">
        <f>'Parameter Input'!B117</f>
        <v>610000</v>
      </c>
      <c r="C230" s="44">
        <f>'Parameter Input'!C117</f>
        <v>610000</v>
      </c>
      <c r="D230" s="1" t="s">
        <v>38</v>
      </c>
      <c r="L230" s="54">
        <f>'Parameter Input'!E117</f>
        <v>12</v>
      </c>
      <c r="M230" s="37">
        <v>0</v>
      </c>
      <c r="N230" s="37">
        <v>1</v>
      </c>
      <c r="O230" s="37">
        <f>'Parameter Input'!F117</f>
        <v>0.9</v>
      </c>
      <c r="P230" s="55">
        <f>'Parameter Input'!G117</f>
        <v>0.4</v>
      </c>
      <c r="Q230" s="4">
        <f t="shared" si="191"/>
        <v>0.9867978615748374</v>
      </c>
      <c r="R230" s="4">
        <f t="shared" si="191"/>
        <v>0.98114509762858249</v>
      </c>
      <c r="S230" s="4">
        <f t="shared" si="191"/>
        <v>0.97311898315872036</v>
      </c>
      <c r="T230" s="4">
        <f t="shared" si="191"/>
        <v>0.96177484161592774</v>
      </c>
      <c r="U230" s="4">
        <f t="shared" si="191"/>
        <v>0.94584787155511363</v>
      </c>
      <c r="V230" s="4">
        <f t="shared" si="191"/>
        <v>0.92370360150141495</v>
      </c>
      <c r="W230" s="4">
        <f t="shared" si="191"/>
        <v>0.89334463567658451</v>
      </c>
      <c r="X230" s="4">
        <f t="shared" si="191"/>
        <v>0.85254543874327005</v>
      </c>
      <c r="Y230" s="4">
        <f t="shared" si="191"/>
        <v>0.79921300652623883</v>
      </c>
      <c r="Z230" s="4">
        <f t="shared" si="191"/>
        <v>0.73204982249993378</v>
      </c>
      <c r="AA230" s="4">
        <f t="shared" si="191"/>
        <v>0.65145592958786691</v>
      </c>
      <c r="AB230" s="4">
        <f t="shared" si="191"/>
        <v>0.56032247880849573</v>
      </c>
      <c r="AC230" s="4">
        <f t="shared" si="191"/>
        <v>0.46411326873185343</v>
      </c>
      <c r="AD230" s="4">
        <f t="shared" si="191"/>
        <v>0.36979727595523937</v>
      </c>
      <c r="AE230" s="4">
        <f t="shared" si="191"/>
        <v>0.28393948637231203</v>
      </c>
      <c r="AF230" s="4">
        <f t="shared" si="191"/>
        <v>0.21097259161117732</v>
      </c>
      <c r="AG230" s="4">
        <f t="shared" si="191"/>
        <v>0.15253917653798199</v>
      </c>
      <c r="AH230" s="4">
        <f t="shared" si="191"/>
        <v>0.10795188737709993</v>
      </c>
      <c r="AI230" s="4">
        <f t="shared" si="191"/>
        <v>7.5176653938091809E-2</v>
      </c>
      <c r="AJ230" s="4">
        <f t="shared" si="191"/>
        <v>5.1742836177502194E-2</v>
      </c>
      <c r="AK230" s="4">
        <f t="shared" si="191"/>
        <v>3.5319190625345942E-2</v>
      </c>
      <c r="AL230" s="4">
        <f t="shared" si="191"/>
        <v>2.3969442072658165E-2</v>
      </c>
      <c r="AM230" s="4">
        <f t="shared" si="191"/>
        <v>1.6202243558389728E-2</v>
      </c>
      <c r="AN230" s="4">
        <f t="shared" si="191"/>
        <v>1.0922240564108399E-2</v>
      </c>
      <c r="AO230" s="4">
        <f t="shared" si="191"/>
        <v>7.3493212906090566E-3</v>
      </c>
      <c r="AP230" s="4">
        <f t="shared" si="191"/>
        <v>4.9390262185057265E-3</v>
      </c>
      <c r="AQ230" s="4">
        <f t="shared" si="191"/>
        <v>3.3164275492956197E-3</v>
      </c>
      <c r="AR230" s="4">
        <f t="shared" si="191"/>
        <v>2.2256362146679809E-3</v>
      </c>
    </row>
    <row r="231" spans="1:44" x14ac:dyDescent="0.25">
      <c r="A231" s="24" t="s">
        <v>52</v>
      </c>
      <c r="B231" s="43">
        <f>'Parameter Input'!$L$130</f>
        <v>1400000.0000000002</v>
      </c>
      <c r="C231" s="44">
        <f>'Parameter Input'!$M$130</f>
        <v>560000</v>
      </c>
      <c r="D231" s="1" t="s">
        <v>38</v>
      </c>
      <c r="L231" s="54">
        <f>'Parameter Input'!$O$130</f>
        <v>12</v>
      </c>
      <c r="M231" s="37">
        <v>0</v>
      </c>
      <c r="N231" s="37">
        <v>1</v>
      </c>
      <c r="O231" s="37">
        <f>'Parameter Input'!$P$130</f>
        <v>0.9</v>
      </c>
      <c r="P231" s="55">
        <f>'Parameter Input'!$Q$130</f>
        <v>0.4</v>
      </c>
      <c r="Q231" s="4">
        <f t="shared" si="191"/>
        <v>0.9867978615748374</v>
      </c>
      <c r="R231" s="4">
        <f t="shared" si="191"/>
        <v>0.98114509762858249</v>
      </c>
      <c r="S231" s="4">
        <f t="shared" si="191"/>
        <v>0.97311898315872036</v>
      </c>
      <c r="T231" s="4">
        <f t="shared" si="191"/>
        <v>0.96177484161592774</v>
      </c>
      <c r="U231" s="4">
        <f t="shared" si="191"/>
        <v>0.94584787155511363</v>
      </c>
      <c r="V231" s="4">
        <f t="shared" si="191"/>
        <v>0.92370360150141495</v>
      </c>
      <c r="W231" s="4">
        <f t="shared" si="191"/>
        <v>0.89334463567658451</v>
      </c>
      <c r="X231" s="4">
        <f t="shared" si="191"/>
        <v>0.85254543874327005</v>
      </c>
      <c r="Y231" s="4">
        <f t="shared" si="191"/>
        <v>0.79921300652623883</v>
      </c>
      <c r="Z231" s="4">
        <f t="shared" si="191"/>
        <v>0.73204982249993378</v>
      </c>
      <c r="AA231" s="4">
        <f t="shared" si="191"/>
        <v>0.65145592958786691</v>
      </c>
      <c r="AB231" s="4">
        <f t="shared" si="191"/>
        <v>0.56032247880849573</v>
      </c>
      <c r="AC231" s="4">
        <f t="shared" si="191"/>
        <v>0.46411326873185343</v>
      </c>
      <c r="AD231" s="4">
        <f t="shared" si="191"/>
        <v>0.36979727595523937</v>
      </c>
      <c r="AE231" s="4">
        <f t="shared" si="191"/>
        <v>0.28393948637231203</v>
      </c>
      <c r="AF231" s="4">
        <f t="shared" si="191"/>
        <v>0.21097259161117732</v>
      </c>
      <c r="AG231" s="4">
        <f t="shared" si="191"/>
        <v>0.15253917653798199</v>
      </c>
      <c r="AH231" s="4">
        <f t="shared" si="191"/>
        <v>0.10795188737709993</v>
      </c>
      <c r="AI231" s="4">
        <f t="shared" si="191"/>
        <v>7.5176653938091809E-2</v>
      </c>
      <c r="AJ231" s="4">
        <f t="shared" si="191"/>
        <v>5.1742836177502194E-2</v>
      </c>
      <c r="AK231" s="4">
        <f t="shared" si="191"/>
        <v>3.5319190625345942E-2</v>
      </c>
      <c r="AL231" s="4">
        <f t="shared" si="191"/>
        <v>2.3969442072658165E-2</v>
      </c>
      <c r="AM231" s="4">
        <f t="shared" si="191"/>
        <v>1.6202243558389728E-2</v>
      </c>
      <c r="AN231" s="4">
        <f t="shared" si="191"/>
        <v>1.0922240564108399E-2</v>
      </c>
      <c r="AO231" s="4">
        <f t="shared" si="191"/>
        <v>7.3493212906090566E-3</v>
      </c>
      <c r="AP231" s="4">
        <f t="shared" si="191"/>
        <v>4.9390262185057265E-3</v>
      </c>
      <c r="AQ231" s="4">
        <f t="shared" si="191"/>
        <v>3.3164275492956197E-3</v>
      </c>
      <c r="AR231" s="4">
        <f t="shared" si="191"/>
        <v>2.2256362146679809E-3</v>
      </c>
    </row>
    <row r="232" spans="1:44" x14ac:dyDescent="0.25">
      <c r="A232" s="24" t="s">
        <v>287</v>
      </c>
      <c r="B232" s="45">
        <f>'Parameter Input'!B122</f>
        <v>3.6414565826330532</v>
      </c>
      <c r="C232" s="46">
        <f>'Parameter Input'!C122</f>
        <v>3.6414565826330532</v>
      </c>
      <c r="D232" s="1" t="s">
        <v>76</v>
      </c>
      <c r="L232" s="54">
        <f>'Parameter Input'!E122</f>
        <v>12</v>
      </c>
      <c r="M232" s="37">
        <v>0</v>
      </c>
      <c r="N232" s="37">
        <v>1</v>
      </c>
      <c r="O232" s="37">
        <f>'Parameter Input'!F122</f>
        <v>0.9</v>
      </c>
      <c r="P232" s="55">
        <f>'Parameter Input'!G122</f>
        <v>0.4</v>
      </c>
      <c r="Q232" s="4">
        <f t="shared" si="191"/>
        <v>0.9867978615748374</v>
      </c>
      <c r="R232" s="4">
        <f t="shared" si="191"/>
        <v>0.98114509762858249</v>
      </c>
      <c r="S232" s="4">
        <f t="shared" si="191"/>
        <v>0.97311898315872036</v>
      </c>
      <c r="T232" s="4">
        <f t="shared" si="191"/>
        <v>0.96177484161592774</v>
      </c>
      <c r="U232" s="4">
        <f t="shared" si="191"/>
        <v>0.94584787155511363</v>
      </c>
      <c r="V232" s="4">
        <f t="shared" si="191"/>
        <v>0.92370360150141495</v>
      </c>
      <c r="W232" s="4">
        <f t="shared" si="191"/>
        <v>0.89334463567658451</v>
      </c>
      <c r="X232" s="4">
        <f t="shared" si="191"/>
        <v>0.85254543874327005</v>
      </c>
      <c r="Y232" s="4">
        <f t="shared" si="191"/>
        <v>0.79921300652623883</v>
      </c>
      <c r="Z232" s="4">
        <f t="shared" si="191"/>
        <v>0.73204982249993378</v>
      </c>
      <c r="AA232" s="4">
        <f t="shared" si="191"/>
        <v>0.65145592958786691</v>
      </c>
      <c r="AB232" s="4">
        <f t="shared" si="191"/>
        <v>0.56032247880849573</v>
      </c>
      <c r="AC232" s="4">
        <f t="shared" si="191"/>
        <v>0.46411326873185343</v>
      </c>
      <c r="AD232" s="4">
        <f t="shared" si="191"/>
        <v>0.36979727595523937</v>
      </c>
      <c r="AE232" s="4">
        <f t="shared" si="191"/>
        <v>0.28393948637231203</v>
      </c>
      <c r="AF232" s="4">
        <f t="shared" si="191"/>
        <v>0.21097259161117732</v>
      </c>
      <c r="AG232" s="4">
        <f t="shared" si="191"/>
        <v>0.15253917653798199</v>
      </c>
      <c r="AH232" s="4">
        <f t="shared" si="191"/>
        <v>0.10795188737709993</v>
      </c>
      <c r="AI232" s="4">
        <f t="shared" si="191"/>
        <v>7.5176653938091809E-2</v>
      </c>
      <c r="AJ232" s="4">
        <f t="shared" si="191"/>
        <v>5.1742836177502194E-2</v>
      </c>
      <c r="AK232" s="4">
        <f t="shared" si="191"/>
        <v>3.5319190625345942E-2</v>
      </c>
      <c r="AL232" s="4">
        <f t="shared" si="191"/>
        <v>2.3969442072658165E-2</v>
      </c>
      <c r="AM232" s="4">
        <f t="shared" si="191"/>
        <v>1.6202243558389728E-2</v>
      </c>
      <c r="AN232" s="4">
        <f t="shared" si="191"/>
        <v>1.0922240564108399E-2</v>
      </c>
      <c r="AO232" s="4">
        <f t="shared" si="191"/>
        <v>7.3493212906090566E-3</v>
      </c>
      <c r="AP232" s="4">
        <f t="shared" si="191"/>
        <v>4.9390262185057265E-3</v>
      </c>
      <c r="AQ232" s="4">
        <f t="shared" si="191"/>
        <v>3.3164275492956197E-3</v>
      </c>
      <c r="AR232" s="4">
        <f t="shared" si="191"/>
        <v>2.2256362146679809E-3</v>
      </c>
    </row>
    <row r="233" spans="1:44" x14ac:dyDescent="0.25">
      <c r="A233" s="24" t="s">
        <v>59</v>
      </c>
      <c r="B233" s="47">
        <f>'Parameter Input'!$L$131</f>
        <v>48.858472727272719</v>
      </c>
      <c r="C233" s="48">
        <f>'Parameter Input'!$M$131</f>
        <v>41.341784615384611</v>
      </c>
      <c r="D233" s="1" t="s">
        <v>60</v>
      </c>
      <c r="L233" s="54">
        <f>'Parameter Input'!$O$131</f>
        <v>12</v>
      </c>
      <c r="M233" s="37">
        <v>0</v>
      </c>
      <c r="N233" s="37">
        <v>1</v>
      </c>
      <c r="O233" s="37">
        <f>'Parameter Input'!$P$131</f>
        <v>0.9</v>
      </c>
      <c r="P233" s="55">
        <f>'Parameter Input'!$Q$131</f>
        <v>0.4</v>
      </c>
      <c r="Q233" s="4">
        <f t="shared" si="191"/>
        <v>0.9867978615748374</v>
      </c>
      <c r="R233" s="4">
        <f t="shared" si="191"/>
        <v>0.98114509762858249</v>
      </c>
      <c r="S233" s="4">
        <f t="shared" si="191"/>
        <v>0.97311898315872036</v>
      </c>
      <c r="T233" s="4">
        <f t="shared" si="191"/>
        <v>0.96177484161592774</v>
      </c>
      <c r="U233" s="4">
        <f t="shared" si="191"/>
        <v>0.94584787155511363</v>
      </c>
      <c r="V233" s="4">
        <f t="shared" si="191"/>
        <v>0.92370360150141495</v>
      </c>
      <c r="W233" s="4">
        <f t="shared" si="191"/>
        <v>0.89334463567658451</v>
      </c>
      <c r="X233" s="4">
        <f t="shared" si="191"/>
        <v>0.85254543874327005</v>
      </c>
      <c r="Y233" s="4">
        <f t="shared" si="191"/>
        <v>0.79921300652623883</v>
      </c>
      <c r="Z233" s="4">
        <f t="shared" si="191"/>
        <v>0.73204982249993378</v>
      </c>
      <c r="AA233" s="4">
        <f t="shared" si="191"/>
        <v>0.65145592958786691</v>
      </c>
      <c r="AB233" s="4">
        <f t="shared" si="191"/>
        <v>0.56032247880849573</v>
      </c>
      <c r="AC233" s="4">
        <f t="shared" si="191"/>
        <v>0.46411326873185343</v>
      </c>
      <c r="AD233" s="4">
        <f t="shared" si="191"/>
        <v>0.36979727595523937</v>
      </c>
      <c r="AE233" s="4">
        <f t="shared" si="191"/>
        <v>0.28393948637231203</v>
      </c>
      <c r="AF233" s="4">
        <f t="shared" si="191"/>
        <v>0.21097259161117732</v>
      </c>
      <c r="AG233" s="4">
        <f t="shared" si="191"/>
        <v>0.15253917653798199</v>
      </c>
      <c r="AH233" s="4">
        <f t="shared" si="191"/>
        <v>0.10795188737709993</v>
      </c>
      <c r="AI233" s="4">
        <f t="shared" si="191"/>
        <v>7.5176653938091809E-2</v>
      </c>
      <c r="AJ233" s="4">
        <f t="shared" si="191"/>
        <v>5.1742836177502194E-2</v>
      </c>
      <c r="AK233" s="4">
        <f t="shared" si="191"/>
        <v>3.5319190625345942E-2</v>
      </c>
      <c r="AL233" s="4">
        <f t="shared" si="191"/>
        <v>2.3969442072658165E-2</v>
      </c>
      <c r="AM233" s="4">
        <f t="shared" si="191"/>
        <v>1.6202243558389728E-2</v>
      </c>
      <c r="AN233" s="4">
        <f t="shared" si="191"/>
        <v>1.0922240564108399E-2</v>
      </c>
      <c r="AO233" s="4">
        <f t="shared" si="191"/>
        <v>7.3493212906090566E-3</v>
      </c>
      <c r="AP233" s="4">
        <f t="shared" si="191"/>
        <v>4.9390262185057265E-3</v>
      </c>
      <c r="AQ233" s="4">
        <f t="shared" si="191"/>
        <v>3.3164275492956197E-3</v>
      </c>
      <c r="AR233" s="4">
        <f t="shared" si="191"/>
        <v>2.2256362146679809E-3</v>
      </c>
    </row>
    <row r="234" spans="1:44" x14ac:dyDescent="0.25">
      <c r="A234" s="24" t="s">
        <v>67</v>
      </c>
      <c r="B234" s="45">
        <f>'Parameter Input'!$L$132</f>
        <v>0.2544561408768215</v>
      </c>
      <c r="C234" s="46">
        <f>'Parameter Input'!$M$132</f>
        <v>0.10949010032952979</v>
      </c>
      <c r="D234" s="1" t="s">
        <v>68</v>
      </c>
      <c r="L234" s="54">
        <f>'Parameter Input'!$O$132</f>
        <v>12</v>
      </c>
      <c r="M234" s="37">
        <v>0</v>
      </c>
      <c r="N234" s="37">
        <v>1</v>
      </c>
      <c r="O234" s="37">
        <f>'Parameter Input'!$P$132</f>
        <v>0.9</v>
      </c>
      <c r="P234" s="55">
        <f>'Parameter Input'!$Q$132</f>
        <v>0.4</v>
      </c>
      <c r="Q234" s="4">
        <f t="shared" si="191"/>
        <v>0.9867978615748374</v>
      </c>
      <c r="R234" s="4">
        <f t="shared" si="191"/>
        <v>0.98114509762858249</v>
      </c>
      <c r="S234" s="4">
        <f t="shared" si="191"/>
        <v>0.97311898315872036</v>
      </c>
      <c r="T234" s="4">
        <f t="shared" ref="T234:AI241" si="192">$N234+($M234-$N234)*((1/(1+EXP(-$P234*(T$9-$L234)))^$O234))</f>
        <v>0.96177484161592774</v>
      </c>
      <c r="U234" s="4">
        <f t="shared" si="192"/>
        <v>0.94584787155511363</v>
      </c>
      <c r="V234" s="4">
        <f t="shared" si="192"/>
        <v>0.92370360150141495</v>
      </c>
      <c r="W234" s="4">
        <f t="shared" si="192"/>
        <v>0.89334463567658451</v>
      </c>
      <c r="X234" s="4">
        <f t="shared" si="192"/>
        <v>0.85254543874327005</v>
      </c>
      <c r="Y234" s="4">
        <f t="shared" si="192"/>
        <v>0.79921300652623883</v>
      </c>
      <c r="Z234" s="4">
        <f t="shared" si="192"/>
        <v>0.73204982249993378</v>
      </c>
      <c r="AA234" s="4">
        <f t="shared" si="192"/>
        <v>0.65145592958786691</v>
      </c>
      <c r="AB234" s="4">
        <f t="shared" si="192"/>
        <v>0.56032247880849573</v>
      </c>
      <c r="AC234" s="4">
        <f t="shared" si="192"/>
        <v>0.46411326873185343</v>
      </c>
      <c r="AD234" s="4">
        <f t="shared" si="192"/>
        <v>0.36979727595523937</v>
      </c>
      <c r="AE234" s="4">
        <f t="shared" si="192"/>
        <v>0.28393948637231203</v>
      </c>
      <c r="AF234" s="4">
        <f t="shared" si="192"/>
        <v>0.21097259161117732</v>
      </c>
      <c r="AG234" s="4">
        <f t="shared" si="192"/>
        <v>0.15253917653798199</v>
      </c>
      <c r="AH234" s="4">
        <f t="shared" si="192"/>
        <v>0.10795188737709993</v>
      </c>
      <c r="AI234" s="4">
        <f t="shared" si="192"/>
        <v>7.5176653938091809E-2</v>
      </c>
      <c r="AJ234" s="4">
        <f t="shared" ref="AJ234:AR241" si="193">$N234+($M234-$N234)*((1/(1+EXP(-$P234*(AJ$9-$L234)))^$O234))</f>
        <v>5.1742836177502194E-2</v>
      </c>
      <c r="AK234" s="4">
        <f t="shared" si="193"/>
        <v>3.5319190625345942E-2</v>
      </c>
      <c r="AL234" s="4">
        <f t="shared" si="193"/>
        <v>2.3969442072658165E-2</v>
      </c>
      <c r="AM234" s="4">
        <f t="shared" si="193"/>
        <v>1.6202243558389728E-2</v>
      </c>
      <c r="AN234" s="4">
        <f t="shared" si="193"/>
        <v>1.0922240564108399E-2</v>
      </c>
      <c r="AO234" s="4">
        <f t="shared" si="193"/>
        <v>7.3493212906090566E-3</v>
      </c>
      <c r="AP234" s="4">
        <f t="shared" si="193"/>
        <v>4.9390262185057265E-3</v>
      </c>
      <c r="AQ234" s="4">
        <f t="shared" si="193"/>
        <v>3.3164275492956197E-3</v>
      </c>
      <c r="AR234" s="4">
        <f t="shared" si="193"/>
        <v>2.2256362146679809E-3</v>
      </c>
    </row>
    <row r="235" spans="1:44" x14ac:dyDescent="0.25">
      <c r="A235" s="24" t="s">
        <v>206</v>
      </c>
      <c r="B235" s="115">
        <f>'Parameter Input'!$L$135</f>
        <v>0.17621088524590159</v>
      </c>
      <c r="C235" s="116">
        <f>'Parameter Input'!$M$135</f>
        <v>0</v>
      </c>
      <c r="D235" s="1" t="s">
        <v>76</v>
      </c>
      <c r="L235" s="54">
        <f>'Parameter Input'!$O$135</f>
        <v>17</v>
      </c>
      <c r="M235" s="37">
        <v>0</v>
      </c>
      <c r="N235" s="37">
        <v>1</v>
      </c>
      <c r="O235" s="37">
        <f>'Parameter Input'!$P$135</f>
        <v>0.9</v>
      </c>
      <c r="P235" s="55">
        <f>'Parameter Input'!$Q$135</f>
        <v>0.4</v>
      </c>
      <c r="Q235" s="4">
        <f t="shared" ref="Q235:AR235" si="194">$N235+($M235-$N235)*((1/(1+EXP(-$P235*(Q$9-$L235)))^$O235))</f>
        <v>0.99780374543478534</v>
      </c>
      <c r="R235" s="4">
        <f t="shared" si="194"/>
        <v>0.99685359315256394</v>
      </c>
      <c r="S235" s="4">
        <f t="shared" si="194"/>
        <v>0.99549347132349975</v>
      </c>
      <c r="T235" s="4">
        <f t="shared" si="194"/>
        <v>0.99354772139898062</v>
      </c>
      <c r="U235" s="4">
        <f t="shared" si="194"/>
        <v>0.99076681540580536</v>
      </c>
      <c r="V235" s="4">
        <f t="shared" si="194"/>
        <v>0.9867978615748374</v>
      </c>
      <c r="W235" s="4">
        <f t="shared" si="194"/>
        <v>0.98114509762858249</v>
      </c>
      <c r="X235" s="4">
        <f t="shared" si="194"/>
        <v>0.97311898315872036</v>
      </c>
      <c r="Y235" s="4">
        <f t="shared" si="194"/>
        <v>0.96177484161592774</v>
      </c>
      <c r="Z235" s="4">
        <f t="shared" si="194"/>
        <v>0.94584787155511363</v>
      </c>
      <c r="AA235" s="4">
        <f t="shared" si="194"/>
        <v>0.92370360150141495</v>
      </c>
      <c r="AB235" s="4">
        <f t="shared" si="194"/>
        <v>0.89334463567658451</v>
      </c>
      <c r="AC235" s="4">
        <f t="shared" si="194"/>
        <v>0.85254543874327005</v>
      </c>
      <c r="AD235" s="4">
        <f t="shared" si="194"/>
        <v>0.79921300652623883</v>
      </c>
      <c r="AE235" s="4">
        <f t="shared" si="194"/>
        <v>0.73204982249993378</v>
      </c>
      <c r="AF235" s="4">
        <f t="shared" si="194"/>
        <v>0.65145592958786691</v>
      </c>
      <c r="AG235" s="4">
        <f t="shared" si="194"/>
        <v>0.56032247880849573</v>
      </c>
      <c r="AH235" s="4">
        <f t="shared" si="194"/>
        <v>0.46411326873185343</v>
      </c>
      <c r="AI235" s="4">
        <f t="shared" si="194"/>
        <v>0.36979727595523937</v>
      </c>
      <c r="AJ235" s="4">
        <f t="shared" si="194"/>
        <v>0.28393948637231203</v>
      </c>
      <c r="AK235" s="4">
        <f t="shared" si="194"/>
        <v>0.21097259161117732</v>
      </c>
      <c r="AL235" s="4">
        <f t="shared" si="194"/>
        <v>0.15253917653798199</v>
      </c>
      <c r="AM235" s="4">
        <f t="shared" si="194"/>
        <v>0.10795188737709993</v>
      </c>
      <c r="AN235" s="4">
        <f t="shared" si="194"/>
        <v>7.5176653938091809E-2</v>
      </c>
      <c r="AO235" s="4">
        <f t="shared" si="194"/>
        <v>5.1742836177502194E-2</v>
      </c>
      <c r="AP235" s="4">
        <f t="shared" si="194"/>
        <v>3.5319190625345942E-2</v>
      </c>
      <c r="AQ235" s="4">
        <f t="shared" si="194"/>
        <v>2.3969442072658165E-2</v>
      </c>
      <c r="AR235" s="4">
        <f t="shared" si="194"/>
        <v>1.6202243558389728E-2</v>
      </c>
    </row>
    <row r="236" spans="1:44" x14ac:dyDescent="0.25">
      <c r="A236" s="24" t="s">
        <v>41</v>
      </c>
      <c r="B236" s="43">
        <f>'Parameter Input'!$L$129</f>
        <v>20</v>
      </c>
      <c r="C236" s="44">
        <f>'Parameter Input'!$M$129</f>
        <v>20</v>
      </c>
      <c r="D236" s="1" t="s">
        <v>42</v>
      </c>
      <c r="L236" s="54">
        <f>'Parameter Input'!$O$129</f>
        <v>12</v>
      </c>
      <c r="M236" s="37">
        <v>0</v>
      </c>
      <c r="N236" s="37">
        <v>1</v>
      </c>
      <c r="O236" s="37">
        <f>'Parameter Input'!$P$129</f>
        <v>0.9</v>
      </c>
      <c r="P236" s="55">
        <f>'Parameter Input'!$Q$129</f>
        <v>0.4</v>
      </c>
      <c r="Q236" s="4">
        <f t="shared" ref="Q236:AF241" si="195">$N236+($M236-$N236)*((1/(1+EXP(-$P236*(Q$9-$L236)))^$O236))</f>
        <v>0.9867978615748374</v>
      </c>
      <c r="R236" s="4">
        <f t="shared" si="195"/>
        <v>0.98114509762858249</v>
      </c>
      <c r="S236" s="4">
        <f t="shared" si="195"/>
        <v>0.97311898315872036</v>
      </c>
      <c r="T236" s="4">
        <f t="shared" si="195"/>
        <v>0.96177484161592774</v>
      </c>
      <c r="U236" s="4">
        <f t="shared" si="195"/>
        <v>0.94584787155511363</v>
      </c>
      <c r="V236" s="4">
        <f t="shared" si="195"/>
        <v>0.92370360150141495</v>
      </c>
      <c r="W236" s="4">
        <f t="shared" si="195"/>
        <v>0.89334463567658451</v>
      </c>
      <c r="X236" s="4">
        <f t="shared" si="195"/>
        <v>0.85254543874327005</v>
      </c>
      <c r="Y236" s="4">
        <f t="shared" si="195"/>
        <v>0.79921300652623883</v>
      </c>
      <c r="Z236" s="4">
        <f t="shared" si="195"/>
        <v>0.73204982249993378</v>
      </c>
      <c r="AA236" s="4">
        <f t="shared" si="195"/>
        <v>0.65145592958786691</v>
      </c>
      <c r="AB236" s="4">
        <f t="shared" si="195"/>
        <v>0.56032247880849573</v>
      </c>
      <c r="AC236" s="4">
        <f t="shared" si="195"/>
        <v>0.46411326873185343</v>
      </c>
      <c r="AD236" s="4">
        <f t="shared" si="195"/>
        <v>0.36979727595523937</v>
      </c>
      <c r="AE236" s="4">
        <f t="shared" si="195"/>
        <v>0.28393948637231203</v>
      </c>
      <c r="AF236" s="4">
        <f t="shared" si="195"/>
        <v>0.21097259161117732</v>
      </c>
      <c r="AG236" s="4">
        <f t="shared" si="192"/>
        <v>0.15253917653798199</v>
      </c>
      <c r="AH236" s="4">
        <f t="shared" si="192"/>
        <v>0.10795188737709993</v>
      </c>
      <c r="AI236" s="4">
        <f t="shared" si="192"/>
        <v>7.5176653938091809E-2</v>
      </c>
      <c r="AJ236" s="4">
        <f t="shared" si="193"/>
        <v>5.1742836177502194E-2</v>
      </c>
      <c r="AK236" s="4">
        <f t="shared" si="193"/>
        <v>3.5319190625345942E-2</v>
      </c>
      <c r="AL236" s="4">
        <f t="shared" si="193"/>
        <v>2.3969442072658165E-2</v>
      </c>
      <c r="AM236" s="4">
        <f t="shared" si="193"/>
        <v>1.6202243558389728E-2</v>
      </c>
      <c r="AN236" s="4">
        <f t="shared" si="193"/>
        <v>1.0922240564108399E-2</v>
      </c>
      <c r="AO236" s="4">
        <f t="shared" si="193"/>
        <v>7.3493212906090566E-3</v>
      </c>
      <c r="AP236" s="4">
        <f t="shared" si="193"/>
        <v>4.9390262185057265E-3</v>
      </c>
      <c r="AQ236" s="4">
        <f t="shared" si="193"/>
        <v>3.3164275492956197E-3</v>
      </c>
      <c r="AR236" s="4">
        <f t="shared" si="193"/>
        <v>2.2256362146679809E-3</v>
      </c>
    </row>
    <row r="237" spans="1:44" x14ac:dyDescent="0.25">
      <c r="A237" s="24" t="s">
        <v>70</v>
      </c>
      <c r="B237" s="43">
        <f>'Parameter Input'!B121</f>
        <v>30</v>
      </c>
      <c r="C237" s="44">
        <f>'Parameter Input'!C121</f>
        <v>30</v>
      </c>
      <c r="D237" s="1" t="s">
        <v>42</v>
      </c>
      <c r="L237" s="54">
        <f>'Parameter Input'!E121</f>
        <v>12</v>
      </c>
      <c r="M237" s="37">
        <v>0</v>
      </c>
      <c r="N237" s="37">
        <v>1</v>
      </c>
      <c r="O237" s="37">
        <f>'Parameter Input'!F121</f>
        <v>0.9</v>
      </c>
      <c r="P237" s="55">
        <f>'Parameter Input'!G121</f>
        <v>0.4</v>
      </c>
      <c r="Q237" s="4">
        <f t="shared" si="195"/>
        <v>0.9867978615748374</v>
      </c>
      <c r="R237" s="4">
        <f t="shared" si="195"/>
        <v>0.98114509762858249</v>
      </c>
      <c r="S237" s="4">
        <f t="shared" si="195"/>
        <v>0.97311898315872036</v>
      </c>
      <c r="T237" s="4">
        <f t="shared" si="195"/>
        <v>0.96177484161592774</v>
      </c>
      <c r="U237" s="4">
        <f t="shared" si="195"/>
        <v>0.94584787155511363</v>
      </c>
      <c r="V237" s="4">
        <f t="shared" si="195"/>
        <v>0.92370360150141495</v>
      </c>
      <c r="W237" s="4">
        <f t="shared" si="195"/>
        <v>0.89334463567658451</v>
      </c>
      <c r="X237" s="4">
        <f t="shared" si="195"/>
        <v>0.85254543874327005</v>
      </c>
      <c r="Y237" s="4">
        <f t="shared" si="195"/>
        <v>0.79921300652623883</v>
      </c>
      <c r="Z237" s="4">
        <f t="shared" si="195"/>
        <v>0.73204982249993378</v>
      </c>
      <c r="AA237" s="4">
        <f t="shared" si="195"/>
        <v>0.65145592958786691</v>
      </c>
      <c r="AB237" s="4">
        <f t="shared" si="195"/>
        <v>0.56032247880849573</v>
      </c>
      <c r="AC237" s="4">
        <f t="shared" si="195"/>
        <v>0.46411326873185343</v>
      </c>
      <c r="AD237" s="4">
        <f t="shared" si="195"/>
        <v>0.36979727595523937</v>
      </c>
      <c r="AE237" s="4">
        <f t="shared" si="195"/>
        <v>0.28393948637231203</v>
      </c>
      <c r="AF237" s="4">
        <f t="shared" si="195"/>
        <v>0.21097259161117732</v>
      </c>
      <c r="AG237" s="4">
        <f t="shared" si="192"/>
        <v>0.15253917653798199</v>
      </c>
      <c r="AH237" s="4">
        <f t="shared" si="192"/>
        <v>0.10795188737709993</v>
      </c>
      <c r="AI237" s="4">
        <f t="shared" si="192"/>
        <v>7.5176653938091809E-2</v>
      </c>
      <c r="AJ237" s="4">
        <f t="shared" si="193"/>
        <v>5.1742836177502194E-2</v>
      </c>
      <c r="AK237" s="4">
        <f t="shared" si="193"/>
        <v>3.5319190625345942E-2</v>
      </c>
      <c r="AL237" s="4">
        <f t="shared" si="193"/>
        <v>2.3969442072658165E-2</v>
      </c>
      <c r="AM237" s="4">
        <f t="shared" si="193"/>
        <v>1.6202243558389728E-2</v>
      </c>
      <c r="AN237" s="4">
        <f t="shared" si="193"/>
        <v>1.0922240564108399E-2</v>
      </c>
      <c r="AO237" s="4">
        <f t="shared" si="193"/>
        <v>7.3493212906090566E-3</v>
      </c>
      <c r="AP237" s="4">
        <f t="shared" si="193"/>
        <v>4.9390262185057265E-3</v>
      </c>
      <c r="AQ237" s="4">
        <f t="shared" si="193"/>
        <v>3.3164275492956197E-3</v>
      </c>
      <c r="AR237" s="4">
        <f t="shared" si="193"/>
        <v>2.2256362146679809E-3</v>
      </c>
    </row>
    <row r="238" spans="1:44" x14ac:dyDescent="0.25">
      <c r="A238" s="24" t="s">
        <v>207</v>
      </c>
      <c r="B238" s="70">
        <f>'Parameter Input'!B118</f>
        <v>2240</v>
      </c>
      <c r="C238" s="71">
        <f>'Parameter Input'!C118</f>
        <v>2240</v>
      </c>
      <c r="D238" s="1" t="s">
        <v>49</v>
      </c>
      <c r="L238" s="54">
        <f>'Parameter Input'!E118</f>
        <v>12</v>
      </c>
      <c r="M238" s="37">
        <v>0</v>
      </c>
      <c r="N238" s="37">
        <v>1</v>
      </c>
      <c r="O238" s="37">
        <f>'Parameter Input'!F118</f>
        <v>0.9</v>
      </c>
      <c r="P238" s="55">
        <f>'Parameter Input'!G118</f>
        <v>0.4</v>
      </c>
      <c r="Q238" s="4">
        <f t="shared" si="195"/>
        <v>0.9867978615748374</v>
      </c>
      <c r="R238" s="4">
        <f t="shared" si="195"/>
        <v>0.98114509762858249</v>
      </c>
      <c r="S238" s="4">
        <f t="shared" si="195"/>
        <v>0.97311898315872036</v>
      </c>
      <c r="T238" s="4">
        <f t="shared" si="195"/>
        <v>0.96177484161592774</v>
      </c>
      <c r="U238" s="4">
        <f t="shared" si="195"/>
        <v>0.94584787155511363</v>
      </c>
      <c r="V238" s="4">
        <f t="shared" si="195"/>
        <v>0.92370360150141495</v>
      </c>
      <c r="W238" s="4">
        <f t="shared" si="195"/>
        <v>0.89334463567658451</v>
      </c>
      <c r="X238" s="4">
        <f t="shared" si="195"/>
        <v>0.85254543874327005</v>
      </c>
      <c r="Y238" s="4">
        <f t="shared" si="195"/>
        <v>0.79921300652623883</v>
      </c>
      <c r="Z238" s="4">
        <f t="shared" si="195"/>
        <v>0.73204982249993378</v>
      </c>
      <c r="AA238" s="4">
        <f t="shared" si="195"/>
        <v>0.65145592958786691</v>
      </c>
      <c r="AB238" s="4">
        <f t="shared" si="195"/>
        <v>0.56032247880849573</v>
      </c>
      <c r="AC238" s="4">
        <f t="shared" si="195"/>
        <v>0.46411326873185343</v>
      </c>
      <c r="AD238" s="4">
        <f t="shared" si="195"/>
        <v>0.36979727595523937</v>
      </c>
      <c r="AE238" s="4">
        <f t="shared" si="195"/>
        <v>0.28393948637231203</v>
      </c>
      <c r="AF238" s="4">
        <f t="shared" si="195"/>
        <v>0.21097259161117732</v>
      </c>
      <c r="AG238" s="4">
        <f t="shared" si="192"/>
        <v>0.15253917653798199</v>
      </c>
      <c r="AH238" s="4">
        <f t="shared" si="192"/>
        <v>0.10795188737709993</v>
      </c>
      <c r="AI238" s="4">
        <f t="shared" si="192"/>
        <v>7.5176653938091809E-2</v>
      </c>
      <c r="AJ238" s="4">
        <f t="shared" si="193"/>
        <v>5.1742836177502194E-2</v>
      </c>
      <c r="AK238" s="4">
        <f t="shared" si="193"/>
        <v>3.5319190625345942E-2</v>
      </c>
      <c r="AL238" s="4">
        <f t="shared" si="193"/>
        <v>2.3969442072658165E-2</v>
      </c>
      <c r="AM238" s="4">
        <f t="shared" si="193"/>
        <v>1.6202243558389728E-2</v>
      </c>
      <c r="AN238" s="4">
        <f t="shared" si="193"/>
        <v>1.0922240564108399E-2</v>
      </c>
      <c r="AO238" s="4">
        <f t="shared" si="193"/>
        <v>7.3493212906090566E-3</v>
      </c>
      <c r="AP238" s="4">
        <f t="shared" si="193"/>
        <v>4.9390262185057265E-3</v>
      </c>
      <c r="AQ238" s="4">
        <f t="shared" si="193"/>
        <v>3.3164275492956197E-3</v>
      </c>
      <c r="AR238" s="4">
        <f t="shared" si="193"/>
        <v>2.2256362146679809E-3</v>
      </c>
    </row>
    <row r="239" spans="1:44" x14ac:dyDescent="0.25">
      <c r="A239" s="24" t="s">
        <v>56</v>
      </c>
      <c r="B239" s="72">
        <f>'Parameter Input'!B119</f>
        <v>0.42666666666666669</v>
      </c>
      <c r="C239" s="73">
        <f>'Parameter Input'!C119</f>
        <v>0.42666666666666669</v>
      </c>
      <c r="D239" s="1" t="s">
        <v>57</v>
      </c>
      <c r="L239" s="54">
        <f>'Parameter Input'!E119</f>
        <v>12</v>
      </c>
      <c r="M239" s="37">
        <v>0</v>
      </c>
      <c r="N239" s="37">
        <v>1</v>
      </c>
      <c r="O239" s="37">
        <f>'Parameter Input'!F119</f>
        <v>0.9</v>
      </c>
      <c r="P239" s="55">
        <f>'Parameter Input'!G119</f>
        <v>0.4</v>
      </c>
      <c r="Q239" s="4">
        <f t="shared" si="195"/>
        <v>0.9867978615748374</v>
      </c>
      <c r="R239" s="4">
        <f t="shared" si="195"/>
        <v>0.98114509762858249</v>
      </c>
      <c r="S239" s="4">
        <f t="shared" si="195"/>
        <v>0.97311898315872036</v>
      </c>
      <c r="T239" s="4">
        <f t="shared" si="195"/>
        <v>0.96177484161592774</v>
      </c>
      <c r="U239" s="4">
        <f t="shared" si="195"/>
        <v>0.94584787155511363</v>
      </c>
      <c r="V239" s="4">
        <f t="shared" si="195"/>
        <v>0.92370360150141495</v>
      </c>
      <c r="W239" s="4">
        <f t="shared" si="195"/>
        <v>0.89334463567658451</v>
      </c>
      <c r="X239" s="4">
        <f t="shared" si="195"/>
        <v>0.85254543874327005</v>
      </c>
      <c r="Y239" s="4">
        <f t="shared" si="195"/>
        <v>0.79921300652623883</v>
      </c>
      <c r="Z239" s="4">
        <f t="shared" si="195"/>
        <v>0.73204982249993378</v>
      </c>
      <c r="AA239" s="4">
        <f t="shared" si="195"/>
        <v>0.65145592958786691</v>
      </c>
      <c r="AB239" s="4">
        <f t="shared" si="195"/>
        <v>0.56032247880849573</v>
      </c>
      <c r="AC239" s="4">
        <f t="shared" si="195"/>
        <v>0.46411326873185343</v>
      </c>
      <c r="AD239" s="4">
        <f t="shared" si="195"/>
        <v>0.36979727595523937</v>
      </c>
      <c r="AE239" s="4">
        <f t="shared" si="195"/>
        <v>0.28393948637231203</v>
      </c>
      <c r="AF239" s="4">
        <f t="shared" si="195"/>
        <v>0.21097259161117732</v>
      </c>
      <c r="AG239" s="4">
        <f t="shared" si="192"/>
        <v>0.15253917653798199</v>
      </c>
      <c r="AH239" s="4">
        <f t="shared" si="192"/>
        <v>0.10795188737709993</v>
      </c>
      <c r="AI239" s="4">
        <f t="shared" si="192"/>
        <v>7.5176653938091809E-2</v>
      </c>
      <c r="AJ239" s="4">
        <f t="shared" si="193"/>
        <v>5.1742836177502194E-2</v>
      </c>
      <c r="AK239" s="4">
        <f t="shared" si="193"/>
        <v>3.5319190625345942E-2</v>
      </c>
      <c r="AL239" s="4">
        <f t="shared" si="193"/>
        <v>2.3969442072658165E-2</v>
      </c>
      <c r="AM239" s="4">
        <f t="shared" si="193"/>
        <v>1.6202243558389728E-2</v>
      </c>
      <c r="AN239" s="4">
        <f t="shared" si="193"/>
        <v>1.0922240564108399E-2</v>
      </c>
      <c r="AO239" s="4">
        <f t="shared" si="193"/>
        <v>7.3493212906090566E-3</v>
      </c>
      <c r="AP239" s="4">
        <f t="shared" si="193"/>
        <v>4.9390262185057265E-3</v>
      </c>
      <c r="AQ239" s="4">
        <f t="shared" si="193"/>
        <v>3.3164275492956197E-3</v>
      </c>
      <c r="AR239" s="4">
        <f t="shared" si="193"/>
        <v>2.2256362146679809E-3</v>
      </c>
    </row>
    <row r="240" spans="1:44" x14ac:dyDescent="0.25">
      <c r="A240" s="24" t="s">
        <v>73</v>
      </c>
      <c r="B240" s="72">
        <f>'Parameter Input'!$L$133</f>
        <v>1.7857142857142856E-2</v>
      </c>
      <c r="C240" s="73">
        <f>'Parameter Input'!$M$133</f>
        <v>1.7857142857142856E-2</v>
      </c>
      <c r="D240" s="1" t="s">
        <v>57</v>
      </c>
      <c r="L240" s="54">
        <f>'Parameter Input'!$O$133</f>
        <v>12</v>
      </c>
      <c r="M240" s="37">
        <v>0</v>
      </c>
      <c r="N240" s="37">
        <v>1</v>
      </c>
      <c r="O240" s="37">
        <f>'Parameter Input'!$P$133</f>
        <v>0.9</v>
      </c>
      <c r="P240" s="55">
        <f>'Parameter Input'!$Q$133</f>
        <v>0.4</v>
      </c>
      <c r="Q240" s="4">
        <f t="shared" si="195"/>
        <v>0.9867978615748374</v>
      </c>
      <c r="R240" s="4">
        <f t="shared" si="195"/>
        <v>0.98114509762858249</v>
      </c>
      <c r="S240" s="4">
        <f t="shared" si="195"/>
        <v>0.97311898315872036</v>
      </c>
      <c r="T240" s="4">
        <f t="shared" si="195"/>
        <v>0.96177484161592774</v>
      </c>
      <c r="U240" s="4">
        <f t="shared" si="195"/>
        <v>0.94584787155511363</v>
      </c>
      <c r="V240" s="4">
        <f t="shared" si="195"/>
        <v>0.92370360150141495</v>
      </c>
      <c r="W240" s="4">
        <f t="shared" si="195"/>
        <v>0.89334463567658451</v>
      </c>
      <c r="X240" s="4">
        <f t="shared" si="195"/>
        <v>0.85254543874327005</v>
      </c>
      <c r="Y240" s="4">
        <f t="shared" si="195"/>
        <v>0.79921300652623883</v>
      </c>
      <c r="Z240" s="4">
        <f t="shared" si="195"/>
        <v>0.73204982249993378</v>
      </c>
      <c r="AA240" s="4">
        <f t="shared" si="195"/>
        <v>0.65145592958786691</v>
      </c>
      <c r="AB240" s="4">
        <f t="shared" si="195"/>
        <v>0.56032247880849573</v>
      </c>
      <c r="AC240" s="4">
        <f t="shared" si="195"/>
        <v>0.46411326873185343</v>
      </c>
      <c r="AD240" s="4">
        <f t="shared" si="195"/>
        <v>0.36979727595523937</v>
      </c>
      <c r="AE240" s="4">
        <f t="shared" si="195"/>
        <v>0.28393948637231203</v>
      </c>
      <c r="AF240" s="4">
        <f t="shared" si="195"/>
        <v>0.21097259161117732</v>
      </c>
      <c r="AG240" s="4">
        <f t="shared" si="192"/>
        <v>0.15253917653798199</v>
      </c>
      <c r="AH240" s="4">
        <f t="shared" si="192"/>
        <v>0.10795188737709993</v>
      </c>
      <c r="AI240" s="4">
        <f t="shared" si="192"/>
        <v>7.5176653938091809E-2</v>
      </c>
      <c r="AJ240" s="4">
        <f t="shared" si="193"/>
        <v>5.1742836177502194E-2</v>
      </c>
      <c r="AK240" s="4">
        <f t="shared" si="193"/>
        <v>3.5319190625345942E-2</v>
      </c>
      <c r="AL240" s="4">
        <f t="shared" si="193"/>
        <v>2.3969442072658165E-2</v>
      </c>
      <c r="AM240" s="4">
        <f t="shared" si="193"/>
        <v>1.6202243558389728E-2</v>
      </c>
      <c r="AN240" s="4">
        <f t="shared" si="193"/>
        <v>1.0922240564108399E-2</v>
      </c>
      <c r="AO240" s="4">
        <f t="shared" si="193"/>
        <v>7.3493212906090566E-3</v>
      </c>
      <c r="AP240" s="4">
        <f t="shared" si="193"/>
        <v>4.9390262185057265E-3</v>
      </c>
      <c r="AQ240" s="4">
        <f t="shared" si="193"/>
        <v>3.3164275492956197E-3</v>
      </c>
      <c r="AR240" s="4">
        <f t="shared" si="193"/>
        <v>2.2256362146679809E-3</v>
      </c>
    </row>
    <row r="241" spans="1:44" ht="15.75" thickBot="1" x14ac:dyDescent="0.3">
      <c r="A241" s="24" t="s">
        <v>64</v>
      </c>
      <c r="B241" s="74">
        <f>'Parameter Input'!B120</f>
        <v>178500</v>
      </c>
      <c r="C241" s="75">
        <f>'Parameter Input'!C120</f>
        <v>178500</v>
      </c>
      <c r="D241" s="1" t="s">
        <v>65</v>
      </c>
      <c r="L241" s="56">
        <f>'Parameter Input'!E120</f>
        <v>12</v>
      </c>
      <c r="M241" s="57">
        <v>0</v>
      </c>
      <c r="N241" s="57">
        <v>1</v>
      </c>
      <c r="O241" s="57">
        <f>'Parameter Input'!F120</f>
        <v>0.9</v>
      </c>
      <c r="P241" s="58">
        <f>'Parameter Input'!G120</f>
        <v>0.4</v>
      </c>
      <c r="Q241" s="4">
        <f t="shared" si="195"/>
        <v>0.9867978615748374</v>
      </c>
      <c r="R241" s="4">
        <f t="shared" si="195"/>
        <v>0.98114509762858249</v>
      </c>
      <c r="S241" s="4">
        <f t="shared" si="195"/>
        <v>0.97311898315872036</v>
      </c>
      <c r="T241" s="4">
        <f t="shared" si="195"/>
        <v>0.96177484161592774</v>
      </c>
      <c r="U241" s="4">
        <f t="shared" si="195"/>
        <v>0.94584787155511363</v>
      </c>
      <c r="V241" s="4">
        <f t="shared" si="195"/>
        <v>0.92370360150141495</v>
      </c>
      <c r="W241" s="4">
        <f t="shared" si="195"/>
        <v>0.89334463567658451</v>
      </c>
      <c r="X241" s="4">
        <f t="shared" si="195"/>
        <v>0.85254543874327005</v>
      </c>
      <c r="Y241" s="4">
        <f t="shared" si="195"/>
        <v>0.79921300652623883</v>
      </c>
      <c r="Z241" s="4">
        <f t="shared" si="195"/>
        <v>0.73204982249993378</v>
      </c>
      <c r="AA241" s="4">
        <f t="shared" si="195"/>
        <v>0.65145592958786691</v>
      </c>
      <c r="AB241" s="4">
        <f t="shared" si="195"/>
        <v>0.56032247880849573</v>
      </c>
      <c r="AC241" s="4">
        <f t="shared" si="195"/>
        <v>0.46411326873185343</v>
      </c>
      <c r="AD241" s="4">
        <f t="shared" si="195"/>
        <v>0.36979727595523937</v>
      </c>
      <c r="AE241" s="4">
        <f t="shared" si="195"/>
        <v>0.28393948637231203</v>
      </c>
      <c r="AF241" s="4">
        <f t="shared" si="195"/>
        <v>0.21097259161117732</v>
      </c>
      <c r="AG241" s="4">
        <f t="shared" si="192"/>
        <v>0.15253917653798199</v>
      </c>
      <c r="AH241" s="4">
        <f t="shared" si="192"/>
        <v>0.10795188737709993</v>
      </c>
      <c r="AI241" s="4">
        <f t="shared" si="192"/>
        <v>7.5176653938091809E-2</v>
      </c>
      <c r="AJ241" s="4">
        <f t="shared" si="193"/>
        <v>5.1742836177502194E-2</v>
      </c>
      <c r="AK241" s="4">
        <f t="shared" si="193"/>
        <v>3.5319190625345942E-2</v>
      </c>
      <c r="AL241" s="4">
        <f t="shared" si="193"/>
        <v>2.3969442072658165E-2</v>
      </c>
      <c r="AM241" s="4">
        <f t="shared" si="193"/>
        <v>1.6202243558389728E-2</v>
      </c>
      <c r="AN241" s="4">
        <f t="shared" si="193"/>
        <v>1.0922240564108399E-2</v>
      </c>
      <c r="AO241" s="4">
        <f t="shared" si="193"/>
        <v>7.3493212906090566E-3</v>
      </c>
      <c r="AP241" s="4">
        <f t="shared" si="193"/>
        <v>4.9390262185057265E-3</v>
      </c>
      <c r="AQ241" s="4">
        <f t="shared" si="193"/>
        <v>3.3164275492956197E-3</v>
      </c>
      <c r="AR241" s="4">
        <f t="shared" si="193"/>
        <v>2.2256362146679809E-3</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96">A225</f>
        <v>Capex vehicle</v>
      </c>
      <c r="B245" s="62">
        <f t="shared" ref="B245:B254" si="197">$B225+($C225-$B225)*(1-Q225)</f>
        <v>9920787.1694490239</v>
      </c>
      <c r="C245" s="62">
        <f t="shared" ref="C245:C254" si="198">$B225+($C225-$B225)*(1-R225)</f>
        <v>9886870.5857714955</v>
      </c>
      <c r="D245" s="62">
        <f t="shared" ref="D245:D254" si="199">$B225+($C225-$B225)*(1-S225)</f>
        <v>9838713.8989523221</v>
      </c>
      <c r="E245" s="62">
        <f t="shared" ref="E245:E254" si="200">$B225+($C225-$B225)*(1-T225)</f>
        <v>9770649.0496955663</v>
      </c>
      <c r="F245" s="62">
        <f t="shared" ref="F245:F254" si="201">$B225+($C225-$B225)*(1-U225)</f>
        <v>9675087.2293306813</v>
      </c>
      <c r="G245" s="62">
        <f t="shared" ref="G245:G254" si="202">$B225+($C225-$B225)*(1-V225)</f>
        <v>9542221.6090084892</v>
      </c>
      <c r="H245" s="62">
        <f t="shared" ref="H245:H254" si="203">$B225+($C225-$B225)*(1-W225)</f>
        <v>9360067.8140595071</v>
      </c>
      <c r="I245" s="62">
        <f t="shared" ref="I245:I254" si="204">$B225+($C225-$B225)*(1-X225)</f>
        <v>9115272.63245962</v>
      </c>
      <c r="J245" s="62">
        <f t="shared" ref="J245:J254" si="205">$B225+($C225-$B225)*(1-Y225)</f>
        <v>8795278.0391574334</v>
      </c>
      <c r="K245" s="62">
        <f t="shared" ref="K245:K254" si="206">$B225+($C225-$B225)*(1-Z225)</f>
        <v>8392298.9349996019</v>
      </c>
      <c r="L245" s="62">
        <f t="shared" ref="L245:L254" si="207">$B225+($C225-$B225)*(1-AA225)</f>
        <v>7908735.5775272017</v>
      </c>
      <c r="M245" s="62">
        <f t="shared" ref="M245:M254" si="208">$B225+($C225-$B225)*(1-AB225)</f>
        <v>7361934.872850975</v>
      </c>
      <c r="N245" s="62">
        <f t="shared" ref="N245:N254" si="209">$B225+($C225-$B225)*(1-AC225)</f>
        <v>6784679.6123911208</v>
      </c>
      <c r="O245" s="62">
        <f t="shared" ref="O245:O254" si="210">$B225+($C225-$B225)*(1-AD225)</f>
        <v>6218783.6557314359</v>
      </c>
      <c r="P245" s="62">
        <f t="shared" ref="P245:P254" si="211">$B225+($C225-$B225)*(1-AE225)</f>
        <v>5703636.9182338724</v>
      </c>
      <c r="Q245" s="62">
        <f t="shared" ref="Q245:Q254" si="212">$B225+($C225-$B225)*(1-AF225)</f>
        <v>5265835.5496670641</v>
      </c>
      <c r="R245" s="62">
        <f t="shared" ref="R245:R254" si="213">$B225+($C225-$B225)*(1-AG225)</f>
        <v>4915235.0592278922</v>
      </c>
      <c r="S245" s="62">
        <f t="shared" ref="S245:S254" si="214">$B225+($C225-$B225)*(1-AH225)</f>
        <v>4647711.3242625995</v>
      </c>
      <c r="T245" s="62">
        <f t="shared" ref="T245:T254" si="215">$B225+($C225-$B225)*(1-AI225)</f>
        <v>4451059.923628551</v>
      </c>
      <c r="U245" s="62">
        <f t="shared" ref="U245:U254" si="216">$B225+($C225-$B225)*(1-AJ225)</f>
        <v>4310457.0170650128</v>
      </c>
      <c r="V245" s="62">
        <f t="shared" ref="V245:V254" si="217">$B225+($C225-$B225)*(1-AK225)</f>
        <v>4211915.1437520757</v>
      </c>
      <c r="W245" s="62">
        <f t="shared" ref="W245:W254" si="218">$B225+($C225-$B225)*(1-AL225)</f>
        <v>4143816.6524359491</v>
      </c>
      <c r="X245" s="62">
        <f t="shared" ref="X245:X254" si="219">$B225+($C225-$B225)*(1-AM225)</f>
        <v>4097213.4613503385</v>
      </c>
      <c r="Y245" s="62">
        <f t="shared" ref="Y245:Y254" si="220">$B225+($C225-$B225)*(1-AN225)</f>
        <v>4065533.4433846502</v>
      </c>
      <c r="Z245" s="62">
        <f t="shared" ref="Z245:Z254" si="221">$B225+($C225-$B225)*(1-AO225)</f>
        <v>4044095.9277436547</v>
      </c>
      <c r="AA245" s="62">
        <f t="shared" ref="AA245:AA254" si="222">$B225+($C225-$B225)*(1-AP225)</f>
        <v>4029634.1573110344</v>
      </c>
      <c r="AB245" s="62">
        <f t="shared" ref="AB245:AB254" si="223">$B225+($C225-$B225)*(1-AQ225)</f>
        <v>4019898.5652957736</v>
      </c>
      <c r="AC245" s="62">
        <f t="shared" ref="AC245:AC254" si="224">$B225+($C225-$B225)*(1-AR225)</f>
        <v>4013353.8172880076</v>
      </c>
    </row>
    <row r="246" spans="1:44" x14ac:dyDescent="0.25">
      <c r="A246" s="30" t="str">
        <f t="shared" si="196"/>
        <v>Residual value (vehicle)</v>
      </c>
      <c r="B246" s="62">
        <f t="shared" si="197"/>
        <v>-501320.21384251624</v>
      </c>
      <c r="C246" s="62">
        <f t="shared" si="198"/>
        <v>-501885.49023714173</v>
      </c>
      <c r="D246" s="62">
        <f t="shared" si="199"/>
        <v>-502688.10168412799</v>
      </c>
      <c r="E246" s="62">
        <f t="shared" si="200"/>
        <v>-503822.51583840721</v>
      </c>
      <c r="F246" s="62">
        <f t="shared" si="201"/>
        <v>-505415.21284448862</v>
      </c>
      <c r="G246" s="62">
        <f t="shared" si="202"/>
        <v>-507629.63984985853</v>
      </c>
      <c r="H246" s="62">
        <f t="shared" si="203"/>
        <v>-510665.53643234156</v>
      </c>
      <c r="I246" s="62">
        <f t="shared" si="204"/>
        <v>-514745.45612567302</v>
      </c>
      <c r="J246" s="62">
        <f t="shared" si="205"/>
        <v>-520078.69934737612</v>
      </c>
      <c r="K246" s="62">
        <f t="shared" si="206"/>
        <v>-526795.01775000663</v>
      </c>
      <c r="L246" s="62">
        <f t="shared" si="207"/>
        <v>-534854.40704121336</v>
      </c>
      <c r="M246" s="62">
        <f t="shared" si="208"/>
        <v>-543967.75211915048</v>
      </c>
      <c r="N246" s="62">
        <f t="shared" si="209"/>
        <v>-553588.67312681465</v>
      </c>
      <c r="O246" s="62">
        <f t="shared" si="210"/>
        <v>-563020.27240447607</v>
      </c>
      <c r="P246" s="62">
        <f t="shared" si="211"/>
        <v>-571606.05136276875</v>
      </c>
      <c r="Q246" s="62">
        <f t="shared" si="212"/>
        <v>-578902.74083888228</v>
      </c>
      <c r="R246" s="62">
        <f t="shared" si="213"/>
        <v>-584746.08234620176</v>
      </c>
      <c r="S246" s="62">
        <f t="shared" si="214"/>
        <v>-589204.81126228999</v>
      </c>
      <c r="T246" s="62">
        <f t="shared" si="215"/>
        <v>-592482.33460619079</v>
      </c>
      <c r="U246" s="62">
        <f t="shared" si="216"/>
        <v>-594825.71638224972</v>
      </c>
      <c r="V246" s="62">
        <f t="shared" si="217"/>
        <v>-596468.08093746542</v>
      </c>
      <c r="W246" s="62">
        <f t="shared" si="218"/>
        <v>-597603.05579273414</v>
      </c>
      <c r="X246" s="62">
        <f t="shared" si="219"/>
        <v>-598379.77564416104</v>
      </c>
      <c r="Y246" s="62">
        <f t="shared" si="220"/>
        <v>-598907.77594358916</v>
      </c>
      <c r="Z246" s="62">
        <f t="shared" si="221"/>
        <v>-599265.06787093915</v>
      </c>
      <c r="AA246" s="62">
        <f t="shared" si="222"/>
        <v>-599506.0973781494</v>
      </c>
      <c r="AB246" s="62">
        <f t="shared" si="223"/>
        <v>-599668.35724507039</v>
      </c>
      <c r="AC246" s="62">
        <f t="shared" si="224"/>
        <v>-599777.43637853325</v>
      </c>
    </row>
    <row r="247" spans="1:44" x14ac:dyDescent="0.25">
      <c r="A247" s="30" t="str">
        <f t="shared" si="196"/>
        <v>Capex costumization</v>
      </c>
      <c r="B247" s="62">
        <f t="shared" si="197"/>
        <v>2800000</v>
      </c>
      <c r="C247" s="62">
        <f t="shared" si="198"/>
        <v>2800000</v>
      </c>
      <c r="D247" s="62">
        <f t="shared" si="199"/>
        <v>2800000</v>
      </c>
      <c r="E247" s="62">
        <f t="shared" si="200"/>
        <v>2800000</v>
      </c>
      <c r="F247" s="62">
        <f t="shared" si="201"/>
        <v>2800000</v>
      </c>
      <c r="G247" s="62">
        <f t="shared" si="202"/>
        <v>2800000</v>
      </c>
      <c r="H247" s="62">
        <f t="shared" si="203"/>
        <v>2800000</v>
      </c>
      <c r="I247" s="62">
        <f t="shared" si="204"/>
        <v>2800000</v>
      </c>
      <c r="J247" s="62">
        <f t="shared" si="205"/>
        <v>2800000</v>
      </c>
      <c r="K247" s="62">
        <f t="shared" si="206"/>
        <v>2800000</v>
      </c>
      <c r="L247" s="62">
        <f t="shared" si="207"/>
        <v>2800000</v>
      </c>
      <c r="M247" s="62">
        <f t="shared" si="208"/>
        <v>2800000</v>
      </c>
      <c r="N247" s="62">
        <f t="shared" si="209"/>
        <v>2800000</v>
      </c>
      <c r="O247" s="62">
        <f t="shared" si="210"/>
        <v>2800000</v>
      </c>
      <c r="P247" s="62">
        <f t="shared" si="211"/>
        <v>2800000</v>
      </c>
      <c r="Q247" s="62">
        <f t="shared" si="212"/>
        <v>2800000</v>
      </c>
      <c r="R247" s="62">
        <f t="shared" si="213"/>
        <v>2800000</v>
      </c>
      <c r="S247" s="62">
        <f t="shared" si="214"/>
        <v>2800000</v>
      </c>
      <c r="T247" s="62">
        <f t="shared" si="215"/>
        <v>2800000</v>
      </c>
      <c r="U247" s="62">
        <f t="shared" si="216"/>
        <v>2800000</v>
      </c>
      <c r="V247" s="62">
        <f t="shared" si="217"/>
        <v>2800000</v>
      </c>
      <c r="W247" s="62">
        <f t="shared" si="218"/>
        <v>2800000</v>
      </c>
      <c r="X247" s="62">
        <f t="shared" si="219"/>
        <v>2800000</v>
      </c>
      <c r="Y247" s="62">
        <f t="shared" si="220"/>
        <v>2800000</v>
      </c>
      <c r="Z247" s="62">
        <f t="shared" si="221"/>
        <v>2800000</v>
      </c>
      <c r="AA247" s="62">
        <f t="shared" si="222"/>
        <v>2800000</v>
      </c>
      <c r="AB247" s="62">
        <f t="shared" si="223"/>
        <v>2800000</v>
      </c>
      <c r="AC247" s="62">
        <f t="shared" si="224"/>
        <v>2800000</v>
      </c>
    </row>
    <row r="248" spans="1:44" x14ac:dyDescent="0.25">
      <c r="A248" s="30" t="str">
        <f t="shared" si="196"/>
        <v>Residual value (costumization)</v>
      </c>
      <c r="B248" s="62">
        <f t="shared" si="197"/>
        <v>-140000</v>
      </c>
      <c r="C248" s="62">
        <f t="shared" si="198"/>
        <v>-140000</v>
      </c>
      <c r="D248" s="62">
        <f t="shared" si="199"/>
        <v>-140000</v>
      </c>
      <c r="E248" s="62">
        <f t="shared" si="200"/>
        <v>-140000</v>
      </c>
      <c r="F248" s="62">
        <f t="shared" si="201"/>
        <v>-140000</v>
      </c>
      <c r="G248" s="62">
        <f t="shared" si="202"/>
        <v>-140000</v>
      </c>
      <c r="H248" s="62">
        <f t="shared" si="203"/>
        <v>-140000</v>
      </c>
      <c r="I248" s="62">
        <f t="shared" si="204"/>
        <v>-140000</v>
      </c>
      <c r="J248" s="62">
        <f t="shared" si="205"/>
        <v>-140000</v>
      </c>
      <c r="K248" s="62">
        <f t="shared" si="206"/>
        <v>-140000</v>
      </c>
      <c r="L248" s="62">
        <f t="shared" si="207"/>
        <v>-140000</v>
      </c>
      <c r="M248" s="62">
        <f t="shared" si="208"/>
        <v>-140000</v>
      </c>
      <c r="N248" s="62">
        <f t="shared" si="209"/>
        <v>-140000</v>
      </c>
      <c r="O248" s="62">
        <f t="shared" si="210"/>
        <v>-140000</v>
      </c>
      <c r="P248" s="62">
        <f t="shared" si="211"/>
        <v>-140000</v>
      </c>
      <c r="Q248" s="62">
        <f t="shared" si="212"/>
        <v>-140000</v>
      </c>
      <c r="R248" s="62">
        <f t="shared" si="213"/>
        <v>-140000</v>
      </c>
      <c r="S248" s="62">
        <f t="shared" si="214"/>
        <v>-140000</v>
      </c>
      <c r="T248" s="62">
        <f t="shared" si="215"/>
        <v>-140000</v>
      </c>
      <c r="U248" s="62">
        <f t="shared" si="216"/>
        <v>-140000</v>
      </c>
      <c r="V248" s="62">
        <f t="shared" si="217"/>
        <v>-140000</v>
      </c>
      <c r="W248" s="62">
        <f t="shared" si="218"/>
        <v>-140000</v>
      </c>
      <c r="X248" s="62">
        <f t="shared" si="219"/>
        <v>-140000</v>
      </c>
      <c r="Y248" s="62">
        <f t="shared" si="220"/>
        <v>-140000</v>
      </c>
      <c r="Z248" s="62">
        <f t="shared" si="221"/>
        <v>-140000</v>
      </c>
      <c r="AA248" s="62">
        <f t="shared" si="222"/>
        <v>-140000</v>
      </c>
      <c r="AB248" s="62">
        <f t="shared" si="223"/>
        <v>-140000</v>
      </c>
      <c r="AC248" s="62">
        <f t="shared" si="224"/>
        <v>-140000</v>
      </c>
    </row>
    <row r="249" spans="1:44" x14ac:dyDescent="0.25">
      <c r="A249" s="30" t="str">
        <f t="shared" si="196"/>
        <v>WACC</v>
      </c>
      <c r="B249" s="62">
        <f t="shared" si="197"/>
        <v>0.06</v>
      </c>
      <c r="C249" s="62">
        <f t="shared" si="198"/>
        <v>0.06</v>
      </c>
      <c r="D249" s="62">
        <f t="shared" si="199"/>
        <v>0.06</v>
      </c>
      <c r="E249" s="62">
        <f t="shared" si="200"/>
        <v>0.06</v>
      </c>
      <c r="F249" s="62">
        <f t="shared" si="201"/>
        <v>0.06</v>
      </c>
      <c r="G249" s="62">
        <f t="shared" si="202"/>
        <v>0.06</v>
      </c>
      <c r="H249" s="62">
        <f t="shared" si="203"/>
        <v>0.06</v>
      </c>
      <c r="I249" s="62">
        <f t="shared" si="204"/>
        <v>0.06</v>
      </c>
      <c r="J249" s="62">
        <f t="shared" si="205"/>
        <v>0.06</v>
      </c>
      <c r="K249" s="62">
        <f t="shared" si="206"/>
        <v>0.06</v>
      </c>
      <c r="L249" s="62">
        <f t="shared" si="207"/>
        <v>0.06</v>
      </c>
      <c r="M249" s="62">
        <f t="shared" si="208"/>
        <v>0.06</v>
      </c>
      <c r="N249" s="62">
        <f t="shared" si="209"/>
        <v>0.06</v>
      </c>
      <c r="O249" s="62">
        <f t="shared" si="210"/>
        <v>0.06</v>
      </c>
      <c r="P249" s="62">
        <f t="shared" si="211"/>
        <v>0.06</v>
      </c>
      <c r="Q249" s="62">
        <f t="shared" si="212"/>
        <v>0.06</v>
      </c>
      <c r="R249" s="62">
        <f t="shared" si="213"/>
        <v>0.06</v>
      </c>
      <c r="S249" s="62">
        <f t="shared" si="214"/>
        <v>0.06</v>
      </c>
      <c r="T249" s="62">
        <f t="shared" si="215"/>
        <v>0.06</v>
      </c>
      <c r="U249" s="62">
        <f t="shared" si="216"/>
        <v>0.06</v>
      </c>
      <c r="V249" s="62">
        <f t="shared" si="217"/>
        <v>0.06</v>
      </c>
      <c r="W249" s="62">
        <f t="shared" si="218"/>
        <v>0.06</v>
      </c>
      <c r="X249" s="62">
        <f t="shared" si="219"/>
        <v>0.06</v>
      </c>
      <c r="Y249" s="62">
        <f t="shared" si="220"/>
        <v>0.06</v>
      </c>
      <c r="Z249" s="62">
        <f t="shared" si="221"/>
        <v>0.06</v>
      </c>
      <c r="AA249" s="62">
        <f t="shared" si="222"/>
        <v>0.06</v>
      </c>
      <c r="AB249" s="62">
        <f t="shared" si="223"/>
        <v>0.06</v>
      </c>
      <c r="AC249" s="62">
        <f t="shared" si="224"/>
        <v>0.06</v>
      </c>
    </row>
    <row r="250" spans="1:44" x14ac:dyDescent="0.25">
      <c r="A250" s="30" t="str">
        <f t="shared" si="196"/>
        <v>Opex fix (admin, crew, insurance)</v>
      </c>
      <c r="B250" s="62">
        <f t="shared" si="197"/>
        <v>610000</v>
      </c>
      <c r="C250" s="62">
        <f t="shared" si="198"/>
        <v>610000</v>
      </c>
      <c r="D250" s="62">
        <f t="shared" si="199"/>
        <v>610000</v>
      </c>
      <c r="E250" s="62">
        <f t="shared" si="200"/>
        <v>610000</v>
      </c>
      <c r="F250" s="62">
        <f t="shared" si="201"/>
        <v>610000</v>
      </c>
      <c r="G250" s="62">
        <f t="shared" si="202"/>
        <v>610000</v>
      </c>
      <c r="H250" s="62">
        <f t="shared" si="203"/>
        <v>610000</v>
      </c>
      <c r="I250" s="62">
        <f t="shared" si="204"/>
        <v>610000</v>
      </c>
      <c r="J250" s="62">
        <f t="shared" si="205"/>
        <v>610000</v>
      </c>
      <c r="K250" s="62">
        <f t="shared" si="206"/>
        <v>610000</v>
      </c>
      <c r="L250" s="62">
        <f t="shared" si="207"/>
        <v>610000</v>
      </c>
      <c r="M250" s="62">
        <f t="shared" si="208"/>
        <v>610000</v>
      </c>
      <c r="N250" s="62">
        <f t="shared" si="209"/>
        <v>610000</v>
      </c>
      <c r="O250" s="62">
        <f t="shared" si="210"/>
        <v>610000</v>
      </c>
      <c r="P250" s="62">
        <f t="shared" si="211"/>
        <v>610000</v>
      </c>
      <c r="Q250" s="62">
        <f t="shared" si="212"/>
        <v>610000</v>
      </c>
      <c r="R250" s="62">
        <f t="shared" si="213"/>
        <v>610000</v>
      </c>
      <c r="S250" s="62">
        <f t="shared" si="214"/>
        <v>610000</v>
      </c>
      <c r="T250" s="62">
        <f t="shared" si="215"/>
        <v>610000</v>
      </c>
      <c r="U250" s="62">
        <f t="shared" si="216"/>
        <v>610000</v>
      </c>
      <c r="V250" s="62">
        <f t="shared" si="217"/>
        <v>610000</v>
      </c>
      <c r="W250" s="62">
        <f t="shared" si="218"/>
        <v>610000</v>
      </c>
      <c r="X250" s="62">
        <f t="shared" si="219"/>
        <v>610000</v>
      </c>
      <c r="Y250" s="62">
        <f t="shared" si="220"/>
        <v>610000</v>
      </c>
      <c r="Z250" s="62">
        <f t="shared" si="221"/>
        <v>610000</v>
      </c>
      <c r="AA250" s="62">
        <f t="shared" si="222"/>
        <v>610000</v>
      </c>
      <c r="AB250" s="62">
        <f t="shared" si="223"/>
        <v>610000</v>
      </c>
      <c r="AC250" s="62">
        <f t="shared" si="224"/>
        <v>610000</v>
      </c>
    </row>
    <row r="251" spans="1:44" x14ac:dyDescent="0.25">
      <c r="A251" s="30" t="str">
        <f t="shared" si="196"/>
        <v>Opex maintenance &amp; repair</v>
      </c>
      <c r="B251" s="62">
        <f t="shared" si="197"/>
        <v>1388910.2037228637</v>
      </c>
      <c r="C251" s="62">
        <f t="shared" si="198"/>
        <v>1384161.8820080096</v>
      </c>
      <c r="D251" s="62">
        <f t="shared" si="199"/>
        <v>1377419.9458533253</v>
      </c>
      <c r="E251" s="62">
        <f t="shared" si="200"/>
        <v>1367890.8669573795</v>
      </c>
      <c r="F251" s="62">
        <f t="shared" si="201"/>
        <v>1354512.2121062956</v>
      </c>
      <c r="G251" s="62">
        <f t="shared" si="202"/>
        <v>1335911.0252611889</v>
      </c>
      <c r="H251" s="62">
        <f t="shared" si="203"/>
        <v>1310409.4939683313</v>
      </c>
      <c r="I251" s="62">
        <f t="shared" si="204"/>
        <v>1276138.1685443469</v>
      </c>
      <c r="J251" s="62">
        <f t="shared" si="205"/>
        <v>1231338.9254820407</v>
      </c>
      <c r="K251" s="62">
        <f t="shared" si="206"/>
        <v>1174921.8508999445</v>
      </c>
      <c r="L251" s="62">
        <f t="shared" si="207"/>
        <v>1107222.9808538083</v>
      </c>
      <c r="M251" s="62">
        <f t="shared" si="208"/>
        <v>1030670.8821991365</v>
      </c>
      <c r="N251" s="62">
        <f t="shared" si="209"/>
        <v>949855.14573475695</v>
      </c>
      <c r="O251" s="62">
        <f t="shared" si="210"/>
        <v>870629.71180240111</v>
      </c>
      <c r="P251" s="62">
        <f t="shared" si="211"/>
        <v>798509.16855274222</v>
      </c>
      <c r="Q251" s="62">
        <f t="shared" si="212"/>
        <v>737216.97695338901</v>
      </c>
      <c r="R251" s="62">
        <f t="shared" si="213"/>
        <v>688132.90829190495</v>
      </c>
      <c r="S251" s="62">
        <f t="shared" si="214"/>
        <v>650679.58539676399</v>
      </c>
      <c r="T251" s="62">
        <f t="shared" si="215"/>
        <v>623148.38930799719</v>
      </c>
      <c r="U251" s="62">
        <f t="shared" si="216"/>
        <v>603463.98238910188</v>
      </c>
      <c r="V251" s="62">
        <f t="shared" si="217"/>
        <v>589668.12012529059</v>
      </c>
      <c r="W251" s="62">
        <f t="shared" si="218"/>
        <v>580134.33134103287</v>
      </c>
      <c r="X251" s="62">
        <f t="shared" si="219"/>
        <v>573609.8845890474</v>
      </c>
      <c r="Y251" s="62">
        <f t="shared" si="220"/>
        <v>569174.682073851</v>
      </c>
      <c r="Z251" s="62">
        <f t="shared" si="221"/>
        <v>566173.42988411163</v>
      </c>
      <c r="AA251" s="62">
        <f t="shared" si="222"/>
        <v>564148.78202354477</v>
      </c>
      <c r="AB251" s="62">
        <f t="shared" si="223"/>
        <v>562785.79914140829</v>
      </c>
      <c r="AC251" s="62">
        <f t="shared" si="224"/>
        <v>561869.53442032111</v>
      </c>
    </row>
    <row r="252" spans="1:44" x14ac:dyDescent="0.25">
      <c r="A252" s="30" t="str">
        <f t="shared" si="196"/>
        <v>Opex var (mode-fees, shunting)</v>
      </c>
      <c r="B252" s="62">
        <f t="shared" si="197"/>
        <v>3.6414565826330532</v>
      </c>
      <c r="C252" s="62">
        <f t="shared" si="198"/>
        <v>3.6414565826330532</v>
      </c>
      <c r="D252" s="62">
        <f t="shared" si="199"/>
        <v>3.6414565826330532</v>
      </c>
      <c r="E252" s="62">
        <f t="shared" si="200"/>
        <v>3.6414565826330532</v>
      </c>
      <c r="F252" s="62">
        <f t="shared" si="201"/>
        <v>3.6414565826330532</v>
      </c>
      <c r="G252" s="62">
        <f t="shared" si="202"/>
        <v>3.6414565826330532</v>
      </c>
      <c r="H252" s="62">
        <f t="shared" si="203"/>
        <v>3.6414565826330532</v>
      </c>
      <c r="I252" s="62">
        <f t="shared" si="204"/>
        <v>3.6414565826330532</v>
      </c>
      <c r="J252" s="62">
        <f t="shared" si="205"/>
        <v>3.6414565826330532</v>
      </c>
      <c r="K252" s="62">
        <f t="shared" si="206"/>
        <v>3.6414565826330532</v>
      </c>
      <c r="L252" s="62">
        <f t="shared" si="207"/>
        <v>3.6414565826330532</v>
      </c>
      <c r="M252" s="62">
        <f t="shared" si="208"/>
        <v>3.6414565826330532</v>
      </c>
      <c r="N252" s="62">
        <f t="shared" si="209"/>
        <v>3.6414565826330532</v>
      </c>
      <c r="O252" s="62">
        <f t="shared" si="210"/>
        <v>3.6414565826330532</v>
      </c>
      <c r="P252" s="62">
        <f t="shared" si="211"/>
        <v>3.6414565826330532</v>
      </c>
      <c r="Q252" s="62">
        <f t="shared" si="212"/>
        <v>3.6414565826330532</v>
      </c>
      <c r="R252" s="62">
        <f t="shared" si="213"/>
        <v>3.6414565826330532</v>
      </c>
      <c r="S252" s="62">
        <f t="shared" si="214"/>
        <v>3.6414565826330532</v>
      </c>
      <c r="T252" s="62">
        <f t="shared" si="215"/>
        <v>3.6414565826330532</v>
      </c>
      <c r="U252" s="62">
        <f t="shared" si="216"/>
        <v>3.6414565826330532</v>
      </c>
      <c r="V252" s="62">
        <f t="shared" si="217"/>
        <v>3.6414565826330532</v>
      </c>
      <c r="W252" s="62">
        <f t="shared" si="218"/>
        <v>3.6414565826330532</v>
      </c>
      <c r="X252" s="62">
        <f t="shared" si="219"/>
        <v>3.6414565826330532</v>
      </c>
      <c r="Y252" s="62">
        <f t="shared" si="220"/>
        <v>3.6414565826330532</v>
      </c>
      <c r="Z252" s="62">
        <f t="shared" si="221"/>
        <v>3.6414565826330532</v>
      </c>
      <c r="AA252" s="62">
        <f t="shared" si="222"/>
        <v>3.6414565826330532</v>
      </c>
      <c r="AB252" s="62">
        <f t="shared" si="223"/>
        <v>3.6414565826330532</v>
      </c>
      <c r="AC252" s="62">
        <f t="shared" si="224"/>
        <v>3.6414565826330532</v>
      </c>
    </row>
    <row r="253" spans="1:44" x14ac:dyDescent="0.25">
      <c r="A253" s="30" t="str">
        <f t="shared" si="196"/>
        <v>Fuel Economy</v>
      </c>
      <c r="B253" s="62">
        <f t="shared" si="197"/>
        <v>48.759236370320799</v>
      </c>
      <c r="C253" s="62">
        <f t="shared" si="198"/>
        <v>48.716746306766673</v>
      </c>
      <c r="D253" s="62">
        <f t="shared" si="199"/>
        <v>48.65641650754641</v>
      </c>
      <c r="E253" s="62">
        <f t="shared" si="200"/>
        <v>48.571146133672123</v>
      </c>
      <c r="F253" s="62">
        <f t="shared" si="201"/>
        <v>48.451428067157607</v>
      </c>
      <c r="G253" s="62">
        <f t="shared" si="202"/>
        <v>48.28497649569853</v>
      </c>
      <c r="H253" s="62">
        <f t="shared" si="203"/>
        <v>48.056777618193806</v>
      </c>
      <c r="I253" s="62">
        <f t="shared" si="204"/>
        <v>47.750102779630581</v>
      </c>
      <c r="J253" s="62">
        <f t="shared" si="205"/>
        <v>47.349219520406741</v>
      </c>
      <c r="K253" s="62">
        <f t="shared" si="206"/>
        <v>46.844374813479661</v>
      </c>
      <c r="L253" s="62">
        <f t="shared" si="207"/>
        <v>46.238575656736749</v>
      </c>
      <c r="M253" s="62">
        <f t="shared" si="208"/>
        <v>45.553553930668109</v>
      </c>
      <c r="N253" s="62">
        <f t="shared" si="209"/>
        <v>44.830379305030867</v>
      </c>
      <c r="O253" s="62">
        <f t="shared" si="210"/>
        <v>44.121435403365965</v>
      </c>
      <c r="P253" s="62">
        <f t="shared" si="211"/>
        <v>43.476069177094985</v>
      </c>
      <c r="Q253" s="62">
        <f t="shared" si="212"/>
        <v>42.92759978668257</v>
      </c>
      <c r="R253" s="62">
        <f t="shared" si="213"/>
        <v>42.488374030264865</v>
      </c>
      <c r="S253" s="62">
        <f t="shared" si="214"/>
        <v>42.153225283887942</v>
      </c>
      <c r="T253" s="62">
        <f t="shared" si="215"/>
        <v>41.906864076332596</v>
      </c>
      <c r="U253" s="62">
        <f t="shared" si="216"/>
        <v>41.730719376955413</v>
      </c>
      <c r="V253" s="62">
        <f t="shared" si="217"/>
        <v>41.60726795567966</v>
      </c>
      <c r="W253" s="62">
        <f t="shared" si="218"/>
        <v>41.52195543566075</v>
      </c>
      <c r="X253" s="62">
        <f t="shared" si="219"/>
        <v>41.463571826925872</v>
      </c>
      <c r="Y253" s="62">
        <f t="shared" si="220"/>
        <v>41.423883691188024</v>
      </c>
      <c r="Z253" s="62">
        <f t="shared" si="221"/>
        <v>41.397027171360179</v>
      </c>
      <c r="AA253" s="62">
        <f t="shared" si="222"/>
        <v>41.378909735045553</v>
      </c>
      <c r="AB253" s="62">
        <f t="shared" si="223"/>
        <v>41.366713166918338</v>
      </c>
      <c r="AC253" s="62">
        <f t="shared" si="224"/>
        <v>41.358514028660792</v>
      </c>
    </row>
    <row r="254" spans="1:44" x14ac:dyDescent="0.25">
      <c r="A254" s="30" t="str">
        <f t="shared" si="196"/>
        <v>Fuel Cost</v>
      </c>
      <c r="B254" s="62">
        <f t="shared" si="197"/>
        <v>0.25254227914256844</v>
      </c>
      <c r="C254" s="62">
        <f t="shared" si="198"/>
        <v>0.25172282033513138</v>
      </c>
      <c r="D254" s="62">
        <f t="shared" si="199"/>
        <v>0.25055930629945611</v>
      </c>
      <c r="E254" s="62">
        <f t="shared" si="200"/>
        <v>0.24891479101658942</v>
      </c>
      <c r="F254" s="62">
        <f t="shared" si="201"/>
        <v>0.24660592122895794</v>
      </c>
      <c r="G254" s="62">
        <f t="shared" si="202"/>
        <v>0.24339575407846328</v>
      </c>
      <c r="H254" s="62">
        <f t="shared" si="203"/>
        <v>0.23899473500772708</v>
      </c>
      <c r="I254" s="62">
        <f t="shared" si="204"/>
        <v>0.23308023697079527</v>
      </c>
      <c r="J254" s="62">
        <f t="shared" si="205"/>
        <v>0.22534884543953543</v>
      </c>
      <c r="K254" s="62">
        <f t="shared" si="206"/>
        <v>0.21561246458069289</v>
      </c>
      <c r="L254" s="62">
        <f t="shared" si="207"/>
        <v>0.20392908703293811</v>
      </c>
      <c r="M254" s="62">
        <f t="shared" si="208"/>
        <v>0.19071783151204119</v>
      </c>
      <c r="N254" s="62">
        <f t="shared" si="209"/>
        <v>0.17677076326304775</v>
      </c>
      <c r="O254" s="62">
        <f t="shared" si="210"/>
        <v>0.16309814722993504</v>
      </c>
      <c r="P254" s="62">
        <f t="shared" si="211"/>
        <v>0.15065168342395555</v>
      </c>
      <c r="Q254" s="62">
        <f t="shared" si="212"/>
        <v>0.14007396159940294</v>
      </c>
      <c r="R254" s="62">
        <f t="shared" si="213"/>
        <v>0.13160310078058535</v>
      </c>
      <c r="S254" s="62">
        <f t="shared" si="214"/>
        <v>0.12513945801219511</v>
      </c>
      <c r="T254" s="62">
        <f t="shared" si="215"/>
        <v>0.1203881621925289</v>
      </c>
      <c r="U254" s="62">
        <f t="shared" si="216"/>
        <v>0.11699105441686944</v>
      </c>
      <c r="V254" s="62">
        <f t="shared" si="217"/>
        <v>0.11461018354982119</v>
      </c>
      <c r="W254" s="62">
        <f t="shared" si="218"/>
        <v>0.11296485544093068</v>
      </c>
      <c r="X254" s="62">
        <f t="shared" si="219"/>
        <v>0.11183887542617238</v>
      </c>
      <c r="Y254" s="62">
        <f t="shared" si="220"/>
        <v>0.11107345429801357</v>
      </c>
      <c r="Z254" s="62">
        <f t="shared" si="221"/>
        <v>0.11055550233773928</v>
      </c>
      <c r="AA254" s="62">
        <f t="shared" si="222"/>
        <v>0.11020609140458582</v>
      </c>
      <c r="AB254" s="62">
        <f t="shared" si="223"/>
        <v>0.10997086970011311</v>
      </c>
      <c r="AC254" s="62">
        <f t="shared" si="224"/>
        <v>0.10981274199926885</v>
      </c>
    </row>
    <row r="255" spans="1:44" x14ac:dyDescent="0.25">
      <c r="A255" s="30" t="str">
        <f t="shared" ref="A255" si="225">A235</f>
        <v>Emission Cost</v>
      </c>
      <c r="B255" s="66">
        <f>$B235+($C235-$B235)*(1-Q235)</f>
        <v>0.17582388128473975</v>
      </c>
      <c r="C255" s="66">
        <f t="shared" ref="C255:AC255" si="226">$B235+($C235-$B235)*(1-R235)</f>
        <v>0.17565645410997111</v>
      </c>
      <c r="D255" s="66">
        <f t="shared" si="226"/>
        <v>0.17541678583842943</v>
      </c>
      <c r="E255" s="66">
        <f t="shared" si="226"/>
        <v>0.17507392352176276</v>
      </c>
      <c r="F255" s="66">
        <f t="shared" si="226"/>
        <v>0.17458389761491974</v>
      </c>
      <c r="G255" s="66">
        <f t="shared" si="226"/>
        <v>0.17388452474686475</v>
      </c>
      <c r="H255" s="66">
        <f t="shared" si="226"/>
        <v>0.17288844620780905</v>
      </c>
      <c r="I255" s="66">
        <f t="shared" si="226"/>
        <v>0.17147415747198971</v>
      </c>
      <c r="J255" s="66">
        <f t="shared" si="226"/>
        <v>0.16947519624837942</v>
      </c>
      <c r="K255" s="66">
        <f t="shared" si="226"/>
        <v>0.16666869075467838</v>
      </c>
      <c r="L255" s="66">
        <f t="shared" si="226"/>
        <v>0.16276662932539185</v>
      </c>
      <c r="M255" s="66">
        <f t="shared" si="226"/>
        <v>0.15741704908224841</v>
      </c>
      <c r="N255" s="66">
        <f t="shared" si="226"/>
        <v>0.15022778647330717</v>
      </c>
      <c r="O255" s="66">
        <f t="shared" si="226"/>
        <v>0.14083003138002706</v>
      </c>
      <c r="P255" s="66">
        <f t="shared" si="226"/>
        <v>0.12899514726681846</v>
      </c>
      <c r="Q255" s="66">
        <f t="shared" si="226"/>
        <v>0.11479362605136975</v>
      </c>
      <c r="R255" s="66">
        <f t="shared" si="226"/>
        <v>9.8734920014022967E-2</v>
      </c>
      <c r="S255" s="66">
        <f t="shared" si="226"/>
        <v>8.1781809937608918E-2</v>
      </c>
      <c r="T255" s="66">
        <f t="shared" si="226"/>
        <v>6.5162305357595693E-2</v>
      </c>
      <c r="U255" s="66">
        <f t="shared" si="226"/>
        <v>5.0033228249931727E-2</v>
      </c>
      <c r="V255" s="66">
        <f t="shared" si="226"/>
        <v>3.7175667130427636E-2</v>
      </c>
      <c r="W255" s="66">
        <f t="shared" si="226"/>
        <v>2.6879063332438669E-2</v>
      </c>
      <c r="X255" s="66">
        <f t="shared" si="226"/>
        <v>1.9022297638684654E-2</v>
      </c>
      <c r="Y255" s="66">
        <f t="shared" si="226"/>
        <v>1.324694474025595E-2</v>
      </c>
      <c r="Z255" s="66">
        <f t="shared" si="226"/>
        <v>9.1176509679713191E-3</v>
      </c>
      <c r="AA255" s="66">
        <f t="shared" si="226"/>
        <v>6.2236258462609606E-3</v>
      </c>
      <c r="AB255" s="66">
        <f t="shared" si="226"/>
        <v>4.2236766064734643E-3</v>
      </c>
      <c r="AC255" s="66">
        <f t="shared" si="226"/>
        <v>2.8550116803935655E-3</v>
      </c>
    </row>
    <row r="256" spans="1:44" x14ac:dyDescent="0.25">
      <c r="A256" s="30" t="str">
        <f>A236</f>
        <v>Lifetime vehicle</v>
      </c>
      <c r="B256" s="62">
        <f>$B236+($C236-$B236)*(1-Q236)</f>
        <v>20</v>
      </c>
      <c r="C256" s="62">
        <f t="shared" ref="C256:L258" si="227">$B236+($C236-$B236)*(1-R236)</f>
        <v>20</v>
      </c>
      <c r="D256" s="62">
        <f t="shared" si="227"/>
        <v>20</v>
      </c>
      <c r="E256" s="62">
        <f t="shared" si="227"/>
        <v>20</v>
      </c>
      <c r="F256" s="62">
        <f t="shared" si="227"/>
        <v>20</v>
      </c>
      <c r="G256" s="62">
        <f t="shared" si="227"/>
        <v>20</v>
      </c>
      <c r="H256" s="62">
        <f t="shared" si="227"/>
        <v>20</v>
      </c>
      <c r="I256" s="62">
        <f t="shared" si="227"/>
        <v>20</v>
      </c>
      <c r="J256" s="62">
        <f t="shared" si="227"/>
        <v>20</v>
      </c>
      <c r="K256" s="62">
        <f t="shared" si="227"/>
        <v>20</v>
      </c>
      <c r="L256" s="62">
        <f t="shared" si="227"/>
        <v>20</v>
      </c>
      <c r="M256" s="62">
        <f t="shared" ref="M256:V258" si="228">$B236+($C236-$B236)*(1-AB236)</f>
        <v>20</v>
      </c>
      <c r="N256" s="62">
        <f t="shared" si="228"/>
        <v>20</v>
      </c>
      <c r="O256" s="62">
        <f t="shared" si="228"/>
        <v>20</v>
      </c>
      <c r="P256" s="62">
        <f t="shared" si="228"/>
        <v>20</v>
      </c>
      <c r="Q256" s="62">
        <f t="shared" si="228"/>
        <v>20</v>
      </c>
      <c r="R256" s="62">
        <f t="shared" si="228"/>
        <v>20</v>
      </c>
      <c r="S256" s="62">
        <f t="shared" si="228"/>
        <v>20</v>
      </c>
      <c r="T256" s="62">
        <f t="shared" si="228"/>
        <v>20</v>
      </c>
      <c r="U256" s="62">
        <f t="shared" si="228"/>
        <v>20</v>
      </c>
      <c r="V256" s="62">
        <f t="shared" si="228"/>
        <v>20</v>
      </c>
      <c r="W256" s="62">
        <f t="shared" ref="W256:AC258" si="229">$B236+($C236-$B236)*(1-AL236)</f>
        <v>20</v>
      </c>
      <c r="X256" s="62">
        <f t="shared" si="229"/>
        <v>20</v>
      </c>
      <c r="Y256" s="62">
        <f t="shared" si="229"/>
        <v>20</v>
      </c>
      <c r="Z256" s="62">
        <f t="shared" si="229"/>
        <v>20</v>
      </c>
      <c r="AA256" s="62">
        <f t="shared" si="229"/>
        <v>20</v>
      </c>
      <c r="AB256" s="62">
        <f t="shared" si="229"/>
        <v>20</v>
      </c>
      <c r="AC256" s="62">
        <f t="shared" si="229"/>
        <v>20</v>
      </c>
    </row>
    <row r="257" spans="1:29" x14ac:dyDescent="0.25">
      <c r="A257" s="30" t="str">
        <f>A237</f>
        <v>Lifetime costumization</v>
      </c>
      <c r="B257" s="62">
        <f>$B237+($C237-$B237)*(1-Q237)</f>
        <v>30</v>
      </c>
      <c r="C257" s="62">
        <f t="shared" si="227"/>
        <v>30</v>
      </c>
      <c r="D257" s="62">
        <f t="shared" si="227"/>
        <v>30</v>
      </c>
      <c r="E257" s="62">
        <f t="shared" si="227"/>
        <v>30</v>
      </c>
      <c r="F257" s="62">
        <f t="shared" si="227"/>
        <v>30</v>
      </c>
      <c r="G257" s="62">
        <f t="shared" si="227"/>
        <v>30</v>
      </c>
      <c r="H257" s="62">
        <f t="shared" si="227"/>
        <v>30</v>
      </c>
      <c r="I257" s="62">
        <f t="shared" si="227"/>
        <v>30</v>
      </c>
      <c r="J257" s="62">
        <f t="shared" si="227"/>
        <v>30</v>
      </c>
      <c r="K257" s="62">
        <f t="shared" si="227"/>
        <v>30</v>
      </c>
      <c r="L257" s="62">
        <f t="shared" si="227"/>
        <v>30</v>
      </c>
      <c r="M257" s="62">
        <f t="shared" si="228"/>
        <v>30</v>
      </c>
      <c r="N257" s="62">
        <f t="shared" si="228"/>
        <v>30</v>
      </c>
      <c r="O257" s="62">
        <f t="shared" si="228"/>
        <v>30</v>
      </c>
      <c r="P257" s="62">
        <f t="shared" si="228"/>
        <v>30</v>
      </c>
      <c r="Q257" s="62">
        <f t="shared" si="228"/>
        <v>30</v>
      </c>
      <c r="R257" s="62">
        <f t="shared" si="228"/>
        <v>30</v>
      </c>
      <c r="S257" s="62">
        <f t="shared" si="228"/>
        <v>30</v>
      </c>
      <c r="T257" s="62">
        <f t="shared" si="228"/>
        <v>30</v>
      </c>
      <c r="U257" s="62">
        <f t="shared" si="228"/>
        <v>30</v>
      </c>
      <c r="V257" s="62">
        <f t="shared" si="228"/>
        <v>30</v>
      </c>
      <c r="W257" s="62">
        <f t="shared" si="229"/>
        <v>30</v>
      </c>
      <c r="X257" s="62">
        <f t="shared" si="229"/>
        <v>30</v>
      </c>
      <c r="Y257" s="62">
        <f t="shared" si="229"/>
        <v>30</v>
      </c>
      <c r="Z257" s="62">
        <f t="shared" si="229"/>
        <v>30</v>
      </c>
      <c r="AA257" s="62">
        <f t="shared" si="229"/>
        <v>30</v>
      </c>
      <c r="AB257" s="62">
        <f t="shared" si="229"/>
        <v>30</v>
      </c>
      <c r="AC257" s="62">
        <f t="shared" si="229"/>
        <v>30</v>
      </c>
    </row>
    <row r="258" spans="1:29" x14ac:dyDescent="0.25">
      <c r="A258" s="30" t="str">
        <f>A238</f>
        <v>Tonnage .</v>
      </c>
      <c r="B258" s="62">
        <f>$B238+($C238-$B238)*(1-Q238)</f>
        <v>2240</v>
      </c>
      <c r="C258" s="62">
        <f t="shared" si="227"/>
        <v>2240</v>
      </c>
      <c r="D258" s="62">
        <f t="shared" si="227"/>
        <v>2240</v>
      </c>
      <c r="E258" s="62">
        <f t="shared" si="227"/>
        <v>2240</v>
      </c>
      <c r="F258" s="62">
        <f t="shared" si="227"/>
        <v>2240</v>
      </c>
      <c r="G258" s="62">
        <f t="shared" si="227"/>
        <v>2240</v>
      </c>
      <c r="H258" s="62">
        <f t="shared" si="227"/>
        <v>2240</v>
      </c>
      <c r="I258" s="62">
        <f t="shared" si="227"/>
        <v>2240</v>
      </c>
      <c r="J258" s="62">
        <f t="shared" si="227"/>
        <v>2240</v>
      </c>
      <c r="K258" s="62">
        <f t="shared" si="227"/>
        <v>2240</v>
      </c>
      <c r="L258" s="62">
        <f t="shared" si="227"/>
        <v>2240</v>
      </c>
      <c r="M258" s="62">
        <f t="shared" si="228"/>
        <v>2240</v>
      </c>
      <c r="N258" s="62">
        <f t="shared" si="228"/>
        <v>2240</v>
      </c>
      <c r="O258" s="62">
        <f t="shared" si="228"/>
        <v>2240</v>
      </c>
      <c r="P258" s="62">
        <f t="shared" si="228"/>
        <v>2240</v>
      </c>
      <c r="Q258" s="62">
        <f t="shared" si="228"/>
        <v>2240</v>
      </c>
      <c r="R258" s="62">
        <f t="shared" si="228"/>
        <v>2240</v>
      </c>
      <c r="S258" s="62">
        <f t="shared" si="228"/>
        <v>2240</v>
      </c>
      <c r="T258" s="62">
        <f t="shared" si="228"/>
        <v>2240</v>
      </c>
      <c r="U258" s="62">
        <f t="shared" si="228"/>
        <v>2240</v>
      </c>
      <c r="V258" s="62">
        <f t="shared" si="228"/>
        <v>2240</v>
      </c>
      <c r="W258" s="62">
        <f t="shared" si="229"/>
        <v>2240</v>
      </c>
      <c r="X258" s="62">
        <f t="shared" si="229"/>
        <v>2240</v>
      </c>
      <c r="Y258" s="62">
        <f t="shared" si="229"/>
        <v>2240</v>
      </c>
      <c r="Z258" s="62">
        <f t="shared" si="229"/>
        <v>2240</v>
      </c>
      <c r="AA258" s="62">
        <f t="shared" si="229"/>
        <v>2240</v>
      </c>
      <c r="AB258" s="62">
        <f t="shared" si="229"/>
        <v>2240</v>
      </c>
      <c r="AC258" s="62">
        <f t="shared" si="229"/>
        <v>2240</v>
      </c>
    </row>
    <row r="259" spans="1:29" x14ac:dyDescent="0.25">
      <c r="A259" s="30" t="str">
        <f>A239</f>
        <v>Market failure (av. utilization)</v>
      </c>
      <c r="B259" s="62">
        <f t="shared" ref="B259:K260" si="230">($B239+($C239-$B239)*(1-Q239))*B$44</f>
        <v>955.73333333333335</v>
      </c>
      <c r="C259" s="62">
        <f t="shared" si="230"/>
        <v>955.73333333333335</v>
      </c>
      <c r="D259" s="62">
        <f t="shared" si="230"/>
        <v>955.73333333333335</v>
      </c>
      <c r="E259" s="62">
        <f t="shared" si="230"/>
        <v>955.73333333333335</v>
      </c>
      <c r="F259" s="62">
        <f t="shared" si="230"/>
        <v>955.73333333333335</v>
      </c>
      <c r="G259" s="62">
        <f t="shared" si="230"/>
        <v>955.73333333333335</v>
      </c>
      <c r="H259" s="62">
        <f t="shared" si="230"/>
        <v>955.73333333333335</v>
      </c>
      <c r="I259" s="62">
        <f t="shared" si="230"/>
        <v>955.73333333333335</v>
      </c>
      <c r="J259" s="62">
        <f t="shared" si="230"/>
        <v>955.73333333333335</v>
      </c>
      <c r="K259" s="62">
        <f t="shared" si="230"/>
        <v>955.73333333333335</v>
      </c>
      <c r="L259" s="62">
        <f t="shared" ref="L259:U260" si="231">($B239+($C239-$B239)*(1-AA239))*L$44</f>
        <v>955.73333333333335</v>
      </c>
      <c r="M259" s="62">
        <f t="shared" si="231"/>
        <v>955.73333333333335</v>
      </c>
      <c r="N259" s="62">
        <f t="shared" si="231"/>
        <v>955.73333333333335</v>
      </c>
      <c r="O259" s="62">
        <f t="shared" si="231"/>
        <v>955.73333333333335</v>
      </c>
      <c r="P259" s="62">
        <f t="shared" si="231"/>
        <v>955.73333333333335</v>
      </c>
      <c r="Q259" s="62">
        <f t="shared" si="231"/>
        <v>955.73333333333335</v>
      </c>
      <c r="R259" s="62">
        <f t="shared" si="231"/>
        <v>955.73333333333335</v>
      </c>
      <c r="S259" s="62">
        <f t="shared" si="231"/>
        <v>955.73333333333335</v>
      </c>
      <c r="T259" s="62">
        <f t="shared" si="231"/>
        <v>955.73333333333335</v>
      </c>
      <c r="U259" s="62">
        <f t="shared" si="231"/>
        <v>955.73333333333335</v>
      </c>
      <c r="V259" s="62">
        <f t="shared" ref="V259:AC260" si="232">($B239+($C239-$B239)*(1-AK239))*V$44</f>
        <v>955.73333333333335</v>
      </c>
      <c r="W259" s="62">
        <f t="shared" si="232"/>
        <v>955.73333333333335</v>
      </c>
      <c r="X259" s="62">
        <f t="shared" si="232"/>
        <v>955.73333333333335</v>
      </c>
      <c r="Y259" s="62">
        <f t="shared" si="232"/>
        <v>955.73333333333335</v>
      </c>
      <c r="Z259" s="62">
        <f t="shared" si="232"/>
        <v>955.73333333333335</v>
      </c>
      <c r="AA259" s="62">
        <f t="shared" si="232"/>
        <v>955.73333333333335</v>
      </c>
      <c r="AB259" s="62">
        <f t="shared" si="232"/>
        <v>955.73333333333335</v>
      </c>
      <c r="AC259" s="62">
        <f t="shared" si="232"/>
        <v>955.73333333333335</v>
      </c>
    </row>
    <row r="260" spans="1:29" x14ac:dyDescent="0.25">
      <c r="A260" s="30" t="s">
        <v>73</v>
      </c>
      <c r="B260" s="62">
        <f t="shared" si="230"/>
        <v>40</v>
      </c>
      <c r="C260" s="62">
        <f t="shared" si="230"/>
        <v>40</v>
      </c>
      <c r="D260" s="62">
        <f t="shared" si="230"/>
        <v>40</v>
      </c>
      <c r="E260" s="62">
        <f t="shared" si="230"/>
        <v>40</v>
      </c>
      <c r="F260" s="62">
        <f t="shared" si="230"/>
        <v>40</v>
      </c>
      <c r="G260" s="62">
        <f t="shared" si="230"/>
        <v>40</v>
      </c>
      <c r="H260" s="62">
        <f t="shared" si="230"/>
        <v>40</v>
      </c>
      <c r="I260" s="62">
        <f t="shared" si="230"/>
        <v>40</v>
      </c>
      <c r="J260" s="62">
        <f t="shared" si="230"/>
        <v>40</v>
      </c>
      <c r="K260" s="62">
        <f t="shared" si="230"/>
        <v>40</v>
      </c>
      <c r="L260" s="62">
        <f t="shared" si="231"/>
        <v>40</v>
      </c>
      <c r="M260" s="62">
        <f t="shared" si="231"/>
        <v>40</v>
      </c>
      <c r="N260" s="62">
        <f t="shared" si="231"/>
        <v>40</v>
      </c>
      <c r="O260" s="62">
        <f t="shared" si="231"/>
        <v>40</v>
      </c>
      <c r="P260" s="62">
        <f t="shared" si="231"/>
        <v>40</v>
      </c>
      <c r="Q260" s="62">
        <f t="shared" si="231"/>
        <v>40</v>
      </c>
      <c r="R260" s="62">
        <f t="shared" si="231"/>
        <v>40</v>
      </c>
      <c r="S260" s="62">
        <f t="shared" si="231"/>
        <v>40</v>
      </c>
      <c r="T260" s="62">
        <f t="shared" si="231"/>
        <v>40</v>
      </c>
      <c r="U260" s="62">
        <f t="shared" si="231"/>
        <v>40</v>
      </c>
      <c r="V260" s="62">
        <f t="shared" si="232"/>
        <v>40</v>
      </c>
      <c r="W260" s="62">
        <f t="shared" si="232"/>
        <v>40</v>
      </c>
      <c r="X260" s="62">
        <f t="shared" si="232"/>
        <v>40</v>
      </c>
      <c r="Y260" s="62">
        <f t="shared" si="232"/>
        <v>40</v>
      </c>
      <c r="Z260" s="62">
        <f t="shared" si="232"/>
        <v>40</v>
      </c>
      <c r="AA260" s="62">
        <f t="shared" si="232"/>
        <v>40</v>
      </c>
      <c r="AB260" s="62">
        <f t="shared" si="232"/>
        <v>40</v>
      </c>
      <c r="AC260" s="62">
        <f t="shared" si="232"/>
        <v>40</v>
      </c>
    </row>
    <row r="261" spans="1:29" x14ac:dyDescent="0.25">
      <c r="A261" s="30" t="str">
        <f>A241</f>
        <v>Annual Mileage</v>
      </c>
      <c r="B261" s="62">
        <f t="shared" ref="B261:AC261" si="233">$B241+($C241-$B241)*(1-Q241)</f>
        <v>178500</v>
      </c>
      <c r="C261" s="62">
        <f t="shared" si="233"/>
        <v>178500</v>
      </c>
      <c r="D261" s="62">
        <f t="shared" si="233"/>
        <v>178500</v>
      </c>
      <c r="E261" s="62">
        <f t="shared" si="233"/>
        <v>178500</v>
      </c>
      <c r="F261" s="62">
        <f t="shared" si="233"/>
        <v>178500</v>
      </c>
      <c r="G261" s="62">
        <f t="shared" si="233"/>
        <v>178500</v>
      </c>
      <c r="H261" s="62">
        <f t="shared" si="233"/>
        <v>178500</v>
      </c>
      <c r="I261" s="62">
        <f t="shared" si="233"/>
        <v>178500</v>
      </c>
      <c r="J261" s="62">
        <f t="shared" si="233"/>
        <v>178500</v>
      </c>
      <c r="K261" s="62">
        <f t="shared" si="233"/>
        <v>178500</v>
      </c>
      <c r="L261" s="62">
        <f t="shared" si="233"/>
        <v>178500</v>
      </c>
      <c r="M261" s="62">
        <f t="shared" si="233"/>
        <v>178500</v>
      </c>
      <c r="N261" s="62">
        <f t="shared" si="233"/>
        <v>178500</v>
      </c>
      <c r="O261" s="62">
        <f t="shared" si="233"/>
        <v>178500</v>
      </c>
      <c r="P261" s="62">
        <f t="shared" si="233"/>
        <v>178500</v>
      </c>
      <c r="Q261" s="62">
        <f t="shared" si="233"/>
        <v>178500</v>
      </c>
      <c r="R261" s="62">
        <f t="shared" si="233"/>
        <v>178500</v>
      </c>
      <c r="S261" s="62">
        <f t="shared" si="233"/>
        <v>178500</v>
      </c>
      <c r="T261" s="62">
        <f t="shared" si="233"/>
        <v>178500</v>
      </c>
      <c r="U261" s="62">
        <f t="shared" si="233"/>
        <v>178500</v>
      </c>
      <c r="V261" s="62">
        <f t="shared" si="233"/>
        <v>178500</v>
      </c>
      <c r="W261" s="62">
        <f t="shared" si="233"/>
        <v>178500</v>
      </c>
      <c r="X261" s="62">
        <f t="shared" si="233"/>
        <v>178500</v>
      </c>
      <c r="Y261" s="62">
        <f t="shared" si="233"/>
        <v>178500</v>
      </c>
      <c r="Z261" s="62">
        <f t="shared" si="233"/>
        <v>178500</v>
      </c>
      <c r="AA261" s="62">
        <f t="shared" si="233"/>
        <v>178500</v>
      </c>
      <c r="AB261" s="62">
        <f t="shared" si="233"/>
        <v>178500</v>
      </c>
      <c r="AC261" s="62">
        <f t="shared" si="233"/>
        <v>178500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864939.43423004472</v>
      </c>
      <c r="C264" s="63">
        <f t="shared" ref="C264:AC264" si="234">((1+C249)^C256)*C249/(((1+C249)^C256)-1)*(C245)</f>
        <v>861982.43190795113</v>
      </c>
      <c r="D264" s="63">
        <f t="shared" si="234"/>
        <v>857783.91250214854</v>
      </c>
      <c r="E264" s="63">
        <f t="shared" si="234"/>
        <v>851849.70877400215</v>
      </c>
      <c r="F264" s="63">
        <f t="shared" si="234"/>
        <v>843518.19380158815</v>
      </c>
      <c r="G264" s="63">
        <f t="shared" si="234"/>
        <v>831934.36355634325</v>
      </c>
      <c r="H264" s="63">
        <f t="shared" si="234"/>
        <v>816053.36564206402</v>
      </c>
      <c r="I264" s="63">
        <f t="shared" si="234"/>
        <v>794711.00618420995</v>
      </c>
      <c r="J264" s="63">
        <f t="shared" si="234"/>
        <v>766812.41933217109</v>
      </c>
      <c r="K264" s="63">
        <f t="shared" si="234"/>
        <v>731678.86466524214</v>
      </c>
      <c r="L264" s="63">
        <f t="shared" si="234"/>
        <v>689519.60757377208</v>
      </c>
      <c r="M264" s="63">
        <f t="shared" si="234"/>
        <v>641847.03038194508</v>
      </c>
      <c r="N264" s="63">
        <f t="shared" si="234"/>
        <v>591519.28623619571</v>
      </c>
      <c r="O264" s="63">
        <f t="shared" si="234"/>
        <v>542181.89795982966</v>
      </c>
      <c r="P264" s="63">
        <f t="shared" si="234"/>
        <v>497269.05787303421</v>
      </c>
      <c r="Q264" s="63">
        <f t="shared" si="234"/>
        <v>459099.53951067774</v>
      </c>
      <c r="R264" s="63">
        <f t="shared" si="234"/>
        <v>428532.59107587172</v>
      </c>
      <c r="S264" s="63">
        <f t="shared" si="234"/>
        <v>405208.65276213008</v>
      </c>
      <c r="T264" s="63">
        <f t="shared" si="234"/>
        <v>388063.68751897325</v>
      </c>
      <c r="U264" s="63">
        <f t="shared" si="234"/>
        <v>375805.28540057357</v>
      </c>
      <c r="V264" s="63">
        <f t="shared" si="234"/>
        <v>367213.95583211613</v>
      </c>
      <c r="W264" s="63">
        <f t="shared" si="234"/>
        <v>361276.81903592765</v>
      </c>
      <c r="X264" s="63">
        <f t="shared" si="234"/>
        <v>357213.74046742113</v>
      </c>
      <c r="Y264" s="63">
        <f t="shared" si="234"/>
        <v>354451.73213606392</v>
      </c>
      <c r="Z264" s="63">
        <f t="shared" si="234"/>
        <v>352582.71183221939</v>
      </c>
      <c r="AA264" s="63">
        <f t="shared" si="234"/>
        <v>351321.86878395046</v>
      </c>
      <c r="AB264" s="63">
        <f t="shared" si="234"/>
        <v>350473.07550719258</v>
      </c>
      <c r="AC264" s="63">
        <f t="shared" si="234"/>
        <v>349902.47455161036</v>
      </c>
    </row>
    <row r="265" spans="1:29" x14ac:dyDescent="0.25">
      <c r="A265" s="30" t="str">
        <f>A246</f>
        <v>Residual value (vehicle)</v>
      </c>
      <c r="B265" s="62">
        <f>((1+B249)^B256)*B249/(((1+B249)^B256)-1)*(B246)</f>
        <v>-43707.380747400188</v>
      </c>
      <c r="C265" s="62">
        <f t="shared" ref="C265:AC265" si="235">((1+C249)^C256)*C249/(((1+C249)^C256)-1)*(C246)</f>
        <v>-43756.664119435081</v>
      </c>
      <c r="D265" s="62">
        <f t="shared" si="235"/>
        <v>-43826.639442865126</v>
      </c>
      <c r="E265" s="62">
        <f t="shared" si="235"/>
        <v>-43925.54283833423</v>
      </c>
      <c r="F265" s="62">
        <f t="shared" si="235"/>
        <v>-44064.401421207796</v>
      </c>
      <c r="G265" s="62">
        <f t="shared" si="235"/>
        <v>-44257.465258628545</v>
      </c>
      <c r="H265" s="62">
        <f t="shared" si="235"/>
        <v>-44522.148557199871</v>
      </c>
      <c r="I265" s="62">
        <f t="shared" si="235"/>
        <v>-44877.854548164105</v>
      </c>
      <c r="J265" s="62">
        <f t="shared" si="235"/>
        <v>-45342.830995698081</v>
      </c>
      <c r="K265" s="62">
        <f t="shared" si="235"/>
        <v>-45928.390240146902</v>
      </c>
      <c r="L265" s="62">
        <f t="shared" si="235"/>
        <v>-46631.044525004734</v>
      </c>
      <c r="M265" s="62">
        <f t="shared" si="235"/>
        <v>-47425.587478201858</v>
      </c>
      <c r="N265" s="62">
        <f t="shared" si="235"/>
        <v>-48264.383213964342</v>
      </c>
      <c r="O265" s="62">
        <f t="shared" si="235"/>
        <v>-49086.673018570444</v>
      </c>
      <c r="P265" s="62">
        <f t="shared" si="235"/>
        <v>-49835.220353350363</v>
      </c>
      <c r="Q265" s="62">
        <f t="shared" si="235"/>
        <v>-50471.378992722974</v>
      </c>
      <c r="R265" s="62">
        <f t="shared" si="235"/>
        <v>-50980.828133303068</v>
      </c>
      <c r="S265" s="62">
        <f t="shared" si="235"/>
        <v>-51369.560438532098</v>
      </c>
      <c r="T265" s="62">
        <f t="shared" si="235"/>
        <v>-51655.309859251378</v>
      </c>
      <c r="U265" s="62">
        <f t="shared" si="235"/>
        <v>-51859.616561224706</v>
      </c>
      <c r="V265" s="62">
        <f t="shared" si="235"/>
        <v>-52002.805387365668</v>
      </c>
      <c r="W265" s="62">
        <f t="shared" si="235"/>
        <v>-52101.757667302139</v>
      </c>
      <c r="X265" s="62">
        <f t="shared" si="235"/>
        <v>-52169.475643443919</v>
      </c>
      <c r="Y265" s="62">
        <f t="shared" si="235"/>
        <v>-52215.509115633206</v>
      </c>
      <c r="Z265" s="62">
        <f t="shared" si="235"/>
        <v>-52246.659454030618</v>
      </c>
      <c r="AA265" s="62">
        <f t="shared" si="235"/>
        <v>-52267.673504835089</v>
      </c>
      <c r="AB265" s="62">
        <f t="shared" si="235"/>
        <v>-52281.820059447724</v>
      </c>
      <c r="AC265" s="62">
        <f t="shared" si="235"/>
        <v>-52291.330075374099</v>
      </c>
    </row>
    <row r="266" spans="1:29" x14ac:dyDescent="0.25">
      <c r="A266" s="30" t="str">
        <f>A247</f>
        <v>Capex costumization</v>
      </c>
      <c r="B266" s="62">
        <f>((1+B249)^B257)*B249/(((1+B249)^B257)-1)*(B247)</f>
        <v>203416.95217213215</v>
      </c>
      <c r="C266" s="62">
        <f t="shared" ref="C266:AC266" si="236">((1+C249)^C257)*C249/(((1+C249)^C257)-1)*(C247)</f>
        <v>203416.95217213215</v>
      </c>
      <c r="D266" s="62">
        <f t="shared" si="236"/>
        <v>203416.95217213215</v>
      </c>
      <c r="E266" s="62">
        <f t="shared" si="236"/>
        <v>203416.95217213215</v>
      </c>
      <c r="F266" s="62">
        <f t="shared" si="236"/>
        <v>203416.95217213215</v>
      </c>
      <c r="G266" s="62">
        <f t="shared" si="236"/>
        <v>203416.95217213215</v>
      </c>
      <c r="H266" s="62">
        <f t="shared" si="236"/>
        <v>203416.95217213215</v>
      </c>
      <c r="I266" s="62">
        <f t="shared" si="236"/>
        <v>203416.95217213215</v>
      </c>
      <c r="J266" s="62">
        <f t="shared" si="236"/>
        <v>203416.95217213215</v>
      </c>
      <c r="K266" s="62">
        <f t="shared" si="236"/>
        <v>203416.95217213215</v>
      </c>
      <c r="L266" s="62">
        <f t="shared" si="236"/>
        <v>203416.95217213215</v>
      </c>
      <c r="M266" s="62">
        <f t="shared" si="236"/>
        <v>203416.95217213215</v>
      </c>
      <c r="N266" s="62">
        <f t="shared" si="236"/>
        <v>203416.95217213215</v>
      </c>
      <c r="O266" s="62">
        <f t="shared" si="236"/>
        <v>203416.95217213215</v>
      </c>
      <c r="P266" s="62">
        <f t="shared" si="236"/>
        <v>203416.95217213215</v>
      </c>
      <c r="Q266" s="62">
        <f t="shared" si="236"/>
        <v>203416.95217213215</v>
      </c>
      <c r="R266" s="62">
        <f t="shared" si="236"/>
        <v>203416.95217213215</v>
      </c>
      <c r="S266" s="62">
        <f t="shared" si="236"/>
        <v>203416.95217213215</v>
      </c>
      <c r="T266" s="62">
        <f t="shared" si="236"/>
        <v>203416.95217213215</v>
      </c>
      <c r="U266" s="62">
        <f t="shared" si="236"/>
        <v>203416.95217213215</v>
      </c>
      <c r="V266" s="62">
        <f t="shared" si="236"/>
        <v>203416.95217213215</v>
      </c>
      <c r="W266" s="62">
        <f t="shared" si="236"/>
        <v>203416.95217213215</v>
      </c>
      <c r="X266" s="62">
        <f t="shared" si="236"/>
        <v>203416.95217213215</v>
      </c>
      <c r="Y266" s="62">
        <f t="shared" si="236"/>
        <v>203416.95217213215</v>
      </c>
      <c r="Z266" s="62">
        <f t="shared" si="236"/>
        <v>203416.95217213215</v>
      </c>
      <c r="AA266" s="62">
        <f t="shared" si="236"/>
        <v>203416.95217213215</v>
      </c>
      <c r="AB266" s="62">
        <f t="shared" si="236"/>
        <v>203416.95217213215</v>
      </c>
      <c r="AC266" s="62">
        <f t="shared" si="236"/>
        <v>203416.95217213215</v>
      </c>
    </row>
    <row r="267" spans="1:29" x14ac:dyDescent="0.25">
      <c r="A267" s="30" t="str">
        <f>A248</f>
        <v>Residual value (costumization)</v>
      </c>
      <c r="B267" s="62">
        <f>((1+B249)^B257)*B249/(((1+B249)^B257)-1)*(B248)</f>
        <v>-10170.847608606608</v>
      </c>
      <c r="C267" s="62">
        <f t="shared" ref="C267:AC267" si="237">((1+C249)^C257)*C249/(((1+C249)^C257)-1)*(C248)</f>
        <v>-10170.847608606608</v>
      </c>
      <c r="D267" s="62">
        <f t="shared" si="237"/>
        <v>-10170.847608606608</v>
      </c>
      <c r="E267" s="62">
        <f t="shared" si="237"/>
        <v>-10170.847608606608</v>
      </c>
      <c r="F267" s="62">
        <f t="shared" si="237"/>
        <v>-10170.847608606608</v>
      </c>
      <c r="G267" s="62">
        <f t="shared" si="237"/>
        <v>-10170.847608606608</v>
      </c>
      <c r="H267" s="62">
        <f t="shared" si="237"/>
        <v>-10170.847608606608</v>
      </c>
      <c r="I267" s="62">
        <f t="shared" si="237"/>
        <v>-10170.847608606608</v>
      </c>
      <c r="J267" s="62">
        <f t="shared" si="237"/>
        <v>-10170.847608606608</v>
      </c>
      <c r="K267" s="62">
        <f t="shared" si="237"/>
        <v>-10170.847608606608</v>
      </c>
      <c r="L267" s="62">
        <f t="shared" si="237"/>
        <v>-10170.847608606608</v>
      </c>
      <c r="M267" s="62">
        <f t="shared" si="237"/>
        <v>-10170.847608606608</v>
      </c>
      <c r="N267" s="62">
        <f t="shared" si="237"/>
        <v>-10170.847608606608</v>
      </c>
      <c r="O267" s="62">
        <f t="shared" si="237"/>
        <v>-10170.847608606608</v>
      </c>
      <c r="P267" s="62">
        <f t="shared" si="237"/>
        <v>-10170.847608606608</v>
      </c>
      <c r="Q267" s="62">
        <f t="shared" si="237"/>
        <v>-10170.847608606608</v>
      </c>
      <c r="R267" s="62">
        <f t="shared" si="237"/>
        <v>-10170.847608606608</v>
      </c>
      <c r="S267" s="62">
        <f t="shared" si="237"/>
        <v>-10170.847608606608</v>
      </c>
      <c r="T267" s="62">
        <f t="shared" si="237"/>
        <v>-10170.847608606608</v>
      </c>
      <c r="U267" s="62">
        <f t="shared" si="237"/>
        <v>-10170.847608606608</v>
      </c>
      <c r="V267" s="62">
        <f t="shared" si="237"/>
        <v>-10170.847608606608</v>
      </c>
      <c r="W267" s="62">
        <f t="shared" si="237"/>
        <v>-10170.847608606608</v>
      </c>
      <c r="X267" s="62">
        <f t="shared" si="237"/>
        <v>-10170.847608606608</v>
      </c>
      <c r="Y267" s="62">
        <f t="shared" si="237"/>
        <v>-10170.847608606608</v>
      </c>
      <c r="Z267" s="62">
        <f t="shared" si="237"/>
        <v>-10170.847608606608</v>
      </c>
      <c r="AA267" s="62">
        <f t="shared" si="237"/>
        <v>-10170.847608606608</v>
      </c>
      <c r="AB267" s="62">
        <f t="shared" si="237"/>
        <v>-10170.847608606608</v>
      </c>
      <c r="AC267" s="62">
        <f t="shared" si="237"/>
        <v>-10170.847608606608</v>
      </c>
    </row>
    <row r="268" spans="1:29" x14ac:dyDescent="0.25">
      <c r="A268" s="30" t="str">
        <f t="shared" ref="A268:AC268" si="238">A250</f>
        <v>Opex fix (admin, crew, insurance)</v>
      </c>
      <c r="B268" s="62">
        <f t="shared" si="238"/>
        <v>610000</v>
      </c>
      <c r="C268" s="62">
        <f t="shared" si="238"/>
        <v>610000</v>
      </c>
      <c r="D268" s="62">
        <f t="shared" si="238"/>
        <v>610000</v>
      </c>
      <c r="E268" s="62">
        <f t="shared" si="238"/>
        <v>610000</v>
      </c>
      <c r="F268" s="62">
        <f t="shared" si="238"/>
        <v>610000</v>
      </c>
      <c r="G268" s="62">
        <f t="shared" si="238"/>
        <v>610000</v>
      </c>
      <c r="H268" s="62">
        <f t="shared" si="238"/>
        <v>610000</v>
      </c>
      <c r="I268" s="62">
        <f t="shared" si="238"/>
        <v>610000</v>
      </c>
      <c r="J268" s="62">
        <f t="shared" si="238"/>
        <v>610000</v>
      </c>
      <c r="K268" s="62">
        <f t="shared" si="238"/>
        <v>610000</v>
      </c>
      <c r="L268" s="62">
        <f t="shared" si="238"/>
        <v>610000</v>
      </c>
      <c r="M268" s="62">
        <f t="shared" si="238"/>
        <v>610000</v>
      </c>
      <c r="N268" s="62">
        <f t="shared" si="238"/>
        <v>610000</v>
      </c>
      <c r="O268" s="62">
        <f t="shared" si="238"/>
        <v>610000</v>
      </c>
      <c r="P268" s="62">
        <f t="shared" si="238"/>
        <v>610000</v>
      </c>
      <c r="Q268" s="62">
        <f t="shared" si="238"/>
        <v>610000</v>
      </c>
      <c r="R268" s="62">
        <f t="shared" si="238"/>
        <v>610000</v>
      </c>
      <c r="S268" s="62">
        <f t="shared" si="238"/>
        <v>610000</v>
      </c>
      <c r="T268" s="62">
        <f t="shared" si="238"/>
        <v>610000</v>
      </c>
      <c r="U268" s="62">
        <f t="shared" si="238"/>
        <v>610000</v>
      </c>
      <c r="V268" s="62">
        <f t="shared" si="238"/>
        <v>610000</v>
      </c>
      <c r="W268" s="62">
        <f t="shared" si="238"/>
        <v>610000</v>
      </c>
      <c r="X268" s="62">
        <f t="shared" si="238"/>
        <v>610000</v>
      </c>
      <c r="Y268" s="62">
        <f t="shared" si="238"/>
        <v>610000</v>
      </c>
      <c r="Z268" s="62">
        <f t="shared" si="238"/>
        <v>610000</v>
      </c>
      <c r="AA268" s="62">
        <f t="shared" si="238"/>
        <v>610000</v>
      </c>
      <c r="AB268" s="62">
        <f t="shared" si="238"/>
        <v>610000</v>
      </c>
      <c r="AC268" s="62">
        <f t="shared" si="238"/>
        <v>610000</v>
      </c>
    </row>
    <row r="269" spans="1:29" x14ac:dyDescent="0.25">
      <c r="A269" s="30" t="str">
        <f t="shared" ref="A269:AC269" si="239">A251</f>
        <v>Opex maintenance &amp; repair</v>
      </c>
      <c r="B269" s="62">
        <f t="shared" si="239"/>
        <v>1388910.2037228637</v>
      </c>
      <c r="C269" s="62">
        <f t="shared" si="239"/>
        <v>1384161.8820080096</v>
      </c>
      <c r="D269" s="62">
        <f t="shared" si="239"/>
        <v>1377419.9458533253</v>
      </c>
      <c r="E269" s="62">
        <f t="shared" si="239"/>
        <v>1367890.8669573795</v>
      </c>
      <c r="F269" s="62">
        <f t="shared" si="239"/>
        <v>1354512.2121062956</v>
      </c>
      <c r="G269" s="62">
        <f t="shared" si="239"/>
        <v>1335911.0252611889</v>
      </c>
      <c r="H269" s="62">
        <f t="shared" si="239"/>
        <v>1310409.4939683313</v>
      </c>
      <c r="I269" s="62">
        <f t="shared" si="239"/>
        <v>1276138.1685443469</v>
      </c>
      <c r="J269" s="62">
        <f t="shared" si="239"/>
        <v>1231338.9254820407</v>
      </c>
      <c r="K269" s="62">
        <f t="shared" si="239"/>
        <v>1174921.8508999445</v>
      </c>
      <c r="L269" s="62">
        <f t="shared" si="239"/>
        <v>1107222.9808538083</v>
      </c>
      <c r="M269" s="62">
        <f t="shared" si="239"/>
        <v>1030670.8821991365</v>
      </c>
      <c r="N269" s="62">
        <f t="shared" si="239"/>
        <v>949855.14573475695</v>
      </c>
      <c r="O269" s="62">
        <f t="shared" si="239"/>
        <v>870629.71180240111</v>
      </c>
      <c r="P269" s="62">
        <f t="shared" si="239"/>
        <v>798509.16855274222</v>
      </c>
      <c r="Q269" s="62">
        <f t="shared" si="239"/>
        <v>737216.97695338901</v>
      </c>
      <c r="R269" s="62">
        <f t="shared" si="239"/>
        <v>688132.90829190495</v>
      </c>
      <c r="S269" s="62">
        <f t="shared" si="239"/>
        <v>650679.58539676399</v>
      </c>
      <c r="T269" s="62">
        <f t="shared" si="239"/>
        <v>623148.38930799719</v>
      </c>
      <c r="U269" s="62">
        <f t="shared" si="239"/>
        <v>603463.98238910188</v>
      </c>
      <c r="V269" s="62">
        <f t="shared" si="239"/>
        <v>589668.12012529059</v>
      </c>
      <c r="W269" s="62">
        <f t="shared" si="239"/>
        <v>580134.33134103287</v>
      </c>
      <c r="X269" s="62">
        <f t="shared" si="239"/>
        <v>573609.8845890474</v>
      </c>
      <c r="Y269" s="62">
        <f t="shared" si="239"/>
        <v>569174.682073851</v>
      </c>
      <c r="Z269" s="62">
        <f t="shared" si="239"/>
        <v>566173.42988411163</v>
      </c>
      <c r="AA269" s="62">
        <f t="shared" si="239"/>
        <v>564148.78202354477</v>
      </c>
      <c r="AB269" s="62">
        <f t="shared" si="239"/>
        <v>562785.79914140829</v>
      </c>
      <c r="AC269" s="62">
        <f t="shared" si="239"/>
        <v>561869.53442032111</v>
      </c>
    </row>
    <row r="270" spans="1:29" x14ac:dyDescent="0.25">
      <c r="A270" s="30" t="str">
        <f>A252</f>
        <v>Opex var (mode-fees, shunting)</v>
      </c>
      <c r="B270" s="62">
        <f>B252*B261</f>
        <v>650000</v>
      </c>
      <c r="C270" s="62">
        <f t="shared" ref="C270:AC270" si="240">C252*C261</f>
        <v>650000</v>
      </c>
      <c r="D270" s="62">
        <f t="shared" si="240"/>
        <v>650000</v>
      </c>
      <c r="E270" s="62">
        <f t="shared" si="240"/>
        <v>650000</v>
      </c>
      <c r="F270" s="62">
        <f t="shared" si="240"/>
        <v>650000</v>
      </c>
      <c r="G270" s="62">
        <f t="shared" si="240"/>
        <v>650000</v>
      </c>
      <c r="H270" s="62">
        <f t="shared" si="240"/>
        <v>650000</v>
      </c>
      <c r="I270" s="62">
        <f t="shared" si="240"/>
        <v>650000</v>
      </c>
      <c r="J270" s="62">
        <f t="shared" si="240"/>
        <v>650000</v>
      </c>
      <c r="K270" s="62">
        <f t="shared" si="240"/>
        <v>650000</v>
      </c>
      <c r="L270" s="62">
        <f t="shared" si="240"/>
        <v>650000</v>
      </c>
      <c r="M270" s="62">
        <f t="shared" si="240"/>
        <v>650000</v>
      </c>
      <c r="N270" s="62">
        <f t="shared" si="240"/>
        <v>650000</v>
      </c>
      <c r="O270" s="62">
        <f t="shared" si="240"/>
        <v>650000</v>
      </c>
      <c r="P270" s="62">
        <f t="shared" si="240"/>
        <v>650000</v>
      </c>
      <c r="Q270" s="62">
        <f t="shared" si="240"/>
        <v>650000</v>
      </c>
      <c r="R270" s="62">
        <f t="shared" si="240"/>
        <v>650000</v>
      </c>
      <c r="S270" s="62">
        <f t="shared" si="240"/>
        <v>650000</v>
      </c>
      <c r="T270" s="62">
        <f t="shared" si="240"/>
        <v>650000</v>
      </c>
      <c r="U270" s="62">
        <f t="shared" si="240"/>
        <v>650000</v>
      </c>
      <c r="V270" s="62">
        <f t="shared" si="240"/>
        <v>650000</v>
      </c>
      <c r="W270" s="62">
        <f t="shared" si="240"/>
        <v>650000</v>
      </c>
      <c r="X270" s="62">
        <f t="shared" si="240"/>
        <v>650000</v>
      </c>
      <c r="Y270" s="62">
        <f t="shared" si="240"/>
        <v>650000</v>
      </c>
      <c r="Z270" s="62">
        <f t="shared" si="240"/>
        <v>650000</v>
      </c>
      <c r="AA270" s="62">
        <f t="shared" si="240"/>
        <v>650000</v>
      </c>
      <c r="AB270" s="62">
        <f t="shared" si="240"/>
        <v>650000</v>
      </c>
      <c r="AC270" s="62">
        <f t="shared" si="240"/>
        <v>650000</v>
      </c>
    </row>
    <row r="271" spans="1:29" x14ac:dyDescent="0.25">
      <c r="A271" s="30" t="str">
        <f>A254</f>
        <v>Fuel Cost</v>
      </c>
      <c r="B271" s="62">
        <f>B253*B254*B261</f>
        <v>2198007.7097748476</v>
      </c>
      <c r="C271" s="62">
        <f t="shared" ref="C271:AC271" si="241">C253*C254*C261</f>
        <v>2188966.344853437</v>
      </c>
      <c r="D271" s="62">
        <f t="shared" si="241"/>
        <v>2176150.2571359598</v>
      </c>
      <c r="E271" s="62">
        <f t="shared" si="241"/>
        <v>2158078.6890399111</v>
      </c>
      <c r="F271" s="62">
        <f t="shared" si="241"/>
        <v>2132791.0160247581</v>
      </c>
      <c r="G271" s="62">
        <f t="shared" si="241"/>
        <v>2097795.9502724083</v>
      </c>
      <c r="H271" s="62">
        <f t="shared" si="241"/>
        <v>2050129.0545451115</v>
      </c>
      <c r="I271" s="62">
        <f t="shared" si="241"/>
        <v>1986634.5409192187</v>
      </c>
      <c r="J271" s="62">
        <f t="shared" si="241"/>
        <v>1904611.4133225391</v>
      </c>
      <c r="K271" s="62">
        <f t="shared" si="241"/>
        <v>1802891.2522917814</v>
      </c>
      <c r="L271" s="62">
        <f t="shared" si="241"/>
        <v>1683146.2077096445</v>
      </c>
      <c r="M271" s="62">
        <f t="shared" si="241"/>
        <v>1550785.691663306</v>
      </c>
      <c r="N271" s="62">
        <f t="shared" si="241"/>
        <v>1414559.0155313208</v>
      </c>
      <c r="O271" s="62">
        <f t="shared" si="241"/>
        <v>1284508.1995834436</v>
      </c>
      <c r="P271" s="62">
        <f t="shared" si="241"/>
        <v>1169129.1273181483</v>
      </c>
      <c r="Q271" s="62">
        <f t="shared" si="241"/>
        <v>1073327.4550872648</v>
      </c>
      <c r="R271" s="62">
        <f t="shared" si="241"/>
        <v>998100.91585720517</v>
      </c>
      <c r="S271" s="62">
        <f t="shared" si="241"/>
        <v>941593.17014026793</v>
      </c>
      <c r="T271" s="62">
        <f t="shared" si="241"/>
        <v>900548.62736821966</v>
      </c>
      <c r="U271" s="62">
        <f t="shared" si="241"/>
        <v>871458.57377498294</v>
      </c>
      <c r="V271" s="62">
        <f t="shared" si="241"/>
        <v>851198.06620715652</v>
      </c>
      <c r="W271" s="62">
        <f t="shared" si="241"/>
        <v>837258.12227443152</v>
      </c>
      <c r="X271" s="62">
        <f t="shared" si="241"/>
        <v>827747.20510321483</v>
      </c>
      <c r="Y271" s="62">
        <f t="shared" si="241"/>
        <v>821295.25258546346</v>
      </c>
      <c r="Z271" s="62">
        <f t="shared" si="241"/>
        <v>816935.44045804988</v>
      </c>
      <c r="AA271" s="62">
        <f t="shared" si="241"/>
        <v>813997.1116641328</v>
      </c>
      <c r="AB271" s="62">
        <f t="shared" si="241"/>
        <v>812020.31611280167</v>
      </c>
      <c r="AC271" s="62">
        <f t="shared" si="241"/>
        <v>810691.99174469069</v>
      </c>
    </row>
    <row r="272" spans="1:29" ht="15.75" thickBot="1" x14ac:dyDescent="0.3">
      <c r="A272" s="59" t="str">
        <f>A235</f>
        <v>Emission Cost</v>
      </c>
      <c r="B272" s="62">
        <f>B255*B261</f>
        <v>31384.562809326046</v>
      </c>
      <c r="C272" s="62">
        <f t="shared" ref="C272:AC272" si="242">C255*C261</f>
        <v>31354.677058629841</v>
      </c>
      <c r="D272" s="62">
        <f t="shared" si="242"/>
        <v>31311.896272159654</v>
      </c>
      <c r="E272" s="62">
        <f t="shared" si="242"/>
        <v>31250.695348634654</v>
      </c>
      <c r="F272" s="62">
        <f t="shared" si="242"/>
        <v>31163.225724263175</v>
      </c>
      <c r="G272" s="62">
        <f t="shared" si="242"/>
        <v>31038.387667315357</v>
      </c>
      <c r="H272" s="62">
        <f t="shared" si="242"/>
        <v>30860.587648093915</v>
      </c>
      <c r="I272" s="62">
        <f t="shared" si="242"/>
        <v>30608.137108750165</v>
      </c>
      <c r="J272" s="62">
        <f t="shared" si="242"/>
        <v>30251.322530335729</v>
      </c>
      <c r="K272" s="62">
        <f t="shared" si="242"/>
        <v>29750.36129971009</v>
      </c>
      <c r="L272" s="62">
        <f t="shared" si="242"/>
        <v>29053.843334582445</v>
      </c>
      <c r="M272" s="62">
        <f t="shared" si="242"/>
        <v>28098.943261181339</v>
      </c>
      <c r="N272" s="62">
        <f t="shared" si="242"/>
        <v>26815.659885485329</v>
      </c>
      <c r="O272" s="62">
        <f t="shared" si="242"/>
        <v>25138.160601334832</v>
      </c>
      <c r="P272" s="62">
        <f t="shared" si="242"/>
        <v>23025.633787127095</v>
      </c>
      <c r="Q272" s="62">
        <f t="shared" si="242"/>
        <v>20490.662250169502</v>
      </c>
      <c r="R272" s="62">
        <f t="shared" si="242"/>
        <v>17624.183222503099</v>
      </c>
      <c r="S272" s="62">
        <f t="shared" si="242"/>
        <v>14598.053073863191</v>
      </c>
      <c r="T272" s="62">
        <f t="shared" si="242"/>
        <v>11631.47150633083</v>
      </c>
      <c r="U272" s="62">
        <f t="shared" si="242"/>
        <v>8930.9312426128126</v>
      </c>
      <c r="V272" s="62">
        <f t="shared" si="242"/>
        <v>6635.8565827813327</v>
      </c>
      <c r="W272" s="62">
        <f t="shared" si="242"/>
        <v>4797.9128048403027</v>
      </c>
      <c r="X272" s="62">
        <f t="shared" si="242"/>
        <v>3395.4801285052108</v>
      </c>
      <c r="Y272" s="62">
        <f t="shared" si="242"/>
        <v>2364.579636135687</v>
      </c>
      <c r="Z272" s="62">
        <f t="shared" si="242"/>
        <v>1627.5006977828805</v>
      </c>
      <c r="AA272" s="62">
        <f t="shared" si="242"/>
        <v>1110.9172135575814</v>
      </c>
      <c r="AB272" s="62">
        <f t="shared" si="242"/>
        <v>753.92627425551336</v>
      </c>
      <c r="AC272" s="62">
        <f t="shared" si="242"/>
        <v>509.61958495025141</v>
      </c>
    </row>
    <row r="273" spans="1:29" ht="15.75" thickBot="1" x14ac:dyDescent="0.3">
      <c r="A273" s="31" t="s">
        <v>209</v>
      </c>
      <c r="B273" s="64">
        <f>B264+B265+B266+B267+B268+B269+B270+B271+B272</f>
        <v>5892780.6343532074</v>
      </c>
      <c r="C273" s="64">
        <f t="shared" ref="C273:AC273" si="243">C264+C265+C266+C267+C268+C269+C270+C271+C272</f>
        <v>5875954.7762721181</v>
      </c>
      <c r="D273" s="64">
        <f t="shared" si="243"/>
        <v>5852085.4768842543</v>
      </c>
      <c r="E273" s="64">
        <f t="shared" si="243"/>
        <v>5818390.5218451181</v>
      </c>
      <c r="F273" s="64">
        <f t="shared" si="243"/>
        <v>5771166.3507992225</v>
      </c>
      <c r="G273" s="64">
        <f t="shared" si="243"/>
        <v>5705668.3660621522</v>
      </c>
      <c r="H273" s="64">
        <f t="shared" si="243"/>
        <v>5616176.4578099269</v>
      </c>
      <c r="I273" s="64">
        <f t="shared" si="243"/>
        <v>5496460.1027718866</v>
      </c>
      <c r="J273" s="64">
        <f t="shared" si="243"/>
        <v>5340917.3542349143</v>
      </c>
      <c r="K273" s="64">
        <f t="shared" si="243"/>
        <v>5146560.0434800573</v>
      </c>
      <c r="L273" s="64">
        <f t="shared" si="243"/>
        <v>4915557.6995103285</v>
      </c>
      <c r="M273" s="64">
        <f t="shared" si="243"/>
        <v>4657223.0645908928</v>
      </c>
      <c r="N273" s="64">
        <f t="shared" si="243"/>
        <v>4387730.8287373204</v>
      </c>
      <c r="O273" s="64">
        <f t="shared" si="243"/>
        <v>4126617.4014919642</v>
      </c>
      <c r="P273" s="64">
        <f t="shared" si="243"/>
        <v>3891343.8717412269</v>
      </c>
      <c r="Q273" s="64">
        <f t="shared" si="243"/>
        <v>3692909.3593723038</v>
      </c>
      <c r="R273" s="64">
        <f t="shared" si="243"/>
        <v>3534655.8748777076</v>
      </c>
      <c r="S273" s="64">
        <f t="shared" si="243"/>
        <v>3413956.0054980186</v>
      </c>
      <c r="T273" s="64">
        <f t="shared" si="243"/>
        <v>3324982.9704057947</v>
      </c>
      <c r="U273" s="64">
        <f t="shared" si="243"/>
        <v>3261045.2608095719</v>
      </c>
      <c r="V273" s="64">
        <f t="shared" si="243"/>
        <v>3215959.2979235044</v>
      </c>
      <c r="W273" s="64">
        <f t="shared" si="243"/>
        <v>3184611.5323524554</v>
      </c>
      <c r="X273" s="64">
        <f t="shared" si="243"/>
        <v>3163042.9392082701</v>
      </c>
      <c r="Y273" s="64">
        <f t="shared" si="243"/>
        <v>3148316.8418794065</v>
      </c>
      <c r="Z273" s="64">
        <f t="shared" si="243"/>
        <v>3138318.5279816585</v>
      </c>
      <c r="AA273" s="64">
        <f t="shared" si="243"/>
        <v>3131557.1107438761</v>
      </c>
      <c r="AB273" s="64">
        <f t="shared" si="243"/>
        <v>3126997.401539736</v>
      </c>
      <c r="AC273" s="64">
        <f t="shared" si="243"/>
        <v>3123928.3947897237</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44">A264</f>
        <v>Capex vehicle</v>
      </c>
      <c r="B276" s="65">
        <f>((1+B249)^B256)*B249/(((1+B249)^B256)-1)*(B245)/B261</f>
        <v>4.8455990713167774</v>
      </c>
      <c r="C276" s="65">
        <f t="shared" ref="C276:AC276" si="245">((1+C249)^C256)*C249/(((1+C249)^C256)-1)*(C245)/C261</f>
        <v>4.8290332319773173</v>
      </c>
      <c r="D276" s="65">
        <f t="shared" si="245"/>
        <v>4.8055121148579749</v>
      </c>
      <c r="E276" s="65">
        <f t="shared" si="245"/>
        <v>4.7722672760448299</v>
      </c>
      <c r="F276" s="65">
        <f t="shared" si="245"/>
        <v>4.7255921221377486</v>
      </c>
      <c r="G276" s="65">
        <f t="shared" si="245"/>
        <v>4.6606967146013627</v>
      </c>
      <c r="H276" s="65">
        <f t="shared" si="245"/>
        <v>4.571727538611003</v>
      </c>
      <c r="I276" s="65">
        <f t="shared" si="245"/>
        <v>4.4521624996314282</v>
      </c>
      <c r="J276" s="65">
        <f t="shared" si="245"/>
        <v>4.2958678954183256</v>
      </c>
      <c r="K276" s="65">
        <f t="shared" si="245"/>
        <v>4.0990412586288079</v>
      </c>
      <c r="L276" s="65">
        <f t="shared" si="245"/>
        <v>3.8628549443908802</v>
      </c>
      <c r="M276" s="65">
        <f t="shared" si="245"/>
        <v>3.5957816828120173</v>
      </c>
      <c r="N276" s="65">
        <f t="shared" si="245"/>
        <v>3.3138335363372309</v>
      </c>
      <c r="O276" s="65">
        <f t="shared" si="245"/>
        <v>3.0374336020158523</v>
      </c>
      <c r="P276" s="65">
        <f t="shared" si="245"/>
        <v>2.7858210525099958</v>
      </c>
      <c r="Q276" s="65">
        <f t="shared" si="245"/>
        <v>2.5719862157460938</v>
      </c>
      <c r="R276" s="65">
        <f t="shared" si="245"/>
        <v>2.4007428071477408</v>
      </c>
      <c r="S276" s="65">
        <f t="shared" si="245"/>
        <v>2.2700764860623535</v>
      </c>
      <c r="T276" s="65">
        <f t="shared" si="245"/>
        <v>2.1740262606104945</v>
      </c>
      <c r="U276" s="65">
        <f t="shared" si="245"/>
        <v>2.1053517389387877</v>
      </c>
      <c r="V276" s="65">
        <f t="shared" si="245"/>
        <v>2.0572210410762808</v>
      </c>
      <c r="W276" s="65">
        <f t="shared" si="245"/>
        <v>2.0239597705093986</v>
      </c>
      <c r="X276" s="65">
        <f t="shared" si="245"/>
        <v>2.0011974255877933</v>
      </c>
      <c r="Y276" s="65">
        <f t="shared" si="245"/>
        <v>1.985723989557781</v>
      </c>
      <c r="Z276" s="65">
        <f t="shared" si="245"/>
        <v>1.9752532875754587</v>
      </c>
      <c r="AA276" s="65">
        <f t="shared" si="245"/>
        <v>1.9681897410865572</v>
      </c>
      <c r="AB276" s="65">
        <f t="shared" si="245"/>
        <v>1.9634345966789499</v>
      </c>
      <c r="AC276" s="65">
        <f t="shared" si="245"/>
        <v>1.9602379526700859</v>
      </c>
    </row>
    <row r="277" spans="1:29" x14ac:dyDescent="0.25">
      <c r="A277" s="30" t="str">
        <f t="shared" si="244"/>
        <v>Residual value (vehicle)</v>
      </c>
      <c r="B277" s="66">
        <f>((1+B249)^B256)*B249/(((1+B249)^B256)-1)*(B246)/B261</f>
        <v>-0.24485927589579937</v>
      </c>
      <c r="C277" s="66">
        <f t="shared" ref="C277:AC277" si="246">((1+C249)^C256)*C249/(((1+C249)^C256)-1)*(C246)/C261</f>
        <v>-0.2451353732181237</v>
      </c>
      <c r="D277" s="66">
        <f t="shared" si="246"/>
        <v>-0.24552739183677941</v>
      </c>
      <c r="E277" s="66">
        <f t="shared" si="246"/>
        <v>-0.24608147248366516</v>
      </c>
      <c r="F277" s="66">
        <f t="shared" si="246"/>
        <v>-0.24685939171544985</v>
      </c>
      <c r="G277" s="66">
        <f t="shared" si="246"/>
        <v>-0.24794098184105628</v>
      </c>
      <c r="H277" s="66">
        <f t="shared" si="246"/>
        <v>-0.24942380144089563</v>
      </c>
      <c r="I277" s="66">
        <f t="shared" si="246"/>
        <v>-0.25141655209055519</v>
      </c>
      <c r="J277" s="66">
        <f t="shared" si="246"/>
        <v>-0.25402146216077354</v>
      </c>
      <c r="K277" s="66">
        <f t="shared" si="246"/>
        <v>-0.25730190610726555</v>
      </c>
      <c r="L277" s="66">
        <f t="shared" si="246"/>
        <v>-0.26123834467789769</v>
      </c>
      <c r="M277" s="66">
        <f t="shared" si="246"/>
        <v>-0.26568956570421209</v>
      </c>
      <c r="N277" s="66">
        <f t="shared" si="246"/>
        <v>-0.27038870147879185</v>
      </c>
      <c r="O277" s="66">
        <f t="shared" si="246"/>
        <v>-0.27499536705081479</v>
      </c>
      <c r="P277" s="66">
        <f t="shared" si="246"/>
        <v>-0.27918890954257908</v>
      </c>
      <c r="Q277" s="66">
        <f t="shared" si="246"/>
        <v>-0.28275282348864411</v>
      </c>
      <c r="R277" s="66">
        <f t="shared" si="246"/>
        <v>-0.28560688029861664</v>
      </c>
      <c r="S277" s="66">
        <f t="shared" si="246"/>
        <v>-0.28778465231670641</v>
      </c>
      <c r="T277" s="66">
        <f t="shared" si="246"/>
        <v>-0.28938548940757075</v>
      </c>
      <c r="U277" s="66">
        <f t="shared" si="246"/>
        <v>-0.29053006476876586</v>
      </c>
      <c r="V277" s="66">
        <f t="shared" si="246"/>
        <v>-0.29133224306647432</v>
      </c>
      <c r="W277" s="66">
        <f t="shared" si="246"/>
        <v>-0.29188659757592234</v>
      </c>
      <c r="X277" s="66">
        <f t="shared" si="246"/>
        <v>-0.29226596999128246</v>
      </c>
      <c r="Y277" s="66">
        <f t="shared" si="246"/>
        <v>-0.29252386059178265</v>
      </c>
      <c r="Z277" s="66">
        <f t="shared" si="246"/>
        <v>-0.29269837229148804</v>
      </c>
      <c r="AA277" s="66">
        <f t="shared" si="246"/>
        <v>-0.29281609806630304</v>
      </c>
      <c r="AB277" s="66">
        <f t="shared" si="246"/>
        <v>-0.29289535047309651</v>
      </c>
      <c r="AC277" s="66">
        <f t="shared" si="246"/>
        <v>-0.29294862787324427</v>
      </c>
    </row>
    <row r="278" spans="1:29" x14ac:dyDescent="0.25">
      <c r="A278" s="30" t="str">
        <f t="shared" si="244"/>
        <v>Capex costumization</v>
      </c>
      <c r="B278" s="66">
        <f>((1+B249)^B257)*B249/(((1+B249)^B257)-1)*(B247)/B261</f>
        <v>1.1395907684713287</v>
      </c>
      <c r="C278" s="66">
        <f t="shared" ref="C278:AC278" si="247">((1+C249)^C257)*C249/(((1+C249)^C257)-1)*(C247)/C261</f>
        <v>1.1395907684713287</v>
      </c>
      <c r="D278" s="66">
        <f t="shared" si="247"/>
        <v>1.1395907684713287</v>
      </c>
      <c r="E278" s="66">
        <f t="shared" si="247"/>
        <v>1.1395907684713287</v>
      </c>
      <c r="F278" s="66">
        <f t="shared" si="247"/>
        <v>1.1395907684713287</v>
      </c>
      <c r="G278" s="66">
        <f t="shared" si="247"/>
        <v>1.1395907684713287</v>
      </c>
      <c r="H278" s="66">
        <f t="shared" si="247"/>
        <v>1.1395907684713287</v>
      </c>
      <c r="I278" s="66">
        <f t="shared" si="247"/>
        <v>1.1395907684713287</v>
      </c>
      <c r="J278" s="66">
        <f t="shared" si="247"/>
        <v>1.1395907684713287</v>
      </c>
      <c r="K278" s="66">
        <f t="shared" si="247"/>
        <v>1.1395907684713287</v>
      </c>
      <c r="L278" s="66">
        <f t="shared" si="247"/>
        <v>1.1395907684713287</v>
      </c>
      <c r="M278" s="66">
        <f t="shared" si="247"/>
        <v>1.1395907684713287</v>
      </c>
      <c r="N278" s="66">
        <f t="shared" si="247"/>
        <v>1.1395907684713287</v>
      </c>
      <c r="O278" s="66">
        <f t="shared" si="247"/>
        <v>1.1395907684713287</v>
      </c>
      <c r="P278" s="66">
        <f t="shared" si="247"/>
        <v>1.1395907684713287</v>
      </c>
      <c r="Q278" s="66">
        <f t="shared" si="247"/>
        <v>1.1395907684713287</v>
      </c>
      <c r="R278" s="66">
        <f t="shared" si="247"/>
        <v>1.1395907684713287</v>
      </c>
      <c r="S278" s="66">
        <f t="shared" si="247"/>
        <v>1.1395907684713287</v>
      </c>
      <c r="T278" s="66">
        <f t="shared" si="247"/>
        <v>1.1395907684713287</v>
      </c>
      <c r="U278" s="66">
        <f t="shared" si="247"/>
        <v>1.1395907684713287</v>
      </c>
      <c r="V278" s="66">
        <f t="shared" si="247"/>
        <v>1.1395907684713287</v>
      </c>
      <c r="W278" s="66">
        <f t="shared" si="247"/>
        <v>1.1395907684713287</v>
      </c>
      <c r="X278" s="66">
        <f t="shared" si="247"/>
        <v>1.1395907684713287</v>
      </c>
      <c r="Y278" s="66">
        <f t="shared" si="247"/>
        <v>1.1395907684713287</v>
      </c>
      <c r="Z278" s="66">
        <f t="shared" si="247"/>
        <v>1.1395907684713287</v>
      </c>
      <c r="AA278" s="66">
        <f t="shared" si="247"/>
        <v>1.1395907684713287</v>
      </c>
      <c r="AB278" s="66">
        <f t="shared" si="247"/>
        <v>1.1395907684713287</v>
      </c>
      <c r="AC278" s="66">
        <f t="shared" si="247"/>
        <v>1.1395907684713287</v>
      </c>
    </row>
    <row r="279" spans="1:29" x14ac:dyDescent="0.25">
      <c r="A279" s="30" t="str">
        <f t="shared" si="244"/>
        <v>Residual value (costumization)</v>
      </c>
      <c r="B279" s="66">
        <f>((1+B249)^B257)*B249/(((1+B249)^B257)-1)*(B248)/B261</f>
        <v>-5.6979538423566428E-2</v>
      </c>
      <c r="C279" s="66">
        <f t="shared" ref="C279:AC279" si="248">((1+C249)^C257)*C249/(((1+C249)^C257)-1)*(C248)/C261</f>
        <v>-5.6979538423566428E-2</v>
      </c>
      <c r="D279" s="66">
        <f t="shared" si="248"/>
        <v>-5.6979538423566428E-2</v>
      </c>
      <c r="E279" s="66">
        <f t="shared" si="248"/>
        <v>-5.6979538423566428E-2</v>
      </c>
      <c r="F279" s="66">
        <f t="shared" si="248"/>
        <v>-5.6979538423566428E-2</v>
      </c>
      <c r="G279" s="66">
        <f t="shared" si="248"/>
        <v>-5.6979538423566428E-2</v>
      </c>
      <c r="H279" s="66">
        <f t="shared" si="248"/>
        <v>-5.6979538423566428E-2</v>
      </c>
      <c r="I279" s="66">
        <f t="shared" si="248"/>
        <v>-5.6979538423566428E-2</v>
      </c>
      <c r="J279" s="66">
        <f t="shared" si="248"/>
        <v>-5.6979538423566428E-2</v>
      </c>
      <c r="K279" s="66">
        <f t="shared" si="248"/>
        <v>-5.6979538423566428E-2</v>
      </c>
      <c r="L279" s="66">
        <f t="shared" si="248"/>
        <v>-5.6979538423566428E-2</v>
      </c>
      <c r="M279" s="66">
        <f t="shared" si="248"/>
        <v>-5.6979538423566428E-2</v>
      </c>
      <c r="N279" s="66">
        <f t="shared" si="248"/>
        <v>-5.6979538423566428E-2</v>
      </c>
      <c r="O279" s="66">
        <f t="shared" si="248"/>
        <v>-5.6979538423566428E-2</v>
      </c>
      <c r="P279" s="66">
        <f t="shared" si="248"/>
        <v>-5.6979538423566428E-2</v>
      </c>
      <c r="Q279" s="66">
        <f t="shared" si="248"/>
        <v>-5.6979538423566428E-2</v>
      </c>
      <c r="R279" s="66">
        <f t="shared" si="248"/>
        <v>-5.6979538423566428E-2</v>
      </c>
      <c r="S279" s="66">
        <f t="shared" si="248"/>
        <v>-5.6979538423566428E-2</v>
      </c>
      <c r="T279" s="66">
        <f t="shared" si="248"/>
        <v>-5.6979538423566428E-2</v>
      </c>
      <c r="U279" s="66">
        <f t="shared" si="248"/>
        <v>-5.6979538423566428E-2</v>
      </c>
      <c r="V279" s="66">
        <f t="shared" si="248"/>
        <v>-5.6979538423566428E-2</v>
      </c>
      <c r="W279" s="66">
        <f t="shared" si="248"/>
        <v>-5.6979538423566428E-2</v>
      </c>
      <c r="X279" s="66">
        <f t="shared" si="248"/>
        <v>-5.6979538423566428E-2</v>
      </c>
      <c r="Y279" s="66">
        <f t="shared" si="248"/>
        <v>-5.6979538423566428E-2</v>
      </c>
      <c r="Z279" s="66">
        <f t="shared" si="248"/>
        <v>-5.6979538423566428E-2</v>
      </c>
      <c r="AA279" s="66">
        <f t="shared" si="248"/>
        <v>-5.6979538423566428E-2</v>
      </c>
      <c r="AB279" s="66">
        <f t="shared" si="248"/>
        <v>-5.6979538423566428E-2</v>
      </c>
      <c r="AC279" s="66">
        <f t="shared" si="248"/>
        <v>-5.6979538423566428E-2</v>
      </c>
    </row>
    <row r="280" spans="1:29" x14ac:dyDescent="0.25">
      <c r="A280" s="30" t="str">
        <f t="shared" si="244"/>
        <v>Opex fix (admin, crew, insurance)</v>
      </c>
      <c r="B280" s="66">
        <f>B250/B261</f>
        <v>3.4173669467787113</v>
      </c>
      <c r="C280" s="66">
        <f t="shared" ref="C280:AC280" si="249">C250/C261</f>
        <v>3.4173669467787113</v>
      </c>
      <c r="D280" s="66">
        <f t="shared" si="249"/>
        <v>3.4173669467787113</v>
      </c>
      <c r="E280" s="66">
        <f t="shared" si="249"/>
        <v>3.4173669467787113</v>
      </c>
      <c r="F280" s="66">
        <f t="shared" si="249"/>
        <v>3.4173669467787113</v>
      </c>
      <c r="G280" s="66">
        <f t="shared" si="249"/>
        <v>3.4173669467787113</v>
      </c>
      <c r="H280" s="66">
        <f t="shared" si="249"/>
        <v>3.4173669467787113</v>
      </c>
      <c r="I280" s="66">
        <f t="shared" si="249"/>
        <v>3.4173669467787113</v>
      </c>
      <c r="J280" s="66">
        <f t="shared" si="249"/>
        <v>3.4173669467787113</v>
      </c>
      <c r="K280" s="66">
        <f t="shared" si="249"/>
        <v>3.4173669467787113</v>
      </c>
      <c r="L280" s="66">
        <f t="shared" si="249"/>
        <v>3.4173669467787113</v>
      </c>
      <c r="M280" s="66">
        <f t="shared" si="249"/>
        <v>3.4173669467787113</v>
      </c>
      <c r="N280" s="66">
        <f t="shared" si="249"/>
        <v>3.4173669467787113</v>
      </c>
      <c r="O280" s="66">
        <f t="shared" si="249"/>
        <v>3.4173669467787113</v>
      </c>
      <c r="P280" s="66">
        <f t="shared" si="249"/>
        <v>3.4173669467787113</v>
      </c>
      <c r="Q280" s="66">
        <f t="shared" si="249"/>
        <v>3.4173669467787113</v>
      </c>
      <c r="R280" s="66">
        <f t="shared" si="249"/>
        <v>3.4173669467787113</v>
      </c>
      <c r="S280" s="66">
        <f t="shared" si="249"/>
        <v>3.4173669467787113</v>
      </c>
      <c r="T280" s="66">
        <f t="shared" si="249"/>
        <v>3.4173669467787113</v>
      </c>
      <c r="U280" s="66">
        <f t="shared" si="249"/>
        <v>3.4173669467787113</v>
      </c>
      <c r="V280" s="66">
        <f t="shared" si="249"/>
        <v>3.4173669467787113</v>
      </c>
      <c r="W280" s="66">
        <f t="shared" si="249"/>
        <v>3.4173669467787113</v>
      </c>
      <c r="X280" s="66">
        <f t="shared" si="249"/>
        <v>3.4173669467787113</v>
      </c>
      <c r="Y280" s="66">
        <f t="shared" si="249"/>
        <v>3.4173669467787113</v>
      </c>
      <c r="Z280" s="66">
        <f t="shared" si="249"/>
        <v>3.4173669467787113</v>
      </c>
      <c r="AA280" s="66">
        <f t="shared" si="249"/>
        <v>3.4173669467787113</v>
      </c>
      <c r="AB280" s="66">
        <f t="shared" si="249"/>
        <v>3.4173669467787113</v>
      </c>
      <c r="AC280" s="66">
        <f t="shared" si="249"/>
        <v>3.4173669467787113</v>
      </c>
    </row>
    <row r="281" spans="1:29" x14ac:dyDescent="0.25">
      <c r="A281" s="30" t="str">
        <f t="shared" si="244"/>
        <v>Opex maintenance &amp; repair</v>
      </c>
      <c r="B281" s="66">
        <f>B251/B261</f>
        <v>7.7810095446659027</v>
      </c>
      <c r="C281" s="66">
        <f t="shared" ref="C281:AC281" si="250">C251/C261</f>
        <v>7.7544083025658797</v>
      </c>
      <c r="D281" s="66">
        <f t="shared" si="250"/>
        <v>7.7166383521194692</v>
      </c>
      <c r="E281" s="66">
        <f t="shared" si="250"/>
        <v>7.6632541566239745</v>
      </c>
      <c r="F281" s="66">
        <f t="shared" si="250"/>
        <v>7.5883037092789669</v>
      </c>
      <c r="G281" s="66">
        <f t="shared" si="250"/>
        <v>7.4840953796145033</v>
      </c>
      <c r="H281" s="66">
        <f t="shared" si="250"/>
        <v>7.3412296580858891</v>
      </c>
      <c r="I281" s="66">
        <f t="shared" si="250"/>
        <v>7.1492334372232325</v>
      </c>
      <c r="J281" s="66">
        <f t="shared" si="250"/>
        <v>6.8982572856136732</v>
      </c>
      <c r="K281" s="66">
        <f t="shared" si="250"/>
        <v>6.5821952431369439</v>
      </c>
      <c r="L281" s="66">
        <f t="shared" si="250"/>
        <v>6.202929864727218</v>
      </c>
      <c r="M281" s="66">
        <f t="shared" si="250"/>
        <v>5.7740665669419418</v>
      </c>
      <c r="N281" s="66">
        <f t="shared" si="250"/>
        <v>5.3213173430518594</v>
      </c>
      <c r="O281" s="66">
        <f t="shared" si="250"/>
        <v>4.8774773770442641</v>
      </c>
      <c r="P281" s="66">
        <f t="shared" si="250"/>
        <v>4.4734407201834294</v>
      </c>
      <c r="Q281" s="66">
        <f t="shared" si="250"/>
        <v>4.13006709777809</v>
      </c>
      <c r="R281" s="66">
        <f t="shared" si="250"/>
        <v>3.855086320963053</v>
      </c>
      <c r="S281" s="66">
        <f t="shared" si="250"/>
        <v>3.6452637837353725</v>
      </c>
      <c r="T281" s="66">
        <f t="shared" si="250"/>
        <v>3.4910273910812166</v>
      </c>
      <c r="U281" s="66">
        <f t="shared" si="250"/>
        <v>3.3807506016196185</v>
      </c>
      <c r="V281" s="66">
        <f t="shared" si="250"/>
        <v>3.3034628578447651</v>
      </c>
      <c r="W281" s="66">
        <f t="shared" si="250"/>
        <v>3.2500522764203521</v>
      </c>
      <c r="X281" s="66">
        <f t="shared" si="250"/>
        <v>3.2135007540002656</v>
      </c>
      <c r="Y281" s="66">
        <f t="shared" si="250"/>
        <v>3.188653681086</v>
      </c>
      <c r="Z281" s="66">
        <f t="shared" si="250"/>
        <v>3.1718399433283566</v>
      </c>
      <c r="AA281" s="66">
        <f t="shared" si="250"/>
        <v>3.1604973782831638</v>
      </c>
      <c r="AB281" s="66">
        <f t="shared" si="250"/>
        <v>3.1528616198398223</v>
      </c>
      <c r="AC281" s="66">
        <f t="shared" si="250"/>
        <v>3.1477284841474571</v>
      </c>
    </row>
    <row r="282" spans="1:29" x14ac:dyDescent="0.25">
      <c r="A282" s="30" t="str">
        <f t="shared" si="244"/>
        <v>Opex var (mode-fees, shunting)</v>
      </c>
      <c r="B282" s="66">
        <f>B252*B261/B261</f>
        <v>3.6414565826330532</v>
      </c>
      <c r="C282" s="66">
        <f t="shared" ref="C282:AC282" si="251">C252*C261/C261</f>
        <v>3.6414565826330532</v>
      </c>
      <c r="D282" s="66">
        <f t="shared" si="251"/>
        <v>3.6414565826330532</v>
      </c>
      <c r="E282" s="66">
        <f t="shared" si="251"/>
        <v>3.6414565826330532</v>
      </c>
      <c r="F282" s="66">
        <f t="shared" si="251"/>
        <v>3.6414565826330532</v>
      </c>
      <c r="G282" s="66">
        <f t="shared" si="251"/>
        <v>3.6414565826330532</v>
      </c>
      <c r="H282" s="66">
        <f t="shared" si="251"/>
        <v>3.6414565826330532</v>
      </c>
      <c r="I282" s="66">
        <f t="shared" si="251"/>
        <v>3.6414565826330532</v>
      </c>
      <c r="J282" s="66">
        <f t="shared" si="251"/>
        <v>3.6414565826330532</v>
      </c>
      <c r="K282" s="66">
        <f t="shared" si="251"/>
        <v>3.6414565826330532</v>
      </c>
      <c r="L282" s="66">
        <f t="shared" si="251"/>
        <v>3.6414565826330532</v>
      </c>
      <c r="M282" s="66">
        <f t="shared" si="251"/>
        <v>3.6414565826330532</v>
      </c>
      <c r="N282" s="66">
        <f t="shared" si="251"/>
        <v>3.6414565826330532</v>
      </c>
      <c r="O282" s="66">
        <f t="shared" si="251"/>
        <v>3.6414565826330532</v>
      </c>
      <c r="P282" s="66">
        <f t="shared" si="251"/>
        <v>3.6414565826330532</v>
      </c>
      <c r="Q282" s="66">
        <f t="shared" si="251"/>
        <v>3.6414565826330532</v>
      </c>
      <c r="R282" s="66">
        <f t="shared" si="251"/>
        <v>3.6414565826330532</v>
      </c>
      <c r="S282" s="66">
        <f t="shared" si="251"/>
        <v>3.6414565826330532</v>
      </c>
      <c r="T282" s="66">
        <f t="shared" si="251"/>
        <v>3.6414565826330532</v>
      </c>
      <c r="U282" s="66">
        <f t="shared" si="251"/>
        <v>3.6414565826330532</v>
      </c>
      <c r="V282" s="66">
        <f t="shared" si="251"/>
        <v>3.6414565826330532</v>
      </c>
      <c r="W282" s="66">
        <f t="shared" si="251"/>
        <v>3.6414565826330532</v>
      </c>
      <c r="X282" s="66">
        <f t="shared" si="251"/>
        <v>3.6414565826330532</v>
      </c>
      <c r="Y282" s="66">
        <f t="shared" si="251"/>
        <v>3.6414565826330532</v>
      </c>
      <c r="Z282" s="66">
        <f t="shared" si="251"/>
        <v>3.6414565826330532</v>
      </c>
      <c r="AA282" s="66">
        <f t="shared" si="251"/>
        <v>3.6414565826330532</v>
      </c>
      <c r="AB282" s="66">
        <f t="shared" si="251"/>
        <v>3.6414565826330532</v>
      </c>
      <c r="AC282" s="66">
        <f t="shared" si="251"/>
        <v>3.6414565826330532</v>
      </c>
    </row>
    <row r="283" spans="1:29" x14ac:dyDescent="0.25">
      <c r="A283" s="30" t="str">
        <f t="shared" si="244"/>
        <v>Fuel Cost</v>
      </c>
      <c r="B283" s="66">
        <f>B253*B254*B261/B261</f>
        <v>12.313768682212032</v>
      </c>
      <c r="C283" s="66">
        <f t="shared" ref="C283:AC283" si="252">C253*C254*C261/C261</f>
        <v>12.263116777890403</v>
      </c>
      <c r="D283" s="66">
        <f t="shared" si="252"/>
        <v>12.191317967148235</v>
      </c>
      <c r="E283" s="66">
        <f t="shared" si="252"/>
        <v>12.090076689299222</v>
      </c>
      <c r="F283" s="66">
        <f t="shared" si="252"/>
        <v>11.94840905335999</v>
      </c>
      <c r="G283" s="66">
        <f t="shared" si="252"/>
        <v>11.75235826483142</v>
      </c>
      <c r="H283" s="66">
        <f t="shared" si="252"/>
        <v>11.485316832185498</v>
      </c>
      <c r="I283" s="66">
        <f t="shared" si="252"/>
        <v>11.129605271256127</v>
      </c>
      <c r="J283" s="66">
        <f t="shared" si="252"/>
        <v>10.670091951386773</v>
      </c>
      <c r="K283" s="66">
        <f t="shared" si="252"/>
        <v>10.100231105276086</v>
      </c>
      <c r="L283" s="66">
        <f t="shared" si="252"/>
        <v>9.4293905193817622</v>
      </c>
      <c r="M283" s="66">
        <f t="shared" si="252"/>
        <v>8.6878750233238424</v>
      </c>
      <c r="N283" s="66">
        <f t="shared" si="252"/>
        <v>7.9247003671222451</v>
      </c>
      <c r="O283" s="66">
        <f t="shared" si="252"/>
        <v>7.1961243674142494</v>
      </c>
      <c r="P283" s="66">
        <f t="shared" si="252"/>
        <v>6.5497430101857042</v>
      </c>
      <c r="Q283" s="66">
        <f t="shared" si="252"/>
        <v>6.0130389640743127</v>
      </c>
      <c r="R283" s="66">
        <f t="shared" si="252"/>
        <v>5.5916017695081521</v>
      </c>
      <c r="S283" s="66">
        <f t="shared" si="252"/>
        <v>5.2750317654916969</v>
      </c>
      <c r="T283" s="66">
        <f t="shared" si="252"/>
        <v>5.0450903494017911</v>
      </c>
      <c r="U283" s="66">
        <f t="shared" si="252"/>
        <v>4.8821208614844984</v>
      </c>
      <c r="V283" s="66">
        <f t="shared" si="252"/>
        <v>4.768616617407039</v>
      </c>
      <c r="W283" s="66">
        <f t="shared" si="252"/>
        <v>4.6905216934141825</v>
      </c>
      <c r="X283" s="66">
        <f t="shared" si="252"/>
        <v>4.6372392442757135</v>
      </c>
      <c r="Y283" s="66">
        <f t="shared" si="252"/>
        <v>4.6010938520194031</v>
      </c>
      <c r="Z283" s="66">
        <f t="shared" si="252"/>
        <v>4.5766691342187666</v>
      </c>
      <c r="AA283" s="66">
        <f t="shared" si="252"/>
        <v>4.5602079084825364</v>
      </c>
      <c r="AB283" s="66">
        <f t="shared" si="252"/>
        <v>4.5491334236011296</v>
      </c>
      <c r="AC283" s="66">
        <f t="shared" si="252"/>
        <v>4.5416918305024687</v>
      </c>
    </row>
    <row r="284" spans="1:29" ht="15.75" thickBot="1" x14ac:dyDescent="0.3">
      <c r="A284" s="59" t="str">
        <f t="shared" ref="A284" si="253">A272</f>
        <v>Emission Cost</v>
      </c>
      <c r="B284" s="66">
        <f>B255</f>
        <v>0.17582388128473975</v>
      </c>
      <c r="C284" s="66">
        <f t="shared" ref="C284:AC284" si="254">C255</f>
        <v>0.17565645410997111</v>
      </c>
      <c r="D284" s="66">
        <f t="shared" si="254"/>
        <v>0.17541678583842943</v>
      </c>
      <c r="E284" s="66">
        <f t="shared" si="254"/>
        <v>0.17507392352176276</v>
      </c>
      <c r="F284" s="66">
        <f t="shared" si="254"/>
        <v>0.17458389761491974</v>
      </c>
      <c r="G284" s="66">
        <f t="shared" si="254"/>
        <v>0.17388452474686475</v>
      </c>
      <c r="H284" s="66">
        <f t="shared" si="254"/>
        <v>0.17288844620780905</v>
      </c>
      <c r="I284" s="66">
        <f t="shared" si="254"/>
        <v>0.17147415747198971</v>
      </c>
      <c r="J284" s="66">
        <f t="shared" si="254"/>
        <v>0.16947519624837942</v>
      </c>
      <c r="K284" s="66">
        <f t="shared" si="254"/>
        <v>0.16666869075467838</v>
      </c>
      <c r="L284" s="66">
        <f t="shared" si="254"/>
        <v>0.16276662932539185</v>
      </c>
      <c r="M284" s="66">
        <f t="shared" si="254"/>
        <v>0.15741704908224841</v>
      </c>
      <c r="N284" s="66">
        <f t="shared" si="254"/>
        <v>0.15022778647330717</v>
      </c>
      <c r="O284" s="66">
        <f t="shared" si="254"/>
        <v>0.14083003138002706</v>
      </c>
      <c r="P284" s="66">
        <f t="shared" si="254"/>
        <v>0.12899514726681846</v>
      </c>
      <c r="Q284" s="66">
        <f t="shared" si="254"/>
        <v>0.11479362605136975</v>
      </c>
      <c r="R284" s="66">
        <f t="shared" si="254"/>
        <v>9.8734920014022967E-2</v>
      </c>
      <c r="S284" s="66">
        <f t="shared" si="254"/>
        <v>8.1781809937608918E-2</v>
      </c>
      <c r="T284" s="66">
        <f t="shared" si="254"/>
        <v>6.5162305357595693E-2</v>
      </c>
      <c r="U284" s="66">
        <f t="shared" si="254"/>
        <v>5.0033228249931727E-2</v>
      </c>
      <c r="V284" s="66">
        <f t="shared" si="254"/>
        <v>3.7175667130427636E-2</v>
      </c>
      <c r="W284" s="66">
        <f t="shared" si="254"/>
        <v>2.6879063332438669E-2</v>
      </c>
      <c r="X284" s="66">
        <f t="shared" si="254"/>
        <v>1.9022297638684654E-2</v>
      </c>
      <c r="Y284" s="66">
        <f t="shared" si="254"/>
        <v>1.324694474025595E-2</v>
      </c>
      <c r="Z284" s="66">
        <f t="shared" si="254"/>
        <v>9.1176509679713191E-3</v>
      </c>
      <c r="AA284" s="66">
        <f t="shared" si="254"/>
        <v>6.2236258462609606E-3</v>
      </c>
      <c r="AB284" s="66">
        <f t="shared" si="254"/>
        <v>4.2236766064734643E-3</v>
      </c>
      <c r="AC284" s="66">
        <f t="shared" si="254"/>
        <v>2.8550116803935655E-3</v>
      </c>
    </row>
    <row r="285" spans="1:29" ht="15.75" thickBot="1" x14ac:dyDescent="0.3">
      <c r="A285" s="31" t="s">
        <v>63</v>
      </c>
      <c r="B285" s="76">
        <f>B276+B277+B278-B279+B280+B281+B282+B283+B284</f>
        <v>33.126735739890321</v>
      </c>
      <c r="C285" s="76">
        <f t="shared" ref="C285:AC285" si="255">C276+C277+C278-C279+C280+C281+C282+C283+C284</f>
        <v>33.032473229632103</v>
      </c>
      <c r="D285" s="76">
        <f t="shared" si="255"/>
        <v>32.898751664433988</v>
      </c>
      <c r="E285" s="76">
        <f t="shared" si="255"/>
        <v>32.709984409312789</v>
      </c>
      <c r="F285" s="76">
        <f t="shared" si="255"/>
        <v>32.44542322698284</v>
      </c>
      <c r="G285" s="76">
        <f t="shared" si="255"/>
        <v>32.07848773825976</v>
      </c>
      <c r="H285" s="76">
        <f t="shared" si="255"/>
        <v>31.577132509955963</v>
      </c>
      <c r="I285" s="76">
        <f t="shared" si="255"/>
        <v>30.906452649798879</v>
      </c>
      <c r="J285" s="76">
        <f t="shared" si="255"/>
        <v>30.035064702813038</v>
      </c>
      <c r="K285" s="76">
        <f t="shared" si="255"/>
        <v>28.946228227995913</v>
      </c>
      <c r="L285" s="76">
        <f t="shared" si="255"/>
        <v>27.652097449454015</v>
      </c>
      <c r="M285" s="76">
        <f t="shared" si="255"/>
        <v>26.204844592762498</v>
      </c>
      <c r="N285" s="76">
        <f t="shared" si="255"/>
        <v>24.695084167812514</v>
      </c>
      <c r="O285" s="76">
        <f t="shared" si="255"/>
        <v>23.232263847110239</v>
      </c>
      <c r="P285" s="76">
        <f t="shared" si="255"/>
        <v>21.914204856910029</v>
      </c>
      <c r="Q285" s="76">
        <f t="shared" si="255"/>
        <v>20.80252691646788</v>
      </c>
      <c r="R285" s="76">
        <f t="shared" si="255"/>
        <v>19.915952773641013</v>
      </c>
      <c r="S285" s="76">
        <f t="shared" si="255"/>
        <v>19.239763029216988</v>
      </c>
      <c r="T285" s="76">
        <f t="shared" si="255"/>
        <v>18.741314653350187</v>
      </c>
      <c r="U285" s="76">
        <f t="shared" si="255"/>
        <v>18.383120201830728</v>
      </c>
      <c r="V285" s="76">
        <f t="shared" si="255"/>
        <v>18.130537776698695</v>
      </c>
      <c r="W285" s="76">
        <f t="shared" si="255"/>
        <v>17.954920042407107</v>
      </c>
      <c r="X285" s="76">
        <f t="shared" si="255"/>
        <v>17.834087587817834</v>
      </c>
      <c r="Y285" s="76">
        <f t="shared" si="255"/>
        <v>17.751588443118319</v>
      </c>
      <c r="Z285" s="76">
        <f t="shared" si="255"/>
        <v>17.695575480105724</v>
      </c>
      <c r="AA285" s="76">
        <f t="shared" si="255"/>
        <v>17.657696391938874</v>
      </c>
      <c r="AB285" s="76">
        <f t="shared" si="255"/>
        <v>17.632151802559935</v>
      </c>
      <c r="AC285" s="76">
        <f t="shared" si="255"/>
        <v>17.614958487433821</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56">A264</f>
        <v>Capex vehicle</v>
      </c>
      <c r="B288" s="65">
        <f>((1+B249)^B256)*B249/(((1+B249)^B256)-1)*(B245)/B261/(B258)</f>
        <v>2.1632138711235615E-3</v>
      </c>
      <c r="C288" s="65">
        <f t="shared" ref="C288:AC288" si="257">((1+C249)^C256)*C249/(((1+C249)^C256)-1)*(C245)/C261/(C258)</f>
        <v>2.1558184071327311E-3</v>
      </c>
      <c r="D288" s="65">
        <f t="shared" si="257"/>
        <v>2.145317908418739E-3</v>
      </c>
      <c r="E288" s="65">
        <f t="shared" si="257"/>
        <v>2.1304764625200132E-3</v>
      </c>
      <c r="F288" s="65">
        <f t="shared" si="257"/>
        <v>2.1096393402400665E-3</v>
      </c>
      <c r="G288" s="65">
        <f t="shared" si="257"/>
        <v>2.0806681761613224E-3</v>
      </c>
      <c r="H288" s="65">
        <f t="shared" si="257"/>
        <v>2.0409497940227692E-3</v>
      </c>
      <c r="I288" s="65">
        <f t="shared" si="257"/>
        <v>1.9875725444783161E-3</v>
      </c>
      <c r="J288" s="65">
        <f t="shared" si="257"/>
        <v>1.9177981675974668E-3</v>
      </c>
      <c r="K288" s="65">
        <f t="shared" si="257"/>
        <v>1.829929133316432E-3</v>
      </c>
      <c r="L288" s="65">
        <f t="shared" si="257"/>
        <v>1.7244888144602143E-3</v>
      </c>
      <c r="M288" s="65">
        <f t="shared" si="257"/>
        <v>1.6052596798267933E-3</v>
      </c>
      <c r="N288" s="65">
        <f t="shared" si="257"/>
        <v>1.479389971579121E-3</v>
      </c>
      <c r="O288" s="65">
        <f t="shared" si="257"/>
        <v>1.3559971437570768E-3</v>
      </c>
      <c r="P288" s="65">
        <f t="shared" si="257"/>
        <v>1.2436701127276767E-3</v>
      </c>
      <c r="Q288" s="65">
        <f t="shared" si="257"/>
        <v>1.1482081320295062E-3</v>
      </c>
      <c r="R288" s="65">
        <f t="shared" si="257"/>
        <v>1.0717601817623844E-3</v>
      </c>
      <c r="S288" s="65">
        <f t="shared" si="257"/>
        <v>1.0134270027064077E-3</v>
      </c>
      <c r="T288" s="65">
        <f t="shared" si="257"/>
        <v>9.7054743777254216E-4</v>
      </c>
      <c r="U288" s="65">
        <f t="shared" si="257"/>
        <v>9.3988916916910165E-4</v>
      </c>
      <c r="V288" s="65">
        <f t="shared" si="257"/>
        <v>9.1840225048048251E-4</v>
      </c>
      <c r="W288" s="65">
        <f t="shared" si="257"/>
        <v>9.0355346897741005E-4</v>
      </c>
      <c r="X288" s="65">
        <f t="shared" si="257"/>
        <v>8.9339170785169349E-4</v>
      </c>
      <c r="Y288" s="65">
        <f t="shared" si="257"/>
        <v>8.8648392390972366E-4</v>
      </c>
      <c r="Z288" s="65">
        <f t="shared" si="257"/>
        <v>8.8180950338190116E-4</v>
      </c>
      <c r="AA288" s="65">
        <f t="shared" si="257"/>
        <v>8.7865613441364158E-4</v>
      </c>
      <c r="AB288" s="65">
        <f t="shared" si="257"/>
        <v>8.7653330208881694E-4</v>
      </c>
      <c r="AC288" s="65">
        <f t="shared" si="257"/>
        <v>8.7510622887057403E-4</v>
      </c>
    </row>
    <row r="289" spans="1:29" x14ac:dyDescent="0.25">
      <c r="A289" s="30" t="str">
        <f t="shared" si="256"/>
        <v>Residual value (vehicle)</v>
      </c>
      <c r="B289" s="68">
        <f>((1+B249)^B256)*B249/(((1+B249)^B256)-1)*(B246)/B261/(B258)</f>
        <v>-1.0931217673919614E-4</v>
      </c>
      <c r="C289" s="68">
        <f t="shared" ref="C289:AC289" si="258">((1+C249)^C256)*C249/(((1+C249)^C256)-1)*(C246)/C261/(C258)</f>
        <v>-1.0943543447237665E-4</v>
      </c>
      <c r="D289" s="68">
        <f t="shared" si="258"/>
        <v>-1.0961044278427652E-4</v>
      </c>
      <c r="E289" s="68">
        <f t="shared" si="258"/>
        <v>-1.0985780021592194E-4</v>
      </c>
      <c r="F289" s="68">
        <f t="shared" si="258"/>
        <v>-1.102050855872544E-4</v>
      </c>
      <c r="G289" s="68">
        <f t="shared" si="258"/>
        <v>-1.1068793832190012E-4</v>
      </c>
      <c r="H289" s="68">
        <f t="shared" si="258"/>
        <v>-1.1134991135754269E-4</v>
      </c>
      <c r="I289" s="68">
        <f t="shared" si="258"/>
        <v>-1.1223953218328357E-4</v>
      </c>
      <c r="J289" s="68">
        <f t="shared" si="258"/>
        <v>-1.1340243846463104E-4</v>
      </c>
      <c r="K289" s="68">
        <f t="shared" si="258"/>
        <v>-1.1486692236931498E-4</v>
      </c>
      <c r="L289" s="68">
        <f t="shared" si="258"/>
        <v>-1.1662426101691861E-4</v>
      </c>
      <c r="M289" s="68">
        <f t="shared" si="258"/>
        <v>-1.1861141326080898E-4</v>
      </c>
      <c r="N289" s="68">
        <f t="shared" si="258"/>
        <v>-1.2070924173160351E-4</v>
      </c>
      <c r="O289" s="68">
        <f t="shared" si="258"/>
        <v>-1.2276578886197088E-4</v>
      </c>
      <c r="P289" s="68">
        <f t="shared" si="258"/>
        <v>-1.2463790604579422E-4</v>
      </c>
      <c r="Q289" s="68">
        <f t="shared" si="258"/>
        <v>-1.2622893905743041E-4</v>
      </c>
      <c r="R289" s="68">
        <f t="shared" si="258"/>
        <v>-1.2750307156188243E-4</v>
      </c>
      <c r="S289" s="68">
        <f t="shared" si="258"/>
        <v>-1.2847529121281536E-4</v>
      </c>
      <c r="T289" s="68">
        <f t="shared" si="258"/>
        <v>-1.2918995062837979E-4</v>
      </c>
      <c r="U289" s="68">
        <f t="shared" si="258"/>
        <v>-1.2970092177177047E-4</v>
      </c>
      <c r="V289" s="68">
        <f t="shared" si="258"/>
        <v>-1.3005903708324747E-4</v>
      </c>
      <c r="W289" s="68">
        <f t="shared" si="258"/>
        <v>-1.3030651677496533E-4</v>
      </c>
      <c r="X289" s="68">
        <f t="shared" si="258"/>
        <v>-1.3047587946039396E-4</v>
      </c>
      <c r="Y289" s="68">
        <f t="shared" si="258"/>
        <v>-1.305910091927601E-4</v>
      </c>
      <c r="Z289" s="68">
        <f t="shared" si="258"/>
        <v>-1.3066891620155716E-4</v>
      </c>
      <c r="AA289" s="68">
        <f t="shared" si="258"/>
        <v>-1.3072147235102815E-4</v>
      </c>
      <c r="AB289" s="68">
        <f t="shared" si="258"/>
        <v>-1.3075685288977524E-4</v>
      </c>
      <c r="AC289" s="68">
        <f t="shared" si="258"/>
        <v>-1.3078063744341263E-4</v>
      </c>
    </row>
    <row r="290" spans="1:29" x14ac:dyDescent="0.25">
      <c r="A290" s="30" t="str">
        <f t="shared" si="256"/>
        <v>Capex costumization</v>
      </c>
      <c r="B290" s="66">
        <f>((1+B249)^B257)*B249/(((1+B249)^B257)-1)*(B247)/B261/(B258)</f>
        <v>5.087458787818432E-4</v>
      </c>
      <c r="C290" s="66">
        <f t="shared" ref="C290:AC290" si="259">((1+C249)^C257)*C249/(((1+C249)^C257)-1)*(C247)/C261/(C258)</f>
        <v>5.087458787818432E-4</v>
      </c>
      <c r="D290" s="66">
        <f t="shared" si="259"/>
        <v>5.087458787818432E-4</v>
      </c>
      <c r="E290" s="66">
        <f t="shared" si="259"/>
        <v>5.087458787818432E-4</v>
      </c>
      <c r="F290" s="66">
        <f t="shared" si="259"/>
        <v>5.087458787818432E-4</v>
      </c>
      <c r="G290" s="66">
        <f t="shared" si="259"/>
        <v>5.087458787818432E-4</v>
      </c>
      <c r="H290" s="66">
        <f t="shared" si="259"/>
        <v>5.087458787818432E-4</v>
      </c>
      <c r="I290" s="66">
        <f t="shared" si="259"/>
        <v>5.087458787818432E-4</v>
      </c>
      <c r="J290" s="66">
        <f t="shared" si="259"/>
        <v>5.087458787818432E-4</v>
      </c>
      <c r="K290" s="66">
        <f t="shared" si="259"/>
        <v>5.087458787818432E-4</v>
      </c>
      <c r="L290" s="66">
        <f t="shared" si="259"/>
        <v>5.087458787818432E-4</v>
      </c>
      <c r="M290" s="66">
        <f t="shared" si="259"/>
        <v>5.087458787818432E-4</v>
      </c>
      <c r="N290" s="66">
        <f t="shared" si="259"/>
        <v>5.087458787818432E-4</v>
      </c>
      <c r="O290" s="66">
        <f t="shared" si="259"/>
        <v>5.087458787818432E-4</v>
      </c>
      <c r="P290" s="66">
        <f t="shared" si="259"/>
        <v>5.087458787818432E-4</v>
      </c>
      <c r="Q290" s="66">
        <f t="shared" si="259"/>
        <v>5.087458787818432E-4</v>
      </c>
      <c r="R290" s="66">
        <f t="shared" si="259"/>
        <v>5.087458787818432E-4</v>
      </c>
      <c r="S290" s="66">
        <f t="shared" si="259"/>
        <v>5.087458787818432E-4</v>
      </c>
      <c r="T290" s="66">
        <f t="shared" si="259"/>
        <v>5.087458787818432E-4</v>
      </c>
      <c r="U290" s="66">
        <f t="shared" si="259"/>
        <v>5.087458787818432E-4</v>
      </c>
      <c r="V290" s="66">
        <f t="shared" si="259"/>
        <v>5.087458787818432E-4</v>
      </c>
      <c r="W290" s="66">
        <f t="shared" si="259"/>
        <v>5.087458787818432E-4</v>
      </c>
      <c r="X290" s="66">
        <f t="shared" si="259"/>
        <v>5.087458787818432E-4</v>
      </c>
      <c r="Y290" s="66">
        <f t="shared" si="259"/>
        <v>5.087458787818432E-4</v>
      </c>
      <c r="Z290" s="66">
        <f t="shared" si="259"/>
        <v>5.087458787818432E-4</v>
      </c>
      <c r="AA290" s="66">
        <f t="shared" si="259"/>
        <v>5.087458787818432E-4</v>
      </c>
      <c r="AB290" s="66">
        <f t="shared" si="259"/>
        <v>5.087458787818432E-4</v>
      </c>
      <c r="AC290" s="66">
        <f t="shared" si="259"/>
        <v>5.087458787818432E-4</v>
      </c>
    </row>
    <row r="291" spans="1:29" x14ac:dyDescent="0.25">
      <c r="A291" s="30" t="str">
        <f t="shared" si="256"/>
        <v>Residual value (costumization)</v>
      </c>
      <c r="B291" s="69">
        <f>((1+B249)^B257)*B249/(((1+B249)^B257)-1)*(B248)/B261/(B258)</f>
        <v>-2.5437293939092156E-5</v>
      </c>
      <c r="C291" s="69">
        <f t="shared" ref="C291:AC291" si="260">((1+C249)^C257)*C249/(((1+C249)^C257)-1)*(C248)/C261/(C258)</f>
        <v>-2.5437293939092156E-5</v>
      </c>
      <c r="D291" s="69">
        <f t="shared" si="260"/>
        <v>-2.5437293939092156E-5</v>
      </c>
      <c r="E291" s="69">
        <f t="shared" si="260"/>
        <v>-2.5437293939092156E-5</v>
      </c>
      <c r="F291" s="69">
        <f t="shared" si="260"/>
        <v>-2.5437293939092156E-5</v>
      </c>
      <c r="G291" s="69">
        <f t="shared" si="260"/>
        <v>-2.5437293939092156E-5</v>
      </c>
      <c r="H291" s="69">
        <f t="shared" si="260"/>
        <v>-2.5437293939092156E-5</v>
      </c>
      <c r="I291" s="69">
        <f t="shared" si="260"/>
        <v>-2.5437293939092156E-5</v>
      </c>
      <c r="J291" s="69">
        <f t="shared" si="260"/>
        <v>-2.5437293939092156E-5</v>
      </c>
      <c r="K291" s="69">
        <f t="shared" si="260"/>
        <v>-2.5437293939092156E-5</v>
      </c>
      <c r="L291" s="69">
        <f t="shared" si="260"/>
        <v>-2.5437293939092156E-5</v>
      </c>
      <c r="M291" s="69">
        <f t="shared" si="260"/>
        <v>-2.5437293939092156E-5</v>
      </c>
      <c r="N291" s="69">
        <f t="shared" si="260"/>
        <v>-2.5437293939092156E-5</v>
      </c>
      <c r="O291" s="69">
        <f t="shared" si="260"/>
        <v>-2.5437293939092156E-5</v>
      </c>
      <c r="P291" s="69">
        <f t="shared" si="260"/>
        <v>-2.5437293939092156E-5</v>
      </c>
      <c r="Q291" s="69">
        <f t="shared" si="260"/>
        <v>-2.5437293939092156E-5</v>
      </c>
      <c r="R291" s="69">
        <f t="shared" si="260"/>
        <v>-2.5437293939092156E-5</v>
      </c>
      <c r="S291" s="69">
        <f t="shared" si="260"/>
        <v>-2.5437293939092156E-5</v>
      </c>
      <c r="T291" s="69">
        <f t="shared" si="260"/>
        <v>-2.5437293939092156E-5</v>
      </c>
      <c r="U291" s="69">
        <f t="shared" si="260"/>
        <v>-2.5437293939092156E-5</v>
      </c>
      <c r="V291" s="69">
        <f t="shared" si="260"/>
        <v>-2.5437293939092156E-5</v>
      </c>
      <c r="W291" s="69">
        <f t="shared" si="260"/>
        <v>-2.5437293939092156E-5</v>
      </c>
      <c r="X291" s="69">
        <f t="shared" si="260"/>
        <v>-2.5437293939092156E-5</v>
      </c>
      <c r="Y291" s="69">
        <f t="shared" si="260"/>
        <v>-2.5437293939092156E-5</v>
      </c>
      <c r="Z291" s="69">
        <f t="shared" si="260"/>
        <v>-2.5437293939092156E-5</v>
      </c>
      <c r="AA291" s="69">
        <f t="shared" si="260"/>
        <v>-2.5437293939092156E-5</v>
      </c>
      <c r="AB291" s="69">
        <f t="shared" si="260"/>
        <v>-2.5437293939092156E-5</v>
      </c>
      <c r="AC291" s="69">
        <f t="shared" si="260"/>
        <v>-2.5437293939092156E-5</v>
      </c>
    </row>
    <row r="292" spans="1:29" x14ac:dyDescent="0.25">
      <c r="A292" s="30" t="str">
        <f t="shared" si="256"/>
        <v>Opex fix (admin, crew, insurance)</v>
      </c>
      <c r="B292" s="66">
        <f>B250/B261/(B258)</f>
        <v>1.525610244097639E-3</v>
      </c>
      <c r="C292" s="66">
        <f t="shared" ref="C292:AC292" si="261">C250/C261/(C258)</f>
        <v>1.525610244097639E-3</v>
      </c>
      <c r="D292" s="66">
        <f t="shared" si="261"/>
        <v>1.525610244097639E-3</v>
      </c>
      <c r="E292" s="66">
        <f t="shared" si="261"/>
        <v>1.525610244097639E-3</v>
      </c>
      <c r="F292" s="66">
        <f t="shared" si="261"/>
        <v>1.525610244097639E-3</v>
      </c>
      <c r="G292" s="66">
        <f t="shared" si="261"/>
        <v>1.525610244097639E-3</v>
      </c>
      <c r="H292" s="66">
        <f t="shared" si="261"/>
        <v>1.525610244097639E-3</v>
      </c>
      <c r="I292" s="66">
        <f t="shared" si="261"/>
        <v>1.525610244097639E-3</v>
      </c>
      <c r="J292" s="66">
        <f t="shared" si="261"/>
        <v>1.525610244097639E-3</v>
      </c>
      <c r="K292" s="66">
        <f t="shared" si="261"/>
        <v>1.525610244097639E-3</v>
      </c>
      <c r="L292" s="66">
        <f t="shared" si="261"/>
        <v>1.525610244097639E-3</v>
      </c>
      <c r="M292" s="66">
        <f t="shared" si="261"/>
        <v>1.525610244097639E-3</v>
      </c>
      <c r="N292" s="66">
        <f t="shared" si="261"/>
        <v>1.525610244097639E-3</v>
      </c>
      <c r="O292" s="66">
        <f t="shared" si="261"/>
        <v>1.525610244097639E-3</v>
      </c>
      <c r="P292" s="66">
        <f t="shared" si="261"/>
        <v>1.525610244097639E-3</v>
      </c>
      <c r="Q292" s="66">
        <f t="shared" si="261"/>
        <v>1.525610244097639E-3</v>
      </c>
      <c r="R292" s="66">
        <f t="shared" si="261"/>
        <v>1.525610244097639E-3</v>
      </c>
      <c r="S292" s="66">
        <f t="shared" si="261"/>
        <v>1.525610244097639E-3</v>
      </c>
      <c r="T292" s="66">
        <f t="shared" si="261"/>
        <v>1.525610244097639E-3</v>
      </c>
      <c r="U292" s="66">
        <f t="shared" si="261"/>
        <v>1.525610244097639E-3</v>
      </c>
      <c r="V292" s="66">
        <f t="shared" si="261"/>
        <v>1.525610244097639E-3</v>
      </c>
      <c r="W292" s="66">
        <f t="shared" si="261"/>
        <v>1.525610244097639E-3</v>
      </c>
      <c r="X292" s="66">
        <f t="shared" si="261"/>
        <v>1.525610244097639E-3</v>
      </c>
      <c r="Y292" s="66">
        <f t="shared" si="261"/>
        <v>1.525610244097639E-3</v>
      </c>
      <c r="Z292" s="66">
        <f t="shared" si="261"/>
        <v>1.525610244097639E-3</v>
      </c>
      <c r="AA292" s="66">
        <f t="shared" si="261"/>
        <v>1.525610244097639E-3</v>
      </c>
      <c r="AB292" s="66">
        <f t="shared" si="261"/>
        <v>1.525610244097639E-3</v>
      </c>
      <c r="AC292" s="66">
        <f t="shared" si="261"/>
        <v>1.525610244097639E-3</v>
      </c>
    </row>
    <row r="293" spans="1:29" x14ac:dyDescent="0.25">
      <c r="A293" s="30" t="str">
        <f t="shared" si="256"/>
        <v>Opex maintenance &amp; repair</v>
      </c>
      <c r="B293" s="66">
        <f>B251/B261/(B258)</f>
        <v>3.4736649752972778E-3</v>
      </c>
      <c r="C293" s="66">
        <f t="shared" ref="C293:AC293" si="262">C251/C261/(C258)</f>
        <v>3.4617894207883393E-3</v>
      </c>
      <c r="D293" s="66">
        <f t="shared" si="262"/>
        <v>3.44492783576762E-3</v>
      </c>
      <c r="E293" s="66">
        <f t="shared" si="262"/>
        <v>3.4210956056357029E-3</v>
      </c>
      <c r="F293" s="66">
        <f t="shared" si="262"/>
        <v>3.387635584499539E-3</v>
      </c>
      <c r="G293" s="66">
        <f t="shared" si="262"/>
        <v>3.3411140087564748E-3</v>
      </c>
      <c r="H293" s="66">
        <f t="shared" si="262"/>
        <v>3.2773346687883435E-3</v>
      </c>
      <c r="I293" s="66">
        <f t="shared" si="262"/>
        <v>3.1916220701889431E-3</v>
      </c>
      <c r="J293" s="66">
        <f t="shared" si="262"/>
        <v>3.0795791453632469E-3</v>
      </c>
      <c r="K293" s="66">
        <f t="shared" si="262"/>
        <v>2.9384800192575641E-3</v>
      </c>
      <c r="L293" s="66">
        <f t="shared" si="262"/>
        <v>2.7691651181817939E-3</v>
      </c>
      <c r="M293" s="66">
        <f t="shared" si="262"/>
        <v>2.5777082888133671E-3</v>
      </c>
      <c r="N293" s="66">
        <f t="shared" si="262"/>
        <v>2.3755880995767228E-3</v>
      </c>
      <c r="O293" s="66">
        <f t="shared" si="262"/>
        <v>2.1774452576090466E-3</v>
      </c>
      <c r="P293" s="66">
        <f t="shared" si="262"/>
        <v>1.9970717500818881E-3</v>
      </c>
      <c r="Q293" s="66">
        <f t="shared" si="262"/>
        <v>1.8437799543652188E-3</v>
      </c>
      <c r="R293" s="66">
        <f t="shared" si="262"/>
        <v>1.7210206790013629E-3</v>
      </c>
      <c r="S293" s="66">
        <f t="shared" si="262"/>
        <v>1.6273499034532913E-3</v>
      </c>
      <c r="T293" s="66">
        <f t="shared" si="262"/>
        <v>1.5584943710184004E-3</v>
      </c>
      <c r="U293" s="66">
        <f t="shared" si="262"/>
        <v>1.5092636614373297E-3</v>
      </c>
      <c r="V293" s="66">
        <f t="shared" si="262"/>
        <v>1.4747602043949845E-3</v>
      </c>
      <c r="W293" s="66">
        <f t="shared" si="262"/>
        <v>1.4509161948305144E-3</v>
      </c>
      <c r="X293" s="66">
        <f t="shared" si="262"/>
        <v>1.4345985508929758E-3</v>
      </c>
      <c r="Y293" s="66">
        <f t="shared" si="262"/>
        <v>1.4235061076276786E-3</v>
      </c>
      <c r="Z293" s="66">
        <f t="shared" si="262"/>
        <v>1.4159999747001592E-3</v>
      </c>
      <c r="AA293" s="66">
        <f t="shared" si="262"/>
        <v>1.4109363295906981E-3</v>
      </c>
      <c r="AB293" s="66">
        <f t="shared" si="262"/>
        <v>1.4075275088570635E-3</v>
      </c>
      <c r="AC293" s="66">
        <f t="shared" si="262"/>
        <v>1.4052359304229719E-3</v>
      </c>
    </row>
    <row r="294" spans="1:29" x14ac:dyDescent="0.25">
      <c r="A294" s="30" t="str">
        <f t="shared" si="256"/>
        <v>Opex var (mode-fees, shunting)</v>
      </c>
      <c r="B294" s="66">
        <f>B252*B261/B261/(B258)</f>
        <v>1.6256502601040416E-3</v>
      </c>
      <c r="C294" s="66">
        <f t="shared" ref="C294:AC294" si="263">C252*C261/C261/(C258)</f>
        <v>1.6256502601040416E-3</v>
      </c>
      <c r="D294" s="66">
        <f t="shared" si="263"/>
        <v>1.6256502601040416E-3</v>
      </c>
      <c r="E294" s="66">
        <f t="shared" si="263"/>
        <v>1.6256502601040416E-3</v>
      </c>
      <c r="F294" s="66">
        <f t="shared" si="263"/>
        <v>1.6256502601040416E-3</v>
      </c>
      <c r="G294" s="66">
        <f t="shared" si="263"/>
        <v>1.6256502601040416E-3</v>
      </c>
      <c r="H294" s="66">
        <f t="shared" si="263"/>
        <v>1.6256502601040416E-3</v>
      </c>
      <c r="I294" s="66">
        <f t="shared" si="263"/>
        <v>1.6256502601040416E-3</v>
      </c>
      <c r="J294" s="66">
        <f t="shared" si="263"/>
        <v>1.6256502601040416E-3</v>
      </c>
      <c r="K294" s="66">
        <f t="shared" si="263"/>
        <v>1.6256502601040416E-3</v>
      </c>
      <c r="L294" s="66">
        <f t="shared" si="263"/>
        <v>1.6256502601040416E-3</v>
      </c>
      <c r="M294" s="66">
        <f t="shared" si="263"/>
        <v>1.6256502601040416E-3</v>
      </c>
      <c r="N294" s="66">
        <f t="shared" si="263"/>
        <v>1.6256502601040416E-3</v>
      </c>
      <c r="O294" s="66">
        <f t="shared" si="263"/>
        <v>1.6256502601040416E-3</v>
      </c>
      <c r="P294" s="66">
        <f t="shared" si="263"/>
        <v>1.6256502601040416E-3</v>
      </c>
      <c r="Q294" s="66">
        <f t="shared" si="263"/>
        <v>1.6256502601040416E-3</v>
      </c>
      <c r="R294" s="66">
        <f t="shared" si="263"/>
        <v>1.6256502601040416E-3</v>
      </c>
      <c r="S294" s="66">
        <f t="shared" si="263"/>
        <v>1.6256502601040416E-3</v>
      </c>
      <c r="T294" s="66">
        <f t="shared" si="263"/>
        <v>1.6256502601040416E-3</v>
      </c>
      <c r="U294" s="66">
        <f t="shared" si="263"/>
        <v>1.6256502601040416E-3</v>
      </c>
      <c r="V294" s="66">
        <f t="shared" si="263"/>
        <v>1.6256502601040416E-3</v>
      </c>
      <c r="W294" s="66">
        <f t="shared" si="263"/>
        <v>1.6256502601040416E-3</v>
      </c>
      <c r="X294" s="66">
        <f t="shared" si="263"/>
        <v>1.6256502601040416E-3</v>
      </c>
      <c r="Y294" s="66">
        <f t="shared" si="263"/>
        <v>1.6256502601040416E-3</v>
      </c>
      <c r="Z294" s="66">
        <f t="shared" si="263"/>
        <v>1.6256502601040416E-3</v>
      </c>
      <c r="AA294" s="66">
        <f t="shared" si="263"/>
        <v>1.6256502601040416E-3</v>
      </c>
      <c r="AB294" s="66">
        <f t="shared" si="263"/>
        <v>1.6256502601040416E-3</v>
      </c>
      <c r="AC294" s="66">
        <f t="shared" si="263"/>
        <v>1.6256502601040416E-3</v>
      </c>
    </row>
    <row r="295" spans="1:29" x14ac:dyDescent="0.25">
      <c r="A295" s="30" t="str">
        <f t="shared" si="256"/>
        <v>Fuel Cost</v>
      </c>
      <c r="B295" s="66">
        <f>B253*B254*B261/B261/(B258)</f>
        <v>5.4972181617018003E-3</v>
      </c>
      <c r="C295" s="66">
        <f t="shared" ref="C295:AC295" si="264">C253*C254*C261/C261/(C258)</f>
        <v>5.4746057044153581E-3</v>
      </c>
      <c r="D295" s="66">
        <f t="shared" si="264"/>
        <v>5.4425526639054617E-3</v>
      </c>
      <c r="E295" s="66">
        <f t="shared" si="264"/>
        <v>5.3973556648657245E-3</v>
      </c>
      <c r="F295" s="66">
        <f t="shared" si="264"/>
        <v>5.3341111845357095E-3</v>
      </c>
      <c r="G295" s="66">
        <f t="shared" si="264"/>
        <v>5.2465885110854552E-3</v>
      </c>
      <c r="H295" s="66">
        <f t="shared" si="264"/>
        <v>5.1273735857970976E-3</v>
      </c>
      <c r="I295" s="66">
        <f t="shared" si="264"/>
        <v>4.9685737818107711E-3</v>
      </c>
      <c r="J295" s="66">
        <f t="shared" si="264"/>
        <v>4.7634339068690955E-3</v>
      </c>
      <c r="K295" s="66">
        <f t="shared" si="264"/>
        <v>4.5090317434268237E-3</v>
      </c>
      <c r="L295" s="66">
        <f t="shared" si="264"/>
        <v>4.2095493390097152E-3</v>
      </c>
      <c r="M295" s="66">
        <f t="shared" si="264"/>
        <v>3.8785156354124296E-3</v>
      </c>
      <c r="N295" s="66">
        <f t="shared" si="264"/>
        <v>3.5378126638938596E-3</v>
      </c>
      <c r="O295" s="66">
        <f t="shared" si="264"/>
        <v>3.2125555211670758E-3</v>
      </c>
      <c r="P295" s="66">
        <f t="shared" si="264"/>
        <v>2.9239924152614752E-3</v>
      </c>
      <c r="Q295" s="66">
        <f t="shared" si="264"/>
        <v>2.6843923946760326E-3</v>
      </c>
      <c r="R295" s="66">
        <f t="shared" si="264"/>
        <v>2.4962507899589964E-3</v>
      </c>
      <c r="S295" s="66">
        <f t="shared" si="264"/>
        <v>2.3549248953087932E-3</v>
      </c>
      <c r="T295" s="66">
        <f t="shared" si="264"/>
        <v>2.252272477411514E-3</v>
      </c>
      <c r="U295" s="66">
        <f t="shared" si="264"/>
        <v>2.179518241734151E-3</v>
      </c>
      <c r="V295" s="66">
        <f t="shared" si="264"/>
        <v>2.1288467041995708E-3</v>
      </c>
      <c r="W295" s="66">
        <f t="shared" si="264"/>
        <v>2.0939828988456172E-3</v>
      </c>
      <c r="X295" s="66">
        <f t="shared" si="264"/>
        <v>2.0701960911945149E-3</v>
      </c>
      <c r="Y295" s="66">
        <f t="shared" si="264"/>
        <v>2.0540597553658051E-3</v>
      </c>
      <c r="Z295" s="66">
        <f t="shared" si="264"/>
        <v>2.0431558634905209E-3</v>
      </c>
      <c r="AA295" s="66">
        <f t="shared" si="264"/>
        <v>2.0358071020011325E-3</v>
      </c>
      <c r="AB295" s="66">
        <f t="shared" si="264"/>
        <v>2.0308631355362185E-3</v>
      </c>
      <c r="AC295" s="66">
        <f t="shared" si="264"/>
        <v>2.0275409957600308E-3</v>
      </c>
    </row>
    <row r="296" spans="1:29" x14ac:dyDescent="0.25">
      <c r="A296" s="59" t="str">
        <f>A259</f>
        <v>Market failure (av. utilization)</v>
      </c>
      <c r="B296" s="66">
        <f t="shared" ref="B296:AC296" si="265">B285/B259-B285/B258</f>
        <v>1.9872344263606082E-2</v>
      </c>
      <c r="C296" s="66">
        <f t="shared" si="265"/>
        <v>1.9815797277820596E-2</v>
      </c>
      <c r="D296" s="66">
        <f t="shared" si="265"/>
        <v>1.9735579262983562E-2</v>
      </c>
      <c r="E296" s="66">
        <f t="shared" si="265"/>
        <v>1.9622339977684849E-2</v>
      </c>
      <c r="F296" s="66">
        <f t="shared" si="265"/>
        <v>1.946363279520455E-2</v>
      </c>
      <c r="G296" s="66">
        <f t="shared" si="265"/>
        <v>1.9243512454592212E-2</v>
      </c>
      <c r="H296" s="66">
        <f t="shared" si="265"/>
        <v>1.8942755272434518E-2</v>
      </c>
      <c r="I296" s="66">
        <f t="shared" si="265"/>
        <v>1.8540422209003232E-2</v>
      </c>
      <c r="J296" s="66">
        <f t="shared" si="265"/>
        <v>1.8017686693930814E-2</v>
      </c>
      <c r="K296" s="66">
        <f t="shared" si="265"/>
        <v>1.7364506330968532E-2</v>
      </c>
      <c r="L296" s="66">
        <f t="shared" si="265"/>
        <v>1.6588172298082064E-2</v>
      </c>
      <c r="M296" s="66">
        <f t="shared" si="265"/>
        <v>1.5719982107823487E-2</v>
      </c>
      <c r="N296" s="66">
        <f t="shared" si="265"/>
        <v>1.4814294352900921E-2</v>
      </c>
      <c r="O296" s="66">
        <f t="shared" si="265"/>
        <v>1.3936765421676064E-2</v>
      </c>
      <c r="P296" s="66">
        <f t="shared" si="265"/>
        <v>1.314607713235395E-2</v>
      </c>
      <c r="Q296" s="66">
        <f t="shared" si="265"/>
        <v>1.2479194439287373E-2</v>
      </c>
      <c r="R296" s="66">
        <f t="shared" si="265"/>
        <v>1.1947348901598263E-2</v>
      </c>
      <c r="S296" s="66">
        <f t="shared" si="265"/>
        <v>1.1541710522549254E-2</v>
      </c>
      <c r="T296" s="66">
        <f t="shared" si="265"/>
        <v>1.1242697127428265E-2</v>
      </c>
      <c r="U296" s="66">
        <f t="shared" si="265"/>
        <v>1.1027820433575912E-2</v>
      </c>
      <c r="V296" s="66">
        <f t="shared" si="265"/>
        <v>1.0876299168499495E-2</v>
      </c>
      <c r="W296" s="66">
        <f t="shared" si="265"/>
        <v>1.0770948128118104E-2</v>
      </c>
      <c r="X296" s="66">
        <f t="shared" si="265"/>
        <v>1.0698462141129558E-2</v>
      </c>
      <c r="Y296" s="66">
        <f t="shared" si="265"/>
        <v>1.0648971861803681E-2</v>
      </c>
      <c r="Z296" s="66">
        <f t="shared" si="265"/>
        <v>1.0615370335442888E-2</v>
      </c>
      <c r="AA296" s="66">
        <f t="shared" si="265"/>
        <v>1.059264711011958E-2</v>
      </c>
      <c r="AB296" s="66">
        <f t="shared" si="265"/>
        <v>1.0577323207450853E-2</v>
      </c>
      <c r="AC296" s="66">
        <f t="shared" si="265"/>
        <v>1.0567009137271962E-2</v>
      </c>
    </row>
    <row r="297" spans="1:29" x14ac:dyDescent="0.25">
      <c r="A297" s="59" t="str">
        <f>A260</f>
        <v>Payload loss (fuel)</v>
      </c>
      <c r="B297" s="66">
        <f>B285/(B258-B260)-B285/B258</f>
        <v>2.6888584204456424E-4</v>
      </c>
      <c r="C297" s="66">
        <f t="shared" ref="C297:AC297" si="266">C285/(C258-C260)-C285/C258</f>
        <v>2.6812072426649416E-4</v>
      </c>
      <c r="D297" s="66">
        <f t="shared" si="266"/>
        <v>2.6703532195157358E-4</v>
      </c>
      <c r="E297" s="66">
        <f t="shared" si="266"/>
        <v>2.6550312020546044E-4</v>
      </c>
      <c r="F297" s="66">
        <f t="shared" si="266"/>
        <v>2.6335570801122414E-4</v>
      </c>
      <c r="G297" s="66">
        <f t="shared" si="266"/>
        <v>2.6037733553782236E-4</v>
      </c>
      <c r="H297" s="66">
        <f t="shared" si="266"/>
        <v>2.5630789374964276E-4</v>
      </c>
      <c r="I297" s="66">
        <f t="shared" si="266"/>
        <v>2.5086406371590056E-4</v>
      </c>
      <c r="J297" s="66">
        <f t="shared" si="266"/>
        <v>2.437911096007557E-4</v>
      </c>
      <c r="K297" s="66">
        <f t="shared" si="266"/>
        <v>2.3495315120126634E-4</v>
      </c>
      <c r="L297" s="66">
        <f t="shared" si="266"/>
        <v>2.244488429338793E-4</v>
      </c>
      <c r="M297" s="66">
        <f t="shared" si="266"/>
        <v>2.1270166065553986E-4</v>
      </c>
      <c r="N297" s="66">
        <f t="shared" si="266"/>
        <v>2.0044711175172536E-4</v>
      </c>
      <c r="O297" s="66">
        <f t="shared" si="266"/>
        <v>1.8857357018758208E-4</v>
      </c>
      <c r="P297" s="66">
        <f t="shared" si="266"/>
        <v>1.7787503942297105E-4</v>
      </c>
      <c r="Q297" s="66">
        <f t="shared" si="266"/>
        <v>1.6885167951678423E-4</v>
      </c>
      <c r="R297" s="66">
        <f t="shared" si="266"/>
        <v>1.6165546082500676E-4</v>
      </c>
      <c r="S297" s="66">
        <f t="shared" si="266"/>
        <v>1.5616690770468324E-4</v>
      </c>
      <c r="T297" s="66">
        <f t="shared" si="266"/>
        <v>1.521210604979728E-4</v>
      </c>
      <c r="U297" s="66">
        <f t="shared" si="266"/>
        <v>1.4921363800187229E-4</v>
      </c>
      <c r="V297" s="66">
        <f t="shared" si="266"/>
        <v>1.4716345597969721E-4</v>
      </c>
      <c r="W297" s="66">
        <f t="shared" si="266"/>
        <v>1.4573798735720116E-4</v>
      </c>
      <c r="X297" s="66">
        <f t="shared" si="266"/>
        <v>1.4475720444657308E-4</v>
      </c>
      <c r="Y297" s="66">
        <f t="shared" si="266"/>
        <v>1.4408756853180431E-4</v>
      </c>
      <c r="Z297" s="66">
        <f t="shared" si="266"/>
        <v>1.4363291785800085E-4</v>
      </c>
      <c r="AA297" s="66">
        <f t="shared" si="266"/>
        <v>1.4332545772677632E-4</v>
      </c>
      <c r="AB297" s="66">
        <f t="shared" si="266"/>
        <v>1.4311811528051888E-4</v>
      </c>
      <c r="AC297" s="66">
        <f t="shared" si="266"/>
        <v>1.4297855915124807E-4</v>
      </c>
    </row>
    <row r="298" spans="1:29" ht="15.75" thickBot="1" x14ac:dyDescent="0.3">
      <c r="A298" s="59" t="str">
        <f>A235</f>
        <v>Emission Cost</v>
      </c>
      <c r="B298" s="68">
        <f>B255*B261/B261/(B258)</f>
        <v>7.8492804144973097E-5</v>
      </c>
      <c r="C298" s="68">
        <f t="shared" ref="C298:AC298" si="267">C255*C261/C261/(C258)</f>
        <v>7.8418059870522812E-5</v>
      </c>
      <c r="D298" s="68">
        <f t="shared" si="267"/>
        <v>7.8311065106441712E-5</v>
      </c>
      <c r="E298" s="68">
        <f t="shared" si="267"/>
        <v>7.8158001572215522E-5</v>
      </c>
      <c r="F298" s="68">
        <f t="shared" si="267"/>
        <v>7.7939240006660596E-5</v>
      </c>
      <c r="G298" s="68">
        <f t="shared" si="267"/>
        <v>7.7627019976278912E-5</v>
      </c>
      <c r="H298" s="68">
        <f t="shared" si="267"/>
        <v>7.7182342057057613E-5</v>
      </c>
      <c r="I298" s="68">
        <f t="shared" si="267"/>
        <v>7.6550963157138264E-5</v>
      </c>
      <c r="J298" s="68">
        <f t="shared" si="267"/>
        <v>7.5658569753740809E-5</v>
      </c>
      <c r="K298" s="68">
        <f t="shared" si="267"/>
        <v>7.4405665515481418E-5</v>
      </c>
      <c r="L298" s="68">
        <f t="shared" si="267"/>
        <v>7.2663673805978507E-5</v>
      </c>
      <c r="M298" s="68">
        <f t="shared" si="267"/>
        <v>7.027546834028947E-5</v>
      </c>
      <c r="N298" s="68">
        <f t="shared" si="267"/>
        <v>6.7065976104154992E-5</v>
      </c>
      <c r="O298" s="68">
        <f t="shared" si="267"/>
        <v>6.2870549723226371E-5</v>
      </c>
      <c r="P298" s="68">
        <f t="shared" si="267"/>
        <v>5.7587119315543959E-5</v>
      </c>
      <c r="Q298" s="68">
        <f t="shared" si="267"/>
        <v>5.1247154487218644E-5</v>
      </c>
      <c r="R298" s="68">
        <f t="shared" si="267"/>
        <v>4.4078089291974538E-5</v>
      </c>
      <c r="S298" s="68">
        <f t="shared" si="267"/>
        <v>3.6509736579289694E-5</v>
      </c>
      <c r="T298" s="68">
        <f t="shared" si="267"/>
        <v>2.9090314891783792E-5</v>
      </c>
      <c r="U298" s="68">
        <f t="shared" si="267"/>
        <v>2.2336262611576661E-5</v>
      </c>
      <c r="V298" s="68">
        <f t="shared" si="267"/>
        <v>1.6596279968940909E-5</v>
      </c>
      <c r="W298" s="68">
        <f t="shared" si="267"/>
        <v>1.1999581844838692E-5</v>
      </c>
      <c r="X298" s="68">
        <f t="shared" si="267"/>
        <v>8.4920971601270772E-6</v>
      </c>
      <c r="Y298" s="68">
        <f t="shared" si="267"/>
        <v>5.9138146161856922E-6</v>
      </c>
      <c r="Z298" s="68">
        <f t="shared" si="267"/>
        <v>4.0703798964157678E-6</v>
      </c>
      <c r="AA298" s="68">
        <f t="shared" si="267"/>
        <v>2.778404395652214E-6</v>
      </c>
      <c r="AB298" s="68">
        <f t="shared" si="267"/>
        <v>1.885569913604225E-6</v>
      </c>
      <c r="AC298" s="68">
        <f t="shared" si="267"/>
        <v>1.2745587858899847E-6</v>
      </c>
    </row>
    <row r="299" spans="1:29" ht="15.75" thickBot="1" x14ac:dyDescent="0.3">
      <c r="A299" s="31" t="s">
        <v>210</v>
      </c>
      <c r="B299" s="67">
        <f>B288+B289+B290+B291+B292+B293+B294+B295+B296+B297+B298</f>
        <v>3.4879076830223489E-2</v>
      </c>
      <c r="C299" s="67">
        <f t="shared" ref="C299:AC299" si="268">C288+C289+C290+C291+C292+C293+C294+C295+C296+C297+C298</f>
        <v>3.47796832488661E-2</v>
      </c>
      <c r="D299" s="67">
        <f t="shared" si="268"/>
        <v>3.4638682704393554E-2</v>
      </c>
      <c r="E299" s="67">
        <f t="shared" si="268"/>
        <v>3.4439640121312474E-2</v>
      </c>
      <c r="F299" s="67">
        <f t="shared" si="268"/>
        <v>3.4160677855954925E-2</v>
      </c>
      <c r="G299" s="67">
        <f t="shared" si="268"/>
        <v>3.3773768656832098E-2</v>
      </c>
      <c r="H299" s="67">
        <f t="shared" si="268"/>
        <v>3.3245122734536316E-2</v>
      </c>
      <c r="I299" s="67">
        <f t="shared" si="268"/>
        <v>3.2537935189215446E-2</v>
      </c>
      <c r="J299" s="67">
        <f t="shared" si="268"/>
        <v>3.1619114243694922E-2</v>
      </c>
      <c r="K299" s="67">
        <f t="shared" si="268"/>
        <v>3.0471008210361219E-2</v>
      </c>
      <c r="L299" s="67">
        <f t="shared" si="268"/>
        <v>2.9106432914501157E-2</v>
      </c>
      <c r="M299" s="67">
        <f t="shared" si="268"/>
        <v>2.7580400516655525E-2</v>
      </c>
      <c r="N299" s="67">
        <f t="shared" si="268"/>
        <v>2.5988458023119332E-2</v>
      </c>
      <c r="O299" s="67">
        <f t="shared" si="268"/>
        <v>2.4446010764302532E-2</v>
      </c>
      <c r="P299" s="67">
        <f t="shared" si="268"/>
        <v>2.3056204752162145E-2</v>
      </c>
      <c r="Q299" s="67">
        <f t="shared" si="268"/>
        <v>2.1884013904349135E-2</v>
      </c>
      <c r="R299" s="67">
        <f t="shared" si="268"/>
        <v>2.094918011992054E-2</v>
      </c>
      <c r="S299" s="67">
        <f t="shared" si="268"/>
        <v>2.0236182766133339E-2</v>
      </c>
      <c r="T299" s="67">
        <f t="shared" si="268"/>
        <v>1.9710601927436532E-2</v>
      </c>
      <c r="U299" s="67">
        <f t="shared" si="268"/>
        <v>1.9332909573802605E-2</v>
      </c>
      <c r="V299" s="67">
        <f t="shared" si="268"/>
        <v>1.9066578115484355E-2</v>
      </c>
      <c r="W299" s="67">
        <f t="shared" si="268"/>
        <v>1.8881400832243152E-2</v>
      </c>
      <c r="X299" s="67">
        <f t="shared" si="268"/>
        <v>1.8753991002259482E-2</v>
      </c>
      <c r="Y299" s="67">
        <f t="shared" si="268"/>
        <v>1.8667001111706553E-2</v>
      </c>
      <c r="Z299" s="67">
        <f t="shared" si="268"/>
        <v>1.8607939147612759E-2</v>
      </c>
      <c r="AA299" s="67">
        <f t="shared" si="268"/>
        <v>1.8567998154940885E-2</v>
      </c>
      <c r="AB299" s="67">
        <f t="shared" si="268"/>
        <v>1.8541063075281729E-2</v>
      </c>
      <c r="AC299" s="67">
        <f t="shared" si="268"/>
        <v>1.8522933861863697E-2</v>
      </c>
    </row>
    <row r="301" spans="1:29" x14ac:dyDescent="0.25">
      <c r="B301" s="40"/>
    </row>
    <row r="324" spans="1:44" s="3" customFormat="1" ht="21" x14ac:dyDescent="0.35">
      <c r="A324" s="2" t="str">
        <f>'Parameter Input'!A126</f>
        <v>Railway long-haul: Break bulk</v>
      </c>
    </row>
    <row r="325" spans="1:44" s="3" customFormat="1" ht="21" x14ac:dyDescent="0.35">
      <c r="A325" s="2" t="s">
        <v>103</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Input'!$L$127</f>
        <v>10000000</v>
      </c>
      <c r="C334" s="42">
        <f>'Parameter Input'!$M$127</f>
        <v>4000000</v>
      </c>
      <c r="D334" s="1" t="s">
        <v>15</v>
      </c>
      <c r="L334" s="51">
        <f>'Parameter Input'!$O$127</f>
        <v>12</v>
      </c>
      <c r="M334" s="52">
        <v>0</v>
      </c>
      <c r="N334" s="52">
        <v>1</v>
      </c>
      <c r="O334" s="52">
        <f>'Parameter Input'!$P$127</f>
        <v>0.9</v>
      </c>
      <c r="P334" s="53">
        <f>'Parameter Input'!$Q$127</f>
        <v>0.4</v>
      </c>
      <c r="Q334" s="4">
        <f t="shared" ref="Q334:AR343" si="269">$N334+($M334-$N334)*((1/(1+EXP(-$P334*(Q$9-$L334)))^$O334))</f>
        <v>0.9867978615748374</v>
      </c>
      <c r="R334" s="4">
        <f t="shared" si="269"/>
        <v>0.98114509762858249</v>
      </c>
      <c r="S334" s="4">
        <f t="shared" si="269"/>
        <v>0.97311898315872036</v>
      </c>
      <c r="T334" s="4">
        <f t="shared" si="269"/>
        <v>0.96177484161592774</v>
      </c>
      <c r="U334" s="4">
        <f t="shared" si="269"/>
        <v>0.94584787155511363</v>
      </c>
      <c r="V334" s="4">
        <f t="shared" si="269"/>
        <v>0.92370360150141495</v>
      </c>
      <c r="W334" s="4">
        <f t="shared" si="269"/>
        <v>0.89334463567658451</v>
      </c>
      <c r="X334" s="4">
        <f t="shared" si="269"/>
        <v>0.85254543874327005</v>
      </c>
      <c r="Y334" s="4">
        <f t="shared" si="269"/>
        <v>0.79921300652623883</v>
      </c>
      <c r="Z334" s="4">
        <f t="shared" si="269"/>
        <v>0.73204982249993378</v>
      </c>
      <c r="AA334" s="4">
        <f t="shared" si="269"/>
        <v>0.65145592958786691</v>
      </c>
      <c r="AB334" s="4">
        <f t="shared" si="269"/>
        <v>0.56032247880849573</v>
      </c>
      <c r="AC334" s="4">
        <f t="shared" si="269"/>
        <v>0.46411326873185343</v>
      </c>
      <c r="AD334" s="4">
        <f t="shared" si="269"/>
        <v>0.36979727595523937</v>
      </c>
      <c r="AE334" s="4">
        <f t="shared" si="269"/>
        <v>0.28393948637231203</v>
      </c>
      <c r="AF334" s="4">
        <f t="shared" si="269"/>
        <v>0.21097259161117732</v>
      </c>
      <c r="AG334" s="4">
        <f t="shared" si="269"/>
        <v>0.15253917653798199</v>
      </c>
      <c r="AH334" s="4">
        <f t="shared" si="269"/>
        <v>0.10795188737709993</v>
      </c>
      <c r="AI334" s="4">
        <f t="shared" si="269"/>
        <v>7.5176653938091809E-2</v>
      </c>
      <c r="AJ334" s="4">
        <f t="shared" si="269"/>
        <v>5.1742836177502194E-2</v>
      </c>
      <c r="AK334" s="4">
        <f t="shared" si="269"/>
        <v>3.5319190625345942E-2</v>
      </c>
      <c r="AL334" s="4">
        <f t="shared" si="269"/>
        <v>2.3969442072658165E-2</v>
      </c>
      <c r="AM334" s="4">
        <f t="shared" si="269"/>
        <v>1.6202243558389728E-2</v>
      </c>
      <c r="AN334" s="4">
        <f t="shared" si="269"/>
        <v>1.0922240564108399E-2</v>
      </c>
      <c r="AO334" s="4">
        <f t="shared" si="269"/>
        <v>7.3493212906090566E-3</v>
      </c>
      <c r="AP334" s="4">
        <f t="shared" si="269"/>
        <v>4.9390262185057265E-3</v>
      </c>
      <c r="AQ334" s="4">
        <f t="shared" si="269"/>
        <v>3.3164275492956197E-3</v>
      </c>
      <c r="AR334" s="4">
        <f t="shared" si="269"/>
        <v>2.2256362146679809E-3</v>
      </c>
    </row>
    <row r="335" spans="1:44" x14ac:dyDescent="0.25">
      <c r="A335" s="24" t="s">
        <v>28</v>
      </c>
      <c r="B335" s="60">
        <f>'Parameter Input'!$L$128</f>
        <v>-500000</v>
      </c>
      <c r="C335" s="61">
        <f>'Parameter Input'!$M$128</f>
        <v>-600000</v>
      </c>
      <c r="D335" s="1" t="s">
        <v>15</v>
      </c>
      <c r="L335" s="54">
        <f>'Parameter Input'!$O$128</f>
        <v>12</v>
      </c>
      <c r="M335" s="37">
        <v>0</v>
      </c>
      <c r="N335" s="37">
        <v>1</v>
      </c>
      <c r="O335" s="37">
        <f>'Parameter Input'!$P$128</f>
        <v>0.9</v>
      </c>
      <c r="P335" s="55">
        <f>'Parameter Input'!$Q$128</f>
        <v>0.4</v>
      </c>
      <c r="Q335" s="4">
        <f t="shared" si="269"/>
        <v>0.9867978615748374</v>
      </c>
      <c r="R335" s="4">
        <f t="shared" si="269"/>
        <v>0.98114509762858249</v>
      </c>
      <c r="S335" s="4">
        <f t="shared" si="269"/>
        <v>0.97311898315872036</v>
      </c>
      <c r="T335" s="4">
        <f t="shared" si="269"/>
        <v>0.96177484161592774</v>
      </c>
      <c r="U335" s="4">
        <f t="shared" si="269"/>
        <v>0.94584787155511363</v>
      </c>
      <c r="V335" s="4">
        <f t="shared" si="269"/>
        <v>0.92370360150141495</v>
      </c>
      <c r="W335" s="4">
        <f t="shared" si="269"/>
        <v>0.89334463567658451</v>
      </c>
      <c r="X335" s="4">
        <f t="shared" si="269"/>
        <v>0.85254543874327005</v>
      </c>
      <c r="Y335" s="4">
        <f t="shared" si="269"/>
        <v>0.79921300652623883</v>
      </c>
      <c r="Z335" s="4">
        <f t="shared" si="269"/>
        <v>0.73204982249993378</v>
      </c>
      <c r="AA335" s="4">
        <f t="shared" si="269"/>
        <v>0.65145592958786691</v>
      </c>
      <c r="AB335" s="4">
        <f t="shared" si="269"/>
        <v>0.56032247880849573</v>
      </c>
      <c r="AC335" s="4">
        <f t="shared" si="269"/>
        <v>0.46411326873185343</v>
      </c>
      <c r="AD335" s="4">
        <f t="shared" si="269"/>
        <v>0.36979727595523937</v>
      </c>
      <c r="AE335" s="4">
        <f t="shared" si="269"/>
        <v>0.28393948637231203</v>
      </c>
      <c r="AF335" s="4">
        <f t="shared" si="269"/>
        <v>0.21097259161117732</v>
      </c>
      <c r="AG335" s="4">
        <f t="shared" si="269"/>
        <v>0.15253917653798199</v>
      </c>
      <c r="AH335" s="4">
        <f t="shared" si="269"/>
        <v>0.10795188737709993</v>
      </c>
      <c r="AI335" s="4">
        <f t="shared" si="269"/>
        <v>7.5176653938091809E-2</v>
      </c>
      <c r="AJ335" s="4">
        <f t="shared" si="269"/>
        <v>5.1742836177502194E-2</v>
      </c>
      <c r="AK335" s="4">
        <f t="shared" si="269"/>
        <v>3.5319190625345942E-2</v>
      </c>
      <c r="AL335" s="4">
        <f t="shared" si="269"/>
        <v>2.3969442072658165E-2</v>
      </c>
      <c r="AM335" s="4">
        <f t="shared" si="269"/>
        <v>1.6202243558389728E-2</v>
      </c>
      <c r="AN335" s="4">
        <f t="shared" si="269"/>
        <v>1.0922240564108399E-2</v>
      </c>
      <c r="AO335" s="4">
        <f t="shared" si="269"/>
        <v>7.3493212906090566E-3</v>
      </c>
      <c r="AP335" s="4">
        <f t="shared" si="269"/>
        <v>4.9390262185057265E-3</v>
      </c>
      <c r="AQ335" s="4">
        <f t="shared" si="269"/>
        <v>3.3164275492956197E-3</v>
      </c>
      <c r="AR335" s="4">
        <f t="shared" si="269"/>
        <v>2.2256362146679809E-3</v>
      </c>
    </row>
    <row r="336" spans="1:44" x14ac:dyDescent="0.25">
      <c r="A336" s="24" t="s">
        <v>14</v>
      </c>
      <c r="B336" s="43">
        <f>'Parameter Input'!B127</f>
        <v>4200000</v>
      </c>
      <c r="C336" s="44">
        <f>'Parameter Input'!C127</f>
        <v>4200000</v>
      </c>
      <c r="D336" s="1" t="s">
        <v>15</v>
      </c>
      <c r="L336" s="54">
        <f>'Parameter Input'!E127</f>
        <v>12</v>
      </c>
      <c r="M336" s="37">
        <v>0</v>
      </c>
      <c r="N336" s="37">
        <v>1</v>
      </c>
      <c r="O336" s="37">
        <f>'Parameter Input'!F127</f>
        <v>0.9</v>
      </c>
      <c r="P336" s="55">
        <f>'Parameter Input'!G127</f>
        <v>0.4</v>
      </c>
      <c r="Q336" s="4">
        <f t="shared" si="269"/>
        <v>0.9867978615748374</v>
      </c>
      <c r="R336" s="4">
        <f t="shared" si="269"/>
        <v>0.98114509762858249</v>
      </c>
      <c r="S336" s="4">
        <f t="shared" si="269"/>
        <v>0.97311898315872036</v>
      </c>
      <c r="T336" s="4">
        <f t="shared" si="269"/>
        <v>0.96177484161592774</v>
      </c>
      <c r="U336" s="4">
        <f t="shared" si="269"/>
        <v>0.94584787155511363</v>
      </c>
      <c r="V336" s="4">
        <f t="shared" si="269"/>
        <v>0.92370360150141495</v>
      </c>
      <c r="W336" s="4">
        <f t="shared" si="269"/>
        <v>0.89334463567658451</v>
      </c>
      <c r="X336" s="4">
        <f t="shared" si="269"/>
        <v>0.85254543874327005</v>
      </c>
      <c r="Y336" s="4">
        <f t="shared" si="269"/>
        <v>0.79921300652623883</v>
      </c>
      <c r="Z336" s="4">
        <f t="shared" si="269"/>
        <v>0.73204982249993378</v>
      </c>
      <c r="AA336" s="4">
        <f t="shared" si="269"/>
        <v>0.65145592958786691</v>
      </c>
      <c r="AB336" s="4">
        <f t="shared" si="269"/>
        <v>0.56032247880849573</v>
      </c>
      <c r="AC336" s="4">
        <f t="shared" si="269"/>
        <v>0.46411326873185343</v>
      </c>
      <c r="AD336" s="4">
        <f t="shared" si="269"/>
        <v>0.36979727595523937</v>
      </c>
      <c r="AE336" s="4">
        <f t="shared" si="269"/>
        <v>0.28393948637231203</v>
      </c>
      <c r="AF336" s="4">
        <f t="shared" si="269"/>
        <v>0.21097259161117732</v>
      </c>
      <c r="AG336" s="4">
        <f t="shared" si="269"/>
        <v>0.15253917653798199</v>
      </c>
      <c r="AH336" s="4">
        <f t="shared" si="269"/>
        <v>0.10795188737709993</v>
      </c>
      <c r="AI336" s="4">
        <f t="shared" si="269"/>
        <v>7.5176653938091809E-2</v>
      </c>
      <c r="AJ336" s="4">
        <f t="shared" si="269"/>
        <v>5.1742836177502194E-2</v>
      </c>
      <c r="AK336" s="4">
        <f t="shared" si="269"/>
        <v>3.5319190625345942E-2</v>
      </c>
      <c r="AL336" s="4">
        <f t="shared" si="269"/>
        <v>2.3969442072658165E-2</v>
      </c>
      <c r="AM336" s="4">
        <f t="shared" si="269"/>
        <v>1.6202243558389728E-2</v>
      </c>
      <c r="AN336" s="4">
        <f t="shared" si="269"/>
        <v>1.0922240564108399E-2</v>
      </c>
      <c r="AO336" s="4">
        <f t="shared" si="269"/>
        <v>7.3493212906090566E-3</v>
      </c>
      <c r="AP336" s="4">
        <f t="shared" si="269"/>
        <v>4.9390262185057265E-3</v>
      </c>
      <c r="AQ336" s="4">
        <f t="shared" si="269"/>
        <v>3.3164275492956197E-3</v>
      </c>
      <c r="AR336" s="4">
        <f t="shared" si="269"/>
        <v>2.2256362146679809E-3</v>
      </c>
    </row>
    <row r="337" spans="1:44" x14ac:dyDescent="0.25">
      <c r="A337" s="24" t="s">
        <v>25</v>
      </c>
      <c r="B337" s="60">
        <f>'Parameter Input'!B128</f>
        <v>-210000</v>
      </c>
      <c r="C337" s="61">
        <f>'Parameter Input'!C128</f>
        <v>-210000</v>
      </c>
      <c r="D337" s="1" t="s">
        <v>15</v>
      </c>
      <c r="L337" s="54">
        <f>'Parameter Input'!E128</f>
        <v>12</v>
      </c>
      <c r="M337" s="37">
        <v>0</v>
      </c>
      <c r="N337" s="37">
        <v>1</v>
      </c>
      <c r="O337" s="37">
        <f>'Parameter Input'!F128</f>
        <v>0.9</v>
      </c>
      <c r="P337" s="55">
        <f>'Parameter Input'!G128</f>
        <v>0.4</v>
      </c>
      <c r="Q337" s="4">
        <f t="shared" si="269"/>
        <v>0.9867978615748374</v>
      </c>
      <c r="R337" s="4">
        <f t="shared" si="269"/>
        <v>0.98114509762858249</v>
      </c>
      <c r="S337" s="4">
        <f t="shared" si="269"/>
        <v>0.97311898315872036</v>
      </c>
      <c r="T337" s="4">
        <f t="shared" si="269"/>
        <v>0.96177484161592774</v>
      </c>
      <c r="U337" s="4">
        <f t="shared" si="269"/>
        <v>0.94584787155511363</v>
      </c>
      <c r="V337" s="4">
        <f t="shared" si="269"/>
        <v>0.92370360150141495</v>
      </c>
      <c r="W337" s="4">
        <f t="shared" si="269"/>
        <v>0.89334463567658451</v>
      </c>
      <c r="X337" s="4">
        <f t="shared" si="269"/>
        <v>0.85254543874327005</v>
      </c>
      <c r="Y337" s="4">
        <f t="shared" si="269"/>
        <v>0.79921300652623883</v>
      </c>
      <c r="Z337" s="4">
        <f t="shared" si="269"/>
        <v>0.73204982249993378</v>
      </c>
      <c r="AA337" s="4">
        <f t="shared" si="269"/>
        <v>0.65145592958786691</v>
      </c>
      <c r="AB337" s="4">
        <f t="shared" si="269"/>
        <v>0.56032247880849573</v>
      </c>
      <c r="AC337" s="4">
        <f t="shared" si="269"/>
        <v>0.46411326873185343</v>
      </c>
      <c r="AD337" s="4">
        <f t="shared" si="269"/>
        <v>0.36979727595523937</v>
      </c>
      <c r="AE337" s="4">
        <f t="shared" si="269"/>
        <v>0.28393948637231203</v>
      </c>
      <c r="AF337" s="4">
        <f t="shared" si="269"/>
        <v>0.21097259161117732</v>
      </c>
      <c r="AG337" s="4">
        <f t="shared" si="269"/>
        <v>0.15253917653798199</v>
      </c>
      <c r="AH337" s="4">
        <f t="shared" si="269"/>
        <v>0.10795188737709993</v>
      </c>
      <c r="AI337" s="4">
        <f t="shared" si="269"/>
        <v>7.5176653938091809E-2</v>
      </c>
      <c r="AJ337" s="4">
        <f t="shared" si="269"/>
        <v>5.1742836177502194E-2</v>
      </c>
      <c r="AK337" s="4">
        <f t="shared" si="269"/>
        <v>3.5319190625345942E-2</v>
      </c>
      <c r="AL337" s="4">
        <f t="shared" si="269"/>
        <v>2.3969442072658165E-2</v>
      </c>
      <c r="AM337" s="4">
        <f t="shared" si="269"/>
        <v>1.6202243558389728E-2</v>
      </c>
      <c r="AN337" s="4">
        <f t="shared" si="269"/>
        <v>1.0922240564108399E-2</v>
      </c>
      <c r="AO337" s="4">
        <f t="shared" si="269"/>
        <v>7.3493212906090566E-3</v>
      </c>
      <c r="AP337" s="4">
        <f t="shared" si="269"/>
        <v>4.9390262185057265E-3</v>
      </c>
      <c r="AQ337" s="4">
        <f t="shared" si="269"/>
        <v>3.3164275492956197E-3</v>
      </c>
      <c r="AR337" s="4">
        <f t="shared" si="269"/>
        <v>2.2256362146679809E-3</v>
      </c>
    </row>
    <row r="338" spans="1:44" x14ac:dyDescent="0.25">
      <c r="A338" s="24" t="s">
        <v>79</v>
      </c>
      <c r="B338" s="45">
        <f>'Parameter Input'!$L$134</f>
        <v>0.06</v>
      </c>
      <c r="C338" s="46">
        <f>'Parameter Input'!$M$134</f>
        <v>0.06</v>
      </c>
      <c r="D338" s="1" t="s">
        <v>57</v>
      </c>
      <c r="L338" s="54">
        <f>'Parameter Input'!$O$134</f>
        <v>12</v>
      </c>
      <c r="M338" s="37">
        <v>0</v>
      </c>
      <c r="N338" s="37">
        <v>1</v>
      </c>
      <c r="O338" s="37">
        <f>'Parameter Input'!$P$134</f>
        <v>0.9</v>
      </c>
      <c r="P338" s="55">
        <f>'Parameter Input'!$Q$134</f>
        <v>0.4</v>
      </c>
      <c r="Q338" s="4">
        <f t="shared" si="269"/>
        <v>0.9867978615748374</v>
      </c>
      <c r="R338" s="4">
        <f t="shared" si="269"/>
        <v>0.98114509762858249</v>
      </c>
      <c r="S338" s="4">
        <f t="shared" si="269"/>
        <v>0.97311898315872036</v>
      </c>
      <c r="T338" s="4">
        <f t="shared" si="269"/>
        <v>0.96177484161592774</v>
      </c>
      <c r="U338" s="4">
        <f t="shared" si="269"/>
        <v>0.94584787155511363</v>
      </c>
      <c r="V338" s="4">
        <f t="shared" si="269"/>
        <v>0.92370360150141495</v>
      </c>
      <c r="W338" s="4">
        <f t="shared" si="269"/>
        <v>0.89334463567658451</v>
      </c>
      <c r="X338" s="4">
        <f t="shared" si="269"/>
        <v>0.85254543874327005</v>
      </c>
      <c r="Y338" s="4">
        <f t="shared" si="269"/>
        <v>0.79921300652623883</v>
      </c>
      <c r="Z338" s="4">
        <f t="shared" si="269"/>
        <v>0.73204982249993378</v>
      </c>
      <c r="AA338" s="4">
        <f t="shared" si="269"/>
        <v>0.65145592958786691</v>
      </c>
      <c r="AB338" s="4">
        <f t="shared" si="269"/>
        <v>0.56032247880849573</v>
      </c>
      <c r="AC338" s="4">
        <f t="shared" si="269"/>
        <v>0.46411326873185343</v>
      </c>
      <c r="AD338" s="4">
        <f t="shared" si="269"/>
        <v>0.36979727595523937</v>
      </c>
      <c r="AE338" s="4">
        <f t="shared" si="269"/>
        <v>0.28393948637231203</v>
      </c>
      <c r="AF338" s="4">
        <f t="shared" si="269"/>
        <v>0.21097259161117732</v>
      </c>
      <c r="AG338" s="4">
        <f t="shared" si="269"/>
        <v>0.15253917653798199</v>
      </c>
      <c r="AH338" s="4">
        <f t="shared" si="269"/>
        <v>0.10795188737709993</v>
      </c>
      <c r="AI338" s="4">
        <f t="shared" si="269"/>
        <v>7.5176653938091809E-2</v>
      </c>
      <c r="AJ338" s="4">
        <f t="shared" si="269"/>
        <v>5.1742836177502194E-2</v>
      </c>
      <c r="AK338" s="4">
        <f t="shared" si="269"/>
        <v>3.5319190625345942E-2</v>
      </c>
      <c r="AL338" s="4">
        <f t="shared" si="269"/>
        <v>2.3969442072658165E-2</v>
      </c>
      <c r="AM338" s="4">
        <f t="shared" si="269"/>
        <v>1.6202243558389728E-2</v>
      </c>
      <c r="AN338" s="4">
        <f t="shared" si="269"/>
        <v>1.0922240564108399E-2</v>
      </c>
      <c r="AO338" s="4">
        <f t="shared" si="269"/>
        <v>7.3493212906090566E-3</v>
      </c>
      <c r="AP338" s="4">
        <f t="shared" si="269"/>
        <v>4.9390262185057265E-3</v>
      </c>
      <c r="AQ338" s="4">
        <f t="shared" si="269"/>
        <v>3.3164275492956197E-3</v>
      </c>
      <c r="AR338" s="4">
        <f t="shared" si="269"/>
        <v>2.2256362146679809E-3</v>
      </c>
    </row>
    <row r="339" spans="1:44" x14ac:dyDescent="0.25">
      <c r="A339" s="24" t="s">
        <v>37</v>
      </c>
      <c r="B339" s="43">
        <f>'Parameter Input'!B129</f>
        <v>1450000</v>
      </c>
      <c r="C339" s="44">
        <f>'Parameter Input'!C129</f>
        <v>1450000</v>
      </c>
      <c r="D339" s="1" t="s">
        <v>38</v>
      </c>
      <c r="L339" s="54">
        <f>'Parameter Input'!E129</f>
        <v>12</v>
      </c>
      <c r="M339" s="37">
        <v>0</v>
      </c>
      <c r="N339" s="37">
        <v>1</v>
      </c>
      <c r="O339" s="37">
        <f>'Parameter Input'!F129</f>
        <v>0.9</v>
      </c>
      <c r="P339" s="55">
        <f>'Parameter Input'!G129</f>
        <v>0.4</v>
      </c>
      <c r="Q339" s="4">
        <f t="shared" si="269"/>
        <v>0.9867978615748374</v>
      </c>
      <c r="R339" s="4">
        <f t="shared" si="269"/>
        <v>0.98114509762858249</v>
      </c>
      <c r="S339" s="4">
        <f t="shared" si="269"/>
        <v>0.97311898315872036</v>
      </c>
      <c r="T339" s="4">
        <f t="shared" si="269"/>
        <v>0.96177484161592774</v>
      </c>
      <c r="U339" s="4">
        <f t="shared" si="269"/>
        <v>0.94584787155511363</v>
      </c>
      <c r="V339" s="4">
        <f t="shared" si="269"/>
        <v>0.92370360150141495</v>
      </c>
      <c r="W339" s="4">
        <f t="shared" si="269"/>
        <v>0.89334463567658451</v>
      </c>
      <c r="X339" s="4">
        <f t="shared" si="269"/>
        <v>0.85254543874327005</v>
      </c>
      <c r="Y339" s="4">
        <f t="shared" si="269"/>
        <v>0.79921300652623883</v>
      </c>
      <c r="Z339" s="4">
        <f t="shared" si="269"/>
        <v>0.73204982249993378</v>
      </c>
      <c r="AA339" s="4">
        <f t="shared" si="269"/>
        <v>0.65145592958786691</v>
      </c>
      <c r="AB339" s="4">
        <f t="shared" si="269"/>
        <v>0.56032247880849573</v>
      </c>
      <c r="AC339" s="4">
        <f t="shared" si="269"/>
        <v>0.46411326873185343</v>
      </c>
      <c r="AD339" s="4">
        <f t="shared" si="269"/>
        <v>0.36979727595523937</v>
      </c>
      <c r="AE339" s="4">
        <f t="shared" si="269"/>
        <v>0.28393948637231203</v>
      </c>
      <c r="AF339" s="4">
        <f t="shared" si="269"/>
        <v>0.21097259161117732</v>
      </c>
      <c r="AG339" s="4">
        <f t="shared" si="269"/>
        <v>0.15253917653798199</v>
      </c>
      <c r="AH339" s="4">
        <f t="shared" si="269"/>
        <v>0.10795188737709993</v>
      </c>
      <c r="AI339" s="4">
        <f t="shared" si="269"/>
        <v>7.5176653938091809E-2</v>
      </c>
      <c r="AJ339" s="4">
        <f t="shared" si="269"/>
        <v>5.1742836177502194E-2</v>
      </c>
      <c r="AK339" s="4">
        <f t="shared" si="269"/>
        <v>3.5319190625345942E-2</v>
      </c>
      <c r="AL339" s="4">
        <f t="shared" si="269"/>
        <v>2.3969442072658165E-2</v>
      </c>
      <c r="AM339" s="4">
        <f t="shared" si="269"/>
        <v>1.6202243558389728E-2</v>
      </c>
      <c r="AN339" s="4">
        <f t="shared" si="269"/>
        <v>1.0922240564108399E-2</v>
      </c>
      <c r="AO339" s="4">
        <f t="shared" si="269"/>
        <v>7.3493212906090566E-3</v>
      </c>
      <c r="AP339" s="4">
        <f t="shared" si="269"/>
        <v>4.9390262185057265E-3</v>
      </c>
      <c r="AQ339" s="4">
        <f t="shared" si="269"/>
        <v>3.3164275492956197E-3</v>
      </c>
      <c r="AR339" s="4">
        <f t="shared" si="269"/>
        <v>2.2256362146679809E-3</v>
      </c>
    </row>
    <row r="340" spans="1:44" x14ac:dyDescent="0.25">
      <c r="A340" s="24" t="s">
        <v>52</v>
      </c>
      <c r="B340" s="43">
        <f>'Parameter Input'!$L$130</f>
        <v>1400000.0000000002</v>
      </c>
      <c r="C340" s="44">
        <f>'Parameter Input'!$M$130</f>
        <v>560000</v>
      </c>
      <c r="D340" s="1" t="s">
        <v>38</v>
      </c>
      <c r="L340" s="54">
        <f>'Parameter Input'!$O$130</f>
        <v>12</v>
      </c>
      <c r="M340" s="37">
        <v>0</v>
      </c>
      <c r="N340" s="37">
        <v>1</v>
      </c>
      <c r="O340" s="37">
        <f>'Parameter Input'!$P$130</f>
        <v>0.9</v>
      </c>
      <c r="P340" s="55">
        <f>'Parameter Input'!$Q$130</f>
        <v>0.4</v>
      </c>
      <c r="Q340" s="4">
        <f t="shared" si="269"/>
        <v>0.9867978615748374</v>
      </c>
      <c r="R340" s="4">
        <f t="shared" si="269"/>
        <v>0.98114509762858249</v>
      </c>
      <c r="S340" s="4">
        <f t="shared" si="269"/>
        <v>0.97311898315872036</v>
      </c>
      <c r="T340" s="4">
        <f t="shared" si="269"/>
        <v>0.96177484161592774</v>
      </c>
      <c r="U340" s="4">
        <f t="shared" si="269"/>
        <v>0.94584787155511363</v>
      </c>
      <c r="V340" s="4">
        <f t="shared" si="269"/>
        <v>0.92370360150141495</v>
      </c>
      <c r="W340" s="4">
        <f t="shared" si="269"/>
        <v>0.89334463567658451</v>
      </c>
      <c r="X340" s="4">
        <f t="shared" si="269"/>
        <v>0.85254543874327005</v>
      </c>
      <c r="Y340" s="4">
        <f t="shared" si="269"/>
        <v>0.79921300652623883</v>
      </c>
      <c r="Z340" s="4">
        <f t="shared" si="269"/>
        <v>0.73204982249993378</v>
      </c>
      <c r="AA340" s="4">
        <f t="shared" si="269"/>
        <v>0.65145592958786691</v>
      </c>
      <c r="AB340" s="4">
        <f t="shared" si="269"/>
        <v>0.56032247880849573</v>
      </c>
      <c r="AC340" s="4">
        <f t="shared" si="269"/>
        <v>0.46411326873185343</v>
      </c>
      <c r="AD340" s="4">
        <f t="shared" si="269"/>
        <v>0.36979727595523937</v>
      </c>
      <c r="AE340" s="4">
        <f t="shared" si="269"/>
        <v>0.28393948637231203</v>
      </c>
      <c r="AF340" s="4">
        <f t="shared" si="269"/>
        <v>0.21097259161117732</v>
      </c>
      <c r="AG340" s="4">
        <f t="shared" si="269"/>
        <v>0.15253917653798199</v>
      </c>
      <c r="AH340" s="4">
        <f t="shared" si="269"/>
        <v>0.10795188737709993</v>
      </c>
      <c r="AI340" s="4">
        <f t="shared" si="269"/>
        <v>7.5176653938091809E-2</v>
      </c>
      <c r="AJ340" s="4">
        <f t="shared" si="269"/>
        <v>5.1742836177502194E-2</v>
      </c>
      <c r="AK340" s="4">
        <f t="shared" si="269"/>
        <v>3.5319190625345942E-2</v>
      </c>
      <c r="AL340" s="4">
        <f t="shared" si="269"/>
        <v>2.3969442072658165E-2</v>
      </c>
      <c r="AM340" s="4">
        <f t="shared" si="269"/>
        <v>1.6202243558389728E-2</v>
      </c>
      <c r="AN340" s="4">
        <f t="shared" si="269"/>
        <v>1.0922240564108399E-2</v>
      </c>
      <c r="AO340" s="4">
        <f t="shared" si="269"/>
        <v>7.3493212906090566E-3</v>
      </c>
      <c r="AP340" s="4">
        <f t="shared" si="269"/>
        <v>4.9390262185057265E-3</v>
      </c>
      <c r="AQ340" s="4">
        <f t="shared" si="269"/>
        <v>3.3164275492956197E-3</v>
      </c>
      <c r="AR340" s="4">
        <f t="shared" si="269"/>
        <v>2.2256362146679809E-3</v>
      </c>
    </row>
    <row r="341" spans="1:44" x14ac:dyDescent="0.25">
      <c r="A341" s="24" t="s">
        <v>287</v>
      </c>
      <c r="B341" s="45">
        <f>'Parameter Input'!B134</f>
        <v>8.9635854341736696</v>
      </c>
      <c r="C341" s="46">
        <f>'Parameter Input'!C134</f>
        <v>8.9635854341736696</v>
      </c>
      <c r="D341" s="1" t="s">
        <v>76</v>
      </c>
      <c r="L341" s="54">
        <f>'Parameter Input'!E134</f>
        <v>12</v>
      </c>
      <c r="M341" s="37">
        <v>0</v>
      </c>
      <c r="N341" s="37">
        <v>1</v>
      </c>
      <c r="O341" s="37">
        <f>'Parameter Input'!F134</f>
        <v>0.9</v>
      </c>
      <c r="P341" s="55">
        <f>'Parameter Input'!G134</f>
        <v>0.4</v>
      </c>
      <c r="Q341" s="4">
        <f t="shared" si="269"/>
        <v>0.9867978615748374</v>
      </c>
      <c r="R341" s="4">
        <f t="shared" si="269"/>
        <v>0.98114509762858249</v>
      </c>
      <c r="S341" s="4">
        <f t="shared" si="269"/>
        <v>0.97311898315872036</v>
      </c>
      <c r="T341" s="4">
        <f t="shared" si="269"/>
        <v>0.96177484161592774</v>
      </c>
      <c r="U341" s="4">
        <f t="shared" si="269"/>
        <v>0.94584787155511363</v>
      </c>
      <c r="V341" s="4">
        <f t="shared" si="269"/>
        <v>0.92370360150141495</v>
      </c>
      <c r="W341" s="4">
        <f t="shared" si="269"/>
        <v>0.89334463567658451</v>
      </c>
      <c r="X341" s="4">
        <f t="shared" si="269"/>
        <v>0.85254543874327005</v>
      </c>
      <c r="Y341" s="4">
        <f t="shared" si="269"/>
        <v>0.79921300652623883</v>
      </c>
      <c r="Z341" s="4">
        <f t="shared" si="269"/>
        <v>0.73204982249993378</v>
      </c>
      <c r="AA341" s="4">
        <f t="shared" si="269"/>
        <v>0.65145592958786691</v>
      </c>
      <c r="AB341" s="4">
        <f t="shared" si="269"/>
        <v>0.56032247880849573</v>
      </c>
      <c r="AC341" s="4">
        <f t="shared" si="269"/>
        <v>0.46411326873185343</v>
      </c>
      <c r="AD341" s="4">
        <f t="shared" si="269"/>
        <v>0.36979727595523937</v>
      </c>
      <c r="AE341" s="4">
        <f t="shared" si="269"/>
        <v>0.28393948637231203</v>
      </c>
      <c r="AF341" s="4">
        <f t="shared" si="269"/>
        <v>0.21097259161117732</v>
      </c>
      <c r="AG341" s="4">
        <f t="shared" si="269"/>
        <v>0.15253917653798199</v>
      </c>
      <c r="AH341" s="4">
        <f t="shared" si="269"/>
        <v>0.10795188737709993</v>
      </c>
      <c r="AI341" s="4">
        <f t="shared" si="269"/>
        <v>7.5176653938091809E-2</v>
      </c>
      <c r="AJ341" s="4">
        <f t="shared" si="269"/>
        <v>5.1742836177502194E-2</v>
      </c>
      <c r="AK341" s="4">
        <f t="shared" si="269"/>
        <v>3.5319190625345942E-2</v>
      </c>
      <c r="AL341" s="4">
        <f t="shared" si="269"/>
        <v>2.3969442072658165E-2</v>
      </c>
      <c r="AM341" s="4">
        <f t="shared" si="269"/>
        <v>1.6202243558389728E-2</v>
      </c>
      <c r="AN341" s="4">
        <f t="shared" si="269"/>
        <v>1.0922240564108399E-2</v>
      </c>
      <c r="AO341" s="4">
        <f t="shared" si="269"/>
        <v>7.3493212906090566E-3</v>
      </c>
      <c r="AP341" s="4">
        <f t="shared" si="269"/>
        <v>4.9390262185057265E-3</v>
      </c>
      <c r="AQ341" s="4">
        <f t="shared" si="269"/>
        <v>3.3164275492956197E-3</v>
      </c>
      <c r="AR341" s="4">
        <f t="shared" si="269"/>
        <v>2.2256362146679809E-3</v>
      </c>
    </row>
    <row r="342" spans="1:44" x14ac:dyDescent="0.25">
      <c r="A342" s="24" t="s">
        <v>59</v>
      </c>
      <c r="B342" s="47">
        <f>'Parameter Input'!$L$131</f>
        <v>48.858472727272719</v>
      </c>
      <c r="C342" s="48">
        <f>'Parameter Input'!$M$131</f>
        <v>41.341784615384611</v>
      </c>
      <c r="D342" s="1" t="s">
        <v>60</v>
      </c>
      <c r="L342" s="54">
        <f>'Parameter Input'!$O$131</f>
        <v>12</v>
      </c>
      <c r="M342" s="37">
        <v>0</v>
      </c>
      <c r="N342" s="37">
        <v>1</v>
      </c>
      <c r="O342" s="37">
        <f>'Parameter Input'!$P$131</f>
        <v>0.9</v>
      </c>
      <c r="P342" s="55">
        <f>'Parameter Input'!$Q$131</f>
        <v>0.4</v>
      </c>
      <c r="Q342" s="4">
        <f t="shared" si="269"/>
        <v>0.9867978615748374</v>
      </c>
      <c r="R342" s="4">
        <f t="shared" si="269"/>
        <v>0.98114509762858249</v>
      </c>
      <c r="S342" s="4">
        <f t="shared" si="269"/>
        <v>0.97311898315872036</v>
      </c>
      <c r="T342" s="4">
        <f t="shared" si="269"/>
        <v>0.96177484161592774</v>
      </c>
      <c r="U342" s="4">
        <f t="shared" si="269"/>
        <v>0.94584787155511363</v>
      </c>
      <c r="V342" s="4">
        <f t="shared" si="269"/>
        <v>0.92370360150141495</v>
      </c>
      <c r="W342" s="4">
        <f t="shared" si="269"/>
        <v>0.89334463567658451</v>
      </c>
      <c r="X342" s="4">
        <f t="shared" si="269"/>
        <v>0.85254543874327005</v>
      </c>
      <c r="Y342" s="4">
        <f t="shared" si="269"/>
        <v>0.79921300652623883</v>
      </c>
      <c r="Z342" s="4">
        <f t="shared" si="269"/>
        <v>0.73204982249993378</v>
      </c>
      <c r="AA342" s="4">
        <f t="shared" si="269"/>
        <v>0.65145592958786691</v>
      </c>
      <c r="AB342" s="4">
        <f t="shared" si="269"/>
        <v>0.56032247880849573</v>
      </c>
      <c r="AC342" s="4">
        <f t="shared" si="269"/>
        <v>0.46411326873185343</v>
      </c>
      <c r="AD342" s="4">
        <f t="shared" si="269"/>
        <v>0.36979727595523937</v>
      </c>
      <c r="AE342" s="4">
        <f t="shared" si="269"/>
        <v>0.28393948637231203</v>
      </c>
      <c r="AF342" s="4">
        <f t="shared" si="269"/>
        <v>0.21097259161117732</v>
      </c>
      <c r="AG342" s="4">
        <f t="shared" si="269"/>
        <v>0.15253917653798199</v>
      </c>
      <c r="AH342" s="4">
        <f t="shared" si="269"/>
        <v>0.10795188737709993</v>
      </c>
      <c r="AI342" s="4">
        <f t="shared" si="269"/>
        <v>7.5176653938091809E-2</v>
      </c>
      <c r="AJ342" s="4">
        <f t="shared" si="269"/>
        <v>5.1742836177502194E-2</v>
      </c>
      <c r="AK342" s="4">
        <f t="shared" si="269"/>
        <v>3.5319190625345942E-2</v>
      </c>
      <c r="AL342" s="4">
        <f t="shared" si="269"/>
        <v>2.3969442072658165E-2</v>
      </c>
      <c r="AM342" s="4">
        <f t="shared" si="269"/>
        <v>1.6202243558389728E-2</v>
      </c>
      <c r="AN342" s="4">
        <f t="shared" si="269"/>
        <v>1.0922240564108399E-2</v>
      </c>
      <c r="AO342" s="4">
        <f t="shared" si="269"/>
        <v>7.3493212906090566E-3</v>
      </c>
      <c r="AP342" s="4">
        <f t="shared" si="269"/>
        <v>4.9390262185057265E-3</v>
      </c>
      <c r="AQ342" s="4">
        <f t="shared" si="269"/>
        <v>3.3164275492956197E-3</v>
      </c>
      <c r="AR342" s="4">
        <f t="shared" si="269"/>
        <v>2.2256362146679809E-3</v>
      </c>
    </row>
    <row r="343" spans="1:44" x14ac:dyDescent="0.25">
      <c r="A343" s="24" t="s">
        <v>67</v>
      </c>
      <c r="B343" s="45">
        <f>'Parameter Input'!$L$132</f>
        <v>0.2544561408768215</v>
      </c>
      <c r="C343" s="46">
        <f>'Parameter Input'!$M$132</f>
        <v>0.10949010032952979</v>
      </c>
      <c r="D343" s="1" t="s">
        <v>68</v>
      </c>
      <c r="L343" s="54">
        <f>'Parameter Input'!$O$132</f>
        <v>12</v>
      </c>
      <c r="M343" s="37">
        <v>0</v>
      </c>
      <c r="N343" s="37">
        <v>1</v>
      </c>
      <c r="O343" s="37">
        <f>'Parameter Input'!$P$132</f>
        <v>0.9</v>
      </c>
      <c r="P343" s="55">
        <f>'Parameter Input'!$Q$132</f>
        <v>0.4</v>
      </c>
      <c r="Q343" s="4">
        <f t="shared" si="269"/>
        <v>0.9867978615748374</v>
      </c>
      <c r="R343" s="4">
        <f t="shared" si="269"/>
        <v>0.98114509762858249</v>
      </c>
      <c r="S343" s="4">
        <f t="shared" si="269"/>
        <v>0.97311898315872036</v>
      </c>
      <c r="T343" s="4">
        <f t="shared" ref="T343:AI350" si="270">$N343+($M343-$N343)*((1/(1+EXP(-$P343*(T$9-$L343)))^$O343))</f>
        <v>0.96177484161592774</v>
      </c>
      <c r="U343" s="4">
        <f t="shared" si="270"/>
        <v>0.94584787155511363</v>
      </c>
      <c r="V343" s="4">
        <f t="shared" si="270"/>
        <v>0.92370360150141495</v>
      </c>
      <c r="W343" s="4">
        <f t="shared" si="270"/>
        <v>0.89334463567658451</v>
      </c>
      <c r="X343" s="4">
        <f t="shared" si="270"/>
        <v>0.85254543874327005</v>
      </c>
      <c r="Y343" s="4">
        <f t="shared" si="270"/>
        <v>0.79921300652623883</v>
      </c>
      <c r="Z343" s="4">
        <f t="shared" si="270"/>
        <v>0.73204982249993378</v>
      </c>
      <c r="AA343" s="4">
        <f t="shared" si="270"/>
        <v>0.65145592958786691</v>
      </c>
      <c r="AB343" s="4">
        <f t="shared" si="270"/>
        <v>0.56032247880849573</v>
      </c>
      <c r="AC343" s="4">
        <f t="shared" si="270"/>
        <v>0.46411326873185343</v>
      </c>
      <c r="AD343" s="4">
        <f t="shared" si="270"/>
        <v>0.36979727595523937</v>
      </c>
      <c r="AE343" s="4">
        <f t="shared" si="270"/>
        <v>0.28393948637231203</v>
      </c>
      <c r="AF343" s="4">
        <f t="shared" si="270"/>
        <v>0.21097259161117732</v>
      </c>
      <c r="AG343" s="4">
        <f t="shared" si="270"/>
        <v>0.15253917653798199</v>
      </c>
      <c r="AH343" s="4">
        <f t="shared" si="270"/>
        <v>0.10795188737709993</v>
      </c>
      <c r="AI343" s="4">
        <f t="shared" si="270"/>
        <v>7.5176653938091809E-2</v>
      </c>
      <c r="AJ343" s="4">
        <f t="shared" ref="AJ343:AR350" si="271">$N343+($M343-$N343)*((1/(1+EXP(-$P343*(AJ$9-$L343)))^$O343))</f>
        <v>5.1742836177502194E-2</v>
      </c>
      <c r="AK343" s="4">
        <f t="shared" si="271"/>
        <v>3.5319190625345942E-2</v>
      </c>
      <c r="AL343" s="4">
        <f t="shared" si="271"/>
        <v>2.3969442072658165E-2</v>
      </c>
      <c r="AM343" s="4">
        <f t="shared" si="271"/>
        <v>1.6202243558389728E-2</v>
      </c>
      <c r="AN343" s="4">
        <f t="shared" si="271"/>
        <v>1.0922240564108399E-2</v>
      </c>
      <c r="AO343" s="4">
        <f t="shared" si="271"/>
        <v>7.3493212906090566E-3</v>
      </c>
      <c r="AP343" s="4">
        <f t="shared" si="271"/>
        <v>4.9390262185057265E-3</v>
      </c>
      <c r="AQ343" s="4">
        <f t="shared" si="271"/>
        <v>3.3164275492956197E-3</v>
      </c>
      <c r="AR343" s="4">
        <f t="shared" si="271"/>
        <v>2.2256362146679809E-3</v>
      </c>
    </row>
    <row r="344" spans="1:44" x14ac:dyDescent="0.25">
      <c r="A344" s="24" t="s">
        <v>206</v>
      </c>
      <c r="B344" s="115">
        <f>'Parameter Input'!$L$135</f>
        <v>0.17621088524590159</v>
      </c>
      <c r="C344" s="116">
        <f>'Parameter Input'!$M$135</f>
        <v>0</v>
      </c>
      <c r="D344" s="1" t="s">
        <v>76</v>
      </c>
      <c r="L344" s="54">
        <f>'Parameter Input'!$O$135</f>
        <v>17</v>
      </c>
      <c r="M344" s="37">
        <v>0</v>
      </c>
      <c r="N344" s="37">
        <v>1</v>
      </c>
      <c r="O344" s="37">
        <f>'Parameter Input'!$P$135</f>
        <v>0.9</v>
      </c>
      <c r="P344" s="55">
        <f>'Parameter Input'!$Q$135</f>
        <v>0.4</v>
      </c>
      <c r="Q344" s="4">
        <f t="shared" ref="Q344:AR344" si="272">$N344+($M344-$N344)*((1/(1+EXP(-$P344*(Q$9-$L344)))^$O344))</f>
        <v>0.99780374543478534</v>
      </c>
      <c r="R344" s="4">
        <f t="shared" si="272"/>
        <v>0.99685359315256394</v>
      </c>
      <c r="S344" s="4">
        <f t="shared" si="272"/>
        <v>0.99549347132349975</v>
      </c>
      <c r="T344" s="4">
        <f t="shared" si="272"/>
        <v>0.99354772139898062</v>
      </c>
      <c r="U344" s="4">
        <f t="shared" si="272"/>
        <v>0.99076681540580536</v>
      </c>
      <c r="V344" s="4">
        <f t="shared" si="272"/>
        <v>0.9867978615748374</v>
      </c>
      <c r="W344" s="4">
        <f t="shared" si="272"/>
        <v>0.98114509762858249</v>
      </c>
      <c r="X344" s="4">
        <f t="shared" si="272"/>
        <v>0.97311898315872036</v>
      </c>
      <c r="Y344" s="4">
        <f t="shared" si="272"/>
        <v>0.96177484161592774</v>
      </c>
      <c r="Z344" s="4">
        <f t="shared" si="272"/>
        <v>0.94584787155511363</v>
      </c>
      <c r="AA344" s="4">
        <f t="shared" si="272"/>
        <v>0.92370360150141495</v>
      </c>
      <c r="AB344" s="4">
        <f t="shared" si="272"/>
        <v>0.89334463567658451</v>
      </c>
      <c r="AC344" s="4">
        <f t="shared" si="272"/>
        <v>0.85254543874327005</v>
      </c>
      <c r="AD344" s="4">
        <f t="shared" si="272"/>
        <v>0.79921300652623883</v>
      </c>
      <c r="AE344" s="4">
        <f t="shared" si="272"/>
        <v>0.73204982249993378</v>
      </c>
      <c r="AF344" s="4">
        <f t="shared" si="272"/>
        <v>0.65145592958786691</v>
      </c>
      <c r="AG344" s="4">
        <f t="shared" si="272"/>
        <v>0.56032247880849573</v>
      </c>
      <c r="AH344" s="4">
        <f t="shared" si="272"/>
        <v>0.46411326873185343</v>
      </c>
      <c r="AI344" s="4">
        <f t="shared" si="272"/>
        <v>0.36979727595523937</v>
      </c>
      <c r="AJ344" s="4">
        <f t="shared" si="272"/>
        <v>0.28393948637231203</v>
      </c>
      <c r="AK344" s="4">
        <f t="shared" si="272"/>
        <v>0.21097259161117732</v>
      </c>
      <c r="AL344" s="4">
        <f t="shared" si="272"/>
        <v>0.15253917653798199</v>
      </c>
      <c r="AM344" s="4">
        <f t="shared" si="272"/>
        <v>0.10795188737709993</v>
      </c>
      <c r="AN344" s="4">
        <f t="shared" si="272"/>
        <v>7.5176653938091809E-2</v>
      </c>
      <c r="AO344" s="4">
        <f t="shared" si="272"/>
        <v>5.1742836177502194E-2</v>
      </c>
      <c r="AP344" s="4">
        <f t="shared" si="272"/>
        <v>3.5319190625345942E-2</v>
      </c>
      <c r="AQ344" s="4">
        <f t="shared" si="272"/>
        <v>2.3969442072658165E-2</v>
      </c>
      <c r="AR344" s="4">
        <f t="shared" si="272"/>
        <v>1.6202243558389728E-2</v>
      </c>
    </row>
    <row r="345" spans="1:44" x14ac:dyDescent="0.25">
      <c r="A345" s="24" t="s">
        <v>41</v>
      </c>
      <c r="B345" s="43">
        <f>'Parameter Input'!$L$129</f>
        <v>20</v>
      </c>
      <c r="C345" s="44">
        <f>'Parameter Input'!$M$129</f>
        <v>20</v>
      </c>
      <c r="D345" s="1" t="s">
        <v>42</v>
      </c>
      <c r="L345" s="54">
        <f>'Parameter Input'!$O$129</f>
        <v>12</v>
      </c>
      <c r="M345" s="37">
        <v>0</v>
      </c>
      <c r="N345" s="37">
        <v>1</v>
      </c>
      <c r="O345" s="37">
        <f>'Parameter Input'!$P$129</f>
        <v>0.9</v>
      </c>
      <c r="P345" s="55">
        <f>'Parameter Input'!$Q$129</f>
        <v>0.4</v>
      </c>
      <c r="Q345" s="4">
        <f t="shared" ref="Q345:AF350" si="273">$N345+($M345-$N345)*((1/(1+EXP(-$P345*(Q$9-$L345)))^$O345))</f>
        <v>0.9867978615748374</v>
      </c>
      <c r="R345" s="4">
        <f t="shared" si="273"/>
        <v>0.98114509762858249</v>
      </c>
      <c r="S345" s="4">
        <f t="shared" si="273"/>
        <v>0.97311898315872036</v>
      </c>
      <c r="T345" s="4">
        <f t="shared" si="273"/>
        <v>0.96177484161592774</v>
      </c>
      <c r="U345" s="4">
        <f t="shared" si="273"/>
        <v>0.94584787155511363</v>
      </c>
      <c r="V345" s="4">
        <f t="shared" si="273"/>
        <v>0.92370360150141495</v>
      </c>
      <c r="W345" s="4">
        <f t="shared" si="273"/>
        <v>0.89334463567658451</v>
      </c>
      <c r="X345" s="4">
        <f t="shared" si="273"/>
        <v>0.85254543874327005</v>
      </c>
      <c r="Y345" s="4">
        <f t="shared" si="273"/>
        <v>0.79921300652623883</v>
      </c>
      <c r="Z345" s="4">
        <f t="shared" si="273"/>
        <v>0.73204982249993378</v>
      </c>
      <c r="AA345" s="4">
        <f t="shared" si="273"/>
        <v>0.65145592958786691</v>
      </c>
      <c r="AB345" s="4">
        <f t="shared" si="273"/>
        <v>0.56032247880849573</v>
      </c>
      <c r="AC345" s="4">
        <f t="shared" si="273"/>
        <v>0.46411326873185343</v>
      </c>
      <c r="AD345" s="4">
        <f t="shared" si="273"/>
        <v>0.36979727595523937</v>
      </c>
      <c r="AE345" s="4">
        <f t="shared" si="273"/>
        <v>0.28393948637231203</v>
      </c>
      <c r="AF345" s="4">
        <f t="shared" si="273"/>
        <v>0.21097259161117732</v>
      </c>
      <c r="AG345" s="4">
        <f t="shared" si="270"/>
        <v>0.15253917653798199</v>
      </c>
      <c r="AH345" s="4">
        <f t="shared" si="270"/>
        <v>0.10795188737709993</v>
      </c>
      <c r="AI345" s="4">
        <f t="shared" si="270"/>
        <v>7.5176653938091809E-2</v>
      </c>
      <c r="AJ345" s="4">
        <f t="shared" si="271"/>
        <v>5.1742836177502194E-2</v>
      </c>
      <c r="AK345" s="4">
        <f t="shared" si="271"/>
        <v>3.5319190625345942E-2</v>
      </c>
      <c r="AL345" s="4">
        <f t="shared" si="271"/>
        <v>2.3969442072658165E-2</v>
      </c>
      <c r="AM345" s="4">
        <f t="shared" si="271"/>
        <v>1.6202243558389728E-2</v>
      </c>
      <c r="AN345" s="4">
        <f t="shared" si="271"/>
        <v>1.0922240564108399E-2</v>
      </c>
      <c r="AO345" s="4">
        <f t="shared" si="271"/>
        <v>7.3493212906090566E-3</v>
      </c>
      <c r="AP345" s="4">
        <f t="shared" si="271"/>
        <v>4.9390262185057265E-3</v>
      </c>
      <c r="AQ345" s="4">
        <f t="shared" si="271"/>
        <v>3.3164275492956197E-3</v>
      </c>
      <c r="AR345" s="4">
        <f t="shared" si="271"/>
        <v>2.2256362146679809E-3</v>
      </c>
    </row>
    <row r="346" spans="1:44" x14ac:dyDescent="0.25">
      <c r="A346" s="24" t="s">
        <v>70</v>
      </c>
      <c r="B346" s="43">
        <f>'Parameter Input'!B133</f>
        <v>30</v>
      </c>
      <c r="C346" s="44">
        <f>'Parameter Input'!C133</f>
        <v>30</v>
      </c>
      <c r="D346" s="1" t="s">
        <v>42</v>
      </c>
      <c r="L346" s="54">
        <f>'Parameter Input'!E133</f>
        <v>12</v>
      </c>
      <c r="M346" s="37">
        <v>0</v>
      </c>
      <c r="N346" s="37">
        <v>1</v>
      </c>
      <c r="O346" s="37">
        <f>'Parameter Input'!F133</f>
        <v>0.9</v>
      </c>
      <c r="P346" s="55">
        <f>'Parameter Input'!G133</f>
        <v>0.4</v>
      </c>
      <c r="Q346" s="4">
        <f t="shared" si="273"/>
        <v>0.9867978615748374</v>
      </c>
      <c r="R346" s="4">
        <f t="shared" si="273"/>
        <v>0.98114509762858249</v>
      </c>
      <c r="S346" s="4">
        <f t="shared" si="273"/>
        <v>0.97311898315872036</v>
      </c>
      <c r="T346" s="4">
        <f t="shared" si="273"/>
        <v>0.96177484161592774</v>
      </c>
      <c r="U346" s="4">
        <f t="shared" si="273"/>
        <v>0.94584787155511363</v>
      </c>
      <c r="V346" s="4">
        <f t="shared" si="273"/>
        <v>0.92370360150141495</v>
      </c>
      <c r="W346" s="4">
        <f t="shared" si="273"/>
        <v>0.89334463567658451</v>
      </c>
      <c r="X346" s="4">
        <f t="shared" si="273"/>
        <v>0.85254543874327005</v>
      </c>
      <c r="Y346" s="4">
        <f t="shared" si="273"/>
        <v>0.79921300652623883</v>
      </c>
      <c r="Z346" s="4">
        <f t="shared" si="273"/>
        <v>0.73204982249993378</v>
      </c>
      <c r="AA346" s="4">
        <f t="shared" si="273"/>
        <v>0.65145592958786691</v>
      </c>
      <c r="AB346" s="4">
        <f t="shared" si="273"/>
        <v>0.56032247880849573</v>
      </c>
      <c r="AC346" s="4">
        <f t="shared" si="273"/>
        <v>0.46411326873185343</v>
      </c>
      <c r="AD346" s="4">
        <f t="shared" si="273"/>
        <v>0.36979727595523937</v>
      </c>
      <c r="AE346" s="4">
        <f t="shared" si="273"/>
        <v>0.28393948637231203</v>
      </c>
      <c r="AF346" s="4">
        <f t="shared" si="273"/>
        <v>0.21097259161117732</v>
      </c>
      <c r="AG346" s="4">
        <f t="shared" si="270"/>
        <v>0.15253917653798199</v>
      </c>
      <c r="AH346" s="4">
        <f t="shared" si="270"/>
        <v>0.10795188737709993</v>
      </c>
      <c r="AI346" s="4">
        <f t="shared" si="270"/>
        <v>7.5176653938091809E-2</v>
      </c>
      <c r="AJ346" s="4">
        <f t="shared" si="271"/>
        <v>5.1742836177502194E-2</v>
      </c>
      <c r="AK346" s="4">
        <f t="shared" si="271"/>
        <v>3.5319190625345942E-2</v>
      </c>
      <c r="AL346" s="4">
        <f t="shared" si="271"/>
        <v>2.3969442072658165E-2</v>
      </c>
      <c r="AM346" s="4">
        <f t="shared" si="271"/>
        <v>1.6202243558389728E-2</v>
      </c>
      <c r="AN346" s="4">
        <f t="shared" si="271"/>
        <v>1.0922240564108399E-2</v>
      </c>
      <c r="AO346" s="4">
        <f t="shared" si="271"/>
        <v>7.3493212906090566E-3</v>
      </c>
      <c r="AP346" s="4">
        <f t="shared" si="271"/>
        <v>4.9390262185057265E-3</v>
      </c>
      <c r="AQ346" s="4">
        <f t="shared" si="271"/>
        <v>3.3164275492956197E-3</v>
      </c>
      <c r="AR346" s="4">
        <f t="shared" si="271"/>
        <v>2.2256362146679809E-3</v>
      </c>
    </row>
    <row r="347" spans="1:44" x14ac:dyDescent="0.25">
      <c r="A347" s="24" t="s">
        <v>207</v>
      </c>
      <c r="B347" s="70">
        <f>'Parameter Input'!B130</f>
        <v>2240</v>
      </c>
      <c r="C347" s="71">
        <f>'Parameter Input'!C130</f>
        <v>2240</v>
      </c>
      <c r="D347" s="1" t="s">
        <v>49</v>
      </c>
      <c r="L347" s="54">
        <f>'Parameter Input'!E130</f>
        <v>12</v>
      </c>
      <c r="M347" s="37">
        <v>0</v>
      </c>
      <c r="N347" s="37">
        <v>1</v>
      </c>
      <c r="O347" s="37">
        <f>'Parameter Input'!F130</f>
        <v>0.9</v>
      </c>
      <c r="P347" s="55">
        <f>'Parameter Input'!G130</f>
        <v>0.4</v>
      </c>
      <c r="Q347" s="4">
        <f t="shared" si="273"/>
        <v>0.9867978615748374</v>
      </c>
      <c r="R347" s="4">
        <f t="shared" si="273"/>
        <v>0.98114509762858249</v>
      </c>
      <c r="S347" s="4">
        <f t="shared" si="273"/>
        <v>0.97311898315872036</v>
      </c>
      <c r="T347" s="4">
        <f t="shared" si="273"/>
        <v>0.96177484161592774</v>
      </c>
      <c r="U347" s="4">
        <f t="shared" si="273"/>
        <v>0.94584787155511363</v>
      </c>
      <c r="V347" s="4">
        <f t="shared" si="273"/>
        <v>0.92370360150141495</v>
      </c>
      <c r="W347" s="4">
        <f t="shared" si="273"/>
        <v>0.89334463567658451</v>
      </c>
      <c r="X347" s="4">
        <f t="shared" si="273"/>
        <v>0.85254543874327005</v>
      </c>
      <c r="Y347" s="4">
        <f t="shared" si="273"/>
        <v>0.79921300652623883</v>
      </c>
      <c r="Z347" s="4">
        <f t="shared" si="273"/>
        <v>0.73204982249993378</v>
      </c>
      <c r="AA347" s="4">
        <f t="shared" si="273"/>
        <v>0.65145592958786691</v>
      </c>
      <c r="AB347" s="4">
        <f t="shared" si="273"/>
        <v>0.56032247880849573</v>
      </c>
      <c r="AC347" s="4">
        <f t="shared" si="273"/>
        <v>0.46411326873185343</v>
      </c>
      <c r="AD347" s="4">
        <f t="shared" si="273"/>
        <v>0.36979727595523937</v>
      </c>
      <c r="AE347" s="4">
        <f t="shared" si="273"/>
        <v>0.28393948637231203</v>
      </c>
      <c r="AF347" s="4">
        <f t="shared" si="273"/>
        <v>0.21097259161117732</v>
      </c>
      <c r="AG347" s="4">
        <f t="shared" si="270"/>
        <v>0.15253917653798199</v>
      </c>
      <c r="AH347" s="4">
        <f t="shared" si="270"/>
        <v>0.10795188737709993</v>
      </c>
      <c r="AI347" s="4">
        <f t="shared" si="270"/>
        <v>7.5176653938091809E-2</v>
      </c>
      <c r="AJ347" s="4">
        <f t="shared" si="271"/>
        <v>5.1742836177502194E-2</v>
      </c>
      <c r="AK347" s="4">
        <f t="shared" si="271"/>
        <v>3.5319190625345942E-2</v>
      </c>
      <c r="AL347" s="4">
        <f t="shared" si="271"/>
        <v>2.3969442072658165E-2</v>
      </c>
      <c r="AM347" s="4">
        <f t="shared" si="271"/>
        <v>1.6202243558389728E-2</v>
      </c>
      <c r="AN347" s="4">
        <f t="shared" si="271"/>
        <v>1.0922240564108399E-2</v>
      </c>
      <c r="AO347" s="4">
        <f t="shared" si="271"/>
        <v>7.3493212906090566E-3</v>
      </c>
      <c r="AP347" s="4">
        <f t="shared" si="271"/>
        <v>4.9390262185057265E-3</v>
      </c>
      <c r="AQ347" s="4">
        <f t="shared" si="271"/>
        <v>3.3164275492956197E-3</v>
      </c>
      <c r="AR347" s="4">
        <f t="shared" si="271"/>
        <v>2.2256362146679809E-3</v>
      </c>
    </row>
    <row r="348" spans="1:44" x14ac:dyDescent="0.25">
      <c r="A348" s="24" t="s">
        <v>56</v>
      </c>
      <c r="B348" s="72">
        <f>'Parameter Input'!B131</f>
        <v>0.72000000000000008</v>
      </c>
      <c r="C348" s="73">
        <f>'Parameter Input'!C131</f>
        <v>0.72000000000000008</v>
      </c>
      <c r="D348" s="1" t="s">
        <v>57</v>
      </c>
      <c r="L348" s="54">
        <f>'Parameter Input'!E131</f>
        <v>12</v>
      </c>
      <c r="M348" s="37">
        <v>0</v>
      </c>
      <c r="N348" s="37">
        <v>1</v>
      </c>
      <c r="O348" s="37">
        <f>'Parameter Input'!F131</f>
        <v>0.9</v>
      </c>
      <c r="P348" s="55">
        <f>'Parameter Input'!G131</f>
        <v>0.4</v>
      </c>
      <c r="Q348" s="4">
        <f t="shared" si="273"/>
        <v>0.9867978615748374</v>
      </c>
      <c r="R348" s="4">
        <f t="shared" si="273"/>
        <v>0.98114509762858249</v>
      </c>
      <c r="S348" s="4">
        <f t="shared" si="273"/>
        <v>0.97311898315872036</v>
      </c>
      <c r="T348" s="4">
        <f t="shared" si="273"/>
        <v>0.96177484161592774</v>
      </c>
      <c r="U348" s="4">
        <f t="shared" si="273"/>
        <v>0.94584787155511363</v>
      </c>
      <c r="V348" s="4">
        <f t="shared" si="273"/>
        <v>0.92370360150141495</v>
      </c>
      <c r="W348" s="4">
        <f t="shared" si="273"/>
        <v>0.89334463567658451</v>
      </c>
      <c r="X348" s="4">
        <f t="shared" si="273"/>
        <v>0.85254543874327005</v>
      </c>
      <c r="Y348" s="4">
        <f t="shared" si="273"/>
        <v>0.79921300652623883</v>
      </c>
      <c r="Z348" s="4">
        <f t="shared" si="273"/>
        <v>0.73204982249993378</v>
      </c>
      <c r="AA348" s="4">
        <f t="shared" si="273"/>
        <v>0.65145592958786691</v>
      </c>
      <c r="AB348" s="4">
        <f t="shared" si="273"/>
        <v>0.56032247880849573</v>
      </c>
      <c r="AC348" s="4">
        <f t="shared" si="273"/>
        <v>0.46411326873185343</v>
      </c>
      <c r="AD348" s="4">
        <f t="shared" si="273"/>
        <v>0.36979727595523937</v>
      </c>
      <c r="AE348" s="4">
        <f t="shared" si="273"/>
        <v>0.28393948637231203</v>
      </c>
      <c r="AF348" s="4">
        <f t="shared" si="273"/>
        <v>0.21097259161117732</v>
      </c>
      <c r="AG348" s="4">
        <f t="shared" si="270"/>
        <v>0.15253917653798199</v>
      </c>
      <c r="AH348" s="4">
        <f t="shared" si="270"/>
        <v>0.10795188737709993</v>
      </c>
      <c r="AI348" s="4">
        <f t="shared" si="270"/>
        <v>7.5176653938091809E-2</v>
      </c>
      <c r="AJ348" s="4">
        <f t="shared" si="271"/>
        <v>5.1742836177502194E-2</v>
      </c>
      <c r="AK348" s="4">
        <f t="shared" si="271"/>
        <v>3.5319190625345942E-2</v>
      </c>
      <c r="AL348" s="4">
        <f t="shared" si="271"/>
        <v>2.3969442072658165E-2</v>
      </c>
      <c r="AM348" s="4">
        <f t="shared" si="271"/>
        <v>1.6202243558389728E-2</v>
      </c>
      <c r="AN348" s="4">
        <f t="shared" si="271"/>
        <v>1.0922240564108399E-2</v>
      </c>
      <c r="AO348" s="4">
        <f t="shared" si="271"/>
        <v>7.3493212906090566E-3</v>
      </c>
      <c r="AP348" s="4">
        <f t="shared" si="271"/>
        <v>4.9390262185057265E-3</v>
      </c>
      <c r="AQ348" s="4">
        <f t="shared" si="271"/>
        <v>3.3164275492956197E-3</v>
      </c>
      <c r="AR348" s="4">
        <f t="shared" si="271"/>
        <v>2.2256362146679809E-3</v>
      </c>
    </row>
    <row r="349" spans="1:44" x14ac:dyDescent="0.25">
      <c r="A349" s="24" t="s">
        <v>73</v>
      </c>
      <c r="B349" s="72">
        <f>'Parameter Input'!$L$133</f>
        <v>1.7857142857142856E-2</v>
      </c>
      <c r="C349" s="73">
        <f>'Parameter Input'!$M$133</f>
        <v>1.7857142857142856E-2</v>
      </c>
      <c r="D349" s="1" t="s">
        <v>57</v>
      </c>
      <c r="L349" s="54">
        <f>'Parameter Input'!$O$133</f>
        <v>12</v>
      </c>
      <c r="M349" s="37">
        <v>0</v>
      </c>
      <c r="N349" s="37">
        <v>1</v>
      </c>
      <c r="O349" s="37">
        <f>'Parameter Input'!$P$133</f>
        <v>0.9</v>
      </c>
      <c r="P349" s="55">
        <f>'Parameter Input'!$Q$133</f>
        <v>0.4</v>
      </c>
      <c r="Q349" s="4">
        <f t="shared" si="273"/>
        <v>0.9867978615748374</v>
      </c>
      <c r="R349" s="4">
        <f t="shared" si="273"/>
        <v>0.98114509762858249</v>
      </c>
      <c r="S349" s="4">
        <f t="shared" si="273"/>
        <v>0.97311898315872036</v>
      </c>
      <c r="T349" s="4">
        <f t="shared" si="273"/>
        <v>0.96177484161592774</v>
      </c>
      <c r="U349" s="4">
        <f t="shared" si="273"/>
        <v>0.94584787155511363</v>
      </c>
      <c r="V349" s="4">
        <f t="shared" si="273"/>
        <v>0.92370360150141495</v>
      </c>
      <c r="W349" s="4">
        <f t="shared" si="273"/>
        <v>0.89334463567658451</v>
      </c>
      <c r="X349" s="4">
        <f t="shared" si="273"/>
        <v>0.85254543874327005</v>
      </c>
      <c r="Y349" s="4">
        <f t="shared" si="273"/>
        <v>0.79921300652623883</v>
      </c>
      <c r="Z349" s="4">
        <f t="shared" si="273"/>
        <v>0.73204982249993378</v>
      </c>
      <c r="AA349" s="4">
        <f t="shared" si="273"/>
        <v>0.65145592958786691</v>
      </c>
      <c r="AB349" s="4">
        <f t="shared" si="273"/>
        <v>0.56032247880849573</v>
      </c>
      <c r="AC349" s="4">
        <f t="shared" si="273"/>
        <v>0.46411326873185343</v>
      </c>
      <c r="AD349" s="4">
        <f t="shared" si="273"/>
        <v>0.36979727595523937</v>
      </c>
      <c r="AE349" s="4">
        <f t="shared" si="273"/>
        <v>0.28393948637231203</v>
      </c>
      <c r="AF349" s="4">
        <f t="shared" si="273"/>
        <v>0.21097259161117732</v>
      </c>
      <c r="AG349" s="4">
        <f t="shared" si="270"/>
        <v>0.15253917653798199</v>
      </c>
      <c r="AH349" s="4">
        <f t="shared" si="270"/>
        <v>0.10795188737709993</v>
      </c>
      <c r="AI349" s="4">
        <f t="shared" si="270"/>
        <v>7.5176653938091809E-2</v>
      </c>
      <c r="AJ349" s="4">
        <f t="shared" si="271"/>
        <v>5.1742836177502194E-2</v>
      </c>
      <c r="AK349" s="4">
        <f t="shared" si="271"/>
        <v>3.5319190625345942E-2</v>
      </c>
      <c r="AL349" s="4">
        <f t="shared" si="271"/>
        <v>2.3969442072658165E-2</v>
      </c>
      <c r="AM349" s="4">
        <f t="shared" si="271"/>
        <v>1.6202243558389728E-2</v>
      </c>
      <c r="AN349" s="4">
        <f t="shared" si="271"/>
        <v>1.0922240564108399E-2</v>
      </c>
      <c r="AO349" s="4">
        <f t="shared" si="271"/>
        <v>7.3493212906090566E-3</v>
      </c>
      <c r="AP349" s="4">
        <f t="shared" si="271"/>
        <v>4.9390262185057265E-3</v>
      </c>
      <c r="AQ349" s="4">
        <f t="shared" si="271"/>
        <v>3.3164275492956197E-3</v>
      </c>
      <c r="AR349" s="4">
        <f t="shared" si="271"/>
        <v>2.2256362146679809E-3</v>
      </c>
    </row>
    <row r="350" spans="1:44" ht="15.75" thickBot="1" x14ac:dyDescent="0.3">
      <c r="A350" s="24" t="s">
        <v>64</v>
      </c>
      <c r="B350" s="74">
        <f>'Parameter Input'!B132</f>
        <v>178500</v>
      </c>
      <c r="C350" s="75">
        <f>'Parameter Input'!C132</f>
        <v>178500</v>
      </c>
      <c r="D350" s="1" t="s">
        <v>65</v>
      </c>
      <c r="L350" s="56">
        <f>'Parameter Input'!E132</f>
        <v>12</v>
      </c>
      <c r="M350" s="57">
        <v>0</v>
      </c>
      <c r="N350" s="57">
        <v>1</v>
      </c>
      <c r="O350" s="57">
        <f>'Parameter Input'!F132</f>
        <v>0.9</v>
      </c>
      <c r="P350" s="58">
        <f>'Parameter Input'!G132</f>
        <v>0.4</v>
      </c>
      <c r="Q350" s="4">
        <f t="shared" si="273"/>
        <v>0.9867978615748374</v>
      </c>
      <c r="R350" s="4">
        <f t="shared" si="273"/>
        <v>0.98114509762858249</v>
      </c>
      <c r="S350" s="4">
        <f t="shared" si="273"/>
        <v>0.97311898315872036</v>
      </c>
      <c r="T350" s="4">
        <f t="shared" si="273"/>
        <v>0.96177484161592774</v>
      </c>
      <c r="U350" s="4">
        <f t="shared" si="273"/>
        <v>0.94584787155511363</v>
      </c>
      <c r="V350" s="4">
        <f t="shared" si="273"/>
        <v>0.92370360150141495</v>
      </c>
      <c r="W350" s="4">
        <f t="shared" si="273"/>
        <v>0.89334463567658451</v>
      </c>
      <c r="X350" s="4">
        <f t="shared" si="273"/>
        <v>0.85254543874327005</v>
      </c>
      <c r="Y350" s="4">
        <f t="shared" si="273"/>
        <v>0.79921300652623883</v>
      </c>
      <c r="Z350" s="4">
        <f t="shared" si="273"/>
        <v>0.73204982249993378</v>
      </c>
      <c r="AA350" s="4">
        <f t="shared" si="273"/>
        <v>0.65145592958786691</v>
      </c>
      <c r="AB350" s="4">
        <f t="shared" si="273"/>
        <v>0.56032247880849573</v>
      </c>
      <c r="AC350" s="4">
        <f t="shared" si="273"/>
        <v>0.46411326873185343</v>
      </c>
      <c r="AD350" s="4">
        <f t="shared" si="273"/>
        <v>0.36979727595523937</v>
      </c>
      <c r="AE350" s="4">
        <f t="shared" si="273"/>
        <v>0.28393948637231203</v>
      </c>
      <c r="AF350" s="4">
        <f t="shared" si="273"/>
        <v>0.21097259161117732</v>
      </c>
      <c r="AG350" s="4">
        <f t="shared" si="270"/>
        <v>0.15253917653798199</v>
      </c>
      <c r="AH350" s="4">
        <f t="shared" si="270"/>
        <v>0.10795188737709993</v>
      </c>
      <c r="AI350" s="4">
        <f t="shared" si="270"/>
        <v>7.5176653938091809E-2</v>
      </c>
      <c r="AJ350" s="4">
        <f t="shared" si="271"/>
        <v>5.1742836177502194E-2</v>
      </c>
      <c r="AK350" s="4">
        <f t="shared" si="271"/>
        <v>3.5319190625345942E-2</v>
      </c>
      <c r="AL350" s="4">
        <f t="shared" si="271"/>
        <v>2.3969442072658165E-2</v>
      </c>
      <c r="AM350" s="4">
        <f t="shared" si="271"/>
        <v>1.6202243558389728E-2</v>
      </c>
      <c r="AN350" s="4">
        <f t="shared" si="271"/>
        <v>1.0922240564108399E-2</v>
      </c>
      <c r="AO350" s="4">
        <f t="shared" si="271"/>
        <v>7.3493212906090566E-3</v>
      </c>
      <c r="AP350" s="4">
        <f t="shared" si="271"/>
        <v>4.9390262185057265E-3</v>
      </c>
      <c r="AQ350" s="4">
        <f t="shared" si="271"/>
        <v>3.3164275492956197E-3</v>
      </c>
      <c r="AR350" s="4">
        <f t="shared" si="271"/>
        <v>2.2256362146679809E-3</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74">A334</f>
        <v>Capex vehicle</v>
      </c>
      <c r="B354" s="62">
        <f t="shared" ref="B354:B363" si="275">$B334+($C334-$B334)*(1-Q334)</f>
        <v>9920787.1694490239</v>
      </c>
      <c r="C354" s="62">
        <f t="shared" ref="C354:C363" si="276">$B334+($C334-$B334)*(1-R334)</f>
        <v>9886870.5857714955</v>
      </c>
      <c r="D354" s="62">
        <f t="shared" ref="D354:D363" si="277">$B334+($C334-$B334)*(1-S334)</f>
        <v>9838713.8989523221</v>
      </c>
      <c r="E354" s="62">
        <f t="shared" ref="E354:E363" si="278">$B334+($C334-$B334)*(1-T334)</f>
        <v>9770649.0496955663</v>
      </c>
      <c r="F354" s="62">
        <f t="shared" ref="F354:F363" si="279">$B334+($C334-$B334)*(1-U334)</f>
        <v>9675087.2293306813</v>
      </c>
      <c r="G354" s="62">
        <f t="shared" ref="G354:G363" si="280">$B334+($C334-$B334)*(1-V334)</f>
        <v>9542221.6090084892</v>
      </c>
      <c r="H354" s="62">
        <f t="shared" ref="H354:H363" si="281">$B334+($C334-$B334)*(1-W334)</f>
        <v>9360067.8140595071</v>
      </c>
      <c r="I354" s="62">
        <f t="shared" ref="I354:I363" si="282">$B334+($C334-$B334)*(1-X334)</f>
        <v>9115272.63245962</v>
      </c>
      <c r="J354" s="62">
        <f t="shared" ref="J354:J363" si="283">$B334+($C334-$B334)*(1-Y334)</f>
        <v>8795278.0391574334</v>
      </c>
      <c r="K354" s="62">
        <f t="shared" ref="K354:K363" si="284">$B334+($C334-$B334)*(1-Z334)</f>
        <v>8392298.9349996019</v>
      </c>
      <c r="L354" s="62">
        <f t="shared" ref="L354:L363" si="285">$B334+($C334-$B334)*(1-AA334)</f>
        <v>7908735.5775272017</v>
      </c>
      <c r="M354" s="62">
        <f t="shared" ref="M354:M363" si="286">$B334+($C334-$B334)*(1-AB334)</f>
        <v>7361934.872850975</v>
      </c>
      <c r="N354" s="62">
        <f t="shared" ref="N354:N363" si="287">$B334+($C334-$B334)*(1-AC334)</f>
        <v>6784679.6123911208</v>
      </c>
      <c r="O354" s="62">
        <f t="shared" ref="O354:O363" si="288">$B334+($C334-$B334)*(1-AD334)</f>
        <v>6218783.6557314359</v>
      </c>
      <c r="P354" s="62">
        <f t="shared" ref="P354:P363" si="289">$B334+($C334-$B334)*(1-AE334)</f>
        <v>5703636.9182338724</v>
      </c>
      <c r="Q354" s="62">
        <f t="shared" ref="Q354:Q363" si="290">$B334+($C334-$B334)*(1-AF334)</f>
        <v>5265835.5496670641</v>
      </c>
      <c r="R354" s="62">
        <f t="shared" ref="R354:R363" si="291">$B334+($C334-$B334)*(1-AG334)</f>
        <v>4915235.0592278922</v>
      </c>
      <c r="S354" s="62">
        <f t="shared" ref="S354:S363" si="292">$B334+($C334-$B334)*(1-AH334)</f>
        <v>4647711.3242625995</v>
      </c>
      <c r="T354" s="62">
        <f t="shared" ref="T354:T363" si="293">$B334+($C334-$B334)*(1-AI334)</f>
        <v>4451059.923628551</v>
      </c>
      <c r="U354" s="62">
        <f t="shared" ref="U354:U363" si="294">$B334+($C334-$B334)*(1-AJ334)</f>
        <v>4310457.0170650128</v>
      </c>
      <c r="V354" s="62">
        <f t="shared" ref="V354:V363" si="295">$B334+($C334-$B334)*(1-AK334)</f>
        <v>4211915.1437520757</v>
      </c>
      <c r="W354" s="62">
        <f t="shared" ref="W354:W363" si="296">$B334+($C334-$B334)*(1-AL334)</f>
        <v>4143816.6524359491</v>
      </c>
      <c r="X354" s="62">
        <f t="shared" ref="X354:X363" si="297">$B334+($C334-$B334)*(1-AM334)</f>
        <v>4097213.4613503385</v>
      </c>
      <c r="Y354" s="62">
        <f t="shared" ref="Y354:Y363" si="298">$B334+($C334-$B334)*(1-AN334)</f>
        <v>4065533.4433846502</v>
      </c>
      <c r="Z354" s="62">
        <f t="shared" ref="Z354:Z363" si="299">$B334+($C334-$B334)*(1-AO334)</f>
        <v>4044095.9277436547</v>
      </c>
      <c r="AA354" s="62">
        <f t="shared" ref="AA354:AA363" si="300">$B334+($C334-$B334)*(1-AP334)</f>
        <v>4029634.1573110344</v>
      </c>
      <c r="AB354" s="62">
        <f t="shared" ref="AB354:AB363" si="301">$B334+($C334-$B334)*(1-AQ334)</f>
        <v>4019898.5652957736</v>
      </c>
      <c r="AC354" s="62">
        <f t="shared" ref="AC354:AC363" si="302">$B334+($C334-$B334)*(1-AR334)</f>
        <v>4013353.8172880076</v>
      </c>
    </row>
    <row r="355" spans="1:29" x14ac:dyDescent="0.25">
      <c r="A355" s="30" t="str">
        <f t="shared" si="274"/>
        <v>Residual value (vehicle)</v>
      </c>
      <c r="B355" s="62">
        <f t="shared" si="275"/>
        <v>-501320.21384251624</v>
      </c>
      <c r="C355" s="62">
        <f t="shared" si="276"/>
        <v>-501885.49023714173</v>
      </c>
      <c r="D355" s="62">
        <f t="shared" si="277"/>
        <v>-502688.10168412799</v>
      </c>
      <c r="E355" s="62">
        <f t="shared" si="278"/>
        <v>-503822.51583840721</v>
      </c>
      <c r="F355" s="62">
        <f t="shared" si="279"/>
        <v>-505415.21284448862</v>
      </c>
      <c r="G355" s="62">
        <f t="shared" si="280"/>
        <v>-507629.63984985853</v>
      </c>
      <c r="H355" s="62">
        <f t="shared" si="281"/>
        <v>-510665.53643234156</v>
      </c>
      <c r="I355" s="62">
        <f t="shared" si="282"/>
        <v>-514745.45612567302</v>
      </c>
      <c r="J355" s="62">
        <f t="shared" si="283"/>
        <v>-520078.69934737612</v>
      </c>
      <c r="K355" s="62">
        <f t="shared" si="284"/>
        <v>-526795.01775000663</v>
      </c>
      <c r="L355" s="62">
        <f t="shared" si="285"/>
        <v>-534854.40704121336</v>
      </c>
      <c r="M355" s="62">
        <f t="shared" si="286"/>
        <v>-543967.75211915048</v>
      </c>
      <c r="N355" s="62">
        <f t="shared" si="287"/>
        <v>-553588.67312681465</v>
      </c>
      <c r="O355" s="62">
        <f t="shared" si="288"/>
        <v>-563020.27240447607</v>
      </c>
      <c r="P355" s="62">
        <f t="shared" si="289"/>
        <v>-571606.05136276875</v>
      </c>
      <c r="Q355" s="62">
        <f t="shared" si="290"/>
        <v>-578902.74083888228</v>
      </c>
      <c r="R355" s="62">
        <f t="shared" si="291"/>
        <v>-584746.08234620176</v>
      </c>
      <c r="S355" s="62">
        <f t="shared" si="292"/>
        <v>-589204.81126228999</v>
      </c>
      <c r="T355" s="62">
        <f t="shared" si="293"/>
        <v>-592482.33460619079</v>
      </c>
      <c r="U355" s="62">
        <f t="shared" si="294"/>
        <v>-594825.71638224972</v>
      </c>
      <c r="V355" s="62">
        <f t="shared" si="295"/>
        <v>-596468.08093746542</v>
      </c>
      <c r="W355" s="62">
        <f t="shared" si="296"/>
        <v>-597603.05579273414</v>
      </c>
      <c r="X355" s="62">
        <f t="shared" si="297"/>
        <v>-598379.77564416104</v>
      </c>
      <c r="Y355" s="62">
        <f t="shared" si="298"/>
        <v>-598907.77594358916</v>
      </c>
      <c r="Z355" s="62">
        <f t="shared" si="299"/>
        <v>-599265.06787093915</v>
      </c>
      <c r="AA355" s="62">
        <f t="shared" si="300"/>
        <v>-599506.0973781494</v>
      </c>
      <c r="AB355" s="62">
        <f t="shared" si="301"/>
        <v>-599668.35724507039</v>
      </c>
      <c r="AC355" s="62">
        <f t="shared" si="302"/>
        <v>-599777.43637853325</v>
      </c>
    </row>
    <row r="356" spans="1:29" x14ac:dyDescent="0.25">
      <c r="A356" s="30" t="str">
        <f t="shared" si="274"/>
        <v>Capex costumization</v>
      </c>
      <c r="B356" s="62">
        <f t="shared" si="275"/>
        <v>4200000</v>
      </c>
      <c r="C356" s="62">
        <f t="shared" si="276"/>
        <v>4200000</v>
      </c>
      <c r="D356" s="62">
        <f t="shared" si="277"/>
        <v>4200000</v>
      </c>
      <c r="E356" s="62">
        <f t="shared" si="278"/>
        <v>4200000</v>
      </c>
      <c r="F356" s="62">
        <f t="shared" si="279"/>
        <v>4200000</v>
      </c>
      <c r="G356" s="62">
        <f t="shared" si="280"/>
        <v>4200000</v>
      </c>
      <c r="H356" s="62">
        <f t="shared" si="281"/>
        <v>4200000</v>
      </c>
      <c r="I356" s="62">
        <f t="shared" si="282"/>
        <v>4200000</v>
      </c>
      <c r="J356" s="62">
        <f t="shared" si="283"/>
        <v>4200000</v>
      </c>
      <c r="K356" s="62">
        <f t="shared" si="284"/>
        <v>4200000</v>
      </c>
      <c r="L356" s="62">
        <f t="shared" si="285"/>
        <v>4200000</v>
      </c>
      <c r="M356" s="62">
        <f t="shared" si="286"/>
        <v>4200000</v>
      </c>
      <c r="N356" s="62">
        <f t="shared" si="287"/>
        <v>4200000</v>
      </c>
      <c r="O356" s="62">
        <f t="shared" si="288"/>
        <v>4200000</v>
      </c>
      <c r="P356" s="62">
        <f t="shared" si="289"/>
        <v>4200000</v>
      </c>
      <c r="Q356" s="62">
        <f t="shared" si="290"/>
        <v>4200000</v>
      </c>
      <c r="R356" s="62">
        <f t="shared" si="291"/>
        <v>4200000</v>
      </c>
      <c r="S356" s="62">
        <f t="shared" si="292"/>
        <v>4200000</v>
      </c>
      <c r="T356" s="62">
        <f t="shared" si="293"/>
        <v>4200000</v>
      </c>
      <c r="U356" s="62">
        <f t="shared" si="294"/>
        <v>4200000</v>
      </c>
      <c r="V356" s="62">
        <f t="shared" si="295"/>
        <v>4200000</v>
      </c>
      <c r="W356" s="62">
        <f t="shared" si="296"/>
        <v>4200000</v>
      </c>
      <c r="X356" s="62">
        <f t="shared" si="297"/>
        <v>4200000</v>
      </c>
      <c r="Y356" s="62">
        <f t="shared" si="298"/>
        <v>4200000</v>
      </c>
      <c r="Z356" s="62">
        <f t="shared" si="299"/>
        <v>4200000</v>
      </c>
      <c r="AA356" s="62">
        <f t="shared" si="300"/>
        <v>4200000</v>
      </c>
      <c r="AB356" s="62">
        <f t="shared" si="301"/>
        <v>4200000</v>
      </c>
      <c r="AC356" s="62">
        <f t="shared" si="302"/>
        <v>4200000</v>
      </c>
    </row>
    <row r="357" spans="1:29" x14ac:dyDescent="0.25">
      <c r="A357" s="30" t="str">
        <f t="shared" si="274"/>
        <v>Residual value (costumization)</v>
      </c>
      <c r="B357" s="62">
        <f t="shared" si="275"/>
        <v>-210000</v>
      </c>
      <c r="C357" s="62">
        <f t="shared" si="276"/>
        <v>-210000</v>
      </c>
      <c r="D357" s="62">
        <f t="shared" si="277"/>
        <v>-210000</v>
      </c>
      <c r="E357" s="62">
        <f t="shared" si="278"/>
        <v>-210000</v>
      </c>
      <c r="F357" s="62">
        <f t="shared" si="279"/>
        <v>-210000</v>
      </c>
      <c r="G357" s="62">
        <f t="shared" si="280"/>
        <v>-210000</v>
      </c>
      <c r="H357" s="62">
        <f t="shared" si="281"/>
        <v>-210000</v>
      </c>
      <c r="I357" s="62">
        <f t="shared" si="282"/>
        <v>-210000</v>
      </c>
      <c r="J357" s="62">
        <f t="shared" si="283"/>
        <v>-210000</v>
      </c>
      <c r="K357" s="62">
        <f t="shared" si="284"/>
        <v>-210000</v>
      </c>
      <c r="L357" s="62">
        <f t="shared" si="285"/>
        <v>-210000</v>
      </c>
      <c r="M357" s="62">
        <f t="shared" si="286"/>
        <v>-210000</v>
      </c>
      <c r="N357" s="62">
        <f t="shared" si="287"/>
        <v>-210000</v>
      </c>
      <c r="O357" s="62">
        <f t="shared" si="288"/>
        <v>-210000</v>
      </c>
      <c r="P357" s="62">
        <f t="shared" si="289"/>
        <v>-210000</v>
      </c>
      <c r="Q357" s="62">
        <f t="shared" si="290"/>
        <v>-210000</v>
      </c>
      <c r="R357" s="62">
        <f t="shared" si="291"/>
        <v>-210000</v>
      </c>
      <c r="S357" s="62">
        <f t="shared" si="292"/>
        <v>-210000</v>
      </c>
      <c r="T357" s="62">
        <f t="shared" si="293"/>
        <v>-210000</v>
      </c>
      <c r="U357" s="62">
        <f t="shared" si="294"/>
        <v>-210000</v>
      </c>
      <c r="V357" s="62">
        <f t="shared" si="295"/>
        <v>-210000</v>
      </c>
      <c r="W357" s="62">
        <f t="shared" si="296"/>
        <v>-210000</v>
      </c>
      <c r="X357" s="62">
        <f t="shared" si="297"/>
        <v>-210000</v>
      </c>
      <c r="Y357" s="62">
        <f t="shared" si="298"/>
        <v>-210000</v>
      </c>
      <c r="Z357" s="62">
        <f t="shared" si="299"/>
        <v>-210000</v>
      </c>
      <c r="AA357" s="62">
        <f t="shared" si="300"/>
        <v>-210000</v>
      </c>
      <c r="AB357" s="62">
        <f t="shared" si="301"/>
        <v>-210000</v>
      </c>
      <c r="AC357" s="62">
        <f t="shared" si="302"/>
        <v>-210000</v>
      </c>
    </row>
    <row r="358" spans="1:29" x14ac:dyDescent="0.25">
      <c r="A358" s="30" t="str">
        <f t="shared" si="274"/>
        <v>WACC</v>
      </c>
      <c r="B358" s="62">
        <f t="shared" si="275"/>
        <v>0.06</v>
      </c>
      <c r="C358" s="62">
        <f t="shared" si="276"/>
        <v>0.06</v>
      </c>
      <c r="D358" s="62">
        <f t="shared" si="277"/>
        <v>0.06</v>
      </c>
      <c r="E358" s="62">
        <f t="shared" si="278"/>
        <v>0.06</v>
      </c>
      <c r="F358" s="62">
        <f t="shared" si="279"/>
        <v>0.06</v>
      </c>
      <c r="G358" s="62">
        <f t="shared" si="280"/>
        <v>0.06</v>
      </c>
      <c r="H358" s="62">
        <f t="shared" si="281"/>
        <v>0.06</v>
      </c>
      <c r="I358" s="62">
        <f t="shared" si="282"/>
        <v>0.06</v>
      </c>
      <c r="J358" s="62">
        <f t="shared" si="283"/>
        <v>0.06</v>
      </c>
      <c r="K358" s="62">
        <f t="shared" si="284"/>
        <v>0.06</v>
      </c>
      <c r="L358" s="62">
        <f t="shared" si="285"/>
        <v>0.06</v>
      </c>
      <c r="M358" s="62">
        <f t="shared" si="286"/>
        <v>0.06</v>
      </c>
      <c r="N358" s="62">
        <f t="shared" si="287"/>
        <v>0.06</v>
      </c>
      <c r="O358" s="62">
        <f t="shared" si="288"/>
        <v>0.06</v>
      </c>
      <c r="P358" s="62">
        <f t="shared" si="289"/>
        <v>0.06</v>
      </c>
      <c r="Q358" s="62">
        <f t="shared" si="290"/>
        <v>0.06</v>
      </c>
      <c r="R358" s="62">
        <f t="shared" si="291"/>
        <v>0.06</v>
      </c>
      <c r="S358" s="62">
        <f t="shared" si="292"/>
        <v>0.06</v>
      </c>
      <c r="T358" s="62">
        <f t="shared" si="293"/>
        <v>0.06</v>
      </c>
      <c r="U358" s="62">
        <f t="shared" si="294"/>
        <v>0.06</v>
      </c>
      <c r="V358" s="62">
        <f t="shared" si="295"/>
        <v>0.06</v>
      </c>
      <c r="W358" s="62">
        <f t="shared" si="296"/>
        <v>0.06</v>
      </c>
      <c r="X358" s="62">
        <f t="shared" si="297"/>
        <v>0.06</v>
      </c>
      <c r="Y358" s="62">
        <f t="shared" si="298"/>
        <v>0.06</v>
      </c>
      <c r="Z358" s="62">
        <f t="shared" si="299"/>
        <v>0.06</v>
      </c>
      <c r="AA358" s="62">
        <f t="shared" si="300"/>
        <v>0.06</v>
      </c>
      <c r="AB358" s="62">
        <f t="shared" si="301"/>
        <v>0.06</v>
      </c>
      <c r="AC358" s="62">
        <f t="shared" si="302"/>
        <v>0.06</v>
      </c>
    </row>
    <row r="359" spans="1:29" x14ac:dyDescent="0.25">
      <c r="A359" s="30" t="str">
        <f t="shared" si="274"/>
        <v>Opex fix (admin, crew, insurance)</v>
      </c>
      <c r="B359" s="62">
        <f t="shared" si="275"/>
        <v>1450000</v>
      </c>
      <c r="C359" s="62">
        <f t="shared" si="276"/>
        <v>1450000</v>
      </c>
      <c r="D359" s="62">
        <f t="shared" si="277"/>
        <v>1450000</v>
      </c>
      <c r="E359" s="62">
        <f t="shared" si="278"/>
        <v>1450000</v>
      </c>
      <c r="F359" s="62">
        <f t="shared" si="279"/>
        <v>1450000</v>
      </c>
      <c r="G359" s="62">
        <f t="shared" si="280"/>
        <v>1450000</v>
      </c>
      <c r="H359" s="62">
        <f t="shared" si="281"/>
        <v>1450000</v>
      </c>
      <c r="I359" s="62">
        <f t="shared" si="282"/>
        <v>1450000</v>
      </c>
      <c r="J359" s="62">
        <f t="shared" si="283"/>
        <v>1450000</v>
      </c>
      <c r="K359" s="62">
        <f t="shared" si="284"/>
        <v>1450000</v>
      </c>
      <c r="L359" s="62">
        <f t="shared" si="285"/>
        <v>1450000</v>
      </c>
      <c r="M359" s="62">
        <f t="shared" si="286"/>
        <v>1450000</v>
      </c>
      <c r="N359" s="62">
        <f t="shared" si="287"/>
        <v>1450000</v>
      </c>
      <c r="O359" s="62">
        <f t="shared" si="288"/>
        <v>1450000</v>
      </c>
      <c r="P359" s="62">
        <f t="shared" si="289"/>
        <v>1450000</v>
      </c>
      <c r="Q359" s="62">
        <f t="shared" si="290"/>
        <v>1450000</v>
      </c>
      <c r="R359" s="62">
        <f t="shared" si="291"/>
        <v>1450000</v>
      </c>
      <c r="S359" s="62">
        <f t="shared" si="292"/>
        <v>1450000</v>
      </c>
      <c r="T359" s="62">
        <f t="shared" si="293"/>
        <v>1450000</v>
      </c>
      <c r="U359" s="62">
        <f t="shared" si="294"/>
        <v>1450000</v>
      </c>
      <c r="V359" s="62">
        <f t="shared" si="295"/>
        <v>1450000</v>
      </c>
      <c r="W359" s="62">
        <f t="shared" si="296"/>
        <v>1450000</v>
      </c>
      <c r="X359" s="62">
        <f t="shared" si="297"/>
        <v>1450000</v>
      </c>
      <c r="Y359" s="62">
        <f t="shared" si="298"/>
        <v>1450000</v>
      </c>
      <c r="Z359" s="62">
        <f t="shared" si="299"/>
        <v>1450000</v>
      </c>
      <c r="AA359" s="62">
        <f t="shared" si="300"/>
        <v>1450000</v>
      </c>
      <c r="AB359" s="62">
        <f t="shared" si="301"/>
        <v>1450000</v>
      </c>
      <c r="AC359" s="62">
        <f t="shared" si="302"/>
        <v>1450000</v>
      </c>
    </row>
    <row r="360" spans="1:29" x14ac:dyDescent="0.25">
      <c r="A360" s="30" t="str">
        <f t="shared" si="274"/>
        <v>Opex maintenance &amp; repair</v>
      </c>
      <c r="B360" s="62">
        <f t="shared" si="275"/>
        <v>1388910.2037228637</v>
      </c>
      <c r="C360" s="62">
        <f t="shared" si="276"/>
        <v>1384161.8820080096</v>
      </c>
      <c r="D360" s="62">
        <f t="shared" si="277"/>
        <v>1377419.9458533253</v>
      </c>
      <c r="E360" s="62">
        <f t="shared" si="278"/>
        <v>1367890.8669573795</v>
      </c>
      <c r="F360" s="62">
        <f t="shared" si="279"/>
        <v>1354512.2121062956</v>
      </c>
      <c r="G360" s="62">
        <f t="shared" si="280"/>
        <v>1335911.0252611889</v>
      </c>
      <c r="H360" s="62">
        <f t="shared" si="281"/>
        <v>1310409.4939683313</v>
      </c>
      <c r="I360" s="62">
        <f t="shared" si="282"/>
        <v>1276138.1685443469</v>
      </c>
      <c r="J360" s="62">
        <f t="shared" si="283"/>
        <v>1231338.9254820407</v>
      </c>
      <c r="K360" s="62">
        <f t="shared" si="284"/>
        <v>1174921.8508999445</v>
      </c>
      <c r="L360" s="62">
        <f t="shared" si="285"/>
        <v>1107222.9808538083</v>
      </c>
      <c r="M360" s="62">
        <f t="shared" si="286"/>
        <v>1030670.8821991365</v>
      </c>
      <c r="N360" s="62">
        <f t="shared" si="287"/>
        <v>949855.14573475695</v>
      </c>
      <c r="O360" s="62">
        <f t="shared" si="288"/>
        <v>870629.71180240111</v>
      </c>
      <c r="P360" s="62">
        <f t="shared" si="289"/>
        <v>798509.16855274222</v>
      </c>
      <c r="Q360" s="62">
        <f t="shared" si="290"/>
        <v>737216.97695338901</v>
      </c>
      <c r="R360" s="62">
        <f t="shared" si="291"/>
        <v>688132.90829190495</v>
      </c>
      <c r="S360" s="62">
        <f t="shared" si="292"/>
        <v>650679.58539676399</v>
      </c>
      <c r="T360" s="62">
        <f t="shared" si="293"/>
        <v>623148.38930799719</v>
      </c>
      <c r="U360" s="62">
        <f t="shared" si="294"/>
        <v>603463.98238910188</v>
      </c>
      <c r="V360" s="62">
        <f t="shared" si="295"/>
        <v>589668.12012529059</v>
      </c>
      <c r="W360" s="62">
        <f t="shared" si="296"/>
        <v>580134.33134103287</v>
      </c>
      <c r="X360" s="62">
        <f t="shared" si="297"/>
        <v>573609.8845890474</v>
      </c>
      <c r="Y360" s="62">
        <f t="shared" si="298"/>
        <v>569174.682073851</v>
      </c>
      <c r="Z360" s="62">
        <f t="shared" si="299"/>
        <v>566173.42988411163</v>
      </c>
      <c r="AA360" s="62">
        <f t="shared" si="300"/>
        <v>564148.78202354477</v>
      </c>
      <c r="AB360" s="62">
        <f t="shared" si="301"/>
        <v>562785.79914140829</v>
      </c>
      <c r="AC360" s="62">
        <f t="shared" si="302"/>
        <v>561869.53442032111</v>
      </c>
    </row>
    <row r="361" spans="1:29" x14ac:dyDescent="0.25">
      <c r="A361" s="30" t="str">
        <f t="shared" si="274"/>
        <v>Opex var (mode-fees, shunting)</v>
      </c>
      <c r="B361" s="62">
        <f t="shared" si="275"/>
        <v>8.9635854341736696</v>
      </c>
      <c r="C361" s="62">
        <f t="shared" si="276"/>
        <v>8.9635854341736696</v>
      </c>
      <c r="D361" s="62">
        <f t="shared" si="277"/>
        <v>8.9635854341736696</v>
      </c>
      <c r="E361" s="62">
        <f t="shared" si="278"/>
        <v>8.9635854341736696</v>
      </c>
      <c r="F361" s="62">
        <f t="shared" si="279"/>
        <v>8.9635854341736696</v>
      </c>
      <c r="G361" s="62">
        <f t="shared" si="280"/>
        <v>8.9635854341736696</v>
      </c>
      <c r="H361" s="62">
        <f t="shared" si="281"/>
        <v>8.9635854341736696</v>
      </c>
      <c r="I361" s="62">
        <f t="shared" si="282"/>
        <v>8.9635854341736696</v>
      </c>
      <c r="J361" s="62">
        <f t="shared" si="283"/>
        <v>8.9635854341736696</v>
      </c>
      <c r="K361" s="62">
        <f t="shared" si="284"/>
        <v>8.9635854341736696</v>
      </c>
      <c r="L361" s="62">
        <f t="shared" si="285"/>
        <v>8.9635854341736696</v>
      </c>
      <c r="M361" s="62">
        <f t="shared" si="286"/>
        <v>8.9635854341736696</v>
      </c>
      <c r="N361" s="62">
        <f t="shared" si="287"/>
        <v>8.9635854341736696</v>
      </c>
      <c r="O361" s="62">
        <f t="shared" si="288"/>
        <v>8.9635854341736696</v>
      </c>
      <c r="P361" s="62">
        <f t="shared" si="289"/>
        <v>8.9635854341736696</v>
      </c>
      <c r="Q361" s="62">
        <f t="shared" si="290"/>
        <v>8.9635854341736696</v>
      </c>
      <c r="R361" s="62">
        <f t="shared" si="291"/>
        <v>8.9635854341736696</v>
      </c>
      <c r="S361" s="62">
        <f t="shared" si="292"/>
        <v>8.9635854341736696</v>
      </c>
      <c r="T361" s="62">
        <f t="shared" si="293"/>
        <v>8.9635854341736696</v>
      </c>
      <c r="U361" s="62">
        <f t="shared" si="294"/>
        <v>8.9635854341736696</v>
      </c>
      <c r="V361" s="62">
        <f t="shared" si="295"/>
        <v>8.9635854341736696</v>
      </c>
      <c r="W361" s="62">
        <f t="shared" si="296"/>
        <v>8.9635854341736696</v>
      </c>
      <c r="X361" s="62">
        <f t="shared" si="297"/>
        <v>8.9635854341736696</v>
      </c>
      <c r="Y361" s="62">
        <f t="shared" si="298"/>
        <v>8.9635854341736696</v>
      </c>
      <c r="Z361" s="62">
        <f t="shared" si="299"/>
        <v>8.9635854341736696</v>
      </c>
      <c r="AA361" s="62">
        <f t="shared" si="300"/>
        <v>8.9635854341736696</v>
      </c>
      <c r="AB361" s="62">
        <f t="shared" si="301"/>
        <v>8.9635854341736696</v>
      </c>
      <c r="AC361" s="62">
        <f t="shared" si="302"/>
        <v>8.9635854341736696</v>
      </c>
    </row>
    <row r="362" spans="1:29" x14ac:dyDescent="0.25">
      <c r="A362" s="30" t="str">
        <f t="shared" si="274"/>
        <v>Fuel Economy</v>
      </c>
      <c r="B362" s="62">
        <f t="shared" si="275"/>
        <v>48.759236370320799</v>
      </c>
      <c r="C362" s="62">
        <f t="shared" si="276"/>
        <v>48.716746306766673</v>
      </c>
      <c r="D362" s="62">
        <f t="shared" si="277"/>
        <v>48.65641650754641</v>
      </c>
      <c r="E362" s="62">
        <f t="shared" si="278"/>
        <v>48.571146133672123</v>
      </c>
      <c r="F362" s="62">
        <f t="shared" si="279"/>
        <v>48.451428067157607</v>
      </c>
      <c r="G362" s="62">
        <f t="shared" si="280"/>
        <v>48.28497649569853</v>
      </c>
      <c r="H362" s="62">
        <f t="shared" si="281"/>
        <v>48.056777618193806</v>
      </c>
      <c r="I362" s="62">
        <f t="shared" si="282"/>
        <v>47.750102779630581</v>
      </c>
      <c r="J362" s="62">
        <f t="shared" si="283"/>
        <v>47.349219520406741</v>
      </c>
      <c r="K362" s="62">
        <f t="shared" si="284"/>
        <v>46.844374813479661</v>
      </c>
      <c r="L362" s="62">
        <f t="shared" si="285"/>
        <v>46.238575656736749</v>
      </c>
      <c r="M362" s="62">
        <f t="shared" si="286"/>
        <v>45.553553930668109</v>
      </c>
      <c r="N362" s="62">
        <f t="shared" si="287"/>
        <v>44.830379305030867</v>
      </c>
      <c r="O362" s="62">
        <f t="shared" si="288"/>
        <v>44.121435403365965</v>
      </c>
      <c r="P362" s="62">
        <f t="shared" si="289"/>
        <v>43.476069177094985</v>
      </c>
      <c r="Q362" s="62">
        <f t="shared" si="290"/>
        <v>42.92759978668257</v>
      </c>
      <c r="R362" s="62">
        <f t="shared" si="291"/>
        <v>42.488374030264865</v>
      </c>
      <c r="S362" s="62">
        <f t="shared" si="292"/>
        <v>42.153225283887942</v>
      </c>
      <c r="T362" s="62">
        <f t="shared" si="293"/>
        <v>41.906864076332596</v>
      </c>
      <c r="U362" s="62">
        <f t="shared" si="294"/>
        <v>41.730719376955413</v>
      </c>
      <c r="V362" s="62">
        <f t="shared" si="295"/>
        <v>41.60726795567966</v>
      </c>
      <c r="W362" s="62">
        <f t="shared" si="296"/>
        <v>41.52195543566075</v>
      </c>
      <c r="X362" s="62">
        <f t="shared" si="297"/>
        <v>41.463571826925872</v>
      </c>
      <c r="Y362" s="62">
        <f t="shared" si="298"/>
        <v>41.423883691188024</v>
      </c>
      <c r="Z362" s="62">
        <f t="shared" si="299"/>
        <v>41.397027171360179</v>
      </c>
      <c r="AA362" s="62">
        <f t="shared" si="300"/>
        <v>41.378909735045553</v>
      </c>
      <c r="AB362" s="62">
        <f t="shared" si="301"/>
        <v>41.366713166918338</v>
      </c>
      <c r="AC362" s="62">
        <f t="shared" si="302"/>
        <v>41.358514028660792</v>
      </c>
    </row>
    <row r="363" spans="1:29" x14ac:dyDescent="0.25">
      <c r="A363" s="30" t="str">
        <f t="shared" si="274"/>
        <v>Fuel Cost</v>
      </c>
      <c r="B363" s="62">
        <f t="shared" si="275"/>
        <v>0.25254227914256844</v>
      </c>
      <c r="C363" s="62">
        <f t="shared" si="276"/>
        <v>0.25172282033513138</v>
      </c>
      <c r="D363" s="62">
        <f t="shared" si="277"/>
        <v>0.25055930629945611</v>
      </c>
      <c r="E363" s="62">
        <f t="shared" si="278"/>
        <v>0.24891479101658942</v>
      </c>
      <c r="F363" s="62">
        <f t="shared" si="279"/>
        <v>0.24660592122895794</v>
      </c>
      <c r="G363" s="62">
        <f t="shared" si="280"/>
        <v>0.24339575407846328</v>
      </c>
      <c r="H363" s="62">
        <f t="shared" si="281"/>
        <v>0.23899473500772708</v>
      </c>
      <c r="I363" s="62">
        <f t="shared" si="282"/>
        <v>0.23308023697079527</v>
      </c>
      <c r="J363" s="62">
        <f t="shared" si="283"/>
        <v>0.22534884543953543</v>
      </c>
      <c r="K363" s="62">
        <f t="shared" si="284"/>
        <v>0.21561246458069289</v>
      </c>
      <c r="L363" s="62">
        <f t="shared" si="285"/>
        <v>0.20392908703293811</v>
      </c>
      <c r="M363" s="62">
        <f t="shared" si="286"/>
        <v>0.19071783151204119</v>
      </c>
      <c r="N363" s="62">
        <f t="shared" si="287"/>
        <v>0.17677076326304775</v>
      </c>
      <c r="O363" s="62">
        <f t="shared" si="288"/>
        <v>0.16309814722993504</v>
      </c>
      <c r="P363" s="62">
        <f t="shared" si="289"/>
        <v>0.15065168342395555</v>
      </c>
      <c r="Q363" s="62">
        <f t="shared" si="290"/>
        <v>0.14007396159940294</v>
      </c>
      <c r="R363" s="62">
        <f t="shared" si="291"/>
        <v>0.13160310078058535</v>
      </c>
      <c r="S363" s="62">
        <f t="shared" si="292"/>
        <v>0.12513945801219511</v>
      </c>
      <c r="T363" s="62">
        <f t="shared" si="293"/>
        <v>0.1203881621925289</v>
      </c>
      <c r="U363" s="62">
        <f t="shared" si="294"/>
        <v>0.11699105441686944</v>
      </c>
      <c r="V363" s="62">
        <f t="shared" si="295"/>
        <v>0.11461018354982119</v>
      </c>
      <c r="W363" s="62">
        <f t="shared" si="296"/>
        <v>0.11296485544093068</v>
      </c>
      <c r="X363" s="62">
        <f t="shared" si="297"/>
        <v>0.11183887542617238</v>
      </c>
      <c r="Y363" s="62">
        <f t="shared" si="298"/>
        <v>0.11107345429801357</v>
      </c>
      <c r="Z363" s="62">
        <f t="shared" si="299"/>
        <v>0.11055550233773928</v>
      </c>
      <c r="AA363" s="62">
        <f t="shared" si="300"/>
        <v>0.11020609140458582</v>
      </c>
      <c r="AB363" s="62">
        <f t="shared" si="301"/>
        <v>0.10997086970011311</v>
      </c>
      <c r="AC363" s="62">
        <f t="shared" si="302"/>
        <v>0.10981274199926885</v>
      </c>
    </row>
    <row r="364" spans="1:29" x14ac:dyDescent="0.25">
      <c r="A364" s="30" t="str">
        <f t="shared" ref="A364" si="303">A344</f>
        <v>Emission Cost</v>
      </c>
      <c r="B364" s="66">
        <f>$B344+($C344-$B344)*(1-Q344)</f>
        <v>0.17582388128473975</v>
      </c>
      <c r="C364" s="66">
        <f t="shared" ref="C364:AC364" si="304">$B344+($C344-$B344)*(1-R344)</f>
        <v>0.17565645410997111</v>
      </c>
      <c r="D364" s="66">
        <f t="shared" si="304"/>
        <v>0.17541678583842943</v>
      </c>
      <c r="E364" s="66">
        <f t="shared" si="304"/>
        <v>0.17507392352176276</v>
      </c>
      <c r="F364" s="66">
        <f t="shared" si="304"/>
        <v>0.17458389761491974</v>
      </c>
      <c r="G364" s="66">
        <f t="shared" si="304"/>
        <v>0.17388452474686475</v>
      </c>
      <c r="H364" s="66">
        <f t="shared" si="304"/>
        <v>0.17288844620780905</v>
      </c>
      <c r="I364" s="66">
        <f t="shared" si="304"/>
        <v>0.17147415747198971</v>
      </c>
      <c r="J364" s="66">
        <f t="shared" si="304"/>
        <v>0.16947519624837942</v>
      </c>
      <c r="K364" s="66">
        <f t="shared" si="304"/>
        <v>0.16666869075467838</v>
      </c>
      <c r="L364" s="66">
        <f t="shared" si="304"/>
        <v>0.16276662932539185</v>
      </c>
      <c r="M364" s="66">
        <f t="shared" si="304"/>
        <v>0.15741704908224841</v>
      </c>
      <c r="N364" s="66">
        <f t="shared" si="304"/>
        <v>0.15022778647330717</v>
      </c>
      <c r="O364" s="66">
        <f t="shared" si="304"/>
        <v>0.14083003138002706</v>
      </c>
      <c r="P364" s="66">
        <f t="shared" si="304"/>
        <v>0.12899514726681846</v>
      </c>
      <c r="Q364" s="66">
        <f t="shared" si="304"/>
        <v>0.11479362605136975</v>
      </c>
      <c r="R364" s="66">
        <f t="shared" si="304"/>
        <v>9.8734920014022967E-2</v>
      </c>
      <c r="S364" s="66">
        <f t="shared" si="304"/>
        <v>8.1781809937608918E-2</v>
      </c>
      <c r="T364" s="66">
        <f t="shared" si="304"/>
        <v>6.5162305357595693E-2</v>
      </c>
      <c r="U364" s="66">
        <f t="shared" si="304"/>
        <v>5.0033228249931727E-2</v>
      </c>
      <c r="V364" s="66">
        <f t="shared" si="304"/>
        <v>3.7175667130427636E-2</v>
      </c>
      <c r="W364" s="66">
        <f t="shared" si="304"/>
        <v>2.6879063332438669E-2</v>
      </c>
      <c r="X364" s="66">
        <f t="shared" si="304"/>
        <v>1.9022297638684654E-2</v>
      </c>
      <c r="Y364" s="66">
        <f t="shared" si="304"/>
        <v>1.324694474025595E-2</v>
      </c>
      <c r="Z364" s="66">
        <f t="shared" si="304"/>
        <v>9.1176509679713191E-3</v>
      </c>
      <c r="AA364" s="66">
        <f t="shared" si="304"/>
        <v>6.2236258462609606E-3</v>
      </c>
      <c r="AB364" s="66">
        <f t="shared" si="304"/>
        <v>4.2236766064734643E-3</v>
      </c>
      <c r="AC364" s="66">
        <f t="shared" si="304"/>
        <v>2.8550116803935655E-3</v>
      </c>
    </row>
    <row r="365" spans="1:29" x14ac:dyDescent="0.25">
      <c r="A365" s="30" t="str">
        <f>A345</f>
        <v>Lifetime vehicle</v>
      </c>
      <c r="B365" s="62">
        <f>$B345+($C345-$B345)*(1-Q345)</f>
        <v>20</v>
      </c>
      <c r="C365" s="62">
        <f t="shared" ref="C365:L367" si="305">$B345+($C345-$B345)*(1-R345)</f>
        <v>20</v>
      </c>
      <c r="D365" s="62">
        <f t="shared" si="305"/>
        <v>20</v>
      </c>
      <c r="E365" s="62">
        <f t="shared" si="305"/>
        <v>20</v>
      </c>
      <c r="F365" s="62">
        <f t="shared" si="305"/>
        <v>20</v>
      </c>
      <c r="G365" s="62">
        <f t="shared" si="305"/>
        <v>20</v>
      </c>
      <c r="H365" s="62">
        <f t="shared" si="305"/>
        <v>20</v>
      </c>
      <c r="I365" s="62">
        <f t="shared" si="305"/>
        <v>20</v>
      </c>
      <c r="J365" s="62">
        <f t="shared" si="305"/>
        <v>20</v>
      </c>
      <c r="K365" s="62">
        <f t="shared" si="305"/>
        <v>20</v>
      </c>
      <c r="L365" s="62">
        <f t="shared" si="305"/>
        <v>20</v>
      </c>
      <c r="M365" s="62">
        <f t="shared" ref="M365:V367" si="306">$B345+($C345-$B345)*(1-AB345)</f>
        <v>20</v>
      </c>
      <c r="N365" s="62">
        <f t="shared" si="306"/>
        <v>20</v>
      </c>
      <c r="O365" s="62">
        <f t="shared" si="306"/>
        <v>20</v>
      </c>
      <c r="P365" s="62">
        <f t="shared" si="306"/>
        <v>20</v>
      </c>
      <c r="Q365" s="62">
        <f t="shared" si="306"/>
        <v>20</v>
      </c>
      <c r="R365" s="62">
        <f t="shared" si="306"/>
        <v>20</v>
      </c>
      <c r="S365" s="62">
        <f t="shared" si="306"/>
        <v>20</v>
      </c>
      <c r="T365" s="62">
        <f t="shared" si="306"/>
        <v>20</v>
      </c>
      <c r="U365" s="62">
        <f t="shared" si="306"/>
        <v>20</v>
      </c>
      <c r="V365" s="62">
        <f t="shared" si="306"/>
        <v>20</v>
      </c>
      <c r="W365" s="62">
        <f t="shared" ref="W365:AC367" si="307">$B345+($C345-$B345)*(1-AL345)</f>
        <v>20</v>
      </c>
      <c r="X365" s="62">
        <f t="shared" si="307"/>
        <v>20</v>
      </c>
      <c r="Y365" s="62">
        <f t="shared" si="307"/>
        <v>20</v>
      </c>
      <c r="Z365" s="62">
        <f t="shared" si="307"/>
        <v>20</v>
      </c>
      <c r="AA365" s="62">
        <f t="shared" si="307"/>
        <v>20</v>
      </c>
      <c r="AB365" s="62">
        <f t="shared" si="307"/>
        <v>20</v>
      </c>
      <c r="AC365" s="62">
        <f t="shared" si="307"/>
        <v>20</v>
      </c>
    </row>
    <row r="366" spans="1:29" x14ac:dyDescent="0.25">
      <c r="A366" s="30" t="str">
        <f>A346</f>
        <v>Lifetime costumization</v>
      </c>
      <c r="B366" s="62">
        <f>$B346+($C346-$B346)*(1-Q346)</f>
        <v>30</v>
      </c>
      <c r="C366" s="62">
        <f t="shared" si="305"/>
        <v>30</v>
      </c>
      <c r="D366" s="62">
        <f t="shared" si="305"/>
        <v>30</v>
      </c>
      <c r="E366" s="62">
        <f t="shared" si="305"/>
        <v>30</v>
      </c>
      <c r="F366" s="62">
        <f t="shared" si="305"/>
        <v>30</v>
      </c>
      <c r="G366" s="62">
        <f t="shared" si="305"/>
        <v>30</v>
      </c>
      <c r="H366" s="62">
        <f t="shared" si="305"/>
        <v>30</v>
      </c>
      <c r="I366" s="62">
        <f t="shared" si="305"/>
        <v>30</v>
      </c>
      <c r="J366" s="62">
        <f t="shared" si="305"/>
        <v>30</v>
      </c>
      <c r="K366" s="62">
        <f t="shared" si="305"/>
        <v>30</v>
      </c>
      <c r="L366" s="62">
        <f t="shared" si="305"/>
        <v>30</v>
      </c>
      <c r="M366" s="62">
        <f t="shared" si="306"/>
        <v>30</v>
      </c>
      <c r="N366" s="62">
        <f t="shared" si="306"/>
        <v>30</v>
      </c>
      <c r="O366" s="62">
        <f t="shared" si="306"/>
        <v>30</v>
      </c>
      <c r="P366" s="62">
        <f t="shared" si="306"/>
        <v>30</v>
      </c>
      <c r="Q366" s="62">
        <f t="shared" si="306"/>
        <v>30</v>
      </c>
      <c r="R366" s="62">
        <f t="shared" si="306"/>
        <v>30</v>
      </c>
      <c r="S366" s="62">
        <f t="shared" si="306"/>
        <v>30</v>
      </c>
      <c r="T366" s="62">
        <f t="shared" si="306"/>
        <v>30</v>
      </c>
      <c r="U366" s="62">
        <f t="shared" si="306"/>
        <v>30</v>
      </c>
      <c r="V366" s="62">
        <f t="shared" si="306"/>
        <v>30</v>
      </c>
      <c r="W366" s="62">
        <f t="shared" si="307"/>
        <v>30</v>
      </c>
      <c r="X366" s="62">
        <f t="shared" si="307"/>
        <v>30</v>
      </c>
      <c r="Y366" s="62">
        <f t="shared" si="307"/>
        <v>30</v>
      </c>
      <c r="Z366" s="62">
        <f t="shared" si="307"/>
        <v>30</v>
      </c>
      <c r="AA366" s="62">
        <f t="shared" si="307"/>
        <v>30</v>
      </c>
      <c r="AB366" s="62">
        <f t="shared" si="307"/>
        <v>30</v>
      </c>
      <c r="AC366" s="62">
        <f t="shared" si="307"/>
        <v>30</v>
      </c>
    </row>
    <row r="367" spans="1:29" x14ac:dyDescent="0.25">
      <c r="A367" s="30" t="str">
        <f>A347</f>
        <v>Tonnage .</v>
      </c>
      <c r="B367" s="62">
        <f>$B347+($C347-$B347)*(1-Q347)</f>
        <v>2240</v>
      </c>
      <c r="C367" s="62">
        <f t="shared" si="305"/>
        <v>2240</v>
      </c>
      <c r="D367" s="62">
        <f t="shared" si="305"/>
        <v>2240</v>
      </c>
      <c r="E367" s="62">
        <f t="shared" si="305"/>
        <v>2240</v>
      </c>
      <c r="F367" s="62">
        <f t="shared" si="305"/>
        <v>2240</v>
      </c>
      <c r="G367" s="62">
        <f t="shared" si="305"/>
        <v>2240</v>
      </c>
      <c r="H367" s="62">
        <f t="shared" si="305"/>
        <v>2240</v>
      </c>
      <c r="I367" s="62">
        <f t="shared" si="305"/>
        <v>2240</v>
      </c>
      <c r="J367" s="62">
        <f t="shared" si="305"/>
        <v>2240</v>
      </c>
      <c r="K367" s="62">
        <f t="shared" si="305"/>
        <v>2240</v>
      </c>
      <c r="L367" s="62">
        <f t="shared" si="305"/>
        <v>2240</v>
      </c>
      <c r="M367" s="62">
        <f t="shared" si="306"/>
        <v>2240</v>
      </c>
      <c r="N367" s="62">
        <f t="shared" si="306"/>
        <v>2240</v>
      </c>
      <c r="O367" s="62">
        <f t="shared" si="306"/>
        <v>2240</v>
      </c>
      <c r="P367" s="62">
        <f t="shared" si="306"/>
        <v>2240</v>
      </c>
      <c r="Q367" s="62">
        <f t="shared" si="306"/>
        <v>2240</v>
      </c>
      <c r="R367" s="62">
        <f t="shared" si="306"/>
        <v>2240</v>
      </c>
      <c r="S367" s="62">
        <f t="shared" si="306"/>
        <v>2240</v>
      </c>
      <c r="T367" s="62">
        <f t="shared" si="306"/>
        <v>2240</v>
      </c>
      <c r="U367" s="62">
        <f t="shared" si="306"/>
        <v>2240</v>
      </c>
      <c r="V367" s="62">
        <f t="shared" si="306"/>
        <v>2240</v>
      </c>
      <c r="W367" s="62">
        <f t="shared" si="307"/>
        <v>2240</v>
      </c>
      <c r="X367" s="62">
        <f t="shared" si="307"/>
        <v>2240</v>
      </c>
      <c r="Y367" s="62">
        <f t="shared" si="307"/>
        <v>2240</v>
      </c>
      <c r="Z367" s="62">
        <f t="shared" si="307"/>
        <v>2240</v>
      </c>
      <c r="AA367" s="62">
        <f t="shared" si="307"/>
        <v>2240</v>
      </c>
      <c r="AB367" s="62">
        <f t="shared" si="307"/>
        <v>2240</v>
      </c>
      <c r="AC367" s="62">
        <f t="shared" si="307"/>
        <v>2240</v>
      </c>
    </row>
    <row r="368" spans="1:29" x14ac:dyDescent="0.25">
      <c r="A368" s="30" t="str">
        <f>A348</f>
        <v>Market failure (av. utilization)</v>
      </c>
      <c r="B368" s="62">
        <f t="shared" ref="B368:K369" si="308">($B348+($C348-$B348)*(1-Q348))*B$44</f>
        <v>1612.8000000000002</v>
      </c>
      <c r="C368" s="62">
        <f t="shared" si="308"/>
        <v>1612.8000000000002</v>
      </c>
      <c r="D368" s="62">
        <f t="shared" si="308"/>
        <v>1612.8000000000002</v>
      </c>
      <c r="E368" s="62">
        <f t="shared" si="308"/>
        <v>1612.8000000000002</v>
      </c>
      <c r="F368" s="62">
        <f t="shared" si="308"/>
        <v>1612.8000000000002</v>
      </c>
      <c r="G368" s="62">
        <f t="shared" si="308"/>
        <v>1612.8000000000002</v>
      </c>
      <c r="H368" s="62">
        <f t="shared" si="308"/>
        <v>1612.8000000000002</v>
      </c>
      <c r="I368" s="62">
        <f t="shared" si="308"/>
        <v>1612.8000000000002</v>
      </c>
      <c r="J368" s="62">
        <f t="shared" si="308"/>
        <v>1612.8000000000002</v>
      </c>
      <c r="K368" s="62">
        <f t="shared" si="308"/>
        <v>1612.8000000000002</v>
      </c>
      <c r="L368" s="62">
        <f t="shared" ref="L368:U369" si="309">($B348+($C348-$B348)*(1-AA348))*L$44</f>
        <v>1612.8000000000002</v>
      </c>
      <c r="M368" s="62">
        <f t="shared" si="309"/>
        <v>1612.8000000000002</v>
      </c>
      <c r="N368" s="62">
        <f t="shared" si="309"/>
        <v>1612.8000000000002</v>
      </c>
      <c r="O368" s="62">
        <f t="shared" si="309"/>
        <v>1612.8000000000002</v>
      </c>
      <c r="P368" s="62">
        <f t="shared" si="309"/>
        <v>1612.8000000000002</v>
      </c>
      <c r="Q368" s="62">
        <f t="shared" si="309"/>
        <v>1612.8000000000002</v>
      </c>
      <c r="R368" s="62">
        <f t="shared" si="309"/>
        <v>1612.8000000000002</v>
      </c>
      <c r="S368" s="62">
        <f t="shared" si="309"/>
        <v>1612.8000000000002</v>
      </c>
      <c r="T368" s="62">
        <f t="shared" si="309"/>
        <v>1612.8000000000002</v>
      </c>
      <c r="U368" s="62">
        <f t="shared" si="309"/>
        <v>1612.8000000000002</v>
      </c>
      <c r="V368" s="62">
        <f t="shared" ref="V368:AC369" si="310">($B348+($C348-$B348)*(1-AK348))*V$44</f>
        <v>1612.8000000000002</v>
      </c>
      <c r="W368" s="62">
        <f t="shared" si="310"/>
        <v>1612.8000000000002</v>
      </c>
      <c r="X368" s="62">
        <f t="shared" si="310"/>
        <v>1612.8000000000002</v>
      </c>
      <c r="Y368" s="62">
        <f t="shared" si="310"/>
        <v>1612.8000000000002</v>
      </c>
      <c r="Z368" s="62">
        <f t="shared" si="310"/>
        <v>1612.8000000000002</v>
      </c>
      <c r="AA368" s="62">
        <f t="shared" si="310"/>
        <v>1612.8000000000002</v>
      </c>
      <c r="AB368" s="62">
        <f t="shared" si="310"/>
        <v>1612.8000000000002</v>
      </c>
      <c r="AC368" s="62">
        <f t="shared" si="310"/>
        <v>1612.8000000000002</v>
      </c>
    </row>
    <row r="369" spans="1:29" x14ac:dyDescent="0.25">
      <c r="A369" s="30" t="s">
        <v>73</v>
      </c>
      <c r="B369" s="62">
        <f t="shared" si="308"/>
        <v>40</v>
      </c>
      <c r="C369" s="62">
        <f t="shared" si="308"/>
        <v>40</v>
      </c>
      <c r="D369" s="62">
        <f t="shared" si="308"/>
        <v>40</v>
      </c>
      <c r="E369" s="62">
        <f t="shared" si="308"/>
        <v>40</v>
      </c>
      <c r="F369" s="62">
        <f t="shared" si="308"/>
        <v>40</v>
      </c>
      <c r="G369" s="62">
        <f t="shared" si="308"/>
        <v>40</v>
      </c>
      <c r="H369" s="62">
        <f t="shared" si="308"/>
        <v>40</v>
      </c>
      <c r="I369" s="62">
        <f t="shared" si="308"/>
        <v>40</v>
      </c>
      <c r="J369" s="62">
        <f t="shared" si="308"/>
        <v>40</v>
      </c>
      <c r="K369" s="62">
        <f t="shared" si="308"/>
        <v>40</v>
      </c>
      <c r="L369" s="62">
        <f t="shared" si="309"/>
        <v>40</v>
      </c>
      <c r="M369" s="62">
        <f t="shared" si="309"/>
        <v>40</v>
      </c>
      <c r="N369" s="62">
        <f t="shared" si="309"/>
        <v>40</v>
      </c>
      <c r="O369" s="62">
        <f t="shared" si="309"/>
        <v>40</v>
      </c>
      <c r="P369" s="62">
        <f t="shared" si="309"/>
        <v>40</v>
      </c>
      <c r="Q369" s="62">
        <f t="shared" si="309"/>
        <v>40</v>
      </c>
      <c r="R369" s="62">
        <f t="shared" si="309"/>
        <v>40</v>
      </c>
      <c r="S369" s="62">
        <f t="shared" si="309"/>
        <v>40</v>
      </c>
      <c r="T369" s="62">
        <f t="shared" si="309"/>
        <v>40</v>
      </c>
      <c r="U369" s="62">
        <f t="shared" si="309"/>
        <v>40</v>
      </c>
      <c r="V369" s="62">
        <f t="shared" si="310"/>
        <v>40</v>
      </c>
      <c r="W369" s="62">
        <f t="shared" si="310"/>
        <v>40</v>
      </c>
      <c r="X369" s="62">
        <f t="shared" si="310"/>
        <v>40</v>
      </c>
      <c r="Y369" s="62">
        <f t="shared" si="310"/>
        <v>40</v>
      </c>
      <c r="Z369" s="62">
        <f t="shared" si="310"/>
        <v>40</v>
      </c>
      <c r="AA369" s="62">
        <f t="shared" si="310"/>
        <v>40</v>
      </c>
      <c r="AB369" s="62">
        <f t="shared" si="310"/>
        <v>40</v>
      </c>
      <c r="AC369" s="62">
        <f t="shared" si="310"/>
        <v>40</v>
      </c>
    </row>
    <row r="370" spans="1:29" x14ac:dyDescent="0.25">
      <c r="A370" s="30" t="str">
        <f>A350</f>
        <v>Annual Mileage</v>
      </c>
      <c r="B370" s="62">
        <f t="shared" ref="B370:AC370" si="311">$B350+($C350-$B350)*(1-Q350)</f>
        <v>178500</v>
      </c>
      <c r="C370" s="62">
        <f t="shared" si="311"/>
        <v>178500</v>
      </c>
      <c r="D370" s="62">
        <f t="shared" si="311"/>
        <v>178500</v>
      </c>
      <c r="E370" s="62">
        <f t="shared" si="311"/>
        <v>178500</v>
      </c>
      <c r="F370" s="62">
        <f t="shared" si="311"/>
        <v>178500</v>
      </c>
      <c r="G370" s="62">
        <f t="shared" si="311"/>
        <v>178500</v>
      </c>
      <c r="H370" s="62">
        <f t="shared" si="311"/>
        <v>178500</v>
      </c>
      <c r="I370" s="62">
        <f t="shared" si="311"/>
        <v>178500</v>
      </c>
      <c r="J370" s="62">
        <f t="shared" si="311"/>
        <v>178500</v>
      </c>
      <c r="K370" s="62">
        <f t="shared" si="311"/>
        <v>178500</v>
      </c>
      <c r="L370" s="62">
        <f t="shared" si="311"/>
        <v>178500</v>
      </c>
      <c r="M370" s="62">
        <f t="shared" si="311"/>
        <v>178500</v>
      </c>
      <c r="N370" s="62">
        <f t="shared" si="311"/>
        <v>178500</v>
      </c>
      <c r="O370" s="62">
        <f t="shared" si="311"/>
        <v>178500</v>
      </c>
      <c r="P370" s="62">
        <f t="shared" si="311"/>
        <v>178500</v>
      </c>
      <c r="Q370" s="62">
        <f t="shared" si="311"/>
        <v>178500</v>
      </c>
      <c r="R370" s="62">
        <f t="shared" si="311"/>
        <v>178500</v>
      </c>
      <c r="S370" s="62">
        <f t="shared" si="311"/>
        <v>178500</v>
      </c>
      <c r="T370" s="62">
        <f t="shared" si="311"/>
        <v>178500</v>
      </c>
      <c r="U370" s="62">
        <f t="shared" si="311"/>
        <v>178500</v>
      </c>
      <c r="V370" s="62">
        <f t="shared" si="311"/>
        <v>178500</v>
      </c>
      <c r="W370" s="62">
        <f t="shared" si="311"/>
        <v>178500</v>
      </c>
      <c r="X370" s="62">
        <f t="shared" si="311"/>
        <v>178500</v>
      </c>
      <c r="Y370" s="62">
        <f t="shared" si="311"/>
        <v>178500</v>
      </c>
      <c r="Z370" s="62">
        <f t="shared" si="311"/>
        <v>178500</v>
      </c>
      <c r="AA370" s="62">
        <f t="shared" si="311"/>
        <v>178500</v>
      </c>
      <c r="AB370" s="62">
        <f t="shared" si="311"/>
        <v>178500</v>
      </c>
      <c r="AC370" s="62">
        <f t="shared" si="311"/>
        <v>178500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864939.43423004472</v>
      </c>
      <c r="C373" s="63">
        <f t="shared" ref="C373:AC373" si="312">((1+C358)^C365)*C358/(((1+C358)^C365)-1)*(C354)</f>
        <v>861982.43190795113</v>
      </c>
      <c r="D373" s="63">
        <f t="shared" si="312"/>
        <v>857783.91250214854</v>
      </c>
      <c r="E373" s="63">
        <f t="shared" si="312"/>
        <v>851849.70877400215</v>
      </c>
      <c r="F373" s="63">
        <f t="shared" si="312"/>
        <v>843518.19380158815</v>
      </c>
      <c r="G373" s="63">
        <f t="shared" si="312"/>
        <v>831934.36355634325</v>
      </c>
      <c r="H373" s="63">
        <f t="shared" si="312"/>
        <v>816053.36564206402</v>
      </c>
      <c r="I373" s="63">
        <f t="shared" si="312"/>
        <v>794711.00618420995</v>
      </c>
      <c r="J373" s="63">
        <f t="shared" si="312"/>
        <v>766812.41933217109</v>
      </c>
      <c r="K373" s="63">
        <f t="shared" si="312"/>
        <v>731678.86466524214</v>
      </c>
      <c r="L373" s="63">
        <f t="shared" si="312"/>
        <v>689519.60757377208</v>
      </c>
      <c r="M373" s="63">
        <f t="shared" si="312"/>
        <v>641847.03038194508</v>
      </c>
      <c r="N373" s="63">
        <f t="shared" si="312"/>
        <v>591519.28623619571</v>
      </c>
      <c r="O373" s="63">
        <f t="shared" si="312"/>
        <v>542181.89795982966</v>
      </c>
      <c r="P373" s="63">
        <f t="shared" si="312"/>
        <v>497269.05787303421</v>
      </c>
      <c r="Q373" s="63">
        <f t="shared" si="312"/>
        <v>459099.53951067774</v>
      </c>
      <c r="R373" s="63">
        <f t="shared" si="312"/>
        <v>428532.59107587172</v>
      </c>
      <c r="S373" s="63">
        <f t="shared" si="312"/>
        <v>405208.65276213008</v>
      </c>
      <c r="T373" s="63">
        <f t="shared" si="312"/>
        <v>388063.68751897325</v>
      </c>
      <c r="U373" s="63">
        <f t="shared" si="312"/>
        <v>375805.28540057357</v>
      </c>
      <c r="V373" s="63">
        <f t="shared" si="312"/>
        <v>367213.95583211613</v>
      </c>
      <c r="W373" s="63">
        <f t="shared" si="312"/>
        <v>361276.81903592765</v>
      </c>
      <c r="X373" s="63">
        <f t="shared" si="312"/>
        <v>357213.74046742113</v>
      </c>
      <c r="Y373" s="63">
        <f t="shared" si="312"/>
        <v>354451.73213606392</v>
      </c>
      <c r="Z373" s="63">
        <f t="shared" si="312"/>
        <v>352582.71183221939</v>
      </c>
      <c r="AA373" s="63">
        <f t="shared" si="312"/>
        <v>351321.86878395046</v>
      </c>
      <c r="AB373" s="63">
        <f t="shared" si="312"/>
        <v>350473.07550719258</v>
      </c>
      <c r="AC373" s="63">
        <f t="shared" si="312"/>
        <v>349902.47455161036</v>
      </c>
    </row>
    <row r="374" spans="1:29" x14ac:dyDescent="0.25">
      <c r="A374" s="30" t="str">
        <f>A355</f>
        <v>Residual value (vehicle)</v>
      </c>
      <c r="B374" s="62">
        <f>((1+B358)^B365)*B358/(((1+B358)^B365)-1)*(B355)</f>
        <v>-43707.380747400188</v>
      </c>
      <c r="C374" s="62">
        <f t="shared" ref="C374:AC374" si="313">((1+C358)^C365)*C358/(((1+C358)^C365)-1)*(C355)</f>
        <v>-43756.664119435081</v>
      </c>
      <c r="D374" s="62">
        <f t="shared" si="313"/>
        <v>-43826.639442865126</v>
      </c>
      <c r="E374" s="62">
        <f t="shared" si="313"/>
        <v>-43925.54283833423</v>
      </c>
      <c r="F374" s="62">
        <f t="shared" si="313"/>
        <v>-44064.401421207796</v>
      </c>
      <c r="G374" s="62">
        <f t="shared" si="313"/>
        <v>-44257.465258628545</v>
      </c>
      <c r="H374" s="62">
        <f t="shared" si="313"/>
        <v>-44522.148557199871</v>
      </c>
      <c r="I374" s="62">
        <f t="shared" si="313"/>
        <v>-44877.854548164105</v>
      </c>
      <c r="J374" s="62">
        <f t="shared" si="313"/>
        <v>-45342.830995698081</v>
      </c>
      <c r="K374" s="62">
        <f t="shared" si="313"/>
        <v>-45928.390240146902</v>
      </c>
      <c r="L374" s="62">
        <f t="shared" si="313"/>
        <v>-46631.044525004734</v>
      </c>
      <c r="M374" s="62">
        <f t="shared" si="313"/>
        <v>-47425.587478201858</v>
      </c>
      <c r="N374" s="62">
        <f t="shared" si="313"/>
        <v>-48264.383213964342</v>
      </c>
      <c r="O374" s="62">
        <f t="shared" si="313"/>
        <v>-49086.673018570444</v>
      </c>
      <c r="P374" s="62">
        <f t="shared" si="313"/>
        <v>-49835.220353350363</v>
      </c>
      <c r="Q374" s="62">
        <f t="shared" si="313"/>
        <v>-50471.378992722974</v>
      </c>
      <c r="R374" s="62">
        <f t="shared" si="313"/>
        <v>-50980.828133303068</v>
      </c>
      <c r="S374" s="62">
        <f t="shared" si="313"/>
        <v>-51369.560438532098</v>
      </c>
      <c r="T374" s="62">
        <f t="shared" si="313"/>
        <v>-51655.309859251378</v>
      </c>
      <c r="U374" s="62">
        <f t="shared" si="313"/>
        <v>-51859.616561224706</v>
      </c>
      <c r="V374" s="62">
        <f t="shared" si="313"/>
        <v>-52002.805387365668</v>
      </c>
      <c r="W374" s="62">
        <f t="shared" si="313"/>
        <v>-52101.757667302139</v>
      </c>
      <c r="X374" s="62">
        <f t="shared" si="313"/>
        <v>-52169.475643443919</v>
      </c>
      <c r="Y374" s="62">
        <f t="shared" si="313"/>
        <v>-52215.509115633206</v>
      </c>
      <c r="Z374" s="62">
        <f t="shared" si="313"/>
        <v>-52246.659454030618</v>
      </c>
      <c r="AA374" s="62">
        <f t="shared" si="313"/>
        <v>-52267.673504835089</v>
      </c>
      <c r="AB374" s="62">
        <f t="shared" si="313"/>
        <v>-52281.820059447724</v>
      </c>
      <c r="AC374" s="62">
        <f t="shared" si="313"/>
        <v>-52291.330075374099</v>
      </c>
    </row>
    <row r="375" spans="1:29" x14ac:dyDescent="0.25">
      <c r="A375" s="30" t="str">
        <f>A356</f>
        <v>Capex costumization</v>
      </c>
      <c r="B375" s="62">
        <f>((1+B358)^B366)*B358/(((1+B358)^B366)-1)*(B356)</f>
        <v>305125.4282581982</v>
      </c>
      <c r="C375" s="62">
        <f t="shared" ref="C375:AC375" si="314">((1+C358)^C366)*C358/(((1+C358)^C366)-1)*(C356)</f>
        <v>305125.4282581982</v>
      </c>
      <c r="D375" s="62">
        <f t="shared" si="314"/>
        <v>305125.4282581982</v>
      </c>
      <c r="E375" s="62">
        <f t="shared" si="314"/>
        <v>305125.4282581982</v>
      </c>
      <c r="F375" s="62">
        <f t="shared" si="314"/>
        <v>305125.4282581982</v>
      </c>
      <c r="G375" s="62">
        <f t="shared" si="314"/>
        <v>305125.4282581982</v>
      </c>
      <c r="H375" s="62">
        <f t="shared" si="314"/>
        <v>305125.4282581982</v>
      </c>
      <c r="I375" s="62">
        <f t="shared" si="314"/>
        <v>305125.4282581982</v>
      </c>
      <c r="J375" s="62">
        <f t="shared" si="314"/>
        <v>305125.4282581982</v>
      </c>
      <c r="K375" s="62">
        <f t="shared" si="314"/>
        <v>305125.4282581982</v>
      </c>
      <c r="L375" s="62">
        <f t="shared" si="314"/>
        <v>305125.4282581982</v>
      </c>
      <c r="M375" s="62">
        <f t="shared" si="314"/>
        <v>305125.4282581982</v>
      </c>
      <c r="N375" s="62">
        <f t="shared" si="314"/>
        <v>305125.4282581982</v>
      </c>
      <c r="O375" s="62">
        <f t="shared" si="314"/>
        <v>305125.4282581982</v>
      </c>
      <c r="P375" s="62">
        <f t="shared" si="314"/>
        <v>305125.4282581982</v>
      </c>
      <c r="Q375" s="62">
        <f t="shared" si="314"/>
        <v>305125.4282581982</v>
      </c>
      <c r="R375" s="62">
        <f t="shared" si="314"/>
        <v>305125.4282581982</v>
      </c>
      <c r="S375" s="62">
        <f t="shared" si="314"/>
        <v>305125.4282581982</v>
      </c>
      <c r="T375" s="62">
        <f t="shared" si="314"/>
        <v>305125.4282581982</v>
      </c>
      <c r="U375" s="62">
        <f t="shared" si="314"/>
        <v>305125.4282581982</v>
      </c>
      <c r="V375" s="62">
        <f t="shared" si="314"/>
        <v>305125.4282581982</v>
      </c>
      <c r="W375" s="62">
        <f t="shared" si="314"/>
        <v>305125.4282581982</v>
      </c>
      <c r="X375" s="62">
        <f t="shared" si="314"/>
        <v>305125.4282581982</v>
      </c>
      <c r="Y375" s="62">
        <f t="shared" si="314"/>
        <v>305125.4282581982</v>
      </c>
      <c r="Z375" s="62">
        <f t="shared" si="314"/>
        <v>305125.4282581982</v>
      </c>
      <c r="AA375" s="62">
        <f t="shared" si="314"/>
        <v>305125.4282581982</v>
      </c>
      <c r="AB375" s="62">
        <f t="shared" si="314"/>
        <v>305125.4282581982</v>
      </c>
      <c r="AC375" s="62">
        <f t="shared" si="314"/>
        <v>305125.4282581982</v>
      </c>
    </row>
    <row r="376" spans="1:29" x14ac:dyDescent="0.25">
      <c r="A376" s="30" t="str">
        <f>A357</f>
        <v>Residual value (costumization)</v>
      </c>
      <c r="B376" s="62">
        <f>((1+B358)^B366)*B358/(((1+B358)^B366)-1)*(B357)</f>
        <v>-15256.271412909911</v>
      </c>
      <c r="C376" s="62">
        <f t="shared" ref="C376:AC376" si="315">((1+C358)^C366)*C358/(((1+C358)^C366)-1)*(C357)</f>
        <v>-15256.271412909911</v>
      </c>
      <c r="D376" s="62">
        <f t="shared" si="315"/>
        <v>-15256.271412909911</v>
      </c>
      <c r="E376" s="62">
        <f t="shared" si="315"/>
        <v>-15256.271412909911</v>
      </c>
      <c r="F376" s="62">
        <f t="shared" si="315"/>
        <v>-15256.271412909911</v>
      </c>
      <c r="G376" s="62">
        <f t="shared" si="315"/>
        <v>-15256.271412909911</v>
      </c>
      <c r="H376" s="62">
        <f t="shared" si="315"/>
        <v>-15256.271412909911</v>
      </c>
      <c r="I376" s="62">
        <f t="shared" si="315"/>
        <v>-15256.271412909911</v>
      </c>
      <c r="J376" s="62">
        <f t="shared" si="315"/>
        <v>-15256.271412909911</v>
      </c>
      <c r="K376" s="62">
        <f t="shared" si="315"/>
        <v>-15256.271412909911</v>
      </c>
      <c r="L376" s="62">
        <f t="shared" si="315"/>
        <v>-15256.271412909911</v>
      </c>
      <c r="M376" s="62">
        <f t="shared" si="315"/>
        <v>-15256.271412909911</v>
      </c>
      <c r="N376" s="62">
        <f t="shared" si="315"/>
        <v>-15256.271412909911</v>
      </c>
      <c r="O376" s="62">
        <f t="shared" si="315"/>
        <v>-15256.271412909911</v>
      </c>
      <c r="P376" s="62">
        <f t="shared" si="315"/>
        <v>-15256.271412909911</v>
      </c>
      <c r="Q376" s="62">
        <f t="shared" si="315"/>
        <v>-15256.271412909911</v>
      </c>
      <c r="R376" s="62">
        <f t="shared" si="315"/>
        <v>-15256.271412909911</v>
      </c>
      <c r="S376" s="62">
        <f t="shared" si="315"/>
        <v>-15256.271412909911</v>
      </c>
      <c r="T376" s="62">
        <f t="shared" si="315"/>
        <v>-15256.271412909911</v>
      </c>
      <c r="U376" s="62">
        <f t="shared" si="315"/>
        <v>-15256.271412909911</v>
      </c>
      <c r="V376" s="62">
        <f t="shared" si="315"/>
        <v>-15256.271412909911</v>
      </c>
      <c r="W376" s="62">
        <f t="shared" si="315"/>
        <v>-15256.271412909911</v>
      </c>
      <c r="X376" s="62">
        <f t="shared" si="315"/>
        <v>-15256.271412909911</v>
      </c>
      <c r="Y376" s="62">
        <f t="shared" si="315"/>
        <v>-15256.271412909911</v>
      </c>
      <c r="Z376" s="62">
        <f t="shared" si="315"/>
        <v>-15256.271412909911</v>
      </c>
      <c r="AA376" s="62">
        <f t="shared" si="315"/>
        <v>-15256.271412909911</v>
      </c>
      <c r="AB376" s="62">
        <f t="shared" si="315"/>
        <v>-15256.271412909911</v>
      </c>
      <c r="AC376" s="62">
        <f t="shared" si="315"/>
        <v>-15256.271412909911</v>
      </c>
    </row>
    <row r="377" spans="1:29" x14ac:dyDescent="0.25">
      <c r="A377" s="30" t="str">
        <f t="shared" ref="A377:AC377" si="316">A359</f>
        <v>Opex fix (admin, crew, insurance)</v>
      </c>
      <c r="B377" s="62">
        <f t="shared" si="316"/>
        <v>1450000</v>
      </c>
      <c r="C377" s="62">
        <f t="shared" si="316"/>
        <v>1450000</v>
      </c>
      <c r="D377" s="62">
        <f t="shared" si="316"/>
        <v>1450000</v>
      </c>
      <c r="E377" s="62">
        <f t="shared" si="316"/>
        <v>1450000</v>
      </c>
      <c r="F377" s="62">
        <f t="shared" si="316"/>
        <v>1450000</v>
      </c>
      <c r="G377" s="62">
        <f t="shared" si="316"/>
        <v>1450000</v>
      </c>
      <c r="H377" s="62">
        <f t="shared" si="316"/>
        <v>1450000</v>
      </c>
      <c r="I377" s="62">
        <f t="shared" si="316"/>
        <v>1450000</v>
      </c>
      <c r="J377" s="62">
        <f t="shared" si="316"/>
        <v>1450000</v>
      </c>
      <c r="K377" s="62">
        <f t="shared" si="316"/>
        <v>1450000</v>
      </c>
      <c r="L377" s="62">
        <f t="shared" si="316"/>
        <v>1450000</v>
      </c>
      <c r="M377" s="62">
        <f t="shared" si="316"/>
        <v>1450000</v>
      </c>
      <c r="N377" s="62">
        <f t="shared" si="316"/>
        <v>1450000</v>
      </c>
      <c r="O377" s="62">
        <f t="shared" si="316"/>
        <v>1450000</v>
      </c>
      <c r="P377" s="62">
        <f t="shared" si="316"/>
        <v>1450000</v>
      </c>
      <c r="Q377" s="62">
        <f t="shared" si="316"/>
        <v>1450000</v>
      </c>
      <c r="R377" s="62">
        <f t="shared" si="316"/>
        <v>1450000</v>
      </c>
      <c r="S377" s="62">
        <f t="shared" si="316"/>
        <v>1450000</v>
      </c>
      <c r="T377" s="62">
        <f t="shared" si="316"/>
        <v>1450000</v>
      </c>
      <c r="U377" s="62">
        <f t="shared" si="316"/>
        <v>1450000</v>
      </c>
      <c r="V377" s="62">
        <f t="shared" si="316"/>
        <v>1450000</v>
      </c>
      <c r="W377" s="62">
        <f t="shared" si="316"/>
        <v>1450000</v>
      </c>
      <c r="X377" s="62">
        <f t="shared" si="316"/>
        <v>1450000</v>
      </c>
      <c r="Y377" s="62">
        <f t="shared" si="316"/>
        <v>1450000</v>
      </c>
      <c r="Z377" s="62">
        <f t="shared" si="316"/>
        <v>1450000</v>
      </c>
      <c r="AA377" s="62">
        <f t="shared" si="316"/>
        <v>1450000</v>
      </c>
      <c r="AB377" s="62">
        <f t="shared" si="316"/>
        <v>1450000</v>
      </c>
      <c r="AC377" s="62">
        <f t="shared" si="316"/>
        <v>1450000</v>
      </c>
    </row>
    <row r="378" spans="1:29" x14ac:dyDescent="0.25">
      <c r="A378" s="30" t="str">
        <f t="shared" ref="A378:AC378" si="317">A360</f>
        <v>Opex maintenance &amp; repair</v>
      </c>
      <c r="B378" s="62">
        <f t="shared" si="317"/>
        <v>1388910.2037228637</v>
      </c>
      <c r="C378" s="62">
        <f t="shared" si="317"/>
        <v>1384161.8820080096</v>
      </c>
      <c r="D378" s="62">
        <f t="shared" si="317"/>
        <v>1377419.9458533253</v>
      </c>
      <c r="E378" s="62">
        <f t="shared" si="317"/>
        <v>1367890.8669573795</v>
      </c>
      <c r="F378" s="62">
        <f t="shared" si="317"/>
        <v>1354512.2121062956</v>
      </c>
      <c r="G378" s="62">
        <f t="shared" si="317"/>
        <v>1335911.0252611889</v>
      </c>
      <c r="H378" s="62">
        <f t="shared" si="317"/>
        <v>1310409.4939683313</v>
      </c>
      <c r="I378" s="62">
        <f t="shared" si="317"/>
        <v>1276138.1685443469</v>
      </c>
      <c r="J378" s="62">
        <f t="shared" si="317"/>
        <v>1231338.9254820407</v>
      </c>
      <c r="K378" s="62">
        <f t="shared" si="317"/>
        <v>1174921.8508999445</v>
      </c>
      <c r="L378" s="62">
        <f t="shared" si="317"/>
        <v>1107222.9808538083</v>
      </c>
      <c r="M378" s="62">
        <f t="shared" si="317"/>
        <v>1030670.8821991365</v>
      </c>
      <c r="N378" s="62">
        <f t="shared" si="317"/>
        <v>949855.14573475695</v>
      </c>
      <c r="O378" s="62">
        <f t="shared" si="317"/>
        <v>870629.71180240111</v>
      </c>
      <c r="P378" s="62">
        <f t="shared" si="317"/>
        <v>798509.16855274222</v>
      </c>
      <c r="Q378" s="62">
        <f t="shared" si="317"/>
        <v>737216.97695338901</v>
      </c>
      <c r="R378" s="62">
        <f t="shared" si="317"/>
        <v>688132.90829190495</v>
      </c>
      <c r="S378" s="62">
        <f t="shared" si="317"/>
        <v>650679.58539676399</v>
      </c>
      <c r="T378" s="62">
        <f t="shared" si="317"/>
        <v>623148.38930799719</v>
      </c>
      <c r="U378" s="62">
        <f t="shared" si="317"/>
        <v>603463.98238910188</v>
      </c>
      <c r="V378" s="62">
        <f t="shared" si="317"/>
        <v>589668.12012529059</v>
      </c>
      <c r="W378" s="62">
        <f t="shared" si="317"/>
        <v>580134.33134103287</v>
      </c>
      <c r="X378" s="62">
        <f t="shared" si="317"/>
        <v>573609.8845890474</v>
      </c>
      <c r="Y378" s="62">
        <f t="shared" si="317"/>
        <v>569174.682073851</v>
      </c>
      <c r="Z378" s="62">
        <f t="shared" si="317"/>
        <v>566173.42988411163</v>
      </c>
      <c r="AA378" s="62">
        <f t="shared" si="317"/>
        <v>564148.78202354477</v>
      </c>
      <c r="AB378" s="62">
        <f t="shared" si="317"/>
        <v>562785.79914140829</v>
      </c>
      <c r="AC378" s="62">
        <f t="shared" si="317"/>
        <v>561869.53442032111</v>
      </c>
    </row>
    <row r="379" spans="1:29" x14ac:dyDescent="0.25">
      <c r="A379" s="30" t="str">
        <f>A361</f>
        <v>Opex var (mode-fees, shunting)</v>
      </c>
      <c r="B379" s="62">
        <f>B361*B370</f>
        <v>1600000</v>
      </c>
      <c r="C379" s="62">
        <f t="shared" ref="C379:AC379" si="318">C361*C370</f>
        <v>1600000</v>
      </c>
      <c r="D379" s="62">
        <f t="shared" si="318"/>
        <v>1600000</v>
      </c>
      <c r="E379" s="62">
        <f t="shared" si="318"/>
        <v>1600000</v>
      </c>
      <c r="F379" s="62">
        <f t="shared" si="318"/>
        <v>1600000</v>
      </c>
      <c r="G379" s="62">
        <f t="shared" si="318"/>
        <v>1600000</v>
      </c>
      <c r="H379" s="62">
        <f t="shared" si="318"/>
        <v>1600000</v>
      </c>
      <c r="I379" s="62">
        <f t="shared" si="318"/>
        <v>1600000</v>
      </c>
      <c r="J379" s="62">
        <f t="shared" si="318"/>
        <v>1600000</v>
      </c>
      <c r="K379" s="62">
        <f t="shared" si="318"/>
        <v>1600000</v>
      </c>
      <c r="L379" s="62">
        <f t="shared" si="318"/>
        <v>1600000</v>
      </c>
      <c r="M379" s="62">
        <f t="shared" si="318"/>
        <v>1600000</v>
      </c>
      <c r="N379" s="62">
        <f t="shared" si="318"/>
        <v>1600000</v>
      </c>
      <c r="O379" s="62">
        <f t="shared" si="318"/>
        <v>1600000</v>
      </c>
      <c r="P379" s="62">
        <f t="shared" si="318"/>
        <v>1600000</v>
      </c>
      <c r="Q379" s="62">
        <f t="shared" si="318"/>
        <v>1600000</v>
      </c>
      <c r="R379" s="62">
        <f t="shared" si="318"/>
        <v>1600000</v>
      </c>
      <c r="S379" s="62">
        <f t="shared" si="318"/>
        <v>1600000</v>
      </c>
      <c r="T379" s="62">
        <f t="shared" si="318"/>
        <v>1600000</v>
      </c>
      <c r="U379" s="62">
        <f t="shared" si="318"/>
        <v>1600000</v>
      </c>
      <c r="V379" s="62">
        <f t="shared" si="318"/>
        <v>1600000</v>
      </c>
      <c r="W379" s="62">
        <f t="shared" si="318"/>
        <v>1600000</v>
      </c>
      <c r="X379" s="62">
        <f t="shared" si="318"/>
        <v>1600000</v>
      </c>
      <c r="Y379" s="62">
        <f t="shared" si="318"/>
        <v>1600000</v>
      </c>
      <c r="Z379" s="62">
        <f t="shared" si="318"/>
        <v>1600000</v>
      </c>
      <c r="AA379" s="62">
        <f t="shared" si="318"/>
        <v>1600000</v>
      </c>
      <c r="AB379" s="62">
        <f t="shared" si="318"/>
        <v>1600000</v>
      </c>
      <c r="AC379" s="62">
        <f t="shared" si="318"/>
        <v>1600000</v>
      </c>
    </row>
    <row r="380" spans="1:29" x14ac:dyDescent="0.25">
      <c r="A380" s="30" t="str">
        <f>A363</f>
        <v>Fuel Cost</v>
      </c>
      <c r="B380" s="62">
        <f>B362*B363*B370</f>
        <v>2198007.7097748476</v>
      </c>
      <c r="C380" s="62">
        <f t="shared" ref="C380:AC380" si="319">C362*C363*C370</f>
        <v>2188966.344853437</v>
      </c>
      <c r="D380" s="62">
        <f t="shared" si="319"/>
        <v>2176150.2571359598</v>
      </c>
      <c r="E380" s="62">
        <f t="shared" si="319"/>
        <v>2158078.6890399111</v>
      </c>
      <c r="F380" s="62">
        <f t="shared" si="319"/>
        <v>2132791.0160247581</v>
      </c>
      <c r="G380" s="62">
        <f t="shared" si="319"/>
        <v>2097795.9502724083</v>
      </c>
      <c r="H380" s="62">
        <f t="shared" si="319"/>
        <v>2050129.0545451115</v>
      </c>
      <c r="I380" s="62">
        <f t="shared" si="319"/>
        <v>1986634.5409192187</v>
      </c>
      <c r="J380" s="62">
        <f t="shared" si="319"/>
        <v>1904611.4133225391</v>
      </c>
      <c r="K380" s="62">
        <f t="shared" si="319"/>
        <v>1802891.2522917814</v>
      </c>
      <c r="L380" s="62">
        <f t="shared" si="319"/>
        <v>1683146.2077096445</v>
      </c>
      <c r="M380" s="62">
        <f t="shared" si="319"/>
        <v>1550785.691663306</v>
      </c>
      <c r="N380" s="62">
        <f t="shared" si="319"/>
        <v>1414559.0155313208</v>
      </c>
      <c r="O380" s="62">
        <f t="shared" si="319"/>
        <v>1284508.1995834436</v>
      </c>
      <c r="P380" s="62">
        <f t="shared" si="319"/>
        <v>1169129.1273181483</v>
      </c>
      <c r="Q380" s="62">
        <f t="shared" si="319"/>
        <v>1073327.4550872648</v>
      </c>
      <c r="R380" s="62">
        <f t="shared" si="319"/>
        <v>998100.91585720517</v>
      </c>
      <c r="S380" s="62">
        <f t="shared" si="319"/>
        <v>941593.17014026793</v>
      </c>
      <c r="T380" s="62">
        <f t="shared" si="319"/>
        <v>900548.62736821966</v>
      </c>
      <c r="U380" s="62">
        <f t="shared" si="319"/>
        <v>871458.57377498294</v>
      </c>
      <c r="V380" s="62">
        <f t="shared" si="319"/>
        <v>851198.06620715652</v>
      </c>
      <c r="W380" s="62">
        <f t="shared" si="319"/>
        <v>837258.12227443152</v>
      </c>
      <c r="X380" s="62">
        <f t="shared" si="319"/>
        <v>827747.20510321483</v>
      </c>
      <c r="Y380" s="62">
        <f t="shared" si="319"/>
        <v>821295.25258546346</v>
      </c>
      <c r="Z380" s="62">
        <f t="shared" si="319"/>
        <v>816935.44045804988</v>
      </c>
      <c r="AA380" s="62">
        <f t="shared" si="319"/>
        <v>813997.1116641328</v>
      </c>
      <c r="AB380" s="62">
        <f t="shared" si="319"/>
        <v>812020.31611280167</v>
      </c>
      <c r="AC380" s="62">
        <f t="shared" si="319"/>
        <v>810691.99174469069</v>
      </c>
    </row>
    <row r="381" spans="1:29" ht="15.75" thickBot="1" x14ac:dyDescent="0.3">
      <c r="A381" s="59" t="str">
        <f>A344</f>
        <v>Emission Cost</v>
      </c>
      <c r="B381" s="62">
        <f>B364*B370</f>
        <v>31384.562809326046</v>
      </c>
      <c r="C381" s="62">
        <f t="shared" ref="C381:AC381" si="320">C364*C370</f>
        <v>31354.677058629841</v>
      </c>
      <c r="D381" s="62">
        <f t="shared" si="320"/>
        <v>31311.896272159654</v>
      </c>
      <c r="E381" s="62">
        <f t="shared" si="320"/>
        <v>31250.695348634654</v>
      </c>
      <c r="F381" s="62">
        <f t="shared" si="320"/>
        <v>31163.225724263175</v>
      </c>
      <c r="G381" s="62">
        <f t="shared" si="320"/>
        <v>31038.387667315357</v>
      </c>
      <c r="H381" s="62">
        <f t="shared" si="320"/>
        <v>30860.587648093915</v>
      </c>
      <c r="I381" s="62">
        <f t="shared" si="320"/>
        <v>30608.137108750165</v>
      </c>
      <c r="J381" s="62">
        <f t="shared" si="320"/>
        <v>30251.322530335729</v>
      </c>
      <c r="K381" s="62">
        <f t="shared" si="320"/>
        <v>29750.36129971009</v>
      </c>
      <c r="L381" s="62">
        <f t="shared" si="320"/>
        <v>29053.843334582445</v>
      </c>
      <c r="M381" s="62">
        <f t="shared" si="320"/>
        <v>28098.943261181339</v>
      </c>
      <c r="N381" s="62">
        <f t="shared" si="320"/>
        <v>26815.659885485329</v>
      </c>
      <c r="O381" s="62">
        <f t="shared" si="320"/>
        <v>25138.160601334832</v>
      </c>
      <c r="P381" s="62">
        <f t="shared" si="320"/>
        <v>23025.633787127095</v>
      </c>
      <c r="Q381" s="62">
        <f t="shared" si="320"/>
        <v>20490.662250169502</v>
      </c>
      <c r="R381" s="62">
        <f t="shared" si="320"/>
        <v>17624.183222503099</v>
      </c>
      <c r="S381" s="62">
        <f t="shared" si="320"/>
        <v>14598.053073863191</v>
      </c>
      <c r="T381" s="62">
        <f t="shared" si="320"/>
        <v>11631.47150633083</v>
      </c>
      <c r="U381" s="62">
        <f t="shared" si="320"/>
        <v>8930.9312426128126</v>
      </c>
      <c r="V381" s="62">
        <f t="shared" si="320"/>
        <v>6635.8565827813327</v>
      </c>
      <c r="W381" s="62">
        <f t="shared" si="320"/>
        <v>4797.9128048403027</v>
      </c>
      <c r="X381" s="62">
        <f t="shared" si="320"/>
        <v>3395.4801285052108</v>
      </c>
      <c r="Y381" s="62">
        <f t="shared" si="320"/>
        <v>2364.579636135687</v>
      </c>
      <c r="Z381" s="62">
        <f t="shared" si="320"/>
        <v>1627.5006977828805</v>
      </c>
      <c r="AA381" s="62">
        <f t="shared" si="320"/>
        <v>1110.9172135575814</v>
      </c>
      <c r="AB381" s="62">
        <f t="shared" si="320"/>
        <v>753.92627425551336</v>
      </c>
      <c r="AC381" s="62">
        <f t="shared" si="320"/>
        <v>509.61958495025141</v>
      </c>
    </row>
    <row r="382" spans="1:29" ht="15.75" thickBot="1" x14ac:dyDescent="0.3">
      <c r="A382" s="31" t="s">
        <v>209</v>
      </c>
      <c r="B382" s="64">
        <f>B373+B374+B375+B376+B377+B378+B379+B380+B381</f>
        <v>7779403.686634969</v>
      </c>
      <c r="C382" s="64">
        <f t="shared" ref="C382:AC382" si="321">C373+C374+C375+C376+C377+C378+C379+C380+C381</f>
        <v>7762577.8285538796</v>
      </c>
      <c r="D382" s="64">
        <f t="shared" si="321"/>
        <v>7738708.5291660167</v>
      </c>
      <c r="E382" s="64">
        <f t="shared" si="321"/>
        <v>7705013.5741268806</v>
      </c>
      <c r="F382" s="64">
        <f t="shared" si="321"/>
        <v>7657789.4030809859</v>
      </c>
      <c r="G382" s="64">
        <f t="shared" si="321"/>
        <v>7592291.4183439156</v>
      </c>
      <c r="H382" s="64">
        <f t="shared" si="321"/>
        <v>7502799.5100916885</v>
      </c>
      <c r="I382" s="64">
        <f t="shared" si="321"/>
        <v>7383083.15505365</v>
      </c>
      <c r="J382" s="64">
        <f t="shared" si="321"/>
        <v>7227540.4065166768</v>
      </c>
      <c r="K382" s="64">
        <f t="shared" si="321"/>
        <v>7033183.0957618207</v>
      </c>
      <c r="L382" s="64">
        <f t="shared" si="321"/>
        <v>6802180.7517920909</v>
      </c>
      <c r="M382" s="64">
        <f t="shared" si="321"/>
        <v>6543846.1168726552</v>
      </c>
      <c r="N382" s="64">
        <f t="shared" si="321"/>
        <v>6274353.8810190838</v>
      </c>
      <c r="O382" s="64">
        <f t="shared" si="321"/>
        <v>6013240.4537737267</v>
      </c>
      <c r="P382" s="64">
        <f t="shared" si="321"/>
        <v>5777966.9240229903</v>
      </c>
      <c r="Q382" s="64">
        <f t="shared" si="321"/>
        <v>5579532.4116540672</v>
      </c>
      <c r="R382" s="64">
        <f t="shared" si="321"/>
        <v>5421278.9271594705</v>
      </c>
      <c r="S382" s="64">
        <f t="shared" si="321"/>
        <v>5300579.0577797825</v>
      </c>
      <c r="T382" s="64">
        <f t="shared" si="321"/>
        <v>5211606.0226875581</v>
      </c>
      <c r="U382" s="64">
        <f t="shared" si="321"/>
        <v>5147668.3130913349</v>
      </c>
      <c r="V382" s="64">
        <f t="shared" si="321"/>
        <v>5102582.3502052668</v>
      </c>
      <c r="W382" s="64">
        <f t="shared" si="321"/>
        <v>5071234.5846342184</v>
      </c>
      <c r="X382" s="64">
        <f t="shared" si="321"/>
        <v>5049665.9914900335</v>
      </c>
      <c r="Y382" s="64">
        <f t="shared" si="321"/>
        <v>5034939.8941611694</v>
      </c>
      <c r="Z382" s="64">
        <f t="shared" si="321"/>
        <v>5024941.5802634219</v>
      </c>
      <c r="AA382" s="64">
        <f t="shared" si="321"/>
        <v>5018180.163025639</v>
      </c>
      <c r="AB382" s="64">
        <f t="shared" si="321"/>
        <v>5013620.4538214989</v>
      </c>
      <c r="AC382" s="64">
        <f t="shared" si="321"/>
        <v>5010551.4470714871</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322">A373</f>
        <v>Capex vehicle</v>
      </c>
      <c r="B385" s="65">
        <f>((1+B358)^B365)*B358/(((1+B358)^B365)-1)*(B354)/B370</f>
        <v>4.8455990713167774</v>
      </c>
      <c r="C385" s="65">
        <f t="shared" ref="C385:AC385" si="323">((1+C358)^C365)*C358/(((1+C358)^C365)-1)*(C354)/C370</f>
        <v>4.8290332319773173</v>
      </c>
      <c r="D385" s="65">
        <f t="shared" si="323"/>
        <v>4.8055121148579749</v>
      </c>
      <c r="E385" s="65">
        <f t="shared" si="323"/>
        <v>4.7722672760448299</v>
      </c>
      <c r="F385" s="65">
        <f t="shared" si="323"/>
        <v>4.7255921221377486</v>
      </c>
      <c r="G385" s="65">
        <f t="shared" si="323"/>
        <v>4.6606967146013627</v>
      </c>
      <c r="H385" s="65">
        <f t="shared" si="323"/>
        <v>4.571727538611003</v>
      </c>
      <c r="I385" s="65">
        <f t="shared" si="323"/>
        <v>4.4521624996314282</v>
      </c>
      <c r="J385" s="65">
        <f t="shared" si="323"/>
        <v>4.2958678954183256</v>
      </c>
      <c r="K385" s="65">
        <f t="shared" si="323"/>
        <v>4.0990412586288079</v>
      </c>
      <c r="L385" s="65">
        <f t="shared" si="323"/>
        <v>3.8628549443908802</v>
      </c>
      <c r="M385" s="65">
        <f t="shared" si="323"/>
        <v>3.5957816828120173</v>
      </c>
      <c r="N385" s="65">
        <f t="shared" si="323"/>
        <v>3.3138335363372309</v>
      </c>
      <c r="O385" s="65">
        <f t="shared" si="323"/>
        <v>3.0374336020158523</v>
      </c>
      <c r="P385" s="65">
        <f t="shared" si="323"/>
        <v>2.7858210525099958</v>
      </c>
      <c r="Q385" s="65">
        <f t="shared" si="323"/>
        <v>2.5719862157460938</v>
      </c>
      <c r="R385" s="65">
        <f t="shared" si="323"/>
        <v>2.4007428071477408</v>
      </c>
      <c r="S385" s="65">
        <f t="shared" si="323"/>
        <v>2.2700764860623535</v>
      </c>
      <c r="T385" s="65">
        <f t="shared" si="323"/>
        <v>2.1740262606104945</v>
      </c>
      <c r="U385" s="65">
        <f t="shared" si="323"/>
        <v>2.1053517389387877</v>
      </c>
      <c r="V385" s="65">
        <f t="shared" si="323"/>
        <v>2.0572210410762808</v>
      </c>
      <c r="W385" s="65">
        <f t="shared" si="323"/>
        <v>2.0239597705093986</v>
      </c>
      <c r="X385" s="65">
        <f t="shared" si="323"/>
        <v>2.0011974255877933</v>
      </c>
      <c r="Y385" s="65">
        <f t="shared" si="323"/>
        <v>1.985723989557781</v>
      </c>
      <c r="Z385" s="65">
        <f t="shared" si="323"/>
        <v>1.9752532875754587</v>
      </c>
      <c r="AA385" s="65">
        <f t="shared" si="323"/>
        <v>1.9681897410865572</v>
      </c>
      <c r="AB385" s="65">
        <f t="shared" si="323"/>
        <v>1.9634345966789499</v>
      </c>
      <c r="AC385" s="65">
        <f t="shared" si="323"/>
        <v>1.9602379526700859</v>
      </c>
    </row>
    <row r="386" spans="1:29" x14ac:dyDescent="0.25">
      <c r="A386" s="30" t="str">
        <f t="shared" si="322"/>
        <v>Residual value (vehicle)</v>
      </c>
      <c r="B386" s="66">
        <f>((1+B358)^B365)*B358/(((1+B358)^B365)-1)*(B355)/B370</f>
        <v>-0.24485927589579937</v>
      </c>
      <c r="C386" s="66">
        <f t="shared" ref="C386:AC386" si="324">((1+C358)^C365)*C358/(((1+C358)^C365)-1)*(C355)/C370</f>
        <v>-0.2451353732181237</v>
      </c>
      <c r="D386" s="66">
        <f t="shared" si="324"/>
        <v>-0.24552739183677941</v>
      </c>
      <c r="E386" s="66">
        <f t="shared" si="324"/>
        <v>-0.24608147248366516</v>
      </c>
      <c r="F386" s="66">
        <f t="shared" si="324"/>
        <v>-0.24685939171544985</v>
      </c>
      <c r="G386" s="66">
        <f t="shared" si="324"/>
        <v>-0.24794098184105628</v>
      </c>
      <c r="H386" s="66">
        <f t="shared" si="324"/>
        <v>-0.24942380144089563</v>
      </c>
      <c r="I386" s="66">
        <f t="shared" si="324"/>
        <v>-0.25141655209055519</v>
      </c>
      <c r="J386" s="66">
        <f t="shared" si="324"/>
        <v>-0.25402146216077354</v>
      </c>
      <c r="K386" s="66">
        <f t="shared" si="324"/>
        <v>-0.25730190610726555</v>
      </c>
      <c r="L386" s="66">
        <f t="shared" si="324"/>
        <v>-0.26123834467789769</v>
      </c>
      <c r="M386" s="66">
        <f t="shared" si="324"/>
        <v>-0.26568956570421209</v>
      </c>
      <c r="N386" s="66">
        <f t="shared" si="324"/>
        <v>-0.27038870147879185</v>
      </c>
      <c r="O386" s="66">
        <f t="shared" si="324"/>
        <v>-0.27499536705081479</v>
      </c>
      <c r="P386" s="66">
        <f t="shared" si="324"/>
        <v>-0.27918890954257908</v>
      </c>
      <c r="Q386" s="66">
        <f t="shared" si="324"/>
        <v>-0.28275282348864411</v>
      </c>
      <c r="R386" s="66">
        <f t="shared" si="324"/>
        <v>-0.28560688029861664</v>
      </c>
      <c r="S386" s="66">
        <f t="shared" si="324"/>
        <v>-0.28778465231670641</v>
      </c>
      <c r="T386" s="66">
        <f t="shared" si="324"/>
        <v>-0.28938548940757075</v>
      </c>
      <c r="U386" s="66">
        <f t="shared" si="324"/>
        <v>-0.29053006476876586</v>
      </c>
      <c r="V386" s="66">
        <f t="shared" si="324"/>
        <v>-0.29133224306647432</v>
      </c>
      <c r="W386" s="66">
        <f t="shared" si="324"/>
        <v>-0.29188659757592234</v>
      </c>
      <c r="X386" s="66">
        <f t="shared" si="324"/>
        <v>-0.29226596999128246</v>
      </c>
      <c r="Y386" s="66">
        <f t="shared" si="324"/>
        <v>-0.29252386059178265</v>
      </c>
      <c r="Z386" s="66">
        <f t="shared" si="324"/>
        <v>-0.29269837229148804</v>
      </c>
      <c r="AA386" s="66">
        <f t="shared" si="324"/>
        <v>-0.29281609806630304</v>
      </c>
      <c r="AB386" s="66">
        <f t="shared" si="324"/>
        <v>-0.29289535047309651</v>
      </c>
      <c r="AC386" s="66">
        <f t="shared" si="324"/>
        <v>-0.29294862787324427</v>
      </c>
    </row>
    <row r="387" spans="1:29" x14ac:dyDescent="0.25">
      <c r="A387" s="30" t="str">
        <f t="shared" si="322"/>
        <v>Capex costumization</v>
      </c>
      <c r="B387" s="66">
        <f>((1+B358)^B366)*B358/(((1+B358)^B366)-1)*(B356)/B370</f>
        <v>1.7093861527069927</v>
      </c>
      <c r="C387" s="66">
        <f t="shared" ref="C387:AC387" si="325">((1+C358)^C366)*C358/(((1+C358)^C366)-1)*(C356)/C370</f>
        <v>1.7093861527069927</v>
      </c>
      <c r="D387" s="66">
        <f t="shared" si="325"/>
        <v>1.7093861527069927</v>
      </c>
      <c r="E387" s="66">
        <f t="shared" si="325"/>
        <v>1.7093861527069927</v>
      </c>
      <c r="F387" s="66">
        <f t="shared" si="325"/>
        <v>1.7093861527069927</v>
      </c>
      <c r="G387" s="66">
        <f t="shared" si="325"/>
        <v>1.7093861527069927</v>
      </c>
      <c r="H387" s="66">
        <f t="shared" si="325"/>
        <v>1.7093861527069927</v>
      </c>
      <c r="I387" s="66">
        <f t="shared" si="325"/>
        <v>1.7093861527069927</v>
      </c>
      <c r="J387" s="66">
        <f t="shared" si="325"/>
        <v>1.7093861527069927</v>
      </c>
      <c r="K387" s="66">
        <f t="shared" si="325"/>
        <v>1.7093861527069927</v>
      </c>
      <c r="L387" s="66">
        <f t="shared" si="325"/>
        <v>1.7093861527069927</v>
      </c>
      <c r="M387" s="66">
        <f t="shared" si="325"/>
        <v>1.7093861527069927</v>
      </c>
      <c r="N387" s="66">
        <f t="shared" si="325"/>
        <v>1.7093861527069927</v>
      </c>
      <c r="O387" s="66">
        <f t="shared" si="325"/>
        <v>1.7093861527069927</v>
      </c>
      <c r="P387" s="66">
        <f t="shared" si="325"/>
        <v>1.7093861527069927</v>
      </c>
      <c r="Q387" s="66">
        <f t="shared" si="325"/>
        <v>1.7093861527069927</v>
      </c>
      <c r="R387" s="66">
        <f t="shared" si="325"/>
        <v>1.7093861527069927</v>
      </c>
      <c r="S387" s="66">
        <f t="shared" si="325"/>
        <v>1.7093861527069927</v>
      </c>
      <c r="T387" s="66">
        <f t="shared" si="325"/>
        <v>1.7093861527069927</v>
      </c>
      <c r="U387" s="66">
        <f t="shared" si="325"/>
        <v>1.7093861527069927</v>
      </c>
      <c r="V387" s="66">
        <f t="shared" si="325"/>
        <v>1.7093861527069927</v>
      </c>
      <c r="W387" s="66">
        <f t="shared" si="325"/>
        <v>1.7093861527069927</v>
      </c>
      <c r="X387" s="66">
        <f t="shared" si="325"/>
        <v>1.7093861527069927</v>
      </c>
      <c r="Y387" s="66">
        <f t="shared" si="325"/>
        <v>1.7093861527069927</v>
      </c>
      <c r="Z387" s="66">
        <f t="shared" si="325"/>
        <v>1.7093861527069927</v>
      </c>
      <c r="AA387" s="66">
        <f t="shared" si="325"/>
        <v>1.7093861527069927</v>
      </c>
      <c r="AB387" s="66">
        <f t="shared" si="325"/>
        <v>1.7093861527069927</v>
      </c>
      <c r="AC387" s="66">
        <f t="shared" si="325"/>
        <v>1.7093861527069927</v>
      </c>
    </row>
    <row r="388" spans="1:29" x14ac:dyDescent="0.25">
      <c r="A388" s="30" t="str">
        <f t="shared" si="322"/>
        <v>Residual value (costumization)</v>
      </c>
      <c r="B388" s="66">
        <f>((1+B358)^B366)*B358/(((1+B358)^B366)-1)*(B357)/B370</f>
        <v>-8.5469307635349642E-2</v>
      </c>
      <c r="C388" s="66">
        <f t="shared" ref="C388:AC388" si="326">((1+C358)^C366)*C358/(((1+C358)^C366)-1)*(C357)/C370</f>
        <v>-8.5469307635349642E-2</v>
      </c>
      <c r="D388" s="66">
        <f t="shared" si="326"/>
        <v>-8.5469307635349642E-2</v>
      </c>
      <c r="E388" s="66">
        <f t="shared" si="326"/>
        <v>-8.5469307635349642E-2</v>
      </c>
      <c r="F388" s="66">
        <f t="shared" si="326"/>
        <v>-8.5469307635349642E-2</v>
      </c>
      <c r="G388" s="66">
        <f t="shared" si="326"/>
        <v>-8.5469307635349642E-2</v>
      </c>
      <c r="H388" s="66">
        <f t="shared" si="326"/>
        <v>-8.5469307635349642E-2</v>
      </c>
      <c r="I388" s="66">
        <f t="shared" si="326"/>
        <v>-8.5469307635349642E-2</v>
      </c>
      <c r="J388" s="66">
        <f t="shared" si="326"/>
        <v>-8.5469307635349642E-2</v>
      </c>
      <c r="K388" s="66">
        <f t="shared" si="326"/>
        <v>-8.5469307635349642E-2</v>
      </c>
      <c r="L388" s="66">
        <f t="shared" si="326"/>
        <v>-8.5469307635349642E-2</v>
      </c>
      <c r="M388" s="66">
        <f t="shared" si="326"/>
        <v>-8.5469307635349642E-2</v>
      </c>
      <c r="N388" s="66">
        <f t="shared" si="326"/>
        <v>-8.5469307635349642E-2</v>
      </c>
      <c r="O388" s="66">
        <f t="shared" si="326"/>
        <v>-8.5469307635349642E-2</v>
      </c>
      <c r="P388" s="66">
        <f t="shared" si="326"/>
        <v>-8.5469307635349642E-2</v>
      </c>
      <c r="Q388" s="66">
        <f t="shared" si="326"/>
        <v>-8.5469307635349642E-2</v>
      </c>
      <c r="R388" s="66">
        <f t="shared" si="326"/>
        <v>-8.5469307635349642E-2</v>
      </c>
      <c r="S388" s="66">
        <f t="shared" si="326"/>
        <v>-8.5469307635349642E-2</v>
      </c>
      <c r="T388" s="66">
        <f t="shared" si="326"/>
        <v>-8.5469307635349642E-2</v>
      </c>
      <c r="U388" s="66">
        <f t="shared" si="326"/>
        <v>-8.5469307635349642E-2</v>
      </c>
      <c r="V388" s="66">
        <f t="shared" si="326"/>
        <v>-8.5469307635349642E-2</v>
      </c>
      <c r="W388" s="66">
        <f t="shared" si="326"/>
        <v>-8.5469307635349642E-2</v>
      </c>
      <c r="X388" s="66">
        <f t="shared" si="326"/>
        <v>-8.5469307635349642E-2</v>
      </c>
      <c r="Y388" s="66">
        <f t="shared" si="326"/>
        <v>-8.5469307635349642E-2</v>
      </c>
      <c r="Z388" s="66">
        <f t="shared" si="326"/>
        <v>-8.5469307635349642E-2</v>
      </c>
      <c r="AA388" s="66">
        <f t="shared" si="326"/>
        <v>-8.5469307635349642E-2</v>
      </c>
      <c r="AB388" s="66">
        <f t="shared" si="326"/>
        <v>-8.5469307635349642E-2</v>
      </c>
      <c r="AC388" s="66">
        <f t="shared" si="326"/>
        <v>-8.5469307635349642E-2</v>
      </c>
    </row>
    <row r="389" spans="1:29" x14ac:dyDescent="0.25">
      <c r="A389" s="30" t="str">
        <f t="shared" si="322"/>
        <v>Opex fix (admin, crew, insurance)</v>
      </c>
      <c r="B389" s="66">
        <f>B359/B370</f>
        <v>8.1232492997198875</v>
      </c>
      <c r="C389" s="66">
        <f t="shared" ref="C389:AC389" si="327">C359/C370</f>
        <v>8.1232492997198875</v>
      </c>
      <c r="D389" s="66">
        <f t="shared" si="327"/>
        <v>8.1232492997198875</v>
      </c>
      <c r="E389" s="66">
        <f t="shared" si="327"/>
        <v>8.1232492997198875</v>
      </c>
      <c r="F389" s="66">
        <f t="shared" si="327"/>
        <v>8.1232492997198875</v>
      </c>
      <c r="G389" s="66">
        <f t="shared" si="327"/>
        <v>8.1232492997198875</v>
      </c>
      <c r="H389" s="66">
        <f t="shared" si="327"/>
        <v>8.1232492997198875</v>
      </c>
      <c r="I389" s="66">
        <f t="shared" si="327"/>
        <v>8.1232492997198875</v>
      </c>
      <c r="J389" s="66">
        <f t="shared" si="327"/>
        <v>8.1232492997198875</v>
      </c>
      <c r="K389" s="66">
        <f t="shared" si="327"/>
        <v>8.1232492997198875</v>
      </c>
      <c r="L389" s="66">
        <f t="shared" si="327"/>
        <v>8.1232492997198875</v>
      </c>
      <c r="M389" s="66">
        <f t="shared" si="327"/>
        <v>8.1232492997198875</v>
      </c>
      <c r="N389" s="66">
        <f t="shared" si="327"/>
        <v>8.1232492997198875</v>
      </c>
      <c r="O389" s="66">
        <f t="shared" si="327"/>
        <v>8.1232492997198875</v>
      </c>
      <c r="P389" s="66">
        <f t="shared" si="327"/>
        <v>8.1232492997198875</v>
      </c>
      <c r="Q389" s="66">
        <f t="shared" si="327"/>
        <v>8.1232492997198875</v>
      </c>
      <c r="R389" s="66">
        <f t="shared" si="327"/>
        <v>8.1232492997198875</v>
      </c>
      <c r="S389" s="66">
        <f t="shared" si="327"/>
        <v>8.1232492997198875</v>
      </c>
      <c r="T389" s="66">
        <f t="shared" si="327"/>
        <v>8.1232492997198875</v>
      </c>
      <c r="U389" s="66">
        <f t="shared" si="327"/>
        <v>8.1232492997198875</v>
      </c>
      <c r="V389" s="66">
        <f t="shared" si="327"/>
        <v>8.1232492997198875</v>
      </c>
      <c r="W389" s="66">
        <f t="shared" si="327"/>
        <v>8.1232492997198875</v>
      </c>
      <c r="X389" s="66">
        <f t="shared" si="327"/>
        <v>8.1232492997198875</v>
      </c>
      <c r="Y389" s="66">
        <f t="shared" si="327"/>
        <v>8.1232492997198875</v>
      </c>
      <c r="Z389" s="66">
        <f t="shared" si="327"/>
        <v>8.1232492997198875</v>
      </c>
      <c r="AA389" s="66">
        <f t="shared" si="327"/>
        <v>8.1232492997198875</v>
      </c>
      <c r="AB389" s="66">
        <f t="shared" si="327"/>
        <v>8.1232492997198875</v>
      </c>
      <c r="AC389" s="66">
        <f t="shared" si="327"/>
        <v>8.1232492997198875</v>
      </c>
    </row>
    <row r="390" spans="1:29" x14ac:dyDescent="0.25">
      <c r="A390" s="30" t="str">
        <f t="shared" si="322"/>
        <v>Opex maintenance &amp; repair</v>
      </c>
      <c r="B390" s="66">
        <f>B360/B370</f>
        <v>7.7810095446659027</v>
      </c>
      <c r="C390" s="66">
        <f t="shared" ref="C390:AC390" si="328">C360/C370</f>
        <v>7.7544083025658797</v>
      </c>
      <c r="D390" s="66">
        <f t="shared" si="328"/>
        <v>7.7166383521194692</v>
      </c>
      <c r="E390" s="66">
        <f t="shared" si="328"/>
        <v>7.6632541566239745</v>
      </c>
      <c r="F390" s="66">
        <f t="shared" si="328"/>
        <v>7.5883037092789669</v>
      </c>
      <c r="G390" s="66">
        <f t="shared" si="328"/>
        <v>7.4840953796145033</v>
      </c>
      <c r="H390" s="66">
        <f t="shared" si="328"/>
        <v>7.3412296580858891</v>
      </c>
      <c r="I390" s="66">
        <f t="shared" si="328"/>
        <v>7.1492334372232325</v>
      </c>
      <c r="J390" s="66">
        <f t="shared" si="328"/>
        <v>6.8982572856136732</v>
      </c>
      <c r="K390" s="66">
        <f t="shared" si="328"/>
        <v>6.5821952431369439</v>
      </c>
      <c r="L390" s="66">
        <f t="shared" si="328"/>
        <v>6.202929864727218</v>
      </c>
      <c r="M390" s="66">
        <f t="shared" si="328"/>
        <v>5.7740665669419418</v>
      </c>
      <c r="N390" s="66">
        <f t="shared" si="328"/>
        <v>5.3213173430518594</v>
      </c>
      <c r="O390" s="66">
        <f t="shared" si="328"/>
        <v>4.8774773770442641</v>
      </c>
      <c r="P390" s="66">
        <f t="shared" si="328"/>
        <v>4.4734407201834294</v>
      </c>
      <c r="Q390" s="66">
        <f t="shared" si="328"/>
        <v>4.13006709777809</v>
      </c>
      <c r="R390" s="66">
        <f t="shared" si="328"/>
        <v>3.855086320963053</v>
      </c>
      <c r="S390" s="66">
        <f t="shared" si="328"/>
        <v>3.6452637837353725</v>
      </c>
      <c r="T390" s="66">
        <f t="shared" si="328"/>
        <v>3.4910273910812166</v>
      </c>
      <c r="U390" s="66">
        <f t="shared" si="328"/>
        <v>3.3807506016196185</v>
      </c>
      <c r="V390" s="66">
        <f t="shared" si="328"/>
        <v>3.3034628578447651</v>
      </c>
      <c r="W390" s="66">
        <f t="shared" si="328"/>
        <v>3.2500522764203521</v>
      </c>
      <c r="X390" s="66">
        <f t="shared" si="328"/>
        <v>3.2135007540002656</v>
      </c>
      <c r="Y390" s="66">
        <f t="shared" si="328"/>
        <v>3.188653681086</v>
      </c>
      <c r="Z390" s="66">
        <f t="shared" si="328"/>
        <v>3.1718399433283566</v>
      </c>
      <c r="AA390" s="66">
        <f t="shared" si="328"/>
        <v>3.1604973782831638</v>
      </c>
      <c r="AB390" s="66">
        <f t="shared" si="328"/>
        <v>3.1528616198398223</v>
      </c>
      <c r="AC390" s="66">
        <f t="shared" si="328"/>
        <v>3.1477284841474571</v>
      </c>
    </row>
    <row r="391" spans="1:29" x14ac:dyDescent="0.25">
      <c r="A391" s="30" t="str">
        <f t="shared" si="322"/>
        <v>Opex var (mode-fees, shunting)</v>
      </c>
      <c r="B391" s="66">
        <f>B361*B370/B370</f>
        <v>8.9635854341736696</v>
      </c>
      <c r="C391" s="66">
        <f t="shared" ref="C391:AC391" si="329">C361*C370/C370</f>
        <v>8.9635854341736696</v>
      </c>
      <c r="D391" s="66">
        <f t="shared" si="329"/>
        <v>8.9635854341736696</v>
      </c>
      <c r="E391" s="66">
        <f t="shared" si="329"/>
        <v>8.9635854341736696</v>
      </c>
      <c r="F391" s="66">
        <f t="shared" si="329"/>
        <v>8.9635854341736696</v>
      </c>
      <c r="G391" s="66">
        <f t="shared" si="329"/>
        <v>8.9635854341736696</v>
      </c>
      <c r="H391" s="66">
        <f t="shared" si="329"/>
        <v>8.9635854341736696</v>
      </c>
      <c r="I391" s="66">
        <f t="shared" si="329"/>
        <v>8.9635854341736696</v>
      </c>
      <c r="J391" s="66">
        <f t="shared" si="329"/>
        <v>8.9635854341736696</v>
      </c>
      <c r="K391" s="66">
        <f t="shared" si="329"/>
        <v>8.9635854341736696</v>
      </c>
      <c r="L391" s="66">
        <f t="shared" si="329"/>
        <v>8.9635854341736696</v>
      </c>
      <c r="M391" s="66">
        <f t="shared" si="329"/>
        <v>8.9635854341736696</v>
      </c>
      <c r="N391" s="66">
        <f t="shared" si="329"/>
        <v>8.9635854341736696</v>
      </c>
      <c r="O391" s="66">
        <f t="shared" si="329"/>
        <v>8.9635854341736696</v>
      </c>
      <c r="P391" s="66">
        <f t="shared" si="329"/>
        <v>8.9635854341736696</v>
      </c>
      <c r="Q391" s="66">
        <f t="shared" si="329"/>
        <v>8.9635854341736696</v>
      </c>
      <c r="R391" s="66">
        <f t="shared" si="329"/>
        <v>8.9635854341736696</v>
      </c>
      <c r="S391" s="66">
        <f t="shared" si="329"/>
        <v>8.9635854341736696</v>
      </c>
      <c r="T391" s="66">
        <f t="shared" si="329"/>
        <v>8.9635854341736696</v>
      </c>
      <c r="U391" s="66">
        <f t="shared" si="329"/>
        <v>8.9635854341736696</v>
      </c>
      <c r="V391" s="66">
        <f t="shared" si="329"/>
        <v>8.9635854341736696</v>
      </c>
      <c r="W391" s="66">
        <f t="shared" si="329"/>
        <v>8.9635854341736696</v>
      </c>
      <c r="X391" s="66">
        <f t="shared" si="329"/>
        <v>8.9635854341736696</v>
      </c>
      <c r="Y391" s="66">
        <f t="shared" si="329"/>
        <v>8.9635854341736696</v>
      </c>
      <c r="Z391" s="66">
        <f t="shared" si="329"/>
        <v>8.9635854341736696</v>
      </c>
      <c r="AA391" s="66">
        <f t="shared" si="329"/>
        <v>8.9635854341736696</v>
      </c>
      <c r="AB391" s="66">
        <f t="shared" si="329"/>
        <v>8.9635854341736696</v>
      </c>
      <c r="AC391" s="66">
        <f t="shared" si="329"/>
        <v>8.9635854341736696</v>
      </c>
    </row>
    <row r="392" spans="1:29" x14ac:dyDescent="0.25">
      <c r="A392" s="30" t="str">
        <f t="shared" si="322"/>
        <v>Fuel Cost</v>
      </c>
      <c r="B392" s="66">
        <f>B362*B363*B370/B370</f>
        <v>12.313768682212032</v>
      </c>
      <c r="C392" s="66">
        <f t="shared" ref="C392:AC392" si="330">C362*C363*C370/C370</f>
        <v>12.263116777890403</v>
      </c>
      <c r="D392" s="66">
        <f t="shared" si="330"/>
        <v>12.191317967148235</v>
      </c>
      <c r="E392" s="66">
        <f t="shared" si="330"/>
        <v>12.090076689299222</v>
      </c>
      <c r="F392" s="66">
        <f t="shared" si="330"/>
        <v>11.94840905335999</v>
      </c>
      <c r="G392" s="66">
        <f t="shared" si="330"/>
        <v>11.75235826483142</v>
      </c>
      <c r="H392" s="66">
        <f t="shared" si="330"/>
        <v>11.485316832185498</v>
      </c>
      <c r="I392" s="66">
        <f t="shared" si="330"/>
        <v>11.129605271256127</v>
      </c>
      <c r="J392" s="66">
        <f t="shared" si="330"/>
        <v>10.670091951386773</v>
      </c>
      <c r="K392" s="66">
        <f t="shared" si="330"/>
        <v>10.100231105276086</v>
      </c>
      <c r="L392" s="66">
        <f t="shared" si="330"/>
        <v>9.4293905193817622</v>
      </c>
      <c r="M392" s="66">
        <f t="shared" si="330"/>
        <v>8.6878750233238424</v>
      </c>
      <c r="N392" s="66">
        <f t="shared" si="330"/>
        <v>7.9247003671222451</v>
      </c>
      <c r="O392" s="66">
        <f t="shared" si="330"/>
        <v>7.1961243674142494</v>
      </c>
      <c r="P392" s="66">
        <f t="shared" si="330"/>
        <v>6.5497430101857042</v>
      </c>
      <c r="Q392" s="66">
        <f t="shared" si="330"/>
        <v>6.0130389640743127</v>
      </c>
      <c r="R392" s="66">
        <f t="shared" si="330"/>
        <v>5.5916017695081521</v>
      </c>
      <c r="S392" s="66">
        <f t="shared" si="330"/>
        <v>5.2750317654916969</v>
      </c>
      <c r="T392" s="66">
        <f t="shared" si="330"/>
        <v>5.0450903494017911</v>
      </c>
      <c r="U392" s="66">
        <f t="shared" si="330"/>
        <v>4.8821208614844984</v>
      </c>
      <c r="V392" s="66">
        <f t="shared" si="330"/>
        <v>4.768616617407039</v>
      </c>
      <c r="W392" s="66">
        <f t="shared" si="330"/>
        <v>4.6905216934141825</v>
      </c>
      <c r="X392" s="66">
        <f t="shared" si="330"/>
        <v>4.6372392442757135</v>
      </c>
      <c r="Y392" s="66">
        <f t="shared" si="330"/>
        <v>4.6010938520194031</v>
      </c>
      <c r="Z392" s="66">
        <f t="shared" si="330"/>
        <v>4.5766691342187666</v>
      </c>
      <c r="AA392" s="66">
        <f t="shared" si="330"/>
        <v>4.5602079084825364</v>
      </c>
      <c r="AB392" s="66">
        <f t="shared" si="330"/>
        <v>4.5491334236011296</v>
      </c>
      <c r="AC392" s="66">
        <f t="shared" si="330"/>
        <v>4.5416918305024687</v>
      </c>
    </row>
    <row r="393" spans="1:29" ht="15.75" thickBot="1" x14ac:dyDescent="0.3">
      <c r="A393" s="59" t="str">
        <f t="shared" ref="A393" si="331">A381</f>
        <v>Emission Cost</v>
      </c>
      <c r="B393" s="66">
        <f>B364</f>
        <v>0.17582388128473975</v>
      </c>
      <c r="C393" s="66">
        <f t="shared" ref="C393:AC393" si="332">C364</f>
        <v>0.17565645410997111</v>
      </c>
      <c r="D393" s="66">
        <f t="shared" si="332"/>
        <v>0.17541678583842943</v>
      </c>
      <c r="E393" s="66">
        <f t="shared" si="332"/>
        <v>0.17507392352176276</v>
      </c>
      <c r="F393" s="66">
        <f t="shared" si="332"/>
        <v>0.17458389761491974</v>
      </c>
      <c r="G393" s="66">
        <f t="shared" si="332"/>
        <v>0.17388452474686475</v>
      </c>
      <c r="H393" s="66">
        <f t="shared" si="332"/>
        <v>0.17288844620780905</v>
      </c>
      <c r="I393" s="66">
        <f t="shared" si="332"/>
        <v>0.17147415747198971</v>
      </c>
      <c r="J393" s="66">
        <f t="shared" si="332"/>
        <v>0.16947519624837942</v>
      </c>
      <c r="K393" s="66">
        <f t="shared" si="332"/>
        <v>0.16666869075467838</v>
      </c>
      <c r="L393" s="66">
        <f t="shared" si="332"/>
        <v>0.16276662932539185</v>
      </c>
      <c r="M393" s="66">
        <f t="shared" si="332"/>
        <v>0.15741704908224841</v>
      </c>
      <c r="N393" s="66">
        <f t="shared" si="332"/>
        <v>0.15022778647330717</v>
      </c>
      <c r="O393" s="66">
        <f t="shared" si="332"/>
        <v>0.14083003138002706</v>
      </c>
      <c r="P393" s="66">
        <f t="shared" si="332"/>
        <v>0.12899514726681846</v>
      </c>
      <c r="Q393" s="66">
        <f t="shared" si="332"/>
        <v>0.11479362605136975</v>
      </c>
      <c r="R393" s="66">
        <f t="shared" si="332"/>
        <v>9.8734920014022967E-2</v>
      </c>
      <c r="S393" s="66">
        <f t="shared" si="332"/>
        <v>8.1781809937608918E-2</v>
      </c>
      <c r="T393" s="66">
        <f t="shared" si="332"/>
        <v>6.5162305357595693E-2</v>
      </c>
      <c r="U393" s="66">
        <f t="shared" si="332"/>
        <v>5.0033228249931727E-2</v>
      </c>
      <c r="V393" s="66">
        <f t="shared" si="332"/>
        <v>3.7175667130427636E-2</v>
      </c>
      <c r="W393" s="66">
        <f t="shared" si="332"/>
        <v>2.6879063332438669E-2</v>
      </c>
      <c r="X393" s="66">
        <f t="shared" si="332"/>
        <v>1.9022297638684654E-2</v>
      </c>
      <c r="Y393" s="66">
        <f t="shared" si="332"/>
        <v>1.324694474025595E-2</v>
      </c>
      <c r="Z393" s="66">
        <f t="shared" si="332"/>
        <v>9.1176509679713191E-3</v>
      </c>
      <c r="AA393" s="66">
        <f t="shared" si="332"/>
        <v>6.2236258462609606E-3</v>
      </c>
      <c r="AB393" s="66">
        <f t="shared" si="332"/>
        <v>4.2236766064734643E-3</v>
      </c>
      <c r="AC393" s="66">
        <f t="shared" si="332"/>
        <v>2.8550116803935655E-3</v>
      </c>
    </row>
    <row r="394" spans="1:29" ht="15.75" thickBot="1" x14ac:dyDescent="0.3">
      <c r="A394" s="31" t="s">
        <v>63</v>
      </c>
      <c r="B394" s="76">
        <f>B385+B386+B387-B388+B389+B390+B391+B392+B393</f>
        <v>43.753032097819556</v>
      </c>
      <c r="C394" s="76">
        <f t="shared" ref="C394:AC394" si="333">C385+C386+C387-C388+C389+C390+C391+C392+C393</f>
        <v>43.658769587561345</v>
      </c>
      <c r="D394" s="76">
        <f t="shared" si="333"/>
        <v>43.525048022363229</v>
      </c>
      <c r="E394" s="76">
        <f t="shared" si="333"/>
        <v>43.336280767242023</v>
      </c>
      <c r="F394" s="76">
        <f t="shared" si="333"/>
        <v>43.071719584912081</v>
      </c>
      <c r="G394" s="76">
        <f t="shared" si="333"/>
        <v>42.704784096188995</v>
      </c>
      <c r="H394" s="76">
        <f t="shared" si="333"/>
        <v>42.203428867885201</v>
      </c>
      <c r="I394" s="76">
        <f t="shared" si="333"/>
        <v>41.532749007728121</v>
      </c>
      <c r="J394" s="76">
        <f t="shared" si="333"/>
        <v>40.661361060742273</v>
      </c>
      <c r="K394" s="76">
        <f t="shared" si="333"/>
        <v>39.572524585925144</v>
      </c>
      <c r="L394" s="76">
        <f t="shared" si="333"/>
        <v>38.278393807383253</v>
      </c>
      <c r="M394" s="76">
        <f t="shared" si="333"/>
        <v>36.83114095069174</v>
      </c>
      <c r="N394" s="76">
        <f t="shared" si="333"/>
        <v>35.321380525741752</v>
      </c>
      <c r="O394" s="76">
        <f t="shared" si="333"/>
        <v>33.858560205039474</v>
      </c>
      <c r="P394" s="76">
        <f t="shared" si="333"/>
        <v>32.540501214839267</v>
      </c>
      <c r="Q394" s="76">
        <f t="shared" si="333"/>
        <v>31.428823274397118</v>
      </c>
      <c r="R394" s="76">
        <f t="shared" si="333"/>
        <v>30.542249131570252</v>
      </c>
      <c r="S394" s="76">
        <f t="shared" si="333"/>
        <v>29.866059387146226</v>
      </c>
      <c r="T394" s="76">
        <f t="shared" si="333"/>
        <v>29.367611011279422</v>
      </c>
      <c r="U394" s="76">
        <f t="shared" si="333"/>
        <v>29.009416559759966</v>
      </c>
      <c r="V394" s="76">
        <f t="shared" si="333"/>
        <v>28.756834134627937</v>
      </c>
      <c r="W394" s="76">
        <f t="shared" si="333"/>
        <v>28.581216400336348</v>
      </c>
      <c r="X394" s="76">
        <f t="shared" si="333"/>
        <v>28.460383945747076</v>
      </c>
      <c r="Y394" s="76">
        <f t="shared" si="333"/>
        <v>28.377884801047557</v>
      </c>
      <c r="Z394" s="76">
        <f t="shared" si="333"/>
        <v>28.321871838034966</v>
      </c>
      <c r="AA394" s="76">
        <f t="shared" si="333"/>
        <v>28.283992749868116</v>
      </c>
      <c r="AB394" s="76">
        <f t="shared" si="333"/>
        <v>28.258448160489177</v>
      </c>
      <c r="AC394" s="76">
        <f t="shared" si="333"/>
        <v>28.241254845363059</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334">A373</f>
        <v>Capex vehicle</v>
      </c>
      <c r="B397" s="65">
        <f>((1+B358)^B365)*B358/(((1+B358)^B365)-1)*(B354)/B370/(B367)</f>
        <v>2.1632138711235615E-3</v>
      </c>
      <c r="C397" s="65">
        <f t="shared" ref="C397:AC397" si="335">((1+C358)^C365)*C358/(((1+C358)^C365)-1)*(C354)/C370/(C367)</f>
        <v>2.1558184071327311E-3</v>
      </c>
      <c r="D397" s="65">
        <f t="shared" si="335"/>
        <v>2.145317908418739E-3</v>
      </c>
      <c r="E397" s="65">
        <f t="shared" si="335"/>
        <v>2.1304764625200132E-3</v>
      </c>
      <c r="F397" s="65">
        <f t="shared" si="335"/>
        <v>2.1096393402400665E-3</v>
      </c>
      <c r="G397" s="65">
        <f t="shared" si="335"/>
        <v>2.0806681761613224E-3</v>
      </c>
      <c r="H397" s="65">
        <f t="shared" si="335"/>
        <v>2.0409497940227692E-3</v>
      </c>
      <c r="I397" s="65">
        <f t="shared" si="335"/>
        <v>1.9875725444783161E-3</v>
      </c>
      <c r="J397" s="65">
        <f t="shared" si="335"/>
        <v>1.9177981675974668E-3</v>
      </c>
      <c r="K397" s="65">
        <f t="shared" si="335"/>
        <v>1.829929133316432E-3</v>
      </c>
      <c r="L397" s="65">
        <f t="shared" si="335"/>
        <v>1.7244888144602143E-3</v>
      </c>
      <c r="M397" s="65">
        <f t="shared" si="335"/>
        <v>1.6052596798267933E-3</v>
      </c>
      <c r="N397" s="65">
        <f t="shared" si="335"/>
        <v>1.479389971579121E-3</v>
      </c>
      <c r="O397" s="65">
        <f t="shared" si="335"/>
        <v>1.3559971437570768E-3</v>
      </c>
      <c r="P397" s="65">
        <f t="shared" si="335"/>
        <v>1.2436701127276767E-3</v>
      </c>
      <c r="Q397" s="65">
        <f t="shared" si="335"/>
        <v>1.1482081320295062E-3</v>
      </c>
      <c r="R397" s="65">
        <f t="shared" si="335"/>
        <v>1.0717601817623844E-3</v>
      </c>
      <c r="S397" s="65">
        <f t="shared" si="335"/>
        <v>1.0134270027064077E-3</v>
      </c>
      <c r="T397" s="65">
        <f t="shared" si="335"/>
        <v>9.7054743777254216E-4</v>
      </c>
      <c r="U397" s="65">
        <f t="shared" si="335"/>
        <v>9.3988916916910165E-4</v>
      </c>
      <c r="V397" s="65">
        <f t="shared" si="335"/>
        <v>9.1840225048048251E-4</v>
      </c>
      <c r="W397" s="65">
        <f t="shared" si="335"/>
        <v>9.0355346897741005E-4</v>
      </c>
      <c r="X397" s="65">
        <f t="shared" si="335"/>
        <v>8.9339170785169349E-4</v>
      </c>
      <c r="Y397" s="65">
        <f t="shared" si="335"/>
        <v>8.8648392390972366E-4</v>
      </c>
      <c r="Z397" s="65">
        <f t="shared" si="335"/>
        <v>8.8180950338190116E-4</v>
      </c>
      <c r="AA397" s="65">
        <f t="shared" si="335"/>
        <v>8.7865613441364158E-4</v>
      </c>
      <c r="AB397" s="65">
        <f t="shared" si="335"/>
        <v>8.7653330208881694E-4</v>
      </c>
      <c r="AC397" s="65">
        <f t="shared" si="335"/>
        <v>8.7510622887057403E-4</v>
      </c>
    </row>
    <row r="398" spans="1:29" x14ac:dyDescent="0.25">
      <c r="A398" s="30" t="str">
        <f t="shared" si="334"/>
        <v>Residual value (vehicle)</v>
      </c>
      <c r="B398" s="68">
        <f>((1+B358)^B365)*B358/(((1+B358)^B365)-1)*(B355)/B370/(B367)</f>
        <v>-1.0931217673919614E-4</v>
      </c>
      <c r="C398" s="68">
        <f t="shared" ref="C398:AC398" si="336">((1+C358)^C365)*C358/(((1+C358)^C365)-1)*(C355)/C370/(C367)</f>
        <v>-1.0943543447237665E-4</v>
      </c>
      <c r="D398" s="68">
        <f t="shared" si="336"/>
        <v>-1.0961044278427652E-4</v>
      </c>
      <c r="E398" s="68">
        <f t="shared" si="336"/>
        <v>-1.0985780021592194E-4</v>
      </c>
      <c r="F398" s="68">
        <f t="shared" si="336"/>
        <v>-1.102050855872544E-4</v>
      </c>
      <c r="G398" s="68">
        <f t="shared" si="336"/>
        <v>-1.1068793832190012E-4</v>
      </c>
      <c r="H398" s="68">
        <f t="shared" si="336"/>
        <v>-1.1134991135754269E-4</v>
      </c>
      <c r="I398" s="68">
        <f t="shared" si="336"/>
        <v>-1.1223953218328357E-4</v>
      </c>
      <c r="J398" s="68">
        <f t="shared" si="336"/>
        <v>-1.1340243846463104E-4</v>
      </c>
      <c r="K398" s="68">
        <f t="shared" si="336"/>
        <v>-1.1486692236931498E-4</v>
      </c>
      <c r="L398" s="68">
        <f t="shared" si="336"/>
        <v>-1.1662426101691861E-4</v>
      </c>
      <c r="M398" s="68">
        <f t="shared" si="336"/>
        <v>-1.1861141326080898E-4</v>
      </c>
      <c r="N398" s="68">
        <f t="shared" si="336"/>
        <v>-1.2070924173160351E-4</v>
      </c>
      <c r="O398" s="68">
        <f t="shared" si="336"/>
        <v>-1.2276578886197088E-4</v>
      </c>
      <c r="P398" s="68">
        <f t="shared" si="336"/>
        <v>-1.2463790604579422E-4</v>
      </c>
      <c r="Q398" s="68">
        <f t="shared" si="336"/>
        <v>-1.2622893905743041E-4</v>
      </c>
      <c r="R398" s="68">
        <f t="shared" si="336"/>
        <v>-1.2750307156188243E-4</v>
      </c>
      <c r="S398" s="68">
        <f t="shared" si="336"/>
        <v>-1.2847529121281536E-4</v>
      </c>
      <c r="T398" s="68">
        <f t="shared" si="336"/>
        <v>-1.2918995062837979E-4</v>
      </c>
      <c r="U398" s="68">
        <f t="shared" si="336"/>
        <v>-1.2970092177177047E-4</v>
      </c>
      <c r="V398" s="68">
        <f t="shared" si="336"/>
        <v>-1.3005903708324747E-4</v>
      </c>
      <c r="W398" s="68">
        <f t="shared" si="336"/>
        <v>-1.3030651677496533E-4</v>
      </c>
      <c r="X398" s="68">
        <f t="shared" si="336"/>
        <v>-1.3047587946039396E-4</v>
      </c>
      <c r="Y398" s="68">
        <f t="shared" si="336"/>
        <v>-1.305910091927601E-4</v>
      </c>
      <c r="Z398" s="68">
        <f t="shared" si="336"/>
        <v>-1.3066891620155716E-4</v>
      </c>
      <c r="AA398" s="68">
        <f t="shared" si="336"/>
        <v>-1.3072147235102815E-4</v>
      </c>
      <c r="AB398" s="68">
        <f t="shared" si="336"/>
        <v>-1.3075685288977524E-4</v>
      </c>
      <c r="AC398" s="68">
        <f t="shared" si="336"/>
        <v>-1.3078063744341263E-4</v>
      </c>
    </row>
    <row r="399" spans="1:29" x14ac:dyDescent="0.25">
      <c r="A399" s="30" t="str">
        <f t="shared" si="334"/>
        <v>Capex costumization</v>
      </c>
      <c r="B399" s="66">
        <f>((1+B358)^B366)*B358/(((1+B358)^B366)-1)*(B356)/B370/(B367)</f>
        <v>7.6311881817276459E-4</v>
      </c>
      <c r="C399" s="66">
        <f t="shared" ref="C399:AC399" si="337">((1+C358)^C366)*C358/(((1+C358)^C366)-1)*(C356)/C370/(C367)</f>
        <v>7.6311881817276459E-4</v>
      </c>
      <c r="D399" s="66">
        <f t="shared" si="337"/>
        <v>7.6311881817276459E-4</v>
      </c>
      <c r="E399" s="66">
        <f t="shared" si="337"/>
        <v>7.6311881817276459E-4</v>
      </c>
      <c r="F399" s="66">
        <f t="shared" si="337"/>
        <v>7.6311881817276459E-4</v>
      </c>
      <c r="G399" s="66">
        <f t="shared" si="337"/>
        <v>7.6311881817276459E-4</v>
      </c>
      <c r="H399" s="66">
        <f t="shared" si="337"/>
        <v>7.6311881817276459E-4</v>
      </c>
      <c r="I399" s="66">
        <f t="shared" si="337"/>
        <v>7.6311881817276459E-4</v>
      </c>
      <c r="J399" s="66">
        <f t="shared" si="337"/>
        <v>7.6311881817276459E-4</v>
      </c>
      <c r="K399" s="66">
        <f t="shared" si="337"/>
        <v>7.6311881817276459E-4</v>
      </c>
      <c r="L399" s="66">
        <f t="shared" si="337"/>
        <v>7.6311881817276459E-4</v>
      </c>
      <c r="M399" s="66">
        <f t="shared" si="337"/>
        <v>7.6311881817276459E-4</v>
      </c>
      <c r="N399" s="66">
        <f t="shared" si="337"/>
        <v>7.6311881817276459E-4</v>
      </c>
      <c r="O399" s="66">
        <f t="shared" si="337"/>
        <v>7.6311881817276459E-4</v>
      </c>
      <c r="P399" s="66">
        <f t="shared" si="337"/>
        <v>7.6311881817276459E-4</v>
      </c>
      <c r="Q399" s="66">
        <f t="shared" si="337"/>
        <v>7.6311881817276459E-4</v>
      </c>
      <c r="R399" s="66">
        <f t="shared" si="337"/>
        <v>7.6311881817276459E-4</v>
      </c>
      <c r="S399" s="66">
        <f t="shared" si="337"/>
        <v>7.6311881817276459E-4</v>
      </c>
      <c r="T399" s="66">
        <f t="shared" si="337"/>
        <v>7.6311881817276459E-4</v>
      </c>
      <c r="U399" s="66">
        <f t="shared" si="337"/>
        <v>7.6311881817276459E-4</v>
      </c>
      <c r="V399" s="66">
        <f t="shared" si="337"/>
        <v>7.6311881817276459E-4</v>
      </c>
      <c r="W399" s="66">
        <f t="shared" si="337"/>
        <v>7.6311881817276459E-4</v>
      </c>
      <c r="X399" s="66">
        <f t="shared" si="337"/>
        <v>7.6311881817276459E-4</v>
      </c>
      <c r="Y399" s="66">
        <f t="shared" si="337"/>
        <v>7.6311881817276459E-4</v>
      </c>
      <c r="Z399" s="66">
        <f t="shared" si="337"/>
        <v>7.6311881817276459E-4</v>
      </c>
      <c r="AA399" s="66">
        <f t="shared" si="337"/>
        <v>7.6311881817276459E-4</v>
      </c>
      <c r="AB399" s="66">
        <f t="shared" si="337"/>
        <v>7.6311881817276459E-4</v>
      </c>
      <c r="AC399" s="66">
        <f t="shared" si="337"/>
        <v>7.6311881817276459E-4</v>
      </c>
    </row>
    <row r="400" spans="1:29" x14ac:dyDescent="0.25">
      <c r="A400" s="30" t="str">
        <f t="shared" si="334"/>
        <v>Residual value (costumization)</v>
      </c>
      <c r="B400" s="69">
        <f>((1+B358)^B366)*B358/(((1+B358)^B366)-1)*(B357)/B370/(B367)</f>
        <v>-3.8155940908638231E-5</v>
      </c>
      <c r="C400" s="69">
        <f t="shared" ref="C400:AC400" si="338">((1+C358)^C366)*C358/(((1+C358)^C366)-1)*(C357)/C370/(C367)</f>
        <v>-3.8155940908638231E-5</v>
      </c>
      <c r="D400" s="69">
        <f t="shared" si="338"/>
        <v>-3.8155940908638231E-5</v>
      </c>
      <c r="E400" s="69">
        <f t="shared" si="338"/>
        <v>-3.8155940908638231E-5</v>
      </c>
      <c r="F400" s="69">
        <f t="shared" si="338"/>
        <v>-3.8155940908638231E-5</v>
      </c>
      <c r="G400" s="69">
        <f t="shared" si="338"/>
        <v>-3.8155940908638231E-5</v>
      </c>
      <c r="H400" s="69">
        <f t="shared" si="338"/>
        <v>-3.8155940908638231E-5</v>
      </c>
      <c r="I400" s="69">
        <f t="shared" si="338"/>
        <v>-3.8155940908638231E-5</v>
      </c>
      <c r="J400" s="69">
        <f t="shared" si="338"/>
        <v>-3.8155940908638231E-5</v>
      </c>
      <c r="K400" s="69">
        <f t="shared" si="338"/>
        <v>-3.8155940908638231E-5</v>
      </c>
      <c r="L400" s="69">
        <f t="shared" si="338"/>
        <v>-3.8155940908638231E-5</v>
      </c>
      <c r="M400" s="69">
        <f t="shared" si="338"/>
        <v>-3.8155940908638231E-5</v>
      </c>
      <c r="N400" s="69">
        <f t="shared" si="338"/>
        <v>-3.8155940908638231E-5</v>
      </c>
      <c r="O400" s="69">
        <f t="shared" si="338"/>
        <v>-3.8155940908638231E-5</v>
      </c>
      <c r="P400" s="69">
        <f t="shared" si="338"/>
        <v>-3.8155940908638231E-5</v>
      </c>
      <c r="Q400" s="69">
        <f t="shared" si="338"/>
        <v>-3.8155940908638231E-5</v>
      </c>
      <c r="R400" s="69">
        <f t="shared" si="338"/>
        <v>-3.8155940908638231E-5</v>
      </c>
      <c r="S400" s="69">
        <f t="shared" si="338"/>
        <v>-3.8155940908638231E-5</v>
      </c>
      <c r="T400" s="69">
        <f t="shared" si="338"/>
        <v>-3.8155940908638231E-5</v>
      </c>
      <c r="U400" s="69">
        <f t="shared" si="338"/>
        <v>-3.8155940908638231E-5</v>
      </c>
      <c r="V400" s="69">
        <f t="shared" si="338"/>
        <v>-3.8155940908638231E-5</v>
      </c>
      <c r="W400" s="69">
        <f t="shared" si="338"/>
        <v>-3.8155940908638231E-5</v>
      </c>
      <c r="X400" s="69">
        <f t="shared" si="338"/>
        <v>-3.8155940908638231E-5</v>
      </c>
      <c r="Y400" s="69">
        <f t="shared" si="338"/>
        <v>-3.8155940908638231E-5</v>
      </c>
      <c r="Z400" s="69">
        <f t="shared" si="338"/>
        <v>-3.8155940908638231E-5</v>
      </c>
      <c r="AA400" s="69">
        <f t="shared" si="338"/>
        <v>-3.8155940908638231E-5</v>
      </c>
      <c r="AB400" s="69">
        <f t="shared" si="338"/>
        <v>-3.8155940908638231E-5</v>
      </c>
      <c r="AC400" s="69">
        <f t="shared" si="338"/>
        <v>-3.8155940908638231E-5</v>
      </c>
    </row>
    <row r="401" spans="1:29" x14ac:dyDescent="0.25">
      <c r="A401" s="30" t="str">
        <f t="shared" si="334"/>
        <v>Opex fix (admin, crew, insurance)</v>
      </c>
      <c r="B401" s="66">
        <f>B359/B370/(B367)</f>
        <v>3.6264505802320927E-3</v>
      </c>
      <c r="C401" s="66">
        <f t="shared" ref="C401:AC401" si="339">C359/C370/(C367)</f>
        <v>3.6264505802320927E-3</v>
      </c>
      <c r="D401" s="66">
        <f t="shared" si="339"/>
        <v>3.6264505802320927E-3</v>
      </c>
      <c r="E401" s="66">
        <f t="shared" si="339"/>
        <v>3.6264505802320927E-3</v>
      </c>
      <c r="F401" s="66">
        <f t="shared" si="339"/>
        <v>3.6264505802320927E-3</v>
      </c>
      <c r="G401" s="66">
        <f t="shared" si="339"/>
        <v>3.6264505802320927E-3</v>
      </c>
      <c r="H401" s="66">
        <f t="shared" si="339"/>
        <v>3.6264505802320927E-3</v>
      </c>
      <c r="I401" s="66">
        <f t="shared" si="339"/>
        <v>3.6264505802320927E-3</v>
      </c>
      <c r="J401" s="66">
        <f t="shared" si="339"/>
        <v>3.6264505802320927E-3</v>
      </c>
      <c r="K401" s="66">
        <f t="shared" si="339"/>
        <v>3.6264505802320927E-3</v>
      </c>
      <c r="L401" s="66">
        <f t="shared" si="339"/>
        <v>3.6264505802320927E-3</v>
      </c>
      <c r="M401" s="66">
        <f t="shared" si="339"/>
        <v>3.6264505802320927E-3</v>
      </c>
      <c r="N401" s="66">
        <f t="shared" si="339"/>
        <v>3.6264505802320927E-3</v>
      </c>
      <c r="O401" s="66">
        <f t="shared" si="339"/>
        <v>3.6264505802320927E-3</v>
      </c>
      <c r="P401" s="66">
        <f t="shared" si="339"/>
        <v>3.6264505802320927E-3</v>
      </c>
      <c r="Q401" s="66">
        <f t="shared" si="339"/>
        <v>3.6264505802320927E-3</v>
      </c>
      <c r="R401" s="66">
        <f t="shared" si="339"/>
        <v>3.6264505802320927E-3</v>
      </c>
      <c r="S401" s="66">
        <f t="shared" si="339"/>
        <v>3.6264505802320927E-3</v>
      </c>
      <c r="T401" s="66">
        <f t="shared" si="339"/>
        <v>3.6264505802320927E-3</v>
      </c>
      <c r="U401" s="66">
        <f t="shared" si="339"/>
        <v>3.6264505802320927E-3</v>
      </c>
      <c r="V401" s="66">
        <f t="shared" si="339"/>
        <v>3.6264505802320927E-3</v>
      </c>
      <c r="W401" s="66">
        <f t="shared" si="339"/>
        <v>3.6264505802320927E-3</v>
      </c>
      <c r="X401" s="66">
        <f t="shared" si="339"/>
        <v>3.6264505802320927E-3</v>
      </c>
      <c r="Y401" s="66">
        <f t="shared" si="339"/>
        <v>3.6264505802320927E-3</v>
      </c>
      <c r="Z401" s="66">
        <f t="shared" si="339"/>
        <v>3.6264505802320927E-3</v>
      </c>
      <c r="AA401" s="66">
        <f t="shared" si="339"/>
        <v>3.6264505802320927E-3</v>
      </c>
      <c r="AB401" s="66">
        <f t="shared" si="339"/>
        <v>3.6264505802320927E-3</v>
      </c>
      <c r="AC401" s="66">
        <f t="shared" si="339"/>
        <v>3.6264505802320927E-3</v>
      </c>
    </row>
    <row r="402" spans="1:29" x14ac:dyDescent="0.25">
      <c r="A402" s="30" t="str">
        <f t="shared" si="334"/>
        <v>Opex maintenance &amp; repair</v>
      </c>
      <c r="B402" s="66">
        <f>B360/B370/(B367)</f>
        <v>3.4736649752972778E-3</v>
      </c>
      <c r="C402" s="66">
        <f t="shared" ref="C402:AC402" si="340">C360/C370/(C367)</f>
        <v>3.4617894207883393E-3</v>
      </c>
      <c r="D402" s="66">
        <f t="shared" si="340"/>
        <v>3.44492783576762E-3</v>
      </c>
      <c r="E402" s="66">
        <f t="shared" si="340"/>
        <v>3.4210956056357029E-3</v>
      </c>
      <c r="F402" s="66">
        <f t="shared" si="340"/>
        <v>3.387635584499539E-3</v>
      </c>
      <c r="G402" s="66">
        <f t="shared" si="340"/>
        <v>3.3411140087564748E-3</v>
      </c>
      <c r="H402" s="66">
        <f t="shared" si="340"/>
        <v>3.2773346687883435E-3</v>
      </c>
      <c r="I402" s="66">
        <f t="shared" si="340"/>
        <v>3.1916220701889431E-3</v>
      </c>
      <c r="J402" s="66">
        <f t="shared" si="340"/>
        <v>3.0795791453632469E-3</v>
      </c>
      <c r="K402" s="66">
        <f t="shared" si="340"/>
        <v>2.9384800192575641E-3</v>
      </c>
      <c r="L402" s="66">
        <f t="shared" si="340"/>
        <v>2.7691651181817939E-3</v>
      </c>
      <c r="M402" s="66">
        <f t="shared" si="340"/>
        <v>2.5777082888133671E-3</v>
      </c>
      <c r="N402" s="66">
        <f t="shared" si="340"/>
        <v>2.3755880995767228E-3</v>
      </c>
      <c r="O402" s="66">
        <f t="shared" si="340"/>
        <v>2.1774452576090466E-3</v>
      </c>
      <c r="P402" s="66">
        <f t="shared" si="340"/>
        <v>1.9970717500818881E-3</v>
      </c>
      <c r="Q402" s="66">
        <f t="shared" si="340"/>
        <v>1.8437799543652188E-3</v>
      </c>
      <c r="R402" s="66">
        <f t="shared" si="340"/>
        <v>1.7210206790013629E-3</v>
      </c>
      <c r="S402" s="66">
        <f t="shared" si="340"/>
        <v>1.6273499034532913E-3</v>
      </c>
      <c r="T402" s="66">
        <f t="shared" si="340"/>
        <v>1.5584943710184004E-3</v>
      </c>
      <c r="U402" s="66">
        <f t="shared" si="340"/>
        <v>1.5092636614373297E-3</v>
      </c>
      <c r="V402" s="66">
        <f t="shared" si="340"/>
        <v>1.4747602043949845E-3</v>
      </c>
      <c r="W402" s="66">
        <f t="shared" si="340"/>
        <v>1.4509161948305144E-3</v>
      </c>
      <c r="X402" s="66">
        <f t="shared" si="340"/>
        <v>1.4345985508929758E-3</v>
      </c>
      <c r="Y402" s="66">
        <f t="shared" si="340"/>
        <v>1.4235061076276786E-3</v>
      </c>
      <c r="Z402" s="66">
        <f t="shared" si="340"/>
        <v>1.4159999747001592E-3</v>
      </c>
      <c r="AA402" s="66">
        <f t="shared" si="340"/>
        <v>1.4109363295906981E-3</v>
      </c>
      <c r="AB402" s="66">
        <f t="shared" si="340"/>
        <v>1.4075275088570635E-3</v>
      </c>
      <c r="AC402" s="66">
        <f t="shared" si="340"/>
        <v>1.4052359304229719E-3</v>
      </c>
    </row>
    <row r="403" spans="1:29" x14ac:dyDescent="0.25">
      <c r="A403" s="30" t="str">
        <f t="shared" si="334"/>
        <v>Opex var (mode-fees, shunting)</v>
      </c>
      <c r="B403" s="66">
        <f>B361*B370/B370/(B367)</f>
        <v>4.0016006402561026E-3</v>
      </c>
      <c r="C403" s="66">
        <f t="shared" ref="C403:AC403" si="341">C361*C370/C370/(C367)</f>
        <v>4.0016006402561026E-3</v>
      </c>
      <c r="D403" s="66">
        <f t="shared" si="341"/>
        <v>4.0016006402561026E-3</v>
      </c>
      <c r="E403" s="66">
        <f t="shared" si="341"/>
        <v>4.0016006402561026E-3</v>
      </c>
      <c r="F403" s="66">
        <f t="shared" si="341"/>
        <v>4.0016006402561026E-3</v>
      </c>
      <c r="G403" s="66">
        <f t="shared" si="341"/>
        <v>4.0016006402561026E-3</v>
      </c>
      <c r="H403" s="66">
        <f t="shared" si="341"/>
        <v>4.0016006402561026E-3</v>
      </c>
      <c r="I403" s="66">
        <f t="shared" si="341"/>
        <v>4.0016006402561026E-3</v>
      </c>
      <c r="J403" s="66">
        <f t="shared" si="341"/>
        <v>4.0016006402561026E-3</v>
      </c>
      <c r="K403" s="66">
        <f t="shared" si="341"/>
        <v>4.0016006402561026E-3</v>
      </c>
      <c r="L403" s="66">
        <f t="shared" si="341"/>
        <v>4.0016006402561026E-3</v>
      </c>
      <c r="M403" s="66">
        <f t="shared" si="341"/>
        <v>4.0016006402561026E-3</v>
      </c>
      <c r="N403" s="66">
        <f t="shared" si="341"/>
        <v>4.0016006402561026E-3</v>
      </c>
      <c r="O403" s="66">
        <f t="shared" si="341"/>
        <v>4.0016006402561026E-3</v>
      </c>
      <c r="P403" s="66">
        <f t="shared" si="341"/>
        <v>4.0016006402561026E-3</v>
      </c>
      <c r="Q403" s="66">
        <f t="shared" si="341"/>
        <v>4.0016006402561026E-3</v>
      </c>
      <c r="R403" s="66">
        <f t="shared" si="341"/>
        <v>4.0016006402561026E-3</v>
      </c>
      <c r="S403" s="66">
        <f t="shared" si="341"/>
        <v>4.0016006402561026E-3</v>
      </c>
      <c r="T403" s="66">
        <f t="shared" si="341"/>
        <v>4.0016006402561026E-3</v>
      </c>
      <c r="U403" s="66">
        <f t="shared" si="341"/>
        <v>4.0016006402561026E-3</v>
      </c>
      <c r="V403" s="66">
        <f t="shared" si="341"/>
        <v>4.0016006402561026E-3</v>
      </c>
      <c r="W403" s="66">
        <f t="shared" si="341"/>
        <v>4.0016006402561026E-3</v>
      </c>
      <c r="X403" s="66">
        <f t="shared" si="341"/>
        <v>4.0016006402561026E-3</v>
      </c>
      <c r="Y403" s="66">
        <f t="shared" si="341"/>
        <v>4.0016006402561026E-3</v>
      </c>
      <c r="Z403" s="66">
        <f t="shared" si="341"/>
        <v>4.0016006402561026E-3</v>
      </c>
      <c r="AA403" s="66">
        <f t="shared" si="341"/>
        <v>4.0016006402561026E-3</v>
      </c>
      <c r="AB403" s="66">
        <f t="shared" si="341"/>
        <v>4.0016006402561026E-3</v>
      </c>
      <c r="AC403" s="66">
        <f t="shared" si="341"/>
        <v>4.0016006402561026E-3</v>
      </c>
    </row>
    <row r="404" spans="1:29" x14ac:dyDescent="0.25">
      <c r="A404" s="30" t="str">
        <f t="shared" si="334"/>
        <v>Fuel Cost</v>
      </c>
      <c r="B404" s="66">
        <f>B362*B363*B370/B370/(B367)</f>
        <v>5.4972181617018003E-3</v>
      </c>
      <c r="C404" s="66">
        <f t="shared" ref="C404:AC404" si="342">C362*C363*C370/C370/(C367)</f>
        <v>5.4746057044153581E-3</v>
      </c>
      <c r="D404" s="66">
        <f t="shared" si="342"/>
        <v>5.4425526639054617E-3</v>
      </c>
      <c r="E404" s="66">
        <f t="shared" si="342"/>
        <v>5.3973556648657245E-3</v>
      </c>
      <c r="F404" s="66">
        <f t="shared" si="342"/>
        <v>5.3341111845357095E-3</v>
      </c>
      <c r="G404" s="66">
        <f t="shared" si="342"/>
        <v>5.2465885110854552E-3</v>
      </c>
      <c r="H404" s="66">
        <f t="shared" si="342"/>
        <v>5.1273735857970976E-3</v>
      </c>
      <c r="I404" s="66">
        <f t="shared" si="342"/>
        <v>4.9685737818107711E-3</v>
      </c>
      <c r="J404" s="66">
        <f t="shared" si="342"/>
        <v>4.7634339068690955E-3</v>
      </c>
      <c r="K404" s="66">
        <f t="shared" si="342"/>
        <v>4.5090317434268237E-3</v>
      </c>
      <c r="L404" s="66">
        <f t="shared" si="342"/>
        <v>4.2095493390097152E-3</v>
      </c>
      <c r="M404" s="66">
        <f t="shared" si="342"/>
        <v>3.8785156354124296E-3</v>
      </c>
      <c r="N404" s="66">
        <f t="shared" si="342"/>
        <v>3.5378126638938596E-3</v>
      </c>
      <c r="O404" s="66">
        <f t="shared" si="342"/>
        <v>3.2125555211670758E-3</v>
      </c>
      <c r="P404" s="66">
        <f t="shared" si="342"/>
        <v>2.9239924152614752E-3</v>
      </c>
      <c r="Q404" s="66">
        <f t="shared" si="342"/>
        <v>2.6843923946760326E-3</v>
      </c>
      <c r="R404" s="66">
        <f t="shared" si="342"/>
        <v>2.4962507899589964E-3</v>
      </c>
      <c r="S404" s="66">
        <f t="shared" si="342"/>
        <v>2.3549248953087932E-3</v>
      </c>
      <c r="T404" s="66">
        <f t="shared" si="342"/>
        <v>2.252272477411514E-3</v>
      </c>
      <c r="U404" s="66">
        <f t="shared" si="342"/>
        <v>2.179518241734151E-3</v>
      </c>
      <c r="V404" s="66">
        <f t="shared" si="342"/>
        <v>2.1288467041995708E-3</v>
      </c>
      <c r="W404" s="66">
        <f t="shared" si="342"/>
        <v>2.0939828988456172E-3</v>
      </c>
      <c r="X404" s="66">
        <f t="shared" si="342"/>
        <v>2.0701960911945149E-3</v>
      </c>
      <c r="Y404" s="66">
        <f t="shared" si="342"/>
        <v>2.0540597553658051E-3</v>
      </c>
      <c r="Z404" s="66">
        <f t="shared" si="342"/>
        <v>2.0431558634905209E-3</v>
      </c>
      <c r="AA404" s="66">
        <f t="shared" si="342"/>
        <v>2.0358071020011325E-3</v>
      </c>
      <c r="AB404" s="66">
        <f t="shared" si="342"/>
        <v>2.0308631355362185E-3</v>
      </c>
      <c r="AC404" s="66">
        <f t="shared" si="342"/>
        <v>2.0275409957600308E-3</v>
      </c>
    </row>
    <row r="405" spans="1:29" x14ac:dyDescent="0.25">
      <c r="A405" s="59" t="str">
        <f>A368</f>
        <v>Market failure (av. utilization)</v>
      </c>
      <c r="B405" s="66">
        <f t="shared" ref="B405:AC405" si="343">B394/B368-B394/B367</f>
        <v>7.5960125169825567E-3</v>
      </c>
      <c r="C405" s="66">
        <f t="shared" si="343"/>
        <v>7.5796474978405103E-3</v>
      </c>
      <c r="D405" s="66">
        <f t="shared" si="343"/>
        <v>7.5564319483269471E-3</v>
      </c>
      <c r="E405" s="66">
        <f t="shared" si="343"/>
        <v>7.5236598554239593E-3</v>
      </c>
      <c r="F405" s="66">
        <f t="shared" si="343"/>
        <v>7.4777290946027898E-3</v>
      </c>
      <c r="G405" s="66">
        <f t="shared" si="343"/>
        <v>7.4140250166994763E-3</v>
      </c>
      <c r="H405" s="66">
        <f t="shared" si="343"/>
        <v>7.3269841784522893E-3</v>
      </c>
      <c r="I405" s="66">
        <f t="shared" si="343"/>
        <v>7.2105467027305734E-3</v>
      </c>
      <c r="J405" s="66">
        <f t="shared" si="343"/>
        <v>7.0592640730455306E-3</v>
      </c>
      <c r="K405" s="66">
        <f t="shared" si="343"/>
        <v>6.8702299628342241E-3</v>
      </c>
      <c r="L405" s="66">
        <f t="shared" si="343"/>
        <v>6.645554480448481E-3</v>
      </c>
      <c r="M405" s="66">
        <f t="shared" si="343"/>
        <v>6.3942953039395345E-3</v>
      </c>
      <c r="N405" s="66">
        <f t="shared" si="343"/>
        <v>6.1321841190523849E-3</v>
      </c>
      <c r="O405" s="66">
        <f t="shared" si="343"/>
        <v>5.8782222578193499E-3</v>
      </c>
      <c r="P405" s="66">
        <f t="shared" si="343"/>
        <v>5.6493925720207047E-3</v>
      </c>
      <c r="Q405" s="66">
        <f t="shared" si="343"/>
        <v>5.4563929295828317E-3</v>
      </c>
      <c r="R405" s="66">
        <f t="shared" si="343"/>
        <v>5.3024738075642779E-3</v>
      </c>
      <c r="S405" s="66">
        <f t="shared" si="343"/>
        <v>5.1850797547128846E-3</v>
      </c>
      <c r="T405" s="66">
        <f t="shared" si="343"/>
        <v>5.098543578347119E-3</v>
      </c>
      <c r="U405" s="66">
        <f t="shared" si="343"/>
        <v>5.0363570416249899E-3</v>
      </c>
      <c r="V405" s="66">
        <f t="shared" si="343"/>
        <v>4.9925059261506817E-3</v>
      </c>
      <c r="W405" s="66">
        <f t="shared" si="343"/>
        <v>4.9620167361695035E-3</v>
      </c>
      <c r="X405" s="66">
        <f t="shared" si="343"/>
        <v>4.9410388794699778E-3</v>
      </c>
      <c r="Y405" s="66">
        <f t="shared" si="343"/>
        <v>4.926716111292976E-3</v>
      </c>
      <c r="Z405" s="66">
        <f t="shared" si="343"/>
        <v>4.9169916385477328E-3</v>
      </c>
      <c r="AA405" s="66">
        <f t="shared" si="343"/>
        <v>4.9104154079632114E-3</v>
      </c>
      <c r="AB405" s="66">
        <f t="shared" si="343"/>
        <v>4.9059805834182572E-3</v>
      </c>
      <c r="AC405" s="66">
        <f t="shared" si="343"/>
        <v>4.9029956328755283E-3</v>
      </c>
    </row>
    <row r="406" spans="1:29" x14ac:dyDescent="0.25">
      <c r="A406" s="59" t="str">
        <f>A369</f>
        <v>Payload loss (fuel)</v>
      </c>
      <c r="B406" s="66">
        <f>B394/(B367-B369)-B394/B367</f>
        <v>3.5513824754723755E-4</v>
      </c>
      <c r="C406" s="66">
        <f t="shared" ref="C406:AC406" si="344">C394/(C367-C369)-C394/C367</f>
        <v>3.5437312976916574E-4</v>
      </c>
      <c r="D406" s="66">
        <f t="shared" si="344"/>
        <v>3.5328772745424689E-4</v>
      </c>
      <c r="E406" s="66">
        <f t="shared" si="344"/>
        <v>3.5175552570813201E-4</v>
      </c>
      <c r="F406" s="66">
        <f t="shared" si="344"/>
        <v>3.4960811351389745E-4</v>
      </c>
      <c r="G406" s="66">
        <f t="shared" si="344"/>
        <v>3.466297410404974E-4</v>
      </c>
      <c r="H406" s="66">
        <f t="shared" si="344"/>
        <v>3.4256029925231607E-4</v>
      </c>
      <c r="I406" s="66">
        <f t="shared" si="344"/>
        <v>3.3711646921857213E-4</v>
      </c>
      <c r="J406" s="66">
        <f t="shared" si="344"/>
        <v>3.3004351510342728E-4</v>
      </c>
      <c r="K406" s="66">
        <f t="shared" si="344"/>
        <v>3.2120555670393791E-4</v>
      </c>
      <c r="L406" s="66">
        <f t="shared" si="344"/>
        <v>3.1070124843655261E-4</v>
      </c>
      <c r="M406" s="66">
        <f t="shared" si="344"/>
        <v>2.9895406615821143E-4</v>
      </c>
      <c r="N406" s="66">
        <f t="shared" si="344"/>
        <v>2.8669951725439694E-4</v>
      </c>
      <c r="O406" s="66">
        <f t="shared" si="344"/>
        <v>2.7482597569025539E-4</v>
      </c>
      <c r="P406" s="66">
        <f t="shared" si="344"/>
        <v>2.6412744492564262E-4</v>
      </c>
      <c r="Q406" s="66">
        <f t="shared" si="344"/>
        <v>2.5510408501945754E-4</v>
      </c>
      <c r="R406" s="66">
        <f t="shared" si="344"/>
        <v>2.479078663276818E-4</v>
      </c>
      <c r="S406" s="66">
        <f t="shared" si="344"/>
        <v>2.4241931320735655E-4</v>
      </c>
      <c r="T406" s="66">
        <f t="shared" si="344"/>
        <v>2.3837346600064438E-4</v>
      </c>
      <c r="U406" s="66">
        <f t="shared" si="344"/>
        <v>2.3546604350454386E-4</v>
      </c>
      <c r="V406" s="66">
        <f t="shared" si="344"/>
        <v>2.3341586148237052E-4</v>
      </c>
      <c r="W406" s="66">
        <f t="shared" si="344"/>
        <v>2.3199039285987273E-4</v>
      </c>
      <c r="X406" s="66">
        <f t="shared" si="344"/>
        <v>2.3100960994924639E-4</v>
      </c>
      <c r="Y406" s="66">
        <f t="shared" si="344"/>
        <v>2.3033997403447762E-4</v>
      </c>
      <c r="Z406" s="66">
        <f t="shared" si="344"/>
        <v>2.2988532336067243E-4</v>
      </c>
      <c r="AA406" s="66">
        <f t="shared" si="344"/>
        <v>2.295778632294479E-4</v>
      </c>
      <c r="AB406" s="66">
        <f t="shared" si="344"/>
        <v>2.2937052078319219E-4</v>
      </c>
      <c r="AC406" s="66">
        <f t="shared" si="344"/>
        <v>2.2923096465391965E-4</v>
      </c>
    </row>
    <row r="407" spans="1:29" ht="15.75" thickBot="1" x14ac:dyDescent="0.3">
      <c r="A407" s="59" t="str">
        <f>A344</f>
        <v>Emission Cost</v>
      </c>
      <c r="B407" s="68">
        <f>B364*B370/B370/(B367)</f>
        <v>7.8492804144973097E-5</v>
      </c>
      <c r="C407" s="68">
        <f t="shared" ref="C407:AC407" si="345">C364*C370/C370/(C367)</f>
        <v>7.8418059870522812E-5</v>
      </c>
      <c r="D407" s="68">
        <f t="shared" si="345"/>
        <v>7.8311065106441712E-5</v>
      </c>
      <c r="E407" s="68">
        <f t="shared" si="345"/>
        <v>7.8158001572215522E-5</v>
      </c>
      <c r="F407" s="68">
        <f t="shared" si="345"/>
        <v>7.7939240006660596E-5</v>
      </c>
      <c r="G407" s="68">
        <f t="shared" si="345"/>
        <v>7.7627019976278912E-5</v>
      </c>
      <c r="H407" s="68">
        <f t="shared" si="345"/>
        <v>7.7182342057057613E-5</v>
      </c>
      <c r="I407" s="68">
        <f t="shared" si="345"/>
        <v>7.6550963157138264E-5</v>
      </c>
      <c r="J407" s="68">
        <f t="shared" si="345"/>
        <v>7.5658569753740809E-5</v>
      </c>
      <c r="K407" s="68">
        <f t="shared" si="345"/>
        <v>7.4405665515481418E-5</v>
      </c>
      <c r="L407" s="68">
        <f t="shared" si="345"/>
        <v>7.2663673805978507E-5</v>
      </c>
      <c r="M407" s="68">
        <f t="shared" si="345"/>
        <v>7.027546834028947E-5</v>
      </c>
      <c r="N407" s="68">
        <f t="shared" si="345"/>
        <v>6.7065976104154992E-5</v>
      </c>
      <c r="O407" s="68">
        <f t="shared" si="345"/>
        <v>6.2870549723226371E-5</v>
      </c>
      <c r="P407" s="68">
        <f t="shared" si="345"/>
        <v>5.7587119315543959E-5</v>
      </c>
      <c r="Q407" s="68">
        <f t="shared" si="345"/>
        <v>5.1247154487218644E-5</v>
      </c>
      <c r="R407" s="68">
        <f t="shared" si="345"/>
        <v>4.4078089291974538E-5</v>
      </c>
      <c r="S407" s="68">
        <f t="shared" si="345"/>
        <v>3.6509736579289694E-5</v>
      </c>
      <c r="T407" s="68">
        <f t="shared" si="345"/>
        <v>2.9090314891783792E-5</v>
      </c>
      <c r="U407" s="68">
        <f t="shared" si="345"/>
        <v>2.2336262611576661E-5</v>
      </c>
      <c r="V407" s="68">
        <f t="shared" si="345"/>
        <v>1.6596279968940909E-5</v>
      </c>
      <c r="W407" s="68">
        <f t="shared" si="345"/>
        <v>1.1999581844838692E-5</v>
      </c>
      <c r="X407" s="68">
        <f t="shared" si="345"/>
        <v>8.4920971601270772E-6</v>
      </c>
      <c r="Y407" s="68">
        <f t="shared" si="345"/>
        <v>5.9138146161856922E-6</v>
      </c>
      <c r="Z407" s="68">
        <f t="shared" si="345"/>
        <v>4.0703798964157678E-6</v>
      </c>
      <c r="AA407" s="68">
        <f t="shared" si="345"/>
        <v>2.778404395652214E-6</v>
      </c>
      <c r="AB407" s="68">
        <f t="shared" si="345"/>
        <v>1.885569913604225E-6</v>
      </c>
      <c r="AC407" s="68">
        <f t="shared" si="345"/>
        <v>1.2745587858899847E-6</v>
      </c>
    </row>
    <row r="408" spans="1:29" ht="15.75" thickBot="1" x14ac:dyDescent="0.3">
      <c r="A408" s="31" t="s">
        <v>210</v>
      </c>
      <c r="B408" s="67">
        <f>B397+B398+B399+B400+B401+B402+B403+B404+B405+B406+B407</f>
        <v>2.7407442497810533E-2</v>
      </c>
      <c r="C408" s="67">
        <f t="shared" ref="C408:AC408" si="346">C397+C398+C399+C400+C401+C402+C403+C404+C405+C406+C407</f>
        <v>2.7348230883096573E-2</v>
      </c>
      <c r="D408" s="67">
        <f t="shared" si="346"/>
        <v>2.7264232803947502E-2</v>
      </c>
      <c r="E408" s="67">
        <f t="shared" si="346"/>
        <v>2.7145657413262147E-2</v>
      </c>
      <c r="F408" s="67">
        <f t="shared" si="346"/>
        <v>2.6979471569563727E-2</v>
      </c>
      <c r="G408" s="67">
        <f t="shared" si="346"/>
        <v>2.6748978633149924E-2</v>
      </c>
      <c r="H408" s="67">
        <f t="shared" si="346"/>
        <v>2.6434049054764652E-2</v>
      </c>
      <c r="I408" s="67">
        <f t="shared" si="346"/>
        <v>2.6012757097153352E-2</v>
      </c>
      <c r="J408" s="67">
        <f t="shared" si="346"/>
        <v>2.5465389037020197E-2</v>
      </c>
      <c r="K408" s="67">
        <f t="shared" si="346"/>
        <v>2.4781429256437473E-2</v>
      </c>
      <c r="L408" s="67">
        <f t="shared" si="346"/>
        <v>2.3968512511078139E-2</v>
      </c>
      <c r="M408" s="67">
        <f t="shared" si="346"/>
        <v>2.3059411126982135E-2</v>
      </c>
      <c r="N408" s="67">
        <f t="shared" si="346"/>
        <v>2.2111045203481356E-2</v>
      </c>
      <c r="O408" s="67">
        <f t="shared" si="346"/>
        <v>2.1192165014656379E-2</v>
      </c>
      <c r="P408" s="67">
        <f t="shared" si="346"/>
        <v>2.0364217606039455E-2</v>
      </c>
      <c r="Q408" s="67">
        <f t="shared" si="346"/>
        <v>1.9665909808855159E-2</v>
      </c>
      <c r="R408" s="67">
        <f t="shared" si="346"/>
        <v>1.9109002440097118E-2</v>
      </c>
      <c r="S408" s="67">
        <f t="shared" si="346"/>
        <v>1.8684249412507532E-2</v>
      </c>
      <c r="T408" s="67">
        <f t="shared" si="346"/>
        <v>1.8371145792565949E-2</v>
      </c>
      <c r="U408" s="67">
        <f t="shared" si="346"/>
        <v>1.8146143596062245E-2</v>
      </c>
      <c r="V408" s="67">
        <f t="shared" si="346"/>
        <v>1.7987482287346108E-2</v>
      </c>
      <c r="W408" s="67">
        <f t="shared" si="346"/>
        <v>1.7877166854505109E-2</v>
      </c>
      <c r="X408" s="67">
        <f t="shared" si="346"/>
        <v>1.7801265154810467E-2</v>
      </c>
      <c r="Y408" s="67">
        <f t="shared" si="346"/>
        <v>1.774944277540641E-2</v>
      </c>
      <c r="Z408" s="67">
        <f t="shared" si="346"/>
        <v>1.7714257864928161E-2</v>
      </c>
      <c r="AA408" s="67">
        <f t="shared" si="346"/>
        <v>1.7690463866995076E-2</v>
      </c>
      <c r="AB408" s="67">
        <f t="shared" si="346"/>
        <v>1.7674417865459702E-2</v>
      </c>
      <c r="AC408" s="67">
        <f t="shared" si="346"/>
        <v>1.7663617771677825E-2</v>
      </c>
    </row>
    <row r="410" spans="1:29" x14ac:dyDescent="0.25">
      <c r="B410" s="40"/>
    </row>
    <row r="429" spans="1:1" s="3" customFormat="1" ht="21" x14ac:dyDescent="0.35">
      <c r="A429" s="2" t="str">
        <f>'Parameter Input'!A137</f>
        <v>Railway long-haul:  Neo bulk</v>
      </c>
    </row>
    <row r="430" spans="1:1" s="3" customFormat="1" ht="21" x14ac:dyDescent="0.35">
      <c r="A430" s="2" t="s">
        <v>103</v>
      </c>
    </row>
    <row r="431" spans="1:1" x14ac:dyDescent="0.25">
      <c r="A431" s="33" t="s">
        <v>195</v>
      </c>
    </row>
    <row r="432" spans="1:1" x14ac:dyDescent="0.25">
      <c r="A432" s="33" t="s">
        <v>196</v>
      </c>
    </row>
    <row r="433" spans="1:44" ht="15.75" thickBot="1" x14ac:dyDescent="0.3">
      <c r="A433" s="34" t="s">
        <v>197</v>
      </c>
      <c r="B433" s="34"/>
    </row>
    <row r="434" spans="1:44" ht="15.75" thickBot="1" x14ac:dyDescent="0.3">
      <c r="A434" s="39" t="s">
        <v>198</v>
      </c>
      <c r="B434" s="35"/>
    </row>
    <row r="435" spans="1:44" ht="15.75" thickBot="1" x14ac:dyDescent="0.3">
      <c r="A435" s="38" t="s">
        <v>199</v>
      </c>
      <c r="B435" s="36"/>
    </row>
    <row r="436" spans="1:44" ht="15.75" thickBot="1" x14ac:dyDescent="0.3"/>
    <row r="437" spans="1:44" x14ac:dyDescent="0.25">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18</v>
      </c>
      <c r="B439" s="41">
        <f>'Parameter Input'!$L$127</f>
        <v>10000000</v>
      </c>
      <c r="C439" s="42">
        <f>'Parameter Input'!$M$127</f>
        <v>4000000</v>
      </c>
      <c r="D439" s="1" t="s">
        <v>15</v>
      </c>
      <c r="L439" s="51">
        <f>'Parameter Input'!$O$127</f>
        <v>12</v>
      </c>
      <c r="M439" s="52">
        <v>0</v>
      </c>
      <c r="N439" s="52">
        <v>1</v>
      </c>
      <c r="O439" s="52">
        <f>'Parameter Input'!$P$127</f>
        <v>0.9</v>
      </c>
      <c r="P439" s="53">
        <f>'Parameter Input'!$Q$127</f>
        <v>0.4</v>
      </c>
      <c r="Q439" s="4">
        <f t="shared" ref="Q439:AR448" si="347">$N439+($M439-$N439)*((1/(1+EXP(-$P439*(Q$9-$L439)))^$O439))</f>
        <v>0.9867978615748374</v>
      </c>
      <c r="R439" s="4">
        <f t="shared" si="347"/>
        <v>0.98114509762858249</v>
      </c>
      <c r="S439" s="4">
        <f t="shared" si="347"/>
        <v>0.97311898315872036</v>
      </c>
      <c r="T439" s="4">
        <f t="shared" si="347"/>
        <v>0.96177484161592774</v>
      </c>
      <c r="U439" s="4">
        <f t="shared" si="347"/>
        <v>0.94584787155511363</v>
      </c>
      <c r="V439" s="4">
        <f t="shared" si="347"/>
        <v>0.92370360150141495</v>
      </c>
      <c r="W439" s="4">
        <f t="shared" si="347"/>
        <v>0.89334463567658451</v>
      </c>
      <c r="X439" s="4">
        <f t="shared" si="347"/>
        <v>0.85254543874327005</v>
      </c>
      <c r="Y439" s="4">
        <f t="shared" si="347"/>
        <v>0.79921300652623883</v>
      </c>
      <c r="Z439" s="4">
        <f t="shared" si="347"/>
        <v>0.73204982249993378</v>
      </c>
      <c r="AA439" s="4">
        <f t="shared" si="347"/>
        <v>0.65145592958786691</v>
      </c>
      <c r="AB439" s="4">
        <f t="shared" si="347"/>
        <v>0.56032247880849573</v>
      </c>
      <c r="AC439" s="4">
        <f t="shared" si="347"/>
        <v>0.46411326873185343</v>
      </c>
      <c r="AD439" s="4">
        <f t="shared" si="347"/>
        <v>0.36979727595523937</v>
      </c>
      <c r="AE439" s="4">
        <f t="shared" si="347"/>
        <v>0.28393948637231203</v>
      </c>
      <c r="AF439" s="4">
        <f t="shared" si="347"/>
        <v>0.21097259161117732</v>
      </c>
      <c r="AG439" s="4">
        <f t="shared" si="347"/>
        <v>0.15253917653798199</v>
      </c>
      <c r="AH439" s="4">
        <f t="shared" si="347"/>
        <v>0.10795188737709993</v>
      </c>
      <c r="AI439" s="4">
        <f t="shared" si="347"/>
        <v>7.5176653938091809E-2</v>
      </c>
      <c r="AJ439" s="4">
        <f t="shared" si="347"/>
        <v>5.1742836177502194E-2</v>
      </c>
      <c r="AK439" s="4">
        <f t="shared" si="347"/>
        <v>3.5319190625345942E-2</v>
      </c>
      <c r="AL439" s="4">
        <f t="shared" si="347"/>
        <v>2.3969442072658165E-2</v>
      </c>
      <c r="AM439" s="4">
        <f t="shared" si="347"/>
        <v>1.6202243558389728E-2</v>
      </c>
      <c r="AN439" s="4">
        <f t="shared" si="347"/>
        <v>1.0922240564108399E-2</v>
      </c>
      <c r="AO439" s="4">
        <f t="shared" si="347"/>
        <v>7.3493212906090566E-3</v>
      </c>
      <c r="AP439" s="4">
        <f t="shared" si="347"/>
        <v>4.9390262185057265E-3</v>
      </c>
      <c r="AQ439" s="4">
        <f t="shared" si="347"/>
        <v>3.3164275492956197E-3</v>
      </c>
      <c r="AR439" s="4">
        <f t="shared" si="347"/>
        <v>2.2256362146679809E-3</v>
      </c>
    </row>
    <row r="440" spans="1:44" x14ac:dyDescent="0.25">
      <c r="A440" s="24" t="s">
        <v>28</v>
      </c>
      <c r="B440" s="60">
        <f>'Parameter Input'!$L$128</f>
        <v>-500000</v>
      </c>
      <c r="C440" s="61">
        <f>'Parameter Input'!$M$128</f>
        <v>-600000</v>
      </c>
      <c r="D440" s="1" t="s">
        <v>15</v>
      </c>
      <c r="L440" s="54">
        <f>'Parameter Input'!$O$128</f>
        <v>12</v>
      </c>
      <c r="M440" s="37">
        <v>0</v>
      </c>
      <c r="N440" s="37">
        <v>1</v>
      </c>
      <c r="O440" s="37">
        <f>'Parameter Input'!$P$128</f>
        <v>0.9</v>
      </c>
      <c r="P440" s="55">
        <f>'Parameter Input'!$Q$128</f>
        <v>0.4</v>
      </c>
      <c r="Q440" s="4">
        <f t="shared" si="347"/>
        <v>0.9867978615748374</v>
      </c>
      <c r="R440" s="4">
        <f t="shared" si="347"/>
        <v>0.98114509762858249</v>
      </c>
      <c r="S440" s="4">
        <f t="shared" si="347"/>
        <v>0.97311898315872036</v>
      </c>
      <c r="T440" s="4">
        <f t="shared" si="347"/>
        <v>0.96177484161592774</v>
      </c>
      <c r="U440" s="4">
        <f t="shared" si="347"/>
        <v>0.94584787155511363</v>
      </c>
      <c r="V440" s="4">
        <f t="shared" si="347"/>
        <v>0.92370360150141495</v>
      </c>
      <c r="W440" s="4">
        <f t="shared" si="347"/>
        <v>0.89334463567658451</v>
      </c>
      <c r="X440" s="4">
        <f t="shared" si="347"/>
        <v>0.85254543874327005</v>
      </c>
      <c r="Y440" s="4">
        <f t="shared" si="347"/>
        <v>0.79921300652623883</v>
      </c>
      <c r="Z440" s="4">
        <f t="shared" si="347"/>
        <v>0.73204982249993378</v>
      </c>
      <c r="AA440" s="4">
        <f t="shared" si="347"/>
        <v>0.65145592958786691</v>
      </c>
      <c r="AB440" s="4">
        <f t="shared" si="347"/>
        <v>0.56032247880849573</v>
      </c>
      <c r="AC440" s="4">
        <f t="shared" si="347"/>
        <v>0.46411326873185343</v>
      </c>
      <c r="AD440" s="4">
        <f t="shared" si="347"/>
        <v>0.36979727595523937</v>
      </c>
      <c r="AE440" s="4">
        <f t="shared" si="347"/>
        <v>0.28393948637231203</v>
      </c>
      <c r="AF440" s="4">
        <f t="shared" si="347"/>
        <v>0.21097259161117732</v>
      </c>
      <c r="AG440" s="4">
        <f t="shared" si="347"/>
        <v>0.15253917653798199</v>
      </c>
      <c r="AH440" s="4">
        <f t="shared" si="347"/>
        <v>0.10795188737709993</v>
      </c>
      <c r="AI440" s="4">
        <f t="shared" si="347"/>
        <v>7.5176653938091809E-2</v>
      </c>
      <c r="AJ440" s="4">
        <f t="shared" si="347"/>
        <v>5.1742836177502194E-2</v>
      </c>
      <c r="AK440" s="4">
        <f t="shared" si="347"/>
        <v>3.5319190625345942E-2</v>
      </c>
      <c r="AL440" s="4">
        <f t="shared" si="347"/>
        <v>2.3969442072658165E-2</v>
      </c>
      <c r="AM440" s="4">
        <f t="shared" si="347"/>
        <v>1.6202243558389728E-2</v>
      </c>
      <c r="AN440" s="4">
        <f t="shared" si="347"/>
        <v>1.0922240564108399E-2</v>
      </c>
      <c r="AO440" s="4">
        <f t="shared" si="347"/>
        <v>7.3493212906090566E-3</v>
      </c>
      <c r="AP440" s="4">
        <f t="shared" si="347"/>
        <v>4.9390262185057265E-3</v>
      </c>
      <c r="AQ440" s="4">
        <f t="shared" si="347"/>
        <v>3.3164275492956197E-3</v>
      </c>
      <c r="AR440" s="4">
        <f t="shared" si="347"/>
        <v>2.2256362146679809E-3</v>
      </c>
    </row>
    <row r="441" spans="1:44" x14ac:dyDescent="0.25">
      <c r="A441" s="24" t="s">
        <v>14</v>
      </c>
      <c r="B441" s="43">
        <f>'Parameter Input'!B138</f>
        <v>3500000</v>
      </c>
      <c r="C441" s="44">
        <f>'Parameter Input'!C138</f>
        <v>3500000</v>
      </c>
      <c r="D441" s="1" t="s">
        <v>15</v>
      </c>
      <c r="L441" s="54">
        <f>'Parameter Input'!E138</f>
        <v>12</v>
      </c>
      <c r="M441" s="37">
        <v>0</v>
      </c>
      <c r="N441" s="37">
        <v>1</v>
      </c>
      <c r="O441" s="37">
        <f>'Parameter Input'!F138</f>
        <v>0.9</v>
      </c>
      <c r="P441" s="55">
        <f>'Parameter Input'!G138</f>
        <v>0.4</v>
      </c>
      <c r="Q441" s="4">
        <f t="shared" si="347"/>
        <v>0.9867978615748374</v>
      </c>
      <c r="R441" s="4">
        <f t="shared" si="347"/>
        <v>0.98114509762858249</v>
      </c>
      <c r="S441" s="4">
        <f t="shared" si="347"/>
        <v>0.97311898315872036</v>
      </c>
      <c r="T441" s="4">
        <f t="shared" si="347"/>
        <v>0.96177484161592774</v>
      </c>
      <c r="U441" s="4">
        <f t="shared" si="347"/>
        <v>0.94584787155511363</v>
      </c>
      <c r="V441" s="4">
        <f t="shared" si="347"/>
        <v>0.92370360150141495</v>
      </c>
      <c r="W441" s="4">
        <f t="shared" si="347"/>
        <v>0.89334463567658451</v>
      </c>
      <c r="X441" s="4">
        <f t="shared" si="347"/>
        <v>0.85254543874327005</v>
      </c>
      <c r="Y441" s="4">
        <f t="shared" si="347"/>
        <v>0.79921300652623883</v>
      </c>
      <c r="Z441" s="4">
        <f t="shared" si="347"/>
        <v>0.73204982249993378</v>
      </c>
      <c r="AA441" s="4">
        <f t="shared" si="347"/>
        <v>0.65145592958786691</v>
      </c>
      <c r="AB441" s="4">
        <f t="shared" si="347"/>
        <v>0.56032247880849573</v>
      </c>
      <c r="AC441" s="4">
        <f t="shared" si="347"/>
        <v>0.46411326873185343</v>
      </c>
      <c r="AD441" s="4">
        <f t="shared" si="347"/>
        <v>0.36979727595523937</v>
      </c>
      <c r="AE441" s="4">
        <f t="shared" si="347"/>
        <v>0.28393948637231203</v>
      </c>
      <c r="AF441" s="4">
        <f t="shared" si="347"/>
        <v>0.21097259161117732</v>
      </c>
      <c r="AG441" s="4">
        <f t="shared" si="347"/>
        <v>0.15253917653798199</v>
      </c>
      <c r="AH441" s="4">
        <f t="shared" si="347"/>
        <v>0.10795188737709993</v>
      </c>
      <c r="AI441" s="4">
        <f t="shared" si="347"/>
        <v>7.5176653938091809E-2</v>
      </c>
      <c r="AJ441" s="4">
        <f t="shared" si="347"/>
        <v>5.1742836177502194E-2</v>
      </c>
      <c r="AK441" s="4">
        <f t="shared" si="347"/>
        <v>3.5319190625345942E-2</v>
      </c>
      <c r="AL441" s="4">
        <f t="shared" si="347"/>
        <v>2.3969442072658165E-2</v>
      </c>
      <c r="AM441" s="4">
        <f t="shared" si="347"/>
        <v>1.6202243558389728E-2</v>
      </c>
      <c r="AN441" s="4">
        <f t="shared" si="347"/>
        <v>1.0922240564108399E-2</v>
      </c>
      <c r="AO441" s="4">
        <f t="shared" si="347"/>
        <v>7.3493212906090566E-3</v>
      </c>
      <c r="AP441" s="4">
        <f t="shared" si="347"/>
        <v>4.9390262185057265E-3</v>
      </c>
      <c r="AQ441" s="4">
        <f t="shared" si="347"/>
        <v>3.3164275492956197E-3</v>
      </c>
      <c r="AR441" s="4">
        <f t="shared" si="347"/>
        <v>2.2256362146679809E-3</v>
      </c>
    </row>
    <row r="442" spans="1:44" x14ac:dyDescent="0.25">
      <c r="A442" s="24" t="s">
        <v>25</v>
      </c>
      <c r="B442" s="60">
        <f>'Parameter Input'!B139</f>
        <v>-175000</v>
      </c>
      <c r="C442" s="61">
        <f>'Parameter Input'!C139</f>
        <v>-175000</v>
      </c>
      <c r="D442" s="1" t="s">
        <v>15</v>
      </c>
      <c r="L442" s="54">
        <f>'Parameter Input'!E139</f>
        <v>12</v>
      </c>
      <c r="M442" s="37">
        <v>0</v>
      </c>
      <c r="N442" s="37">
        <v>1</v>
      </c>
      <c r="O442" s="37">
        <f>'Parameter Input'!F139</f>
        <v>0.9</v>
      </c>
      <c r="P442" s="55">
        <f>'Parameter Input'!G139</f>
        <v>0.4</v>
      </c>
      <c r="Q442" s="4">
        <f t="shared" si="347"/>
        <v>0.9867978615748374</v>
      </c>
      <c r="R442" s="4">
        <f t="shared" si="347"/>
        <v>0.98114509762858249</v>
      </c>
      <c r="S442" s="4">
        <f t="shared" si="347"/>
        <v>0.97311898315872036</v>
      </c>
      <c r="T442" s="4">
        <f t="shared" si="347"/>
        <v>0.96177484161592774</v>
      </c>
      <c r="U442" s="4">
        <f t="shared" si="347"/>
        <v>0.94584787155511363</v>
      </c>
      <c r="V442" s="4">
        <f t="shared" si="347"/>
        <v>0.92370360150141495</v>
      </c>
      <c r="W442" s="4">
        <f t="shared" si="347"/>
        <v>0.89334463567658451</v>
      </c>
      <c r="X442" s="4">
        <f t="shared" si="347"/>
        <v>0.85254543874327005</v>
      </c>
      <c r="Y442" s="4">
        <f t="shared" si="347"/>
        <v>0.79921300652623883</v>
      </c>
      <c r="Z442" s="4">
        <f t="shared" si="347"/>
        <v>0.73204982249993378</v>
      </c>
      <c r="AA442" s="4">
        <f t="shared" si="347"/>
        <v>0.65145592958786691</v>
      </c>
      <c r="AB442" s="4">
        <f t="shared" si="347"/>
        <v>0.56032247880849573</v>
      </c>
      <c r="AC442" s="4">
        <f t="shared" si="347"/>
        <v>0.46411326873185343</v>
      </c>
      <c r="AD442" s="4">
        <f t="shared" si="347"/>
        <v>0.36979727595523937</v>
      </c>
      <c r="AE442" s="4">
        <f t="shared" si="347"/>
        <v>0.28393948637231203</v>
      </c>
      <c r="AF442" s="4">
        <f t="shared" si="347"/>
        <v>0.21097259161117732</v>
      </c>
      <c r="AG442" s="4">
        <f t="shared" si="347"/>
        <v>0.15253917653798199</v>
      </c>
      <c r="AH442" s="4">
        <f t="shared" si="347"/>
        <v>0.10795188737709993</v>
      </c>
      <c r="AI442" s="4">
        <f t="shared" si="347"/>
        <v>7.5176653938091809E-2</v>
      </c>
      <c r="AJ442" s="4">
        <f t="shared" si="347"/>
        <v>5.1742836177502194E-2</v>
      </c>
      <c r="AK442" s="4">
        <f t="shared" si="347"/>
        <v>3.5319190625345942E-2</v>
      </c>
      <c r="AL442" s="4">
        <f t="shared" si="347"/>
        <v>2.3969442072658165E-2</v>
      </c>
      <c r="AM442" s="4">
        <f t="shared" si="347"/>
        <v>1.6202243558389728E-2</v>
      </c>
      <c r="AN442" s="4">
        <f t="shared" si="347"/>
        <v>1.0922240564108399E-2</v>
      </c>
      <c r="AO442" s="4">
        <f t="shared" si="347"/>
        <v>7.3493212906090566E-3</v>
      </c>
      <c r="AP442" s="4">
        <f t="shared" si="347"/>
        <v>4.9390262185057265E-3</v>
      </c>
      <c r="AQ442" s="4">
        <f t="shared" si="347"/>
        <v>3.3164275492956197E-3</v>
      </c>
      <c r="AR442" s="4">
        <f t="shared" si="347"/>
        <v>2.2256362146679809E-3</v>
      </c>
    </row>
    <row r="443" spans="1:44" x14ac:dyDescent="0.25">
      <c r="A443" s="24" t="s">
        <v>79</v>
      </c>
      <c r="B443" s="45">
        <f>'Parameter Input'!$L$134</f>
        <v>0.06</v>
      </c>
      <c r="C443" s="46">
        <f>'Parameter Input'!$M$134</f>
        <v>0.06</v>
      </c>
      <c r="D443" s="1" t="s">
        <v>57</v>
      </c>
      <c r="L443" s="54">
        <f>'Parameter Input'!$O$134</f>
        <v>12</v>
      </c>
      <c r="M443" s="37">
        <v>0</v>
      </c>
      <c r="N443" s="37">
        <v>1</v>
      </c>
      <c r="O443" s="37">
        <f>'Parameter Input'!$P$134</f>
        <v>0.9</v>
      </c>
      <c r="P443" s="55">
        <f>'Parameter Input'!$Q$134</f>
        <v>0.4</v>
      </c>
      <c r="Q443" s="4">
        <f t="shared" si="347"/>
        <v>0.9867978615748374</v>
      </c>
      <c r="R443" s="4">
        <f t="shared" si="347"/>
        <v>0.98114509762858249</v>
      </c>
      <c r="S443" s="4">
        <f t="shared" si="347"/>
        <v>0.97311898315872036</v>
      </c>
      <c r="T443" s="4">
        <f t="shared" si="347"/>
        <v>0.96177484161592774</v>
      </c>
      <c r="U443" s="4">
        <f t="shared" si="347"/>
        <v>0.94584787155511363</v>
      </c>
      <c r="V443" s="4">
        <f t="shared" si="347"/>
        <v>0.92370360150141495</v>
      </c>
      <c r="W443" s="4">
        <f t="shared" si="347"/>
        <v>0.89334463567658451</v>
      </c>
      <c r="X443" s="4">
        <f t="shared" si="347"/>
        <v>0.85254543874327005</v>
      </c>
      <c r="Y443" s="4">
        <f t="shared" si="347"/>
        <v>0.79921300652623883</v>
      </c>
      <c r="Z443" s="4">
        <f t="shared" si="347"/>
        <v>0.73204982249993378</v>
      </c>
      <c r="AA443" s="4">
        <f t="shared" si="347"/>
        <v>0.65145592958786691</v>
      </c>
      <c r="AB443" s="4">
        <f t="shared" si="347"/>
        <v>0.56032247880849573</v>
      </c>
      <c r="AC443" s="4">
        <f t="shared" si="347"/>
        <v>0.46411326873185343</v>
      </c>
      <c r="AD443" s="4">
        <f t="shared" si="347"/>
        <v>0.36979727595523937</v>
      </c>
      <c r="AE443" s="4">
        <f t="shared" si="347"/>
        <v>0.28393948637231203</v>
      </c>
      <c r="AF443" s="4">
        <f t="shared" si="347"/>
        <v>0.21097259161117732</v>
      </c>
      <c r="AG443" s="4">
        <f t="shared" si="347"/>
        <v>0.15253917653798199</v>
      </c>
      <c r="AH443" s="4">
        <f t="shared" si="347"/>
        <v>0.10795188737709993</v>
      </c>
      <c r="AI443" s="4">
        <f t="shared" si="347"/>
        <v>7.5176653938091809E-2</v>
      </c>
      <c r="AJ443" s="4">
        <f t="shared" si="347"/>
        <v>5.1742836177502194E-2</v>
      </c>
      <c r="AK443" s="4">
        <f t="shared" si="347"/>
        <v>3.5319190625345942E-2</v>
      </c>
      <c r="AL443" s="4">
        <f t="shared" si="347"/>
        <v>2.3969442072658165E-2</v>
      </c>
      <c r="AM443" s="4">
        <f t="shared" si="347"/>
        <v>1.6202243558389728E-2</v>
      </c>
      <c r="AN443" s="4">
        <f t="shared" si="347"/>
        <v>1.0922240564108399E-2</v>
      </c>
      <c r="AO443" s="4">
        <f t="shared" si="347"/>
        <v>7.3493212906090566E-3</v>
      </c>
      <c r="AP443" s="4">
        <f t="shared" si="347"/>
        <v>4.9390262185057265E-3</v>
      </c>
      <c r="AQ443" s="4">
        <f t="shared" si="347"/>
        <v>3.3164275492956197E-3</v>
      </c>
      <c r="AR443" s="4">
        <f t="shared" si="347"/>
        <v>2.2256362146679809E-3</v>
      </c>
    </row>
    <row r="444" spans="1:44" x14ac:dyDescent="0.25">
      <c r="A444" s="24" t="s">
        <v>37</v>
      </c>
      <c r="B444" s="43">
        <f>'Parameter Input'!B140</f>
        <v>650000</v>
      </c>
      <c r="C444" s="44">
        <f>'Parameter Input'!C140</f>
        <v>650000</v>
      </c>
      <c r="D444" s="1" t="s">
        <v>38</v>
      </c>
      <c r="L444" s="54">
        <f>'Parameter Input'!E140</f>
        <v>12</v>
      </c>
      <c r="M444" s="37">
        <v>0</v>
      </c>
      <c r="N444" s="37">
        <v>1</v>
      </c>
      <c r="O444" s="37">
        <f>'Parameter Input'!F140</f>
        <v>0.9</v>
      </c>
      <c r="P444" s="55">
        <f>'Parameter Input'!G140</f>
        <v>0.4</v>
      </c>
      <c r="Q444" s="4">
        <f t="shared" si="347"/>
        <v>0.9867978615748374</v>
      </c>
      <c r="R444" s="4">
        <f t="shared" si="347"/>
        <v>0.98114509762858249</v>
      </c>
      <c r="S444" s="4">
        <f t="shared" si="347"/>
        <v>0.97311898315872036</v>
      </c>
      <c r="T444" s="4">
        <f t="shared" si="347"/>
        <v>0.96177484161592774</v>
      </c>
      <c r="U444" s="4">
        <f t="shared" si="347"/>
        <v>0.94584787155511363</v>
      </c>
      <c r="V444" s="4">
        <f t="shared" si="347"/>
        <v>0.92370360150141495</v>
      </c>
      <c r="W444" s="4">
        <f t="shared" si="347"/>
        <v>0.89334463567658451</v>
      </c>
      <c r="X444" s="4">
        <f t="shared" si="347"/>
        <v>0.85254543874327005</v>
      </c>
      <c r="Y444" s="4">
        <f t="shared" si="347"/>
        <v>0.79921300652623883</v>
      </c>
      <c r="Z444" s="4">
        <f t="shared" si="347"/>
        <v>0.73204982249993378</v>
      </c>
      <c r="AA444" s="4">
        <f t="shared" si="347"/>
        <v>0.65145592958786691</v>
      </c>
      <c r="AB444" s="4">
        <f t="shared" si="347"/>
        <v>0.56032247880849573</v>
      </c>
      <c r="AC444" s="4">
        <f t="shared" si="347"/>
        <v>0.46411326873185343</v>
      </c>
      <c r="AD444" s="4">
        <f t="shared" si="347"/>
        <v>0.36979727595523937</v>
      </c>
      <c r="AE444" s="4">
        <f t="shared" si="347"/>
        <v>0.28393948637231203</v>
      </c>
      <c r="AF444" s="4">
        <f t="shared" si="347"/>
        <v>0.21097259161117732</v>
      </c>
      <c r="AG444" s="4">
        <f t="shared" si="347"/>
        <v>0.15253917653798199</v>
      </c>
      <c r="AH444" s="4">
        <f t="shared" si="347"/>
        <v>0.10795188737709993</v>
      </c>
      <c r="AI444" s="4">
        <f t="shared" si="347"/>
        <v>7.5176653938091809E-2</v>
      </c>
      <c r="AJ444" s="4">
        <f t="shared" si="347"/>
        <v>5.1742836177502194E-2</v>
      </c>
      <c r="AK444" s="4">
        <f t="shared" si="347"/>
        <v>3.5319190625345942E-2</v>
      </c>
      <c r="AL444" s="4">
        <f t="shared" si="347"/>
        <v>2.3969442072658165E-2</v>
      </c>
      <c r="AM444" s="4">
        <f t="shared" si="347"/>
        <v>1.6202243558389728E-2</v>
      </c>
      <c r="AN444" s="4">
        <f t="shared" si="347"/>
        <v>1.0922240564108399E-2</v>
      </c>
      <c r="AO444" s="4">
        <f t="shared" si="347"/>
        <v>7.3493212906090566E-3</v>
      </c>
      <c r="AP444" s="4">
        <f t="shared" si="347"/>
        <v>4.9390262185057265E-3</v>
      </c>
      <c r="AQ444" s="4">
        <f t="shared" si="347"/>
        <v>3.3164275492956197E-3</v>
      </c>
      <c r="AR444" s="4">
        <f t="shared" si="347"/>
        <v>2.2256362146679809E-3</v>
      </c>
    </row>
    <row r="445" spans="1:44" x14ac:dyDescent="0.25">
      <c r="A445" s="24" t="s">
        <v>52</v>
      </c>
      <c r="B445" s="43">
        <f>'Parameter Input'!$L$130</f>
        <v>1400000.0000000002</v>
      </c>
      <c r="C445" s="44">
        <f>'Parameter Input'!$M$130</f>
        <v>560000</v>
      </c>
      <c r="D445" s="1" t="s">
        <v>38</v>
      </c>
      <c r="L445" s="54">
        <f>'Parameter Input'!$O$130</f>
        <v>12</v>
      </c>
      <c r="M445" s="37">
        <v>0</v>
      </c>
      <c r="N445" s="37">
        <v>1</v>
      </c>
      <c r="O445" s="37">
        <f>'Parameter Input'!$P$130</f>
        <v>0.9</v>
      </c>
      <c r="P445" s="55">
        <f>'Parameter Input'!$Q$130</f>
        <v>0.4</v>
      </c>
      <c r="Q445" s="4">
        <f t="shared" si="347"/>
        <v>0.9867978615748374</v>
      </c>
      <c r="R445" s="4">
        <f t="shared" si="347"/>
        <v>0.98114509762858249</v>
      </c>
      <c r="S445" s="4">
        <f t="shared" si="347"/>
        <v>0.97311898315872036</v>
      </c>
      <c r="T445" s="4">
        <f t="shared" si="347"/>
        <v>0.96177484161592774</v>
      </c>
      <c r="U445" s="4">
        <f t="shared" si="347"/>
        <v>0.94584787155511363</v>
      </c>
      <c r="V445" s="4">
        <f t="shared" si="347"/>
        <v>0.92370360150141495</v>
      </c>
      <c r="W445" s="4">
        <f t="shared" si="347"/>
        <v>0.89334463567658451</v>
      </c>
      <c r="X445" s="4">
        <f t="shared" si="347"/>
        <v>0.85254543874327005</v>
      </c>
      <c r="Y445" s="4">
        <f t="shared" si="347"/>
        <v>0.79921300652623883</v>
      </c>
      <c r="Z445" s="4">
        <f t="shared" si="347"/>
        <v>0.73204982249993378</v>
      </c>
      <c r="AA445" s="4">
        <f t="shared" si="347"/>
        <v>0.65145592958786691</v>
      </c>
      <c r="AB445" s="4">
        <f t="shared" si="347"/>
        <v>0.56032247880849573</v>
      </c>
      <c r="AC445" s="4">
        <f t="shared" si="347"/>
        <v>0.46411326873185343</v>
      </c>
      <c r="AD445" s="4">
        <f t="shared" si="347"/>
        <v>0.36979727595523937</v>
      </c>
      <c r="AE445" s="4">
        <f t="shared" si="347"/>
        <v>0.28393948637231203</v>
      </c>
      <c r="AF445" s="4">
        <f t="shared" si="347"/>
        <v>0.21097259161117732</v>
      </c>
      <c r="AG445" s="4">
        <f t="shared" si="347"/>
        <v>0.15253917653798199</v>
      </c>
      <c r="AH445" s="4">
        <f t="shared" si="347"/>
        <v>0.10795188737709993</v>
      </c>
      <c r="AI445" s="4">
        <f t="shared" si="347"/>
        <v>7.5176653938091809E-2</v>
      </c>
      <c r="AJ445" s="4">
        <f t="shared" si="347"/>
        <v>5.1742836177502194E-2</v>
      </c>
      <c r="AK445" s="4">
        <f t="shared" si="347"/>
        <v>3.5319190625345942E-2</v>
      </c>
      <c r="AL445" s="4">
        <f t="shared" si="347"/>
        <v>2.3969442072658165E-2</v>
      </c>
      <c r="AM445" s="4">
        <f t="shared" si="347"/>
        <v>1.6202243558389728E-2</v>
      </c>
      <c r="AN445" s="4">
        <f t="shared" si="347"/>
        <v>1.0922240564108399E-2</v>
      </c>
      <c r="AO445" s="4">
        <f t="shared" si="347"/>
        <v>7.3493212906090566E-3</v>
      </c>
      <c r="AP445" s="4">
        <f t="shared" si="347"/>
        <v>4.9390262185057265E-3</v>
      </c>
      <c r="AQ445" s="4">
        <f t="shared" si="347"/>
        <v>3.3164275492956197E-3</v>
      </c>
      <c r="AR445" s="4">
        <f t="shared" si="347"/>
        <v>2.2256362146679809E-3</v>
      </c>
    </row>
    <row r="446" spans="1:44" x14ac:dyDescent="0.25">
      <c r="A446" s="24" t="s">
        <v>287</v>
      </c>
      <c r="B446" s="45">
        <f>'Parameter Input'!B145</f>
        <v>3.9215686274509802</v>
      </c>
      <c r="C446" s="46">
        <f>'Parameter Input'!C145</f>
        <v>3.9215686274509802</v>
      </c>
      <c r="D446" s="1" t="s">
        <v>76</v>
      </c>
      <c r="L446" s="54">
        <f>'Parameter Input'!E145</f>
        <v>12</v>
      </c>
      <c r="M446" s="37">
        <v>0</v>
      </c>
      <c r="N446" s="37">
        <v>1</v>
      </c>
      <c r="O446" s="37">
        <f>'Parameter Input'!F145</f>
        <v>0.9</v>
      </c>
      <c r="P446" s="55">
        <f>'Parameter Input'!G145</f>
        <v>0.4</v>
      </c>
      <c r="Q446" s="4">
        <f t="shared" si="347"/>
        <v>0.9867978615748374</v>
      </c>
      <c r="R446" s="4">
        <f t="shared" si="347"/>
        <v>0.98114509762858249</v>
      </c>
      <c r="S446" s="4">
        <f t="shared" si="347"/>
        <v>0.97311898315872036</v>
      </c>
      <c r="T446" s="4">
        <f t="shared" si="347"/>
        <v>0.96177484161592774</v>
      </c>
      <c r="U446" s="4">
        <f t="shared" si="347"/>
        <v>0.94584787155511363</v>
      </c>
      <c r="V446" s="4">
        <f t="shared" si="347"/>
        <v>0.92370360150141495</v>
      </c>
      <c r="W446" s="4">
        <f t="shared" si="347"/>
        <v>0.89334463567658451</v>
      </c>
      <c r="X446" s="4">
        <f t="shared" si="347"/>
        <v>0.85254543874327005</v>
      </c>
      <c r="Y446" s="4">
        <f t="shared" si="347"/>
        <v>0.79921300652623883</v>
      </c>
      <c r="Z446" s="4">
        <f t="shared" si="347"/>
        <v>0.73204982249993378</v>
      </c>
      <c r="AA446" s="4">
        <f t="shared" si="347"/>
        <v>0.65145592958786691</v>
      </c>
      <c r="AB446" s="4">
        <f t="shared" si="347"/>
        <v>0.56032247880849573</v>
      </c>
      <c r="AC446" s="4">
        <f t="shared" si="347"/>
        <v>0.46411326873185343</v>
      </c>
      <c r="AD446" s="4">
        <f t="shared" si="347"/>
        <v>0.36979727595523937</v>
      </c>
      <c r="AE446" s="4">
        <f t="shared" si="347"/>
        <v>0.28393948637231203</v>
      </c>
      <c r="AF446" s="4">
        <f t="shared" si="347"/>
        <v>0.21097259161117732</v>
      </c>
      <c r="AG446" s="4">
        <f t="shared" si="347"/>
        <v>0.15253917653798199</v>
      </c>
      <c r="AH446" s="4">
        <f t="shared" si="347"/>
        <v>0.10795188737709993</v>
      </c>
      <c r="AI446" s="4">
        <f t="shared" si="347"/>
        <v>7.5176653938091809E-2</v>
      </c>
      <c r="AJ446" s="4">
        <f t="shared" si="347"/>
        <v>5.1742836177502194E-2</v>
      </c>
      <c r="AK446" s="4">
        <f t="shared" si="347"/>
        <v>3.5319190625345942E-2</v>
      </c>
      <c r="AL446" s="4">
        <f t="shared" si="347"/>
        <v>2.3969442072658165E-2</v>
      </c>
      <c r="AM446" s="4">
        <f t="shared" si="347"/>
        <v>1.6202243558389728E-2</v>
      </c>
      <c r="AN446" s="4">
        <f t="shared" si="347"/>
        <v>1.0922240564108399E-2</v>
      </c>
      <c r="AO446" s="4">
        <f t="shared" si="347"/>
        <v>7.3493212906090566E-3</v>
      </c>
      <c r="AP446" s="4">
        <f t="shared" si="347"/>
        <v>4.9390262185057265E-3</v>
      </c>
      <c r="AQ446" s="4">
        <f t="shared" si="347"/>
        <v>3.3164275492956197E-3</v>
      </c>
      <c r="AR446" s="4">
        <f t="shared" si="347"/>
        <v>2.2256362146679809E-3</v>
      </c>
    </row>
    <row r="447" spans="1:44" x14ac:dyDescent="0.25">
      <c r="A447" s="24" t="s">
        <v>59</v>
      </c>
      <c r="B447" s="47">
        <f>'Parameter Input'!$L$131</f>
        <v>48.858472727272719</v>
      </c>
      <c r="C447" s="48">
        <f>'Parameter Input'!$M$131</f>
        <v>41.341784615384611</v>
      </c>
      <c r="D447" s="1" t="s">
        <v>60</v>
      </c>
      <c r="L447" s="54">
        <f>'Parameter Input'!$O$131</f>
        <v>12</v>
      </c>
      <c r="M447" s="37">
        <v>0</v>
      </c>
      <c r="N447" s="37">
        <v>1</v>
      </c>
      <c r="O447" s="37">
        <f>'Parameter Input'!$P$131</f>
        <v>0.9</v>
      </c>
      <c r="P447" s="55">
        <f>'Parameter Input'!$Q$131</f>
        <v>0.4</v>
      </c>
      <c r="Q447" s="4">
        <f t="shared" si="347"/>
        <v>0.9867978615748374</v>
      </c>
      <c r="R447" s="4">
        <f t="shared" si="347"/>
        <v>0.98114509762858249</v>
      </c>
      <c r="S447" s="4">
        <f t="shared" si="347"/>
        <v>0.97311898315872036</v>
      </c>
      <c r="T447" s="4">
        <f t="shared" si="347"/>
        <v>0.96177484161592774</v>
      </c>
      <c r="U447" s="4">
        <f t="shared" si="347"/>
        <v>0.94584787155511363</v>
      </c>
      <c r="V447" s="4">
        <f t="shared" si="347"/>
        <v>0.92370360150141495</v>
      </c>
      <c r="W447" s="4">
        <f t="shared" si="347"/>
        <v>0.89334463567658451</v>
      </c>
      <c r="X447" s="4">
        <f t="shared" si="347"/>
        <v>0.85254543874327005</v>
      </c>
      <c r="Y447" s="4">
        <f t="shared" si="347"/>
        <v>0.79921300652623883</v>
      </c>
      <c r="Z447" s="4">
        <f t="shared" si="347"/>
        <v>0.73204982249993378</v>
      </c>
      <c r="AA447" s="4">
        <f t="shared" si="347"/>
        <v>0.65145592958786691</v>
      </c>
      <c r="AB447" s="4">
        <f t="shared" si="347"/>
        <v>0.56032247880849573</v>
      </c>
      <c r="AC447" s="4">
        <f t="shared" si="347"/>
        <v>0.46411326873185343</v>
      </c>
      <c r="AD447" s="4">
        <f t="shared" si="347"/>
        <v>0.36979727595523937</v>
      </c>
      <c r="AE447" s="4">
        <f t="shared" si="347"/>
        <v>0.28393948637231203</v>
      </c>
      <c r="AF447" s="4">
        <f t="shared" si="347"/>
        <v>0.21097259161117732</v>
      </c>
      <c r="AG447" s="4">
        <f t="shared" si="347"/>
        <v>0.15253917653798199</v>
      </c>
      <c r="AH447" s="4">
        <f t="shared" si="347"/>
        <v>0.10795188737709993</v>
      </c>
      <c r="AI447" s="4">
        <f t="shared" si="347"/>
        <v>7.5176653938091809E-2</v>
      </c>
      <c r="AJ447" s="4">
        <f t="shared" si="347"/>
        <v>5.1742836177502194E-2</v>
      </c>
      <c r="AK447" s="4">
        <f t="shared" si="347"/>
        <v>3.5319190625345942E-2</v>
      </c>
      <c r="AL447" s="4">
        <f t="shared" si="347"/>
        <v>2.3969442072658165E-2</v>
      </c>
      <c r="AM447" s="4">
        <f t="shared" si="347"/>
        <v>1.6202243558389728E-2</v>
      </c>
      <c r="AN447" s="4">
        <f t="shared" si="347"/>
        <v>1.0922240564108399E-2</v>
      </c>
      <c r="AO447" s="4">
        <f t="shared" si="347"/>
        <v>7.3493212906090566E-3</v>
      </c>
      <c r="AP447" s="4">
        <f t="shared" si="347"/>
        <v>4.9390262185057265E-3</v>
      </c>
      <c r="AQ447" s="4">
        <f t="shared" si="347"/>
        <v>3.3164275492956197E-3</v>
      </c>
      <c r="AR447" s="4">
        <f t="shared" si="347"/>
        <v>2.2256362146679809E-3</v>
      </c>
    </row>
    <row r="448" spans="1:44" x14ac:dyDescent="0.25">
      <c r="A448" s="24" t="s">
        <v>67</v>
      </c>
      <c r="B448" s="45">
        <f>'Parameter Input'!$L$132</f>
        <v>0.2544561408768215</v>
      </c>
      <c r="C448" s="46">
        <f>'Parameter Input'!$M$132</f>
        <v>0.10949010032952979</v>
      </c>
      <c r="D448" s="1" t="s">
        <v>68</v>
      </c>
      <c r="L448" s="54">
        <f>'Parameter Input'!$O$132</f>
        <v>12</v>
      </c>
      <c r="M448" s="37">
        <v>0</v>
      </c>
      <c r="N448" s="37">
        <v>1</v>
      </c>
      <c r="O448" s="37">
        <f>'Parameter Input'!$P$132</f>
        <v>0.9</v>
      </c>
      <c r="P448" s="55">
        <f>'Parameter Input'!$Q$132</f>
        <v>0.4</v>
      </c>
      <c r="Q448" s="4">
        <f t="shared" si="347"/>
        <v>0.9867978615748374</v>
      </c>
      <c r="R448" s="4">
        <f t="shared" si="347"/>
        <v>0.98114509762858249</v>
      </c>
      <c r="S448" s="4">
        <f t="shared" si="347"/>
        <v>0.97311898315872036</v>
      </c>
      <c r="T448" s="4">
        <f t="shared" ref="T448:AI455" si="348">$N448+($M448-$N448)*((1/(1+EXP(-$P448*(T$9-$L448)))^$O448))</f>
        <v>0.96177484161592774</v>
      </c>
      <c r="U448" s="4">
        <f t="shared" si="348"/>
        <v>0.94584787155511363</v>
      </c>
      <c r="V448" s="4">
        <f t="shared" si="348"/>
        <v>0.92370360150141495</v>
      </c>
      <c r="W448" s="4">
        <f t="shared" si="348"/>
        <v>0.89334463567658451</v>
      </c>
      <c r="X448" s="4">
        <f t="shared" si="348"/>
        <v>0.85254543874327005</v>
      </c>
      <c r="Y448" s="4">
        <f t="shared" si="348"/>
        <v>0.79921300652623883</v>
      </c>
      <c r="Z448" s="4">
        <f t="shared" si="348"/>
        <v>0.73204982249993378</v>
      </c>
      <c r="AA448" s="4">
        <f t="shared" si="348"/>
        <v>0.65145592958786691</v>
      </c>
      <c r="AB448" s="4">
        <f t="shared" si="348"/>
        <v>0.56032247880849573</v>
      </c>
      <c r="AC448" s="4">
        <f t="shared" si="348"/>
        <v>0.46411326873185343</v>
      </c>
      <c r="AD448" s="4">
        <f t="shared" si="348"/>
        <v>0.36979727595523937</v>
      </c>
      <c r="AE448" s="4">
        <f t="shared" si="348"/>
        <v>0.28393948637231203</v>
      </c>
      <c r="AF448" s="4">
        <f t="shared" si="348"/>
        <v>0.21097259161117732</v>
      </c>
      <c r="AG448" s="4">
        <f t="shared" si="348"/>
        <v>0.15253917653798199</v>
      </c>
      <c r="AH448" s="4">
        <f t="shared" si="348"/>
        <v>0.10795188737709993</v>
      </c>
      <c r="AI448" s="4">
        <f t="shared" si="348"/>
        <v>7.5176653938091809E-2</v>
      </c>
      <c r="AJ448" s="4">
        <f t="shared" ref="AJ448:AR455" si="349">$N448+($M448-$N448)*((1/(1+EXP(-$P448*(AJ$9-$L448)))^$O448))</f>
        <v>5.1742836177502194E-2</v>
      </c>
      <c r="AK448" s="4">
        <f t="shared" si="349"/>
        <v>3.5319190625345942E-2</v>
      </c>
      <c r="AL448" s="4">
        <f t="shared" si="349"/>
        <v>2.3969442072658165E-2</v>
      </c>
      <c r="AM448" s="4">
        <f t="shared" si="349"/>
        <v>1.6202243558389728E-2</v>
      </c>
      <c r="AN448" s="4">
        <f t="shared" si="349"/>
        <v>1.0922240564108399E-2</v>
      </c>
      <c r="AO448" s="4">
        <f t="shared" si="349"/>
        <v>7.3493212906090566E-3</v>
      </c>
      <c r="AP448" s="4">
        <f t="shared" si="349"/>
        <v>4.9390262185057265E-3</v>
      </c>
      <c r="AQ448" s="4">
        <f t="shared" si="349"/>
        <v>3.3164275492956197E-3</v>
      </c>
      <c r="AR448" s="4">
        <f t="shared" si="349"/>
        <v>2.2256362146679809E-3</v>
      </c>
    </row>
    <row r="449" spans="1:44" x14ac:dyDescent="0.25">
      <c r="A449" s="24" t="s">
        <v>206</v>
      </c>
      <c r="B449" s="115">
        <f>'Parameter Input'!$L$135</f>
        <v>0.17621088524590159</v>
      </c>
      <c r="C449" s="116">
        <f>'Parameter Input'!$M$135</f>
        <v>0</v>
      </c>
      <c r="D449" s="1" t="s">
        <v>76</v>
      </c>
      <c r="L449" s="54">
        <f>'Parameter Input'!$O$135</f>
        <v>17</v>
      </c>
      <c r="M449" s="37">
        <v>0</v>
      </c>
      <c r="N449" s="37">
        <v>1</v>
      </c>
      <c r="O449" s="37">
        <f>'Parameter Input'!$P$135</f>
        <v>0.9</v>
      </c>
      <c r="P449" s="55">
        <f>'Parameter Input'!$Q$135</f>
        <v>0.4</v>
      </c>
      <c r="Q449" s="4">
        <f t="shared" ref="Q449:AR449" si="350">$N449+($M449-$N449)*((1/(1+EXP(-$P449*(Q$9-$L449)))^$O449))</f>
        <v>0.99780374543478534</v>
      </c>
      <c r="R449" s="4">
        <f t="shared" si="350"/>
        <v>0.99685359315256394</v>
      </c>
      <c r="S449" s="4">
        <f t="shared" si="350"/>
        <v>0.99549347132349975</v>
      </c>
      <c r="T449" s="4">
        <f t="shared" si="350"/>
        <v>0.99354772139898062</v>
      </c>
      <c r="U449" s="4">
        <f t="shared" si="350"/>
        <v>0.99076681540580536</v>
      </c>
      <c r="V449" s="4">
        <f t="shared" si="350"/>
        <v>0.9867978615748374</v>
      </c>
      <c r="W449" s="4">
        <f t="shared" si="350"/>
        <v>0.98114509762858249</v>
      </c>
      <c r="X449" s="4">
        <f t="shared" si="350"/>
        <v>0.97311898315872036</v>
      </c>
      <c r="Y449" s="4">
        <f t="shared" si="350"/>
        <v>0.96177484161592774</v>
      </c>
      <c r="Z449" s="4">
        <f t="shared" si="350"/>
        <v>0.94584787155511363</v>
      </c>
      <c r="AA449" s="4">
        <f t="shared" si="350"/>
        <v>0.92370360150141495</v>
      </c>
      <c r="AB449" s="4">
        <f t="shared" si="350"/>
        <v>0.89334463567658451</v>
      </c>
      <c r="AC449" s="4">
        <f t="shared" si="350"/>
        <v>0.85254543874327005</v>
      </c>
      <c r="AD449" s="4">
        <f t="shared" si="350"/>
        <v>0.79921300652623883</v>
      </c>
      <c r="AE449" s="4">
        <f t="shared" si="350"/>
        <v>0.73204982249993378</v>
      </c>
      <c r="AF449" s="4">
        <f t="shared" si="350"/>
        <v>0.65145592958786691</v>
      </c>
      <c r="AG449" s="4">
        <f t="shared" si="350"/>
        <v>0.56032247880849573</v>
      </c>
      <c r="AH449" s="4">
        <f t="shared" si="350"/>
        <v>0.46411326873185343</v>
      </c>
      <c r="AI449" s="4">
        <f t="shared" si="350"/>
        <v>0.36979727595523937</v>
      </c>
      <c r="AJ449" s="4">
        <f t="shared" si="350"/>
        <v>0.28393948637231203</v>
      </c>
      <c r="AK449" s="4">
        <f t="shared" si="350"/>
        <v>0.21097259161117732</v>
      </c>
      <c r="AL449" s="4">
        <f t="shared" si="350"/>
        <v>0.15253917653798199</v>
      </c>
      <c r="AM449" s="4">
        <f t="shared" si="350"/>
        <v>0.10795188737709993</v>
      </c>
      <c r="AN449" s="4">
        <f t="shared" si="350"/>
        <v>7.5176653938091809E-2</v>
      </c>
      <c r="AO449" s="4">
        <f t="shared" si="350"/>
        <v>5.1742836177502194E-2</v>
      </c>
      <c r="AP449" s="4">
        <f t="shared" si="350"/>
        <v>3.5319190625345942E-2</v>
      </c>
      <c r="AQ449" s="4">
        <f t="shared" si="350"/>
        <v>2.3969442072658165E-2</v>
      </c>
      <c r="AR449" s="4">
        <f t="shared" si="350"/>
        <v>1.6202243558389728E-2</v>
      </c>
    </row>
    <row r="450" spans="1:44" x14ac:dyDescent="0.25">
      <c r="A450" s="24" t="s">
        <v>41</v>
      </c>
      <c r="B450" s="43">
        <f>'Parameter Input'!$L$129</f>
        <v>20</v>
      </c>
      <c r="C450" s="44">
        <f>'Parameter Input'!$M$129</f>
        <v>20</v>
      </c>
      <c r="D450" s="1" t="s">
        <v>42</v>
      </c>
      <c r="L450" s="54">
        <f>'Parameter Input'!$O$129</f>
        <v>12</v>
      </c>
      <c r="M450" s="37">
        <v>0</v>
      </c>
      <c r="N450" s="37">
        <v>1</v>
      </c>
      <c r="O450" s="37">
        <f>'Parameter Input'!$P$129</f>
        <v>0.9</v>
      </c>
      <c r="P450" s="55">
        <f>'Parameter Input'!$Q$129</f>
        <v>0.4</v>
      </c>
      <c r="Q450" s="4">
        <f t="shared" ref="Q450:AF455" si="351">$N450+($M450-$N450)*((1/(1+EXP(-$P450*(Q$9-$L450)))^$O450))</f>
        <v>0.9867978615748374</v>
      </c>
      <c r="R450" s="4">
        <f t="shared" si="351"/>
        <v>0.98114509762858249</v>
      </c>
      <c r="S450" s="4">
        <f t="shared" si="351"/>
        <v>0.97311898315872036</v>
      </c>
      <c r="T450" s="4">
        <f t="shared" si="351"/>
        <v>0.96177484161592774</v>
      </c>
      <c r="U450" s="4">
        <f t="shared" si="351"/>
        <v>0.94584787155511363</v>
      </c>
      <c r="V450" s="4">
        <f t="shared" si="351"/>
        <v>0.92370360150141495</v>
      </c>
      <c r="W450" s="4">
        <f t="shared" si="351"/>
        <v>0.89334463567658451</v>
      </c>
      <c r="X450" s="4">
        <f t="shared" si="351"/>
        <v>0.85254543874327005</v>
      </c>
      <c r="Y450" s="4">
        <f t="shared" si="351"/>
        <v>0.79921300652623883</v>
      </c>
      <c r="Z450" s="4">
        <f t="shared" si="351"/>
        <v>0.73204982249993378</v>
      </c>
      <c r="AA450" s="4">
        <f t="shared" si="351"/>
        <v>0.65145592958786691</v>
      </c>
      <c r="AB450" s="4">
        <f t="shared" si="351"/>
        <v>0.56032247880849573</v>
      </c>
      <c r="AC450" s="4">
        <f t="shared" si="351"/>
        <v>0.46411326873185343</v>
      </c>
      <c r="AD450" s="4">
        <f t="shared" si="351"/>
        <v>0.36979727595523937</v>
      </c>
      <c r="AE450" s="4">
        <f t="shared" si="351"/>
        <v>0.28393948637231203</v>
      </c>
      <c r="AF450" s="4">
        <f t="shared" si="351"/>
        <v>0.21097259161117732</v>
      </c>
      <c r="AG450" s="4">
        <f t="shared" si="348"/>
        <v>0.15253917653798199</v>
      </c>
      <c r="AH450" s="4">
        <f t="shared" si="348"/>
        <v>0.10795188737709993</v>
      </c>
      <c r="AI450" s="4">
        <f t="shared" si="348"/>
        <v>7.5176653938091809E-2</v>
      </c>
      <c r="AJ450" s="4">
        <f t="shared" si="349"/>
        <v>5.1742836177502194E-2</v>
      </c>
      <c r="AK450" s="4">
        <f t="shared" si="349"/>
        <v>3.5319190625345942E-2</v>
      </c>
      <c r="AL450" s="4">
        <f t="shared" si="349"/>
        <v>2.3969442072658165E-2</v>
      </c>
      <c r="AM450" s="4">
        <f t="shared" si="349"/>
        <v>1.6202243558389728E-2</v>
      </c>
      <c r="AN450" s="4">
        <f t="shared" si="349"/>
        <v>1.0922240564108399E-2</v>
      </c>
      <c r="AO450" s="4">
        <f t="shared" si="349"/>
        <v>7.3493212906090566E-3</v>
      </c>
      <c r="AP450" s="4">
        <f t="shared" si="349"/>
        <v>4.9390262185057265E-3</v>
      </c>
      <c r="AQ450" s="4">
        <f t="shared" si="349"/>
        <v>3.3164275492956197E-3</v>
      </c>
      <c r="AR450" s="4">
        <f t="shared" si="349"/>
        <v>2.2256362146679809E-3</v>
      </c>
    </row>
    <row r="451" spans="1:44" x14ac:dyDescent="0.25">
      <c r="A451" s="24" t="s">
        <v>70</v>
      </c>
      <c r="B451" s="43">
        <f>'Parameter Input'!B144</f>
        <v>30</v>
      </c>
      <c r="C451" s="44">
        <f>'Parameter Input'!C144</f>
        <v>30</v>
      </c>
      <c r="D451" s="1" t="s">
        <v>42</v>
      </c>
      <c r="L451" s="54">
        <f>'Parameter Input'!E144</f>
        <v>12</v>
      </c>
      <c r="M451" s="37">
        <v>0</v>
      </c>
      <c r="N451" s="37">
        <v>1</v>
      </c>
      <c r="O451" s="37">
        <f>'Parameter Input'!F144</f>
        <v>0.9</v>
      </c>
      <c r="P451" s="55">
        <f>'Parameter Input'!G144</f>
        <v>0.4</v>
      </c>
      <c r="Q451" s="4">
        <f t="shared" si="351"/>
        <v>0.9867978615748374</v>
      </c>
      <c r="R451" s="4">
        <f t="shared" si="351"/>
        <v>0.98114509762858249</v>
      </c>
      <c r="S451" s="4">
        <f t="shared" si="351"/>
        <v>0.97311898315872036</v>
      </c>
      <c r="T451" s="4">
        <f t="shared" si="351"/>
        <v>0.96177484161592774</v>
      </c>
      <c r="U451" s="4">
        <f t="shared" si="351"/>
        <v>0.94584787155511363</v>
      </c>
      <c r="V451" s="4">
        <f t="shared" si="351"/>
        <v>0.92370360150141495</v>
      </c>
      <c r="W451" s="4">
        <f t="shared" si="351"/>
        <v>0.89334463567658451</v>
      </c>
      <c r="X451" s="4">
        <f t="shared" si="351"/>
        <v>0.85254543874327005</v>
      </c>
      <c r="Y451" s="4">
        <f t="shared" si="351"/>
        <v>0.79921300652623883</v>
      </c>
      <c r="Z451" s="4">
        <f t="shared" si="351"/>
        <v>0.73204982249993378</v>
      </c>
      <c r="AA451" s="4">
        <f t="shared" si="351"/>
        <v>0.65145592958786691</v>
      </c>
      <c r="AB451" s="4">
        <f t="shared" si="351"/>
        <v>0.56032247880849573</v>
      </c>
      <c r="AC451" s="4">
        <f t="shared" si="351"/>
        <v>0.46411326873185343</v>
      </c>
      <c r="AD451" s="4">
        <f t="shared" si="351"/>
        <v>0.36979727595523937</v>
      </c>
      <c r="AE451" s="4">
        <f t="shared" si="351"/>
        <v>0.28393948637231203</v>
      </c>
      <c r="AF451" s="4">
        <f t="shared" si="351"/>
        <v>0.21097259161117732</v>
      </c>
      <c r="AG451" s="4">
        <f t="shared" si="348"/>
        <v>0.15253917653798199</v>
      </c>
      <c r="AH451" s="4">
        <f t="shared" si="348"/>
        <v>0.10795188737709993</v>
      </c>
      <c r="AI451" s="4">
        <f t="shared" si="348"/>
        <v>7.5176653938091809E-2</v>
      </c>
      <c r="AJ451" s="4">
        <f t="shared" si="349"/>
        <v>5.1742836177502194E-2</v>
      </c>
      <c r="AK451" s="4">
        <f t="shared" si="349"/>
        <v>3.5319190625345942E-2</v>
      </c>
      <c r="AL451" s="4">
        <f t="shared" si="349"/>
        <v>2.3969442072658165E-2</v>
      </c>
      <c r="AM451" s="4">
        <f t="shared" si="349"/>
        <v>1.6202243558389728E-2</v>
      </c>
      <c r="AN451" s="4">
        <f t="shared" si="349"/>
        <v>1.0922240564108399E-2</v>
      </c>
      <c r="AO451" s="4">
        <f t="shared" si="349"/>
        <v>7.3493212906090566E-3</v>
      </c>
      <c r="AP451" s="4">
        <f t="shared" si="349"/>
        <v>4.9390262185057265E-3</v>
      </c>
      <c r="AQ451" s="4">
        <f t="shared" si="349"/>
        <v>3.3164275492956197E-3</v>
      </c>
      <c r="AR451" s="4">
        <f t="shared" si="349"/>
        <v>2.2256362146679809E-3</v>
      </c>
    </row>
    <row r="452" spans="1:44" x14ac:dyDescent="0.25">
      <c r="A452" s="24" t="s">
        <v>207</v>
      </c>
      <c r="B452" s="70">
        <f>'Parameter Input'!B141</f>
        <v>2800</v>
      </c>
      <c r="C452" s="71">
        <f>'Parameter Input'!C141</f>
        <v>2800</v>
      </c>
      <c r="D452" s="1" t="s">
        <v>49</v>
      </c>
      <c r="L452" s="54">
        <f>'Parameter Input'!E141</f>
        <v>12</v>
      </c>
      <c r="M452" s="37">
        <v>0</v>
      </c>
      <c r="N452" s="37">
        <v>1</v>
      </c>
      <c r="O452" s="37">
        <f>'Parameter Input'!F141</f>
        <v>0.9</v>
      </c>
      <c r="P452" s="55">
        <f>'Parameter Input'!G141</f>
        <v>0.4</v>
      </c>
      <c r="Q452" s="4">
        <f t="shared" si="351"/>
        <v>0.9867978615748374</v>
      </c>
      <c r="R452" s="4">
        <f t="shared" si="351"/>
        <v>0.98114509762858249</v>
      </c>
      <c r="S452" s="4">
        <f t="shared" si="351"/>
        <v>0.97311898315872036</v>
      </c>
      <c r="T452" s="4">
        <f t="shared" si="351"/>
        <v>0.96177484161592774</v>
      </c>
      <c r="U452" s="4">
        <f t="shared" si="351"/>
        <v>0.94584787155511363</v>
      </c>
      <c r="V452" s="4">
        <f t="shared" si="351"/>
        <v>0.92370360150141495</v>
      </c>
      <c r="W452" s="4">
        <f t="shared" si="351"/>
        <v>0.89334463567658451</v>
      </c>
      <c r="X452" s="4">
        <f t="shared" si="351"/>
        <v>0.85254543874327005</v>
      </c>
      <c r="Y452" s="4">
        <f t="shared" si="351"/>
        <v>0.79921300652623883</v>
      </c>
      <c r="Z452" s="4">
        <f t="shared" si="351"/>
        <v>0.73204982249993378</v>
      </c>
      <c r="AA452" s="4">
        <f t="shared" si="351"/>
        <v>0.65145592958786691</v>
      </c>
      <c r="AB452" s="4">
        <f t="shared" si="351"/>
        <v>0.56032247880849573</v>
      </c>
      <c r="AC452" s="4">
        <f t="shared" si="351"/>
        <v>0.46411326873185343</v>
      </c>
      <c r="AD452" s="4">
        <f t="shared" si="351"/>
        <v>0.36979727595523937</v>
      </c>
      <c r="AE452" s="4">
        <f t="shared" si="351"/>
        <v>0.28393948637231203</v>
      </c>
      <c r="AF452" s="4">
        <f t="shared" si="351"/>
        <v>0.21097259161117732</v>
      </c>
      <c r="AG452" s="4">
        <f t="shared" si="348"/>
        <v>0.15253917653798199</v>
      </c>
      <c r="AH452" s="4">
        <f t="shared" si="348"/>
        <v>0.10795188737709993</v>
      </c>
      <c r="AI452" s="4">
        <f t="shared" si="348"/>
        <v>7.5176653938091809E-2</v>
      </c>
      <c r="AJ452" s="4">
        <f t="shared" si="349"/>
        <v>5.1742836177502194E-2</v>
      </c>
      <c r="AK452" s="4">
        <f t="shared" si="349"/>
        <v>3.5319190625345942E-2</v>
      </c>
      <c r="AL452" s="4">
        <f t="shared" si="349"/>
        <v>2.3969442072658165E-2</v>
      </c>
      <c r="AM452" s="4">
        <f t="shared" si="349"/>
        <v>1.6202243558389728E-2</v>
      </c>
      <c r="AN452" s="4">
        <f t="shared" si="349"/>
        <v>1.0922240564108399E-2</v>
      </c>
      <c r="AO452" s="4">
        <f t="shared" si="349"/>
        <v>7.3493212906090566E-3</v>
      </c>
      <c r="AP452" s="4">
        <f t="shared" si="349"/>
        <v>4.9390262185057265E-3</v>
      </c>
      <c r="AQ452" s="4">
        <f t="shared" si="349"/>
        <v>3.3164275492956197E-3</v>
      </c>
      <c r="AR452" s="4">
        <f t="shared" si="349"/>
        <v>2.2256362146679809E-3</v>
      </c>
    </row>
    <row r="453" spans="1:44" x14ac:dyDescent="0.25">
      <c r="A453" s="24" t="s">
        <v>56</v>
      </c>
      <c r="B453" s="72">
        <f>'Parameter Input'!B142</f>
        <v>0.42666666666666669</v>
      </c>
      <c r="C453" s="73">
        <f>'Parameter Input'!C142</f>
        <v>0.42666666666666669</v>
      </c>
      <c r="D453" s="1" t="s">
        <v>57</v>
      </c>
      <c r="L453" s="54">
        <f>'Parameter Input'!E142</f>
        <v>12</v>
      </c>
      <c r="M453" s="37">
        <v>0</v>
      </c>
      <c r="N453" s="37">
        <v>1</v>
      </c>
      <c r="O453" s="37">
        <f>'Parameter Input'!F142</f>
        <v>0.9</v>
      </c>
      <c r="P453" s="55">
        <f>'Parameter Input'!G142</f>
        <v>0.4</v>
      </c>
      <c r="Q453" s="4">
        <f t="shared" si="351"/>
        <v>0.9867978615748374</v>
      </c>
      <c r="R453" s="4">
        <f t="shared" si="351"/>
        <v>0.98114509762858249</v>
      </c>
      <c r="S453" s="4">
        <f t="shared" si="351"/>
        <v>0.97311898315872036</v>
      </c>
      <c r="T453" s="4">
        <f t="shared" si="351"/>
        <v>0.96177484161592774</v>
      </c>
      <c r="U453" s="4">
        <f t="shared" si="351"/>
        <v>0.94584787155511363</v>
      </c>
      <c r="V453" s="4">
        <f t="shared" si="351"/>
        <v>0.92370360150141495</v>
      </c>
      <c r="W453" s="4">
        <f t="shared" si="351"/>
        <v>0.89334463567658451</v>
      </c>
      <c r="X453" s="4">
        <f t="shared" si="351"/>
        <v>0.85254543874327005</v>
      </c>
      <c r="Y453" s="4">
        <f t="shared" si="351"/>
        <v>0.79921300652623883</v>
      </c>
      <c r="Z453" s="4">
        <f t="shared" si="351"/>
        <v>0.73204982249993378</v>
      </c>
      <c r="AA453" s="4">
        <f t="shared" si="351"/>
        <v>0.65145592958786691</v>
      </c>
      <c r="AB453" s="4">
        <f t="shared" si="351"/>
        <v>0.56032247880849573</v>
      </c>
      <c r="AC453" s="4">
        <f t="shared" si="351"/>
        <v>0.46411326873185343</v>
      </c>
      <c r="AD453" s="4">
        <f t="shared" si="351"/>
        <v>0.36979727595523937</v>
      </c>
      <c r="AE453" s="4">
        <f t="shared" si="351"/>
        <v>0.28393948637231203</v>
      </c>
      <c r="AF453" s="4">
        <f t="shared" si="351"/>
        <v>0.21097259161117732</v>
      </c>
      <c r="AG453" s="4">
        <f t="shared" si="348"/>
        <v>0.15253917653798199</v>
      </c>
      <c r="AH453" s="4">
        <f t="shared" si="348"/>
        <v>0.10795188737709993</v>
      </c>
      <c r="AI453" s="4">
        <f t="shared" si="348"/>
        <v>7.5176653938091809E-2</v>
      </c>
      <c r="AJ453" s="4">
        <f t="shared" si="349"/>
        <v>5.1742836177502194E-2</v>
      </c>
      <c r="AK453" s="4">
        <f t="shared" si="349"/>
        <v>3.5319190625345942E-2</v>
      </c>
      <c r="AL453" s="4">
        <f t="shared" si="349"/>
        <v>2.3969442072658165E-2</v>
      </c>
      <c r="AM453" s="4">
        <f t="shared" si="349"/>
        <v>1.6202243558389728E-2</v>
      </c>
      <c r="AN453" s="4">
        <f t="shared" si="349"/>
        <v>1.0922240564108399E-2</v>
      </c>
      <c r="AO453" s="4">
        <f t="shared" si="349"/>
        <v>7.3493212906090566E-3</v>
      </c>
      <c r="AP453" s="4">
        <f t="shared" si="349"/>
        <v>4.9390262185057265E-3</v>
      </c>
      <c r="AQ453" s="4">
        <f t="shared" si="349"/>
        <v>3.3164275492956197E-3</v>
      </c>
      <c r="AR453" s="4">
        <f t="shared" si="349"/>
        <v>2.2256362146679809E-3</v>
      </c>
    </row>
    <row r="454" spans="1:44" x14ac:dyDescent="0.25">
      <c r="A454" s="24" t="s">
        <v>73</v>
      </c>
      <c r="B454" s="72">
        <f>'Parameter Input'!$L$133</f>
        <v>1.7857142857142856E-2</v>
      </c>
      <c r="C454" s="73">
        <f>'Parameter Input'!$M$133</f>
        <v>1.7857142857142856E-2</v>
      </c>
      <c r="D454" s="1" t="s">
        <v>57</v>
      </c>
      <c r="L454" s="54">
        <f>'Parameter Input'!$O$133</f>
        <v>12</v>
      </c>
      <c r="M454" s="37">
        <v>0</v>
      </c>
      <c r="N454" s="37">
        <v>1</v>
      </c>
      <c r="O454" s="37">
        <f>'Parameter Input'!$P$133</f>
        <v>0.9</v>
      </c>
      <c r="P454" s="55">
        <f>'Parameter Input'!$Q$133</f>
        <v>0.4</v>
      </c>
      <c r="Q454" s="4">
        <f t="shared" si="351"/>
        <v>0.9867978615748374</v>
      </c>
      <c r="R454" s="4">
        <f t="shared" si="351"/>
        <v>0.98114509762858249</v>
      </c>
      <c r="S454" s="4">
        <f t="shared" si="351"/>
        <v>0.97311898315872036</v>
      </c>
      <c r="T454" s="4">
        <f t="shared" si="351"/>
        <v>0.96177484161592774</v>
      </c>
      <c r="U454" s="4">
        <f t="shared" si="351"/>
        <v>0.94584787155511363</v>
      </c>
      <c r="V454" s="4">
        <f t="shared" si="351"/>
        <v>0.92370360150141495</v>
      </c>
      <c r="W454" s="4">
        <f t="shared" si="351"/>
        <v>0.89334463567658451</v>
      </c>
      <c r="X454" s="4">
        <f t="shared" si="351"/>
        <v>0.85254543874327005</v>
      </c>
      <c r="Y454" s="4">
        <f t="shared" si="351"/>
        <v>0.79921300652623883</v>
      </c>
      <c r="Z454" s="4">
        <f t="shared" si="351"/>
        <v>0.73204982249993378</v>
      </c>
      <c r="AA454" s="4">
        <f t="shared" si="351"/>
        <v>0.65145592958786691</v>
      </c>
      <c r="AB454" s="4">
        <f t="shared" si="351"/>
        <v>0.56032247880849573</v>
      </c>
      <c r="AC454" s="4">
        <f t="shared" si="351"/>
        <v>0.46411326873185343</v>
      </c>
      <c r="AD454" s="4">
        <f t="shared" si="351"/>
        <v>0.36979727595523937</v>
      </c>
      <c r="AE454" s="4">
        <f t="shared" si="351"/>
        <v>0.28393948637231203</v>
      </c>
      <c r="AF454" s="4">
        <f t="shared" si="351"/>
        <v>0.21097259161117732</v>
      </c>
      <c r="AG454" s="4">
        <f t="shared" si="348"/>
        <v>0.15253917653798199</v>
      </c>
      <c r="AH454" s="4">
        <f t="shared" si="348"/>
        <v>0.10795188737709993</v>
      </c>
      <c r="AI454" s="4">
        <f t="shared" si="348"/>
        <v>7.5176653938091809E-2</v>
      </c>
      <c r="AJ454" s="4">
        <f t="shared" si="349"/>
        <v>5.1742836177502194E-2</v>
      </c>
      <c r="AK454" s="4">
        <f t="shared" si="349"/>
        <v>3.5319190625345942E-2</v>
      </c>
      <c r="AL454" s="4">
        <f t="shared" si="349"/>
        <v>2.3969442072658165E-2</v>
      </c>
      <c r="AM454" s="4">
        <f t="shared" si="349"/>
        <v>1.6202243558389728E-2</v>
      </c>
      <c r="AN454" s="4">
        <f t="shared" si="349"/>
        <v>1.0922240564108399E-2</v>
      </c>
      <c r="AO454" s="4">
        <f t="shared" si="349"/>
        <v>7.3493212906090566E-3</v>
      </c>
      <c r="AP454" s="4">
        <f t="shared" si="349"/>
        <v>4.9390262185057265E-3</v>
      </c>
      <c r="AQ454" s="4">
        <f t="shared" si="349"/>
        <v>3.3164275492956197E-3</v>
      </c>
      <c r="AR454" s="4">
        <f t="shared" si="349"/>
        <v>2.2256362146679809E-3</v>
      </c>
    </row>
    <row r="455" spans="1:44" ht="15.75" thickBot="1" x14ac:dyDescent="0.3">
      <c r="A455" s="24" t="s">
        <v>64</v>
      </c>
      <c r="B455" s="74">
        <f>'Parameter Input'!B143</f>
        <v>178500</v>
      </c>
      <c r="C455" s="75">
        <f>'Parameter Input'!C143</f>
        <v>178500</v>
      </c>
      <c r="D455" s="1" t="s">
        <v>65</v>
      </c>
      <c r="L455" s="56">
        <f>'Parameter Input'!E143</f>
        <v>12</v>
      </c>
      <c r="M455" s="57">
        <v>0</v>
      </c>
      <c r="N455" s="57">
        <v>1</v>
      </c>
      <c r="O455" s="57">
        <f>'Parameter Input'!F143</f>
        <v>0.9</v>
      </c>
      <c r="P455" s="58">
        <f>'Parameter Input'!G143</f>
        <v>0.4</v>
      </c>
      <c r="Q455" s="4">
        <f t="shared" si="351"/>
        <v>0.9867978615748374</v>
      </c>
      <c r="R455" s="4">
        <f t="shared" si="351"/>
        <v>0.98114509762858249</v>
      </c>
      <c r="S455" s="4">
        <f t="shared" si="351"/>
        <v>0.97311898315872036</v>
      </c>
      <c r="T455" s="4">
        <f t="shared" si="351"/>
        <v>0.96177484161592774</v>
      </c>
      <c r="U455" s="4">
        <f t="shared" si="351"/>
        <v>0.94584787155511363</v>
      </c>
      <c r="V455" s="4">
        <f t="shared" si="351"/>
        <v>0.92370360150141495</v>
      </c>
      <c r="W455" s="4">
        <f t="shared" si="351"/>
        <v>0.89334463567658451</v>
      </c>
      <c r="X455" s="4">
        <f t="shared" si="351"/>
        <v>0.85254543874327005</v>
      </c>
      <c r="Y455" s="4">
        <f t="shared" si="351"/>
        <v>0.79921300652623883</v>
      </c>
      <c r="Z455" s="4">
        <f t="shared" si="351"/>
        <v>0.73204982249993378</v>
      </c>
      <c r="AA455" s="4">
        <f t="shared" si="351"/>
        <v>0.65145592958786691</v>
      </c>
      <c r="AB455" s="4">
        <f t="shared" si="351"/>
        <v>0.56032247880849573</v>
      </c>
      <c r="AC455" s="4">
        <f t="shared" si="351"/>
        <v>0.46411326873185343</v>
      </c>
      <c r="AD455" s="4">
        <f t="shared" si="351"/>
        <v>0.36979727595523937</v>
      </c>
      <c r="AE455" s="4">
        <f t="shared" si="351"/>
        <v>0.28393948637231203</v>
      </c>
      <c r="AF455" s="4">
        <f t="shared" si="351"/>
        <v>0.21097259161117732</v>
      </c>
      <c r="AG455" s="4">
        <f t="shared" si="348"/>
        <v>0.15253917653798199</v>
      </c>
      <c r="AH455" s="4">
        <f t="shared" si="348"/>
        <v>0.10795188737709993</v>
      </c>
      <c r="AI455" s="4">
        <f t="shared" si="348"/>
        <v>7.5176653938091809E-2</v>
      </c>
      <c r="AJ455" s="4">
        <f t="shared" si="349"/>
        <v>5.1742836177502194E-2</v>
      </c>
      <c r="AK455" s="4">
        <f t="shared" si="349"/>
        <v>3.5319190625345942E-2</v>
      </c>
      <c r="AL455" s="4">
        <f t="shared" si="349"/>
        <v>2.3969442072658165E-2</v>
      </c>
      <c r="AM455" s="4">
        <f t="shared" si="349"/>
        <v>1.6202243558389728E-2</v>
      </c>
      <c r="AN455" s="4">
        <f t="shared" si="349"/>
        <v>1.0922240564108399E-2</v>
      </c>
      <c r="AO455" s="4">
        <f t="shared" si="349"/>
        <v>7.3493212906090566E-3</v>
      </c>
      <c r="AP455" s="4">
        <f t="shared" si="349"/>
        <v>4.9390262185057265E-3</v>
      </c>
      <c r="AQ455" s="4">
        <f t="shared" si="349"/>
        <v>3.3164275492956197E-3</v>
      </c>
      <c r="AR455" s="4">
        <f t="shared" si="349"/>
        <v>2.2256362146679809E-3</v>
      </c>
    </row>
    <row r="456" spans="1:44" x14ac:dyDescent="0.25">
      <c r="A456" s="25"/>
      <c r="B456" s="40"/>
    </row>
    <row r="457" spans="1:44" ht="15.75" thickBot="1" x14ac:dyDescent="0.3"/>
    <row r="458" spans="1:44" ht="15.75" thickBot="1" x14ac:dyDescent="0.3">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68" si="352">A439</f>
        <v>Capex vehicle</v>
      </c>
      <c r="B459" s="62">
        <f t="shared" ref="B459:B468" si="353">$B439+($C439-$B439)*(1-Q439)</f>
        <v>9920787.1694490239</v>
      </c>
      <c r="C459" s="62">
        <f t="shared" ref="C459:C468" si="354">$B439+($C439-$B439)*(1-R439)</f>
        <v>9886870.5857714955</v>
      </c>
      <c r="D459" s="62">
        <f t="shared" ref="D459:D468" si="355">$B439+($C439-$B439)*(1-S439)</f>
        <v>9838713.8989523221</v>
      </c>
      <c r="E459" s="62">
        <f t="shared" ref="E459:E468" si="356">$B439+($C439-$B439)*(1-T439)</f>
        <v>9770649.0496955663</v>
      </c>
      <c r="F459" s="62">
        <f t="shared" ref="F459:F468" si="357">$B439+($C439-$B439)*(1-U439)</f>
        <v>9675087.2293306813</v>
      </c>
      <c r="G459" s="62">
        <f t="shared" ref="G459:G468" si="358">$B439+($C439-$B439)*(1-V439)</f>
        <v>9542221.6090084892</v>
      </c>
      <c r="H459" s="62">
        <f t="shared" ref="H459:H468" si="359">$B439+($C439-$B439)*(1-W439)</f>
        <v>9360067.8140595071</v>
      </c>
      <c r="I459" s="62">
        <f t="shared" ref="I459:I468" si="360">$B439+($C439-$B439)*(1-X439)</f>
        <v>9115272.63245962</v>
      </c>
      <c r="J459" s="62">
        <f t="shared" ref="J459:J468" si="361">$B439+($C439-$B439)*(1-Y439)</f>
        <v>8795278.0391574334</v>
      </c>
      <c r="K459" s="62">
        <f t="shared" ref="K459:K468" si="362">$B439+($C439-$B439)*(1-Z439)</f>
        <v>8392298.9349996019</v>
      </c>
      <c r="L459" s="62">
        <f t="shared" ref="L459:L468" si="363">$B439+($C439-$B439)*(1-AA439)</f>
        <v>7908735.5775272017</v>
      </c>
      <c r="M459" s="62">
        <f t="shared" ref="M459:M468" si="364">$B439+($C439-$B439)*(1-AB439)</f>
        <v>7361934.872850975</v>
      </c>
      <c r="N459" s="62">
        <f t="shared" ref="N459:N468" si="365">$B439+($C439-$B439)*(1-AC439)</f>
        <v>6784679.6123911208</v>
      </c>
      <c r="O459" s="62">
        <f t="shared" ref="O459:O468" si="366">$B439+($C439-$B439)*(1-AD439)</f>
        <v>6218783.6557314359</v>
      </c>
      <c r="P459" s="62">
        <f t="shared" ref="P459:P468" si="367">$B439+($C439-$B439)*(1-AE439)</f>
        <v>5703636.9182338724</v>
      </c>
      <c r="Q459" s="62">
        <f t="shared" ref="Q459:Q468" si="368">$B439+($C439-$B439)*(1-AF439)</f>
        <v>5265835.5496670641</v>
      </c>
      <c r="R459" s="62">
        <f t="shared" ref="R459:R468" si="369">$B439+($C439-$B439)*(1-AG439)</f>
        <v>4915235.0592278922</v>
      </c>
      <c r="S459" s="62">
        <f t="shared" ref="S459:S468" si="370">$B439+($C439-$B439)*(1-AH439)</f>
        <v>4647711.3242625995</v>
      </c>
      <c r="T459" s="62">
        <f t="shared" ref="T459:T468" si="371">$B439+($C439-$B439)*(1-AI439)</f>
        <v>4451059.923628551</v>
      </c>
      <c r="U459" s="62">
        <f t="shared" ref="U459:U468" si="372">$B439+($C439-$B439)*(1-AJ439)</f>
        <v>4310457.0170650128</v>
      </c>
      <c r="V459" s="62">
        <f t="shared" ref="V459:V468" si="373">$B439+($C439-$B439)*(1-AK439)</f>
        <v>4211915.1437520757</v>
      </c>
      <c r="W459" s="62">
        <f t="shared" ref="W459:W468" si="374">$B439+($C439-$B439)*(1-AL439)</f>
        <v>4143816.6524359491</v>
      </c>
      <c r="X459" s="62">
        <f t="shared" ref="X459:X468" si="375">$B439+($C439-$B439)*(1-AM439)</f>
        <v>4097213.4613503385</v>
      </c>
      <c r="Y459" s="62">
        <f t="shared" ref="Y459:Y468" si="376">$B439+($C439-$B439)*(1-AN439)</f>
        <v>4065533.4433846502</v>
      </c>
      <c r="Z459" s="62">
        <f t="shared" ref="Z459:Z468" si="377">$B439+($C439-$B439)*(1-AO439)</f>
        <v>4044095.9277436547</v>
      </c>
      <c r="AA459" s="62">
        <f t="shared" ref="AA459:AA468" si="378">$B439+($C439-$B439)*(1-AP439)</f>
        <v>4029634.1573110344</v>
      </c>
      <c r="AB459" s="62">
        <f t="shared" ref="AB459:AB468" si="379">$B439+($C439-$B439)*(1-AQ439)</f>
        <v>4019898.5652957736</v>
      </c>
      <c r="AC459" s="62">
        <f t="shared" ref="AC459:AC468" si="380">$B439+($C439-$B439)*(1-AR439)</f>
        <v>4013353.8172880076</v>
      </c>
    </row>
    <row r="460" spans="1:44" x14ac:dyDescent="0.25">
      <c r="A460" s="30" t="str">
        <f t="shared" si="352"/>
        <v>Residual value (vehicle)</v>
      </c>
      <c r="B460" s="62">
        <f t="shared" si="353"/>
        <v>-501320.21384251624</v>
      </c>
      <c r="C460" s="62">
        <f t="shared" si="354"/>
        <v>-501885.49023714173</v>
      </c>
      <c r="D460" s="62">
        <f t="shared" si="355"/>
        <v>-502688.10168412799</v>
      </c>
      <c r="E460" s="62">
        <f t="shared" si="356"/>
        <v>-503822.51583840721</v>
      </c>
      <c r="F460" s="62">
        <f t="shared" si="357"/>
        <v>-505415.21284448862</v>
      </c>
      <c r="G460" s="62">
        <f t="shared" si="358"/>
        <v>-507629.63984985853</v>
      </c>
      <c r="H460" s="62">
        <f t="shared" si="359"/>
        <v>-510665.53643234156</v>
      </c>
      <c r="I460" s="62">
        <f t="shared" si="360"/>
        <v>-514745.45612567302</v>
      </c>
      <c r="J460" s="62">
        <f t="shared" si="361"/>
        <v>-520078.69934737612</v>
      </c>
      <c r="K460" s="62">
        <f t="shared" si="362"/>
        <v>-526795.01775000663</v>
      </c>
      <c r="L460" s="62">
        <f t="shared" si="363"/>
        <v>-534854.40704121336</v>
      </c>
      <c r="M460" s="62">
        <f t="shared" si="364"/>
        <v>-543967.75211915048</v>
      </c>
      <c r="N460" s="62">
        <f t="shared" si="365"/>
        <v>-553588.67312681465</v>
      </c>
      <c r="O460" s="62">
        <f t="shared" si="366"/>
        <v>-563020.27240447607</v>
      </c>
      <c r="P460" s="62">
        <f t="shared" si="367"/>
        <v>-571606.05136276875</v>
      </c>
      <c r="Q460" s="62">
        <f t="shared" si="368"/>
        <v>-578902.74083888228</v>
      </c>
      <c r="R460" s="62">
        <f t="shared" si="369"/>
        <v>-584746.08234620176</v>
      </c>
      <c r="S460" s="62">
        <f t="shared" si="370"/>
        <v>-589204.81126228999</v>
      </c>
      <c r="T460" s="62">
        <f t="shared" si="371"/>
        <v>-592482.33460619079</v>
      </c>
      <c r="U460" s="62">
        <f t="shared" si="372"/>
        <v>-594825.71638224972</v>
      </c>
      <c r="V460" s="62">
        <f t="shared" si="373"/>
        <v>-596468.08093746542</v>
      </c>
      <c r="W460" s="62">
        <f t="shared" si="374"/>
        <v>-597603.05579273414</v>
      </c>
      <c r="X460" s="62">
        <f t="shared" si="375"/>
        <v>-598379.77564416104</v>
      </c>
      <c r="Y460" s="62">
        <f t="shared" si="376"/>
        <v>-598907.77594358916</v>
      </c>
      <c r="Z460" s="62">
        <f t="shared" si="377"/>
        <v>-599265.06787093915</v>
      </c>
      <c r="AA460" s="62">
        <f t="shared" si="378"/>
        <v>-599506.0973781494</v>
      </c>
      <c r="AB460" s="62">
        <f t="shared" si="379"/>
        <v>-599668.35724507039</v>
      </c>
      <c r="AC460" s="62">
        <f t="shared" si="380"/>
        <v>-599777.43637853325</v>
      </c>
    </row>
    <row r="461" spans="1:44" x14ac:dyDescent="0.25">
      <c r="A461" s="30" t="str">
        <f t="shared" si="352"/>
        <v>Capex costumization</v>
      </c>
      <c r="B461" s="62">
        <f t="shared" si="353"/>
        <v>3500000</v>
      </c>
      <c r="C461" s="62">
        <f t="shared" si="354"/>
        <v>3500000</v>
      </c>
      <c r="D461" s="62">
        <f t="shared" si="355"/>
        <v>3500000</v>
      </c>
      <c r="E461" s="62">
        <f t="shared" si="356"/>
        <v>3500000</v>
      </c>
      <c r="F461" s="62">
        <f t="shared" si="357"/>
        <v>3500000</v>
      </c>
      <c r="G461" s="62">
        <f t="shared" si="358"/>
        <v>3500000</v>
      </c>
      <c r="H461" s="62">
        <f t="shared" si="359"/>
        <v>3500000</v>
      </c>
      <c r="I461" s="62">
        <f t="shared" si="360"/>
        <v>3500000</v>
      </c>
      <c r="J461" s="62">
        <f t="shared" si="361"/>
        <v>3500000</v>
      </c>
      <c r="K461" s="62">
        <f t="shared" si="362"/>
        <v>3500000</v>
      </c>
      <c r="L461" s="62">
        <f t="shared" si="363"/>
        <v>3500000</v>
      </c>
      <c r="M461" s="62">
        <f t="shared" si="364"/>
        <v>3500000</v>
      </c>
      <c r="N461" s="62">
        <f t="shared" si="365"/>
        <v>3500000</v>
      </c>
      <c r="O461" s="62">
        <f t="shared" si="366"/>
        <v>3500000</v>
      </c>
      <c r="P461" s="62">
        <f t="shared" si="367"/>
        <v>3500000</v>
      </c>
      <c r="Q461" s="62">
        <f t="shared" si="368"/>
        <v>3500000</v>
      </c>
      <c r="R461" s="62">
        <f t="shared" si="369"/>
        <v>3500000</v>
      </c>
      <c r="S461" s="62">
        <f t="shared" si="370"/>
        <v>3500000</v>
      </c>
      <c r="T461" s="62">
        <f t="shared" si="371"/>
        <v>3500000</v>
      </c>
      <c r="U461" s="62">
        <f t="shared" si="372"/>
        <v>3500000</v>
      </c>
      <c r="V461" s="62">
        <f t="shared" si="373"/>
        <v>3500000</v>
      </c>
      <c r="W461" s="62">
        <f t="shared" si="374"/>
        <v>3500000</v>
      </c>
      <c r="X461" s="62">
        <f t="shared" si="375"/>
        <v>3500000</v>
      </c>
      <c r="Y461" s="62">
        <f t="shared" si="376"/>
        <v>3500000</v>
      </c>
      <c r="Z461" s="62">
        <f t="shared" si="377"/>
        <v>3500000</v>
      </c>
      <c r="AA461" s="62">
        <f t="shared" si="378"/>
        <v>3500000</v>
      </c>
      <c r="AB461" s="62">
        <f t="shared" si="379"/>
        <v>3500000</v>
      </c>
      <c r="AC461" s="62">
        <f t="shared" si="380"/>
        <v>3500000</v>
      </c>
    </row>
    <row r="462" spans="1:44" x14ac:dyDescent="0.25">
      <c r="A462" s="30" t="str">
        <f t="shared" si="352"/>
        <v>Residual value (costumization)</v>
      </c>
      <c r="B462" s="62">
        <f t="shared" si="353"/>
        <v>-175000</v>
      </c>
      <c r="C462" s="62">
        <f t="shared" si="354"/>
        <v>-175000</v>
      </c>
      <c r="D462" s="62">
        <f t="shared" si="355"/>
        <v>-175000</v>
      </c>
      <c r="E462" s="62">
        <f t="shared" si="356"/>
        <v>-175000</v>
      </c>
      <c r="F462" s="62">
        <f t="shared" si="357"/>
        <v>-175000</v>
      </c>
      <c r="G462" s="62">
        <f t="shared" si="358"/>
        <v>-175000</v>
      </c>
      <c r="H462" s="62">
        <f t="shared" si="359"/>
        <v>-175000</v>
      </c>
      <c r="I462" s="62">
        <f t="shared" si="360"/>
        <v>-175000</v>
      </c>
      <c r="J462" s="62">
        <f t="shared" si="361"/>
        <v>-175000</v>
      </c>
      <c r="K462" s="62">
        <f t="shared" si="362"/>
        <v>-175000</v>
      </c>
      <c r="L462" s="62">
        <f t="shared" si="363"/>
        <v>-175000</v>
      </c>
      <c r="M462" s="62">
        <f t="shared" si="364"/>
        <v>-175000</v>
      </c>
      <c r="N462" s="62">
        <f t="shared" si="365"/>
        <v>-175000</v>
      </c>
      <c r="O462" s="62">
        <f t="shared" si="366"/>
        <v>-175000</v>
      </c>
      <c r="P462" s="62">
        <f t="shared" si="367"/>
        <v>-175000</v>
      </c>
      <c r="Q462" s="62">
        <f t="shared" si="368"/>
        <v>-175000</v>
      </c>
      <c r="R462" s="62">
        <f t="shared" si="369"/>
        <v>-175000</v>
      </c>
      <c r="S462" s="62">
        <f t="shared" si="370"/>
        <v>-175000</v>
      </c>
      <c r="T462" s="62">
        <f t="shared" si="371"/>
        <v>-175000</v>
      </c>
      <c r="U462" s="62">
        <f t="shared" si="372"/>
        <v>-175000</v>
      </c>
      <c r="V462" s="62">
        <f t="shared" si="373"/>
        <v>-175000</v>
      </c>
      <c r="W462" s="62">
        <f t="shared" si="374"/>
        <v>-175000</v>
      </c>
      <c r="X462" s="62">
        <f t="shared" si="375"/>
        <v>-175000</v>
      </c>
      <c r="Y462" s="62">
        <f t="shared" si="376"/>
        <v>-175000</v>
      </c>
      <c r="Z462" s="62">
        <f t="shared" si="377"/>
        <v>-175000</v>
      </c>
      <c r="AA462" s="62">
        <f t="shared" si="378"/>
        <v>-175000</v>
      </c>
      <c r="AB462" s="62">
        <f t="shared" si="379"/>
        <v>-175000</v>
      </c>
      <c r="AC462" s="62">
        <f t="shared" si="380"/>
        <v>-175000</v>
      </c>
    </row>
    <row r="463" spans="1:44" x14ac:dyDescent="0.25">
      <c r="A463" s="30" t="str">
        <f t="shared" si="352"/>
        <v>WACC</v>
      </c>
      <c r="B463" s="62">
        <f t="shared" si="353"/>
        <v>0.06</v>
      </c>
      <c r="C463" s="62">
        <f t="shared" si="354"/>
        <v>0.06</v>
      </c>
      <c r="D463" s="62">
        <f t="shared" si="355"/>
        <v>0.06</v>
      </c>
      <c r="E463" s="62">
        <f t="shared" si="356"/>
        <v>0.06</v>
      </c>
      <c r="F463" s="62">
        <f t="shared" si="357"/>
        <v>0.06</v>
      </c>
      <c r="G463" s="62">
        <f t="shared" si="358"/>
        <v>0.06</v>
      </c>
      <c r="H463" s="62">
        <f t="shared" si="359"/>
        <v>0.06</v>
      </c>
      <c r="I463" s="62">
        <f t="shared" si="360"/>
        <v>0.06</v>
      </c>
      <c r="J463" s="62">
        <f t="shared" si="361"/>
        <v>0.06</v>
      </c>
      <c r="K463" s="62">
        <f t="shared" si="362"/>
        <v>0.06</v>
      </c>
      <c r="L463" s="62">
        <f t="shared" si="363"/>
        <v>0.06</v>
      </c>
      <c r="M463" s="62">
        <f t="shared" si="364"/>
        <v>0.06</v>
      </c>
      <c r="N463" s="62">
        <f t="shared" si="365"/>
        <v>0.06</v>
      </c>
      <c r="O463" s="62">
        <f t="shared" si="366"/>
        <v>0.06</v>
      </c>
      <c r="P463" s="62">
        <f t="shared" si="367"/>
        <v>0.06</v>
      </c>
      <c r="Q463" s="62">
        <f t="shared" si="368"/>
        <v>0.06</v>
      </c>
      <c r="R463" s="62">
        <f t="shared" si="369"/>
        <v>0.06</v>
      </c>
      <c r="S463" s="62">
        <f t="shared" si="370"/>
        <v>0.06</v>
      </c>
      <c r="T463" s="62">
        <f t="shared" si="371"/>
        <v>0.06</v>
      </c>
      <c r="U463" s="62">
        <f t="shared" si="372"/>
        <v>0.06</v>
      </c>
      <c r="V463" s="62">
        <f t="shared" si="373"/>
        <v>0.06</v>
      </c>
      <c r="W463" s="62">
        <f t="shared" si="374"/>
        <v>0.06</v>
      </c>
      <c r="X463" s="62">
        <f t="shared" si="375"/>
        <v>0.06</v>
      </c>
      <c r="Y463" s="62">
        <f t="shared" si="376"/>
        <v>0.06</v>
      </c>
      <c r="Z463" s="62">
        <f t="shared" si="377"/>
        <v>0.06</v>
      </c>
      <c r="AA463" s="62">
        <f t="shared" si="378"/>
        <v>0.06</v>
      </c>
      <c r="AB463" s="62">
        <f t="shared" si="379"/>
        <v>0.06</v>
      </c>
      <c r="AC463" s="62">
        <f t="shared" si="380"/>
        <v>0.06</v>
      </c>
    </row>
    <row r="464" spans="1:44" x14ac:dyDescent="0.25">
      <c r="A464" s="30" t="str">
        <f t="shared" si="352"/>
        <v>Opex fix (admin, crew, insurance)</v>
      </c>
      <c r="B464" s="62">
        <f t="shared" si="353"/>
        <v>650000</v>
      </c>
      <c r="C464" s="62">
        <f t="shared" si="354"/>
        <v>650000</v>
      </c>
      <c r="D464" s="62">
        <f t="shared" si="355"/>
        <v>650000</v>
      </c>
      <c r="E464" s="62">
        <f t="shared" si="356"/>
        <v>650000</v>
      </c>
      <c r="F464" s="62">
        <f t="shared" si="357"/>
        <v>650000</v>
      </c>
      <c r="G464" s="62">
        <f t="shared" si="358"/>
        <v>650000</v>
      </c>
      <c r="H464" s="62">
        <f t="shared" si="359"/>
        <v>650000</v>
      </c>
      <c r="I464" s="62">
        <f t="shared" si="360"/>
        <v>650000</v>
      </c>
      <c r="J464" s="62">
        <f t="shared" si="361"/>
        <v>650000</v>
      </c>
      <c r="K464" s="62">
        <f t="shared" si="362"/>
        <v>650000</v>
      </c>
      <c r="L464" s="62">
        <f t="shared" si="363"/>
        <v>650000</v>
      </c>
      <c r="M464" s="62">
        <f t="shared" si="364"/>
        <v>650000</v>
      </c>
      <c r="N464" s="62">
        <f t="shared" si="365"/>
        <v>650000</v>
      </c>
      <c r="O464" s="62">
        <f t="shared" si="366"/>
        <v>650000</v>
      </c>
      <c r="P464" s="62">
        <f t="shared" si="367"/>
        <v>650000</v>
      </c>
      <c r="Q464" s="62">
        <f t="shared" si="368"/>
        <v>650000</v>
      </c>
      <c r="R464" s="62">
        <f t="shared" si="369"/>
        <v>650000</v>
      </c>
      <c r="S464" s="62">
        <f t="shared" si="370"/>
        <v>650000</v>
      </c>
      <c r="T464" s="62">
        <f t="shared" si="371"/>
        <v>650000</v>
      </c>
      <c r="U464" s="62">
        <f t="shared" si="372"/>
        <v>650000</v>
      </c>
      <c r="V464" s="62">
        <f t="shared" si="373"/>
        <v>650000</v>
      </c>
      <c r="W464" s="62">
        <f t="shared" si="374"/>
        <v>650000</v>
      </c>
      <c r="X464" s="62">
        <f t="shared" si="375"/>
        <v>650000</v>
      </c>
      <c r="Y464" s="62">
        <f t="shared" si="376"/>
        <v>650000</v>
      </c>
      <c r="Z464" s="62">
        <f t="shared" si="377"/>
        <v>650000</v>
      </c>
      <c r="AA464" s="62">
        <f t="shared" si="378"/>
        <v>650000</v>
      </c>
      <c r="AB464" s="62">
        <f t="shared" si="379"/>
        <v>650000</v>
      </c>
      <c r="AC464" s="62">
        <f t="shared" si="380"/>
        <v>650000</v>
      </c>
    </row>
    <row r="465" spans="1:29" x14ac:dyDescent="0.25">
      <c r="A465" s="30" t="str">
        <f t="shared" si="352"/>
        <v>Opex maintenance &amp; repair</v>
      </c>
      <c r="B465" s="62">
        <f t="shared" si="353"/>
        <v>1388910.2037228637</v>
      </c>
      <c r="C465" s="62">
        <f t="shared" si="354"/>
        <v>1384161.8820080096</v>
      </c>
      <c r="D465" s="62">
        <f t="shared" si="355"/>
        <v>1377419.9458533253</v>
      </c>
      <c r="E465" s="62">
        <f t="shared" si="356"/>
        <v>1367890.8669573795</v>
      </c>
      <c r="F465" s="62">
        <f t="shared" si="357"/>
        <v>1354512.2121062956</v>
      </c>
      <c r="G465" s="62">
        <f t="shared" si="358"/>
        <v>1335911.0252611889</v>
      </c>
      <c r="H465" s="62">
        <f t="shared" si="359"/>
        <v>1310409.4939683313</v>
      </c>
      <c r="I465" s="62">
        <f t="shared" si="360"/>
        <v>1276138.1685443469</v>
      </c>
      <c r="J465" s="62">
        <f t="shared" si="361"/>
        <v>1231338.9254820407</v>
      </c>
      <c r="K465" s="62">
        <f t="shared" si="362"/>
        <v>1174921.8508999445</v>
      </c>
      <c r="L465" s="62">
        <f t="shared" si="363"/>
        <v>1107222.9808538083</v>
      </c>
      <c r="M465" s="62">
        <f t="shared" si="364"/>
        <v>1030670.8821991365</v>
      </c>
      <c r="N465" s="62">
        <f t="shared" si="365"/>
        <v>949855.14573475695</v>
      </c>
      <c r="O465" s="62">
        <f t="shared" si="366"/>
        <v>870629.71180240111</v>
      </c>
      <c r="P465" s="62">
        <f t="shared" si="367"/>
        <v>798509.16855274222</v>
      </c>
      <c r="Q465" s="62">
        <f t="shared" si="368"/>
        <v>737216.97695338901</v>
      </c>
      <c r="R465" s="62">
        <f t="shared" si="369"/>
        <v>688132.90829190495</v>
      </c>
      <c r="S465" s="62">
        <f t="shared" si="370"/>
        <v>650679.58539676399</v>
      </c>
      <c r="T465" s="62">
        <f t="shared" si="371"/>
        <v>623148.38930799719</v>
      </c>
      <c r="U465" s="62">
        <f t="shared" si="372"/>
        <v>603463.98238910188</v>
      </c>
      <c r="V465" s="62">
        <f t="shared" si="373"/>
        <v>589668.12012529059</v>
      </c>
      <c r="W465" s="62">
        <f t="shared" si="374"/>
        <v>580134.33134103287</v>
      </c>
      <c r="X465" s="62">
        <f t="shared" si="375"/>
        <v>573609.8845890474</v>
      </c>
      <c r="Y465" s="62">
        <f t="shared" si="376"/>
        <v>569174.682073851</v>
      </c>
      <c r="Z465" s="62">
        <f t="shared" si="377"/>
        <v>566173.42988411163</v>
      </c>
      <c r="AA465" s="62">
        <f t="shared" si="378"/>
        <v>564148.78202354477</v>
      </c>
      <c r="AB465" s="62">
        <f t="shared" si="379"/>
        <v>562785.79914140829</v>
      </c>
      <c r="AC465" s="62">
        <f t="shared" si="380"/>
        <v>561869.53442032111</v>
      </c>
    </row>
    <row r="466" spans="1:29" x14ac:dyDescent="0.25">
      <c r="A466" s="30" t="str">
        <f t="shared" si="352"/>
        <v>Opex var (mode-fees, shunting)</v>
      </c>
      <c r="B466" s="62">
        <f t="shared" si="353"/>
        <v>3.9215686274509802</v>
      </c>
      <c r="C466" s="62">
        <f t="shared" si="354"/>
        <v>3.9215686274509802</v>
      </c>
      <c r="D466" s="62">
        <f t="shared" si="355"/>
        <v>3.9215686274509802</v>
      </c>
      <c r="E466" s="62">
        <f t="shared" si="356"/>
        <v>3.9215686274509802</v>
      </c>
      <c r="F466" s="62">
        <f t="shared" si="357"/>
        <v>3.9215686274509802</v>
      </c>
      <c r="G466" s="62">
        <f t="shared" si="358"/>
        <v>3.9215686274509802</v>
      </c>
      <c r="H466" s="62">
        <f t="shared" si="359"/>
        <v>3.9215686274509802</v>
      </c>
      <c r="I466" s="62">
        <f t="shared" si="360"/>
        <v>3.9215686274509802</v>
      </c>
      <c r="J466" s="62">
        <f t="shared" si="361"/>
        <v>3.9215686274509802</v>
      </c>
      <c r="K466" s="62">
        <f t="shared" si="362"/>
        <v>3.9215686274509802</v>
      </c>
      <c r="L466" s="62">
        <f t="shared" si="363"/>
        <v>3.9215686274509802</v>
      </c>
      <c r="M466" s="62">
        <f t="shared" si="364"/>
        <v>3.9215686274509802</v>
      </c>
      <c r="N466" s="62">
        <f t="shared" si="365"/>
        <v>3.9215686274509802</v>
      </c>
      <c r="O466" s="62">
        <f t="shared" si="366"/>
        <v>3.9215686274509802</v>
      </c>
      <c r="P466" s="62">
        <f t="shared" si="367"/>
        <v>3.9215686274509802</v>
      </c>
      <c r="Q466" s="62">
        <f t="shared" si="368"/>
        <v>3.9215686274509802</v>
      </c>
      <c r="R466" s="62">
        <f t="shared" si="369"/>
        <v>3.9215686274509802</v>
      </c>
      <c r="S466" s="62">
        <f t="shared" si="370"/>
        <v>3.9215686274509802</v>
      </c>
      <c r="T466" s="62">
        <f t="shared" si="371"/>
        <v>3.9215686274509802</v>
      </c>
      <c r="U466" s="62">
        <f t="shared" si="372"/>
        <v>3.9215686274509802</v>
      </c>
      <c r="V466" s="62">
        <f t="shared" si="373"/>
        <v>3.9215686274509802</v>
      </c>
      <c r="W466" s="62">
        <f t="shared" si="374"/>
        <v>3.9215686274509802</v>
      </c>
      <c r="X466" s="62">
        <f t="shared" si="375"/>
        <v>3.9215686274509802</v>
      </c>
      <c r="Y466" s="62">
        <f t="shared" si="376"/>
        <v>3.9215686274509802</v>
      </c>
      <c r="Z466" s="62">
        <f t="shared" si="377"/>
        <v>3.9215686274509802</v>
      </c>
      <c r="AA466" s="62">
        <f t="shared" si="378"/>
        <v>3.9215686274509802</v>
      </c>
      <c r="AB466" s="62">
        <f t="shared" si="379"/>
        <v>3.9215686274509802</v>
      </c>
      <c r="AC466" s="62">
        <f t="shared" si="380"/>
        <v>3.9215686274509802</v>
      </c>
    </row>
    <row r="467" spans="1:29" x14ac:dyDescent="0.25">
      <c r="A467" s="30" t="str">
        <f t="shared" si="352"/>
        <v>Fuel Economy</v>
      </c>
      <c r="B467" s="62">
        <f t="shared" si="353"/>
        <v>48.759236370320799</v>
      </c>
      <c r="C467" s="62">
        <f t="shared" si="354"/>
        <v>48.716746306766673</v>
      </c>
      <c r="D467" s="62">
        <f t="shared" si="355"/>
        <v>48.65641650754641</v>
      </c>
      <c r="E467" s="62">
        <f t="shared" si="356"/>
        <v>48.571146133672123</v>
      </c>
      <c r="F467" s="62">
        <f t="shared" si="357"/>
        <v>48.451428067157607</v>
      </c>
      <c r="G467" s="62">
        <f t="shared" si="358"/>
        <v>48.28497649569853</v>
      </c>
      <c r="H467" s="62">
        <f t="shared" si="359"/>
        <v>48.056777618193806</v>
      </c>
      <c r="I467" s="62">
        <f t="shared" si="360"/>
        <v>47.750102779630581</v>
      </c>
      <c r="J467" s="62">
        <f t="shared" si="361"/>
        <v>47.349219520406741</v>
      </c>
      <c r="K467" s="62">
        <f t="shared" si="362"/>
        <v>46.844374813479661</v>
      </c>
      <c r="L467" s="62">
        <f t="shared" si="363"/>
        <v>46.238575656736749</v>
      </c>
      <c r="M467" s="62">
        <f t="shared" si="364"/>
        <v>45.553553930668109</v>
      </c>
      <c r="N467" s="62">
        <f t="shared" si="365"/>
        <v>44.830379305030867</v>
      </c>
      <c r="O467" s="62">
        <f t="shared" si="366"/>
        <v>44.121435403365965</v>
      </c>
      <c r="P467" s="62">
        <f t="shared" si="367"/>
        <v>43.476069177094985</v>
      </c>
      <c r="Q467" s="62">
        <f t="shared" si="368"/>
        <v>42.92759978668257</v>
      </c>
      <c r="R467" s="62">
        <f t="shared" si="369"/>
        <v>42.488374030264865</v>
      </c>
      <c r="S467" s="62">
        <f t="shared" si="370"/>
        <v>42.153225283887942</v>
      </c>
      <c r="T467" s="62">
        <f t="shared" si="371"/>
        <v>41.906864076332596</v>
      </c>
      <c r="U467" s="62">
        <f t="shared" si="372"/>
        <v>41.730719376955413</v>
      </c>
      <c r="V467" s="62">
        <f t="shared" si="373"/>
        <v>41.60726795567966</v>
      </c>
      <c r="W467" s="62">
        <f t="shared" si="374"/>
        <v>41.52195543566075</v>
      </c>
      <c r="X467" s="62">
        <f t="shared" si="375"/>
        <v>41.463571826925872</v>
      </c>
      <c r="Y467" s="62">
        <f t="shared" si="376"/>
        <v>41.423883691188024</v>
      </c>
      <c r="Z467" s="62">
        <f t="shared" si="377"/>
        <v>41.397027171360179</v>
      </c>
      <c r="AA467" s="62">
        <f t="shared" si="378"/>
        <v>41.378909735045553</v>
      </c>
      <c r="AB467" s="62">
        <f t="shared" si="379"/>
        <v>41.366713166918338</v>
      </c>
      <c r="AC467" s="62">
        <f t="shared" si="380"/>
        <v>41.358514028660792</v>
      </c>
    </row>
    <row r="468" spans="1:29" x14ac:dyDescent="0.25">
      <c r="A468" s="30" t="str">
        <f t="shared" si="352"/>
        <v>Fuel Cost</v>
      </c>
      <c r="B468" s="62">
        <f t="shared" si="353"/>
        <v>0.25254227914256844</v>
      </c>
      <c r="C468" s="62">
        <f t="shared" si="354"/>
        <v>0.25172282033513138</v>
      </c>
      <c r="D468" s="62">
        <f t="shared" si="355"/>
        <v>0.25055930629945611</v>
      </c>
      <c r="E468" s="62">
        <f t="shared" si="356"/>
        <v>0.24891479101658942</v>
      </c>
      <c r="F468" s="62">
        <f t="shared" si="357"/>
        <v>0.24660592122895794</v>
      </c>
      <c r="G468" s="62">
        <f t="shared" si="358"/>
        <v>0.24339575407846328</v>
      </c>
      <c r="H468" s="62">
        <f t="shared" si="359"/>
        <v>0.23899473500772708</v>
      </c>
      <c r="I468" s="62">
        <f t="shared" si="360"/>
        <v>0.23308023697079527</v>
      </c>
      <c r="J468" s="62">
        <f t="shared" si="361"/>
        <v>0.22534884543953543</v>
      </c>
      <c r="K468" s="62">
        <f t="shared" si="362"/>
        <v>0.21561246458069289</v>
      </c>
      <c r="L468" s="62">
        <f t="shared" si="363"/>
        <v>0.20392908703293811</v>
      </c>
      <c r="M468" s="62">
        <f t="shared" si="364"/>
        <v>0.19071783151204119</v>
      </c>
      <c r="N468" s="62">
        <f t="shared" si="365"/>
        <v>0.17677076326304775</v>
      </c>
      <c r="O468" s="62">
        <f t="shared" si="366"/>
        <v>0.16309814722993504</v>
      </c>
      <c r="P468" s="62">
        <f t="shared" si="367"/>
        <v>0.15065168342395555</v>
      </c>
      <c r="Q468" s="62">
        <f t="shared" si="368"/>
        <v>0.14007396159940294</v>
      </c>
      <c r="R468" s="62">
        <f t="shared" si="369"/>
        <v>0.13160310078058535</v>
      </c>
      <c r="S468" s="62">
        <f t="shared" si="370"/>
        <v>0.12513945801219511</v>
      </c>
      <c r="T468" s="62">
        <f t="shared" si="371"/>
        <v>0.1203881621925289</v>
      </c>
      <c r="U468" s="62">
        <f t="shared" si="372"/>
        <v>0.11699105441686944</v>
      </c>
      <c r="V468" s="62">
        <f t="shared" si="373"/>
        <v>0.11461018354982119</v>
      </c>
      <c r="W468" s="62">
        <f t="shared" si="374"/>
        <v>0.11296485544093068</v>
      </c>
      <c r="X468" s="62">
        <f t="shared" si="375"/>
        <v>0.11183887542617238</v>
      </c>
      <c r="Y468" s="62">
        <f t="shared" si="376"/>
        <v>0.11107345429801357</v>
      </c>
      <c r="Z468" s="62">
        <f t="shared" si="377"/>
        <v>0.11055550233773928</v>
      </c>
      <c r="AA468" s="62">
        <f t="shared" si="378"/>
        <v>0.11020609140458582</v>
      </c>
      <c r="AB468" s="62">
        <f t="shared" si="379"/>
        <v>0.10997086970011311</v>
      </c>
      <c r="AC468" s="62">
        <f t="shared" si="380"/>
        <v>0.10981274199926885</v>
      </c>
    </row>
    <row r="469" spans="1:29" x14ac:dyDescent="0.25">
      <c r="A469" s="30" t="str">
        <f t="shared" ref="A469" si="381">A449</f>
        <v>Emission Cost</v>
      </c>
      <c r="B469" s="66">
        <f>$B449+($C449-$B449)*(1-Q449)</f>
        <v>0.17582388128473975</v>
      </c>
      <c r="C469" s="66">
        <f t="shared" ref="C469:AC469" si="382">$B449+($C449-$B449)*(1-R449)</f>
        <v>0.17565645410997111</v>
      </c>
      <c r="D469" s="66">
        <f t="shared" si="382"/>
        <v>0.17541678583842943</v>
      </c>
      <c r="E469" s="66">
        <f t="shared" si="382"/>
        <v>0.17507392352176276</v>
      </c>
      <c r="F469" s="66">
        <f t="shared" si="382"/>
        <v>0.17458389761491974</v>
      </c>
      <c r="G469" s="66">
        <f t="shared" si="382"/>
        <v>0.17388452474686475</v>
      </c>
      <c r="H469" s="66">
        <f t="shared" si="382"/>
        <v>0.17288844620780905</v>
      </c>
      <c r="I469" s="66">
        <f t="shared" si="382"/>
        <v>0.17147415747198971</v>
      </c>
      <c r="J469" s="66">
        <f t="shared" si="382"/>
        <v>0.16947519624837942</v>
      </c>
      <c r="K469" s="66">
        <f t="shared" si="382"/>
        <v>0.16666869075467838</v>
      </c>
      <c r="L469" s="66">
        <f t="shared" si="382"/>
        <v>0.16276662932539185</v>
      </c>
      <c r="M469" s="66">
        <f t="shared" si="382"/>
        <v>0.15741704908224841</v>
      </c>
      <c r="N469" s="66">
        <f t="shared" si="382"/>
        <v>0.15022778647330717</v>
      </c>
      <c r="O469" s="66">
        <f t="shared" si="382"/>
        <v>0.14083003138002706</v>
      </c>
      <c r="P469" s="66">
        <f t="shared" si="382"/>
        <v>0.12899514726681846</v>
      </c>
      <c r="Q469" s="66">
        <f t="shared" si="382"/>
        <v>0.11479362605136975</v>
      </c>
      <c r="R469" s="66">
        <f t="shared" si="382"/>
        <v>9.8734920014022967E-2</v>
      </c>
      <c r="S469" s="66">
        <f t="shared" si="382"/>
        <v>8.1781809937608918E-2</v>
      </c>
      <c r="T469" s="66">
        <f t="shared" si="382"/>
        <v>6.5162305357595693E-2</v>
      </c>
      <c r="U469" s="66">
        <f t="shared" si="382"/>
        <v>5.0033228249931727E-2</v>
      </c>
      <c r="V469" s="66">
        <f t="shared" si="382"/>
        <v>3.7175667130427636E-2</v>
      </c>
      <c r="W469" s="66">
        <f t="shared" si="382"/>
        <v>2.6879063332438669E-2</v>
      </c>
      <c r="X469" s="66">
        <f t="shared" si="382"/>
        <v>1.9022297638684654E-2</v>
      </c>
      <c r="Y469" s="66">
        <f t="shared" si="382"/>
        <v>1.324694474025595E-2</v>
      </c>
      <c r="Z469" s="66">
        <f t="shared" si="382"/>
        <v>9.1176509679713191E-3</v>
      </c>
      <c r="AA469" s="66">
        <f t="shared" si="382"/>
        <v>6.2236258462609606E-3</v>
      </c>
      <c r="AB469" s="66">
        <f t="shared" si="382"/>
        <v>4.2236766064734643E-3</v>
      </c>
      <c r="AC469" s="66">
        <f t="shared" si="382"/>
        <v>2.8550116803935655E-3</v>
      </c>
    </row>
    <row r="470" spans="1:29" x14ac:dyDescent="0.25">
      <c r="A470" s="30" t="str">
        <f>A450</f>
        <v>Lifetime vehicle</v>
      </c>
      <c r="B470" s="62">
        <f>$B450+($C450-$B450)*(1-Q450)</f>
        <v>20</v>
      </c>
      <c r="C470" s="62">
        <f t="shared" ref="C470:L472" si="383">$B450+($C450-$B450)*(1-R450)</f>
        <v>20</v>
      </c>
      <c r="D470" s="62">
        <f t="shared" si="383"/>
        <v>20</v>
      </c>
      <c r="E470" s="62">
        <f t="shared" si="383"/>
        <v>20</v>
      </c>
      <c r="F470" s="62">
        <f t="shared" si="383"/>
        <v>20</v>
      </c>
      <c r="G470" s="62">
        <f t="shared" si="383"/>
        <v>20</v>
      </c>
      <c r="H470" s="62">
        <f t="shared" si="383"/>
        <v>20</v>
      </c>
      <c r="I470" s="62">
        <f t="shared" si="383"/>
        <v>20</v>
      </c>
      <c r="J470" s="62">
        <f t="shared" si="383"/>
        <v>20</v>
      </c>
      <c r="K470" s="62">
        <f t="shared" si="383"/>
        <v>20</v>
      </c>
      <c r="L470" s="62">
        <f t="shared" si="383"/>
        <v>20</v>
      </c>
      <c r="M470" s="62">
        <f t="shared" ref="M470:V472" si="384">$B450+($C450-$B450)*(1-AB450)</f>
        <v>20</v>
      </c>
      <c r="N470" s="62">
        <f t="shared" si="384"/>
        <v>20</v>
      </c>
      <c r="O470" s="62">
        <f t="shared" si="384"/>
        <v>20</v>
      </c>
      <c r="P470" s="62">
        <f t="shared" si="384"/>
        <v>20</v>
      </c>
      <c r="Q470" s="62">
        <f t="shared" si="384"/>
        <v>20</v>
      </c>
      <c r="R470" s="62">
        <f t="shared" si="384"/>
        <v>20</v>
      </c>
      <c r="S470" s="62">
        <f t="shared" si="384"/>
        <v>20</v>
      </c>
      <c r="T470" s="62">
        <f t="shared" si="384"/>
        <v>20</v>
      </c>
      <c r="U470" s="62">
        <f t="shared" si="384"/>
        <v>20</v>
      </c>
      <c r="V470" s="62">
        <f t="shared" si="384"/>
        <v>20</v>
      </c>
      <c r="W470" s="62">
        <f t="shared" ref="W470:AC472" si="385">$B450+($C450-$B450)*(1-AL450)</f>
        <v>20</v>
      </c>
      <c r="X470" s="62">
        <f t="shared" si="385"/>
        <v>20</v>
      </c>
      <c r="Y470" s="62">
        <f t="shared" si="385"/>
        <v>20</v>
      </c>
      <c r="Z470" s="62">
        <f t="shared" si="385"/>
        <v>20</v>
      </c>
      <c r="AA470" s="62">
        <f t="shared" si="385"/>
        <v>20</v>
      </c>
      <c r="AB470" s="62">
        <f t="shared" si="385"/>
        <v>20</v>
      </c>
      <c r="AC470" s="62">
        <f t="shared" si="385"/>
        <v>20</v>
      </c>
    </row>
    <row r="471" spans="1:29" x14ac:dyDescent="0.25">
      <c r="A471" s="30" t="str">
        <f>A451</f>
        <v>Lifetime costumization</v>
      </c>
      <c r="B471" s="62">
        <f>$B451+($C451-$B451)*(1-Q451)</f>
        <v>30</v>
      </c>
      <c r="C471" s="62">
        <f t="shared" si="383"/>
        <v>30</v>
      </c>
      <c r="D471" s="62">
        <f t="shared" si="383"/>
        <v>30</v>
      </c>
      <c r="E471" s="62">
        <f t="shared" si="383"/>
        <v>30</v>
      </c>
      <c r="F471" s="62">
        <f t="shared" si="383"/>
        <v>30</v>
      </c>
      <c r="G471" s="62">
        <f t="shared" si="383"/>
        <v>30</v>
      </c>
      <c r="H471" s="62">
        <f t="shared" si="383"/>
        <v>30</v>
      </c>
      <c r="I471" s="62">
        <f t="shared" si="383"/>
        <v>30</v>
      </c>
      <c r="J471" s="62">
        <f t="shared" si="383"/>
        <v>30</v>
      </c>
      <c r="K471" s="62">
        <f t="shared" si="383"/>
        <v>30</v>
      </c>
      <c r="L471" s="62">
        <f t="shared" si="383"/>
        <v>30</v>
      </c>
      <c r="M471" s="62">
        <f t="shared" si="384"/>
        <v>30</v>
      </c>
      <c r="N471" s="62">
        <f t="shared" si="384"/>
        <v>30</v>
      </c>
      <c r="O471" s="62">
        <f t="shared" si="384"/>
        <v>30</v>
      </c>
      <c r="P471" s="62">
        <f t="shared" si="384"/>
        <v>30</v>
      </c>
      <c r="Q471" s="62">
        <f t="shared" si="384"/>
        <v>30</v>
      </c>
      <c r="R471" s="62">
        <f t="shared" si="384"/>
        <v>30</v>
      </c>
      <c r="S471" s="62">
        <f t="shared" si="384"/>
        <v>30</v>
      </c>
      <c r="T471" s="62">
        <f t="shared" si="384"/>
        <v>30</v>
      </c>
      <c r="U471" s="62">
        <f t="shared" si="384"/>
        <v>30</v>
      </c>
      <c r="V471" s="62">
        <f t="shared" si="384"/>
        <v>30</v>
      </c>
      <c r="W471" s="62">
        <f t="shared" si="385"/>
        <v>30</v>
      </c>
      <c r="X471" s="62">
        <f t="shared" si="385"/>
        <v>30</v>
      </c>
      <c r="Y471" s="62">
        <f t="shared" si="385"/>
        <v>30</v>
      </c>
      <c r="Z471" s="62">
        <f t="shared" si="385"/>
        <v>30</v>
      </c>
      <c r="AA471" s="62">
        <f t="shared" si="385"/>
        <v>30</v>
      </c>
      <c r="AB471" s="62">
        <f t="shared" si="385"/>
        <v>30</v>
      </c>
      <c r="AC471" s="62">
        <f t="shared" si="385"/>
        <v>30</v>
      </c>
    </row>
    <row r="472" spans="1:29" x14ac:dyDescent="0.25">
      <c r="A472" s="30" t="str">
        <f>A452</f>
        <v>Tonnage .</v>
      </c>
      <c r="B472" s="62">
        <f>$B452+($C452-$B452)*(1-Q452)</f>
        <v>2800</v>
      </c>
      <c r="C472" s="62">
        <f t="shared" si="383"/>
        <v>2800</v>
      </c>
      <c r="D472" s="62">
        <f t="shared" si="383"/>
        <v>2800</v>
      </c>
      <c r="E472" s="62">
        <f t="shared" si="383"/>
        <v>2800</v>
      </c>
      <c r="F472" s="62">
        <f t="shared" si="383"/>
        <v>2800</v>
      </c>
      <c r="G472" s="62">
        <f t="shared" si="383"/>
        <v>2800</v>
      </c>
      <c r="H472" s="62">
        <f t="shared" si="383"/>
        <v>2800</v>
      </c>
      <c r="I472" s="62">
        <f t="shared" si="383"/>
        <v>2800</v>
      </c>
      <c r="J472" s="62">
        <f t="shared" si="383"/>
        <v>2800</v>
      </c>
      <c r="K472" s="62">
        <f t="shared" si="383"/>
        <v>2800</v>
      </c>
      <c r="L472" s="62">
        <f t="shared" si="383"/>
        <v>2800</v>
      </c>
      <c r="M472" s="62">
        <f t="shared" si="384"/>
        <v>2800</v>
      </c>
      <c r="N472" s="62">
        <f t="shared" si="384"/>
        <v>2800</v>
      </c>
      <c r="O472" s="62">
        <f t="shared" si="384"/>
        <v>2800</v>
      </c>
      <c r="P472" s="62">
        <f t="shared" si="384"/>
        <v>2800</v>
      </c>
      <c r="Q472" s="62">
        <f t="shared" si="384"/>
        <v>2800</v>
      </c>
      <c r="R472" s="62">
        <f t="shared" si="384"/>
        <v>2800</v>
      </c>
      <c r="S472" s="62">
        <f t="shared" si="384"/>
        <v>2800</v>
      </c>
      <c r="T472" s="62">
        <f t="shared" si="384"/>
        <v>2800</v>
      </c>
      <c r="U472" s="62">
        <f t="shared" si="384"/>
        <v>2800</v>
      </c>
      <c r="V472" s="62">
        <f t="shared" si="384"/>
        <v>2800</v>
      </c>
      <c r="W472" s="62">
        <f t="shared" si="385"/>
        <v>2800</v>
      </c>
      <c r="X472" s="62">
        <f t="shared" si="385"/>
        <v>2800</v>
      </c>
      <c r="Y472" s="62">
        <f t="shared" si="385"/>
        <v>2800</v>
      </c>
      <c r="Z472" s="62">
        <f t="shared" si="385"/>
        <v>2800</v>
      </c>
      <c r="AA472" s="62">
        <f t="shared" si="385"/>
        <v>2800</v>
      </c>
      <c r="AB472" s="62">
        <f t="shared" si="385"/>
        <v>2800</v>
      </c>
      <c r="AC472" s="62">
        <f t="shared" si="385"/>
        <v>2800</v>
      </c>
    </row>
    <row r="473" spans="1:29" x14ac:dyDescent="0.25">
      <c r="A473" s="30" t="str">
        <f>A453</f>
        <v>Market failure (av. utilization)</v>
      </c>
      <c r="B473" s="62">
        <f t="shared" ref="B473:K474" si="386">($B453+($C453-$B453)*(1-Q453))*B$44</f>
        <v>955.73333333333335</v>
      </c>
      <c r="C473" s="62">
        <f t="shared" si="386"/>
        <v>955.73333333333335</v>
      </c>
      <c r="D473" s="62">
        <f t="shared" si="386"/>
        <v>955.73333333333335</v>
      </c>
      <c r="E473" s="62">
        <f t="shared" si="386"/>
        <v>955.73333333333335</v>
      </c>
      <c r="F473" s="62">
        <f t="shared" si="386"/>
        <v>955.73333333333335</v>
      </c>
      <c r="G473" s="62">
        <f t="shared" si="386"/>
        <v>955.73333333333335</v>
      </c>
      <c r="H473" s="62">
        <f t="shared" si="386"/>
        <v>955.73333333333335</v>
      </c>
      <c r="I473" s="62">
        <f t="shared" si="386"/>
        <v>955.73333333333335</v>
      </c>
      <c r="J473" s="62">
        <f t="shared" si="386"/>
        <v>955.73333333333335</v>
      </c>
      <c r="K473" s="62">
        <f t="shared" si="386"/>
        <v>955.73333333333335</v>
      </c>
      <c r="L473" s="62">
        <f t="shared" ref="L473:U474" si="387">($B453+($C453-$B453)*(1-AA453))*L$44</f>
        <v>955.73333333333335</v>
      </c>
      <c r="M473" s="62">
        <f t="shared" si="387"/>
        <v>955.73333333333335</v>
      </c>
      <c r="N473" s="62">
        <f t="shared" si="387"/>
        <v>955.73333333333335</v>
      </c>
      <c r="O473" s="62">
        <f t="shared" si="387"/>
        <v>955.73333333333335</v>
      </c>
      <c r="P473" s="62">
        <f t="shared" si="387"/>
        <v>955.73333333333335</v>
      </c>
      <c r="Q473" s="62">
        <f t="shared" si="387"/>
        <v>955.73333333333335</v>
      </c>
      <c r="R473" s="62">
        <f t="shared" si="387"/>
        <v>955.73333333333335</v>
      </c>
      <c r="S473" s="62">
        <f t="shared" si="387"/>
        <v>955.73333333333335</v>
      </c>
      <c r="T473" s="62">
        <f t="shared" si="387"/>
        <v>955.73333333333335</v>
      </c>
      <c r="U473" s="62">
        <f t="shared" si="387"/>
        <v>955.73333333333335</v>
      </c>
      <c r="V473" s="62">
        <f t="shared" ref="V473:AC474" si="388">($B453+($C453-$B453)*(1-AK453))*V$44</f>
        <v>955.73333333333335</v>
      </c>
      <c r="W473" s="62">
        <f t="shared" si="388"/>
        <v>955.73333333333335</v>
      </c>
      <c r="X473" s="62">
        <f t="shared" si="388"/>
        <v>955.73333333333335</v>
      </c>
      <c r="Y473" s="62">
        <f t="shared" si="388"/>
        <v>955.73333333333335</v>
      </c>
      <c r="Z473" s="62">
        <f t="shared" si="388"/>
        <v>955.73333333333335</v>
      </c>
      <c r="AA473" s="62">
        <f t="shared" si="388"/>
        <v>955.73333333333335</v>
      </c>
      <c r="AB473" s="62">
        <f t="shared" si="388"/>
        <v>955.73333333333335</v>
      </c>
      <c r="AC473" s="62">
        <f t="shared" si="388"/>
        <v>955.73333333333335</v>
      </c>
    </row>
    <row r="474" spans="1:29" x14ac:dyDescent="0.25">
      <c r="A474" s="30" t="s">
        <v>73</v>
      </c>
      <c r="B474" s="62">
        <f t="shared" si="386"/>
        <v>40</v>
      </c>
      <c r="C474" s="62">
        <f t="shared" si="386"/>
        <v>40</v>
      </c>
      <c r="D474" s="62">
        <f t="shared" si="386"/>
        <v>40</v>
      </c>
      <c r="E474" s="62">
        <f t="shared" si="386"/>
        <v>40</v>
      </c>
      <c r="F474" s="62">
        <f t="shared" si="386"/>
        <v>40</v>
      </c>
      <c r="G474" s="62">
        <f t="shared" si="386"/>
        <v>40</v>
      </c>
      <c r="H474" s="62">
        <f t="shared" si="386"/>
        <v>40</v>
      </c>
      <c r="I474" s="62">
        <f t="shared" si="386"/>
        <v>40</v>
      </c>
      <c r="J474" s="62">
        <f t="shared" si="386"/>
        <v>40</v>
      </c>
      <c r="K474" s="62">
        <f t="shared" si="386"/>
        <v>40</v>
      </c>
      <c r="L474" s="62">
        <f t="shared" si="387"/>
        <v>40</v>
      </c>
      <c r="M474" s="62">
        <f t="shared" si="387"/>
        <v>40</v>
      </c>
      <c r="N474" s="62">
        <f t="shared" si="387"/>
        <v>40</v>
      </c>
      <c r="O474" s="62">
        <f t="shared" si="387"/>
        <v>40</v>
      </c>
      <c r="P474" s="62">
        <f t="shared" si="387"/>
        <v>40</v>
      </c>
      <c r="Q474" s="62">
        <f t="shared" si="387"/>
        <v>40</v>
      </c>
      <c r="R474" s="62">
        <f t="shared" si="387"/>
        <v>40</v>
      </c>
      <c r="S474" s="62">
        <f t="shared" si="387"/>
        <v>40</v>
      </c>
      <c r="T474" s="62">
        <f t="shared" si="387"/>
        <v>40</v>
      </c>
      <c r="U474" s="62">
        <f t="shared" si="387"/>
        <v>40</v>
      </c>
      <c r="V474" s="62">
        <f t="shared" si="388"/>
        <v>40</v>
      </c>
      <c r="W474" s="62">
        <f t="shared" si="388"/>
        <v>40</v>
      </c>
      <c r="X474" s="62">
        <f t="shared" si="388"/>
        <v>40</v>
      </c>
      <c r="Y474" s="62">
        <f t="shared" si="388"/>
        <v>40</v>
      </c>
      <c r="Z474" s="62">
        <f t="shared" si="388"/>
        <v>40</v>
      </c>
      <c r="AA474" s="62">
        <f t="shared" si="388"/>
        <v>40</v>
      </c>
      <c r="AB474" s="62">
        <f t="shared" si="388"/>
        <v>40</v>
      </c>
      <c r="AC474" s="62">
        <f t="shared" si="388"/>
        <v>40</v>
      </c>
    </row>
    <row r="475" spans="1:29" x14ac:dyDescent="0.25">
      <c r="A475" s="30" t="str">
        <f>A455</f>
        <v>Annual Mileage</v>
      </c>
      <c r="B475" s="62">
        <f t="shared" ref="B475:AC475" si="389">$B455+($C455-$B455)*(1-Q455)</f>
        <v>178500</v>
      </c>
      <c r="C475" s="62">
        <f t="shared" si="389"/>
        <v>178500</v>
      </c>
      <c r="D475" s="62">
        <f t="shared" si="389"/>
        <v>178500</v>
      </c>
      <c r="E475" s="62">
        <f t="shared" si="389"/>
        <v>178500</v>
      </c>
      <c r="F475" s="62">
        <f t="shared" si="389"/>
        <v>178500</v>
      </c>
      <c r="G475" s="62">
        <f t="shared" si="389"/>
        <v>178500</v>
      </c>
      <c r="H475" s="62">
        <f t="shared" si="389"/>
        <v>178500</v>
      </c>
      <c r="I475" s="62">
        <f t="shared" si="389"/>
        <v>178500</v>
      </c>
      <c r="J475" s="62">
        <f t="shared" si="389"/>
        <v>178500</v>
      </c>
      <c r="K475" s="62">
        <f t="shared" si="389"/>
        <v>178500</v>
      </c>
      <c r="L475" s="62">
        <f t="shared" si="389"/>
        <v>178500</v>
      </c>
      <c r="M475" s="62">
        <f t="shared" si="389"/>
        <v>178500</v>
      </c>
      <c r="N475" s="62">
        <f t="shared" si="389"/>
        <v>178500</v>
      </c>
      <c r="O475" s="62">
        <f t="shared" si="389"/>
        <v>178500</v>
      </c>
      <c r="P475" s="62">
        <f t="shared" si="389"/>
        <v>178500</v>
      </c>
      <c r="Q475" s="62">
        <f t="shared" si="389"/>
        <v>178500</v>
      </c>
      <c r="R475" s="62">
        <f t="shared" si="389"/>
        <v>178500</v>
      </c>
      <c r="S475" s="62">
        <f t="shared" si="389"/>
        <v>178500</v>
      </c>
      <c r="T475" s="62">
        <f t="shared" si="389"/>
        <v>178500</v>
      </c>
      <c r="U475" s="62">
        <f t="shared" si="389"/>
        <v>178500</v>
      </c>
      <c r="V475" s="62">
        <f t="shared" si="389"/>
        <v>178500</v>
      </c>
      <c r="W475" s="62">
        <f t="shared" si="389"/>
        <v>178500</v>
      </c>
      <c r="X475" s="62">
        <f t="shared" si="389"/>
        <v>178500</v>
      </c>
      <c r="Y475" s="62">
        <f t="shared" si="389"/>
        <v>178500</v>
      </c>
      <c r="Z475" s="62">
        <f t="shared" si="389"/>
        <v>178500</v>
      </c>
      <c r="AA475" s="62">
        <f t="shared" si="389"/>
        <v>178500</v>
      </c>
      <c r="AB475" s="62">
        <f t="shared" si="389"/>
        <v>178500</v>
      </c>
      <c r="AC475" s="62">
        <f t="shared" si="389"/>
        <v>178500</v>
      </c>
    </row>
    <row r="476" spans="1:29" ht="15.75" thickBot="1" x14ac:dyDescent="0.3">
      <c r="AC476" s="32"/>
    </row>
    <row r="477" spans="1:29" ht="15.75" thickBot="1" x14ac:dyDescent="0.3">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864939.43423004472</v>
      </c>
      <c r="C478" s="63">
        <f t="shared" ref="C478:AC478" si="390">((1+C463)^C470)*C463/(((1+C463)^C470)-1)*(C459)</f>
        <v>861982.43190795113</v>
      </c>
      <c r="D478" s="63">
        <f t="shared" si="390"/>
        <v>857783.91250214854</v>
      </c>
      <c r="E478" s="63">
        <f t="shared" si="390"/>
        <v>851849.70877400215</v>
      </c>
      <c r="F478" s="63">
        <f t="shared" si="390"/>
        <v>843518.19380158815</v>
      </c>
      <c r="G478" s="63">
        <f t="shared" si="390"/>
        <v>831934.36355634325</v>
      </c>
      <c r="H478" s="63">
        <f t="shared" si="390"/>
        <v>816053.36564206402</v>
      </c>
      <c r="I478" s="63">
        <f t="shared" si="390"/>
        <v>794711.00618420995</v>
      </c>
      <c r="J478" s="63">
        <f t="shared" si="390"/>
        <v>766812.41933217109</v>
      </c>
      <c r="K478" s="63">
        <f t="shared" si="390"/>
        <v>731678.86466524214</v>
      </c>
      <c r="L478" s="63">
        <f t="shared" si="390"/>
        <v>689519.60757377208</v>
      </c>
      <c r="M478" s="63">
        <f t="shared" si="390"/>
        <v>641847.03038194508</v>
      </c>
      <c r="N478" s="63">
        <f t="shared" si="390"/>
        <v>591519.28623619571</v>
      </c>
      <c r="O478" s="63">
        <f t="shared" si="390"/>
        <v>542181.89795982966</v>
      </c>
      <c r="P478" s="63">
        <f t="shared" si="390"/>
        <v>497269.05787303421</v>
      </c>
      <c r="Q478" s="63">
        <f t="shared" si="390"/>
        <v>459099.53951067774</v>
      </c>
      <c r="R478" s="63">
        <f t="shared" si="390"/>
        <v>428532.59107587172</v>
      </c>
      <c r="S478" s="63">
        <f t="shared" si="390"/>
        <v>405208.65276213008</v>
      </c>
      <c r="T478" s="63">
        <f t="shared" si="390"/>
        <v>388063.68751897325</v>
      </c>
      <c r="U478" s="63">
        <f t="shared" si="390"/>
        <v>375805.28540057357</v>
      </c>
      <c r="V478" s="63">
        <f t="shared" si="390"/>
        <v>367213.95583211613</v>
      </c>
      <c r="W478" s="63">
        <f t="shared" si="390"/>
        <v>361276.81903592765</v>
      </c>
      <c r="X478" s="63">
        <f t="shared" si="390"/>
        <v>357213.74046742113</v>
      </c>
      <c r="Y478" s="63">
        <f t="shared" si="390"/>
        <v>354451.73213606392</v>
      </c>
      <c r="Z478" s="63">
        <f t="shared" si="390"/>
        <v>352582.71183221939</v>
      </c>
      <c r="AA478" s="63">
        <f t="shared" si="390"/>
        <v>351321.86878395046</v>
      </c>
      <c r="AB478" s="63">
        <f t="shared" si="390"/>
        <v>350473.07550719258</v>
      </c>
      <c r="AC478" s="63">
        <f t="shared" si="390"/>
        <v>349902.47455161036</v>
      </c>
    </row>
    <row r="479" spans="1:29" x14ac:dyDescent="0.25">
      <c r="A479" s="30" t="str">
        <f>A460</f>
        <v>Residual value (vehicle)</v>
      </c>
      <c r="B479" s="62">
        <f>((1+B463)^B470)*B463/(((1+B463)^B470)-1)*(B460)</f>
        <v>-43707.380747400188</v>
      </c>
      <c r="C479" s="62">
        <f t="shared" ref="C479:AC479" si="391">((1+C463)^C470)*C463/(((1+C463)^C470)-1)*(C460)</f>
        <v>-43756.664119435081</v>
      </c>
      <c r="D479" s="62">
        <f t="shared" si="391"/>
        <v>-43826.639442865126</v>
      </c>
      <c r="E479" s="62">
        <f t="shared" si="391"/>
        <v>-43925.54283833423</v>
      </c>
      <c r="F479" s="62">
        <f t="shared" si="391"/>
        <v>-44064.401421207796</v>
      </c>
      <c r="G479" s="62">
        <f t="shared" si="391"/>
        <v>-44257.465258628545</v>
      </c>
      <c r="H479" s="62">
        <f t="shared" si="391"/>
        <v>-44522.148557199871</v>
      </c>
      <c r="I479" s="62">
        <f t="shared" si="391"/>
        <v>-44877.854548164105</v>
      </c>
      <c r="J479" s="62">
        <f t="shared" si="391"/>
        <v>-45342.830995698081</v>
      </c>
      <c r="K479" s="62">
        <f t="shared" si="391"/>
        <v>-45928.390240146902</v>
      </c>
      <c r="L479" s="62">
        <f t="shared" si="391"/>
        <v>-46631.044525004734</v>
      </c>
      <c r="M479" s="62">
        <f t="shared" si="391"/>
        <v>-47425.587478201858</v>
      </c>
      <c r="N479" s="62">
        <f t="shared" si="391"/>
        <v>-48264.383213964342</v>
      </c>
      <c r="O479" s="62">
        <f t="shared" si="391"/>
        <v>-49086.673018570444</v>
      </c>
      <c r="P479" s="62">
        <f t="shared" si="391"/>
        <v>-49835.220353350363</v>
      </c>
      <c r="Q479" s="62">
        <f t="shared" si="391"/>
        <v>-50471.378992722974</v>
      </c>
      <c r="R479" s="62">
        <f t="shared" si="391"/>
        <v>-50980.828133303068</v>
      </c>
      <c r="S479" s="62">
        <f t="shared" si="391"/>
        <v>-51369.560438532098</v>
      </c>
      <c r="T479" s="62">
        <f t="shared" si="391"/>
        <v>-51655.309859251378</v>
      </c>
      <c r="U479" s="62">
        <f t="shared" si="391"/>
        <v>-51859.616561224706</v>
      </c>
      <c r="V479" s="62">
        <f t="shared" si="391"/>
        <v>-52002.805387365668</v>
      </c>
      <c r="W479" s="62">
        <f t="shared" si="391"/>
        <v>-52101.757667302139</v>
      </c>
      <c r="X479" s="62">
        <f t="shared" si="391"/>
        <v>-52169.475643443919</v>
      </c>
      <c r="Y479" s="62">
        <f t="shared" si="391"/>
        <v>-52215.509115633206</v>
      </c>
      <c r="Z479" s="62">
        <f t="shared" si="391"/>
        <v>-52246.659454030618</v>
      </c>
      <c r="AA479" s="62">
        <f t="shared" si="391"/>
        <v>-52267.673504835089</v>
      </c>
      <c r="AB479" s="62">
        <f t="shared" si="391"/>
        <v>-52281.820059447724</v>
      </c>
      <c r="AC479" s="62">
        <f t="shared" si="391"/>
        <v>-52291.330075374099</v>
      </c>
    </row>
    <row r="480" spans="1:29" x14ac:dyDescent="0.25">
      <c r="A480" s="30" t="str">
        <f>A461</f>
        <v>Capex costumization</v>
      </c>
      <c r="B480" s="62">
        <f>((1+B463)^B471)*B463/(((1+B463)^B471)-1)*(B461)</f>
        <v>254271.19021516517</v>
      </c>
      <c r="C480" s="62">
        <f t="shared" ref="C480:AC480" si="392">((1+C463)^C471)*C463/(((1+C463)^C471)-1)*(C461)</f>
        <v>254271.19021516517</v>
      </c>
      <c r="D480" s="62">
        <f t="shared" si="392"/>
        <v>254271.19021516517</v>
      </c>
      <c r="E480" s="62">
        <f t="shared" si="392"/>
        <v>254271.19021516517</v>
      </c>
      <c r="F480" s="62">
        <f t="shared" si="392"/>
        <v>254271.19021516517</v>
      </c>
      <c r="G480" s="62">
        <f t="shared" si="392"/>
        <v>254271.19021516517</v>
      </c>
      <c r="H480" s="62">
        <f t="shared" si="392"/>
        <v>254271.19021516517</v>
      </c>
      <c r="I480" s="62">
        <f t="shared" si="392"/>
        <v>254271.19021516517</v>
      </c>
      <c r="J480" s="62">
        <f t="shared" si="392"/>
        <v>254271.19021516517</v>
      </c>
      <c r="K480" s="62">
        <f t="shared" si="392"/>
        <v>254271.19021516517</v>
      </c>
      <c r="L480" s="62">
        <f t="shared" si="392"/>
        <v>254271.19021516517</v>
      </c>
      <c r="M480" s="62">
        <f t="shared" si="392"/>
        <v>254271.19021516517</v>
      </c>
      <c r="N480" s="62">
        <f t="shared" si="392"/>
        <v>254271.19021516517</v>
      </c>
      <c r="O480" s="62">
        <f t="shared" si="392"/>
        <v>254271.19021516517</v>
      </c>
      <c r="P480" s="62">
        <f t="shared" si="392"/>
        <v>254271.19021516517</v>
      </c>
      <c r="Q480" s="62">
        <f t="shared" si="392"/>
        <v>254271.19021516517</v>
      </c>
      <c r="R480" s="62">
        <f t="shared" si="392"/>
        <v>254271.19021516517</v>
      </c>
      <c r="S480" s="62">
        <f t="shared" si="392"/>
        <v>254271.19021516517</v>
      </c>
      <c r="T480" s="62">
        <f t="shared" si="392"/>
        <v>254271.19021516517</v>
      </c>
      <c r="U480" s="62">
        <f t="shared" si="392"/>
        <v>254271.19021516517</v>
      </c>
      <c r="V480" s="62">
        <f t="shared" si="392"/>
        <v>254271.19021516517</v>
      </c>
      <c r="W480" s="62">
        <f t="shared" si="392"/>
        <v>254271.19021516517</v>
      </c>
      <c r="X480" s="62">
        <f t="shared" si="392"/>
        <v>254271.19021516517</v>
      </c>
      <c r="Y480" s="62">
        <f t="shared" si="392"/>
        <v>254271.19021516517</v>
      </c>
      <c r="Z480" s="62">
        <f t="shared" si="392"/>
        <v>254271.19021516517</v>
      </c>
      <c r="AA480" s="62">
        <f t="shared" si="392"/>
        <v>254271.19021516517</v>
      </c>
      <c r="AB480" s="62">
        <f t="shared" si="392"/>
        <v>254271.19021516517</v>
      </c>
      <c r="AC480" s="62">
        <f t="shared" si="392"/>
        <v>254271.19021516517</v>
      </c>
    </row>
    <row r="481" spans="1:29" x14ac:dyDescent="0.25">
      <c r="A481" s="30" t="str">
        <f>A462</f>
        <v>Residual value (costumization)</v>
      </c>
      <c r="B481" s="62">
        <f>((1+B463)^B471)*B463/(((1+B463)^B471)-1)*(B462)</f>
        <v>-12713.559510758259</v>
      </c>
      <c r="C481" s="62">
        <f t="shared" ref="C481:AC481" si="393">((1+C463)^C471)*C463/(((1+C463)^C471)-1)*(C462)</f>
        <v>-12713.559510758259</v>
      </c>
      <c r="D481" s="62">
        <f t="shared" si="393"/>
        <v>-12713.559510758259</v>
      </c>
      <c r="E481" s="62">
        <f t="shared" si="393"/>
        <v>-12713.559510758259</v>
      </c>
      <c r="F481" s="62">
        <f t="shared" si="393"/>
        <v>-12713.559510758259</v>
      </c>
      <c r="G481" s="62">
        <f t="shared" si="393"/>
        <v>-12713.559510758259</v>
      </c>
      <c r="H481" s="62">
        <f t="shared" si="393"/>
        <v>-12713.559510758259</v>
      </c>
      <c r="I481" s="62">
        <f t="shared" si="393"/>
        <v>-12713.559510758259</v>
      </c>
      <c r="J481" s="62">
        <f t="shared" si="393"/>
        <v>-12713.559510758259</v>
      </c>
      <c r="K481" s="62">
        <f t="shared" si="393"/>
        <v>-12713.559510758259</v>
      </c>
      <c r="L481" s="62">
        <f t="shared" si="393"/>
        <v>-12713.559510758259</v>
      </c>
      <c r="M481" s="62">
        <f t="shared" si="393"/>
        <v>-12713.559510758259</v>
      </c>
      <c r="N481" s="62">
        <f t="shared" si="393"/>
        <v>-12713.559510758259</v>
      </c>
      <c r="O481" s="62">
        <f t="shared" si="393"/>
        <v>-12713.559510758259</v>
      </c>
      <c r="P481" s="62">
        <f t="shared" si="393"/>
        <v>-12713.559510758259</v>
      </c>
      <c r="Q481" s="62">
        <f t="shared" si="393"/>
        <v>-12713.559510758259</v>
      </c>
      <c r="R481" s="62">
        <f t="shared" si="393"/>
        <v>-12713.559510758259</v>
      </c>
      <c r="S481" s="62">
        <f t="shared" si="393"/>
        <v>-12713.559510758259</v>
      </c>
      <c r="T481" s="62">
        <f t="shared" si="393"/>
        <v>-12713.559510758259</v>
      </c>
      <c r="U481" s="62">
        <f t="shared" si="393"/>
        <v>-12713.559510758259</v>
      </c>
      <c r="V481" s="62">
        <f t="shared" si="393"/>
        <v>-12713.559510758259</v>
      </c>
      <c r="W481" s="62">
        <f t="shared" si="393"/>
        <v>-12713.559510758259</v>
      </c>
      <c r="X481" s="62">
        <f t="shared" si="393"/>
        <v>-12713.559510758259</v>
      </c>
      <c r="Y481" s="62">
        <f t="shared" si="393"/>
        <v>-12713.559510758259</v>
      </c>
      <c r="Z481" s="62">
        <f t="shared" si="393"/>
        <v>-12713.559510758259</v>
      </c>
      <c r="AA481" s="62">
        <f t="shared" si="393"/>
        <v>-12713.559510758259</v>
      </c>
      <c r="AB481" s="62">
        <f t="shared" si="393"/>
        <v>-12713.559510758259</v>
      </c>
      <c r="AC481" s="62">
        <f t="shared" si="393"/>
        <v>-12713.559510758259</v>
      </c>
    </row>
    <row r="482" spans="1:29" x14ac:dyDescent="0.25">
      <c r="A482" s="30" t="str">
        <f t="shared" ref="A482:AC482" si="394">A464</f>
        <v>Opex fix (admin, crew, insurance)</v>
      </c>
      <c r="B482" s="62">
        <f t="shared" si="394"/>
        <v>650000</v>
      </c>
      <c r="C482" s="62">
        <f t="shared" si="394"/>
        <v>650000</v>
      </c>
      <c r="D482" s="62">
        <f t="shared" si="394"/>
        <v>650000</v>
      </c>
      <c r="E482" s="62">
        <f t="shared" si="394"/>
        <v>650000</v>
      </c>
      <c r="F482" s="62">
        <f t="shared" si="394"/>
        <v>650000</v>
      </c>
      <c r="G482" s="62">
        <f t="shared" si="394"/>
        <v>650000</v>
      </c>
      <c r="H482" s="62">
        <f t="shared" si="394"/>
        <v>650000</v>
      </c>
      <c r="I482" s="62">
        <f t="shared" si="394"/>
        <v>650000</v>
      </c>
      <c r="J482" s="62">
        <f t="shared" si="394"/>
        <v>650000</v>
      </c>
      <c r="K482" s="62">
        <f t="shared" si="394"/>
        <v>650000</v>
      </c>
      <c r="L482" s="62">
        <f t="shared" si="394"/>
        <v>650000</v>
      </c>
      <c r="M482" s="62">
        <f t="shared" si="394"/>
        <v>650000</v>
      </c>
      <c r="N482" s="62">
        <f t="shared" si="394"/>
        <v>650000</v>
      </c>
      <c r="O482" s="62">
        <f t="shared" si="394"/>
        <v>650000</v>
      </c>
      <c r="P482" s="62">
        <f t="shared" si="394"/>
        <v>650000</v>
      </c>
      <c r="Q482" s="62">
        <f t="shared" si="394"/>
        <v>650000</v>
      </c>
      <c r="R482" s="62">
        <f t="shared" si="394"/>
        <v>650000</v>
      </c>
      <c r="S482" s="62">
        <f t="shared" si="394"/>
        <v>650000</v>
      </c>
      <c r="T482" s="62">
        <f t="shared" si="394"/>
        <v>650000</v>
      </c>
      <c r="U482" s="62">
        <f t="shared" si="394"/>
        <v>650000</v>
      </c>
      <c r="V482" s="62">
        <f t="shared" si="394"/>
        <v>650000</v>
      </c>
      <c r="W482" s="62">
        <f t="shared" si="394"/>
        <v>650000</v>
      </c>
      <c r="X482" s="62">
        <f t="shared" si="394"/>
        <v>650000</v>
      </c>
      <c r="Y482" s="62">
        <f t="shared" si="394"/>
        <v>650000</v>
      </c>
      <c r="Z482" s="62">
        <f t="shared" si="394"/>
        <v>650000</v>
      </c>
      <c r="AA482" s="62">
        <f t="shared" si="394"/>
        <v>650000</v>
      </c>
      <c r="AB482" s="62">
        <f t="shared" si="394"/>
        <v>650000</v>
      </c>
      <c r="AC482" s="62">
        <f t="shared" si="394"/>
        <v>650000</v>
      </c>
    </row>
    <row r="483" spans="1:29" x14ac:dyDescent="0.25">
      <c r="A483" s="30" t="str">
        <f t="shared" ref="A483:AC483" si="395">A465</f>
        <v>Opex maintenance &amp; repair</v>
      </c>
      <c r="B483" s="62">
        <f t="shared" si="395"/>
        <v>1388910.2037228637</v>
      </c>
      <c r="C483" s="62">
        <f t="shared" si="395"/>
        <v>1384161.8820080096</v>
      </c>
      <c r="D483" s="62">
        <f t="shared" si="395"/>
        <v>1377419.9458533253</v>
      </c>
      <c r="E483" s="62">
        <f t="shared" si="395"/>
        <v>1367890.8669573795</v>
      </c>
      <c r="F483" s="62">
        <f t="shared" si="395"/>
        <v>1354512.2121062956</v>
      </c>
      <c r="G483" s="62">
        <f t="shared" si="395"/>
        <v>1335911.0252611889</v>
      </c>
      <c r="H483" s="62">
        <f t="shared" si="395"/>
        <v>1310409.4939683313</v>
      </c>
      <c r="I483" s="62">
        <f t="shared" si="395"/>
        <v>1276138.1685443469</v>
      </c>
      <c r="J483" s="62">
        <f t="shared" si="395"/>
        <v>1231338.9254820407</v>
      </c>
      <c r="K483" s="62">
        <f t="shared" si="395"/>
        <v>1174921.8508999445</v>
      </c>
      <c r="L483" s="62">
        <f t="shared" si="395"/>
        <v>1107222.9808538083</v>
      </c>
      <c r="M483" s="62">
        <f t="shared" si="395"/>
        <v>1030670.8821991365</v>
      </c>
      <c r="N483" s="62">
        <f t="shared" si="395"/>
        <v>949855.14573475695</v>
      </c>
      <c r="O483" s="62">
        <f t="shared" si="395"/>
        <v>870629.71180240111</v>
      </c>
      <c r="P483" s="62">
        <f t="shared" si="395"/>
        <v>798509.16855274222</v>
      </c>
      <c r="Q483" s="62">
        <f t="shared" si="395"/>
        <v>737216.97695338901</v>
      </c>
      <c r="R483" s="62">
        <f t="shared" si="395"/>
        <v>688132.90829190495</v>
      </c>
      <c r="S483" s="62">
        <f t="shared" si="395"/>
        <v>650679.58539676399</v>
      </c>
      <c r="T483" s="62">
        <f t="shared" si="395"/>
        <v>623148.38930799719</v>
      </c>
      <c r="U483" s="62">
        <f t="shared" si="395"/>
        <v>603463.98238910188</v>
      </c>
      <c r="V483" s="62">
        <f t="shared" si="395"/>
        <v>589668.12012529059</v>
      </c>
      <c r="W483" s="62">
        <f t="shared" si="395"/>
        <v>580134.33134103287</v>
      </c>
      <c r="X483" s="62">
        <f t="shared" si="395"/>
        <v>573609.8845890474</v>
      </c>
      <c r="Y483" s="62">
        <f t="shared" si="395"/>
        <v>569174.682073851</v>
      </c>
      <c r="Z483" s="62">
        <f t="shared" si="395"/>
        <v>566173.42988411163</v>
      </c>
      <c r="AA483" s="62">
        <f t="shared" si="395"/>
        <v>564148.78202354477</v>
      </c>
      <c r="AB483" s="62">
        <f t="shared" si="395"/>
        <v>562785.79914140829</v>
      </c>
      <c r="AC483" s="62">
        <f t="shared" si="395"/>
        <v>561869.53442032111</v>
      </c>
    </row>
    <row r="484" spans="1:29" x14ac:dyDescent="0.25">
      <c r="A484" s="30" t="str">
        <f>A466</f>
        <v>Opex var (mode-fees, shunting)</v>
      </c>
      <c r="B484" s="62">
        <f>B466*B475</f>
        <v>700000</v>
      </c>
      <c r="C484" s="62">
        <f t="shared" ref="C484:AC484" si="396">C466*C475</f>
        <v>700000</v>
      </c>
      <c r="D484" s="62">
        <f t="shared" si="396"/>
        <v>700000</v>
      </c>
      <c r="E484" s="62">
        <f t="shared" si="396"/>
        <v>700000</v>
      </c>
      <c r="F484" s="62">
        <f t="shared" si="396"/>
        <v>700000</v>
      </c>
      <c r="G484" s="62">
        <f t="shared" si="396"/>
        <v>700000</v>
      </c>
      <c r="H484" s="62">
        <f t="shared" si="396"/>
        <v>700000</v>
      </c>
      <c r="I484" s="62">
        <f t="shared" si="396"/>
        <v>700000</v>
      </c>
      <c r="J484" s="62">
        <f t="shared" si="396"/>
        <v>700000</v>
      </c>
      <c r="K484" s="62">
        <f t="shared" si="396"/>
        <v>700000</v>
      </c>
      <c r="L484" s="62">
        <f t="shared" si="396"/>
        <v>700000</v>
      </c>
      <c r="M484" s="62">
        <f t="shared" si="396"/>
        <v>700000</v>
      </c>
      <c r="N484" s="62">
        <f t="shared" si="396"/>
        <v>700000</v>
      </c>
      <c r="O484" s="62">
        <f t="shared" si="396"/>
        <v>700000</v>
      </c>
      <c r="P484" s="62">
        <f t="shared" si="396"/>
        <v>700000</v>
      </c>
      <c r="Q484" s="62">
        <f t="shared" si="396"/>
        <v>700000</v>
      </c>
      <c r="R484" s="62">
        <f t="shared" si="396"/>
        <v>700000</v>
      </c>
      <c r="S484" s="62">
        <f t="shared" si="396"/>
        <v>700000</v>
      </c>
      <c r="T484" s="62">
        <f t="shared" si="396"/>
        <v>700000</v>
      </c>
      <c r="U484" s="62">
        <f t="shared" si="396"/>
        <v>700000</v>
      </c>
      <c r="V484" s="62">
        <f t="shared" si="396"/>
        <v>700000</v>
      </c>
      <c r="W484" s="62">
        <f t="shared" si="396"/>
        <v>700000</v>
      </c>
      <c r="X484" s="62">
        <f t="shared" si="396"/>
        <v>700000</v>
      </c>
      <c r="Y484" s="62">
        <f t="shared" si="396"/>
        <v>700000</v>
      </c>
      <c r="Z484" s="62">
        <f t="shared" si="396"/>
        <v>700000</v>
      </c>
      <c r="AA484" s="62">
        <f t="shared" si="396"/>
        <v>700000</v>
      </c>
      <c r="AB484" s="62">
        <f t="shared" si="396"/>
        <v>700000</v>
      </c>
      <c r="AC484" s="62">
        <f t="shared" si="396"/>
        <v>700000</v>
      </c>
    </row>
    <row r="485" spans="1:29" x14ac:dyDescent="0.25">
      <c r="A485" s="30" t="str">
        <f>A468</f>
        <v>Fuel Cost</v>
      </c>
      <c r="B485" s="62">
        <f>B467*B468*B475</f>
        <v>2198007.7097748476</v>
      </c>
      <c r="C485" s="62">
        <f t="shared" ref="C485:AC485" si="397">C467*C468*C475</f>
        <v>2188966.344853437</v>
      </c>
      <c r="D485" s="62">
        <f t="shared" si="397"/>
        <v>2176150.2571359598</v>
      </c>
      <c r="E485" s="62">
        <f t="shared" si="397"/>
        <v>2158078.6890399111</v>
      </c>
      <c r="F485" s="62">
        <f t="shared" si="397"/>
        <v>2132791.0160247581</v>
      </c>
      <c r="G485" s="62">
        <f t="shared" si="397"/>
        <v>2097795.9502724083</v>
      </c>
      <c r="H485" s="62">
        <f t="shared" si="397"/>
        <v>2050129.0545451115</v>
      </c>
      <c r="I485" s="62">
        <f t="shared" si="397"/>
        <v>1986634.5409192187</v>
      </c>
      <c r="J485" s="62">
        <f t="shared" si="397"/>
        <v>1904611.4133225391</v>
      </c>
      <c r="K485" s="62">
        <f t="shared" si="397"/>
        <v>1802891.2522917814</v>
      </c>
      <c r="L485" s="62">
        <f t="shared" si="397"/>
        <v>1683146.2077096445</v>
      </c>
      <c r="M485" s="62">
        <f t="shared" si="397"/>
        <v>1550785.691663306</v>
      </c>
      <c r="N485" s="62">
        <f t="shared" si="397"/>
        <v>1414559.0155313208</v>
      </c>
      <c r="O485" s="62">
        <f t="shared" si="397"/>
        <v>1284508.1995834436</v>
      </c>
      <c r="P485" s="62">
        <f t="shared" si="397"/>
        <v>1169129.1273181483</v>
      </c>
      <c r="Q485" s="62">
        <f t="shared" si="397"/>
        <v>1073327.4550872648</v>
      </c>
      <c r="R485" s="62">
        <f t="shared" si="397"/>
        <v>998100.91585720517</v>
      </c>
      <c r="S485" s="62">
        <f t="shared" si="397"/>
        <v>941593.17014026793</v>
      </c>
      <c r="T485" s="62">
        <f t="shared" si="397"/>
        <v>900548.62736821966</v>
      </c>
      <c r="U485" s="62">
        <f t="shared" si="397"/>
        <v>871458.57377498294</v>
      </c>
      <c r="V485" s="62">
        <f t="shared" si="397"/>
        <v>851198.06620715652</v>
      </c>
      <c r="W485" s="62">
        <f t="shared" si="397"/>
        <v>837258.12227443152</v>
      </c>
      <c r="X485" s="62">
        <f t="shared" si="397"/>
        <v>827747.20510321483</v>
      </c>
      <c r="Y485" s="62">
        <f t="shared" si="397"/>
        <v>821295.25258546346</v>
      </c>
      <c r="Z485" s="62">
        <f t="shared" si="397"/>
        <v>816935.44045804988</v>
      </c>
      <c r="AA485" s="62">
        <f t="shared" si="397"/>
        <v>813997.1116641328</v>
      </c>
      <c r="AB485" s="62">
        <f t="shared" si="397"/>
        <v>812020.31611280167</v>
      </c>
      <c r="AC485" s="62">
        <f t="shared" si="397"/>
        <v>810691.99174469069</v>
      </c>
    </row>
    <row r="486" spans="1:29" ht="15.75" thickBot="1" x14ac:dyDescent="0.3">
      <c r="A486" s="59" t="str">
        <f>A449</f>
        <v>Emission Cost</v>
      </c>
      <c r="B486" s="62">
        <f>B469*B475</f>
        <v>31384.562809326046</v>
      </c>
      <c r="C486" s="62">
        <f t="shared" ref="C486:AC486" si="398">C469*C475</f>
        <v>31354.677058629841</v>
      </c>
      <c r="D486" s="62">
        <f t="shared" si="398"/>
        <v>31311.896272159654</v>
      </c>
      <c r="E486" s="62">
        <f t="shared" si="398"/>
        <v>31250.695348634654</v>
      </c>
      <c r="F486" s="62">
        <f t="shared" si="398"/>
        <v>31163.225724263175</v>
      </c>
      <c r="G486" s="62">
        <f t="shared" si="398"/>
        <v>31038.387667315357</v>
      </c>
      <c r="H486" s="62">
        <f t="shared" si="398"/>
        <v>30860.587648093915</v>
      </c>
      <c r="I486" s="62">
        <f t="shared" si="398"/>
        <v>30608.137108750165</v>
      </c>
      <c r="J486" s="62">
        <f t="shared" si="398"/>
        <v>30251.322530335729</v>
      </c>
      <c r="K486" s="62">
        <f t="shared" si="398"/>
        <v>29750.36129971009</v>
      </c>
      <c r="L486" s="62">
        <f t="shared" si="398"/>
        <v>29053.843334582445</v>
      </c>
      <c r="M486" s="62">
        <f t="shared" si="398"/>
        <v>28098.943261181339</v>
      </c>
      <c r="N486" s="62">
        <f t="shared" si="398"/>
        <v>26815.659885485329</v>
      </c>
      <c r="O486" s="62">
        <f t="shared" si="398"/>
        <v>25138.160601334832</v>
      </c>
      <c r="P486" s="62">
        <f t="shared" si="398"/>
        <v>23025.633787127095</v>
      </c>
      <c r="Q486" s="62">
        <f t="shared" si="398"/>
        <v>20490.662250169502</v>
      </c>
      <c r="R486" s="62">
        <f t="shared" si="398"/>
        <v>17624.183222503099</v>
      </c>
      <c r="S486" s="62">
        <f t="shared" si="398"/>
        <v>14598.053073863191</v>
      </c>
      <c r="T486" s="62">
        <f t="shared" si="398"/>
        <v>11631.47150633083</v>
      </c>
      <c r="U486" s="62">
        <f t="shared" si="398"/>
        <v>8930.9312426128126</v>
      </c>
      <c r="V486" s="62">
        <f t="shared" si="398"/>
        <v>6635.8565827813327</v>
      </c>
      <c r="W486" s="62">
        <f t="shared" si="398"/>
        <v>4797.9128048403027</v>
      </c>
      <c r="X486" s="62">
        <f t="shared" si="398"/>
        <v>3395.4801285052108</v>
      </c>
      <c r="Y486" s="62">
        <f t="shared" si="398"/>
        <v>2364.579636135687</v>
      </c>
      <c r="Z486" s="62">
        <f t="shared" si="398"/>
        <v>1627.5006977828805</v>
      </c>
      <c r="AA486" s="62">
        <f t="shared" si="398"/>
        <v>1110.9172135575814</v>
      </c>
      <c r="AB486" s="62">
        <f t="shared" si="398"/>
        <v>753.92627425551336</v>
      </c>
      <c r="AC486" s="62">
        <f t="shared" si="398"/>
        <v>509.61958495025141</v>
      </c>
    </row>
    <row r="487" spans="1:29" ht="15.75" thickBot="1" x14ac:dyDescent="0.3">
      <c r="A487" s="31" t="s">
        <v>209</v>
      </c>
      <c r="B487" s="64">
        <f>B478+B479+B480+B481+B482+B483+B484+B485+B486</f>
        <v>6031092.1604940891</v>
      </c>
      <c r="C487" s="64">
        <f t="shared" ref="C487:AC487" si="399">C478+C479+C480+C481+C482+C483+C484+C485+C486</f>
        <v>6014266.3024129998</v>
      </c>
      <c r="D487" s="64">
        <f t="shared" si="399"/>
        <v>5990397.003025135</v>
      </c>
      <c r="E487" s="64">
        <f t="shared" si="399"/>
        <v>5956702.0479859998</v>
      </c>
      <c r="F487" s="64">
        <f t="shared" si="399"/>
        <v>5909477.8769401042</v>
      </c>
      <c r="G487" s="64">
        <f t="shared" si="399"/>
        <v>5843979.8922030339</v>
      </c>
      <c r="H487" s="64">
        <f t="shared" si="399"/>
        <v>5754487.9839508068</v>
      </c>
      <c r="I487" s="64">
        <f t="shared" si="399"/>
        <v>5634771.6289127683</v>
      </c>
      <c r="J487" s="64">
        <f t="shared" si="399"/>
        <v>5479228.880375796</v>
      </c>
      <c r="K487" s="64">
        <f t="shared" si="399"/>
        <v>5284871.569620939</v>
      </c>
      <c r="L487" s="64">
        <f t="shared" si="399"/>
        <v>5053869.2256512092</v>
      </c>
      <c r="M487" s="64">
        <f t="shared" si="399"/>
        <v>4795534.5907317735</v>
      </c>
      <c r="N487" s="64">
        <f t="shared" si="399"/>
        <v>4526042.3548782021</v>
      </c>
      <c r="O487" s="64">
        <f t="shared" si="399"/>
        <v>4264928.9276328459</v>
      </c>
      <c r="P487" s="64">
        <f t="shared" si="399"/>
        <v>4029655.3978821086</v>
      </c>
      <c r="Q487" s="64">
        <f t="shared" si="399"/>
        <v>3831220.8855131855</v>
      </c>
      <c r="R487" s="64">
        <f t="shared" si="399"/>
        <v>3672967.4010185883</v>
      </c>
      <c r="S487" s="64">
        <f t="shared" si="399"/>
        <v>3552267.5316388998</v>
      </c>
      <c r="T487" s="64">
        <f t="shared" si="399"/>
        <v>3463294.4965466764</v>
      </c>
      <c r="U487" s="64">
        <f t="shared" si="399"/>
        <v>3399356.7869504537</v>
      </c>
      <c r="V487" s="64">
        <f t="shared" si="399"/>
        <v>3354270.8240643856</v>
      </c>
      <c r="W487" s="64">
        <f t="shared" si="399"/>
        <v>3322923.0584933367</v>
      </c>
      <c r="X487" s="64">
        <f t="shared" si="399"/>
        <v>3301354.4653491518</v>
      </c>
      <c r="Y487" s="64">
        <f t="shared" si="399"/>
        <v>3286628.3680202882</v>
      </c>
      <c r="Z487" s="64">
        <f t="shared" si="399"/>
        <v>3276630.0541225402</v>
      </c>
      <c r="AA487" s="64">
        <f t="shared" si="399"/>
        <v>3269868.6368847573</v>
      </c>
      <c r="AB487" s="64">
        <f t="shared" si="399"/>
        <v>3265308.9276806167</v>
      </c>
      <c r="AC487" s="64">
        <f t="shared" si="399"/>
        <v>3262239.9209306049</v>
      </c>
    </row>
    <row r="488" spans="1:29" ht="15.75" thickBot="1" x14ac:dyDescent="0.3">
      <c r="AC488" s="32"/>
    </row>
    <row r="489" spans="1:29" ht="15.75" thickBot="1" x14ac:dyDescent="0.3">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400">A478</f>
        <v>Capex vehicle</v>
      </c>
      <c r="B490" s="65">
        <f>((1+B463)^B470)*B463/(((1+B463)^B470)-1)*(B459)/B475</f>
        <v>4.8455990713167774</v>
      </c>
      <c r="C490" s="65">
        <f t="shared" ref="C490:AC490" si="401">((1+C463)^C470)*C463/(((1+C463)^C470)-1)*(C459)/C475</f>
        <v>4.8290332319773173</v>
      </c>
      <c r="D490" s="65">
        <f t="shared" si="401"/>
        <v>4.8055121148579749</v>
      </c>
      <c r="E490" s="65">
        <f t="shared" si="401"/>
        <v>4.7722672760448299</v>
      </c>
      <c r="F490" s="65">
        <f t="shared" si="401"/>
        <v>4.7255921221377486</v>
      </c>
      <c r="G490" s="65">
        <f t="shared" si="401"/>
        <v>4.6606967146013627</v>
      </c>
      <c r="H490" s="65">
        <f t="shared" si="401"/>
        <v>4.571727538611003</v>
      </c>
      <c r="I490" s="65">
        <f t="shared" si="401"/>
        <v>4.4521624996314282</v>
      </c>
      <c r="J490" s="65">
        <f t="shared" si="401"/>
        <v>4.2958678954183256</v>
      </c>
      <c r="K490" s="65">
        <f t="shared" si="401"/>
        <v>4.0990412586288079</v>
      </c>
      <c r="L490" s="65">
        <f t="shared" si="401"/>
        <v>3.8628549443908802</v>
      </c>
      <c r="M490" s="65">
        <f t="shared" si="401"/>
        <v>3.5957816828120173</v>
      </c>
      <c r="N490" s="65">
        <f t="shared" si="401"/>
        <v>3.3138335363372309</v>
      </c>
      <c r="O490" s="65">
        <f t="shared" si="401"/>
        <v>3.0374336020158523</v>
      </c>
      <c r="P490" s="65">
        <f t="shared" si="401"/>
        <v>2.7858210525099958</v>
      </c>
      <c r="Q490" s="65">
        <f t="shared" si="401"/>
        <v>2.5719862157460938</v>
      </c>
      <c r="R490" s="65">
        <f t="shared" si="401"/>
        <v>2.4007428071477408</v>
      </c>
      <c r="S490" s="65">
        <f t="shared" si="401"/>
        <v>2.2700764860623535</v>
      </c>
      <c r="T490" s="65">
        <f t="shared" si="401"/>
        <v>2.1740262606104945</v>
      </c>
      <c r="U490" s="65">
        <f t="shared" si="401"/>
        <v>2.1053517389387877</v>
      </c>
      <c r="V490" s="65">
        <f t="shared" si="401"/>
        <v>2.0572210410762808</v>
      </c>
      <c r="W490" s="65">
        <f t="shared" si="401"/>
        <v>2.0239597705093986</v>
      </c>
      <c r="X490" s="65">
        <f t="shared" si="401"/>
        <v>2.0011974255877933</v>
      </c>
      <c r="Y490" s="65">
        <f t="shared" si="401"/>
        <v>1.985723989557781</v>
      </c>
      <c r="Z490" s="65">
        <f t="shared" si="401"/>
        <v>1.9752532875754587</v>
      </c>
      <c r="AA490" s="65">
        <f t="shared" si="401"/>
        <v>1.9681897410865572</v>
      </c>
      <c r="AB490" s="65">
        <f t="shared" si="401"/>
        <v>1.9634345966789499</v>
      </c>
      <c r="AC490" s="65">
        <f t="shared" si="401"/>
        <v>1.9602379526700859</v>
      </c>
    </row>
    <row r="491" spans="1:29" x14ac:dyDescent="0.25">
      <c r="A491" s="30" t="str">
        <f t="shared" si="400"/>
        <v>Residual value (vehicle)</v>
      </c>
      <c r="B491" s="66">
        <f>((1+B463)^B470)*B463/(((1+B463)^B470)-1)*(B460)/B475</f>
        <v>-0.24485927589579937</v>
      </c>
      <c r="C491" s="66">
        <f t="shared" ref="C491:AC491" si="402">((1+C463)^C470)*C463/(((1+C463)^C470)-1)*(C460)/C475</f>
        <v>-0.2451353732181237</v>
      </c>
      <c r="D491" s="66">
        <f t="shared" si="402"/>
        <v>-0.24552739183677941</v>
      </c>
      <c r="E491" s="66">
        <f t="shared" si="402"/>
        <v>-0.24608147248366516</v>
      </c>
      <c r="F491" s="66">
        <f t="shared" si="402"/>
        <v>-0.24685939171544985</v>
      </c>
      <c r="G491" s="66">
        <f t="shared" si="402"/>
        <v>-0.24794098184105628</v>
      </c>
      <c r="H491" s="66">
        <f t="shared" si="402"/>
        <v>-0.24942380144089563</v>
      </c>
      <c r="I491" s="66">
        <f t="shared" si="402"/>
        <v>-0.25141655209055519</v>
      </c>
      <c r="J491" s="66">
        <f t="shared" si="402"/>
        <v>-0.25402146216077354</v>
      </c>
      <c r="K491" s="66">
        <f t="shared" si="402"/>
        <v>-0.25730190610726555</v>
      </c>
      <c r="L491" s="66">
        <f t="shared" si="402"/>
        <v>-0.26123834467789769</v>
      </c>
      <c r="M491" s="66">
        <f t="shared" si="402"/>
        <v>-0.26568956570421209</v>
      </c>
      <c r="N491" s="66">
        <f t="shared" si="402"/>
        <v>-0.27038870147879185</v>
      </c>
      <c r="O491" s="66">
        <f t="shared" si="402"/>
        <v>-0.27499536705081479</v>
      </c>
      <c r="P491" s="66">
        <f t="shared" si="402"/>
        <v>-0.27918890954257908</v>
      </c>
      <c r="Q491" s="66">
        <f t="shared" si="402"/>
        <v>-0.28275282348864411</v>
      </c>
      <c r="R491" s="66">
        <f t="shared" si="402"/>
        <v>-0.28560688029861664</v>
      </c>
      <c r="S491" s="66">
        <f t="shared" si="402"/>
        <v>-0.28778465231670641</v>
      </c>
      <c r="T491" s="66">
        <f t="shared" si="402"/>
        <v>-0.28938548940757075</v>
      </c>
      <c r="U491" s="66">
        <f t="shared" si="402"/>
        <v>-0.29053006476876586</v>
      </c>
      <c r="V491" s="66">
        <f t="shared" si="402"/>
        <v>-0.29133224306647432</v>
      </c>
      <c r="W491" s="66">
        <f t="shared" si="402"/>
        <v>-0.29188659757592234</v>
      </c>
      <c r="X491" s="66">
        <f t="shared" si="402"/>
        <v>-0.29226596999128246</v>
      </c>
      <c r="Y491" s="66">
        <f t="shared" si="402"/>
        <v>-0.29252386059178265</v>
      </c>
      <c r="Z491" s="66">
        <f t="shared" si="402"/>
        <v>-0.29269837229148804</v>
      </c>
      <c r="AA491" s="66">
        <f t="shared" si="402"/>
        <v>-0.29281609806630304</v>
      </c>
      <c r="AB491" s="66">
        <f t="shared" si="402"/>
        <v>-0.29289535047309651</v>
      </c>
      <c r="AC491" s="66">
        <f t="shared" si="402"/>
        <v>-0.29294862787324427</v>
      </c>
    </row>
    <row r="492" spans="1:29" x14ac:dyDescent="0.25">
      <c r="A492" s="30" t="str">
        <f t="shared" si="400"/>
        <v>Capex costumization</v>
      </c>
      <c r="B492" s="66">
        <f>((1+B463)^B471)*B463/(((1+B463)^B471)-1)*(B461)/B475</f>
        <v>1.4244884605891606</v>
      </c>
      <c r="C492" s="66">
        <f t="shared" ref="C492:AC492" si="403">((1+C463)^C471)*C463/(((1+C463)^C471)-1)*(C461)/C475</f>
        <v>1.4244884605891606</v>
      </c>
      <c r="D492" s="66">
        <f t="shared" si="403"/>
        <v>1.4244884605891606</v>
      </c>
      <c r="E492" s="66">
        <f t="shared" si="403"/>
        <v>1.4244884605891606</v>
      </c>
      <c r="F492" s="66">
        <f t="shared" si="403"/>
        <v>1.4244884605891606</v>
      </c>
      <c r="G492" s="66">
        <f t="shared" si="403"/>
        <v>1.4244884605891606</v>
      </c>
      <c r="H492" s="66">
        <f t="shared" si="403"/>
        <v>1.4244884605891606</v>
      </c>
      <c r="I492" s="66">
        <f t="shared" si="403"/>
        <v>1.4244884605891606</v>
      </c>
      <c r="J492" s="66">
        <f t="shared" si="403"/>
        <v>1.4244884605891606</v>
      </c>
      <c r="K492" s="66">
        <f t="shared" si="403"/>
        <v>1.4244884605891606</v>
      </c>
      <c r="L492" s="66">
        <f t="shared" si="403"/>
        <v>1.4244884605891606</v>
      </c>
      <c r="M492" s="66">
        <f t="shared" si="403"/>
        <v>1.4244884605891606</v>
      </c>
      <c r="N492" s="66">
        <f t="shared" si="403"/>
        <v>1.4244884605891606</v>
      </c>
      <c r="O492" s="66">
        <f t="shared" si="403"/>
        <v>1.4244884605891606</v>
      </c>
      <c r="P492" s="66">
        <f t="shared" si="403"/>
        <v>1.4244884605891606</v>
      </c>
      <c r="Q492" s="66">
        <f t="shared" si="403"/>
        <v>1.4244884605891606</v>
      </c>
      <c r="R492" s="66">
        <f t="shared" si="403"/>
        <v>1.4244884605891606</v>
      </c>
      <c r="S492" s="66">
        <f t="shared" si="403"/>
        <v>1.4244884605891606</v>
      </c>
      <c r="T492" s="66">
        <f t="shared" si="403"/>
        <v>1.4244884605891606</v>
      </c>
      <c r="U492" s="66">
        <f t="shared" si="403"/>
        <v>1.4244884605891606</v>
      </c>
      <c r="V492" s="66">
        <f t="shared" si="403"/>
        <v>1.4244884605891606</v>
      </c>
      <c r="W492" s="66">
        <f t="shared" si="403"/>
        <v>1.4244884605891606</v>
      </c>
      <c r="X492" s="66">
        <f t="shared" si="403"/>
        <v>1.4244884605891606</v>
      </c>
      <c r="Y492" s="66">
        <f t="shared" si="403"/>
        <v>1.4244884605891606</v>
      </c>
      <c r="Z492" s="66">
        <f t="shared" si="403"/>
        <v>1.4244884605891606</v>
      </c>
      <c r="AA492" s="66">
        <f t="shared" si="403"/>
        <v>1.4244884605891606</v>
      </c>
      <c r="AB492" s="66">
        <f t="shared" si="403"/>
        <v>1.4244884605891606</v>
      </c>
      <c r="AC492" s="66">
        <f t="shared" si="403"/>
        <v>1.4244884605891606</v>
      </c>
    </row>
    <row r="493" spans="1:29" x14ac:dyDescent="0.25">
      <c r="A493" s="30" t="str">
        <f t="shared" si="400"/>
        <v>Residual value (costumization)</v>
      </c>
      <c r="B493" s="66">
        <f>((1+B463)^B471)*B463/(((1+B463)^B471)-1)*(B462)/B475</f>
        <v>-7.1224423029458042E-2</v>
      </c>
      <c r="C493" s="66">
        <f t="shared" ref="C493:AC493" si="404">((1+C463)^C471)*C463/(((1+C463)^C471)-1)*(C462)/C475</f>
        <v>-7.1224423029458042E-2</v>
      </c>
      <c r="D493" s="66">
        <f t="shared" si="404"/>
        <v>-7.1224423029458042E-2</v>
      </c>
      <c r="E493" s="66">
        <f t="shared" si="404"/>
        <v>-7.1224423029458042E-2</v>
      </c>
      <c r="F493" s="66">
        <f t="shared" si="404"/>
        <v>-7.1224423029458042E-2</v>
      </c>
      <c r="G493" s="66">
        <f t="shared" si="404"/>
        <v>-7.1224423029458042E-2</v>
      </c>
      <c r="H493" s="66">
        <f t="shared" si="404"/>
        <v>-7.1224423029458042E-2</v>
      </c>
      <c r="I493" s="66">
        <f t="shared" si="404"/>
        <v>-7.1224423029458042E-2</v>
      </c>
      <c r="J493" s="66">
        <f t="shared" si="404"/>
        <v>-7.1224423029458042E-2</v>
      </c>
      <c r="K493" s="66">
        <f t="shared" si="404"/>
        <v>-7.1224423029458042E-2</v>
      </c>
      <c r="L493" s="66">
        <f t="shared" si="404"/>
        <v>-7.1224423029458042E-2</v>
      </c>
      <c r="M493" s="66">
        <f t="shared" si="404"/>
        <v>-7.1224423029458042E-2</v>
      </c>
      <c r="N493" s="66">
        <f t="shared" si="404"/>
        <v>-7.1224423029458042E-2</v>
      </c>
      <c r="O493" s="66">
        <f t="shared" si="404"/>
        <v>-7.1224423029458042E-2</v>
      </c>
      <c r="P493" s="66">
        <f t="shared" si="404"/>
        <v>-7.1224423029458042E-2</v>
      </c>
      <c r="Q493" s="66">
        <f t="shared" si="404"/>
        <v>-7.1224423029458042E-2</v>
      </c>
      <c r="R493" s="66">
        <f t="shared" si="404"/>
        <v>-7.1224423029458042E-2</v>
      </c>
      <c r="S493" s="66">
        <f t="shared" si="404"/>
        <v>-7.1224423029458042E-2</v>
      </c>
      <c r="T493" s="66">
        <f t="shared" si="404"/>
        <v>-7.1224423029458042E-2</v>
      </c>
      <c r="U493" s="66">
        <f t="shared" si="404"/>
        <v>-7.1224423029458042E-2</v>
      </c>
      <c r="V493" s="66">
        <f t="shared" si="404"/>
        <v>-7.1224423029458042E-2</v>
      </c>
      <c r="W493" s="66">
        <f t="shared" si="404"/>
        <v>-7.1224423029458042E-2</v>
      </c>
      <c r="X493" s="66">
        <f t="shared" si="404"/>
        <v>-7.1224423029458042E-2</v>
      </c>
      <c r="Y493" s="66">
        <f t="shared" si="404"/>
        <v>-7.1224423029458042E-2</v>
      </c>
      <c r="Z493" s="66">
        <f t="shared" si="404"/>
        <v>-7.1224423029458042E-2</v>
      </c>
      <c r="AA493" s="66">
        <f t="shared" si="404"/>
        <v>-7.1224423029458042E-2</v>
      </c>
      <c r="AB493" s="66">
        <f t="shared" si="404"/>
        <v>-7.1224423029458042E-2</v>
      </c>
      <c r="AC493" s="66">
        <f t="shared" si="404"/>
        <v>-7.1224423029458042E-2</v>
      </c>
    </row>
    <row r="494" spans="1:29" x14ac:dyDescent="0.25">
      <c r="A494" s="30" t="str">
        <f t="shared" si="400"/>
        <v>Opex fix (admin, crew, insurance)</v>
      </c>
      <c r="B494" s="66">
        <f>B464/B475</f>
        <v>3.6414565826330532</v>
      </c>
      <c r="C494" s="66">
        <f t="shared" ref="C494:AC494" si="405">C464/C475</f>
        <v>3.6414565826330532</v>
      </c>
      <c r="D494" s="66">
        <f t="shared" si="405"/>
        <v>3.6414565826330532</v>
      </c>
      <c r="E494" s="66">
        <f t="shared" si="405"/>
        <v>3.6414565826330532</v>
      </c>
      <c r="F494" s="66">
        <f t="shared" si="405"/>
        <v>3.6414565826330532</v>
      </c>
      <c r="G494" s="66">
        <f t="shared" si="405"/>
        <v>3.6414565826330532</v>
      </c>
      <c r="H494" s="66">
        <f t="shared" si="405"/>
        <v>3.6414565826330532</v>
      </c>
      <c r="I494" s="66">
        <f t="shared" si="405"/>
        <v>3.6414565826330532</v>
      </c>
      <c r="J494" s="66">
        <f t="shared" si="405"/>
        <v>3.6414565826330532</v>
      </c>
      <c r="K494" s="66">
        <f t="shared" si="405"/>
        <v>3.6414565826330532</v>
      </c>
      <c r="L494" s="66">
        <f t="shared" si="405"/>
        <v>3.6414565826330532</v>
      </c>
      <c r="M494" s="66">
        <f t="shared" si="405"/>
        <v>3.6414565826330532</v>
      </c>
      <c r="N494" s="66">
        <f t="shared" si="405"/>
        <v>3.6414565826330532</v>
      </c>
      <c r="O494" s="66">
        <f t="shared" si="405"/>
        <v>3.6414565826330532</v>
      </c>
      <c r="P494" s="66">
        <f t="shared" si="405"/>
        <v>3.6414565826330532</v>
      </c>
      <c r="Q494" s="66">
        <f t="shared" si="405"/>
        <v>3.6414565826330532</v>
      </c>
      <c r="R494" s="66">
        <f t="shared" si="405"/>
        <v>3.6414565826330532</v>
      </c>
      <c r="S494" s="66">
        <f t="shared" si="405"/>
        <v>3.6414565826330532</v>
      </c>
      <c r="T494" s="66">
        <f t="shared" si="405"/>
        <v>3.6414565826330532</v>
      </c>
      <c r="U494" s="66">
        <f t="shared" si="405"/>
        <v>3.6414565826330532</v>
      </c>
      <c r="V494" s="66">
        <f t="shared" si="405"/>
        <v>3.6414565826330532</v>
      </c>
      <c r="W494" s="66">
        <f t="shared" si="405"/>
        <v>3.6414565826330532</v>
      </c>
      <c r="X494" s="66">
        <f t="shared" si="405"/>
        <v>3.6414565826330532</v>
      </c>
      <c r="Y494" s="66">
        <f t="shared" si="405"/>
        <v>3.6414565826330532</v>
      </c>
      <c r="Z494" s="66">
        <f t="shared" si="405"/>
        <v>3.6414565826330532</v>
      </c>
      <c r="AA494" s="66">
        <f t="shared" si="405"/>
        <v>3.6414565826330532</v>
      </c>
      <c r="AB494" s="66">
        <f t="shared" si="405"/>
        <v>3.6414565826330532</v>
      </c>
      <c r="AC494" s="66">
        <f t="shared" si="405"/>
        <v>3.6414565826330532</v>
      </c>
    </row>
    <row r="495" spans="1:29" x14ac:dyDescent="0.25">
      <c r="A495" s="30" t="str">
        <f t="shared" si="400"/>
        <v>Opex maintenance &amp; repair</v>
      </c>
      <c r="B495" s="66">
        <f>B465/B475</f>
        <v>7.7810095446659027</v>
      </c>
      <c r="C495" s="66">
        <f t="shared" ref="C495:AC495" si="406">C465/C475</f>
        <v>7.7544083025658797</v>
      </c>
      <c r="D495" s="66">
        <f t="shared" si="406"/>
        <v>7.7166383521194692</v>
      </c>
      <c r="E495" s="66">
        <f t="shared" si="406"/>
        <v>7.6632541566239745</v>
      </c>
      <c r="F495" s="66">
        <f t="shared" si="406"/>
        <v>7.5883037092789669</v>
      </c>
      <c r="G495" s="66">
        <f t="shared" si="406"/>
        <v>7.4840953796145033</v>
      </c>
      <c r="H495" s="66">
        <f t="shared" si="406"/>
        <v>7.3412296580858891</v>
      </c>
      <c r="I495" s="66">
        <f t="shared" si="406"/>
        <v>7.1492334372232325</v>
      </c>
      <c r="J495" s="66">
        <f t="shared" si="406"/>
        <v>6.8982572856136732</v>
      </c>
      <c r="K495" s="66">
        <f t="shared" si="406"/>
        <v>6.5821952431369439</v>
      </c>
      <c r="L495" s="66">
        <f t="shared" si="406"/>
        <v>6.202929864727218</v>
      </c>
      <c r="M495" s="66">
        <f t="shared" si="406"/>
        <v>5.7740665669419418</v>
      </c>
      <c r="N495" s="66">
        <f t="shared" si="406"/>
        <v>5.3213173430518594</v>
      </c>
      <c r="O495" s="66">
        <f t="shared" si="406"/>
        <v>4.8774773770442641</v>
      </c>
      <c r="P495" s="66">
        <f t="shared" si="406"/>
        <v>4.4734407201834294</v>
      </c>
      <c r="Q495" s="66">
        <f t="shared" si="406"/>
        <v>4.13006709777809</v>
      </c>
      <c r="R495" s="66">
        <f t="shared" si="406"/>
        <v>3.855086320963053</v>
      </c>
      <c r="S495" s="66">
        <f t="shared" si="406"/>
        <v>3.6452637837353725</v>
      </c>
      <c r="T495" s="66">
        <f t="shared" si="406"/>
        <v>3.4910273910812166</v>
      </c>
      <c r="U495" s="66">
        <f t="shared" si="406"/>
        <v>3.3807506016196185</v>
      </c>
      <c r="V495" s="66">
        <f t="shared" si="406"/>
        <v>3.3034628578447651</v>
      </c>
      <c r="W495" s="66">
        <f t="shared" si="406"/>
        <v>3.2500522764203521</v>
      </c>
      <c r="X495" s="66">
        <f t="shared" si="406"/>
        <v>3.2135007540002656</v>
      </c>
      <c r="Y495" s="66">
        <f t="shared" si="406"/>
        <v>3.188653681086</v>
      </c>
      <c r="Z495" s="66">
        <f t="shared" si="406"/>
        <v>3.1718399433283566</v>
      </c>
      <c r="AA495" s="66">
        <f t="shared" si="406"/>
        <v>3.1604973782831638</v>
      </c>
      <c r="AB495" s="66">
        <f t="shared" si="406"/>
        <v>3.1528616198398223</v>
      </c>
      <c r="AC495" s="66">
        <f t="shared" si="406"/>
        <v>3.1477284841474571</v>
      </c>
    </row>
    <row r="496" spans="1:29" x14ac:dyDescent="0.25">
      <c r="A496" s="30" t="str">
        <f t="shared" si="400"/>
        <v>Opex var (mode-fees, shunting)</v>
      </c>
      <c r="B496" s="66">
        <f>B466*B475/B475</f>
        <v>3.9215686274509802</v>
      </c>
      <c r="C496" s="66">
        <f t="shared" ref="C496:AC496" si="407">C466*C475/C475</f>
        <v>3.9215686274509802</v>
      </c>
      <c r="D496" s="66">
        <f t="shared" si="407"/>
        <v>3.9215686274509802</v>
      </c>
      <c r="E496" s="66">
        <f t="shared" si="407"/>
        <v>3.9215686274509802</v>
      </c>
      <c r="F496" s="66">
        <f t="shared" si="407"/>
        <v>3.9215686274509802</v>
      </c>
      <c r="G496" s="66">
        <f t="shared" si="407"/>
        <v>3.9215686274509802</v>
      </c>
      <c r="H496" s="66">
        <f t="shared" si="407"/>
        <v>3.9215686274509802</v>
      </c>
      <c r="I496" s="66">
        <f t="shared" si="407"/>
        <v>3.9215686274509802</v>
      </c>
      <c r="J496" s="66">
        <f t="shared" si="407"/>
        <v>3.9215686274509802</v>
      </c>
      <c r="K496" s="66">
        <f t="shared" si="407"/>
        <v>3.9215686274509802</v>
      </c>
      <c r="L496" s="66">
        <f t="shared" si="407"/>
        <v>3.9215686274509802</v>
      </c>
      <c r="M496" s="66">
        <f t="shared" si="407"/>
        <v>3.9215686274509802</v>
      </c>
      <c r="N496" s="66">
        <f t="shared" si="407"/>
        <v>3.9215686274509802</v>
      </c>
      <c r="O496" s="66">
        <f t="shared" si="407"/>
        <v>3.9215686274509802</v>
      </c>
      <c r="P496" s="66">
        <f t="shared" si="407"/>
        <v>3.9215686274509802</v>
      </c>
      <c r="Q496" s="66">
        <f t="shared" si="407"/>
        <v>3.9215686274509802</v>
      </c>
      <c r="R496" s="66">
        <f t="shared" si="407"/>
        <v>3.9215686274509802</v>
      </c>
      <c r="S496" s="66">
        <f t="shared" si="407"/>
        <v>3.9215686274509802</v>
      </c>
      <c r="T496" s="66">
        <f t="shared" si="407"/>
        <v>3.9215686274509802</v>
      </c>
      <c r="U496" s="66">
        <f t="shared" si="407"/>
        <v>3.9215686274509802</v>
      </c>
      <c r="V496" s="66">
        <f t="shared" si="407"/>
        <v>3.9215686274509802</v>
      </c>
      <c r="W496" s="66">
        <f t="shared" si="407"/>
        <v>3.9215686274509802</v>
      </c>
      <c r="X496" s="66">
        <f t="shared" si="407"/>
        <v>3.9215686274509802</v>
      </c>
      <c r="Y496" s="66">
        <f t="shared" si="407"/>
        <v>3.9215686274509802</v>
      </c>
      <c r="Z496" s="66">
        <f t="shared" si="407"/>
        <v>3.9215686274509802</v>
      </c>
      <c r="AA496" s="66">
        <f t="shared" si="407"/>
        <v>3.9215686274509802</v>
      </c>
      <c r="AB496" s="66">
        <f t="shared" si="407"/>
        <v>3.9215686274509802</v>
      </c>
      <c r="AC496" s="66">
        <f t="shared" si="407"/>
        <v>3.9215686274509802</v>
      </c>
    </row>
    <row r="497" spans="1:29" x14ac:dyDescent="0.25">
      <c r="A497" s="30" t="str">
        <f t="shared" si="400"/>
        <v>Fuel Cost</v>
      </c>
      <c r="B497" s="66">
        <f>B467*B468*B475/B475</f>
        <v>12.313768682212032</v>
      </c>
      <c r="C497" s="66">
        <f t="shared" ref="C497:AC497" si="408">C467*C468*C475/C475</f>
        <v>12.263116777890403</v>
      </c>
      <c r="D497" s="66">
        <f t="shared" si="408"/>
        <v>12.191317967148235</v>
      </c>
      <c r="E497" s="66">
        <f t="shared" si="408"/>
        <v>12.090076689299222</v>
      </c>
      <c r="F497" s="66">
        <f t="shared" si="408"/>
        <v>11.94840905335999</v>
      </c>
      <c r="G497" s="66">
        <f t="shared" si="408"/>
        <v>11.75235826483142</v>
      </c>
      <c r="H497" s="66">
        <f t="shared" si="408"/>
        <v>11.485316832185498</v>
      </c>
      <c r="I497" s="66">
        <f t="shared" si="408"/>
        <v>11.129605271256127</v>
      </c>
      <c r="J497" s="66">
        <f t="shared" si="408"/>
        <v>10.670091951386773</v>
      </c>
      <c r="K497" s="66">
        <f t="shared" si="408"/>
        <v>10.100231105276086</v>
      </c>
      <c r="L497" s="66">
        <f t="shared" si="408"/>
        <v>9.4293905193817622</v>
      </c>
      <c r="M497" s="66">
        <f t="shared" si="408"/>
        <v>8.6878750233238424</v>
      </c>
      <c r="N497" s="66">
        <f t="shared" si="408"/>
        <v>7.9247003671222451</v>
      </c>
      <c r="O497" s="66">
        <f t="shared" si="408"/>
        <v>7.1961243674142494</v>
      </c>
      <c r="P497" s="66">
        <f t="shared" si="408"/>
        <v>6.5497430101857042</v>
      </c>
      <c r="Q497" s="66">
        <f t="shared" si="408"/>
        <v>6.0130389640743127</v>
      </c>
      <c r="R497" s="66">
        <f t="shared" si="408"/>
        <v>5.5916017695081521</v>
      </c>
      <c r="S497" s="66">
        <f t="shared" si="408"/>
        <v>5.2750317654916969</v>
      </c>
      <c r="T497" s="66">
        <f t="shared" si="408"/>
        <v>5.0450903494017911</v>
      </c>
      <c r="U497" s="66">
        <f t="shared" si="408"/>
        <v>4.8821208614844984</v>
      </c>
      <c r="V497" s="66">
        <f t="shared" si="408"/>
        <v>4.768616617407039</v>
      </c>
      <c r="W497" s="66">
        <f t="shared" si="408"/>
        <v>4.6905216934141825</v>
      </c>
      <c r="X497" s="66">
        <f t="shared" si="408"/>
        <v>4.6372392442757135</v>
      </c>
      <c r="Y497" s="66">
        <f t="shared" si="408"/>
        <v>4.6010938520194031</v>
      </c>
      <c r="Z497" s="66">
        <f t="shared" si="408"/>
        <v>4.5766691342187666</v>
      </c>
      <c r="AA497" s="66">
        <f t="shared" si="408"/>
        <v>4.5602079084825364</v>
      </c>
      <c r="AB497" s="66">
        <f t="shared" si="408"/>
        <v>4.5491334236011296</v>
      </c>
      <c r="AC497" s="66">
        <f t="shared" si="408"/>
        <v>4.5416918305024687</v>
      </c>
    </row>
    <row r="498" spans="1:29" ht="15.75" thickBot="1" x14ac:dyDescent="0.3">
      <c r="A498" s="59" t="str">
        <f t="shared" ref="A498" si="409">A486</f>
        <v>Emission Cost</v>
      </c>
      <c r="B498" s="66">
        <f>B469</f>
        <v>0.17582388128473975</v>
      </c>
      <c r="C498" s="66">
        <f t="shared" ref="C498:AC498" si="410">C469</f>
        <v>0.17565645410997111</v>
      </c>
      <c r="D498" s="66">
        <f t="shared" si="410"/>
        <v>0.17541678583842943</v>
      </c>
      <c r="E498" s="66">
        <f t="shared" si="410"/>
        <v>0.17507392352176276</v>
      </c>
      <c r="F498" s="66">
        <f t="shared" si="410"/>
        <v>0.17458389761491974</v>
      </c>
      <c r="G498" s="66">
        <f t="shared" si="410"/>
        <v>0.17388452474686475</v>
      </c>
      <c r="H498" s="66">
        <f t="shared" si="410"/>
        <v>0.17288844620780905</v>
      </c>
      <c r="I498" s="66">
        <f t="shared" si="410"/>
        <v>0.17147415747198971</v>
      </c>
      <c r="J498" s="66">
        <f t="shared" si="410"/>
        <v>0.16947519624837942</v>
      </c>
      <c r="K498" s="66">
        <f t="shared" si="410"/>
        <v>0.16666869075467838</v>
      </c>
      <c r="L498" s="66">
        <f t="shared" si="410"/>
        <v>0.16276662932539185</v>
      </c>
      <c r="M498" s="66">
        <f t="shared" si="410"/>
        <v>0.15741704908224841</v>
      </c>
      <c r="N498" s="66">
        <f t="shared" si="410"/>
        <v>0.15022778647330717</v>
      </c>
      <c r="O498" s="66">
        <f t="shared" si="410"/>
        <v>0.14083003138002706</v>
      </c>
      <c r="P498" s="66">
        <f t="shared" si="410"/>
        <v>0.12899514726681846</v>
      </c>
      <c r="Q498" s="66">
        <f t="shared" si="410"/>
        <v>0.11479362605136975</v>
      </c>
      <c r="R498" s="66">
        <f t="shared" si="410"/>
        <v>9.8734920014022967E-2</v>
      </c>
      <c r="S498" s="66">
        <f t="shared" si="410"/>
        <v>8.1781809937608918E-2</v>
      </c>
      <c r="T498" s="66">
        <f t="shared" si="410"/>
        <v>6.5162305357595693E-2</v>
      </c>
      <c r="U498" s="66">
        <f t="shared" si="410"/>
        <v>5.0033228249931727E-2</v>
      </c>
      <c r="V498" s="66">
        <f t="shared" si="410"/>
        <v>3.7175667130427636E-2</v>
      </c>
      <c r="W498" s="66">
        <f t="shared" si="410"/>
        <v>2.6879063332438669E-2</v>
      </c>
      <c r="X498" s="66">
        <f t="shared" si="410"/>
        <v>1.9022297638684654E-2</v>
      </c>
      <c r="Y498" s="66">
        <f t="shared" si="410"/>
        <v>1.324694474025595E-2</v>
      </c>
      <c r="Z498" s="66">
        <f t="shared" si="410"/>
        <v>9.1176509679713191E-3</v>
      </c>
      <c r="AA498" s="66">
        <f t="shared" si="410"/>
        <v>6.2236258462609606E-3</v>
      </c>
      <c r="AB498" s="66">
        <f t="shared" si="410"/>
        <v>4.2236766064734643E-3</v>
      </c>
      <c r="AC498" s="66">
        <f t="shared" si="410"/>
        <v>2.8550116803935655E-3</v>
      </c>
    </row>
    <row r="499" spans="1:29" ht="15.75" thickBot="1" x14ac:dyDescent="0.3">
      <c r="A499" s="31" t="s">
        <v>63</v>
      </c>
      <c r="B499" s="76">
        <f>B490+B491+B492-B493+B494+B495+B496+B497+B498</f>
        <v>33.930079997286313</v>
      </c>
      <c r="C499" s="76">
        <f t="shared" ref="C499:AC499" si="411">C490+C491+C492-C493+C494+C495+C496+C497+C498</f>
        <v>33.835817487028095</v>
      </c>
      <c r="D499" s="76">
        <f t="shared" si="411"/>
        <v>33.702095921829979</v>
      </c>
      <c r="E499" s="76">
        <f t="shared" si="411"/>
        <v>33.51332866670878</v>
      </c>
      <c r="F499" s="76">
        <f t="shared" si="411"/>
        <v>33.248767484378831</v>
      </c>
      <c r="G499" s="76">
        <f t="shared" si="411"/>
        <v>32.881831995655752</v>
      </c>
      <c r="H499" s="76">
        <f t="shared" si="411"/>
        <v>32.380476767351951</v>
      </c>
      <c r="I499" s="76">
        <f t="shared" si="411"/>
        <v>31.709796907194871</v>
      </c>
      <c r="J499" s="76">
        <f t="shared" si="411"/>
        <v>30.83840896020903</v>
      </c>
      <c r="K499" s="76">
        <f t="shared" si="411"/>
        <v>29.749572485391905</v>
      </c>
      <c r="L499" s="76">
        <f t="shared" si="411"/>
        <v>28.455441706850007</v>
      </c>
      <c r="M499" s="76">
        <f t="shared" si="411"/>
        <v>27.00818885015849</v>
      </c>
      <c r="N499" s="76">
        <f t="shared" si="411"/>
        <v>25.498428425208502</v>
      </c>
      <c r="O499" s="76">
        <f t="shared" si="411"/>
        <v>24.035608104506231</v>
      </c>
      <c r="P499" s="76">
        <f t="shared" si="411"/>
        <v>22.717549114306017</v>
      </c>
      <c r="Q499" s="76">
        <f t="shared" si="411"/>
        <v>21.605871173863875</v>
      </c>
      <c r="R499" s="76">
        <f t="shared" si="411"/>
        <v>20.719297031037009</v>
      </c>
      <c r="S499" s="76">
        <f t="shared" si="411"/>
        <v>20.04310728661298</v>
      </c>
      <c r="T499" s="76">
        <f t="shared" si="411"/>
        <v>19.544658910746179</v>
      </c>
      <c r="U499" s="76">
        <f t="shared" si="411"/>
        <v>19.18646445922672</v>
      </c>
      <c r="V499" s="76">
        <f t="shared" si="411"/>
        <v>18.93388203409469</v>
      </c>
      <c r="W499" s="76">
        <f t="shared" si="411"/>
        <v>18.758264299803102</v>
      </c>
      <c r="X499" s="76">
        <f t="shared" si="411"/>
        <v>18.637431845213825</v>
      </c>
      <c r="Y499" s="76">
        <f t="shared" si="411"/>
        <v>18.554932700514311</v>
      </c>
      <c r="Z499" s="76">
        <f t="shared" si="411"/>
        <v>18.498919737501719</v>
      </c>
      <c r="AA499" s="76">
        <f t="shared" si="411"/>
        <v>18.461040649334869</v>
      </c>
      <c r="AB499" s="76">
        <f t="shared" si="411"/>
        <v>18.435496059955931</v>
      </c>
      <c r="AC499" s="76">
        <f t="shared" si="411"/>
        <v>18.418302744829813</v>
      </c>
    </row>
    <row r="500" spans="1:29" ht="15.75" thickBot="1" x14ac:dyDescent="0.3"/>
    <row r="501" spans="1:29" ht="15.75" thickBot="1" x14ac:dyDescent="0.3">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412">A478</f>
        <v>Capex vehicle</v>
      </c>
      <c r="B502" s="65">
        <f>((1+B463)^B470)*B463/(((1+B463)^B470)-1)*(B459)/B475/(B472)</f>
        <v>1.7305710968988492E-3</v>
      </c>
      <c r="C502" s="65">
        <f t="shared" ref="C502:AC502" si="413">((1+C463)^C470)*C463/(((1+C463)^C470)-1)*(C459)/C475/(C472)</f>
        <v>1.7246547257061848E-3</v>
      </c>
      <c r="D502" s="65">
        <f t="shared" si="413"/>
        <v>1.716254326734991E-3</v>
      </c>
      <c r="E502" s="65">
        <f t="shared" si="413"/>
        <v>1.7043811700160106E-3</v>
      </c>
      <c r="F502" s="65">
        <f t="shared" si="413"/>
        <v>1.687711472192053E-3</v>
      </c>
      <c r="G502" s="65">
        <f t="shared" si="413"/>
        <v>1.6645345409290581E-3</v>
      </c>
      <c r="H502" s="65">
        <f t="shared" si="413"/>
        <v>1.6327598352182155E-3</v>
      </c>
      <c r="I502" s="65">
        <f t="shared" si="413"/>
        <v>1.590058035582653E-3</v>
      </c>
      <c r="J502" s="65">
        <f t="shared" si="413"/>
        <v>1.5342385340779735E-3</v>
      </c>
      <c r="K502" s="65">
        <f t="shared" si="413"/>
        <v>1.4639433066531457E-3</v>
      </c>
      <c r="L502" s="65">
        <f t="shared" si="413"/>
        <v>1.3795910515681715E-3</v>
      </c>
      <c r="M502" s="65">
        <f t="shared" si="413"/>
        <v>1.2842077438614348E-3</v>
      </c>
      <c r="N502" s="65">
        <f t="shared" si="413"/>
        <v>1.1835119772632967E-3</v>
      </c>
      <c r="O502" s="65">
        <f t="shared" si="413"/>
        <v>1.0847977150056616E-3</v>
      </c>
      <c r="P502" s="65">
        <f t="shared" si="413"/>
        <v>9.9493609018214135E-4</v>
      </c>
      <c r="Q502" s="65">
        <f t="shared" si="413"/>
        <v>9.1856650562360494E-4</v>
      </c>
      <c r="R502" s="65">
        <f t="shared" si="413"/>
        <v>8.5740814540990746E-4</v>
      </c>
      <c r="S502" s="65">
        <f t="shared" si="413"/>
        <v>8.1074160216512627E-4</v>
      </c>
      <c r="T502" s="65">
        <f t="shared" si="413"/>
        <v>7.7643795021803375E-4</v>
      </c>
      <c r="U502" s="65">
        <f t="shared" si="413"/>
        <v>7.5191133533528132E-4</v>
      </c>
      <c r="V502" s="65">
        <f t="shared" si="413"/>
        <v>7.3472180038438597E-4</v>
      </c>
      <c r="W502" s="65">
        <f t="shared" si="413"/>
        <v>7.228427751819281E-4</v>
      </c>
      <c r="X502" s="65">
        <f t="shared" si="413"/>
        <v>7.1471336628135481E-4</v>
      </c>
      <c r="Y502" s="65">
        <f t="shared" si="413"/>
        <v>7.0918713912777886E-4</v>
      </c>
      <c r="Z502" s="65">
        <f t="shared" si="413"/>
        <v>7.0544760270552101E-4</v>
      </c>
      <c r="AA502" s="65">
        <f t="shared" si="413"/>
        <v>7.0292490753091333E-4</v>
      </c>
      <c r="AB502" s="65">
        <f t="shared" si="413"/>
        <v>7.0122664167105353E-4</v>
      </c>
      <c r="AC502" s="65">
        <f t="shared" si="413"/>
        <v>7.0008498309645929E-4</v>
      </c>
    </row>
    <row r="503" spans="1:29" x14ac:dyDescent="0.25">
      <c r="A503" s="30" t="str">
        <f t="shared" si="412"/>
        <v>Residual value (vehicle)</v>
      </c>
      <c r="B503" s="68">
        <f>((1+B463)^B470)*B463/(((1+B463)^B470)-1)*(B460)/B475/(B472)</f>
        <v>-8.7449741391356912E-5</v>
      </c>
      <c r="C503" s="68">
        <f t="shared" ref="C503:AC503" si="414">((1+C463)^C470)*C463/(((1+C463)^C470)-1)*(C460)/C475/(C472)</f>
        <v>-8.7548347577901325E-5</v>
      </c>
      <c r="D503" s="68">
        <f t="shared" si="414"/>
        <v>-8.7688354227421217E-5</v>
      </c>
      <c r="E503" s="68">
        <f t="shared" si="414"/>
        <v>-8.7886240172737552E-5</v>
      </c>
      <c r="F503" s="68">
        <f t="shared" si="414"/>
        <v>-8.8164068469803522E-5</v>
      </c>
      <c r="G503" s="68">
        <f t="shared" si="414"/>
        <v>-8.8550350657520108E-5</v>
      </c>
      <c r="H503" s="68">
        <f t="shared" si="414"/>
        <v>-8.9079929086034146E-5</v>
      </c>
      <c r="I503" s="68">
        <f t="shared" si="414"/>
        <v>-8.9791625746626859E-5</v>
      </c>
      <c r="J503" s="68">
        <f t="shared" si="414"/>
        <v>-9.072195077170483E-5</v>
      </c>
      <c r="K503" s="68">
        <f t="shared" si="414"/>
        <v>-9.1893537895451985E-5</v>
      </c>
      <c r="L503" s="68">
        <f t="shared" si="414"/>
        <v>-9.3299408813534893E-5</v>
      </c>
      <c r="M503" s="68">
        <f t="shared" si="414"/>
        <v>-9.4889130608647181E-5</v>
      </c>
      <c r="N503" s="68">
        <f t="shared" si="414"/>
        <v>-9.6567393385282803E-5</v>
      </c>
      <c r="O503" s="68">
        <f t="shared" si="414"/>
        <v>-9.8212631089576716E-5</v>
      </c>
      <c r="P503" s="68">
        <f t="shared" si="414"/>
        <v>-9.9710324836635379E-5</v>
      </c>
      <c r="Q503" s="68">
        <f t="shared" si="414"/>
        <v>-1.0098315124594432E-4</v>
      </c>
      <c r="R503" s="68">
        <f t="shared" si="414"/>
        <v>-1.0200245724950595E-4</v>
      </c>
      <c r="S503" s="68">
        <f t="shared" si="414"/>
        <v>-1.0278023297025229E-4</v>
      </c>
      <c r="T503" s="68">
        <f t="shared" si="414"/>
        <v>-1.0335196050270384E-4</v>
      </c>
      <c r="U503" s="68">
        <f t="shared" si="414"/>
        <v>-1.0376073741741638E-4</v>
      </c>
      <c r="V503" s="68">
        <f t="shared" si="414"/>
        <v>-1.0404722966659797E-4</v>
      </c>
      <c r="W503" s="68">
        <f t="shared" si="414"/>
        <v>-1.0424521341997226E-4</v>
      </c>
      <c r="X503" s="68">
        <f t="shared" si="414"/>
        <v>-1.0438070356831517E-4</v>
      </c>
      <c r="Y503" s="68">
        <f t="shared" si="414"/>
        <v>-1.0447280735420809E-4</v>
      </c>
      <c r="Z503" s="68">
        <f t="shared" si="414"/>
        <v>-1.0453513296124573E-4</v>
      </c>
      <c r="AA503" s="68">
        <f t="shared" si="414"/>
        <v>-1.0457717788082251E-4</v>
      </c>
      <c r="AB503" s="68">
        <f t="shared" si="414"/>
        <v>-1.0460548231182018E-4</v>
      </c>
      <c r="AC503" s="68">
        <f t="shared" si="414"/>
        <v>-1.046245099547301E-4</v>
      </c>
    </row>
    <row r="504" spans="1:29" x14ac:dyDescent="0.25">
      <c r="A504" s="30" t="str">
        <f t="shared" si="412"/>
        <v>Capex costumization</v>
      </c>
      <c r="B504" s="66">
        <f>((1+B463)^B471)*B463/(((1+B463)^B471)-1)*(B461)/B475/(B472)</f>
        <v>5.0874587878184309E-4</v>
      </c>
      <c r="C504" s="66">
        <f t="shared" ref="C504:AC504" si="415">((1+C463)^C471)*C463/(((1+C463)^C471)-1)*(C461)/C475/(C472)</f>
        <v>5.0874587878184309E-4</v>
      </c>
      <c r="D504" s="66">
        <f t="shared" si="415"/>
        <v>5.0874587878184309E-4</v>
      </c>
      <c r="E504" s="66">
        <f t="shared" si="415"/>
        <v>5.0874587878184309E-4</v>
      </c>
      <c r="F504" s="66">
        <f t="shared" si="415"/>
        <v>5.0874587878184309E-4</v>
      </c>
      <c r="G504" s="66">
        <f t="shared" si="415"/>
        <v>5.0874587878184309E-4</v>
      </c>
      <c r="H504" s="66">
        <f t="shared" si="415"/>
        <v>5.0874587878184309E-4</v>
      </c>
      <c r="I504" s="66">
        <f t="shared" si="415"/>
        <v>5.0874587878184309E-4</v>
      </c>
      <c r="J504" s="66">
        <f t="shared" si="415"/>
        <v>5.0874587878184309E-4</v>
      </c>
      <c r="K504" s="66">
        <f t="shared" si="415"/>
        <v>5.0874587878184309E-4</v>
      </c>
      <c r="L504" s="66">
        <f t="shared" si="415"/>
        <v>5.0874587878184309E-4</v>
      </c>
      <c r="M504" s="66">
        <f t="shared" si="415"/>
        <v>5.0874587878184309E-4</v>
      </c>
      <c r="N504" s="66">
        <f t="shared" si="415"/>
        <v>5.0874587878184309E-4</v>
      </c>
      <c r="O504" s="66">
        <f t="shared" si="415"/>
        <v>5.0874587878184309E-4</v>
      </c>
      <c r="P504" s="66">
        <f t="shared" si="415"/>
        <v>5.0874587878184309E-4</v>
      </c>
      <c r="Q504" s="66">
        <f t="shared" si="415"/>
        <v>5.0874587878184309E-4</v>
      </c>
      <c r="R504" s="66">
        <f t="shared" si="415"/>
        <v>5.0874587878184309E-4</v>
      </c>
      <c r="S504" s="66">
        <f t="shared" si="415"/>
        <v>5.0874587878184309E-4</v>
      </c>
      <c r="T504" s="66">
        <f t="shared" si="415"/>
        <v>5.0874587878184309E-4</v>
      </c>
      <c r="U504" s="66">
        <f t="shared" si="415"/>
        <v>5.0874587878184309E-4</v>
      </c>
      <c r="V504" s="66">
        <f t="shared" si="415"/>
        <v>5.0874587878184309E-4</v>
      </c>
      <c r="W504" s="66">
        <f t="shared" si="415"/>
        <v>5.0874587878184309E-4</v>
      </c>
      <c r="X504" s="66">
        <f t="shared" si="415"/>
        <v>5.0874587878184309E-4</v>
      </c>
      <c r="Y504" s="66">
        <f t="shared" si="415"/>
        <v>5.0874587878184309E-4</v>
      </c>
      <c r="Z504" s="66">
        <f t="shared" si="415"/>
        <v>5.0874587878184309E-4</v>
      </c>
      <c r="AA504" s="66">
        <f t="shared" si="415"/>
        <v>5.0874587878184309E-4</v>
      </c>
      <c r="AB504" s="66">
        <f t="shared" si="415"/>
        <v>5.0874587878184309E-4</v>
      </c>
      <c r="AC504" s="66">
        <f t="shared" si="415"/>
        <v>5.0874587878184309E-4</v>
      </c>
    </row>
    <row r="505" spans="1:29" x14ac:dyDescent="0.25">
      <c r="A505" s="30" t="str">
        <f t="shared" si="412"/>
        <v>Residual value (costumization)</v>
      </c>
      <c r="B505" s="69">
        <f>((1+B463)^B471)*B463/(((1+B463)^B471)-1)*(B462)/B475/(B472)</f>
        <v>-2.5437293939092159E-5</v>
      </c>
      <c r="C505" s="69">
        <f t="shared" ref="C505:AC505" si="416">((1+C463)^C471)*C463/(((1+C463)^C471)-1)*(C462)/C475/(C472)</f>
        <v>-2.5437293939092159E-5</v>
      </c>
      <c r="D505" s="69">
        <f t="shared" si="416"/>
        <v>-2.5437293939092159E-5</v>
      </c>
      <c r="E505" s="69">
        <f t="shared" si="416"/>
        <v>-2.5437293939092159E-5</v>
      </c>
      <c r="F505" s="69">
        <f t="shared" si="416"/>
        <v>-2.5437293939092159E-5</v>
      </c>
      <c r="G505" s="69">
        <f t="shared" si="416"/>
        <v>-2.5437293939092159E-5</v>
      </c>
      <c r="H505" s="69">
        <f t="shared" si="416"/>
        <v>-2.5437293939092159E-5</v>
      </c>
      <c r="I505" s="69">
        <f t="shared" si="416"/>
        <v>-2.5437293939092159E-5</v>
      </c>
      <c r="J505" s="69">
        <f t="shared" si="416"/>
        <v>-2.5437293939092159E-5</v>
      </c>
      <c r="K505" s="69">
        <f t="shared" si="416"/>
        <v>-2.5437293939092159E-5</v>
      </c>
      <c r="L505" s="69">
        <f t="shared" si="416"/>
        <v>-2.5437293939092159E-5</v>
      </c>
      <c r="M505" s="69">
        <f t="shared" si="416"/>
        <v>-2.5437293939092159E-5</v>
      </c>
      <c r="N505" s="69">
        <f t="shared" si="416"/>
        <v>-2.5437293939092159E-5</v>
      </c>
      <c r="O505" s="69">
        <f t="shared" si="416"/>
        <v>-2.5437293939092159E-5</v>
      </c>
      <c r="P505" s="69">
        <f t="shared" si="416"/>
        <v>-2.5437293939092159E-5</v>
      </c>
      <c r="Q505" s="69">
        <f t="shared" si="416"/>
        <v>-2.5437293939092159E-5</v>
      </c>
      <c r="R505" s="69">
        <f t="shared" si="416"/>
        <v>-2.5437293939092159E-5</v>
      </c>
      <c r="S505" s="69">
        <f t="shared" si="416"/>
        <v>-2.5437293939092159E-5</v>
      </c>
      <c r="T505" s="69">
        <f t="shared" si="416"/>
        <v>-2.5437293939092159E-5</v>
      </c>
      <c r="U505" s="69">
        <f t="shared" si="416"/>
        <v>-2.5437293939092159E-5</v>
      </c>
      <c r="V505" s="69">
        <f t="shared" si="416"/>
        <v>-2.5437293939092159E-5</v>
      </c>
      <c r="W505" s="69">
        <f t="shared" si="416"/>
        <v>-2.5437293939092159E-5</v>
      </c>
      <c r="X505" s="69">
        <f t="shared" si="416"/>
        <v>-2.5437293939092159E-5</v>
      </c>
      <c r="Y505" s="69">
        <f t="shared" si="416"/>
        <v>-2.5437293939092159E-5</v>
      </c>
      <c r="Z505" s="69">
        <f t="shared" si="416"/>
        <v>-2.5437293939092159E-5</v>
      </c>
      <c r="AA505" s="69">
        <f t="shared" si="416"/>
        <v>-2.5437293939092159E-5</v>
      </c>
      <c r="AB505" s="69">
        <f t="shared" si="416"/>
        <v>-2.5437293939092159E-5</v>
      </c>
      <c r="AC505" s="69">
        <f t="shared" si="416"/>
        <v>-2.5437293939092159E-5</v>
      </c>
    </row>
    <row r="506" spans="1:29" x14ac:dyDescent="0.25">
      <c r="A506" s="30" t="str">
        <f t="shared" si="412"/>
        <v>Opex fix (admin, crew, insurance)</v>
      </c>
      <c r="B506" s="66">
        <f>B464/B475/(B472)</f>
        <v>1.3005202080832333E-3</v>
      </c>
      <c r="C506" s="66">
        <f t="shared" ref="C506:AC506" si="417">C464/C475/(C472)</f>
        <v>1.3005202080832333E-3</v>
      </c>
      <c r="D506" s="66">
        <f t="shared" si="417"/>
        <v>1.3005202080832333E-3</v>
      </c>
      <c r="E506" s="66">
        <f t="shared" si="417"/>
        <v>1.3005202080832333E-3</v>
      </c>
      <c r="F506" s="66">
        <f t="shared" si="417"/>
        <v>1.3005202080832333E-3</v>
      </c>
      <c r="G506" s="66">
        <f t="shared" si="417"/>
        <v>1.3005202080832333E-3</v>
      </c>
      <c r="H506" s="66">
        <f t="shared" si="417"/>
        <v>1.3005202080832333E-3</v>
      </c>
      <c r="I506" s="66">
        <f t="shared" si="417"/>
        <v>1.3005202080832333E-3</v>
      </c>
      <c r="J506" s="66">
        <f t="shared" si="417"/>
        <v>1.3005202080832333E-3</v>
      </c>
      <c r="K506" s="66">
        <f t="shared" si="417"/>
        <v>1.3005202080832333E-3</v>
      </c>
      <c r="L506" s="66">
        <f t="shared" si="417"/>
        <v>1.3005202080832333E-3</v>
      </c>
      <c r="M506" s="66">
        <f t="shared" si="417"/>
        <v>1.3005202080832333E-3</v>
      </c>
      <c r="N506" s="66">
        <f t="shared" si="417"/>
        <v>1.3005202080832333E-3</v>
      </c>
      <c r="O506" s="66">
        <f t="shared" si="417"/>
        <v>1.3005202080832333E-3</v>
      </c>
      <c r="P506" s="66">
        <f t="shared" si="417"/>
        <v>1.3005202080832333E-3</v>
      </c>
      <c r="Q506" s="66">
        <f t="shared" si="417"/>
        <v>1.3005202080832333E-3</v>
      </c>
      <c r="R506" s="66">
        <f t="shared" si="417"/>
        <v>1.3005202080832333E-3</v>
      </c>
      <c r="S506" s="66">
        <f t="shared" si="417"/>
        <v>1.3005202080832333E-3</v>
      </c>
      <c r="T506" s="66">
        <f t="shared" si="417"/>
        <v>1.3005202080832333E-3</v>
      </c>
      <c r="U506" s="66">
        <f t="shared" si="417"/>
        <v>1.3005202080832333E-3</v>
      </c>
      <c r="V506" s="66">
        <f t="shared" si="417"/>
        <v>1.3005202080832333E-3</v>
      </c>
      <c r="W506" s="66">
        <f t="shared" si="417"/>
        <v>1.3005202080832333E-3</v>
      </c>
      <c r="X506" s="66">
        <f t="shared" si="417"/>
        <v>1.3005202080832333E-3</v>
      </c>
      <c r="Y506" s="66">
        <f t="shared" si="417"/>
        <v>1.3005202080832333E-3</v>
      </c>
      <c r="Z506" s="66">
        <f t="shared" si="417"/>
        <v>1.3005202080832333E-3</v>
      </c>
      <c r="AA506" s="66">
        <f t="shared" si="417"/>
        <v>1.3005202080832333E-3</v>
      </c>
      <c r="AB506" s="66">
        <f t="shared" si="417"/>
        <v>1.3005202080832333E-3</v>
      </c>
      <c r="AC506" s="66">
        <f t="shared" si="417"/>
        <v>1.3005202080832333E-3</v>
      </c>
    </row>
    <row r="507" spans="1:29" x14ac:dyDescent="0.25">
      <c r="A507" s="30" t="str">
        <f t="shared" si="412"/>
        <v>Opex maintenance &amp; repair</v>
      </c>
      <c r="B507" s="66">
        <f>B465/B475/(B472)</f>
        <v>2.7789319802378224E-3</v>
      </c>
      <c r="C507" s="66">
        <f t="shared" ref="C507:AC507" si="418">C465/C475/(C472)</f>
        <v>2.7694315366306715E-3</v>
      </c>
      <c r="D507" s="66">
        <f t="shared" si="418"/>
        <v>2.7559422686140962E-3</v>
      </c>
      <c r="E507" s="66">
        <f t="shared" si="418"/>
        <v>2.7368764845085622E-3</v>
      </c>
      <c r="F507" s="66">
        <f t="shared" si="418"/>
        <v>2.710108467599631E-3</v>
      </c>
      <c r="G507" s="66">
        <f t="shared" si="418"/>
        <v>2.6728912070051796E-3</v>
      </c>
      <c r="H507" s="66">
        <f t="shared" si="418"/>
        <v>2.6218677350306747E-3</v>
      </c>
      <c r="I507" s="66">
        <f t="shared" si="418"/>
        <v>2.5532976561511546E-3</v>
      </c>
      <c r="J507" s="66">
        <f t="shared" si="418"/>
        <v>2.4636633162905975E-3</v>
      </c>
      <c r="K507" s="66">
        <f t="shared" si="418"/>
        <v>2.3507840154060513E-3</v>
      </c>
      <c r="L507" s="66">
        <f t="shared" si="418"/>
        <v>2.2153320945454348E-3</v>
      </c>
      <c r="M507" s="66">
        <f t="shared" si="418"/>
        <v>2.0621666310506933E-3</v>
      </c>
      <c r="N507" s="66">
        <f t="shared" si="418"/>
        <v>1.9004704796613783E-3</v>
      </c>
      <c r="O507" s="66">
        <f t="shared" si="418"/>
        <v>1.7419562060872371E-3</v>
      </c>
      <c r="P507" s="66">
        <f t="shared" si="418"/>
        <v>1.5976574000655106E-3</v>
      </c>
      <c r="Q507" s="66">
        <f t="shared" si="418"/>
        <v>1.4750239634921749E-3</v>
      </c>
      <c r="R507" s="66">
        <f t="shared" si="418"/>
        <v>1.3768165432010903E-3</v>
      </c>
      <c r="S507" s="66">
        <f t="shared" si="418"/>
        <v>1.3018799227626329E-3</v>
      </c>
      <c r="T507" s="66">
        <f t="shared" si="418"/>
        <v>1.2467954968147202E-3</v>
      </c>
      <c r="U507" s="66">
        <f t="shared" si="418"/>
        <v>1.2074109291498637E-3</v>
      </c>
      <c r="V507" s="66">
        <f t="shared" si="418"/>
        <v>1.1798081635159875E-3</v>
      </c>
      <c r="W507" s="66">
        <f t="shared" si="418"/>
        <v>1.1607329558644115E-3</v>
      </c>
      <c r="X507" s="66">
        <f t="shared" si="418"/>
        <v>1.1476788407143806E-3</v>
      </c>
      <c r="Y507" s="66">
        <f t="shared" si="418"/>
        <v>1.1388048861021428E-3</v>
      </c>
      <c r="Z507" s="66">
        <f t="shared" si="418"/>
        <v>1.1327999797601273E-3</v>
      </c>
      <c r="AA507" s="66">
        <f t="shared" si="418"/>
        <v>1.1287490636725584E-3</v>
      </c>
      <c r="AB507" s="66">
        <f t="shared" si="418"/>
        <v>1.1260220070856508E-3</v>
      </c>
      <c r="AC507" s="66">
        <f t="shared" si="418"/>
        <v>1.1241887443383775E-3</v>
      </c>
    </row>
    <row r="508" spans="1:29" x14ac:dyDescent="0.25">
      <c r="A508" s="30" t="str">
        <f t="shared" si="412"/>
        <v>Opex var (mode-fees, shunting)</v>
      </c>
      <c r="B508" s="66">
        <f>B466*B475/B475/(B472)</f>
        <v>1.4005602240896359E-3</v>
      </c>
      <c r="C508" s="66">
        <f t="shared" ref="C508:AC508" si="419">C466*C475/C475/(C472)</f>
        <v>1.4005602240896359E-3</v>
      </c>
      <c r="D508" s="66">
        <f t="shared" si="419"/>
        <v>1.4005602240896359E-3</v>
      </c>
      <c r="E508" s="66">
        <f t="shared" si="419"/>
        <v>1.4005602240896359E-3</v>
      </c>
      <c r="F508" s="66">
        <f t="shared" si="419"/>
        <v>1.4005602240896359E-3</v>
      </c>
      <c r="G508" s="66">
        <f t="shared" si="419"/>
        <v>1.4005602240896359E-3</v>
      </c>
      <c r="H508" s="66">
        <f t="shared" si="419"/>
        <v>1.4005602240896359E-3</v>
      </c>
      <c r="I508" s="66">
        <f t="shared" si="419"/>
        <v>1.4005602240896359E-3</v>
      </c>
      <c r="J508" s="66">
        <f t="shared" si="419"/>
        <v>1.4005602240896359E-3</v>
      </c>
      <c r="K508" s="66">
        <f t="shared" si="419"/>
        <v>1.4005602240896359E-3</v>
      </c>
      <c r="L508" s="66">
        <f t="shared" si="419"/>
        <v>1.4005602240896359E-3</v>
      </c>
      <c r="M508" s="66">
        <f t="shared" si="419"/>
        <v>1.4005602240896359E-3</v>
      </c>
      <c r="N508" s="66">
        <f t="shared" si="419"/>
        <v>1.4005602240896359E-3</v>
      </c>
      <c r="O508" s="66">
        <f t="shared" si="419"/>
        <v>1.4005602240896359E-3</v>
      </c>
      <c r="P508" s="66">
        <f t="shared" si="419"/>
        <v>1.4005602240896359E-3</v>
      </c>
      <c r="Q508" s="66">
        <f t="shared" si="419"/>
        <v>1.4005602240896359E-3</v>
      </c>
      <c r="R508" s="66">
        <f t="shared" si="419"/>
        <v>1.4005602240896359E-3</v>
      </c>
      <c r="S508" s="66">
        <f t="shared" si="419"/>
        <v>1.4005602240896359E-3</v>
      </c>
      <c r="T508" s="66">
        <f t="shared" si="419"/>
        <v>1.4005602240896359E-3</v>
      </c>
      <c r="U508" s="66">
        <f t="shared" si="419"/>
        <v>1.4005602240896359E-3</v>
      </c>
      <c r="V508" s="66">
        <f t="shared" si="419"/>
        <v>1.4005602240896359E-3</v>
      </c>
      <c r="W508" s="66">
        <f t="shared" si="419"/>
        <v>1.4005602240896359E-3</v>
      </c>
      <c r="X508" s="66">
        <f t="shared" si="419"/>
        <v>1.4005602240896359E-3</v>
      </c>
      <c r="Y508" s="66">
        <f t="shared" si="419"/>
        <v>1.4005602240896359E-3</v>
      </c>
      <c r="Z508" s="66">
        <f t="shared" si="419"/>
        <v>1.4005602240896359E-3</v>
      </c>
      <c r="AA508" s="66">
        <f t="shared" si="419"/>
        <v>1.4005602240896359E-3</v>
      </c>
      <c r="AB508" s="66">
        <f t="shared" si="419"/>
        <v>1.4005602240896359E-3</v>
      </c>
      <c r="AC508" s="66">
        <f t="shared" si="419"/>
        <v>1.4005602240896359E-3</v>
      </c>
    </row>
    <row r="509" spans="1:29" x14ac:dyDescent="0.25">
      <c r="A509" s="30" t="str">
        <f t="shared" si="412"/>
        <v>Fuel Cost</v>
      </c>
      <c r="B509" s="66">
        <f>B467*B468*B475/B475/(B472)</f>
        <v>4.3977745293614402E-3</v>
      </c>
      <c r="C509" s="66">
        <f t="shared" ref="C509:AC509" si="420">C467*C468*C475/C475/(C472)</f>
        <v>4.3796845635322868E-3</v>
      </c>
      <c r="D509" s="66">
        <f t="shared" si="420"/>
        <v>4.3540421311243699E-3</v>
      </c>
      <c r="E509" s="66">
        <f t="shared" si="420"/>
        <v>4.3178845318925796E-3</v>
      </c>
      <c r="F509" s="66">
        <f t="shared" si="420"/>
        <v>4.2672889476285678E-3</v>
      </c>
      <c r="G509" s="66">
        <f t="shared" si="420"/>
        <v>4.1972708088683641E-3</v>
      </c>
      <c r="H509" s="66">
        <f t="shared" si="420"/>
        <v>4.1018988686376779E-3</v>
      </c>
      <c r="I509" s="66">
        <f t="shared" si="420"/>
        <v>3.974859025448617E-3</v>
      </c>
      <c r="J509" s="66">
        <f t="shared" si="420"/>
        <v>3.8107471254952762E-3</v>
      </c>
      <c r="K509" s="66">
        <f t="shared" si="420"/>
        <v>3.6072253947414591E-3</v>
      </c>
      <c r="L509" s="66">
        <f t="shared" si="420"/>
        <v>3.3676394712077724E-3</v>
      </c>
      <c r="M509" s="66">
        <f t="shared" si="420"/>
        <v>3.1028125083299436E-3</v>
      </c>
      <c r="N509" s="66">
        <f t="shared" si="420"/>
        <v>2.8302501311150874E-3</v>
      </c>
      <c r="O509" s="66">
        <f t="shared" si="420"/>
        <v>2.5700444169336604E-3</v>
      </c>
      <c r="P509" s="66">
        <f t="shared" si="420"/>
        <v>2.3391939322091799E-3</v>
      </c>
      <c r="Q509" s="66">
        <f t="shared" si="420"/>
        <v>2.1475139157408258E-3</v>
      </c>
      <c r="R509" s="66">
        <f t="shared" si="420"/>
        <v>1.9970006319671974E-3</v>
      </c>
      <c r="S509" s="66">
        <f t="shared" si="420"/>
        <v>1.8839399162470347E-3</v>
      </c>
      <c r="T509" s="66">
        <f t="shared" si="420"/>
        <v>1.8018179819292112E-3</v>
      </c>
      <c r="U509" s="66">
        <f t="shared" si="420"/>
        <v>1.7436145933873209E-3</v>
      </c>
      <c r="V509" s="66">
        <f t="shared" si="420"/>
        <v>1.7030773633596567E-3</v>
      </c>
      <c r="W509" s="66">
        <f t="shared" si="420"/>
        <v>1.6751863190764937E-3</v>
      </c>
      <c r="X509" s="66">
        <f t="shared" si="420"/>
        <v>1.6561568729556121E-3</v>
      </c>
      <c r="Y509" s="66">
        <f t="shared" si="420"/>
        <v>1.643247804292644E-3</v>
      </c>
      <c r="Z509" s="66">
        <f t="shared" si="420"/>
        <v>1.6345246907924166E-3</v>
      </c>
      <c r="AA509" s="66">
        <f t="shared" si="420"/>
        <v>1.6286456816009059E-3</v>
      </c>
      <c r="AB509" s="66">
        <f t="shared" si="420"/>
        <v>1.624690508428975E-3</v>
      </c>
      <c r="AC509" s="66">
        <f t="shared" si="420"/>
        <v>1.6220327966080246E-3</v>
      </c>
    </row>
    <row r="510" spans="1:29" x14ac:dyDescent="0.25">
      <c r="A510" s="59" t="str">
        <f>A473</f>
        <v>Market failure (av. utilization)</v>
      </c>
      <c r="B510" s="66">
        <f t="shared" ref="B510:AC510" si="421">B499/B473-B499/B472</f>
        <v>2.3383732587415509E-2</v>
      </c>
      <c r="C510" s="66">
        <f t="shared" si="421"/>
        <v>2.3318769306071255E-2</v>
      </c>
      <c r="D510" s="66">
        <f t="shared" si="421"/>
        <v>2.3226611865770103E-2</v>
      </c>
      <c r="E510" s="66">
        <f t="shared" si="421"/>
        <v>2.309651836126414E-2</v>
      </c>
      <c r="F510" s="66">
        <f t="shared" si="421"/>
        <v>2.291418964464724E-2</v>
      </c>
      <c r="G510" s="66">
        <f t="shared" si="421"/>
        <v>2.2661307206827484E-2</v>
      </c>
      <c r="H510" s="66">
        <f t="shared" si="421"/>
        <v>2.231578616499981E-2</v>
      </c>
      <c r="I510" s="66">
        <f t="shared" si="421"/>
        <v>2.1853570971197361E-2</v>
      </c>
      <c r="J510" s="66">
        <f t="shared" si="421"/>
        <v>2.1253032960858346E-2</v>
      </c>
      <c r="K510" s="66">
        <f t="shared" si="421"/>
        <v>2.0502635055501678E-2</v>
      </c>
      <c r="L510" s="66">
        <f t="shared" si="421"/>
        <v>1.9610753631673972E-2</v>
      </c>
      <c r="M510" s="66">
        <f t="shared" si="421"/>
        <v>1.8613344436353648E-2</v>
      </c>
      <c r="N510" s="66">
        <f t="shared" si="421"/>
        <v>1.7572856643489117E-2</v>
      </c>
      <c r="O510" s="66">
        <f t="shared" si="421"/>
        <v>1.6564718755058702E-2</v>
      </c>
      <c r="P510" s="66">
        <f t="shared" si="421"/>
        <v>1.5656346627325853E-2</v>
      </c>
      <c r="Q510" s="66">
        <f t="shared" si="421"/>
        <v>1.4890206975291233E-2</v>
      </c>
      <c r="R510" s="66">
        <f t="shared" si="421"/>
        <v>1.4279203031992581E-2</v>
      </c>
      <c r="S510" s="66">
        <f t="shared" si="421"/>
        <v>1.3813190568619994E-2</v>
      </c>
      <c r="T510" s="66">
        <f t="shared" si="421"/>
        <v>1.3469672854225186E-2</v>
      </c>
      <c r="U510" s="66">
        <f t="shared" si="421"/>
        <v>1.3222814512915734E-2</v>
      </c>
      <c r="V510" s="66">
        <f t="shared" si="421"/>
        <v>1.304874124559539E-2</v>
      </c>
      <c r="W510" s="66">
        <f t="shared" si="421"/>
        <v>1.2927710050366536E-2</v>
      </c>
      <c r="X510" s="66">
        <f t="shared" si="421"/>
        <v>1.284443545136109E-2</v>
      </c>
      <c r="Y510" s="66">
        <f t="shared" si="421"/>
        <v>1.2787579176972751E-2</v>
      </c>
      <c r="Z510" s="66">
        <f t="shared" si="421"/>
        <v>1.2748976493200125E-2</v>
      </c>
      <c r="AA510" s="66">
        <f t="shared" si="421"/>
        <v>1.272287120643335E-2</v>
      </c>
      <c r="AB510" s="66">
        <f t="shared" si="421"/>
        <v>1.2705266536855789E-2</v>
      </c>
      <c r="AC510" s="66">
        <f t="shared" si="421"/>
        <v>1.269341734925492E-2</v>
      </c>
    </row>
    <row r="511" spans="1:29" x14ac:dyDescent="0.25">
      <c r="A511" s="59" t="str">
        <f>A474</f>
        <v>Payload loss (fuel)</v>
      </c>
      <c r="B511" s="66">
        <f>B499/(B472-B474)-B499/B472</f>
        <v>1.7562153207705163E-4</v>
      </c>
      <c r="C511" s="66">
        <f t="shared" ref="C511:AC511" si="422">C499/(C472-C474)-C499/C472</f>
        <v>1.7513363088523734E-4</v>
      </c>
      <c r="D511" s="66">
        <f t="shared" si="422"/>
        <v>1.7444149027862413E-4</v>
      </c>
      <c r="E511" s="66">
        <f t="shared" si="422"/>
        <v>1.7346443409269573E-4</v>
      </c>
      <c r="F511" s="66">
        <f t="shared" si="422"/>
        <v>1.7209506979492216E-4</v>
      </c>
      <c r="G511" s="66">
        <f t="shared" si="422"/>
        <v>1.7019581778289841E-4</v>
      </c>
      <c r="H511" s="66">
        <f t="shared" si="422"/>
        <v>1.6760081142521734E-4</v>
      </c>
      <c r="I511" s="66">
        <f t="shared" si="422"/>
        <v>1.6412938357761309E-4</v>
      </c>
      <c r="J511" s="66">
        <f t="shared" si="422"/>
        <v>1.5961909399694017E-4</v>
      </c>
      <c r="K511" s="66">
        <f t="shared" si="422"/>
        <v>1.5398329443784553E-4</v>
      </c>
      <c r="L511" s="66">
        <f t="shared" si="422"/>
        <v>1.4728489496299187E-4</v>
      </c>
      <c r="M511" s="66">
        <f t="shared" si="422"/>
        <v>1.3979393814781901E-4</v>
      </c>
      <c r="N511" s="66">
        <f t="shared" si="422"/>
        <v>1.3197944319466061E-4</v>
      </c>
      <c r="O511" s="66">
        <f t="shared" si="422"/>
        <v>1.2440790944361416E-4</v>
      </c>
      <c r="P511" s="66">
        <f t="shared" si="422"/>
        <v>1.1758565794154317E-4</v>
      </c>
      <c r="Q511" s="66">
        <f t="shared" si="422"/>
        <v>1.1183163133469867E-4</v>
      </c>
      <c r="R511" s="66">
        <f t="shared" si="422"/>
        <v>1.0724273825588482E-4</v>
      </c>
      <c r="S511" s="66">
        <f t="shared" si="422"/>
        <v>1.0374279133857668E-4</v>
      </c>
      <c r="T511" s="66">
        <f t="shared" si="422"/>
        <v>1.0116283080096374E-4</v>
      </c>
      <c r="U511" s="66">
        <f t="shared" si="422"/>
        <v>9.9308822252726185E-5</v>
      </c>
      <c r="V511" s="66">
        <f t="shared" si="422"/>
        <v>9.8001459803803009E-5</v>
      </c>
      <c r="W511" s="66">
        <f t="shared" si="422"/>
        <v>9.7092465319892005E-5</v>
      </c>
      <c r="X511" s="66">
        <f t="shared" si="422"/>
        <v>9.6467038536303742E-5</v>
      </c>
      <c r="Y511" s="66">
        <f t="shared" si="422"/>
        <v>9.6040024329784209E-5</v>
      </c>
      <c r="Z511" s="66">
        <f t="shared" si="422"/>
        <v>9.575010216098228E-5</v>
      </c>
      <c r="AA511" s="66">
        <f t="shared" si="422"/>
        <v>9.5554040628027283E-5</v>
      </c>
      <c r="AB511" s="66">
        <f t="shared" si="422"/>
        <v>9.5421822256499915E-5</v>
      </c>
      <c r="AC511" s="66">
        <f t="shared" si="422"/>
        <v>9.533282994218361E-5</v>
      </c>
    </row>
    <row r="512" spans="1:29" ht="15.75" thickBot="1" x14ac:dyDescent="0.3">
      <c r="A512" s="59" t="str">
        <f>A449</f>
        <v>Emission Cost</v>
      </c>
      <c r="B512" s="68">
        <f>B469*B475/B475/(B472)</f>
        <v>6.2794243315978485E-5</v>
      </c>
      <c r="C512" s="68">
        <f t="shared" ref="C512:AC512" si="423">C469*C475/C475/(C472)</f>
        <v>6.273444789641825E-5</v>
      </c>
      <c r="D512" s="68">
        <f t="shared" si="423"/>
        <v>6.2648852085153372E-5</v>
      </c>
      <c r="E512" s="68">
        <f t="shared" si="423"/>
        <v>6.2526401257772415E-5</v>
      </c>
      <c r="F512" s="68">
        <f t="shared" si="423"/>
        <v>6.235139200532848E-5</v>
      </c>
      <c r="G512" s="68">
        <f t="shared" si="423"/>
        <v>6.2101615981023127E-5</v>
      </c>
      <c r="H512" s="68">
        <f t="shared" si="423"/>
        <v>6.1745873645646087E-5</v>
      </c>
      <c r="I512" s="68">
        <f t="shared" si="423"/>
        <v>6.1240770525710609E-5</v>
      </c>
      <c r="J512" s="68">
        <f t="shared" si="423"/>
        <v>6.052685580299265E-5</v>
      </c>
      <c r="K512" s="68">
        <f t="shared" si="423"/>
        <v>5.9524532412385136E-5</v>
      </c>
      <c r="L512" s="68">
        <f t="shared" si="423"/>
        <v>5.8130939044782804E-5</v>
      </c>
      <c r="M512" s="68">
        <f t="shared" si="423"/>
        <v>5.6220374672231575E-5</v>
      </c>
      <c r="N512" s="68">
        <f t="shared" si="423"/>
        <v>5.3652780883323994E-5</v>
      </c>
      <c r="O512" s="68">
        <f t="shared" si="423"/>
        <v>5.0296439778581093E-5</v>
      </c>
      <c r="P512" s="68">
        <f t="shared" si="423"/>
        <v>4.6069695452435164E-5</v>
      </c>
      <c r="Q512" s="68">
        <f t="shared" si="423"/>
        <v>4.0997723589774918E-5</v>
      </c>
      <c r="R512" s="68">
        <f t="shared" si="423"/>
        <v>3.5262471433579629E-5</v>
      </c>
      <c r="S512" s="68">
        <f t="shared" si="423"/>
        <v>2.9207789263431758E-5</v>
      </c>
      <c r="T512" s="68">
        <f t="shared" si="423"/>
        <v>2.3272251913427032E-5</v>
      </c>
      <c r="U512" s="68">
        <f t="shared" si="423"/>
        <v>1.786901008926133E-5</v>
      </c>
      <c r="V512" s="68">
        <f t="shared" si="423"/>
        <v>1.3277023975152728E-5</v>
      </c>
      <c r="W512" s="68">
        <f t="shared" si="423"/>
        <v>9.5996654758709548E-6</v>
      </c>
      <c r="X512" s="68">
        <f t="shared" si="423"/>
        <v>6.7936777281016621E-6</v>
      </c>
      <c r="Y512" s="68">
        <f t="shared" si="423"/>
        <v>4.7310516929485541E-6</v>
      </c>
      <c r="Z512" s="68">
        <f t="shared" si="423"/>
        <v>3.2563039171326138E-6</v>
      </c>
      <c r="AA512" s="68">
        <f t="shared" si="423"/>
        <v>2.2227235165217715E-6</v>
      </c>
      <c r="AB512" s="68">
        <f t="shared" si="423"/>
        <v>1.50845593088338E-6</v>
      </c>
      <c r="AC512" s="68">
        <f t="shared" si="423"/>
        <v>1.0196470287119876E-6</v>
      </c>
    </row>
    <row r="513" spans="1:29" ht="15.75" thickBot="1" x14ac:dyDescent="0.3">
      <c r="A513" s="31" t="s">
        <v>210</v>
      </c>
      <c r="B513" s="67">
        <f>B502+B503+B504+B505+B506+B507+B508+B509+B510+B511+B512</f>
        <v>3.5626365244930909E-2</v>
      </c>
      <c r="C513" s="67">
        <f t="shared" ref="C513:AC513" si="424">C502+C503+C504+C505+C506+C507+C508+C509+C510+C511+C512</f>
        <v>3.5527248880159769E-2</v>
      </c>
      <c r="D513" s="67">
        <f t="shared" si="424"/>
        <v>3.5386641597395532E-2</v>
      </c>
      <c r="E513" s="67">
        <f t="shared" si="424"/>
        <v>3.5188154159874641E-2</v>
      </c>
      <c r="F513" s="67">
        <f t="shared" si="424"/>
        <v>3.4909969942413563E-2</v>
      </c>
      <c r="G513" s="67">
        <f t="shared" si="424"/>
        <v>3.4524139863752107E-2</v>
      </c>
      <c r="H513" s="67">
        <f t="shared" si="424"/>
        <v>3.3996968376886823E-2</v>
      </c>
      <c r="I513" s="67">
        <f t="shared" si="424"/>
        <v>3.3291753233752101E-2</v>
      </c>
      <c r="J513" s="67">
        <f t="shared" si="424"/>
        <v>3.2375494952766044E-2</v>
      </c>
      <c r="K513" s="67">
        <f t="shared" si="424"/>
        <v>3.1230591078272734E-2</v>
      </c>
      <c r="L513" s="67">
        <f t="shared" si="424"/>
        <v>2.9869821691205209E-2</v>
      </c>
      <c r="M513" s="67">
        <f t="shared" si="424"/>
        <v>2.8348045518822744E-2</v>
      </c>
      <c r="N513" s="67">
        <f t="shared" si="424"/>
        <v>2.6760543079237198E-2</v>
      </c>
      <c r="O513" s="67">
        <f t="shared" si="424"/>
        <v>2.52223978282335E-2</v>
      </c>
      <c r="P513" s="67">
        <f t="shared" si="424"/>
        <v>2.3836468095355647E-2</v>
      </c>
      <c r="Q513" s="67">
        <f t="shared" si="424"/>
        <v>2.2667546580841989E-2</v>
      </c>
      <c r="R513" s="67">
        <f t="shared" si="424"/>
        <v>2.1735320122026353E-2</v>
      </c>
      <c r="S513" s="67">
        <f t="shared" si="424"/>
        <v>2.1024311374442165E-2</v>
      </c>
      <c r="T513" s="67">
        <f t="shared" si="424"/>
        <v>2.0500196422414456E-2</v>
      </c>
      <c r="U513" s="67">
        <f t="shared" si="424"/>
        <v>2.0123557482728392E-2</v>
      </c>
      <c r="V513" s="67">
        <f t="shared" si="424"/>
        <v>1.9857968843983401E-2</v>
      </c>
      <c r="W513" s="67">
        <f t="shared" si="424"/>
        <v>1.9673308034880783E-2</v>
      </c>
      <c r="X513" s="67">
        <f t="shared" si="424"/>
        <v>1.9546253561024143E-2</v>
      </c>
      <c r="Y513" s="67">
        <f t="shared" si="424"/>
        <v>1.9459506292179463E-2</v>
      </c>
      <c r="Z513" s="67">
        <f t="shared" si="424"/>
        <v>1.9400609056590679E-2</v>
      </c>
      <c r="AA513" s="67">
        <f t="shared" si="424"/>
        <v>1.9360779462517071E-2</v>
      </c>
      <c r="AB513" s="67">
        <f t="shared" si="424"/>
        <v>1.9333919506932654E-2</v>
      </c>
      <c r="AC513" s="67">
        <f t="shared" si="424"/>
        <v>1.9315840857329569E-2</v>
      </c>
    </row>
    <row r="515" spans="1:29" x14ac:dyDescent="0.25">
      <c r="B515" s="40"/>
    </row>
  </sheetData>
  <conditionalFormatting sqref="Q11:AR20 Q22:AR27">
    <cfRule type="colorScale" priority="50">
      <colorScale>
        <cfvo type="min"/>
        <cfvo type="max"/>
        <color rgb="FFFF7128"/>
        <color rgb="FFFFEF9C"/>
      </colorScale>
    </cfRule>
    <cfRule type="colorScale" priority="46">
      <colorScale>
        <cfvo type="min"/>
        <cfvo type="max"/>
        <color rgb="FFFF7128"/>
        <color rgb="FFFFEF9C"/>
      </colorScale>
    </cfRule>
    <cfRule type="colorScale" priority="47">
      <colorScale>
        <cfvo type="min"/>
        <cfvo type="percentile" val="50"/>
        <cfvo type="max"/>
        <color rgb="FFF8696B"/>
        <color rgb="FFFFEB84"/>
        <color rgb="FF63BE7B"/>
      </colorScale>
    </cfRule>
    <cfRule type="colorScale" priority="48">
      <colorScale>
        <cfvo type="min"/>
        <cfvo type="percentile" val="50"/>
        <cfvo type="max"/>
        <color theme="5" tint="-0.249977111117893"/>
        <color theme="7" tint="0.79998168889431442"/>
        <color theme="7" tint="0.39997558519241921"/>
      </colorScale>
    </cfRule>
    <cfRule type="colorScale" priority="49">
      <colorScale>
        <cfvo type="min"/>
        <cfvo type="percentile" val="50"/>
        <cfvo type="max"/>
        <color rgb="FFF8696B"/>
        <color rgb="FFFFEB84"/>
        <color rgb="FF63BE7B"/>
      </colorScale>
    </cfRule>
  </conditionalFormatting>
  <conditionalFormatting sqref="Q21:AR21">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26 Q128:AR133">
    <cfRule type="colorScale" priority="45">
      <colorScale>
        <cfvo type="min"/>
        <cfvo type="max"/>
        <color rgb="FFFF7128"/>
        <color rgb="FFFFEF9C"/>
      </colorScale>
    </cfRule>
    <cfRule type="colorScale" priority="43">
      <colorScale>
        <cfvo type="min"/>
        <cfvo type="percentile" val="50"/>
        <cfvo type="max"/>
        <color theme="5" tint="-0.249977111117893"/>
        <color theme="7" tint="0.79998168889431442"/>
        <color theme="7" tint="0.39997558519241921"/>
      </colorScale>
    </cfRule>
    <cfRule type="colorScale" priority="42">
      <colorScale>
        <cfvo type="min"/>
        <cfvo type="percentile" val="50"/>
        <cfvo type="max"/>
        <color rgb="FFF8696B"/>
        <color rgb="FFFFEB84"/>
        <color rgb="FF63BE7B"/>
      </colorScale>
    </cfRule>
    <cfRule type="colorScale" priority="41">
      <colorScale>
        <cfvo type="min"/>
        <cfvo type="max"/>
        <color rgb="FFFF7128"/>
        <color rgb="FFFFEF9C"/>
      </colorScale>
    </cfRule>
    <cfRule type="colorScale" priority="44">
      <colorScale>
        <cfvo type="min"/>
        <cfvo type="percentile" val="50"/>
        <cfvo type="max"/>
        <color rgb="FFF8696B"/>
        <color rgb="FFFFEB84"/>
        <color rgb="FF63BE7B"/>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40">
      <colorScale>
        <cfvo type="min"/>
        <cfvo type="max"/>
        <color rgb="FFFF7128"/>
        <color rgb="FFFFEF9C"/>
      </colorScale>
    </cfRule>
    <cfRule type="colorScale" priority="39">
      <colorScale>
        <cfvo type="min"/>
        <cfvo type="percentile" val="50"/>
        <cfvo type="max"/>
        <color rgb="FFF8696B"/>
        <color rgb="FFFFEB84"/>
        <color rgb="FF63BE7B"/>
      </colorScale>
    </cfRule>
    <cfRule type="colorScale" priority="37">
      <colorScale>
        <cfvo type="min"/>
        <cfvo type="percentile" val="50"/>
        <cfvo type="max"/>
        <color rgb="FFF8696B"/>
        <color rgb="FFFFEB84"/>
        <color rgb="FF63BE7B"/>
      </colorScale>
    </cfRule>
    <cfRule type="colorScale" priority="36">
      <colorScale>
        <cfvo type="min"/>
        <cfvo type="max"/>
        <color rgb="FFFF7128"/>
        <color rgb="FFFFEF9C"/>
      </colorScale>
    </cfRule>
    <cfRule type="colorScale" priority="38">
      <colorScale>
        <cfvo type="min"/>
        <cfvo type="percentile" val="50"/>
        <cfvo type="max"/>
        <color theme="5" tint="-0.249977111117893"/>
        <color theme="7" tint="0.79998168889431442"/>
        <color theme="7" tint="0.39997558519241921"/>
      </colorScale>
    </cfRule>
  </conditionalFormatting>
  <conditionalFormatting sqref="Q235:AR235">
    <cfRule type="colorScale" priority="13">
      <colorScale>
        <cfvo type="min"/>
        <cfvo type="percentile" val="50"/>
        <cfvo type="max"/>
        <color theme="5" tint="-0.249977111117893"/>
        <color theme="7" tint="0.79998168889431442"/>
        <color theme="7" tint="0.39997558519241921"/>
      </colorScale>
    </cfRule>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32">
      <colorScale>
        <cfvo type="min"/>
        <cfvo type="percentile" val="50"/>
        <cfvo type="max"/>
        <color rgb="FFF8696B"/>
        <color rgb="FFFFEB84"/>
        <color rgb="FF63BE7B"/>
      </colorScale>
    </cfRule>
    <cfRule type="colorScale" priority="31">
      <colorScale>
        <cfvo type="min"/>
        <cfvo type="max"/>
        <color rgb="FFFF7128"/>
        <color rgb="FFFFEF9C"/>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344:AR344">
    <cfRule type="colorScale" priority="10">
      <colorScale>
        <cfvo type="min"/>
        <cfvo type="max"/>
        <color rgb="FFFF7128"/>
        <color rgb="FFFFEF9C"/>
      </colorScale>
    </cfRule>
    <cfRule type="colorScale" priority="9">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onditionalFormatting>
  <conditionalFormatting sqref="Q439:AR448 Q450:AR455">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F9281-B124-4F00-9508-03B87CCAC1CA}">
  <sheetPr>
    <tabColor theme="5"/>
  </sheetPr>
  <dimension ref="A1:AR410"/>
  <sheetViews>
    <sheetView zoomScale="80" zoomScaleNormal="80" workbookViewId="0">
      <selection activeCell="AC74" sqref="AC74"/>
    </sheetView>
  </sheetViews>
  <sheetFormatPr defaultColWidth="9.140625" defaultRowHeight="15" x14ac:dyDescent="0.25"/>
  <cols>
    <col min="1" max="1" width="38.5703125" style="4" customWidth="1"/>
    <col min="2" max="2" width="21.42578125" style="4" bestFit="1" customWidth="1"/>
    <col min="3" max="4" width="14.85546875" style="4" bestFit="1" customWidth="1"/>
    <col min="5" max="5" width="28" style="4" bestFit="1" customWidth="1"/>
    <col min="6" max="11" width="14.85546875" style="4" bestFit="1" customWidth="1"/>
    <col min="12" max="12" width="24.42578125" style="4" bestFit="1" customWidth="1"/>
    <col min="13" max="29" width="14.85546875" style="4" bestFit="1" customWidth="1"/>
    <col min="30" max="32" width="13.5703125" style="4" bestFit="1" customWidth="1"/>
    <col min="33" max="33" width="41.42578125" style="4" bestFit="1" customWidth="1"/>
    <col min="34" max="44" width="13.5703125" style="4" bestFit="1" customWidth="1"/>
    <col min="45" max="16384" width="9.140625" style="4"/>
  </cols>
  <sheetData>
    <row r="1" spans="1:44" s="3" customFormat="1" ht="21" x14ac:dyDescent="0.35">
      <c r="A1" s="2" t="str">
        <f>'Parameter Input'!A155</f>
        <v>Short-sea: Dry bulk</v>
      </c>
    </row>
    <row r="2" spans="1:44" s="3" customFormat="1" ht="21" x14ac:dyDescent="0.35">
      <c r="A2" s="2" t="s">
        <v>290</v>
      </c>
    </row>
    <row r="3" spans="1:44" x14ac:dyDescent="0.25">
      <c r="A3" s="33" t="s">
        <v>195</v>
      </c>
    </row>
    <row r="4" spans="1:44" x14ac:dyDescent="0.25">
      <c r="A4" s="33" t="s">
        <v>196</v>
      </c>
    </row>
    <row r="5" spans="1:44" ht="15.75" thickBot="1" x14ac:dyDescent="0.3">
      <c r="A5" s="34" t="s">
        <v>197</v>
      </c>
      <c r="B5" s="34"/>
    </row>
    <row r="6" spans="1:44" ht="15.75" thickBot="1" x14ac:dyDescent="0.3">
      <c r="A6" s="39" t="s">
        <v>198</v>
      </c>
      <c r="B6" s="35"/>
    </row>
    <row r="7" spans="1:44" ht="15.75" thickBot="1" x14ac:dyDescent="0.3">
      <c r="A7" s="38" t="s">
        <v>199</v>
      </c>
      <c r="B7" s="36"/>
    </row>
    <row r="8" spans="1:44" ht="15.75" thickBot="1" x14ac:dyDescent="0.3"/>
    <row r="9" spans="1:44"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18</v>
      </c>
      <c r="B11" s="41">
        <f>'Parameter Input'!$L$168</f>
        <v>15000000</v>
      </c>
      <c r="C11" s="42">
        <f>'Parameter Input'!$M$168</f>
        <v>15000000</v>
      </c>
      <c r="D11" s="1" t="s">
        <v>15</v>
      </c>
      <c r="L11" s="51">
        <f>'Parameter Input'!$O$156</f>
        <v>17</v>
      </c>
      <c r="M11" s="52">
        <v>0</v>
      </c>
      <c r="N11" s="52">
        <v>1</v>
      </c>
      <c r="O11" s="52">
        <f>'Parameter Input'!$P$156</f>
        <v>0.9</v>
      </c>
      <c r="P11" s="53">
        <f>'Parameter Input'!$Q$156</f>
        <v>0.4</v>
      </c>
      <c r="Q11" s="4">
        <f t="shared" ref="Q11:AR20" si="0">$N11+($M11-$N11)*((1/(1+EXP(-$P11*(Q$9-$L11)))^$O11))</f>
        <v>0.99780374543478534</v>
      </c>
      <c r="R11" s="4">
        <f t="shared" si="0"/>
        <v>0.99685359315256394</v>
      </c>
      <c r="S11" s="4">
        <f t="shared" si="0"/>
        <v>0.99549347132349975</v>
      </c>
      <c r="T11" s="4">
        <f t="shared" si="0"/>
        <v>0.99354772139898062</v>
      </c>
      <c r="U11" s="4">
        <f t="shared" si="0"/>
        <v>0.99076681540580536</v>
      </c>
      <c r="V11" s="4">
        <f t="shared" si="0"/>
        <v>0.9867978615748374</v>
      </c>
      <c r="W11" s="4">
        <f t="shared" si="0"/>
        <v>0.98114509762858249</v>
      </c>
      <c r="X11" s="4">
        <f t="shared" si="0"/>
        <v>0.97311898315872036</v>
      </c>
      <c r="Y11" s="4">
        <f t="shared" si="0"/>
        <v>0.96177484161592774</v>
      </c>
      <c r="Z11" s="4">
        <f t="shared" si="0"/>
        <v>0.94584787155511363</v>
      </c>
      <c r="AA11" s="4">
        <f t="shared" si="0"/>
        <v>0.92370360150141495</v>
      </c>
      <c r="AB11" s="4">
        <f t="shared" si="0"/>
        <v>0.89334463567658451</v>
      </c>
      <c r="AC11" s="4">
        <f t="shared" si="0"/>
        <v>0.85254543874327005</v>
      </c>
      <c r="AD11" s="4">
        <f t="shared" si="0"/>
        <v>0.79921300652623883</v>
      </c>
      <c r="AE11" s="4">
        <f t="shared" si="0"/>
        <v>0.73204982249993378</v>
      </c>
      <c r="AF11" s="4">
        <f t="shared" si="0"/>
        <v>0.65145592958786691</v>
      </c>
      <c r="AG11" s="4">
        <f t="shared" si="0"/>
        <v>0.56032247880849573</v>
      </c>
      <c r="AH11" s="4">
        <f t="shared" si="0"/>
        <v>0.46411326873185343</v>
      </c>
      <c r="AI11" s="4">
        <f t="shared" si="0"/>
        <v>0.36979727595523937</v>
      </c>
      <c r="AJ11" s="4">
        <f t="shared" si="0"/>
        <v>0.28393948637231203</v>
      </c>
      <c r="AK11" s="4">
        <f t="shared" si="0"/>
        <v>0.21097259161117732</v>
      </c>
      <c r="AL11" s="4">
        <f t="shared" si="0"/>
        <v>0.15253917653798199</v>
      </c>
      <c r="AM11" s="4">
        <f t="shared" si="0"/>
        <v>0.10795188737709993</v>
      </c>
      <c r="AN11" s="4">
        <f t="shared" si="0"/>
        <v>7.5176653938091809E-2</v>
      </c>
      <c r="AO11" s="4">
        <f t="shared" si="0"/>
        <v>5.1742836177502194E-2</v>
      </c>
      <c r="AP11" s="4">
        <f t="shared" si="0"/>
        <v>3.5319190625345942E-2</v>
      </c>
      <c r="AQ11" s="4">
        <f t="shared" si="0"/>
        <v>2.3969442072658165E-2</v>
      </c>
      <c r="AR11" s="4">
        <f t="shared" si="0"/>
        <v>1.6202243558389728E-2</v>
      </c>
    </row>
    <row r="12" spans="1:44" x14ac:dyDescent="0.25">
      <c r="A12" s="24" t="s">
        <v>28</v>
      </c>
      <c r="B12" s="60">
        <f>'Parameter Input'!$L$169</f>
        <v>-1500000</v>
      </c>
      <c r="C12" s="61">
        <f>'Parameter Input'!$M$169</f>
        <v>-750000</v>
      </c>
      <c r="D12" s="1" t="s">
        <v>15</v>
      </c>
      <c r="L12" s="54">
        <f>'Parameter Input'!$O$157</f>
        <v>17</v>
      </c>
      <c r="M12" s="37">
        <v>0</v>
      </c>
      <c r="N12" s="37">
        <v>1</v>
      </c>
      <c r="O12" s="37">
        <f>'Parameter Input'!$P$157</f>
        <v>0.9</v>
      </c>
      <c r="P12" s="55">
        <f>'Parameter Input'!$Q$157</f>
        <v>0.4</v>
      </c>
      <c r="Q12" s="4">
        <f t="shared" si="0"/>
        <v>0.99780374543478534</v>
      </c>
      <c r="R12" s="4">
        <f t="shared" si="0"/>
        <v>0.99685359315256394</v>
      </c>
      <c r="S12" s="4">
        <f t="shared" si="0"/>
        <v>0.99549347132349975</v>
      </c>
      <c r="T12" s="4">
        <f t="shared" si="0"/>
        <v>0.99354772139898062</v>
      </c>
      <c r="U12" s="4">
        <f t="shared" si="0"/>
        <v>0.99076681540580536</v>
      </c>
      <c r="V12" s="4">
        <f t="shared" si="0"/>
        <v>0.9867978615748374</v>
      </c>
      <c r="W12" s="4">
        <f t="shared" si="0"/>
        <v>0.98114509762858249</v>
      </c>
      <c r="X12" s="4">
        <f t="shared" si="0"/>
        <v>0.97311898315872036</v>
      </c>
      <c r="Y12" s="4">
        <f t="shared" si="0"/>
        <v>0.96177484161592774</v>
      </c>
      <c r="Z12" s="4">
        <f t="shared" si="0"/>
        <v>0.94584787155511363</v>
      </c>
      <c r="AA12" s="4">
        <f t="shared" si="0"/>
        <v>0.92370360150141495</v>
      </c>
      <c r="AB12" s="4">
        <f t="shared" si="0"/>
        <v>0.89334463567658451</v>
      </c>
      <c r="AC12" s="4">
        <f t="shared" si="0"/>
        <v>0.85254543874327005</v>
      </c>
      <c r="AD12" s="4">
        <f t="shared" si="0"/>
        <v>0.79921300652623883</v>
      </c>
      <c r="AE12" s="4">
        <f t="shared" si="0"/>
        <v>0.73204982249993378</v>
      </c>
      <c r="AF12" s="4">
        <f t="shared" si="0"/>
        <v>0.65145592958786691</v>
      </c>
      <c r="AG12" s="4">
        <f t="shared" si="0"/>
        <v>0.56032247880849573</v>
      </c>
      <c r="AH12" s="4">
        <f t="shared" si="0"/>
        <v>0.46411326873185343</v>
      </c>
      <c r="AI12" s="4">
        <f t="shared" si="0"/>
        <v>0.36979727595523937</v>
      </c>
      <c r="AJ12" s="4">
        <f t="shared" si="0"/>
        <v>0.28393948637231203</v>
      </c>
      <c r="AK12" s="4">
        <f t="shared" si="0"/>
        <v>0.21097259161117732</v>
      </c>
      <c r="AL12" s="4">
        <f t="shared" si="0"/>
        <v>0.15253917653798199</v>
      </c>
      <c r="AM12" s="4">
        <f t="shared" si="0"/>
        <v>0.10795188737709993</v>
      </c>
      <c r="AN12" s="4">
        <f t="shared" si="0"/>
        <v>7.5176653938091809E-2</v>
      </c>
      <c r="AO12" s="4">
        <f t="shared" si="0"/>
        <v>5.1742836177502194E-2</v>
      </c>
      <c r="AP12" s="4">
        <f t="shared" si="0"/>
        <v>3.5319190625345942E-2</v>
      </c>
      <c r="AQ12" s="4">
        <f t="shared" si="0"/>
        <v>2.3969442072658165E-2</v>
      </c>
      <c r="AR12" s="4">
        <f t="shared" si="0"/>
        <v>1.6202243558389728E-2</v>
      </c>
    </row>
    <row r="13" spans="1:44" x14ac:dyDescent="0.25">
      <c r="A13" s="24" t="s">
        <v>14</v>
      </c>
      <c r="B13" s="60">
        <f>'Parameter Input'!B156</f>
        <v>1000000</v>
      </c>
      <c r="C13" s="61">
        <f>'Parameter Input'!C156</f>
        <v>1000000</v>
      </c>
      <c r="D13" s="1" t="s">
        <v>15</v>
      </c>
      <c r="L13" s="54">
        <f>'Parameter Input'!E156</f>
        <v>17</v>
      </c>
      <c r="M13" s="37">
        <v>0</v>
      </c>
      <c r="N13" s="37">
        <v>1</v>
      </c>
      <c r="O13" s="37">
        <f>'Parameter Input'!F156</f>
        <v>0.9</v>
      </c>
      <c r="P13" s="55">
        <f>'Parameter Input'!G156</f>
        <v>0.4</v>
      </c>
      <c r="Q13" s="4">
        <f t="shared" si="0"/>
        <v>0.99780374543478534</v>
      </c>
      <c r="R13" s="4">
        <f t="shared" si="0"/>
        <v>0.99685359315256394</v>
      </c>
      <c r="S13" s="4">
        <f t="shared" si="0"/>
        <v>0.99549347132349975</v>
      </c>
      <c r="T13" s="4">
        <f t="shared" si="0"/>
        <v>0.99354772139898062</v>
      </c>
      <c r="U13" s="4">
        <f t="shared" si="0"/>
        <v>0.99076681540580536</v>
      </c>
      <c r="V13" s="4">
        <f t="shared" si="0"/>
        <v>0.9867978615748374</v>
      </c>
      <c r="W13" s="4">
        <f t="shared" si="0"/>
        <v>0.98114509762858249</v>
      </c>
      <c r="X13" s="4">
        <f t="shared" si="0"/>
        <v>0.97311898315872036</v>
      </c>
      <c r="Y13" s="4">
        <f t="shared" si="0"/>
        <v>0.96177484161592774</v>
      </c>
      <c r="Z13" s="4">
        <f t="shared" si="0"/>
        <v>0.94584787155511363</v>
      </c>
      <c r="AA13" s="4">
        <f t="shared" si="0"/>
        <v>0.92370360150141495</v>
      </c>
      <c r="AB13" s="4">
        <f t="shared" si="0"/>
        <v>0.89334463567658451</v>
      </c>
      <c r="AC13" s="4">
        <f t="shared" si="0"/>
        <v>0.85254543874327005</v>
      </c>
      <c r="AD13" s="4">
        <f t="shared" si="0"/>
        <v>0.79921300652623883</v>
      </c>
      <c r="AE13" s="4">
        <f t="shared" si="0"/>
        <v>0.73204982249993378</v>
      </c>
      <c r="AF13" s="4">
        <f t="shared" si="0"/>
        <v>0.65145592958786691</v>
      </c>
      <c r="AG13" s="4">
        <f t="shared" si="0"/>
        <v>0.56032247880849573</v>
      </c>
      <c r="AH13" s="4">
        <f t="shared" si="0"/>
        <v>0.46411326873185343</v>
      </c>
      <c r="AI13" s="4">
        <f t="shared" si="0"/>
        <v>0.36979727595523937</v>
      </c>
      <c r="AJ13" s="4">
        <f t="shared" si="0"/>
        <v>0.28393948637231203</v>
      </c>
      <c r="AK13" s="4">
        <f t="shared" si="0"/>
        <v>0.21097259161117732</v>
      </c>
      <c r="AL13" s="4">
        <f t="shared" si="0"/>
        <v>0.15253917653798199</v>
      </c>
      <c r="AM13" s="4">
        <f t="shared" si="0"/>
        <v>0.10795188737709993</v>
      </c>
      <c r="AN13" s="4">
        <f t="shared" si="0"/>
        <v>7.5176653938091809E-2</v>
      </c>
      <c r="AO13" s="4">
        <f t="shared" si="0"/>
        <v>5.1742836177502194E-2</v>
      </c>
      <c r="AP13" s="4">
        <f t="shared" si="0"/>
        <v>3.5319190625345942E-2</v>
      </c>
      <c r="AQ13" s="4">
        <f t="shared" si="0"/>
        <v>2.3969442072658165E-2</v>
      </c>
      <c r="AR13" s="4">
        <f t="shared" si="0"/>
        <v>1.6202243558389728E-2</v>
      </c>
    </row>
    <row r="14" spans="1:44" x14ac:dyDescent="0.25">
      <c r="A14" s="24" t="s">
        <v>25</v>
      </c>
      <c r="B14" s="60">
        <f>'Parameter Input'!B157</f>
        <v>-100000</v>
      </c>
      <c r="C14" s="61">
        <f>'Parameter Input'!C157</f>
        <v>-100000</v>
      </c>
      <c r="D14" s="1" t="s">
        <v>15</v>
      </c>
      <c r="L14" s="54">
        <f>'Parameter Input'!E157</f>
        <v>17</v>
      </c>
      <c r="M14" s="37">
        <v>0</v>
      </c>
      <c r="N14" s="37">
        <v>1</v>
      </c>
      <c r="O14" s="37">
        <f>'Parameter Input'!F157</f>
        <v>0.9</v>
      </c>
      <c r="P14" s="55">
        <f>'Parameter Input'!G157</f>
        <v>0.4</v>
      </c>
      <c r="Q14" s="4">
        <f t="shared" si="0"/>
        <v>0.99780374543478534</v>
      </c>
      <c r="R14" s="4">
        <f t="shared" si="0"/>
        <v>0.99685359315256394</v>
      </c>
      <c r="S14" s="4">
        <f t="shared" si="0"/>
        <v>0.99549347132349975</v>
      </c>
      <c r="T14" s="4">
        <f t="shared" si="0"/>
        <v>0.99354772139898062</v>
      </c>
      <c r="U14" s="4">
        <f t="shared" si="0"/>
        <v>0.99076681540580536</v>
      </c>
      <c r="V14" s="4">
        <f t="shared" si="0"/>
        <v>0.9867978615748374</v>
      </c>
      <c r="W14" s="4">
        <f t="shared" si="0"/>
        <v>0.98114509762858249</v>
      </c>
      <c r="X14" s="4">
        <f t="shared" si="0"/>
        <v>0.97311898315872036</v>
      </c>
      <c r="Y14" s="4">
        <f t="shared" si="0"/>
        <v>0.96177484161592774</v>
      </c>
      <c r="Z14" s="4">
        <f t="shared" si="0"/>
        <v>0.94584787155511363</v>
      </c>
      <c r="AA14" s="4">
        <f t="shared" si="0"/>
        <v>0.92370360150141495</v>
      </c>
      <c r="AB14" s="4">
        <f t="shared" si="0"/>
        <v>0.89334463567658451</v>
      </c>
      <c r="AC14" s="4">
        <f t="shared" si="0"/>
        <v>0.85254543874327005</v>
      </c>
      <c r="AD14" s="4">
        <f t="shared" si="0"/>
        <v>0.79921300652623883</v>
      </c>
      <c r="AE14" s="4">
        <f t="shared" si="0"/>
        <v>0.73204982249993378</v>
      </c>
      <c r="AF14" s="4">
        <f t="shared" si="0"/>
        <v>0.65145592958786691</v>
      </c>
      <c r="AG14" s="4">
        <f t="shared" si="0"/>
        <v>0.56032247880849573</v>
      </c>
      <c r="AH14" s="4">
        <f t="shared" si="0"/>
        <v>0.46411326873185343</v>
      </c>
      <c r="AI14" s="4">
        <f t="shared" si="0"/>
        <v>0.36979727595523937</v>
      </c>
      <c r="AJ14" s="4">
        <f t="shared" si="0"/>
        <v>0.28393948637231203</v>
      </c>
      <c r="AK14" s="4">
        <f t="shared" si="0"/>
        <v>0.21097259161117732</v>
      </c>
      <c r="AL14" s="4">
        <f t="shared" si="0"/>
        <v>0.15253917653798199</v>
      </c>
      <c r="AM14" s="4">
        <f t="shared" si="0"/>
        <v>0.10795188737709993</v>
      </c>
      <c r="AN14" s="4">
        <f t="shared" si="0"/>
        <v>7.5176653938091809E-2</v>
      </c>
      <c r="AO14" s="4">
        <f t="shared" si="0"/>
        <v>5.1742836177502194E-2</v>
      </c>
      <c r="AP14" s="4">
        <f t="shared" si="0"/>
        <v>3.5319190625345942E-2</v>
      </c>
      <c r="AQ14" s="4">
        <f t="shared" si="0"/>
        <v>2.3969442072658165E-2</v>
      </c>
      <c r="AR14" s="4">
        <f t="shared" si="0"/>
        <v>1.6202243558389728E-2</v>
      </c>
    </row>
    <row r="15" spans="1:44" x14ac:dyDescent="0.25">
      <c r="A15" s="24" t="s">
        <v>79</v>
      </c>
      <c r="B15" s="92">
        <f>'Parameter Input'!$L$175</f>
        <v>0.06</v>
      </c>
      <c r="C15" s="91">
        <f>'Parameter Input'!$M$175</f>
        <v>0.06</v>
      </c>
      <c r="D15" s="1" t="s">
        <v>57</v>
      </c>
      <c r="L15" s="54">
        <f>'Parameter Input'!$O$163</f>
        <v>17</v>
      </c>
      <c r="M15" s="37">
        <v>0</v>
      </c>
      <c r="N15" s="37">
        <v>1</v>
      </c>
      <c r="O15" s="37">
        <f>'Parameter Input'!$P$163</f>
        <v>0.9</v>
      </c>
      <c r="P15" s="55">
        <f>'Parameter Input'!$Q$163</f>
        <v>0.4</v>
      </c>
      <c r="Q15" s="4">
        <f t="shared" si="0"/>
        <v>0.99780374543478534</v>
      </c>
      <c r="R15" s="4">
        <f t="shared" si="0"/>
        <v>0.99685359315256394</v>
      </c>
      <c r="S15" s="4">
        <f t="shared" si="0"/>
        <v>0.99549347132349975</v>
      </c>
      <c r="T15" s="4">
        <f t="shared" si="0"/>
        <v>0.99354772139898062</v>
      </c>
      <c r="U15" s="4">
        <f t="shared" si="0"/>
        <v>0.99076681540580536</v>
      </c>
      <c r="V15" s="4">
        <f t="shared" si="0"/>
        <v>0.9867978615748374</v>
      </c>
      <c r="W15" s="4">
        <f t="shared" si="0"/>
        <v>0.98114509762858249</v>
      </c>
      <c r="X15" s="4">
        <f t="shared" si="0"/>
        <v>0.97311898315872036</v>
      </c>
      <c r="Y15" s="4">
        <f t="shared" si="0"/>
        <v>0.96177484161592774</v>
      </c>
      <c r="Z15" s="4">
        <f t="shared" si="0"/>
        <v>0.94584787155511363</v>
      </c>
      <c r="AA15" s="4">
        <f t="shared" si="0"/>
        <v>0.92370360150141495</v>
      </c>
      <c r="AB15" s="4">
        <f t="shared" si="0"/>
        <v>0.89334463567658451</v>
      </c>
      <c r="AC15" s="4">
        <f t="shared" si="0"/>
        <v>0.85254543874327005</v>
      </c>
      <c r="AD15" s="4">
        <f t="shared" si="0"/>
        <v>0.79921300652623883</v>
      </c>
      <c r="AE15" s="4">
        <f t="shared" si="0"/>
        <v>0.73204982249993378</v>
      </c>
      <c r="AF15" s="4">
        <f t="shared" si="0"/>
        <v>0.65145592958786691</v>
      </c>
      <c r="AG15" s="4">
        <f t="shared" si="0"/>
        <v>0.56032247880849573</v>
      </c>
      <c r="AH15" s="4">
        <f t="shared" si="0"/>
        <v>0.46411326873185343</v>
      </c>
      <c r="AI15" s="4">
        <f t="shared" si="0"/>
        <v>0.36979727595523937</v>
      </c>
      <c r="AJ15" s="4">
        <f t="shared" si="0"/>
        <v>0.28393948637231203</v>
      </c>
      <c r="AK15" s="4">
        <f t="shared" si="0"/>
        <v>0.21097259161117732</v>
      </c>
      <c r="AL15" s="4">
        <f t="shared" si="0"/>
        <v>0.15253917653798199</v>
      </c>
      <c r="AM15" s="4">
        <f t="shared" si="0"/>
        <v>0.10795188737709993</v>
      </c>
      <c r="AN15" s="4">
        <f t="shared" si="0"/>
        <v>7.5176653938091809E-2</v>
      </c>
      <c r="AO15" s="4">
        <f t="shared" si="0"/>
        <v>5.1742836177502194E-2</v>
      </c>
      <c r="AP15" s="4">
        <f t="shared" si="0"/>
        <v>3.5319190625345942E-2</v>
      </c>
      <c r="AQ15" s="4">
        <f t="shared" si="0"/>
        <v>2.3969442072658165E-2</v>
      </c>
      <c r="AR15" s="4">
        <f t="shared" si="0"/>
        <v>1.6202243558389728E-2</v>
      </c>
    </row>
    <row r="16" spans="1:44" x14ac:dyDescent="0.25">
      <c r="A16" s="24" t="s">
        <v>37</v>
      </c>
      <c r="B16" s="60">
        <f>'Parameter Input'!B158</f>
        <v>1208235.294117647</v>
      </c>
      <c r="C16" s="61">
        <f>'Parameter Input'!C158</f>
        <v>1208235.294117647</v>
      </c>
      <c r="D16" s="1" t="s">
        <v>38</v>
      </c>
      <c r="L16" s="54">
        <f>'Parameter Input'!E158</f>
        <v>17</v>
      </c>
      <c r="M16" s="37">
        <v>0</v>
      </c>
      <c r="N16" s="37">
        <v>1</v>
      </c>
      <c r="O16" s="37">
        <f>'Parameter Input'!F158</f>
        <v>0.9</v>
      </c>
      <c r="P16" s="55">
        <f>'Parameter Input'!G158</f>
        <v>0.4</v>
      </c>
      <c r="Q16" s="4">
        <f t="shared" si="0"/>
        <v>0.99780374543478534</v>
      </c>
      <c r="R16" s="4">
        <f t="shared" si="0"/>
        <v>0.99685359315256394</v>
      </c>
      <c r="S16" s="4">
        <f t="shared" si="0"/>
        <v>0.99549347132349975</v>
      </c>
      <c r="T16" s="4">
        <f t="shared" si="0"/>
        <v>0.99354772139898062</v>
      </c>
      <c r="U16" s="4">
        <f t="shared" si="0"/>
        <v>0.99076681540580536</v>
      </c>
      <c r="V16" s="4">
        <f t="shared" si="0"/>
        <v>0.9867978615748374</v>
      </c>
      <c r="W16" s="4">
        <f t="shared" si="0"/>
        <v>0.98114509762858249</v>
      </c>
      <c r="X16" s="4">
        <f t="shared" si="0"/>
        <v>0.97311898315872036</v>
      </c>
      <c r="Y16" s="4">
        <f t="shared" si="0"/>
        <v>0.96177484161592774</v>
      </c>
      <c r="Z16" s="4">
        <f t="shared" si="0"/>
        <v>0.94584787155511363</v>
      </c>
      <c r="AA16" s="4">
        <f t="shared" si="0"/>
        <v>0.92370360150141495</v>
      </c>
      <c r="AB16" s="4">
        <f t="shared" si="0"/>
        <v>0.89334463567658451</v>
      </c>
      <c r="AC16" s="4">
        <f t="shared" si="0"/>
        <v>0.85254543874327005</v>
      </c>
      <c r="AD16" s="4">
        <f t="shared" si="0"/>
        <v>0.79921300652623883</v>
      </c>
      <c r="AE16" s="4">
        <f t="shared" si="0"/>
        <v>0.73204982249993378</v>
      </c>
      <c r="AF16" s="4">
        <f t="shared" si="0"/>
        <v>0.65145592958786691</v>
      </c>
      <c r="AG16" s="4">
        <f t="shared" si="0"/>
        <v>0.56032247880849573</v>
      </c>
      <c r="AH16" s="4">
        <f t="shared" si="0"/>
        <v>0.46411326873185343</v>
      </c>
      <c r="AI16" s="4">
        <f t="shared" si="0"/>
        <v>0.36979727595523937</v>
      </c>
      <c r="AJ16" s="4">
        <f t="shared" si="0"/>
        <v>0.28393948637231203</v>
      </c>
      <c r="AK16" s="4">
        <f t="shared" si="0"/>
        <v>0.21097259161117732</v>
      </c>
      <c r="AL16" s="4">
        <f t="shared" si="0"/>
        <v>0.15253917653798199</v>
      </c>
      <c r="AM16" s="4">
        <f t="shared" si="0"/>
        <v>0.10795188737709993</v>
      </c>
      <c r="AN16" s="4">
        <f t="shared" si="0"/>
        <v>7.5176653938091809E-2</v>
      </c>
      <c r="AO16" s="4">
        <f t="shared" si="0"/>
        <v>5.1742836177502194E-2</v>
      </c>
      <c r="AP16" s="4">
        <f t="shared" si="0"/>
        <v>3.5319190625345942E-2</v>
      </c>
      <c r="AQ16" s="4">
        <f t="shared" si="0"/>
        <v>2.3969442072658165E-2</v>
      </c>
      <c r="AR16" s="4">
        <f t="shared" si="0"/>
        <v>1.6202243558389728E-2</v>
      </c>
    </row>
    <row r="17" spans="1:44" x14ac:dyDescent="0.25">
      <c r="A17" s="24" t="s">
        <v>52</v>
      </c>
      <c r="B17" s="60">
        <f>'Parameter Input'!$L$171</f>
        <v>488235.29411764705</v>
      </c>
      <c r="C17" s="61">
        <f>'Parameter Input'!$M$171</f>
        <v>488235.29411764705</v>
      </c>
      <c r="D17" s="1" t="s">
        <v>38</v>
      </c>
      <c r="L17" s="54">
        <f>'Parameter Input'!$O$159</f>
        <v>17</v>
      </c>
      <c r="M17" s="37">
        <v>0</v>
      </c>
      <c r="N17" s="37">
        <v>1</v>
      </c>
      <c r="O17" s="37">
        <f>'Parameter Input'!$P$159</f>
        <v>0.9</v>
      </c>
      <c r="P17" s="55">
        <f>'Parameter Input'!$Q$159</f>
        <v>0.4</v>
      </c>
      <c r="Q17" s="4">
        <f t="shared" si="0"/>
        <v>0.99780374543478534</v>
      </c>
      <c r="R17" s="4">
        <f t="shared" si="0"/>
        <v>0.99685359315256394</v>
      </c>
      <c r="S17" s="4">
        <f t="shared" si="0"/>
        <v>0.99549347132349975</v>
      </c>
      <c r="T17" s="4">
        <f t="shared" si="0"/>
        <v>0.99354772139898062</v>
      </c>
      <c r="U17" s="4">
        <f t="shared" si="0"/>
        <v>0.99076681540580536</v>
      </c>
      <c r="V17" s="4">
        <f t="shared" si="0"/>
        <v>0.9867978615748374</v>
      </c>
      <c r="W17" s="4">
        <f t="shared" si="0"/>
        <v>0.98114509762858249</v>
      </c>
      <c r="X17" s="4">
        <f t="shared" si="0"/>
        <v>0.97311898315872036</v>
      </c>
      <c r="Y17" s="4">
        <f t="shared" si="0"/>
        <v>0.96177484161592774</v>
      </c>
      <c r="Z17" s="4">
        <f t="shared" si="0"/>
        <v>0.94584787155511363</v>
      </c>
      <c r="AA17" s="4">
        <f t="shared" si="0"/>
        <v>0.92370360150141495</v>
      </c>
      <c r="AB17" s="4">
        <f t="shared" si="0"/>
        <v>0.89334463567658451</v>
      </c>
      <c r="AC17" s="4">
        <f t="shared" si="0"/>
        <v>0.85254543874327005</v>
      </c>
      <c r="AD17" s="4">
        <f t="shared" si="0"/>
        <v>0.79921300652623883</v>
      </c>
      <c r="AE17" s="4">
        <f t="shared" si="0"/>
        <v>0.73204982249993378</v>
      </c>
      <c r="AF17" s="4">
        <f t="shared" si="0"/>
        <v>0.65145592958786691</v>
      </c>
      <c r="AG17" s="4">
        <f t="shared" si="0"/>
        <v>0.56032247880849573</v>
      </c>
      <c r="AH17" s="4">
        <f t="shared" si="0"/>
        <v>0.46411326873185343</v>
      </c>
      <c r="AI17" s="4">
        <f t="shared" si="0"/>
        <v>0.36979727595523937</v>
      </c>
      <c r="AJ17" s="4">
        <f t="shared" si="0"/>
        <v>0.28393948637231203</v>
      </c>
      <c r="AK17" s="4">
        <f t="shared" si="0"/>
        <v>0.21097259161117732</v>
      </c>
      <c r="AL17" s="4">
        <f t="shared" si="0"/>
        <v>0.15253917653798199</v>
      </c>
      <c r="AM17" s="4">
        <f t="shared" si="0"/>
        <v>0.10795188737709993</v>
      </c>
      <c r="AN17" s="4">
        <f t="shared" si="0"/>
        <v>7.5176653938091809E-2</v>
      </c>
      <c r="AO17" s="4">
        <f t="shared" si="0"/>
        <v>5.1742836177502194E-2</v>
      </c>
      <c r="AP17" s="4">
        <f t="shared" si="0"/>
        <v>3.5319190625345942E-2</v>
      </c>
      <c r="AQ17" s="4">
        <f t="shared" si="0"/>
        <v>2.3969442072658165E-2</v>
      </c>
      <c r="AR17" s="4">
        <f t="shared" si="0"/>
        <v>1.6202243558389728E-2</v>
      </c>
    </row>
    <row r="18" spans="1:44" x14ac:dyDescent="0.25">
      <c r="A18" s="24" t="s">
        <v>272</v>
      </c>
      <c r="B18" s="92">
        <f>'Parameter Input'!B163</f>
        <v>0.8458018624557011</v>
      </c>
      <c r="C18" s="61">
        <f>'Parameter Input'!C163</f>
        <v>0.8458018624557011</v>
      </c>
      <c r="D18" s="1" t="s">
        <v>76</v>
      </c>
      <c r="L18" s="54">
        <f>'Parameter Input'!E163</f>
        <v>17</v>
      </c>
      <c r="M18" s="37">
        <v>0</v>
      </c>
      <c r="N18" s="37">
        <v>1</v>
      </c>
      <c r="O18" s="37">
        <f>'Parameter Input'!F163</f>
        <v>0.9</v>
      </c>
      <c r="P18" s="55">
        <f>'Parameter Input'!G163</f>
        <v>0.4</v>
      </c>
      <c r="Q18" s="4">
        <f t="shared" si="0"/>
        <v>0.99780374543478534</v>
      </c>
      <c r="R18" s="4">
        <f t="shared" si="0"/>
        <v>0.99685359315256394</v>
      </c>
      <c r="S18" s="4">
        <f t="shared" si="0"/>
        <v>0.99549347132349975</v>
      </c>
      <c r="T18" s="4">
        <f t="shared" si="0"/>
        <v>0.99354772139898062</v>
      </c>
      <c r="U18" s="4">
        <f t="shared" si="0"/>
        <v>0.99076681540580536</v>
      </c>
      <c r="V18" s="4">
        <f t="shared" si="0"/>
        <v>0.9867978615748374</v>
      </c>
      <c r="W18" s="4">
        <f t="shared" si="0"/>
        <v>0.98114509762858249</v>
      </c>
      <c r="X18" s="4">
        <f t="shared" si="0"/>
        <v>0.97311898315872036</v>
      </c>
      <c r="Y18" s="4">
        <f t="shared" si="0"/>
        <v>0.96177484161592774</v>
      </c>
      <c r="Z18" s="4">
        <f t="shared" si="0"/>
        <v>0.94584787155511363</v>
      </c>
      <c r="AA18" s="4">
        <f t="shared" si="0"/>
        <v>0.92370360150141495</v>
      </c>
      <c r="AB18" s="4">
        <f t="shared" si="0"/>
        <v>0.89334463567658451</v>
      </c>
      <c r="AC18" s="4">
        <f t="shared" si="0"/>
        <v>0.85254543874327005</v>
      </c>
      <c r="AD18" s="4">
        <f t="shared" si="0"/>
        <v>0.79921300652623883</v>
      </c>
      <c r="AE18" s="4">
        <f t="shared" si="0"/>
        <v>0.73204982249993378</v>
      </c>
      <c r="AF18" s="4">
        <f t="shared" si="0"/>
        <v>0.65145592958786691</v>
      </c>
      <c r="AG18" s="4">
        <f t="shared" si="0"/>
        <v>0.56032247880849573</v>
      </c>
      <c r="AH18" s="4">
        <f t="shared" si="0"/>
        <v>0.46411326873185343</v>
      </c>
      <c r="AI18" s="4">
        <f t="shared" si="0"/>
        <v>0.36979727595523937</v>
      </c>
      <c r="AJ18" s="4">
        <f t="shared" si="0"/>
        <v>0.28393948637231203</v>
      </c>
      <c r="AK18" s="4">
        <f t="shared" si="0"/>
        <v>0.21097259161117732</v>
      </c>
      <c r="AL18" s="4">
        <f t="shared" si="0"/>
        <v>0.15253917653798199</v>
      </c>
      <c r="AM18" s="4">
        <f t="shared" si="0"/>
        <v>0.10795188737709993</v>
      </c>
      <c r="AN18" s="4">
        <f t="shared" si="0"/>
        <v>7.5176653938091809E-2</v>
      </c>
      <c r="AO18" s="4">
        <f t="shared" si="0"/>
        <v>5.1742836177502194E-2</v>
      </c>
      <c r="AP18" s="4">
        <f t="shared" si="0"/>
        <v>3.5319190625345942E-2</v>
      </c>
      <c r="AQ18" s="4">
        <f t="shared" si="0"/>
        <v>2.3969442072658165E-2</v>
      </c>
      <c r="AR18" s="4">
        <f t="shared" si="0"/>
        <v>1.6202243558389728E-2</v>
      </c>
    </row>
    <row r="19" spans="1:44" x14ac:dyDescent="0.25">
      <c r="A19" s="24" t="s">
        <v>59</v>
      </c>
      <c r="B19" s="60">
        <f>'Parameter Input'!$L$172</f>
        <v>647</v>
      </c>
      <c r="C19" s="61">
        <f>'Parameter Input'!$M$172</f>
        <v>600</v>
      </c>
      <c r="D19" s="1" t="s">
        <v>60</v>
      </c>
      <c r="L19" s="54">
        <f>'Parameter Input'!$O$160</f>
        <v>17</v>
      </c>
      <c r="M19" s="37">
        <v>0</v>
      </c>
      <c r="N19" s="37">
        <v>1</v>
      </c>
      <c r="O19" s="37">
        <f>'Parameter Input'!$P$160</f>
        <v>0.9</v>
      </c>
      <c r="P19" s="55">
        <f>'Parameter Input'!$Q$160</f>
        <v>0.4</v>
      </c>
      <c r="Q19" s="4">
        <f t="shared" si="0"/>
        <v>0.99780374543478534</v>
      </c>
      <c r="R19" s="4">
        <f t="shared" si="0"/>
        <v>0.99685359315256394</v>
      </c>
      <c r="S19" s="4">
        <f t="shared" si="0"/>
        <v>0.99549347132349975</v>
      </c>
      <c r="T19" s="4">
        <f t="shared" si="0"/>
        <v>0.99354772139898062</v>
      </c>
      <c r="U19" s="4">
        <f t="shared" si="0"/>
        <v>0.99076681540580536</v>
      </c>
      <c r="V19" s="4">
        <f t="shared" si="0"/>
        <v>0.9867978615748374</v>
      </c>
      <c r="W19" s="4">
        <f t="shared" si="0"/>
        <v>0.98114509762858249</v>
      </c>
      <c r="X19" s="4">
        <f t="shared" si="0"/>
        <v>0.97311898315872036</v>
      </c>
      <c r="Y19" s="4">
        <f t="shared" si="0"/>
        <v>0.96177484161592774</v>
      </c>
      <c r="Z19" s="4">
        <f t="shared" si="0"/>
        <v>0.94584787155511363</v>
      </c>
      <c r="AA19" s="4">
        <f t="shared" si="0"/>
        <v>0.92370360150141495</v>
      </c>
      <c r="AB19" s="4">
        <f t="shared" si="0"/>
        <v>0.89334463567658451</v>
      </c>
      <c r="AC19" s="4">
        <f t="shared" si="0"/>
        <v>0.85254543874327005</v>
      </c>
      <c r="AD19" s="4">
        <f t="shared" si="0"/>
        <v>0.79921300652623883</v>
      </c>
      <c r="AE19" s="4">
        <f t="shared" si="0"/>
        <v>0.73204982249993378</v>
      </c>
      <c r="AF19" s="4">
        <f t="shared" si="0"/>
        <v>0.65145592958786691</v>
      </c>
      <c r="AG19" s="4">
        <f t="shared" si="0"/>
        <v>0.56032247880849573</v>
      </c>
      <c r="AH19" s="4">
        <f t="shared" si="0"/>
        <v>0.46411326873185343</v>
      </c>
      <c r="AI19" s="4">
        <f t="shared" si="0"/>
        <v>0.36979727595523937</v>
      </c>
      <c r="AJ19" s="4">
        <f t="shared" si="0"/>
        <v>0.28393948637231203</v>
      </c>
      <c r="AK19" s="4">
        <f t="shared" si="0"/>
        <v>0.21097259161117732</v>
      </c>
      <c r="AL19" s="4">
        <f t="shared" si="0"/>
        <v>0.15253917653798199</v>
      </c>
      <c r="AM19" s="4">
        <f t="shared" si="0"/>
        <v>0.10795188737709993</v>
      </c>
      <c r="AN19" s="4">
        <f t="shared" si="0"/>
        <v>7.5176653938091809E-2</v>
      </c>
      <c r="AO19" s="4">
        <f t="shared" si="0"/>
        <v>5.1742836177502194E-2</v>
      </c>
      <c r="AP19" s="4">
        <f t="shared" si="0"/>
        <v>3.5319190625345942E-2</v>
      </c>
      <c r="AQ19" s="4">
        <f t="shared" si="0"/>
        <v>2.3969442072658165E-2</v>
      </c>
      <c r="AR19" s="4">
        <f t="shared" si="0"/>
        <v>1.6202243558389728E-2</v>
      </c>
    </row>
    <row r="20" spans="1:44" x14ac:dyDescent="0.25">
      <c r="A20" s="24" t="s">
        <v>67</v>
      </c>
      <c r="B20" s="92">
        <f>'Parameter Input'!$L$173</f>
        <v>3.1399999999999997E-2</v>
      </c>
      <c r="C20" s="61">
        <f>'Parameter Input'!$M$173</f>
        <v>3.1399999999999997E-2</v>
      </c>
      <c r="D20" s="1" t="s">
        <v>68</v>
      </c>
      <c r="L20" s="54">
        <f>'Parameter Input'!$O$161</f>
        <v>17</v>
      </c>
      <c r="M20" s="37">
        <v>0</v>
      </c>
      <c r="N20" s="37">
        <v>1</v>
      </c>
      <c r="O20" s="37">
        <f>'Parameter Input'!$P$161</f>
        <v>0.9</v>
      </c>
      <c r="P20" s="55">
        <f>'Parameter Input'!$Q$161</f>
        <v>0.4</v>
      </c>
      <c r="Q20" s="4">
        <f t="shared" si="0"/>
        <v>0.99780374543478534</v>
      </c>
      <c r="R20" s="4">
        <f t="shared" si="0"/>
        <v>0.99685359315256394</v>
      </c>
      <c r="S20" s="4">
        <f t="shared" si="0"/>
        <v>0.99549347132349975</v>
      </c>
      <c r="T20" s="4">
        <f t="shared" ref="T20:AR27" si="1">$N20+($M20-$N20)*((1/(1+EXP(-$P20*(T$9-$L20)))^$O20))</f>
        <v>0.99354772139898062</v>
      </c>
      <c r="U20" s="4">
        <f t="shared" si="1"/>
        <v>0.99076681540580536</v>
      </c>
      <c r="V20" s="4">
        <f t="shared" si="1"/>
        <v>0.9867978615748374</v>
      </c>
      <c r="W20" s="4">
        <f t="shared" si="1"/>
        <v>0.98114509762858249</v>
      </c>
      <c r="X20" s="4">
        <f t="shared" si="1"/>
        <v>0.97311898315872036</v>
      </c>
      <c r="Y20" s="4">
        <f t="shared" si="1"/>
        <v>0.96177484161592774</v>
      </c>
      <c r="Z20" s="4">
        <f t="shared" si="1"/>
        <v>0.94584787155511363</v>
      </c>
      <c r="AA20" s="4">
        <f t="shared" si="1"/>
        <v>0.92370360150141495</v>
      </c>
      <c r="AB20" s="4">
        <f t="shared" si="1"/>
        <v>0.89334463567658451</v>
      </c>
      <c r="AC20" s="4">
        <f t="shared" si="1"/>
        <v>0.85254543874327005</v>
      </c>
      <c r="AD20" s="4">
        <f t="shared" si="1"/>
        <v>0.79921300652623883</v>
      </c>
      <c r="AE20" s="4">
        <f t="shared" si="1"/>
        <v>0.73204982249993378</v>
      </c>
      <c r="AF20" s="4">
        <f t="shared" si="1"/>
        <v>0.65145592958786691</v>
      </c>
      <c r="AG20" s="4">
        <f t="shared" si="1"/>
        <v>0.56032247880849573</v>
      </c>
      <c r="AH20" s="4">
        <f t="shared" si="1"/>
        <v>0.46411326873185343</v>
      </c>
      <c r="AI20" s="4">
        <f t="shared" si="1"/>
        <v>0.36979727595523937</v>
      </c>
      <c r="AJ20" s="4">
        <f t="shared" si="1"/>
        <v>0.28393948637231203</v>
      </c>
      <c r="AK20" s="4">
        <f t="shared" si="1"/>
        <v>0.21097259161117732</v>
      </c>
      <c r="AL20" s="4">
        <f t="shared" si="1"/>
        <v>0.15253917653798199</v>
      </c>
      <c r="AM20" s="4">
        <f t="shared" si="1"/>
        <v>0.10795188737709993</v>
      </c>
      <c r="AN20" s="4">
        <f t="shared" si="1"/>
        <v>7.5176653938091809E-2</v>
      </c>
      <c r="AO20" s="4">
        <f t="shared" si="1"/>
        <v>5.1742836177502194E-2</v>
      </c>
      <c r="AP20" s="4">
        <f t="shared" si="1"/>
        <v>3.5319190625345942E-2</v>
      </c>
      <c r="AQ20" s="4">
        <f t="shared" si="1"/>
        <v>2.3969442072658165E-2</v>
      </c>
      <c r="AR20" s="4">
        <f t="shared" si="1"/>
        <v>1.6202243558389728E-2</v>
      </c>
    </row>
    <row r="21" spans="1:44" x14ac:dyDescent="0.25">
      <c r="A21" s="24" t="s">
        <v>206</v>
      </c>
      <c r="B21" s="79">
        <f>'Parameter Input'!$L$176</f>
        <v>18.177348551360843</v>
      </c>
      <c r="C21" s="61">
        <f>'Parameter Input'!$M$176</f>
        <v>58.999122036874446</v>
      </c>
      <c r="D21" s="1"/>
      <c r="L21" s="54">
        <f>'Parameter Input'!O164</f>
        <v>17</v>
      </c>
      <c r="M21" s="37">
        <v>0</v>
      </c>
      <c r="N21" s="37">
        <v>1</v>
      </c>
      <c r="O21" s="37">
        <f>'Parameter Input'!P164</f>
        <v>0.9</v>
      </c>
      <c r="P21" s="55">
        <f>'Parameter Input'!Q164</f>
        <v>0.4</v>
      </c>
      <c r="Q21" s="4">
        <f t="shared" ref="Q21:AR27"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41</v>
      </c>
      <c r="B22" s="60">
        <f>'Parameter Input'!$L$170</f>
        <v>25</v>
      </c>
      <c r="C22" s="61">
        <f>'Parameter Input'!$M$170</f>
        <v>25</v>
      </c>
      <c r="D22" s="1" t="s">
        <v>42</v>
      </c>
      <c r="L22" s="54">
        <f>'Parameter Input'!$O$158</f>
        <v>17</v>
      </c>
      <c r="M22" s="37">
        <v>0</v>
      </c>
      <c r="N22" s="37">
        <v>1</v>
      </c>
      <c r="O22" s="37">
        <f>'Parameter Input'!$P$158</f>
        <v>0.9</v>
      </c>
      <c r="P22" s="55">
        <f>'Parameter Input'!$Q$158</f>
        <v>0.4</v>
      </c>
      <c r="Q22" s="4">
        <f t="shared" si="2"/>
        <v>0.99780374543478534</v>
      </c>
      <c r="R22" s="4">
        <f t="shared" si="2"/>
        <v>0.99685359315256394</v>
      </c>
      <c r="S22" s="4">
        <f t="shared" si="2"/>
        <v>0.99549347132349975</v>
      </c>
      <c r="T22" s="4">
        <f t="shared" si="2"/>
        <v>0.99354772139898062</v>
      </c>
      <c r="U22" s="4">
        <f t="shared" si="2"/>
        <v>0.99076681540580536</v>
      </c>
      <c r="V22" s="4">
        <f t="shared" si="2"/>
        <v>0.9867978615748374</v>
      </c>
      <c r="W22" s="4">
        <f t="shared" si="2"/>
        <v>0.98114509762858249</v>
      </c>
      <c r="X22" s="4">
        <f t="shared" si="2"/>
        <v>0.97311898315872036</v>
      </c>
      <c r="Y22" s="4">
        <f t="shared" si="2"/>
        <v>0.96177484161592774</v>
      </c>
      <c r="Z22" s="4">
        <f t="shared" si="2"/>
        <v>0.94584787155511363</v>
      </c>
      <c r="AA22" s="4">
        <f t="shared" si="2"/>
        <v>0.92370360150141495</v>
      </c>
      <c r="AB22" s="4">
        <f t="shared" si="2"/>
        <v>0.89334463567658451</v>
      </c>
      <c r="AC22" s="4">
        <f t="shared" si="2"/>
        <v>0.85254543874327005</v>
      </c>
      <c r="AD22" s="4">
        <f t="shared" si="2"/>
        <v>0.79921300652623883</v>
      </c>
      <c r="AE22" s="4">
        <f t="shared" si="2"/>
        <v>0.73204982249993378</v>
      </c>
      <c r="AF22" s="4">
        <f t="shared" si="2"/>
        <v>0.65145592958786691</v>
      </c>
      <c r="AG22" s="4">
        <f t="shared" si="1"/>
        <v>0.56032247880849573</v>
      </c>
      <c r="AH22" s="4">
        <f t="shared" si="1"/>
        <v>0.46411326873185343</v>
      </c>
      <c r="AI22" s="4">
        <f t="shared" si="1"/>
        <v>0.36979727595523937</v>
      </c>
      <c r="AJ22" s="4">
        <f t="shared" si="1"/>
        <v>0.28393948637231203</v>
      </c>
      <c r="AK22" s="4">
        <f t="shared" si="1"/>
        <v>0.21097259161117732</v>
      </c>
      <c r="AL22" s="4">
        <f t="shared" si="1"/>
        <v>0.15253917653798199</v>
      </c>
      <c r="AM22" s="4">
        <f t="shared" si="1"/>
        <v>0.10795188737709993</v>
      </c>
      <c r="AN22" s="4">
        <f t="shared" si="1"/>
        <v>7.5176653938091809E-2</v>
      </c>
      <c r="AO22" s="4">
        <f t="shared" si="1"/>
        <v>5.1742836177502194E-2</v>
      </c>
      <c r="AP22" s="4">
        <f t="shared" si="1"/>
        <v>3.5319190625345942E-2</v>
      </c>
      <c r="AQ22" s="4">
        <f t="shared" si="1"/>
        <v>2.3969442072658165E-2</v>
      </c>
      <c r="AR22" s="4">
        <f t="shared" si="1"/>
        <v>1.6202243558389728E-2</v>
      </c>
    </row>
    <row r="23" spans="1:44" x14ac:dyDescent="0.25">
      <c r="A23" s="24" t="s">
        <v>70</v>
      </c>
      <c r="B23" s="60">
        <f>'Parameter Input'!B162</f>
        <v>25</v>
      </c>
      <c r="C23" s="61">
        <f>'Parameter Input'!C162</f>
        <v>25</v>
      </c>
      <c r="D23" s="1" t="s">
        <v>42</v>
      </c>
      <c r="L23" s="54">
        <f>'Parameter Input'!E162</f>
        <v>17</v>
      </c>
      <c r="M23" s="37">
        <v>0</v>
      </c>
      <c r="N23" s="37">
        <v>1</v>
      </c>
      <c r="O23" s="37">
        <f>'Parameter Input'!F162</f>
        <v>0.9</v>
      </c>
      <c r="P23" s="55">
        <f>'Parameter Input'!G162</f>
        <v>0.4</v>
      </c>
      <c r="Q23" s="4">
        <f t="shared" si="2"/>
        <v>0.99780374543478534</v>
      </c>
      <c r="R23" s="4">
        <f t="shared" si="2"/>
        <v>0.99685359315256394</v>
      </c>
      <c r="S23" s="4">
        <f t="shared" si="2"/>
        <v>0.99549347132349975</v>
      </c>
      <c r="T23" s="4">
        <f t="shared" si="2"/>
        <v>0.99354772139898062</v>
      </c>
      <c r="U23" s="4">
        <f t="shared" si="2"/>
        <v>0.99076681540580536</v>
      </c>
      <c r="V23" s="4">
        <f t="shared" si="2"/>
        <v>0.9867978615748374</v>
      </c>
      <c r="W23" s="4">
        <f t="shared" si="2"/>
        <v>0.98114509762858249</v>
      </c>
      <c r="X23" s="4">
        <f t="shared" si="2"/>
        <v>0.97311898315872036</v>
      </c>
      <c r="Y23" s="4">
        <f t="shared" si="2"/>
        <v>0.96177484161592774</v>
      </c>
      <c r="Z23" s="4">
        <f t="shared" si="2"/>
        <v>0.94584787155511363</v>
      </c>
      <c r="AA23" s="4">
        <f t="shared" si="2"/>
        <v>0.92370360150141495</v>
      </c>
      <c r="AB23" s="4">
        <f t="shared" si="2"/>
        <v>0.89334463567658451</v>
      </c>
      <c r="AC23" s="4">
        <f t="shared" si="2"/>
        <v>0.85254543874327005</v>
      </c>
      <c r="AD23" s="4">
        <f t="shared" si="2"/>
        <v>0.79921300652623883</v>
      </c>
      <c r="AE23" s="4">
        <f t="shared" si="2"/>
        <v>0.73204982249993378</v>
      </c>
      <c r="AF23" s="4">
        <f t="shared" si="2"/>
        <v>0.65145592958786691</v>
      </c>
      <c r="AG23" s="4">
        <f t="shared" si="1"/>
        <v>0.56032247880849573</v>
      </c>
      <c r="AH23" s="4">
        <f t="shared" si="1"/>
        <v>0.46411326873185343</v>
      </c>
      <c r="AI23" s="4">
        <f t="shared" si="1"/>
        <v>0.36979727595523937</v>
      </c>
      <c r="AJ23" s="4">
        <f t="shared" si="1"/>
        <v>0.28393948637231203</v>
      </c>
      <c r="AK23" s="4">
        <f t="shared" si="1"/>
        <v>0.21097259161117732</v>
      </c>
      <c r="AL23" s="4">
        <f t="shared" si="1"/>
        <v>0.15253917653798199</v>
      </c>
      <c r="AM23" s="4">
        <f t="shared" si="1"/>
        <v>0.10795188737709993</v>
      </c>
      <c r="AN23" s="4">
        <f t="shared" si="1"/>
        <v>7.5176653938091809E-2</v>
      </c>
      <c r="AO23" s="4">
        <f t="shared" si="1"/>
        <v>5.1742836177502194E-2</v>
      </c>
      <c r="AP23" s="4">
        <f t="shared" si="1"/>
        <v>3.5319190625345942E-2</v>
      </c>
      <c r="AQ23" s="4">
        <f t="shared" si="1"/>
        <v>2.3969442072658165E-2</v>
      </c>
      <c r="AR23" s="4">
        <f t="shared" si="1"/>
        <v>1.6202243558389728E-2</v>
      </c>
    </row>
    <row r="24" spans="1:44" x14ac:dyDescent="0.25">
      <c r="A24" s="24" t="s">
        <v>207</v>
      </c>
      <c r="B24" s="43">
        <f>'Parameter Input'!B159</f>
        <v>9450</v>
      </c>
      <c r="C24" s="44">
        <f>'Parameter Input'!C159</f>
        <v>9450</v>
      </c>
      <c r="D24" s="1" t="s">
        <v>49</v>
      </c>
      <c r="L24" s="54">
        <f>'Parameter Input'!E159</f>
        <v>17</v>
      </c>
      <c r="M24" s="37">
        <v>0</v>
      </c>
      <c r="N24" s="37">
        <v>1</v>
      </c>
      <c r="O24" s="37">
        <f>'Parameter Input'!F159</f>
        <v>0.9</v>
      </c>
      <c r="P24" s="55">
        <f>'Parameter Input'!G159</f>
        <v>0.4</v>
      </c>
      <c r="Q24" s="4">
        <f t="shared" si="2"/>
        <v>0.99780374543478534</v>
      </c>
      <c r="R24" s="4">
        <f t="shared" si="2"/>
        <v>0.99685359315256394</v>
      </c>
      <c r="S24" s="4">
        <f t="shared" si="2"/>
        <v>0.99549347132349975</v>
      </c>
      <c r="T24" s="4">
        <f t="shared" si="2"/>
        <v>0.99354772139898062</v>
      </c>
      <c r="U24" s="4">
        <f t="shared" si="2"/>
        <v>0.99076681540580536</v>
      </c>
      <c r="V24" s="4">
        <f t="shared" si="2"/>
        <v>0.9867978615748374</v>
      </c>
      <c r="W24" s="4">
        <f t="shared" si="2"/>
        <v>0.98114509762858249</v>
      </c>
      <c r="X24" s="4">
        <f t="shared" si="2"/>
        <v>0.97311898315872036</v>
      </c>
      <c r="Y24" s="4">
        <f t="shared" si="2"/>
        <v>0.96177484161592774</v>
      </c>
      <c r="Z24" s="4">
        <f t="shared" si="2"/>
        <v>0.94584787155511363</v>
      </c>
      <c r="AA24" s="4">
        <f t="shared" si="2"/>
        <v>0.92370360150141495</v>
      </c>
      <c r="AB24" s="4">
        <f t="shared" si="2"/>
        <v>0.89334463567658451</v>
      </c>
      <c r="AC24" s="4">
        <f t="shared" si="2"/>
        <v>0.85254543874327005</v>
      </c>
      <c r="AD24" s="4">
        <f t="shared" si="2"/>
        <v>0.79921300652623883</v>
      </c>
      <c r="AE24" s="4">
        <f t="shared" si="2"/>
        <v>0.73204982249993378</v>
      </c>
      <c r="AF24" s="4">
        <f t="shared" si="2"/>
        <v>0.65145592958786691</v>
      </c>
      <c r="AG24" s="4">
        <f t="shared" si="1"/>
        <v>0.56032247880849573</v>
      </c>
      <c r="AH24" s="4">
        <f t="shared" si="1"/>
        <v>0.46411326873185343</v>
      </c>
      <c r="AI24" s="4">
        <f t="shared" si="1"/>
        <v>0.36979727595523937</v>
      </c>
      <c r="AJ24" s="4">
        <f t="shared" si="1"/>
        <v>0.28393948637231203</v>
      </c>
      <c r="AK24" s="4">
        <f t="shared" si="1"/>
        <v>0.21097259161117732</v>
      </c>
      <c r="AL24" s="4">
        <f t="shared" si="1"/>
        <v>0.15253917653798199</v>
      </c>
      <c r="AM24" s="4">
        <f t="shared" si="1"/>
        <v>0.10795188737709993</v>
      </c>
      <c r="AN24" s="4">
        <f t="shared" si="1"/>
        <v>7.5176653938091809E-2</v>
      </c>
      <c r="AO24" s="4">
        <f t="shared" si="1"/>
        <v>5.1742836177502194E-2</v>
      </c>
      <c r="AP24" s="4">
        <f t="shared" si="1"/>
        <v>3.5319190625345942E-2</v>
      </c>
      <c r="AQ24" s="4">
        <f t="shared" si="1"/>
        <v>2.3969442072658165E-2</v>
      </c>
      <c r="AR24" s="4">
        <f t="shared" si="1"/>
        <v>1.6202243558389728E-2</v>
      </c>
    </row>
    <row r="25" spans="1:44" x14ac:dyDescent="0.25">
      <c r="A25" s="24" t="s">
        <v>56</v>
      </c>
      <c r="B25" s="45">
        <f>'Parameter Input'!B160</f>
        <v>0.68</v>
      </c>
      <c r="C25" s="46">
        <f>'Parameter Input'!C160</f>
        <v>0.68</v>
      </c>
      <c r="D25" s="1" t="s">
        <v>57</v>
      </c>
      <c r="L25" s="54">
        <f>'Parameter Input'!E160</f>
        <v>17</v>
      </c>
      <c r="M25" s="37">
        <v>0</v>
      </c>
      <c r="N25" s="37">
        <v>1</v>
      </c>
      <c r="O25" s="37">
        <f>'Parameter Input'!F160</f>
        <v>0.9</v>
      </c>
      <c r="P25" s="55">
        <f>'Parameter Input'!G160</f>
        <v>0.4</v>
      </c>
      <c r="Q25" s="4">
        <f t="shared" si="2"/>
        <v>0.99780374543478534</v>
      </c>
      <c r="R25" s="4">
        <f t="shared" si="2"/>
        <v>0.99685359315256394</v>
      </c>
      <c r="S25" s="4">
        <f t="shared" si="2"/>
        <v>0.99549347132349975</v>
      </c>
      <c r="T25" s="4">
        <f t="shared" si="2"/>
        <v>0.99354772139898062</v>
      </c>
      <c r="U25" s="4">
        <f t="shared" si="2"/>
        <v>0.99076681540580536</v>
      </c>
      <c r="V25" s="4">
        <f t="shared" si="2"/>
        <v>0.9867978615748374</v>
      </c>
      <c r="W25" s="4">
        <f t="shared" si="2"/>
        <v>0.98114509762858249</v>
      </c>
      <c r="X25" s="4">
        <f t="shared" si="2"/>
        <v>0.97311898315872036</v>
      </c>
      <c r="Y25" s="4">
        <f t="shared" si="2"/>
        <v>0.96177484161592774</v>
      </c>
      <c r="Z25" s="4">
        <f t="shared" si="2"/>
        <v>0.94584787155511363</v>
      </c>
      <c r="AA25" s="4">
        <f t="shared" si="2"/>
        <v>0.92370360150141495</v>
      </c>
      <c r="AB25" s="4">
        <f t="shared" si="2"/>
        <v>0.89334463567658451</v>
      </c>
      <c r="AC25" s="4">
        <f t="shared" si="2"/>
        <v>0.85254543874327005</v>
      </c>
      <c r="AD25" s="4">
        <f t="shared" si="2"/>
        <v>0.79921300652623883</v>
      </c>
      <c r="AE25" s="4">
        <f t="shared" si="2"/>
        <v>0.73204982249993378</v>
      </c>
      <c r="AF25" s="4">
        <f t="shared" si="2"/>
        <v>0.65145592958786691</v>
      </c>
      <c r="AG25" s="4">
        <f t="shared" si="1"/>
        <v>0.56032247880849573</v>
      </c>
      <c r="AH25" s="4">
        <f t="shared" si="1"/>
        <v>0.46411326873185343</v>
      </c>
      <c r="AI25" s="4">
        <f t="shared" si="1"/>
        <v>0.36979727595523937</v>
      </c>
      <c r="AJ25" s="4">
        <f t="shared" si="1"/>
        <v>0.28393948637231203</v>
      </c>
      <c r="AK25" s="4">
        <f t="shared" si="1"/>
        <v>0.21097259161117732</v>
      </c>
      <c r="AL25" s="4">
        <f t="shared" si="1"/>
        <v>0.15253917653798199</v>
      </c>
      <c r="AM25" s="4">
        <f t="shared" si="1"/>
        <v>0.10795188737709993</v>
      </c>
      <c r="AN25" s="4">
        <f t="shared" si="1"/>
        <v>7.5176653938091809E-2</v>
      </c>
      <c r="AO25" s="4">
        <f t="shared" si="1"/>
        <v>5.1742836177502194E-2</v>
      </c>
      <c r="AP25" s="4">
        <f t="shared" si="1"/>
        <v>3.5319190625345942E-2</v>
      </c>
      <c r="AQ25" s="4">
        <f t="shared" si="1"/>
        <v>2.3969442072658165E-2</v>
      </c>
      <c r="AR25" s="4">
        <f t="shared" si="1"/>
        <v>1.6202243558389728E-2</v>
      </c>
    </row>
    <row r="26" spans="1:44" x14ac:dyDescent="0.25">
      <c r="A26" s="24" t="s">
        <v>73</v>
      </c>
      <c r="B26" s="45">
        <f>'Parameter Input'!$L$174</f>
        <v>0</v>
      </c>
      <c r="C26" s="46">
        <f>'Parameter Input'!$M$174</f>
        <v>0</v>
      </c>
      <c r="D26" s="1" t="s">
        <v>57</v>
      </c>
      <c r="L26" s="54">
        <f>'Parameter Input'!$O$162</f>
        <v>17</v>
      </c>
      <c r="M26" s="37">
        <v>0</v>
      </c>
      <c r="N26" s="37">
        <v>1</v>
      </c>
      <c r="O26" s="37">
        <f>'Parameter Input'!$P$162</f>
        <v>0.9</v>
      </c>
      <c r="P26" s="55">
        <f>'Parameter Input'!$Q$162</f>
        <v>0.4</v>
      </c>
      <c r="Q26" s="4">
        <f t="shared" si="2"/>
        <v>0.99780374543478534</v>
      </c>
      <c r="R26" s="4">
        <f t="shared" si="2"/>
        <v>0.99685359315256394</v>
      </c>
      <c r="S26" s="4">
        <f t="shared" si="2"/>
        <v>0.99549347132349975</v>
      </c>
      <c r="T26" s="4">
        <f t="shared" si="2"/>
        <v>0.99354772139898062</v>
      </c>
      <c r="U26" s="4">
        <f t="shared" si="2"/>
        <v>0.99076681540580536</v>
      </c>
      <c r="V26" s="4">
        <f t="shared" si="2"/>
        <v>0.9867978615748374</v>
      </c>
      <c r="W26" s="4">
        <f t="shared" si="2"/>
        <v>0.98114509762858249</v>
      </c>
      <c r="X26" s="4">
        <f t="shared" si="2"/>
        <v>0.97311898315872036</v>
      </c>
      <c r="Y26" s="4">
        <f t="shared" si="2"/>
        <v>0.96177484161592774</v>
      </c>
      <c r="Z26" s="4">
        <f t="shared" si="2"/>
        <v>0.94584787155511363</v>
      </c>
      <c r="AA26" s="4">
        <f t="shared" si="2"/>
        <v>0.92370360150141495</v>
      </c>
      <c r="AB26" s="4">
        <f t="shared" si="2"/>
        <v>0.89334463567658451</v>
      </c>
      <c r="AC26" s="4">
        <f t="shared" si="2"/>
        <v>0.85254543874327005</v>
      </c>
      <c r="AD26" s="4">
        <f t="shared" si="2"/>
        <v>0.79921300652623883</v>
      </c>
      <c r="AE26" s="4">
        <f t="shared" si="2"/>
        <v>0.73204982249993378</v>
      </c>
      <c r="AF26" s="4">
        <f t="shared" si="2"/>
        <v>0.65145592958786691</v>
      </c>
      <c r="AG26" s="4">
        <f t="shared" si="1"/>
        <v>0.56032247880849573</v>
      </c>
      <c r="AH26" s="4">
        <f t="shared" si="1"/>
        <v>0.46411326873185343</v>
      </c>
      <c r="AI26" s="4">
        <f t="shared" si="1"/>
        <v>0.36979727595523937</v>
      </c>
      <c r="AJ26" s="4">
        <f t="shared" si="1"/>
        <v>0.28393948637231203</v>
      </c>
      <c r="AK26" s="4">
        <f t="shared" si="1"/>
        <v>0.21097259161117732</v>
      </c>
      <c r="AL26" s="4">
        <f t="shared" si="1"/>
        <v>0.15253917653798199</v>
      </c>
      <c r="AM26" s="4">
        <f t="shared" si="1"/>
        <v>0.10795188737709993</v>
      </c>
      <c r="AN26" s="4">
        <f t="shared" si="1"/>
        <v>7.5176653938091809E-2</v>
      </c>
      <c r="AO26" s="4">
        <f t="shared" si="1"/>
        <v>5.1742836177502194E-2</v>
      </c>
      <c r="AP26" s="4">
        <f t="shared" si="1"/>
        <v>3.5319190625345942E-2</v>
      </c>
      <c r="AQ26" s="4">
        <f t="shared" si="1"/>
        <v>2.3969442072658165E-2</v>
      </c>
      <c r="AR26" s="4">
        <f t="shared" si="1"/>
        <v>1.6202243558389728E-2</v>
      </c>
    </row>
    <row r="27" spans="1:44" ht="15.75" thickBot="1" x14ac:dyDescent="0.3">
      <c r="A27" s="24" t="s">
        <v>64</v>
      </c>
      <c r="B27" s="49">
        <f>'Parameter Input'!B161</f>
        <v>120000</v>
      </c>
      <c r="C27" s="50">
        <f>'Parameter Input'!C161</f>
        <v>120000</v>
      </c>
      <c r="D27" s="1" t="s">
        <v>65</v>
      </c>
      <c r="L27" s="56">
        <f>'Parameter Input'!E161</f>
        <v>17</v>
      </c>
      <c r="M27" s="57">
        <v>0</v>
      </c>
      <c r="N27" s="57">
        <v>1</v>
      </c>
      <c r="O27" s="57">
        <f>'Parameter Input'!F161</f>
        <v>0.9</v>
      </c>
      <c r="P27" s="58">
        <f>'Parameter Input'!G161</f>
        <v>0.4</v>
      </c>
      <c r="Q27" s="4">
        <f t="shared" si="2"/>
        <v>0.99780374543478534</v>
      </c>
      <c r="R27" s="4">
        <f t="shared" si="2"/>
        <v>0.99685359315256394</v>
      </c>
      <c r="S27" s="4">
        <f t="shared" si="2"/>
        <v>0.99549347132349975</v>
      </c>
      <c r="T27" s="4">
        <f t="shared" si="2"/>
        <v>0.99354772139898062</v>
      </c>
      <c r="U27" s="4">
        <f t="shared" si="2"/>
        <v>0.99076681540580536</v>
      </c>
      <c r="V27" s="4">
        <f t="shared" si="2"/>
        <v>0.9867978615748374</v>
      </c>
      <c r="W27" s="4">
        <f t="shared" si="2"/>
        <v>0.98114509762858249</v>
      </c>
      <c r="X27" s="4">
        <f t="shared" si="2"/>
        <v>0.97311898315872036</v>
      </c>
      <c r="Y27" s="4">
        <f t="shared" si="2"/>
        <v>0.96177484161592774</v>
      </c>
      <c r="Z27" s="4">
        <f t="shared" si="2"/>
        <v>0.94584787155511363</v>
      </c>
      <c r="AA27" s="4">
        <f t="shared" si="2"/>
        <v>0.92370360150141495</v>
      </c>
      <c r="AB27" s="4">
        <f t="shared" si="2"/>
        <v>0.89334463567658451</v>
      </c>
      <c r="AC27" s="4">
        <f t="shared" si="2"/>
        <v>0.85254543874327005</v>
      </c>
      <c r="AD27" s="4">
        <f t="shared" si="2"/>
        <v>0.79921300652623883</v>
      </c>
      <c r="AE27" s="4">
        <f t="shared" si="2"/>
        <v>0.73204982249993378</v>
      </c>
      <c r="AF27" s="4">
        <f t="shared" si="2"/>
        <v>0.65145592958786691</v>
      </c>
      <c r="AG27" s="4">
        <f t="shared" si="1"/>
        <v>0.56032247880849573</v>
      </c>
      <c r="AH27" s="4">
        <f t="shared" si="1"/>
        <v>0.46411326873185343</v>
      </c>
      <c r="AI27" s="4">
        <f t="shared" si="1"/>
        <v>0.36979727595523937</v>
      </c>
      <c r="AJ27" s="4">
        <f t="shared" si="1"/>
        <v>0.28393948637231203</v>
      </c>
      <c r="AK27" s="4">
        <f t="shared" si="1"/>
        <v>0.21097259161117732</v>
      </c>
      <c r="AL27" s="4">
        <f t="shared" si="1"/>
        <v>0.15253917653798199</v>
      </c>
      <c r="AM27" s="4">
        <f t="shared" si="1"/>
        <v>0.10795188737709993</v>
      </c>
      <c r="AN27" s="4">
        <f t="shared" si="1"/>
        <v>7.5176653938091809E-2</v>
      </c>
      <c r="AO27" s="4">
        <f t="shared" si="1"/>
        <v>5.1742836177502194E-2</v>
      </c>
      <c r="AP27" s="4">
        <f t="shared" si="1"/>
        <v>3.5319190625345942E-2</v>
      </c>
      <c r="AQ27" s="4">
        <f t="shared" si="1"/>
        <v>2.3969442072658165E-2</v>
      </c>
      <c r="AR27" s="4">
        <f t="shared" si="1"/>
        <v>1.6202243558389728E-2</v>
      </c>
    </row>
    <row r="28" spans="1:44" x14ac:dyDescent="0.25">
      <c r="A28" s="25"/>
      <c r="B28" s="40"/>
    </row>
    <row r="29" spans="1:44" ht="15.75" thickBot="1" x14ac:dyDescent="0.3"/>
    <row r="30" spans="1:44"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5" si="3">A11</f>
        <v>Capex vehicle</v>
      </c>
      <c r="B31" s="62">
        <f t="shared" ref="B31:AC40" si="4">$B11+($C11-$B11)*(1-Q11)</f>
        <v>15000000</v>
      </c>
      <c r="C31" s="62">
        <f t="shared" si="4"/>
        <v>15000000</v>
      </c>
      <c r="D31" s="62">
        <f t="shared" si="4"/>
        <v>15000000</v>
      </c>
      <c r="E31" s="62">
        <f t="shared" si="4"/>
        <v>15000000</v>
      </c>
      <c r="F31" s="62">
        <f t="shared" si="4"/>
        <v>15000000</v>
      </c>
      <c r="G31" s="62">
        <f t="shared" si="4"/>
        <v>15000000</v>
      </c>
      <c r="H31" s="62">
        <f t="shared" si="4"/>
        <v>15000000</v>
      </c>
      <c r="I31" s="62">
        <f t="shared" si="4"/>
        <v>15000000</v>
      </c>
      <c r="J31" s="62">
        <f t="shared" si="4"/>
        <v>15000000</v>
      </c>
      <c r="K31" s="62">
        <f t="shared" si="4"/>
        <v>15000000</v>
      </c>
      <c r="L31" s="62">
        <f t="shared" si="4"/>
        <v>15000000</v>
      </c>
      <c r="M31" s="62">
        <f t="shared" si="4"/>
        <v>15000000</v>
      </c>
      <c r="N31" s="62">
        <f t="shared" si="4"/>
        <v>15000000</v>
      </c>
      <c r="O31" s="62">
        <f t="shared" si="4"/>
        <v>15000000</v>
      </c>
      <c r="P31" s="62">
        <f t="shared" si="4"/>
        <v>15000000</v>
      </c>
      <c r="Q31" s="62">
        <f t="shared" si="4"/>
        <v>15000000</v>
      </c>
      <c r="R31" s="62">
        <f t="shared" si="4"/>
        <v>15000000</v>
      </c>
      <c r="S31" s="62">
        <f t="shared" si="4"/>
        <v>15000000</v>
      </c>
      <c r="T31" s="62">
        <f t="shared" si="4"/>
        <v>15000000</v>
      </c>
      <c r="U31" s="62">
        <f t="shared" si="4"/>
        <v>15000000</v>
      </c>
      <c r="V31" s="62">
        <f t="shared" si="4"/>
        <v>15000000</v>
      </c>
      <c r="W31" s="62">
        <f t="shared" si="4"/>
        <v>15000000</v>
      </c>
      <c r="X31" s="62">
        <f t="shared" si="4"/>
        <v>15000000</v>
      </c>
      <c r="Y31" s="62">
        <f t="shared" si="4"/>
        <v>15000000</v>
      </c>
      <c r="Z31" s="62">
        <f t="shared" si="4"/>
        <v>15000000</v>
      </c>
      <c r="AA31" s="62">
        <f t="shared" si="4"/>
        <v>15000000</v>
      </c>
      <c r="AB31" s="62">
        <f t="shared" si="4"/>
        <v>15000000</v>
      </c>
      <c r="AC31" s="62">
        <f t="shared" si="4"/>
        <v>15000000</v>
      </c>
    </row>
    <row r="32" spans="1:44" x14ac:dyDescent="0.25">
      <c r="A32" s="30" t="str">
        <f t="shared" si="3"/>
        <v>Residual value (vehicle)</v>
      </c>
      <c r="B32" s="62">
        <f t="shared" si="4"/>
        <v>-1498352.8090760889</v>
      </c>
      <c r="C32" s="62">
        <f t="shared" si="4"/>
        <v>-1497640.194864423</v>
      </c>
      <c r="D32" s="62">
        <f t="shared" si="4"/>
        <v>-1496620.1034926248</v>
      </c>
      <c r="E32" s="62">
        <f t="shared" si="4"/>
        <v>-1495160.7910492355</v>
      </c>
      <c r="F32" s="62">
        <f t="shared" si="4"/>
        <v>-1493075.111554354</v>
      </c>
      <c r="G32" s="62">
        <f t="shared" si="4"/>
        <v>-1490098.396181128</v>
      </c>
      <c r="H32" s="62">
        <f t="shared" si="4"/>
        <v>-1485858.8232214369</v>
      </c>
      <c r="I32" s="62">
        <f t="shared" si="4"/>
        <v>-1479839.2373690403</v>
      </c>
      <c r="J32" s="62">
        <f t="shared" si="4"/>
        <v>-1471331.1312119458</v>
      </c>
      <c r="K32" s="62">
        <f t="shared" si="4"/>
        <v>-1459385.9036663352</v>
      </c>
      <c r="L32" s="62">
        <f t="shared" si="4"/>
        <v>-1442777.7011260611</v>
      </c>
      <c r="M32" s="62">
        <f t="shared" si="4"/>
        <v>-1420008.4767574384</v>
      </c>
      <c r="N32" s="62">
        <f t="shared" si="4"/>
        <v>-1389409.0790574525</v>
      </c>
      <c r="O32" s="62">
        <f t="shared" si="4"/>
        <v>-1349409.7548946792</v>
      </c>
      <c r="P32" s="62">
        <f t="shared" si="4"/>
        <v>-1299037.3668749502</v>
      </c>
      <c r="Q32" s="62">
        <f t="shared" si="4"/>
        <v>-1238591.9471909001</v>
      </c>
      <c r="R32" s="62">
        <f t="shared" si="4"/>
        <v>-1170241.8591063719</v>
      </c>
      <c r="S32" s="62">
        <f t="shared" si="4"/>
        <v>-1098084.9515488902</v>
      </c>
      <c r="T32" s="62">
        <f t="shared" si="4"/>
        <v>-1027347.9569664295</v>
      </c>
      <c r="U32" s="62">
        <f t="shared" si="4"/>
        <v>-962954.61477923405</v>
      </c>
      <c r="V32" s="62">
        <f t="shared" si="4"/>
        <v>-908229.44370838301</v>
      </c>
      <c r="W32" s="62">
        <f t="shared" si="4"/>
        <v>-864404.38240348652</v>
      </c>
      <c r="X32" s="62">
        <f t="shared" si="4"/>
        <v>-830963.91553282493</v>
      </c>
      <c r="Y32" s="62">
        <f t="shared" si="4"/>
        <v>-806382.49045356887</v>
      </c>
      <c r="Z32" s="62">
        <f t="shared" si="4"/>
        <v>-788807.1271331266</v>
      </c>
      <c r="AA32" s="62">
        <f t="shared" si="4"/>
        <v>-776489.39296900947</v>
      </c>
      <c r="AB32" s="62">
        <f t="shared" si="4"/>
        <v>-767977.08155449363</v>
      </c>
      <c r="AC32" s="62">
        <f t="shared" si="4"/>
        <v>-762151.68266879232</v>
      </c>
    </row>
    <row r="33" spans="1:29" x14ac:dyDescent="0.25">
      <c r="A33" s="30" t="str">
        <f t="shared" si="3"/>
        <v>Capex costumization</v>
      </c>
      <c r="B33" s="62">
        <f t="shared" si="4"/>
        <v>1000000</v>
      </c>
      <c r="C33" s="62">
        <f t="shared" si="4"/>
        <v>1000000</v>
      </c>
      <c r="D33" s="62">
        <f t="shared" si="4"/>
        <v>1000000</v>
      </c>
      <c r="E33" s="62">
        <f t="shared" si="4"/>
        <v>1000000</v>
      </c>
      <c r="F33" s="62">
        <f t="shared" si="4"/>
        <v>1000000</v>
      </c>
      <c r="G33" s="62">
        <f t="shared" si="4"/>
        <v>1000000</v>
      </c>
      <c r="H33" s="62">
        <f t="shared" si="4"/>
        <v>1000000</v>
      </c>
      <c r="I33" s="62">
        <f t="shared" si="4"/>
        <v>1000000</v>
      </c>
      <c r="J33" s="62">
        <f t="shared" si="4"/>
        <v>1000000</v>
      </c>
      <c r="K33" s="62">
        <f t="shared" si="4"/>
        <v>1000000</v>
      </c>
      <c r="L33" s="62">
        <f t="shared" si="4"/>
        <v>1000000</v>
      </c>
      <c r="M33" s="62">
        <f t="shared" si="4"/>
        <v>1000000</v>
      </c>
      <c r="N33" s="62">
        <f t="shared" si="4"/>
        <v>1000000</v>
      </c>
      <c r="O33" s="62">
        <f t="shared" si="4"/>
        <v>1000000</v>
      </c>
      <c r="P33" s="62">
        <f t="shared" si="4"/>
        <v>1000000</v>
      </c>
      <c r="Q33" s="62">
        <f t="shared" si="4"/>
        <v>1000000</v>
      </c>
      <c r="R33" s="62">
        <f t="shared" si="4"/>
        <v>1000000</v>
      </c>
      <c r="S33" s="62">
        <f t="shared" si="4"/>
        <v>1000000</v>
      </c>
      <c r="T33" s="62">
        <f t="shared" si="4"/>
        <v>1000000</v>
      </c>
      <c r="U33" s="62">
        <f t="shared" si="4"/>
        <v>1000000</v>
      </c>
      <c r="V33" s="62">
        <f t="shared" si="4"/>
        <v>1000000</v>
      </c>
      <c r="W33" s="62">
        <f t="shared" si="4"/>
        <v>1000000</v>
      </c>
      <c r="X33" s="62">
        <f t="shared" si="4"/>
        <v>1000000</v>
      </c>
      <c r="Y33" s="62">
        <f t="shared" si="4"/>
        <v>1000000</v>
      </c>
      <c r="Z33" s="62">
        <f t="shared" si="4"/>
        <v>1000000</v>
      </c>
      <c r="AA33" s="62">
        <f t="shared" si="4"/>
        <v>1000000</v>
      </c>
      <c r="AB33" s="62">
        <f t="shared" si="4"/>
        <v>1000000</v>
      </c>
      <c r="AC33" s="62">
        <f t="shared" si="4"/>
        <v>1000000</v>
      </c>
    </row>
    <row r="34" spans="1:29" x14ac:dyDescent="0.25">
      <c r="A34" s="30" t="str">
        <f t="shared" si="3"/>
        <v>Residual value (costumization)</v>
      </c>
      <c r="B34" s="62">
        <f t="shared" si="4"/>
        <v>-100000</v>
      </c>
      <c r="C34" s="62">
        <f t="shared" si="4"/>
        <v>-100000</v>
      </c>
      <c r="D34" s="62">
        <f t="shared" si="4"/>
        <v>-100000</v>
      </c>
      <c r="E34" s="62">
        <f t="shared" si="4"/>
        <v>-100000</v>
      </c>
      <c r="F34" s="62">
        <f t="shared" si="4"/>
        <v>-100000</v>
      </c>
      <c r="G34" s="62">
        <f t="shared" si="4"/>
        <v>-100000</v>
      </c>
      <c r="H34" s="62">
        <f t="shared" si="4"/>
        <v>-100000</v>
      </c>
      <c r="I34" s="62">
        <f t="shared" si="4"/>
        <v>-100000</v>
      </c>
      <c r="J34" s="62">
        <f t="shared" si="4"/>
        <v>-100000</v>
      </c>
      <c r="K34" s="62">
        <f t="shared" si="4"/>
        <v>-100000</v>
      </c>
      <c r="L34" s="62">
        <f t="shared" si="4"/>
        <v>-100000</v>
      </c>
      <c r="M34" s="62">
        <f t="shared" si="4"/>
        <v>-100000</v>
      </c>
      <c r="N34" s="62">
        <f t="shared" si="4"/>
        <v>-100000</v>
      </c>
      <c r="O34" s="62">
        <f t="shared" si="4"/>
        <v>-100000</v>
      </c>
      <c r="P34" s="62">
        <f t="shared" si="4"/>
        <v>-100000</v>
      </c>
      <c r="Q34" s="62">
        <f t="shared" si="4"/>
        <v>-100000</v>
      </c>
      <c r="R34" s="62">
        <f t="shared" si="4"/>
        <v>-100000</v>
      </c>
      <c r="S34" s="62">
        <f t="shared" si="4"/>
        <v>-100000</v>
      </c>
      <c r="T34" s="62">
        <f t="shared" si="4"/>
        <v>-100000</v>
      </c>
      <c r="U34" s="62">
        <f t="shared" si="4"/>
        <v>-100000</v>
      </c>
      <c r="V34" s="62">
        <f t="shared" si="4"/>
        <v>-100000</v>
      </c>
      <c r="W34" s="62">
        <f t="shared" si="4"/>
        <v>-100000</v>
      </c>
      <c r="X34" s="62">
        <f t="shared" si="4"/>
        <v>-100000</v>
      </c>
      <c r="Y34" s="62">
        <f t="shared" si="4"/>
        <v>-100000</v>
      </c>
      <c r="Z34" s="62">
        <f t="shared" si="4"/>
        <v>-100000</v>
      </c>
      <c r="AA34" s="62">
        <f t="shared" si="4"/>
        <v>-100000</v>
      </c>
      <c r="AB34" s="62">
        <f t="shared" si="4"/>
        <v>-100000</v>
      </c>
      <c r="AC34" s="62">
        <f t="shared" si="4"/>
        <v>-100000</v>
      </c>
    </row>
    <row r="35" spans="1:29" x14ac:dyDescent="0.25">
      <c r="A35" s="30" t="str">
        <f t="shared" si="3"/>
        <v>WACC</v>
      </c>
      <c r="B35" s="62">
        <f t="shared" si="4"/>
        <v>0.06</v>
      </c>
      <c r="C35" s="62">
        <f t="shared" si="4"/>
        <v>0.06</v>
      </c>
      <c r="D35" s="62">
        <f t="shared" si="4"/>
        <v>0.06</v>
      </c>
      <c r="E35" s="62">
        <f t="shared" si="4"/>
        <v>0.06</v>
      </c>
      <c r="F35" s="62">
        <f t="shared" si="4"/>
        <v>0.06</v>
      </c>
      <c r="G35" s="62">
        <f t="shared" si="4"/>
        <v>0.06</v>
      </c>
      <c r="H35" s="62">
        <f t="shared" si="4"/>
        <v>0.06</v>
      </c>
      <c r="I35" s="62">
        <f t="shared" si="4"/>
        <v>0.06</v>
      </c>
      <c r="J35" s="62">
        <f t="shared" si="4"/>
        <v>0.06</v>
      </c>
      <c r="K35" s="62">
        <f t="shared" si="4"/>
        <v>0.06</v>
      </c>
      <c r="L35" s="62">
        <f t="shared" si="4"/>
        <v>0.06</v>
      </c>
      <c r="M35" s="62">
        <f t="shared" si="4"/>
        <v>0.06</v>
      </c>
      <c r="N35" s="62">
        <f t="shared" si="4"/>
        <v>0.06</v>
      </c>
      <c r="O35" s="62">
        <f t="shared" si="4"/>
        <v>0.06</v>
      </c>
      <c r="P35" s="62">
        <f t="shared" si="4"/>
        <v>0.06</v>
      </c>
      <c r="Q35" s="62">
        <f t="shared" si="4"/>
        <v>0.06</v>
      </c>
      <c r="R35" s="62">
        <f t="shared" si="4"/>
        <v>0.06</v>
      </c>
      <c r="S35" s="62">
        <f t="shared" si="4"/>
        <v>0.06</v>
      </c>
      <c r="T35" s="62">
        <f t="shared" si="4"/>
        <v>0.06</v>
      </c>
      <c r="U35" s="62">
        <f t="shared" si="4"/>
        <v>0.06</v>
      </c>
      <c r="V35" s="62">
        <f t="shared" si="4"/>
        <v>0.06</v>
      </c>
      <c r="W35" s="62">
        <f t="shared" si="4"/>
        <v>0.06</v>
      </c>
      <c r="X35" s="62">
        <f t="shared" si="4"/>
        <v>0.06</v>
      </c>
      <c r="Y35" s="62">
        <f t="shared" si="4"/>
        <v>0.06</v>
      </c>
      <c r="Z35" s="62">
        <f t="shared" si="4"/>
        <v>0.06</v>
      </c>
      <c r="AA35" s="62">
        <f t="shared" si="4"/>
        <v>0.06</v>
      </c>
      <c r="AB35" s="62">
        <f t="shared" si="4"/>
        <v>0.06</v>
      </c>
      <c r="AC35" s="62">
        <f t="shared" si="4"/>
        <v>0.06</v>
      </c>
    </row>
    <row r="36" spans="1:29" x14ac:dyDescent="0.25">
      <c r="A36" s="30" t="str">
        <f t="shared" si="3"/>
        <v>Opex fix (admin, crew, insurance)</v>
      </c>
      <c r="B36" s="62">
        <f t="shared" si="4"/>
        <v>1208235.294117647</v>
      </c>
      <c r="C36" s="62">
        <f t="shared" si="4"/>
        <v>1208235.294117647</v>
      </c>
      <c r="D36" s="62">
        <f t="shared" si="4"/>
        <v>1208235.294117647</v>
      </c>
      <c r="E36" s="62">
        <f t="shared" si="4"/>
        <v>1208235.294117647</v>
      </c>
      <c r="F36" s="62">
        <f t="shared" si="4"/>
        <v>1208235.294117647</v>
      </c>
      <c r="G36" s="62">
        <f t="shared" si="4"/>
        <v>1208235.294117647</v>
      </c>
      <c r="H36" s="62">
        <f t="shared" si="4"/>
        <v>1208235.294117647</v>
      </c>
      <c r="I36" s="62">
        <f t="shared" si="4"/>
        <v>1208235.294117647</v>
      </c>
      <c r="J36" s="62">
        <f t="shared" si="4"/>
        <v>1208235.294117647</v>
      </c>
      <c r="K36" s="62">
        <f t="shared" si="4"/>
        <v>1208235.294117647</v>
      </c>
      <c r="L36" s="62">
        <f t="shared" si="4"/>
        <v>1208235.294117647</v>
      </c>
      <c r="M36" s="62">
        <f t="shared" si="4"/>
        <v>1208235.294117647</v>
      </c>
      <c r="N36" s="62">
        <f t="shared" si="4"/>
        <v>1208235.294117647</v>
      </c>
      <c r="O36" s="62">
        <f t="shared" si="4"/>
        <v>1208235.294117647</v>
      </c>
      <c r="P36" s="62">
        <f t="shared" si="4"/>
        <v>1208235.294117647</v>
      </c>
      <c r="Q36" s="62">
        <f t="shared" si="4"/>
        <v>1208235.294117647</v>
      </c>
      <c r="R36" s="62">
        <f t="shared" si="4"/>
        <v>1208235.294117647</v>
      </c>
      <c r="S36" s="62">
        <f t="shared" si="4"/>
        <v>1208235.294117647</v>
      </c>
      <c r="T36" s="62">
        <f t="shared" si="4"/>
        <v>1208235.294117647</v>
      </c>
      <c r="U36" s="62">
        <f t="shared" si="4"/>
        <v>1208235.294117647</v>
      </c>
      <c r="V36" s="62">
        <f t="shared" si="4"/>
        <v>1208235.294117647</v>
      </c>
      <c r="W36" s="62">
        <f t="shared" si="4"/>
        <v>1208235.294117647</v>
      </c>
      <c r="X36" s="62">
        <f t="shared" si="4"/>
        <v>1208235.294117647</v>
      </c>
      <c r="Y36" s="62">
        <f t="shared" si="4"/>
        <v>1208235.294117647</v>
      </c>
      <c r="Z36" s="62">
        <f t="shared" si="4"/>
        <v>1208235.294117647</v>
      </c>
      <c r="AA36" s="62">
        <f t="shared" si="4"/>
        <v>1208235.294117647</v>
      </c>
      <c r="AB36" s="62">
        <f t="shared" si="4"/>
        <v>1208235.294117647</v>
      </c>
      <c r="AC36" s="62">
        <f t="shared" si="4"/>
        <v>1208235.294117647</v>
      </c>
    </row>
    <row r="37" spans="1:29" x14ac:dyDescent="0.25">
      <c r="A37" s="30" t="str">
        <f t="shared" si="3"/>
        <v>Opex maintenance &amp; repair</v>
      </c>
      <c r="B37" s="62">
        <f t="shared" si="4"/>
        <v>488235.29411764705</v>
      </c>
      <c r="C37" s="62">
        <f t="shared" si="4"/>
        <v>488235.29411764705</v>
      </c>
      <c r="D37" s="62">
        <f t="shared" si="4"/>
        <v>488235.29411764705</v>
      </c>
      <c r="E37" s="62">
        <f t="shared" si="4"/>
        <v>488235.29411764705</v>
      </c>
      <c r="F37" s="62">
        <f t="shared" si="4"/>
        <v>488235.29411764705</v>
      </c>
      <c r="G37" s="62">
        <f t="shared" si="4"/>
        <v>488235.29411764705</v>
      </c>
      <c r="H37" s="62">
        <f t="shared" si="4"/>
        <v>488235.29411764705</v>
      </c>
      <c r="I37" s="62">
        <f t="shared" si="4"/>
        <v>488235.29411764705</v>
      </c>
      <c r="J37" s="62">
        <f t="shared" si="4"/>
        <v>488235.29411764705</v>
      </c>
      <c r="K37" s="62">
        <f t="shared" si="4"/>
        <v>488235.29411764705</v>
      </c>
      <c r="L37" s="62">
        <f t="shared" si="4"/>
        <v>488235.29411764705</v>
      </c>
      <c r="M37" s="62">
        <f t="shared" si="4"/>
        <v>488235.29411764705</v>
      </c>
      <c r="N37" s="62">
        <f t="shared" si="4"/>
        <v>488235.29411764705</v>
      </c>
      <c r="O37" s="62">
        <f t="shared" si="4"/>
        <v>488235.29411764705</v>
      </c>
      <c r="P37" s="62">
        <f t="shared" si="4"/>
        <v>488235.29411764705</v>
      </c>
      <c r="Q37" s="62">
        <f t="shared" si="4"/>
        <v>488235.29411764705</v>
      </c>
      <c r="R37" s="62">
        <f t="shared" si="4"/>
        <v>488235.29411764705</v>
      </c>
      <c r="S37" s="62">
        <f t="shared" si="4"/>
        <v>488235.29411764705</v>
      </c>
      <c r="T37" s="62">
        <f t="shared" si="4"/>
        <v>488235.29411764705</v>
      </c>
      <c r="U37" s="62">
        <f t="shared" si="4"/>
        <v>488235.29411764705</v>
      </c>
      <c r="V37" s="62">
        <f t="shared" si="4"/>
        <v>488235.29411764705</v>
      </c>
      <c r="W37" s="62">
        <f t="shared" si="4"/>
        <v>488235.29411764705</v>
      </c>
      <c r="X37" s="62">
        <f t="shared" si="4"/>
        <v>488235.29411764705</v>
      </c>
      <c r="Y37" s="62">
        <f t="shared" si="4"/>
        <v>488235.29411764705</v>
      </c>
      <c r="Z37" s="62">
        <f t="shared" si="4"/>
        <v>488235.29411764705</v>
      </c>
      <c r="AA37" s="62">
        <f t="shared" si="4"/>
        <v>488235.29411764705</v>
      </c>
      <c r="AB37" s="62">
        <f t="shared" si="4"/>
        <v>488235.29411764705</v>
      </c>
      <c r="AC37" s="62">
        <f t="shared" si="4"/>
        <v>488235.29411764705</v>
      </c>
    </row>
    <row r="38" spans="1:29" x14ac:dyDescent="0.25">
      <c r="A38" s="30" t="str">
        <f>A18</f>
        <v>Opex var (mode-fees)</v>
      </c>
      <c r="B38" s="62">
        <f t="shared" si="4"/>
        <v>0.8458018624557011</v>
      </c>
      <c r="C38" s="62">
        <f t="shared" si="4"/>
        <v>0.8458018624557011</v>
      </c>
      <c r="D38" s="62">
        <f t="shared" si="4"/>
        <v>0.8458018624557011</v>
      </c>
      <c r="E38" s="62">
        <f t="shared" si="4"/>
        <v>0.8458018624557011</v>
      </c>
      <c r="F38" s="62">
        <f t="shared" si="4"/>
        <v>0.8458018624557011</v>
      </c>
      <c r="G38" s="62">
        <f t="shared" si="4"/>
        <v>0.8458018624557011</v>
      </c>
      <c r="H38" s="62">
        <f t="shared" si="4"/>
        <v>0.8458018624557011</v>
      </c>
      <c r="I38" s="62">
        <f t="shared" si="4"/>
        <v>0.8458018624557011</v>
      </c>
      <c r="J38" s="62">
        <f t="shared" si="4"/>
        <v>0.8458018624557011</v>
      </c>
      <c r="K38" s="62">
        <f t="shared" si="4"/>
        <v>0.8458018624557011</v>
      </c>
      <c r="L38" s="62">
        <f t="shared" si="4"/>
        <v>0.8458018624557011</v>
      </c>
      <c r="M38" s="62">
        <f t="shared" si="4"/>
        <v>0.8458018624557011</v>
      </c>
      <c r="N38" s="62">
        <f t="shared" si="4"/>
        <v>0.8458018624557011</v>
      </c>
      <c r="O38" s="62">
        <f t="shared" si="4"/>
        <v>0.8458018624557011</v>
      </c>
      <c r="P38" s="62">
        <f t="shared" si="4"/>
        <v>0.8458018624557011</v>
      </c>
      <c r="Q38" s="62">
        <f t="shared" si="4"/>
        <v>0.8458018624557011</v>
      </c>
      <c r="R38" s="62">
        <f t="shared" si="4"/>
        <v>0.8458018624557011</v>
      </c>
      <c r="S38" s="62">
        <f t="shared" si="4"/>
        <v>0.8458018624557011</v>
      </c>
      <c r="T38" s="62">
        <f t="shared" si="4"/>
        <v>0.8458018624557011</v>
      </c>
      <c r="U38" s="62">
        <f t="shared" si="4"/>
        <v>0.8458018624557011</v>
      </c>
      <c r="V38" s="62">
        <f t="shared" si="4"/>
        <v>0.8458018624557011</v>
      </c>
      <c r="W38" s="62">
        <f t="shared" si="4"/>
        <v>0.8458018624557011</v>
      </c>
      <c r="X38" s="62">
        <f t="shared" si="4"/>
        <v>0.8458018624557011</v>
      </c>
      <c r="Y38" s="62">
        <f t="shared" si="4"/>
        <v>0.8458018624557011</v>
      </c>
      <c r="Z38" s="62">
        <f t="shared" si="4"/>
        <v>0.8458018624557011</v>
      </c>
      <c r="AA38" s="62">
        <f t="shared" si="4"/>
        <v>0.8458018624557011</v>
      </c>
      <c r="AB38" s="62">
        <f t="shared" si="4"/>
        <v>0.8458018624557011</v>
      </c>
      <c r="AC38" s="62">
        <f t="shared" si="4"/>
        <v>0.8458018624557011</v>
      </c>
    </row>
    <row r="39" spans="1:29" x14ac:dyDescent="0.25">
      <c r="A39" s="30" t="str">
        <f t="shared" si="3"/>
        <v>Fuel Economy</v>
      </c>
      <c r="B39" s="62">
        <f t="shared" si="4"/>
        <v>646.89677603543487</v>
      </c>
      <c r="C39" s="62">
        <f t="shared" si="4"/>
        <v>646.85211887817047</v>
      </c>
      <c r="D39" s="62">
        <f t="shared" si="4"/>
        <v>646.78819315220449</v>
      </c>
      <c r="E39" s="62">
        <f t="shared" si="4"/>
        <v>646.6967429057521</v>
      </c>
      <c r="F39" s="62">
        <f t="shared" si="4"/>
        <v>646.5660403240729</v>
      </c>
      <c r="G39" s="62">
        <f t="shared" si="4"/>
        <v>646.37949949401741</v>
      </c>
      <c r="H39" s="62">
        <f t="shared" si="4"/>
        <v>646.11381958854338</v>
      </c>
      <c r="I39" s="62">
        <f t="shared" si="4"/>
        <v>645.73659220845991</v>
      </c>
      <c r="J39" s="62">
        <f t="shared" si="4"/>
        <v>645.20341755594859</v>
      </c>
      <c r="K39" s="62">
        <f t="shared" si="4"/>
        <v>644.4548499630904</v>
      </c>
      <c r="L39" s="62">
        <f t="shared" si="4"/>
        <v>643.41406927056653</v>
      </c>
      <c r="M39" s="62">
        <f t="shared" si="4"/>
        <v>641.98719787679943</v>
      </c>
      <c r="N39" s="62">
        <f t="shared" si="4"/>
        <v>640.0696356209337</v>
      </c>
      <c r="O39" s="62">
        <f t="shared" si="4"/>
        <v>637.56301130673319</v>
      </c>
      <c r="P39" s="62">
        <f t="shared" si="4"/>
        <v>634.40634165749691</v>
      </c>
      <c r="Q39" s="62">
        <f t="shared" si="4"/>
        <v>630.6184286906298</v>
      </c>
      <c r="R39" s="62">
        <f t="shared" si="4"/>
        <v>626.33515650399931</v>
      </c>
      <c r="S39" s="62">
        <f t="shared" si="4"/>
        <v>621.81332363039712</v>
      </c>
      <c r="T39" s="62">
        <f t="shared" si="4"/>
        <v>617.38047196989623</v>
      </c>
      <c r="U39" s="62">
        <f t="shared" si="4"/>
        <v>613.34515585949862</v>
      </c>
      <c r="V39" s="62">
        <f t="shared" si="4"/>
        <v>609.91571180572532</v>
      </c>
      <c r="W39" s="62">
        <f t="shared" si="4"/>
        <v>607.1693412972852</v>
      </c>
      <c r="X39" s="62">
        <f t="shared" si="4"/>
        <v>605.0737387067237</v>
      </c>
      <c r="Y39" s="62">
        <f t="shared" si="4"/>
        <v>603.53330273509027</v>
      </c>
      <c r="Z39" s="62">
        <f t="shared" si="4"/>
        <v>602.43191330034256</v>
      </c>
      <c r="AA39" s="62">
        <f t="shared" si="4"/>
        <v>601.66000195939125</v>
      </c>
      <c r="AB39" s="62">
        <f t="shared" si="4"/>
        <v>601.12656377741496</v>
      </c>
      <c r="AC39" s="62">
        <f t="shared" si="4"/>
        <v>600.7615054472443</v>
      </c>
    </row>
    <row r="40" spans="1:29" x14ac:dyDescent="0.25">
      <c r="A40" s="30" t="str">
        <f t="shared" si="3"/>
        <v>Fuel Cost</v>
      </c>
      <c r="B40" s="62">
        <f>$B20+($C20-$B20)*(1-Q20)</f>
        <v>3.1399999999999997E-2</v>
      </c>
      <c r="C40" s="62">
        <f>$B20+($C20-$B20)*(1-R20)</f>
        <v>3.1399999999999997E-2</v>
      </c>
      <c r="D40" s="62">
        <f>$B20+($C20-$B20)*(1-S20)</f>
        <v>3.1399999999999997E-2</v>
      </c>
      <c r="E40" s="62">
        <f t="shared" si="4"/>
        <v>3.1399999999999997E-2</v>
      </c>
      <c r="F40" s="62">
        <f t="shared" si="4"/>
        <v>3.1399999999999997E-2</v>
      </c>
      <c r="G40" s="62">
        <f t="shared" si="4"/>
        <v>3.1399999999999997E-2</v>
      </c>
      <c r="H40" s="62">
        <f t="shared" ref="H40:AC40" si="5">$B20+($C20-$B20)*(1-W20)</f>
        <v>3.1399999999999997E-2</v>
      </c>
      <c r="I40" s="62">
        <f t="shared" si="5"/>
        <v>3.1399999999999997E-2</v>
      </c>
      <c r="J40" s="62">
        <f t="shared" si="5"/>
        <v>3.1399999999999997E-2</v>
      </c>
      <c r="K40" s="62">
        <f t="shared" si="5"/>
        <v>3.1399999999999997E-2</v>
      </c>
      <c r="L40" s="62">
        <f t="shared" si="5"/>
        <v>3.1399999999999997E-2</v>
      </c>
      <c r="M40" s="62">
        <f t="shared" si="5"/>
        <v>3.1399999999999997E-2</v>
      </c>
      <c r="N40" s="62">
        <f t="shared" si="5"/>
        <v>3.1399999999999997E-2</v>
      </c>
      <c r="O40" s="62">
        <f t="shared" si="5"/>
        <v>3.1399999999999997E-2</v>
      </c>
      <c r="P40" s="62">
        <f t="shared" si="5"/>
        <v>3.1399999999999997E-2</v>
      </c>
      <c r="Q40" s="62">
        <f t="shared" si="5"/>
        <v>3.1399999999999997E-2</v>
      </c>
      <c r="R40" s="62">
        <f t="shared" si="5"/>
        <v>3.1399999999999997E-2</v>
      </c>
      <c r="S40" s="62">
        <f t="shared" si="5"/>
        <v>3.1399999999999997E-2</v>
      </c>
      <c r="T40" s="62">
        <f t="shared" si="5"/>
        <v>3.1399999999999997E-2</v>
      </c>
      <c r="U40" s="62">
        <f t="shared" si="5"/>
        <v>3.1399999999999997E-2</v>
      </c>
      <c r="V40" s="62">
        <f t="shared" si="5"/>
        <v>3.1399999999999997E-2</v>
      </c>
      <c r="W40" s="62">
        <f t="shared" si="5"/>
        <v>3.1399999999999997E-2</v>
      </c>
      <c r="X40" s="62">
        <f t="shared" si="5"/>
        <v>3.1399999999999997E-2</v>
      </c>
      <c r="Y40" s="62">
        <f t="shared" si="5"/>
        <v>3.1399999999999997E-2</v>
      </c>
      <c r="Z40" s="62">
        <f t="shared" si="5"/>
        <v>3.1399999999999997E-2</v>
      </c>
      <c r="AA40" s="62">
        <f t="shared" si="5"/>
        <v>3.1399999999999997E-2</v>
      </c>
      <c r="AB40" s="62">
        <f t="shared" si="5"/>
        <v>3.1399999999999997E-2</v>
      </c>
      <c r="AC40" s="62">
        <f t="shared" si="5"/>
        <v>3.1399999999999997E-2</v>
      </c>
    </row>
    <row r="41" spans="1:29" x14ac:dyDescent="0.25">
      <c r="A41" s="30" t="str">
        <f t="shared" si="3"/>
        <v>Emission Cost</v>
      </c>
      <c r="B41" s="68">
        <f>$B21+($C21-$B21)*(1-Q21)</f>
        <v>18.267003557738562</v>
      </c>
      <c r="C41" s="62">
        <f t="shared" ref="C41:AC44" si="6">$B21+($C21-$B21)*(1-R21)</f>
        <v>18.305790458980148</v>
      </c>
      <c r="D41" s="62">
        <f t="shared" si="6"/>
        <v>18.361313044198909</v>
      </c>
      <c r="E41" s="62">
        <f t="shared" si="6"/>
        <v>18.440742006877084</v>
      </c>
      <c r="F41" s="62">
        <f t="shared" si="6"/>
        <v>18.554263521414992</v>
      </c>
      <c r="G41" s="62">
        <f t="shared" si="6"/>
        <v>18.716283255677226</v>
      </c>
      <c r="H41" s="62">
        <f t="shared" si="6"/>
        <v>18.947039105058323</v>
      </c>
      <c r="I41" s="62">
        <f t="shared" si="6"/>
        <v>19.274679331915838</v>
      </c>
      <c r="J41" s="62">
        <f t="shared" si="6"/>
        <v>19.737767308363324</v>
      </c>
      <c r="K41" s="62">
        <f t="shared" si="6"/>
        <v>20.387934472496433</v>
      </c>
      <c r="L41" s="62">
        <f t="shared" si="6"/>
        <v>21.291902848630563</v>
      </c>
      <c r="M41" s="62">
        <f t="shared" si="6"/>
        <v>22.53120967478624</v>
      </c>
      <c r="N41" s="62">
        <f t="shared" si="6"/>
        <v>24.196705250388863</v>
      </c>
      <c r="O41" s="62">
        <f t="shared" si="6"/>
        <v>26.37382971778402</v>
      </c>
      <c r="P41" s="62">
        <f t="shared" si="6"/>
        <v>29.115550002671711</v>
      </c>
      <c r="Q41" s="62">
        <f t="shared" si="6"/>
        <v>32.405535643443841</v>
      </c>
      <c r="R41" s="62">
        <f t="shared" si="6"/>
        <v>36.125764728112543</v>
      </c>
      <c r="S41" s="62">
        <f t="shared" si="6"/>
        <v>40.053195309081424</v>
      </c>
      <c r="T41" s="62">
        <f t="shared" si="6"/>
        <v>43.903341402269703</v>
      </c>
      <c r="U41" s="62">
        <f t="shared" si="6"/>
        <v>47.40820864059085</v>
      </c>
      <c r="V41" s="62">
        <f t="shared" si="6"/>
        <v>50.386846690471195</v>
      </c>
      <c r="W41" s="62">
        <f t="shared" si="6"/>
        <v>52.772202324574174</v>
      </c>
      <c r="X41" s="62">
        <f t="shared" si="6"/>
        <v>54.592334543032798</v>
      </c>
      <c r="Y41" s="62">
        <f t="shared" si="6"/>
        <v>55.93027769841482</v>
      </c>
      <c r="Z41" s="62">
        <f t="shared" si="6"/>
        <v>56.886887698938416</v>
      </c>
      <c r="AA41" s="62">
        <f t="shared" si="6"/>
        <v>57.557330037474898</v>
      </c>
      <c r="AB41" s="62">
        <f t="shared" si="6"/>
        <v>58.020646902010256</v>
      </c>
      <c r="AC41" s="62">
        <f t="shared" si="6"/>
        <v>58.337717720376737</v>
      </c>
    </row>
    <row r="42" spans="1:29" x14ac:dyDescent="0.25">
      <c r="A42" s="30" t="str">
        <f t="shared" si="3"/>
        <v>Lifetime vehicle</v>
      </c>
      <c r="B42" s="62">
        <f>$B22+($C22-$B22)*(1-Q22)</f>
        <v>25</v>
      </c>
      <c r="C42" s="62">
        <f t="shared" si="6"/>
        <v>25</v>
      </c>
      <c r="D42" s="62">
        <f t="shared" si="6"/>
        <v>25</v>
      </c>
      <c r="E42" s="62">
        <f t="shared" si="6"/>
        <v>25</v>
      </c>
      <c r="F42" s="62">
        <f t="shared" si="6"/>
        <v>25</v>
      </c>
      <c r="G42" s="62">
        <f t="shared" si="6"/>
        <v>25</v>
      </c>
      <c r="H42" s="62">
        <f t="shared" si="6"/>
        <v>25</v>
      </c>
      <c r="I42" s="62">
        <f t="shared" si="6"/>
        <v>25</v>
      </c>
      <c r="J42" s="62">
        <f t="shared" si="6"/>
        <v>25</v>
      </c>
      <c r="K42" s="62">
        <f t="shared" si="6"/>
        <v>25</v>
      </c>
      <c r="L42" s="62">
        <f t="shared" si="6"/>
        <v>25</v>
      </c>
      <c r="M42" s="62">
        <f t="shared" si="6"/>
        <v>25</v>
      </c>
      <c r="N42" s="62">
        <f t="shared" si="6"/>
        <v>25</v>
      </c>
      <c r="O42" s="62">
        <f t="shared" si="6"/>
        <v>25</v>
      </c>
      <c r="P42" s="62">
        <f t="shared" si="6"/>
        <v>25</v>
      </c>
      <c r="Q42" s="62">
        <f t="shared" si="6"/>
        <v>25</v>
      </c>
      <c r="R42" s="62">
        <f t="shared" si="6"/>
        <v>25</v>
      </c>
      <c r="S42" s="62">
        <f t="shared" si="6"/>
        <v>25</v>
      </c>
      <c r="T42" s="62">
        <f t="shared" si="6"/>
        <v>25</v>
      </c>
      <c r="U42" s="62">
        <f t="shared" si="6"/>
        <v>25</v>
      </c>
      <c r="V42" s="62">
        <f t="shared" si="6"/>
        <v>25</v>
      </c>
      <c r="W42" s="62">
        <f t="shared" si="6"/>
        <v>25</v>
      </c>
      <c r="X42" s="62">
        <f t="shared" si="6"/>
        <v>25</v>
      </c>
      <c r="Y42" s="62">
        <f t="shared" si="6"/>
        <v>25</v>
      </c>
      <c r="Z42" s="62">
        <f t="shared" si="6"/>
        <v>25</v>
      </c>
      <c r="AA42" s="62">
        <f t="shared" si="6"/>
        <v>25</v>
      </c>
      <c r="AB42" s="62">
        <f t="shared" si="6"/>
        <v>25</v>
      </c>
      <c r="AC42" s="62">
        <f t="shared" si="6"/>
        <v>25</v>
      </c>
    </row>
    <row r="43" spans="1:29" x14ac:dyDescent="0.25">
      <c r="A43" s="30" t="str">
        <f t="shared" si="3"/>
        <v>Lifetime costumization</v>
      </c>
      <c r="B43" s="62">
        <f>$B23+($C23-$B23)*(1-Q23)</f>
        <v>25</v>
      </c>
      <c r="C43" s="62">
        <f t="shared" si="6"/>
        <v>25</v>
      </c>
      <c r="D43" s="62">
        <f t="shared" si="6"/>
        <v>25</v>
      </c>
      <c r="E43" s="62">
        <f t="shared" si="6"/>
        <v>25</v>
      </c>
      <c r="F43" s="62">
        <f t="shared" si="6"/>
        <v>25</v>
      </c>
      <c r="G43" s="62">
        <f t="shared" si="6"/>
        <v>25</v>
      </c>
      <c r="H43" s="62">
        <f t="shared" si="6"/>
        <v>25</v>
      </c>
      <c r="I43" s="62">
        <f t="shared" si="6"/>
        <v>25</v>
      </c>
      <c r="J43" s="62">
        <f t="shared" si="6"/>
        <v>25</v>
      </c>
      <c r="K43" s="62">
        <f t="shared" si="6"/>
        <v>25</v>
      </c>
      <c r="L43" s="62">
        <f t="shared" si="6"/>
        <v>25</v>
      </c>
      <c r="M43" s="62">
        <f t="shared" si="6"/>
        <v>25</v>
      </c>
      <c r="N43" s="62">
        <f t="shared" si="6"/>
        <v>25</v>
      </c>
      <c r="O43" s="62">
        <f t="shared" si="6"/>
        <v>25</v>
      </c>
      <c r="P43" s="62">
        <f t="shared" si="6"/>
        <v>25</v>
      </c>
      <c r="Q43" s="62">
        <f t="shared" si="6"/>
        <v>25</v>
      </c>
      <c r="R43" s="62">
        <f t="shared" si="6"/>
        <v>25</v>
      </c>
      <c r="S43" s="62">
        <f t="shared" si="6"/>
        <v>25</v>
      </c>
      <c r="T43" s="62">
        <f t="shared" si="6"/>
        <v>25</v>
      </c>
      <c r="U43" s="62">
        <f t="shared" si="6"/>
        <v>25</v>
      </c>
      <c r="V43" s="62">
        <f t="shared" si="6"/>
        <v>25</v>
      </c>
      <c r="W43" s="62">
        <f t="shared" si="6"/>
        <v>25</v>
      </c>
      <c r="X43" s="62">
        <f t="shared" si="6"/>
        <v>25</v>
      </c>
      <c r="Y43" s="62">
        <f t="shared" si="6"/>
        <v>25</v>
      </c>
      <c r="Z43" s="62">
        <f t="shared" si="6"/>
        <v>25</v>
      </c>
      <c r="AA43" s="62">
        <f t="shared" si="6"/>
        <v>25</v>
      </c>
      <c r="AB43" s="62">
        <f t="shared" si="6"/>
        <v>25</v>
      </c>
      <c r="AC43" s="62">
        <f t="shared" si="6"/>
        <v>25</v>
      </c>
    </row>
    <row r="44" spans="1:29" x14ac:dyDescent="0.25">
      <c r="A44" s="30" t="str">
        <f t="shared" si="3"/>
        <v>Tonnage .</v>
      </c>
      <c r="B44" s="62">
        <f>$B24+($C24-$B24)*(1-Q24)</f>
        <v>9450</v>
      </c>
      <c r="C44" s="62">
        <f t="shared" si="6"/>
        <v>9450</v>
      </c>
      <c r="D44" s="62">
        <f t="shared" si="6"/>
        <v>9450</v>
      </c>
      <c r="E44" s="62">
        <f t="shared" si="6"/>
        <v>9450</v>
      </c>
      <c r="F44" s="62">
        <f t="shared" si="6"/>
        <v>9450</v>
      </c>
      <c r="G44" s="62">
        <f t="shared" si="6"/>
        <v>9450</v>
      </c>
      <c r="H44" s="62">
        <f t="shared" si="6"/>
        <v>9450</v>
      </c>
      <c r="I44" s="62">
        <f t="shared" si="6"/>
        <v>9450</v>
      </c>
      <c r="J44" s="62">
        <f t="shared" si="6"/>
        <v>9450</v>
      </c>
      <c r="K44" s="62">
        <f t="shared" si="6"/>
        <v>9450</v>
      </c>
      <c r="L44" s="62">
        <f t="shared" si="6"/>
        <v>9450</v>
      </c>
      <c r="M44" s="62">
        <f t="shared" si="6"/>
        <v>9450</v>
      </c>
      <c r="N44" s="62">
        <f t="shared" si="6"/>
        <v>9450</v>
      </c>
      <c r="O44" s="62">
        <f t="shared" si="6"/>
        <v>9450</v>
      </c>
      <c r="P44" s="62">
        <f t="shared" si="6"/>
        <v>9450</v>
      </c>
      <c r="Q44" s="62">
        <f t="shared" si="6"/>
        <v>9450</v>
      </c>
      <c r="R44" s="62">
        <f t="shared" si="6"/>
        <v>9450</v>
      </c>
      <c r="S44" s="62">
        <f t="shared" si="6"/>
        <v>9450</v>
      </c>
      <c r="T44" s="62">
        <f t="shared" si="6"/>
        <v>9450</v>
      </c>
      <c r="U44" s="62">
        <f t="shared" si="6"/>
        <v>9450</v>
      </c>
      <c r="V44" s="62">
        <f t="shared" si="6"/>
        <v>9450</v>
      </c>
      <c r="W44" s="62">
        <f t="shared" si="6"/>
        <v>9450</v>
      </c>
      <c r="X44" s="62">
        <f t="shared" si="6"/>
        <v>9450</v>
      </c>
      <c r="Y44" s="62">
        <f t="shared" si="6"/>
        <v>9450</v>
      </c>
      <c r="Z44" s="62">
        <f t="shared" si="6"/>
        <v>9450</v>
      </c>
      <c r="AA44" s="62">
        <f t="shared" si="6"/>
        <v>9450</v>
      </c>
      <c r="AB44" s="62">
        <f t="shared" si="6"/>
        <v>9450</v>
      </c>
      <c r="AC44" s="62">
        <f t="shared" si="6"/>
        <v>9450</v>
      </c>
    </row>
    <row r="45" spans="1:29" x14ac:dyDescent="0.25">
      <c r="A45" s="30" t="str">
        <f t="shared" si="3"/>
        <v>Market failure (av. utilization)</v>
      </c>
      <c r="B45" s="62">
        <f t="shared" ref="B45:AC46" si="7">($B25+($C25-$B25)*(1-Q25))*B$44</f>
        <v>6426.0000000000009</v>
      </c>
      <c r="C45" s="62">
        <f t="shared" si="7"/>
        <v>6426.0000000000009</v>
      </c>
      <c r="D45" s="62">
        <f t="shared" si="7"/>
        <v>6426.0000000000009</v>
      </c>
      <c r="E45" s="62">
        <f t="shared" si="7"/>
        <v>6426.0000000000009</v>
      </c>
      <c r="F45" s="62">
        <f t="shared" si="7"/>
        <v>6426.0000000000009</v>
      </c>
      <c r="G45" s="62">
        <f t="shared" si="7"/>
        <v>6426.0000000000009</v>
      </c>
      <c r="H45" s="62">
        <f t="shared" si="7"/>
        <v>6426.0000000000009</v>
      </c>
      <c r="I45" s="62">
        <f t="shared" si="7"/>
        <v>6426.0000000000009</v>
      </c>
      <c r="J45" s="62">
        <f t="shared" si="7"/>
        <v>6426.0000000000009</v>
      </c>
      <c r="K45" s="62">
        <f t="shared" si="7"/>
        <v>6426.0000000000009</v>
      </c>
      <c r="L45" s="62">
        <f t="shared" si="7"/>
        <v>6426.0000000000009</v>
      </c>
      <c r="M45" s="62">
        <f t="shared" si="7"/>
        <v>6426.0000000000009</v>
      </c>
      <c r="N45" s="62">
        <f t="shared" si="7"/>
        <v>6426.0000000000009</v>
      </c>
      <c r="O45" s="62">
        <f t="shared" si="7"/>
        <v>6426.0000000000009</v>
      </c>
      <c r="P45" s="62">
        <f t="shared" si="7"/>
        <v>6426.0000000000009</v>
      </c>
      <c r="Q45" s="62">
        <f t="shared" si="7"/>
        <v>6426.0000000000009</v>
      </c>
      <c r="R45" s="62">
        <f t="shared" si="7"/>
        <v>6426.0000000000009</v>
      </c>
      <c r="S45" s="62">
        <f t="shared" si="7"/>
        <v>6426.0000000000009</v>
      </c>
      <c r="T45" s="62">
        <f t="shared" si="7"/>
        <v>6426.0000000000009</v>
      </c>
      <c r="U45" s="62">
        <f t="shared" si="7"/>
        <v>6426.0000000000009</v>
      </c>
      <c r="V45" s="62">
        <f t="shared" si="7"/>
        <v>6426.0000000000009</v>
      </c>
      <c r="W45" s="62">
        <f t="shared" si="7"/>
        <v>6426.0000000000009</v>
      </c>
      <c r="X45" s="62">
        <f t="shared" si="7"/>
        <v>6426.0000000000009</v>
      </c>
      <c r="Y45" s="62">
        <f t="shared" si="7"/>
        <v>6426.0000000000009</v>
      </c>
      <c r="Z45" s="62">
        <f t="shared" si="7"/>
        <v>6426.0000000000009</v>
      </c>
      <c r="AA45" s="62">
        <f t="shared" si="7"/>
        <v>6426.0000000000009</v>
      </c>
      <c r="AB45" s="62">
        <f t="shared" si="7"/>
        <v>6426.0000000000009</v>
      </c>
      <c r="AC45" s="62">
        <f t="shared" si="7"/>
        <v>6426.0000000000009</v>
      </c>
    </row>
    <row r="46" spans="1:29" x14ac:dyDescent="0.25">
      <c r="A46" s="30" t="s">
        <v>73</v>
      </c>
      <c r="B46" s="62">
        <f t="shared" si="7"/>
        <v>0</v>
      </c>
      <c r="C46" s="62">
        <f t="shared" si="7"/>
        <v>0</v>
      </c>
      <c r="D46" s="62">
        <f t="shared" si="7"/>
        <v>0</v>
      </c>
      <c r="E46" s="62">
        <f t="shared" si="7"/>
        <v>0</v>
      </c>
      <c r="F46" s="62">
        <f t="shared" si="7"/>
        <v>0</v>
      </c>
      <c r="G46" s="62">
        <f t="shared" si="7"/>
        <v>0</v>
      </c>
      <c r="H46" s="62">
        <f t="shared" si="7"/>
        <v>0</v>
      </c>
      <c r="I46" s="62">
        <f t="shared" si="7"/>
        <v>0</v>
      </c>
      <c r="J46" s="62">
        <f t="shared" si="7"/>
        <v>0</v>
      </c>
      <c r="K46" s="62">
        <f t="shared" si="7"/>
        <v>0</v>
      </c>
      <c r="L46" s="62">
        <f t="shared" si="7"/>
        <v>0</v>
      </c>
      <c r="M46" s="62">
        <f t="shared" si="7"/>
        <v>0</v>
      </c>
      <c r="N46" s="62">
        <f t="shared" si="7"/>
        <v>0</v>
      </c>
      <c r="O46" s="62">
        <f t="shared" si="7"/>
        <v>0</v>
      </c>
      <c r="P46" s="62">
        <f t="shared" si="7"/>
        <v>0</v>
      </c>
      <c r="Q46" s="62">
        <f t="shared" si="7"/>
        <v>0</v>
      </c>
      <c r="R46" s="62">
        <f t="shared" si="7"/>
        <v>0</v>
      </c>
      <c r="S46" s="62">
        <f t="shared" si="7"/>
        <v>0</v>
      </c>
      <c r="T46" s="62">
        <f t="shared" si="7"/>
        <v>0</v>
      </c>
      <c r="U46" s="62">
        <f t="shared" si="7"/>
        <v>0</v>
      </c>
      <c r="V46" s="62">
        <f t="shared" si="7"/>
        <v>0</v>
      </c>
      <c r="W46" s="62">
        <f t="shared" si="7"/>
        <v>0</v>
      </c>
      <c r="X46" s="62">
        <f t="shared" si="7"/>
        <v>0</v>
      </c>
      <c r="Y46" s="62">
        <f t="shared" si="7"/>
        <v>0</v>
      </c>
      <c r="Z46" s="62">
        <f t="shared" si="7"/>
        <v>0</v>
      </c>
      <c r="AA46" s="62">
        <f t="shared" si="7"/>
        <v>0</v>
      </c>
      <c r="AB46" s="62">
        <f t="shared" si="7"/>
        <v>0</v>
      </c>
      <c r="AC46" s="62">
        <f t="shared" si="7"/>
        <v>0</v>
      </c>
    </row>
    <row r="47" spans="1:29" x14ac:dyDescent="0.25">
      <c r="A47" s="30" t="str">
        <f>A27</f>
        <v>Annual Mileage</v>
      </c>
      <c r="B47" s="62">
        <f t="shared" ref="B47:AC47" si="8">$B27+($C27-$B27)*(1-Q27)</f>
        <v>120000</v>
      </c>
      <c r="C47" s="62">
        <f t="shared" si="8"/>
        <v>120000</v>
      </c>
      <c r="D47" s="62">
        <f t="shared" si="8"/>
        <v>120000</v>
      </c>
      <c r="E47" s="62">
        <f t="shared" si="8"/>
        <v>120000</v>
      </c>
      <c r="F47" s="62">
        <f t="shared" si="8"/>
        <v>120000</v>
      </c>
      <c r="G47" s="62">
        <f t="shared" si="8"/>
        <v>120000</v>
      </c>
      <c r="H47" s="62">
        <f t="shared" si="8"/>
        <v>120000</v>
      </c>
      <c r="I47" s="62">
        <f t="shared" si="8"/>
        <v>120000</v>
      </c>
      <c r="J47" s="62">
        <f t="shared" si="8"/>
        <v>120000</v>
      </c>
      <c r="K47" s="62">
        <f t="shared" si="8"/>
        <v>120000</v>
      </c>
      <c r="L47" s="62">
        <f t="shared" si="8"/>
        <v>120000</v>
      </c>
      <c r="M47" s="62">
        <f t="shared" si="8"/>
        <v>120000</v>
      </c>
      <c r="N47" s="62">
        <f t="shared" si="8"/>
        <v>120000</v>
      </c>
      <c r="O47" s="62">
        <f t="shared" si="8"/>
        <v>120000</v>
      </c>
      <c r="P47" s="62">
        <f t="shared" si="8"/>
        <v>120000</v>
      </c>
      <c r="Q47" s="62">
        <f t="shared" si="8"/>
        <v>120000</v>
      </c>
      <c r="R47" s="62">
        <f t="shared" si="8"/>
        <v>120000</v>
      </c>
      <c r="S47" s="62">
        <f t="shared" si="8"/>
        <v>120000</v>
      </c>
      <c r="T47" s="62">
        <f t="shared" si="8"/>
        <v>120000</v>
      </c>
      <c r="U47" s="62">
        <f t="shared" si="8"/>
        <v>120000</v>
      </c>
      <c r="V47" s="62">
        <f t="shared" si="8"/>
        <v>120000</v>
      </c>
      <c r="W47" s="62">
        <f t="shared" si="8"/>
        <v>120000</v>
      </c>
      <c r="X47" s="62">
        <f t="shared" si="8"/>
        <v>120000</v>
      </c>
      <c r="Y47" s="62">
        <f t="shared" si="8"/>
        <v>120000</v>
      </c>
      <c r="Z47" s="62">
        <f t="shared" si="8"/>
        <v>120000</v>
      </c>
      <c r="AA47" s="62">
        <f t="shared" si="8"/>
        <v>120000</v>
      </c>
      <c r="AB47" s="62">
        <f t="shared" si="8"/>
        <v>120000</v>
      </c>
      <c r="AC47" s="62">
        <f t="shared" si="8"/>
        <v>120000</v>
      </c>
    </row>
    <row r="48" spans="1:29" ht="15.75" thickBot="1" x14ac:dyDescent="0.3">
      <c r="AC48" s="32"/>
    </row>
    <row r="49" spans="1:33"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33" x14ac:dyDescent="0.25">
      <c r="A50" s="29" t="str">
        <f>A31</f>
        <v>Capex vehicle</v>
      </c>
      <c r="B50" s="113">
        <f>((1+B35)^B42)*B35/(((1+B35)^B42)-1)*(B31)</f>
        <v>1173400.7731841092</v>
      </c>
      <c r="C50" s="63">
        <f t="shared" ref="C50:AC50" si="9">((1+C35)^C42)*C35/(((1+C35)^C42)-1)*(C31)</f>
        <v>1173400.7731841092</v>
      </c>
      <c r="D50" s="63">
        <f t="shared" si="9"/>
        <v>1173400.7731841092</v>
      </c>
      <c r="E50" s="63">
        <f t="shared" si="9"/>
        <v>1173400.7731841092</v>
      </c>
      <c r="F50" s="63">
        <f t="shared" si="9"/>
        <v>1173400.7731841092</v>
      </c>
      <c r="G50" s="63">
        <f t="shared" si="9"/>
        <v>1173400.7731841092</v>
      </c>
      <c r="H50" s="63">
        <f t="shared" si="9"/>
        <v>1173400.7731841092</v>
      </c>
      <c r="I50" s="63">
        <f t="shared" si="9"/>
        <v>1173400.7731841092</v>
      </c>
      <c r="J50" s="63">
        <f t="shared" si="9"/>
        <v>1173400.7731841092</v>
      </c>
      <c r="K50" s="63">
        <f t="shared" si="9"/>
        <v>1173400.7731841092</v>
      </c>
      <c r="L50" s="63">
        <f t="shared" si="9"/>
        <v>1173400.7731841092</v>
      </c>
      <c r="M50" s="63">
        <f t="shared" si="9"/>
        <v>1173400.7731841092</v>
      </c>
      <c r="N50" s="63">
        <f t="shared" si="9"/>
        <v>1173400.7731841092</v>
      </c>
      <c r="O50" s="63">
        <f t="shared" si="9"/>
        <v>1173400.7731841092</v>
      </c>
      <c r="P50" s="63">
        <f t="shared" si="9"/>
        <v>1173400.7731841092</v>
      </c>
      <c r="Q50" s="63">
        <f t="shared" si="9"/>
        <v>1173400.7731841092</v>
      </c>
      <c r="R50" s="63">
        <f t="shared" si="9"/>
        <v>1173400.7731841092</v>
      </c>
      <c r="S50" s="63">
        <f t="shared" si="9"/>
        <v>1173400.7731841092</v>
      </c>
      <c r="T50" s="63">
        <f t="shared" si="9"/>
        <v>1173400.7731841092</v>
      </c>
      <c r="U50" s="63">
        <f t="shared" si="9"/>
        <v>1173400.7731841092</v>
      </c>
      <c r="V50" s="63">
        <f t="shared" si="9"/>
        <v>1173400.7731841092</v>
      </c>
      <c r="W50" s="63">
        <f t="shared" si="9"/>
        <v>1173400.7731841092</v>
      </c>
      <c r="X50" s="63">
        <f t="shared" si="9"/>
        <v>1173400.7731841092</v>
      </c>
      <c r="Y50" s="63">
        <f t="shared" si="9"/>
        <v>1173400.7731841092</v>
      </c>
      <c r="Z50" s="63">
        <f t="shared" si="9"/>
        <v>1173400.7731841092</v>
      </c>
      <c r="AA50" s="63">
        <f t="shared" si="9"/>
        <v>1173400.7731841092</v>
      </c>
      <c r="AB50" s="63">
        <f t="shared" si="9"/>
        <v>1173400.7731841092</v>
      </c>
      <c r="AC50" s="63">
        <f t="shared" si="9"/>
        <v>1173400.7731841092</v>
      </c>
    </row>
    <row r="51" spans="1:33" x14ac:dyDescent="0.25">
      <c r="A51" s="30" t="str">
        <f>A32</f>
        <v>Residual value (vehicle)</v>
      </c>
      <c r="B51" s="62">
        <f>((1+B35)^B42)*B35/(((1+B35)^B42)-1)*(B32)</f>
        <v>-117211.22297816433</v>
      </c>
      <c r="C51" s="62">
        <f t="shared" ref="C51:AC51" si="10">((1+C35)^C42)*C35/(((1+C35)^C42)-1)*(C32)</f>
        <v>-117155.47750703427</v>
      </c>
      <c r="D51" s="62">
        <f t="shared" si="10"/>
        <v>-117075.67910674184</v>
      </c>
      <c r="E51" s="62">
        <f t="shared" si="10"/>
        <v>-116961.52188344915</v>
      </c>
      <c r="F51" s="62">
        <f t="shared" si="10"/>
        <v>-116798.36602132194</v>
      </c>
      <c r="G51" s="62">
        <f t="shared" si="10"/>
        <v>-116565.50734662244</v>
      </c>
      <c r="H51" s="62">
        <f t="shared" si="10"/>
        <v>-116233.85946736432</v>
      </c>
      <c r="I51" s="62">
        <f t="shared" si="10"/>
        <v>-115762.96702113429</v>
      </c>
      <c r="J51" s="62">
        <f t="shared" si="10"/>
        <v>-115097.40579826315</v>
      </c>
      <c r="K51" s="62">
        <f t="shared" si="10"/>
        <v>-114162.96984907117</v>
      </c>
      <c r="L51" s="62">
        <f t="shared" si="10"/>
        <v>-112863.76466894078</v>
      </c>
      <c r="M51" s="62">
        <f t="shared" si="10"/>
        <v>-111082.60297034449</v>
      </c>
      <c r="N51" s="62">
        <f t="shared" si="10"/>
        <v>-108688.91250900239</v>
      </c>
      <c r="O51" s="62">
        <f t="shared" si="10"/>
        <v>-105559.89664903973</v>
      </c>
      <c r="P51" s="62">
        <f t="shared" si="10"/>
        <v>-101619.43004574107</v>
      </c>
      <c r="Q51" s="62">
        <f t="shared" si="10"/>
        <v>-96890.983232894243</v>
      </c>
      <c r="R51" s="62">
        <f t="shared" si="10"/>
        <v>-91544.180152521745</v>
      </c>
      <c r="S51" s="62">
        <f t="shared" si="10"/>
        <v>-85899.582077953528</v>
      </c>
      <c r="T51" s="62">
        <f t="shared" si="10"/>
        <v>-80366.059135568226</v>
      </c>
      <c r="U51" s="62">
        <f t="shared" si="10"/>
        <v>-75328.779301543953</v>
      </c>
      <c r="V51" s="62">
        <f t="shared" si="10"/>
        <v>-71047.808765066002</v>
      </c>
      <c r="W51" s="62">
        <f t="shared" si="10"/>
        <v>-67619.518043732241</v>
      </c>
      <c r="X51" s="62">
        <f t="shared" si="10"/>
        <v>-65003.580064954105</v>
      </c>
      <c r="Y51" s="62">
        <f t="shared" si="10"/>
        <v>-63080.655852023017</v>
      </c>
      <c r="Z51" s="62">
        <f t="shared" si="10"/>
        <v>-61705.792858076449</v>
      </c>
      <c r="AA51" s="62">
        <f t="shared" si="10"/>
        <v>-60742.216938606354</v>
      </c>
      <c r="AB51" s="62">
        <f t="shared" si="10"/>
        <v>-60076.3267522479</v>
      </c>
      <c r="AC51" s="62">
        <f t="shared" si="10"/>
        <v>-59620.624915142049</v>
      </c>
    </row>
    <row r="52" spans="1:33" x14ac:dyDescent="0.25">
      <c r="A52" s="30" t="str">
        <f>A33</f>
        <v>Capex costumization</v>
      </c>
      <c r="B52" s="62">
        <f>((1+B35)^B43)*B35/(((1+B35)^B43)-1)*(B33)</f>
        <v>78226.718212273947</v>
      </c>
      <c r="C52" s="62">
        <f t="shared" ref="C52:AC52" si="11">((1+C35)^C43)*C35/(((1+C35)^C43)-1)*(C33)</f>
        <v>78226.718212273947</v>
      </c>
      <c r="D52" s="62">
        <f t="shared" si="11"/>
        <v>78226.718212273947</v>
      </c>
      <c r="E52" s="62">
        <f t="shared" si="11"/>
        <v>78226.718212273947</v>
      </c>
      <c r="F52" s="62">
        <f t="shared" si="11"/>
        <v>78226.718212273947</v>
      </c>
      <c r="G52" s="62">
        <f t="shared" si="11"/>
        <v>78226.718212273947</v>
      </c>
      <c r="H52" s="62">
        <f t="shared" si="11"/>
        <v>78226.718212273947</v>
      </c>
      <c r="I52" s="62">
        <f t="shared" si="11"/>
        <v>78226.718212273947</v>
      </c>
      <c r="J52" s="62">
        <f t="shared" si="11"/>
        <v>78226.718212273947</v>
      </c>
      <c r="K52" s="62">
        <f t="shared" si="11"/>
        <v>78226.718212273947</v>
      </c>
      <c r="L52" s="62">
        <f t="shared" si="11"/>
        <v>78226.718212273947</v>
      </c>
      <c r="M52" s="62">
        <f t="shared" si="11"/>
        <v>78226.718212273947</v>
      </c>
      <c r="N52" s="62">
        <f t="shared" si="11"/>
        <v>78226.718212273947</v>
      </c>
      <c r="O52" s="62">
        <f t="shared" si="11"/>
        <v>78226.718212273947</v>
      </c>
      <c r="P52" s="62">
        <f t="shared" si="11"/>
        <v>78226.718212273947</v>
      </c>
      <c r="Q52" s="62">
        <f t="shared" si="11"/>
        <v>78226.718212273947</v>
      </c>
      <c r="R52" s="62">
        <f t="shared" si="11"/>
        <v>78226.718212273947</v>
      </c>
      <c r="S52" s="62">
        <f t="shared" si="11"/>
        <v>78226.718212273947</v>
      </c>
      <c r="T52" s="62">
        <f t="shared" si="11"/>
        <v>78226.718212273947</v>
      </c>
      <c r="U52" s="62">
        <f t="shared" si="11"/>
        <v>78226.718212273947</v>
      </c>
      <c r="V52" s="62">
        <f t="shared" si="11"/>
        <v>78226.718212273947</v>
      </c>
      <c r="W52" s="62">
        <f t="shared" si="11"/>
        <v>78226.718212273947</v>
      </c>
      <c r="X52" s="62">
        <f t="shared" si="11"/>
        <v>78226.718212273947</v>
      </c>
      <c r="Y52" s="62">
        <f t="shared" si="11"/>
        <v>78226.718212273947</v>
      </c>
      <c r="Z52" s="62">
        <f t="shared" si="11"/>
        <v>78226.718212273947</v>
      </c>
      <c r="AA52" s="62">
        <f t="shared" si="11"/>
        <v>78226.718212273947</v>
      </c>
      <c r="AB52" s="62">
        <f t="shared" si="11"/>
        <v>78226.718212273947</v>
      </c>
      <c r="AC52" s="62">
        <f t="shared" si="11"/>
        <v>78226.718212273947</v>
      </c>
    </row>
    <row r="53" spans="1:33" x14ac:dyDescent="0.25">
      <c r="A53" s="30" t="str">
        <f>A34</f>
        <v>Residual value (costumization)</v>
      </c>
      <c r="B53" s="62">
        <f>((1+B35)^B43)*B35/(((1+B35)^B43)-1)*(B34)</f>
        <v>-7822.6718212273945</v>
      </c>
      <c r="C53" s="62">
        <f t="shared" ref="C53:AC53" si="12">((1+C35)^C43)*C35/(((1+C35)^C43)-1)*(C34)</f>
        <v>-7822.6718212273945</v>
      </c>
      <c r="D53" s="62">
        <f t="shared" si="12"/>
        <v>-7822.6718212273945</v>
      </c>
      <c r="E53" s="62">
        <f t="shared" si="12"/>
        <v>-7822.6718212273945</v>
      </c>
      <c r="F53" s="62">
        <f t="shared" si="12"/>
        <v>-7822.6718212273945</v>
      </c>
      <c r="G53" s="62">
        <f t="shared" si="12"/>
        <v>-7822.6718212273945</v>
      </c>
      <c r="H53" s="62">
        <f t="shared" si="12"/>
        <v>-7822.6718212273945</v>
      </c>
      <c r="I53" s="62">
        <f t="shared" si="12"/>
        <v>-7822.6718212273945</v>
      </c>
      <c r="J53" s="62">
        <f t="shared" si="12"/>
        <v>-7822.6718212273945</v>
      </c>
      <c r="K53" s="62">
        <f t="shared" si="12"/>
        <v>-7822.6718212273945</v>
      </c>
      <c r="L53" s="62">
        <f t="shared" si="12"/>
        <v>-7822.6718212273945</v>
      </c>
      <c r="M53" s="62">
        <f t="shared" si="12"/>
        <v>-7822.6718212273945</v>
      </c>
      <c r="N53" s="62">
        <f t="shared" si="12"/>
        <v>-7822.6718212273945</v>
      </c>
      <c r="O53" s="62">
        <f t="shared" si="12"/>
        <v>-7822.6718212273945</v>
      </c>
      <c r="P53" s="62">
        <f t="shared" si="12"/>
        <v>-7822.6718212273945</v>
      </c>
      <c r="Q53" s="62">
        <f t="shared" si="12"/>
        <v>-7822.6718212273945</v>
      </c>
      <c r="R53" s="62">
        <f t="shared" si="12"/>
        <v>-7822.6718212273945</v>
      </c>
      <c r="S53" s="62">
        <f t="shared" si="12"/>
        <v>-7822.6718212273945</v>
      </c>
      <c r="T53" s="62">
        <f t="shared" si="12"/>
        <v>-7822.6718212273945</v>
      </c>
      <c r="U53" s="62">
        <f t="shared" si="12"/>
        <v>-7822.6718212273945</v>
      </c>
      <c r="V53" s="62">
        <f t="shared" si="12"/>
        <v>-7822.6718212273945</v>
      </c>
      <c r="W53" s="62">
        <f t="shared" si="12"/>
        <v>-7822.6718212273945</v>
      </c>
      <c r="X53" s="62">
        <f t="shared" si="12"/>
        <v>-7822.6718212273945</v>
      </c>
      <c r="Y53" s="62">
        <f t="shared" si="12"/>
        <v>-7822.6718212273945</v>
      </c>
      <c r="Z53" s="62">
        <f t="shared" si="12"/>
        <v>-7822.6718212273945</v>
      </c>
      <c r="AA53" s="62">
        <f t="shared" si="12"/>
        <v>-7822.6718212273945</v>
      </c>
      <c r="AB53" s="62">
        <f t="shared" si="12"/>
        <v>-7822.6718212273945</v>
      </c>
      <c r="AC53" s="62">
        <f t="shared" si="12"/>
        <v>-7822.6718212273945</v>
      </c>
    </row>
    <row r="54" spans="1:33" x14ac:dyDescent="0.25">
      <c r="A54" s="30" t="str">
        <f t="shared" ref="A54:AC55" si="13">A36</f>
        <v>Opex fix (admin, crew, insurance)</v>
      </c>
      <c r="B54" s="62">
        <f t="shared" si="13"/>
        <v>1208235.294117647</v>
      </c>
      <c r="C54" s="62">
        <f t="shared" si="13"/>
        <v>1208235.294117647</v>
      </c>
      <c r="D54" s="62">
        <f t="shared" si="13"/>
        <v>1208235.294117647</v>
      </c>
      <c r="E54" s="62">
        <f t="shared" si="13"/>
        <v>1208235.294117647</v>
      </c>
      <c r="F54" s="62">
        <f t="shared" si="13"/>
        <v>1208235.294117647</v>
      </c>
      <c r="G54" s="62">
        <f t="shared" si="13"/>
        <v>1208235.294117647</v>
      </c>
      <c r="H54" s="62">
        <f t="shared" si="13"/>
        <v>1208235.294117647</v>
      </c>
      <c r="I54" s="62">
        <f t="shared" si="13"/>
        <v>1208235.294117647</v>
      </c>
      <c r="J54" s="62">
        <f t="shared" si="13"/>
        <v>1208235.294117647</v>
      </c>
      <c r="K54" s="62">
        <f t="shared" si="13"/>
        <v>1208235.294117647</v>
      </c>
      <c r="L54" s="62">
        <f t="shared" si="13"/>
        <v>1208235.294117647</v>
      </c>
      <c r="M54" s="62">
        <f t="shared" si="13"/>
        <v>1208235.294117647</v>
      </c>
      <c r="N54" s="62">
        <f t="shared" si="13"/>
        <v>1208235.294117647</v>
      </c>
      <c r="O54" s="62">
        <f t="shared" si="13"/>
        <v>1208235.294117647</v>
      </c>
      <c r="P54" s="62">
        <f t="shared" si="13"/>
        <v>1208235.294117647</v>
      </c>
      <c r="Q54" s="62">
        <f t="shared" si="13"/>
        <v>1208235.294117647</v>
      </c>
      <c r="R54" s="62">
        <f t="shared" si="13"/>
        <v>1208235.294117647</v>
      </c>
      <c r="S54" s="62">
        <f t="shared" si="13"/>
        <v>1208235.294117647</v>
      </c>
      <c r="T54" s="62">
        <f t="shared" si="13"/>
        <v>1208235.294117647</v>
      </c>
      <c r="U54" s="62">
        <f t="shared" si="13"/>
        <v>1208235.294117647</v>
      </c>
      <c r="V54" s="62">
        <f t="shared" si="13"/>
        <v>1208235.294117647</v>
      </c>
      <c r="W54" s="62">
        <f t="shared" si="13"/>
        <v>1208235.294117647</v>
      </c>
      <c r="X54" s="62">
        <f t="shared" si="13"/>
        <v>1208235.294117647</v>
      </c>
      <c r="Y54" s="62">
        <f t="shared" si="13"/>
        <v>1208235.294117647</v>
      </c>
      <c r="Z54" s="62">
        <f t="shared" si="13"/>
        <v>1208235.294117647</v>
      </c>
      <c r="AA54" s="62">
        <f t="shared" si="13"/>
        <v>1208235.294117647</v>
      </c>
      <c r="AB54" s="62">
        <f t="shared" si="13"/>
        <v>1208235.294117647</v>
      </c>
      <c r="AC54" s="62">
        <f t="shared" si="13"/>
        <v>1208235.294117647</v>
      </c>
    </row>
    <row r="55" spans="1:33" x14ac:dyDescent="0.25">
      <c r="A55" s="30" t="str">
        <f t="shared" si="13"/>
        <v>Opex maintenance &amp; repair</v>
      </c>
      <c r="B55" s="62">
        <f t="shared" si="13"/>
        <v>488235.29411764705</v>
      </c>
      <c r="C55" s="62">
        <f t="shared" si="13"/>
        <v>488235.29411764705</v>
      </c>
      <c r="D55" s="62">
        <f t="shared" si="13"/>
        <v>488235.29411764705</v>
      </c>
      <c r="E55" s="62">
        <f t="shared" si="13"/>
        <v>488235.29411764705</v>
      </c>
      <c r="F55" s="62">
        <f t="shared" si="13"/>
        <v>488235.29411764705</v>
      </c>
      <c r="G55" s="62">
        <f t="shared" si="13"/>
        <v>488235.29411764705</v>
      </c>
      <c r="H55" s="62">
        <f t="shared" si="13"/>
        <v>488235.29411764705</v>
      </c>
      <c r="I55" s="62">
        <f t="shared" si="13"/>
        <v>488235.29411764705</v>
      </c>
      <c r="J55" s="62">
        <f t="shared" si="13"/>
        <v>488235.29411764705</v>
      </c>
      <c r="K55" s="62">
        <f t="shared" si="13"/>
        <v>488235.29411764705</v>
      </c>
      <c r="L55" s="62">
        <f t="shared" si="13"/>
        <v>488235.29411764705</v>
      </c>
      <c r="M55" s="62">
        <f t="shared" si="13"/>
        <v>488235.29411764705</v>
      </c>
      <c r="N55" s="62">
        <f t="shared" si="13"/>
        <v>488235.29411764705</v>
      </c>
      <c r="O55" s="62">
        <f t="shared" si="13"/>
        <v>488235.29411764705</v>
      </c>
      <c r="P55" s="62">
        <f t="shared" si="13"/>
        <v>488235.29411764705</v>
      </c>
      <c r="Q55" s="62">
        <f t="shared" si="13"/>
        <v>488235.29411764705</v>
      </c>
      <c r="R55" s="62">
        <f t="shared" si="13"/>
        <v>488235.29411764705</v>
      </c>
      <c r="S55" s="62">
        <f t="shared" si="13"/>
        <v>488235.29411764705</v>
      </c>
      <c r="T55" s="62">
        <f t="shared" si="13"/>
        <v>488235.29411764705</v>
      </c>
      <c r="U55" s="62">
        <f t="shared" si="13"/>
        <v>488235.29411764705</v>
      </c>
      <c r="V55" s="62">
        <f t="shared" si="13"/>
        <v>488235.29411764705</v>
      </c>
      <c r="W55" s="62">
        <f t="shared" si="13"/>
        <v>488235.29411764705</v>
      </c>
      <c r="X55" s="62">
        <f t="shared" si="13"/>
        <v>488235.29411764705</v>
      </c>
      <c r="Y55" s="62">
        <f t="shared" si="13"/>
        <v>488235.29411764705</v>
      </c>
      <c r="Z55" s="62">
        <f t="shared" si="13"/>
        <v>488235.29411764705</v>
      </c>
      <c r="AA55" s="62">
        <f t="shared" si="13"/>
        <v>488235.29411764705</v>
      </c>
      <c r="AB55" s="62">
        <f t="shared" si="13"/>
        <v>488235.29411764705</v>
      </c>
      <c r="AC55" s="62">
        <f t="shared" si="13"/>
        <v>488235.29411764705</v>
      </c>
    </row>
    <row r="56" spans="1:33" x14ac:dyDescent="0.25">
      <c r="A56" s="30" t="str">
        <f>A38</f>
        <v>Opex var (mode-fees)</v>
      </c>
      <c r="B56" s="159">
        <f>B38*B47</f>
        <v>101496.22349468413</v>
      </c>
      <c r="C56" s="62">
        <f t="shared" ref="C56:AC56" si="14">C38*C47</f>
        <v>101496.22349468413</v>
      </c>
      <c r="D56" s="62">
        <f t="shared" si="14"/>
        <v>101496.22349468413</v>
      </c>
      <c r="E56" s="62">
        <f t="shared" si="14"/>
        <v>101496.22349468413</v>
      </c>
      <c r="F56" s="62">
        <f t="shared" si="14"/>
        <v>101496.22349468413</v>
      </c>
      <c r="G56" s="62">
        <f t="shared" si="14"/>
        <v>101496.22349468413</v>
      </c>
      <c r="H56" s="62">
        <f t="shared" si="14"/>
        <v>101496.22349468413</v>
      </c>
      <c r="I56" s="62">
        <f t="shared" si="14"/>
        <v>101496.22349468413</v>
      </c>
      <c r="J56" s="62">
        <f t="shared" si="14"/>
        <v>101496.22349468413</v>
      </c>
      <c r="K56" s="62">
        <f t="shared" si="14"/>
        <v>101496.22349468413</v>
      </c>
      <c r="L56" s="62">
        <f t="shared" si="14"/>
        <v>101496.22349468413</v>
      </c>
      <c r="M56" s="62">
        <f t="shared" si="14"/>
        <v>101496.22349468413</v>
      </c>
      <c r="N56" s="62">
        <f t="shared" si="14"/>
        <v>101496.22349468413</v>
      </c>
      <c r="O56" s="62">
        <f t="shared" si="14"/>
        <v>101496.22349468413</v>
      </c>
      <c r="P56" s="62">
        <f t="shared" si="14"/>
        <v>101496.22349468413</v>
      </c>
      <c r="Q56" s="62">
        <f t="shared" si="14"/>
        <v>101496.22349468413</v>
      </c>
      <c r="R56" s="62">
        <f t="shared" si="14"/>
        <v>101496.22349468413</v>
      </c>
      <c r="S56" s="62">
        <f t="shared" si="14"/>
        <v>101496.22349468413</v>
      </c>
      <c r="T56" s="62">
        <f t="shared" si="14"/>
        <v>101496.22349468413</v>
      </c>
      <c r="U56" s="62">
        <f t="shared" si="14"/>
        <v>101496.22349468413</v>
      </c>
      <c r="V56" s="62">
        <f t="shared" si="14"/>
        <v>101496.22349468413</v>
      </c>
      <c r="W56" s="62">
        <f t="shared" si="14"/>
        <v>101496.22349468413</v>
      </c>
      <c r="X56" s="62">
        <f t="shared" si="14"/>
        <v>101496.22349468413</v>
      </c>
      <c r="Y56" s="62">
        <f t="shared" si="14"/>
        <v>101496.22349468413</v>
      </c>
      <c r="Z56" s="62">
        <f t="shared" si="14"/>
        <v>101496.22349468413</v>
      </c>
      <c r="AA56" s="62">
        <f t="shared" si="14"/>
        <v>101496.22349468413</v>
      </c>
      <c r="AB56" s="62">
        <f t="shared" si="14"/>
        <v>101496.22349468413</v>
      </c>
      <c r="AC56" s="62">
        <f t="shared" si="14"/>
        <v>101496.22349468413</v>
      </c>
    </row>
    <row r="57" spans="1:33" x14ac:dyDescent="0.25">
      <c r="A57" s="30" t="str">
        <f>A40</f>
        <v>Fuel Cost</v>
      </c>
      <c r="B57" s="62">
        <f>B39*B40*B47</f>
        <v>2437507.052101518</v>
      </c>
      <c r="C57" s="62">
        <f t="shared" ref="C57:AC57" si="15">C39*C40*C47</f>
        <v>2437338.7839329462</v>
      </c>
      <c r="D57" s="62">
        <f t="shared" si="15"/>
        <v>2437097.9117975063</v>
      </c>
      <c r="E57" s="62">
        <f t="shared" si="15"/>
        <v>2436753.3272688738</v>
      </c>
      <c r="F57" s="62">
        <f t="shared" si="15"/>
        <v>2436260.8399411063</v>
      </c>
      <c r="G57" s="62">
        <f t="shared" si="15"/>
        <v>2435557.9540934572</v>
      </c>
      <c r="H57" s="62">
        <f t="shared" si="15"/>
        <v>2434556.8722096309</v>
      </c>
      <c r="I57" s="62">
        <f t="shared" si="15"/>
        <v>2433135.479441477</v>
      </c>
      <c r="J57" s="62">
        <f t="shared" si="15"/>
        <v>2431126.4773508143</v>
      </c>
      <c r="K57" s="62">
        <f t="shared" si="15"/>
        <v>2428305.8746609245</v>
      </c>
      <c r="L57" s="62">
        <f t="shared" si="15"/>
        <v>2424384.2130114948</v>
      </c>
      <c r="M57" s="62">
        <f t="shared" si="15"/>
        <v>2419007.7615997801</v>
      </c>
      <c r="N57" s="62">
        <f t="shared" si="15"/>
        <v>2411782.387019678</v>
      </c>
      <c r="O57" s="62">
        <f t="shared" si="15"/>
        <v>2402337.4266037703</v>
      </c>
      <c r="P57" s="62">
        <f t="shared" si="15"/>
        <v>2390443.0953654484</v>
      </c>
      <c r="Q57" s="62">
        <f t="shared" si="15"/>
        <v>2376170.2393062925</v>
      </c>
      <c r="R57" s="62">
        <f t="shared" si="15"/>
        <v>2360030.8697070694</v>
      </c>
      <c r="S57" s="62">
        <f t="shared" si="15"/>
        <v>2342992.6034393362</v>
      </c>
      <c r="T57" s="62">
        <f t="shared" si="15"/>
        <v>2326289.6183825689</v>
      </c>
      <c r="U57" s="62">
        <f t="shared" si="15"/>
        <v>2311084.5472785905</v>
      </c>
      <c r="V57" s="62">
        <f t="shared" si="15"/>
        <v>2298162.4020839729</v>
      </c>
      <c r="W57" s="62">
        <f t="shared" si="15"/>
        <v>2287814.0780081702</v>
      </c>
      <c r="X57" s="62">
        <f t="shared" si="15"/>
        <v>2279917.8474469348</v>
      </c>
      <c r="Y57" s="62">
        <f t="shared" si="15"/>
        <v>2274113.4847058197</v>
      </c>
      <c r="Z57" s="62">
        <f t="shared" si="15"/>
        <v>2269963.4493156904</v>
      </c>
      <c r="AA57" s="62">
        <f t="shared" si="15"/>
        <v>2267054.887382986</v>
      </c>
      <c r="AB57" s="62">
        <f t="shared" si="15"/>
        <v>2265044.8923132992</v>
      </c>
      <c r="AC57" s="62">
        <f t="shared" si="15"/>
        <v>2263669.3525252165</v>
      </c>
    </row>
    <row r="58" spans="1:33" ht="15.75" thickBot="1" x14ac:dyDescent="0.3">
      <c r="A58" s="59" t="str">
        <f>A21</f>
        <v>Emission Cost</v>
      </c>
      <c r="B58" s="62">
        <f>B41*B47</f>
        <v>2192040.4269286273</v>
      </c>
      <c r="C58" s="62">
        <f t="shared" ref="C58:AC58" si="16">C41*C47</f>
        <v>2196694.8550776178</v>
      </c>
      <c r="D58" s="62">
        <f t="shared" si="16"/>
        <v>2203357.5653038691</v>
      </c>
      <c r="E58" s="62">
        <f t="shared" si="16"/>
        <v>2212889.0408252501</v>
      </c>
      <c r="F58" s="62">
        <f t="shared" si="16"/>
        <v>2226511.622569799</v>
      </c>
      <c r="G58" s="62">
        <f t="shared" si="16"/>
        <v>2245953.9906812669</v>
      </c>
      <c r="H58" s="62">
        <f t="shared" si="16"/>
        <v>2273644.6926069986</v>
      </c>
      <c r="I58" s="62">
        <f t="shared" si="16"/>
        <v>2312961.5198299005</v>
      </c>
      <c r="J58" s="62">
        <f t="shared" si="16"/>
        <v>2368532.0770035987</v>
      </c>
      <c r="K58" s="62">
        <f t="shared" si="16"/>
        <v>2446552.1366995717</v>
      </c>
      <c r="L58" s="62">
        <f t="shared" si="16"/>
        <v>2555028.3418356678</v>
      </c>
      <c r="M58" s="62">
        <f t="shared" si="16"/>
        <v>2703745.1609743489</v>
      </c>
      <c r="N58" s="62">
        <f t="shared" si="16"/>
        <v>2903604.6300466633</v>
      </c>
      <c r="O58" s="62">
        <f t="shared" si="16"/>
        <v>3164859.5661340822</v>
      </c>
      <c r="P58" s="62">
        <f t="shared" si="16"/>
        <v>3493866.0003206055</v>
      </c>
      <c r="Q58" s="62">
        <f t="shared" si="16"/>
        <v>3888664.277213261</v>
      </c>
      <c r="R58" s="62">
        <f t="shared" si="16"/>
        <v>4335091.767373505</v>
      </c>
      <c r="S58" s="62">
        <f t="shared" si="16"/>
        <v>4806383.437089771</v>
      </c>
      <c r="T58" s="62">
        <f t="shared" si="16"/>
        <v>5268400.9682723647</v>
      </c>
      <c r="U58" s="62">
        <f t="shared" si="16"/>
        <v>5688985.0368709024</v>
      </c>
      <c r="V58" s="62">
        <f t="shared" si="16"/>
        <v>6046421.6028565438</v>
      </c>
      <c r="W58" s="62">
        <f t="shared" si="16"/>
        <v>6332664.2789489012</v>
      </c>
      <c r="X58" s="62">
        <f t="shared" si="16"/>
        <v>6551080.1451639356</v>
      </c>
      <c r="Y58" s="62">
        <f t="shared" si="16"/>
        <v>6711633.3238097783</v>
      </c>
      <c r="Z58" s="62">
        <f t="shared" si="16"/>
        <v>6826426.5238726102</v>
      </c>
      <c r="AA58" s="62">
        <f t="shared" si="16"/>
        <v>6906879.6044969875</v>
      </c>
      <c r="AB58" s="62">
        <f t="shared" si="16"/>
        <v>6962477.6282412307</v>
      </c>
      <c r="AC58" s="62">
        <f t="shared" si="16"/>
        <v>7000526.1264452087</v>
      </c>
    </row>
    <row r="59" spans="1:33" ht="15.75" thickBot="1" x14ac:dyDescent="0.3">
      <c r="A59" s="31" t="s">
        <v>209</v>
      </c>
      <c r="B59" s="64">
        <f>B50+B51+B52+B53+B54+B55+B56+B57+B58</f>
        <v>7554107.8873571157</v>
      </c>
      <c r="C59" s="64">
        <f t="shared" ref="C59:AC59" si="17">C50+C51+C52+C53+C54+C55+C56+C57+C58</f>
        <v>7558649.792808664</v>
      </c>
      <c r="D59" s="64">
        <f t="shared" si="17"/>
        <v>7565151.4292997681</v>
      </c>
      <c r="E59" s="64">
        <f t="shared" si="17"/>
        <v>7574452.4775158092</v>
      </c>
      <c r="F59" s="64">
        <f t="shared" si="17"/>
        <v>7587745.727794718</v>
      </c>
      <c r="G59" s="64">
        <f t="shared" si="17"/>
        <v>7606718.0687332358</v>
      </c>
      <c r="H59" s="64">
        <f t="shared" si="17"/>
        <v>7633739.3366543995</v>
      </c>
      <c r="I59" s="64">
        <f t="shared" si="17"/>
        <v>7672105.6635553781</v>
      </c>
      <c r="J59" s="64">
        <f t="shared" si="17"/>
        <v>7726332.7798612844</v>
      </c>
      <c r="K59" s="64">
        <f t="shared" si="17"/>
        <v>7802466.6728165597</v>
      </c>
      <c r="L59" s="64">
        <f t="shared" si="17"/>
        <v>7908320.4214833565</v>
      </c>
      <c r="M59" s="64">
        <f t="shared" si="17"/>
        <v>8053441.9509089189</v>
      </c>
      <c r="N59" s="64">
        <f t="shared" si="17"/>
        <v>8248469.735862473</v>
      </c>
      <c r="O59" s="64">
        <f t="shared" si="17"/>
        <v>8503408.7273939475</v>
      </c>
      <c r="P59" s="64">
        <f t="shared" si="17"/>
        <v>8824461.2969454471</v>
      </c>
      <c r="Q59" s="64">
        <f t="shared" si="17"/>
        <v>9209715.164591793</v>
      </c>
      <c r="R59" s="64">
        <f t="shared" si="17"/>
        <v>9645350.0882331878</v>
      </c>
      <c r="S59" s="64">
        <f t="shared" si="17"/>
        <v>10105248.089756288</v>
      </c>
      <c r="T59" s="64">
        <f t="shared" si="17"/>
        <v>10556096.1588245</v>
      </c>
      <c r="U59" s="64">
        <f t="shared" si="17"/>
        <v>10966512.436153084</v>
      </c>
      <c r="V59" s="64">
        <f t="shared" si="17"/>
        <v>11315307.827480584</v>
      </c>
      <c r="W59" s="64">
        <f t="shared" si="17"/>
        <v>11594630.470218474</v>
      </c>
      <c r="X59" s="64">
        <f t="shared" si="17"/>
        <v>11807766.043851051</v>
      </c>
      <c r="Y59" s="64">
        <f t="shared" si="17"/>
        <v>11964437.783968709</v>
      </c>
      <c r="Z59" s="64">
        <f t="shared" si="17"/>
        <v>12076455.811635358</v>
      </c>
      <c r="AA59" s="64">
        <f t="shared" si="17"/>
        <v>12154963.906246502</v>
      </c>
      <c r="AB59" s="64">
        <f t="shared" si="17"/>
        <v>12209217.825107418</v>
      </c>
      <c r="AC59" s="64">
        <f t="shared" si="17"/>
        <v>12246346.485360418</v>
      </c>
    </row>
    <row r="60" spans="1:33" ht="15.75" thickBot="1" x14ac:dyDescent="0.3">
      <c r="AC60" s="32"/>
      <c r="AG60" s="4">
        <f>2600000/1.5</f>
        <v>1733333.3333333333</v>
      </c>
    </row>
    <row r="61" spans="1:33"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c r="AG61" s="40">
        <f>AG60+B50+B51+B52+B53+B57</f>
        <v>5297433.9820318427</v>
      </c>
    </row>
    <row r="62" spans="1:33" x14ac:dyDescent="0.25">
      <c r="A62" s="29" t="str">
        <f t="shared" ref="A62:A69" si="18">A50</f>
        <v>Capex vehicle</v>
      </c>
      <c r="B62" s="65">
        <f>((1+B35)^B42)*B35/(((1+B35)^B42)-1)*(B31)/B47</f>
        <v>9.7783397765342439</v>
      </c>
      <c r="C62" s="65">
        <f t="shared" ref="C62:AC62" si="19">((1+C35)^C42)*C35/(((1+C35)^C42)-1)*(C31)/C47</f>
        <v>9.7783397765342439</v>
      </c>
      <c r="D62" s="65">
        <f t="shared" si="19"/>
        <v>9.7783397765342439</v>
      </c>
      <c r="E62" s="65">
        <f t="shared" si="19"/>
        <v>9.7783397765342439</v>
      </c>
      <c r="F62" s="65">
        <f t="shared" si="19"/>
        <v>9.7783397765342439</v>
      </c>
      <c r="G62" s="65">
        <f t="shared" si="19"/>
        <v>9.7783397765342439</v>
      </c>
      <c r="H62" s="65">
        <f t="shared" si="19"/>
        <v>9.7783397765342439</v>
      </c>
      <c r="I62" s="65">
        <f t="shared" si="19"/>
        <v>9.7783397765342439</v>
      </c>
      <c r="J62" s="65">
        <f t="shared" si="19"/>
        <v>9.7783397765342439</v>
      </c>
      <c r="K62" s="65">
        <f t="shared" si="19"/>
        <v>9.7783397765342439</v>
      </c>
      <c r="L62" s="65">
        <f t="shared" si="19"/>
        <v>9.7783397765342439</v>
      </c>
      <c r="M62" s="65">
        <f t="shared" si="19"/>
        <v>9.7783397765342439</v>
      </c>
      <c r="N62" s="65">
        <f t="shared" si="19"/>
        <v>9.7783397765342439</v>
      </c>
      <c r="O62" s="65">
        <f t="shared" si="19"/>
        <v>9.7783397765342439</v>
      </c>
      <c r="P62" s="65">
        <f t="shared" si="19"/>
        <v>9.7783397765342439</v>
      </c>
      <c r="Q62" s="65">
        <f t="shared" si="19"/>
        <v>9.7783397765342439</v>
      </c>
      <c r="R62" s="65">
        <f t="shared" si="19"/>
        <v>9.7783397765342439</v>
      </c>
      <c r="S62" s="65">
        <f t="shared" si="19"/>
        <v>9.7783397765342439</v>
      </c>
      <c r="T62" s="65">
        <f t="shared" si="19"/>
        <v>9.7783397765342439</v>
      </c>
      <c r="U62" s="65">
        <f t="shared" si="19"/>
        <v>9.7783397765342439</v>
      </c>
      <c r="V62" s="65">
        <f t="shared" si="19"/>
        <v>9.7783397765342439</v>
      </c>
      <c r="W62" s="65">
        <f t="shared" si="19"/>
        <v>9.7783397765342439</v>
      </c>
      <c r="X62" s="65">
        <f t="shared" si="19"/>
        <v>9.7783397765342439</v>
      </c>
      <c r="Y62" s="65">
        <f t="shared" si="19"/>
        <v>9.7783397765342439</v>
      </c>
      <c r="Z62" s="65">
        <f t="shared" si="19"/>
        <v>9.7783397765342439</v>
      </c>
      <c r="AA62" s="65">
        <f t="shared" si="19"/>
        <v>9.7783397765342439</v>
      </c>
      <c r="AB62" s="65">
        <f t="shared" si="19"/>
        <v>9.7783397765342439</v>
      </c>
      <c r="AC62" s="65">
        <f t="shared" si="19"/>
        <v>9.7783397765342439</v>
      </c>
      <c r="AG62" s="4">
        <f>AG61/B27</f>
        <v>44.145283183598686</v>
      </c>
    </row>
    <row r="63" spans="1:33" x14ac:dyDescent="0.25">
      <c r="A63" s="30" t="str">
        <f t="shared" si="18"/>
        <v>Residual value (vehicle)</v>
      </c>
      <c r="B63" s="66">
        <f>((1+B35)^B42)*B35/(((1+B35)^B42)-1)*(B32)/B47</f>
        <v>-0.97676019148470272</v>
      </c>
      <c r="C63" s="66">
        <f t="shared" ref="C63:AC63" si="20">((1+C35)^C42)*C35/(((1+C35)^C42)-1)*(C32)/C47</f>
        <v>-0.97629564589195228</v>
      </c>
      <c r="D63" s="66">
        <f t="shared" si="20"/>
        <v>-0.97563065922284864</v>
      </c>
      <c r="E63" s="66">
        <f t="shared" si="20"/>
        <v>-0.97467934902874298</v>
      </c>
      <c r="F63" s="66">
        <f t="shared" si="20"/>
        <v>-0.97331971684434948</v>
      </c>
      <c r="G63" s="66">
        <f t="shared" si="20"/>
        <v>-0.97137922788852038</v>
      </c>
      <c r="H63" s="66">
        <f t="shared" si="20"/>
        <v>-0.96861549556136939</v>
      </c>
      <c r="I63" s="66">
        <f t="shared" si="20"/>
        <v>-0.96469139184278574</v>
      </c>
      <c r="J63" s="66">
        <f t="shared" si="20"/>
        <v>-0.95914504831885961</v>
      </c>
      <c r="K63" s="66">
        <f t="shared" si="20"/>
        <v>-0.95135808207559314</v>
      </c>
      <c r="L63" s="66">
        <f t="shared" si="20"/>
        <v>-0.94053137224117322</v>
      </c>
      <c r="M63" s="66">
        <f t="shared" si="20"/>
        <v>-0.92568835808620409</v>
      </c>
      <c r="N63" s="66">
        <f t="shared" si="20"/>
        <v>-0.90574093757501994</v>
      </c>
      <c r="O63" s="66">
        <f t="shared" si="20"/>
        <v>-0.87966580540866446</v>
      </c>
      <c r="P63" s="66">
        <f t="shared" si="20"/>
        <v>-0.84682858371450898</v>
      </c>
      <c r="Q63" s="66">
        <f t="shared" si="20"/>
        <v>-0.80742486027411864</v>
      </c>
      <c r="R63" s="66">
        <f t="shared" si="20"/>
        <v>-0.7628681679376812</v>
      </c>
      <c r="S63" s="66">
        <f t="shared" si="20"/>
        <v>-0.71582985064961269</v>
      </c>
      <c r="T63" s="66">
        <f t="shared" si="20"/>
        <v>-0.66971715946306853</v>
      </c>
      <c r="U63" s="66">
        <f t="shared" si="20"/>
        <v>-0.62773982751286628</v>
      </c>
      <c r="V63" s="66">
        <f t="shared" si="20"/>
        <v>-0.59206507304221667</v>
      </c>
      <c r="W63" s="66">
        <f t="shared" si="20"/>
        <v>-0.56349598369776865</v>
      </c>
      <c r="X63" s="66">
        <f t="shared" si="20"/>
        <v>-0.54169650054128426</v>
      </c>
      <c r="Y63" s="66">
        <f t="shared" si="20"/>
        <v>-0.52567213210019181</v>
      </c>
      <c r="Z63" s="66">
        <f t="shared" si="20"/>
        <v>-0.51421494048397043</v>
      </c>
      <c r="AA63" s="66">
        <f t="shared" si="20"/>
        <v>-0.50618514115505298</v>
      </c>
      <c r="AB63" s="66">
        <f t="shared" si="20"/>
        <v>-0.50063605626873253</v>
      </c>
      <c r="AC63" s="66">
        <f t="shared" si="20"/>
        <v>-0.49683854095951707</v>
      </c>
    </row>
    <row r="64" spans="1:33" x14ac:dyDescent="0.25">
      <c r="A64" s="30" t="str">
        <f t="shared" si="18"/>
        <v>Capex costumization</v>
      </c>
      <c r="B64" s="66">
        <f>((1+B35)^B43)*B35/(((1+B35)^B43)-1)*(B33)/B47</f>
        <v>0.65188931843561626</v>
      </c>
      <c r="C64" s="66">
        <f t="shared" ref="C64:AC64" si="21">((1+C35)^C43)*C35/(((1+C35)^C43)-1)*(C33)/C47</f>
        <v>0.65188931843561626</v>
      </c>
      <c r="D64" s="66">
        <f t="shared" si="21"/>
        <v>0.65188931843561626</v>
      </c>
      <c r="E64" s="66">
        <f t="shared" si="21"/>
        <v>0.65188931843561626</v>
      </c>
      <c r="F64" s="66">
        <f t="shared" si="21"/>
        <v>0.65188931843561626</v>
      </c>
      <c r="G64" s="66">
        <f t="shared" si="21"/>
        <v>0.65188931843561626</v>
      </c>
      <c r="H64" s="66">
        <f t="shared" si="21"/>
        <v>0.65188931843561626</v>
      </c>
      <c r="I64" s="66">
        <f t="shared" si="21"/>
        <v>0.65188931843561626</v>
      </c>
      <c r="J64" s="66">
        <f t="shared" si="21"/>
        <v>0.65188931843561626</v>
      </c>
      <c r="K64" s="66">
        <f t="shared" si="21"/>
        <v>0.65188931843561626</v>
      </c>
      <c r="L64" s="66">
        <f t="shared" si="21"/>
        <v>0.65188931843561626</v>
      </c>
      <c r="M64" s="66">
        <f t="shared" si="21"/>
        <v>0.65188931843561626</v>
      </c>
      <c r="N64" s="66">
        <f t="shared" si="21"/>
        <v>0.65188931843561626</v>
      </c>
      <c r="O64" s="66">
        <f t="shared" si="21"/>
        <v>0.65188931843561626</v>
      </c>
      <c r="P64" s="66">
        <f t="shared" si="21"/>
        <v>0.65188931843561626</v>
      </c>
      <c r="Q64" s="66">
        <f t="shared" si="21"/>
        <v>0.65188931843561626</v>
      </c>
      <c r="R64" s="66">
        <f t="shared" si="21"/>
        <v>0.65188931843561626</v>
      </c>
      <c r="S64" s="66">
        <f t="shared" si="21"/>
        <v>0.65188931843561626</v>
      </c>
      <c r="T64" s="66">
        <f t="shared" si="21"/>
        <v>0.65188931843561626</v>
      </c>
      <c r="U64" s="66">
        <f t="shared" si="21"/>
        <v>0.65188931843561626</v>
      </c>
      <c r="V64" s="66">
        <f t="shared" si="21"/>
        <v>0.65188931843561626</v>
      </c>
      <c r="W64" s="66">
        <f t="shared" si="21"/>
        <v>0.65188931843561626</v>
      </c>
      <c r="X64" s="66">
        <f t="shared" si="21"/>
        <v>0.65188931843561626</v>
      </c>
      <c r="Y64" s="66">
        <f t="shared" si="21"/>
        <v>0.65188931843561626</v>
      </c>
      <c r="Z64" s="66">
        <f t="shared" si="21"/>
        <v>0.65188931843561626</v>
      </c>
      <c r="AA64" s="66">
        <f t="shared" si="21"/>
        <v>0.65188931843561626</v>
      </c>
      <c r="AB64" s="66">
        <f t="shared" si="21"/>
        <v>0.65188931843561626</v>
      </c>
      <c r="AC64" s="66">
        <f t="shared" si="21"/>
        <v>0.65188931843561626</v>
      </c>
    </row>
    <row r="65" spans="1:29" x14ac:dyDescent="0.25">
      <c r="A65" s="30" t="str">
        <f t="shared" si="18"/>
        <v>Residual value (costumization)</v>
      </c>
      <c r="B65" s="66">
        <f>((1+B35)^B43)*B35/(((1+B35)^B43)-1)*(B34)/B47</f>
        <v>-6.5188931843561615E-2</v>
      </c>
      <c r="C65" s="66">
        <f t="shared" ref="C65:AC65" si="22">((1+C35)^C43)*C35/(((1+C35)^C43)-1)*(C34)/C47</f>
        <v>-6.5188931843561615E-2</v>
      </c>
      <c r="D65" s="66">
        <f t="shared" si="22"/>
        <v>-6.5188931843561615E-2</v>
      </c>
      <c r="E65" s="66">
        <f t="shared" si="22"/>
        <v>-6.5188931843561615E-2</v>
      </c>
      <c r="F65" s="66">
        <f t="shared" si="22"/>
        <v>-6.5188931843561615E-2</v>
      </c>
      <c r="G65" s="66">
        <f t="shared" si="22"/>
        <v>-6.5188931843561615E-2</v>
      </c>
      <c r="H65" s="66">
        <f t="shared" si="22"/>
        <v>-6.5188931843561615E-2</v>
      </c>
      <c r="I65" s="66">
        <f t="shared" si="22"/>
        <v>-6.5188931843561615E-2</v>
      </c>
      <c r="J65" s="66">
        <f t="shared" si="22"/>
        <v>-6.5188931843561615E-2</v>
      </c>
      <c r="K65" s="66">
        <f t="shared" si="22"/>
        <v>-6.5188931843561615E-2</v>
      </c>
      <c r="L65" s="66">
        <f t="shared" si="22"/>
        <v>-6.5188931843561615E-2</v>
      </c>
      <c r="M65" s="66">
        <f t="shared" si="22"/>
        <v>-6.5188931843561615E-2</v>
      </c>
      <c r="N65" s="66">
        <f t="shared" si="22"/>
        <v>-6.5188931843561615E-2</v>
      </c>
      <c r="O65" s="66">
        <f t="shared" si="22"/>
        <v>-6.5188931843561615E-2</v>
      </c>
      <c r="P65" s="66">
        <f t="shared" si="22"/>
        <v>-6.5188931843561615E-2</v>
      </c>
      <c r="Q65" s="66">
        <f t="shared" si="22"/>
        <v>-6.5188931843561615E-2</v>
      </c>
      <c r="R65" s="66">
        <f t="shared" si="22"/>
        <v>-6.5188931843561615E-2</v>
      </c>
      <c r="S65" s="66">
        <f t="shared" si="22"/>
        <v>-6.5188931843561615E-2</v>
      </c>
      <c r="T65" s="66">
        <f t="shared" si="22"/>
        <v>-6.5188931843561615E-2</v>
      </c>
      <c r="U65" s="66">
        <f t="shared" si="22"/>
        <v>-6.5188931843561615E-2</v>
      </c>
      <c r="V65" s="66">
        <f t="shared" si="22"/>
        <v>-6.5188931843561615E-2</v>
      </c>
      <c r="W65" s="66">
        <f t="shared" si="22"/>
        <v>-6.5188931843561615E-2</v>
      </c>
      <c r="X65" s="66">
        <f t="shared" si="22"/>
        <v>-6.5188931843561615E-2</v>
      </c>
      <c r="Y65" s="66">
        <f t="shared" si="22"/>
        <v>-6.5188931843561615E-2</v>
      </c>
      <c r="Z65" s="66">
        <f t="shared" si="22"/>
        <v>-6.5188931843561615E-2</v>
      </c>
      <c r="AA65" s="66">
        <f t="shared" si="22"/>
        <v>-6.5188931843561615E-2</v>
      </c>
      <c r="AB65" s="66">
        <f t="shared" si="22"/>
        <v>-6.5188931843561615E-2</v>
      </c>
      <c r="AC65" s="66">
        <f t="shared" si="22"/>
        <v>-6.5188931843561615E-2</v>
      </c>
    </row>
    <row r="66" spans="1:29" x14ac:dyDescent="0.25">
      <c r="A66" s="30" t="str">
        <f t="shared" si="18"/>
        <v>Opex fix (admin, crew, insurance)</v>
      </c>
      <c r="B66" s="66">
        <f>B36/B47</f>
        <v>10.068627450980392</v>
      </c>
      <c r="C66" s="66">
        <f t="shared" ref="C66:AC66" si="23">C36/C47</f>
        <v>10.068627450980392</v>
      </c>
      <c r="D66" s="66">
        <f t="shared" si="23"/>
        <v>10.068627450980392</v>
      </c>
      <c r="E66" s="66">
        <f t="shared" si="23"/>
        <v>10.068627450980392</v>
      </c>
      <c r="F66" s="66">
        <f t="shared" si="23"/>
        <v>10.068627450980392</v>
      </c>
      <c r="G66" s="66">
        <f t="shared" si="23"/>
        <v>10.068627450980392</v>
      </c>
      <c r="H66" s="66">
        <f t="shared" si="23"/>
        <v>10.068627450980392</v>
      </c>
      <c r="I66" s="66">
        <f t="shared" si="23"/>
        <v>10.068627450980392</v>
      </c>
      <c r="J66" s="66">
        <f t="shared" si="23"/>
        <v>10.068627450980392</v>
      </c>
      <c r="K66" s="66">
        <f t="shared" si="23"/>
        <v>10.068627450980392</v>
      </c>
      <c r="L66" s="66">
        <f t="shared" si="23"/>
        <v>10.068627450980392</v>
      </c>
      <c r="M66" s="66">
        <f t="shared" si="23"/>
        <v>10.068627450980392</v>
      </c>
      <c r="N66" s="66">
        <f t="shared" si="23"/>
        <v>10.068627450980392</v>
      </c>
      <c r="O66" s="66">
        <f t="shared" si="23"/>
        <v>10.068627450980392</v>
      </c>
      <c r="P66" s="66">
        <f t="shared" si="23"/>
        <v>10.068627450980392</v>
      </c>
      <c r="Q66" s="66">
        <f t="shared" si="23"/>
        <v>10.068627450980392</v>
      </c>
      <c r="R66" s="66">
        <f t="shared" si="23"/>
        <v>10.068627450980392</v>
      </c>
      <c r="S66" s="66">
        <f t="shared" si="23"/>
        <v>10.068627450980392</v>
      </c>
      <c r="T66" s="66">
        <f t="shared" si="23"/>
        <v>10.068627450980392</v>
      </c>
      <c r="U66" s="66">
        <f t="shared" si="23"/>
        <v>10.068627450980392</v>
      </c>
      <c r="V66" s="66">
        <f t="shared" si="23"/>
        <v>10.068627450980392</v>
      </c>
      <c r="W66" s="66">
        <f t="shared" si="23"/>
        <v>10.068627450980392</v>
      </c>
      <c r="X66" s="66">
        <f t="shared" si="23"/>
        <v>10.068627450980392</v>
      </c>
      <c r="Y66" s="66">
        <f t="shared" si="23"/>
        <v>10.068627450980392</v>
      </c>
      <c r="Z66" s="66">
        <f t="shared" si="23"/>
        <v>10.068627450980392</v>
      </c>
      <c r="AA66" s="66">
        <f t="shared" si="23"/>
        <v>10.068627450980392</v>
      </c>
      <c r="AB66" s="66">
        <f t="shared" si="23"/>
        <v>10.068627450980392</v>
      </c>
      <c r="AC66" s="66">
        <f t="shared" si="23"/>
        <v>10.068627450980392</v>
      </c>
    </row>
    <row r="67" spans="1:29" x14ac:dyDescent="0.25">
      <c r="A67" s="30" t="str">
        <f t="shared" si="18"/>
        <v>Opex maintenance &amp; repair</v>
      </c>
      <c r="B67" s="66">
        <f>B37/B47</f>
        <v>4.0686274509803919</v>
      </c>
      <c r="C67" s="66">
        <f t="shared" ref="C67:AC67" si="24">C37/C47</f>
        <v>4.0686274509803919</v>
      </c>
      <c r="D67" s="66">
        <f t="shared" si="24"/>
        <v>4.0686274509803919</v>
      </c>
      <c r="E67" s="66">
        <f t="shared" si="24"/>
        <v>4.0686274509803919</v>
      </c>
      <c r="F67" s="66">
        <f t="shared" si="24"/>
        <v>4.0686274509803919</v>
      </c>
      <c r="G67" s="66">
        <f t="shared" si="24"/>
        <v>4.0686274509803919</v>
      </c>
      <c r="H67" s="66">
        <f t="shared" si="24"/>
        <v>4.0686274509803919</v>
      </c>
      <c r="I67" s="66">
        <f t="shared" si="24"/>
        <v>4.0686274509803919</v>
      </c>
      <c r="J67" s="66">
        <f t="shared" si="24"/>
        <v>4.0686274509803919</v>
      </c>
      <c r="K67" s="66">
        <f t="shared" si="24"/>
        <v>4.0686274509803919</v>
      </c>
      <c r="L67" s="66">
        <f t="shared" si="24"/>
        <v>4.0686274509803919</v>
      </c>
      <c r="M67" s="66">
        <f t="shared" si="24"/>
        <v>4.0686274509803919</v>
      </c>
      <c r="N67" s="66">
        <f t="shared" si="24"/>
        <v>4.0686274509803919</v>
      </c>
      <c r="O67" s="66">
        <f t="shared" si="24"/>
        <v>4.0686274509803919</v>
      </c>
      <c r="P67" s="66">
        <f t="shared" si="24"/>
        <v>4.0686274509803919</v>
      </c>
      <c r="Q67" s="66">
        <f t="shared" si="24"/>
        <v>4.0686274509803919</v>
      </c>
      <c r="R67" s="66">
        <f t="shared" si="24"/>
        <v>4.0686274509803919</v>
      </c>
      <c r="S67" s="66">
        <f t="shared" si="24"/>
        <v>4.0686274509803919</v>
      </c>
      <c r="T67" s="66">
        <f t="shared" si="24"/>
        <v>4.0686274509803919</v>
      </c>
      <c r="U67" s="66">
        <f t="shared" si="24"/>
        <v>4.0686274509803919</v>
      </c>
      <c r="V67" s="66">
        <f t="shared" si="24"/>
        <v>4.0686274509803919</v>
      </c>
      <c r="W67" s="66">
        <f t="shared" si="24"/>
        <v>4.0686274509803919</v>
      </c>
      <c r="X67" s="66">
        <f t="shared" si="24"/>
        <v>4.0686274509803919</v>
      </c>
      <c r="Y67" s="66">
        <f t="shared" si="24"/>
        <v>4.0686274509803919</v>
      </c>
      <c r="Z67" s="66">
        <f t="shared" si="24"/>
        <v>4.0686274509803919</v>
      </c>
      <c r="AA67" s="66">
        <f t="shared" si="24"/>
        <v>4.0686274509803919</v>
      </c>
      <c r="AB67" s="66">
        <f t="shared" si="24"/>
        <v>4.0686274509803919</v>
      </c>
      <c r="AC67" s="66">
        <f t="shared" si="24"/>
        <v>4.0686274509803919</v>
      </c>
    </row>
    <row r="68" spans="1:29" x14ac:dyDescent="0.25">
      <c r="A68" s="30" t="str">
        <f t="shared" si="18"/>
        <v>Opex var (mode-fees)</v>
      </c>
      <c r="B68" s="66">
        <f>B38*B47/B47</f>
        <v>0.8458018624557011</v>
      </c>
      <c r="C68" s="66">
        <f t="shared" ref="C68:AC68" si="25">C38*C47/C47</f>
        <v>0.8458018624557011</v>
      </c>
      <c r="D68" s="66">
        <f t="shared" si="25"/>
        <v>0.8458018624557011</v>
      </c>
      <c r="E68" s="66">
        <f t="shared" si="25"/>
        <v>0.8458018624557011</v>
      </c>
      <c r="F68" s="66">
        <f t="shared" si="25"/>
        <v>0.8458018624557011</v>
      </c>
      <c r="G68" s="66">
        <f t="shared" si="25"/>
        <v>0.8458018624557011</v>
      </c>
      <c r="H68" s="66">
        <f t="shared" si="25"/>
        <v>0.8458018624557011</v>
      </c>
      <c r="I68" s="66">
        <f t="shared" si="25"/>
        <v>0.8458018624557011</v>
      </c>
      <c r="J68" s="66">
        <f t="shared" si="25"/>
        <v>0.8458018624557011</v>
      </c>
      <c r="K68" s="66">
        <f t="shared" si="25"/>
        <v>0.8458018624557011</v>
      </c>
      <c r="L68" s="66">
        <f t="shared" si="25"/>
        <v>0.8458018624557011</v>
      </c>
      <c r="M68" s="66">
        <f t="shared" si="25"/>
        <v>0.8458018624557011</v>
      </c>
      <c r="N68" s="66">
        <f t="shared" si="25"/>
        <v>0.8458018624557011</v>
      </c>
      <c r="O68" s="66">
        <f t="shared" si="25"/>
        <v>0.8458018624557011</v>
      </c>
      <c r="P68" s="66">
        <f t="shared" si="25"/>
        <v>0.8458018624557011</v>
      </c>
      <c r="Q68" s="66">
        <f t="shared" si="25"/>
        <v>0.8458018624557011</v>
      </c>
      <c r="R68" s="66">
        <f t="shared" si="25"/>
        <v>0.8458018624557011</v>
      </c>
      <c r="S68" s="66">
        <f t="shared" si="25"/>
        <v>0.8458018624557011</v>
      </c>
      <c r="T68" s="66">
        <f t="shared" si="25"/>
        <v>0.8458018624557011</v>
      </c>
      <c r="U68" s="66">
        <f t="shared" si="25"/>
        <v>0.8458018624557011</v>
      </c>
      <c r="V68" s="66">
        <f t="shared" si="25"/>
        <v>0.8458018624557011</v>
      </c>
      <c r="W68" s="66">
        <f t="shared" si="25"/>
        <v>0.8458018624557011</v>
      </c>
      <c r="X68" s="66">
        <f t="shared" si="25"/>
        <v>0.8458018624557011</v>
      </c>
      <c r="Y68" s="66">
        <f t="shared" si="25"/>
        <v>0.8458018624557011</v>
      </c>
      <c r="Z68" s="66">
        <f t="shared" si="25"/>
        <v>0.8458018624557011</v>
      </c>
      <c r="AA68" s="66">
        <f t="shared" si="25"/>
        <v>0.8458018624557011</v>
      </c>
      <c r="AB68" s="66">
        <f t="shared" si="25"/>
        <v>0.8458018624557011</v>
      </c>
      <c r="AC68" s="66">
        <f t="shared" si="25"/>
        <v>0.8458018624557011</v>
      </c>
    </row>
    <row r="69" spans="1:29" x14ac:dyDescent="0.25">
      <c r="A69" s="30" t="str">
        <f t="shared" si="18"/>
        <v>Fuel Cost</v>
      </c>
      <c r="B69" s="66">
        <f>B39*B40*B47/B47</f>
        <v>20.312558767512652</v>
      </c>
      <c r="C69" s="66">
        <f t="shared" ref="C69:AC69" si="26">C39*C40*C47/C47</f>
        <v>20.31115653277455</v>
      </c>
      <c r="D69" s="66">
        <f t="shared" si="26"/>
        <v>20.309149264979219</v>
      </c>
      <c r="E69" s="66">
        <f t="shared" si="26"/>
        <v>20.306277727240616</v>
      </c>
      <c r="F69" s="66">
        <f t="shared" si="26"/>
        <v>20.302173666175886</v>
      </c>
      <c r="G69" s="66">
        <f t="shared" si="26"/>
        <v>20.296316284112145</v>
      </c>
      <c r="H69" s="66">
        <f t="shared" si="26"/>
        <v>20.287973935080256</v>
      </c>
      <c r="I69" s="66">
        <f t="shared" si="26"/>
        <v>20.276128995345641</v>
      </c>
      <c r="J69" s="66">
        <f t="shared" si="26"/>
        <v>20.259387311256784</v>
      </c>
      <c r="K69" s="66">
        <f t="shared" si="26"/>
        <v>20.235882288841037</v>
      </c>
      <c r="L69" s="66">
        <f t="shared" si="26"/>
        <v>20.203201775095792</v>
      </c>
      <c r="M69" s="66">
        <f t="shared" si="26"/>
        <v>20.158398013331499</v>
      </c>
      <c r="N69" s="66">
        <f t="shared" si="26"/>
        <v>20.098186558497318</v>
      </c>
      <c r="O69" s="66">
        <f t="shared" si="26"/>
        <v>20.019478555031419</v>
      </c>
      <c r="P69" s="66">
        <f t="shared" si="26"/>
        <v>19.920359128045405</v>
      </c>
      <c r="Q69" s="66">
        <f t="shared" si="26"/>
        <v>19.801418660885769</v>
      </c>
      <c r="R69" s="66">
        <f t="shared" si="26"/>
        <v>19.666923914225578</v>
      </c>
      <c r="S69" s="66">
        <f t="shared" si="26"/>
        <v>19.524938361994469</v>
      </c>
      <c r="T69" s="66">
        <f t="shared" si="26"/>
        <v>19.385746819854742</v>
      </c>
      <c r="U69" s="66">
        <f t="shared" si="26"/>
        <v>19.259037893988253</v>
      </c>
      <c r="V69" s="66">
        <f t="shared" si="26"/>
        <v>19.151353350699775</v>
      </c>
      <c r="W69" s="66">
        <f t="shared" si="26"/>
        <v>19.065117316734753</v>
      </c>
      <c r="X69" s="66">
        <f t="shared" si="26"/>
        <v>18.999315395391122</v>
      </c>
      <c r="Y69" s="66">
        <f t="shared" si="26"/>
        <v>18.950945705881832</v>
      </c>
      <c r="Z69" s="66">
        <f t="shared" si="26"/>
        <v>18.916362077630755</v>
      </c>
      <c r="AA69" s="66">
        <f t="shared" si="26"/>
        <v>18.892124061524882</v>
      </c>
      <c r="AB69" s="66">
        <f t="shared" si="26"/>
        <v>18.875374102610827</v>
      </c>
      <c r="AC69" s="66">
        <f t="shared" si="26"/>
        <v>18.86391127104347</v>
      </c>
    </row>
    <row r="70" spans="1:29" ht="15.75" thickBot="1" x14ac:dyDescent="0.3">
      <c r="A70" s="59" t="str">
        <f>A21</f>
        <v>Emission Cost</v>
      </c>
      <c r="B70" s="66">
        <f>B41</f>
        <v>18.267003557738562</v>
      </c>
      <c r="C70" s="66">
        <f t="shared" ref="C70:AC70" si="27">C41</f>
        <v>18.305790458980148</v>
      </c>
      <c r="D70" s="66">
        <f t="shared" si="27"/>
        <v>18.361313044198909</v>
      </c>
      <c r="E70" s="66">
        <f t="shared" si="27"/>
        <v>18.440742006877084</v>
      </c>
      <c r="F70" s="66">
        <f t="shared" si="27"/>
        <v>18.554263521414992</v>
      </c>
      <c r="G70" s="66">
        <f t="shared" si="27"/>
        <v>18.716283255677226</v>
      </c>
      <c r="H70" s="66">
        <f t="shared" si="27"/>
        <v>18.947039105058323</v>
      </c>
      <c r="I70" s="66">
        <f t="shared" si="27"/>
        <v>19.274679331915838</v>
      </c>
      <c r="J70" s="66">
        <f t="shared" si="27"/>
        <v>19.737767308363324</v>
      </c>
      <c r="K70" s="66">
        <f t="shared" si="27"/>
        <v>20.387934472496433</v>
      </c>
      <c r="L70" s="66">
        <f t="shared" si="27"/>
        <v>21.291902848630563</v>
      </c>
      <c r="M70" s="66">
        <f t="shared" si="27"/>
        <v>22.53120967478624</v>
      </c>
      <c r="N70" s="66">
        <f t="shared" si="27"/>
        <v>24.196705250388863</v>
      </c>
      <c r="O70" s="66">
        <f t="shared" si="27"/>
        <v>26.37382971778402</v>
      </c>
      <c r="P70" s="66">
        <f t="shared" si="27"/>
        <v>29.115550002671711</v>
      </c>
      <c r="Q70" s="66">
        <f t="shared" si="27"/>
        <v>32.405535643443841</v>
      </c>
      <c r="R70" s="66">
        <f t="shared" si="27"/>
        <v>36.125764728112543</v>
      </c>
      <c r="S70" s="66">
        <f t="shared" si="27"/>
        <v>40.053195309081424</v>
      </c>
      <c r="T70" s="66">
        <f t="shared" si="27"/>
        <v>43.903341402269703</v>
      </c>
      <c r="U70" s="66">
        <f t="shared" si="27"/>
        <v>47.40820864059085</v>
      </c>
      <c r="V70" s="66">
        <f t="shared" si="27"/>
        <v>50.386846690471195</v>
      </c>
      <c r="W70" s="66">
        <f t="shared" si="27"/>
        <v>52.772202324574174</v>
      </c>
      <c r="X70" s="66">
        <f t="shared" si="27"/>
        <v>54.592334543032798</v>
      </c>
      <c r="Y70" s="66">
        <f t="shared" si="27"/>
        <v>55.93027769841482</v>
      </c>
      <c r="Z70" s="66">
        <f t="shared" si="27"/>
        <v>56.886887698938416</v>
      </c>
      <c r="AA70" s="66">
        <f t="shared" si="27"/>
        <v>57.557330037474898</v>
      </c>
      <c r="AB70" s="66">
        <f t="shared" si="27"/>
        <v>58.020646902010256</v>
      </c>
      <c r="AC70" s="66">
        <f t="shared" si="27"/>
        <v>58.337717720376737</v>
      </c>
    </row>
    <row r="71" spans="1:29" ht="15.75" thickBot="1" x14ac:dyDescent="0.3">
      <c r="A71" s="31" t="s">
        <v>63</v>
      </c>
      <c r="B71" s="76">
        <f>B62+B63+B64-B65+B66+B67+B68+B69+B70</f>
        <v>63.081276924996416</v>
      </c>
      <c r="C71" s="76">
        <f t="shared" ref="C71:AC71" si="28">C62+C63+C64-C65+C66+C67+C68+C69+C70</f>
        <v>63.119126137092657</v>
      </c>
      <c r="D71" s="76">
        <f t="shared" si="28"/>
        <v>63.173306441185183</v>
      </c>
      <c r="E71" s="76">
        <f t="shared" si="28"/>
        <v>63.250815176318866</v>
      </c>
      <c r="F71" s="76">
        <f t="shared" si="28"/>
        <v>63.36159226197644</v>
      </c>
      <c r="G71" s="76">
        <f t="shared" si="28"/>
        <v>63.519695103130758</v>
      </c>
      <c r="H71" s="76">
        <f t="shared" si="28"/>
        <v>63.744872335807116</v>
      </c>
      <c r="I71" s="76">
        <f t="shared" si="28"/>
        <v>64.064591726648601</v>
      </c>
      <c r="J71" s="76">
        <f t="shared" si="28"/>
        <v>64.516484362531145</v>
      </c>
      <c r="K71" s="76">
        <f t="shared" si="28"/>
        <v>65.150933470491793</v>
      </c>
      <c r="L71" s="76">
        <f t="shared" si="28"/>
        <v>66.03304804271508</v>
      </c>
      <c r="M71" s="76">
        <f t="shared" si="28"/>
        <v>67.242394121261441</v>
      </c>
      <c r="N71" s="76">
        <f t="shared" si="28"/>
        <v>68.867625662541073</v>
      </c>
      <c r="O71" s="76">
        <f t="shared" si="28"/>
        <v>70.992117258636682</v>
      </c>
      <c r="P71" s="76">
        <f t="shared" si="28"/>
        <v>73.667555338232518</v>
      </c>
      <c r="Q71" s="76">
        <f t="shared" si="28"/>
        <v>76.878004235285403</v>
      </c>
      <c r="R71" s="76">
        <f t="shared" si="28"/>
        <v>80.508295265630352</v>
      </c>
      <c r="S71" s="76">
        <f t="shared" si="28"/>
        <v>84.340778611656191</v>
      </c>
      <c r="T71" s="76">
        <f t="shared" si="28"/>
        <v>88.097845853891286</v>
      </c>
      <c r="U71" s="76">
        <f t="shared" si="28"/>
        <v>91.517981498296137</v>
      </c>
      <c r="V71" s="76">
        <f t="shared" si="28"/>
        <v>94.424609759358674</v>
      </c>
      <c r="W71" s="76">
        <f t="shared" si="28"/>
        <v>96.75229844884106</v>
      </c>
      <c r="X71" s="76">
        <f t="shared" si="28"/>
        <v>98.528428229112535</v>
      </c>
      <c r="Y71" s="76">
        <f t="shared" si="28"/>
        <v>99.834026063426364</v>
      </c>
      <c r="Z71" s="76">
        <f t="shared" si="28"/>
        <v>100.76750962731512</v>
      </c>
      <c r="AA71" s="76">
        <f t="shared" si="28"/>
        <v>101.42174374907464</v>
      </c>
      <c r="AB71" s="76">
        <f t="shared" si="28"/>
        <v>101.87385973958226</v>
      </c>
      <c r="AC71" s="76">
        <f t="shared" si="28"/>
        <v>102.18326524169061</v>
      </c>
    </row>
    <row r="72" spans="1:29" ht="15.75" thickBot="1" x14ac:dyDescent="0.3"/>
    <row r="73" spans="1:29" ht="15.75" thickBot="1" x14ac:dyDescent="0.3">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29">A50</f>
        <v>Capex vehicle</v>
      </c>
      <c r="B74" s="65">
        <f>((1+B35)^B42)*B35/(((1+B35)^B42)-1)*(B31)/B47/(B44)</f>
        <v>1.0347449498978036E-3</v>
      </c>
      <c r="C74" s="65">
        <f t="shared" ref="C74:AC74" si="30">((1+C35)^C42)*C35/(((1+C35)^C42)-1)*(C31)/C47/(C44)</f>
        <v>1.0347449498978036E-3</v>
      </c>
      <c r="D74" s="65">
        <f t="shared" si="30"/>
        <v>1.0347449498978036E-3</v>
      </c>
      <c r="E74" s="65">
        <f t="shared" si="30"/>
        <v>1.0347449498978036E-3</v>
      </c>
      <c r="F74" s="65">
        <f t="shared" si="30"/>
        <v>1.0347449498978036E-3</v>
      </c>
      <c r="G74" s="65">
        <f t="shared" si="30"/>
        <v>1.0347449498978036E-3</v>
      </c>
      <c r="H74" s="65">
        <f t="shared" si="30"/>
        <v>1.0347449498978036E-3</v>
      </c>
      <c r="I74" s="65">
        <f t="shared" si="30"/>
        <v>1.0347449498978036E-3</v>
      </c>
      <c r="J74" s="65">
        <f t="shared" si="30"/>
        <v>1.0347449498978036E-3</v>
      </c>
      <c r="K74" s="65">
        <f t="shared" si="30"/>
        <v>1.0347449498978036E-3</v>
      </c>
      <c r="L74" s="65">
        <f t="shared" si="30"/>
        <v>1.0347449498978036E-3</v>
      </c>
      <c r="M74" s="65">
        <f t="shared" si="30"/>
        <v>1.0347449498978036E-3</v>
      </c>
      <c r="N74" s="65">
        <f t="shared" si="30"/>
        <v>1.0347449498978036E-3</v>
      </c>
      <c r="O74" s="65">
        <f t="shared" si="30"/>
        <v>1.0347449498978036E-3</v>
      </c>
      <c r="P74" s="65">
        <f t="shared" si="30"/>
        <v>1.0347449498978036E-3</v>
      </c>
      <c r="Q74" s="65">
        <f t="shared" si="30"/>
        <v>1.0347449498978036E-3</v>
      </c>
      <c r="R74" s="65">
        <f t="shared" si="30"/>
        <v>1.0347449498978036E-3</v>
      </c>
      <c r="S74" s="65">
        <f t="shared" si="30"/>
        <v>1.0347449498978036E-3</v>
      </c>
      <c r="T74" s="65">
        <f t="shared" si="30"/>
        <v>1.0347449498978036E-3</v>
      </c>
      <c r="U74" s="65">
        <f t="shared" si="30"/>
        <v>1.0347449498978036E-3</v>
      </c>
      <c r="V74" s="65">
        <f t="shared" si="30"/>
        <v>1.0347449498978036E-3</v>
      </c>
      <c r="W74" s="65">
        <f t="shared" si="30"/>
        <v>1.0347449498978036E-3</v>
      </c>
      <c r="X74" s="65">
        <f t="shared" si="30"/>
        <v>1.0347449498978036E-3</v>
      </c>
      <c r="Y74" s="65">
        <f t="shared" si="30"/>
        <v>1.0347449498978036E-3</v>
      </c>
      <c r="Z74" s="65">
        <f t="shared" si="30"/>
        <v>1.0347449498978036E-3</v>
      </c>
      <c r="AA74" s="65">
        <f t="shared" si="30"/>
        <v>1.0347449498978036E-3</v>
      </c>
      <c r="AB74" s="65">
        <f t="shared" si="30"/>
        <v>1.0347449498978036E-3</v>
      </c>
      <c r="AC74" s="65">
        <f t="shared" si="30"/>
        <v>1.0347449498978036E-3</v>
      </c>
    </row>
    <row r="75" spans="1:29" x14ac:dyDescent="0.25">
      <c r="A75" s="30" t="str">
        <f t="shared" si="29"/>
        <v>Residual value (vehicle)</v>
      </c>
      <c r="B75" s="68">
        <f>((1+B35)^B42)*B35/(((1+B35)^B42)-1)*(B32)/B47/(B44)</f>
        <v>-1.0336086682377807E-4</v>
      </c>
      <c r="C75" s="68">
        <f t="shared" ref="C75:AC75" si="31">((1+C35)^C42)*C35/(((1+C35)^C42)-1)*(C32)/C47/(C44)</f>
        <v>-1.0331170855999495E-4</v>
      </c>
      <c r="D75" s="68">
        <f t="shared" si="31"/>
        <v>-1.0324133960030145E-4</v>
      </c>
      <c r="E75" s="68">
        <f t="shared" si="31"/>
        <v>-1.0314067185489343E-4</v>
      </c>
      <c r="F75" s="68">
        <f t="shared" si="31"/>
        <v>-1.0299679543326449E-4</v>
      </c>
      <c r="G75" s="68">
        <f t="shared" si="31"/>
        <v>-1.0279145268661591E-4</v>
      </c>
      <c r="H75" s="68">
        <f t="shared" si="31"/>
        <v>-1.0249899423929835E-4</v>
      </c>
      <c r="I75" s="68">
        <f t="shared" si="31"/>
        <v>-1.0208374516854875E-4</v>
      </c>
      <c r="J75" s="68">
        <f t="shared" si="31"/>
        <v>-1.0149683050993223E-4</v>
      </c>
      <c r="K75" s="68">
        <f t="shared" si="31"/>
        <v>-1.0067281291805218E-4</v>
      </c>
      <c r="L75" s="68">
        <f t="shared" si="31"/>
        <v>-9.9527129337690295E-5</v>
      </c>
      <c r="M75" s="68">
        <f t="shared" si="31"/>
        <v>-9.7956440009122124E-5</v>
      </c>
      <c r="N75" s="68">
        <f t="shared" si="31"/>
        <v>-9.5845601859790468E-5</v>
      </c>
      <c r="O75" s="68">
        <f t="shared" si="31"/>
        <v>-9.3086328614673487E-5</v>
      </c>
      <c r="P75" s="68">
        <f t="shared" si="31"/>
        <v>-8.9611490340159677E-5</v>
      </c>
      <c r="Q75" s="68">
        <f t="shared" si="31"/>
        <v>-8.5441784155991385E-5</v>
      </c>
      <c r="R75" s="68">
        <f t="shared" si="31"/>
        <v>-8.0726790257955685E-5</v>
      </c>
      <c r="S75" s="68">
        <f t="shared" si="31"/>
        <v>-7.5749190544932557E-5</v>
      </c>
      <c r="T75" s="68">
        <f t="shared" si="31"/>
        <v>-7.086954068392259E-5</v>
      </c>
      <c r="U75" s="68">
        <f t="shared" si="31"/>
        <v>-6.6427494974906487E-5</v>
      </c>
      <c r="V75" s="68">
        <f t="shared" si="31"/>
        <v>-6.2652388681716054E-5</v>
      </c>
      <c r="W75" s="68">
        <f t="shared" si="31"/>
        <v>-5.9629204624102501E-5</v>
      </c>
      <c r="X75" s="68">
        <f t="shared" si="31"/>
        <v>-5.7322381009659713E-5</v>
      </c>
      <c r="Y75" s="68">
        <f t="shared" si="31"/>
        <v>-5.5626680645522941E-5</v>
      </c>
      <c r="Z75" s="68">
        <f t="shared" si="31"/>
        <v>-5.4414279416293167E-5</v>
      </c>
      <c r="AA75" s="68">
        <f t="shared" si="31"/>
        <v>-5.3564565201592909E-5</v>
      </c>
      <c r="AB75" s="68">
        <f t="shared" si="31"/>
        <v>-5.2977360451717727E-5</v>
      </c>
      <c r="AC75" s="68">
        <f t="shared" si="31"/>
        <v>-5.2575506979843073E-5</v>
      </c>
    </row>
    <row r="76" spans="1:29" x14ac:dyDescent="0.25">
      <c r="A76" s="30" t="str">
        <f t="shared" si="29"/>
        <v>Capex costumization</v>
      </c>
      <c r="B76" s="66">
        <f>((1+B35)^B43)*B35/(((1+B35)^B43)-1)*(B33)/B47/(B44)</f>
        <v>6.8982996659853576E-5</v>
      </c>
      <c r="C76" s="66">
        <f t="shared" ref="C76:AC76" si="32">((1+C35)^C43)*C35/(((1+C35)^C43)-1)*(C33)/C47/(C44)</f>
        <v>6.8982996659853576E-5</v>
      </c>
      <c r="D76" s="66">
        <f t="shared" si="32"/>
        <v>6.8982996659853576E-5</v>
      </c>
      <c r="E76" s="66">
        <f t="shared" si="32"/>
        <v>6.8982996659853576E-5</v>
      </c>
      <c r="F76" s="66">
        <f t="shared" si="32"/>
        <v>6.8982996659853576E-5</v>
      </c>
      <c r="G76" s="66">
        <f t="shared" si="32"/>
        <v>6.8982996659853576E-5</v>
      </c>
      <c r="H76" s="66">
        <f t="shared" si="32"/>
        <v>6.8982996659853576E-5</v>
      </c>
      <c r="I76" s="66">
        <f t="shared" si="32"/>
        <v>6.8982996659853576E-5</v>
      </c>
      <c r="J76" s="66">
        <f t="shared" si="32"/>
        <v>6.8982996659853576E-5</v>
      </c>
      <c r="K76" s="66">
        <f t="shared" si="32"/>
        <v>6.8982996659853576E-5</v>
      </c>
      <c r="L76" s="66">
        <f t="shared" si="32"/>
        <v>6.8982996659853576E-5</v>
      </c>
      <c r="M76" s="66">
        <f t="shared" si="32"/>
        <v>6.8982996659853576E-5</v>
      </c>
      <c r="N76" s="66">
        <f t="shared" si="32"/>
        <v>6.8982996659853576E-5</v>
      </c>
      <c r="O76" s="66">
        <f t="shared" si="32"/>
        <v>6.8982996659853576E-5</v>
      </c>
      <c r="P76" s="66">
        <f t="shared" si="32"/>
        <v>6.8982996659853576E-5</v>
      </c>
      <c r="Q76" s="66">
        <f t="shared" si="32"/>
        <v>6.8982996659853576E-5</v>
      </c>
      <c r="R76" s="66">
        <f t="shared" si="32"/>
        <v>6.8982996659853576E-5</v>
      </c>
      <c r="S76" s="66">
        <f t="shared" si="32"/>
        <v>6.8982996659853576E-5</v>
      </c>
      <c r="T76" s="66">
        <f t="shared" si="32"/>
        <v>6.8982996659853576E-5</v>
      </c>
      <c r="U76" s="66">
        <f t="shared" si="32"/>
        <v>6.8982996659853576E-5</v>
      </c>
      <c r="V76" s="66">
        <f t="shared" si="32"/>
        <v>6.8982996659853576E-5</v>
      </c>
      <c r="W76" s="66">
        <f t="shared" si="32"/>
        <v>6.8982996659853576E-5</v>
      </c>
      <c r="X76" s="66">
        <f t="shared" si="32"/>
        <v>6.8982996659853576E-5</v>
      </c>
      <c r="Y76" s="66">
        <f t="shared" si="32"/>
        <v>6.8982996659853576E-5</v>
      </c>
      <c r="Z76" s="66">
        <f t="shared" si="32"/>
        <v>6.8982996659853576E-5</v>
      </c>
      <c r="AA76" s="66">
        <f t="shared" si="32"/>
        <v>6.8982996659853576E-5</v>
      </c>
      <c r="AB76" s="66">
        <f t="shared" si="32"/>
        <v>6.8982996659853576E-5</v>
      </c>
      <c r="AC76" s="66">
        <f t="shared" si="32"/>
        <v>6.8982996659853576E-5</v>
      </c>
    </row>
    <row r="77" spans="1:29" x14ac:dyDescent="0.25">
      <c r="A77" s="30" t="str">
        <f t="shared" si="29"/>
        <v>Residual value (costumization)</v>
      </c>
      <c r="B77" s="69">
        <f>((1+B35)^B43)*B35/(((1+B35)^B43)-1)*(B34)/B47/(B44)</f>
        <v>-6.8982996659853564E-6</v>
      </c>
      <c r="C77" s="69">
        <f t="shared" ref="C77:AC77" si="33">((1+C35)^C43)*C35/(((1+C35)^C43)-1)*(C34)/C47/(C44)</f>
        <v>-6.8982996659853564E-6</v>
      </c>
      <c r="D77" s="69">
        <f t="shared" si="33"/>
        <v>-6.8982996659853564E-6</v>
      </c>
      <c r="E77" s="69">
        <f t="shared" si="33"/>
        <v>-6.8982996659853564E-6</v>
      </c>
      <c r="F77" s="69">
        <f t="shared" si="33"/>
        <v>-6.8982996659853564E-6</v>
      </c>
      <c r="G77" s="69">
        <f t="shared" si="33"/>
        <v>-6.8982996659853564E-6</v>
      </c>
      <c r="H77" s="69">
        <f t="shared" si="33"/>
        <v>-6.8982996659853564E-6</v>
      </c>
      <c r="I77" s="69">
        <f t="shared" si="33"/>
        <v>-6.8982996659853564E-6</v>
      </c>
      <c r="J77" s="69">
        <f t="shared" si="33"/>
        <v>-6.8982996659853564E-6</v>
      </c>
      <c r="K77" s="69">
        <f t="shared" si="33"/>
        <v>-6.8982996659853564E-6</v>
      </c>
      <c r="L77" s="69">
        <f t="shared" si="33"/>
        <v>-6.8982996659853564E-6</v>
      </c>
      <c r="M77" s="69">
        <f t="shared" si="33"/>
        <v>-6.8982996659853564E-6</v>
      </c>
      <c r="N77" s="69">
        <f t="shared" si="33"/>
        <v>-6.8982996659853564E-6</v>
      </c>
      <c r="O77" s="69">
        <f t="shared" si="33"/>
        <v>-6.8982996659853564E-6</v>
      </c>
      <c r="P77" s="69">
        <f t="shared" si="33"/>
        <v>-6.8982996659853564E-6</v>
      </c>
      <c r="Q77" s="69">
        <f t="shared" si="33"/>
        <v>-6.8982996659853564E-6</v>
      </c>
      <c r="R77" s="69">
        <f t="shared" si="33"/>
        <v>-6.8982996659853564E-6</v>
      </c>
      <c r="S77" s="69">
        <f t="shared" si="33"/>
        <v>-6.8982996659853564E-6</v>
      </c>
      <c r="T77" s="69">
        <f t="shared" si="33"/>
        <v>-6.8982996659853564E-6</v>
      </c>
      <c r="U77" s="69">
        <f t="shared" si="33"/>
        <v>-6.8982996659853564E-6</v>
      </c>
      <c r="V77" s="69">
        <f t="shared" si="33"/>
        <v>-6.8982996659853564E-6</v>
      </c>
      <c r="W77" s="69">
        <f t="shared" si="33"/>
        <v>-6.8982996659853564E-6</v>
      </c>
      <c r="X77" s="69">
        <f t="shared" si="33"/>
        <v>-6.8982996659853564E-6</v>
      </c>
      <c r="Y77" s="69">
        <f t="shared" si="33"/>
        <v>-6.8982996659853564E-6</v>
      </c>
      <c r="Z77" s="69">
        <f t="shared" si="33"/>
        <v>-6.8982996659853564E-6</v>
      </c>
      <c r="AA77" s="69">
        <f t="shared" si="33"/>
        <v>-6.8982996659853564E-6</v>
      </c>
      <c r="AB77" s="69">
        <f t="shared" si="33"/>
        <v>-6.8982996659853564E-6</v>
      </c>
      <c r="AC77" s="69">
        <f t="shared" si="33"/>
        <v>-6.8982996659853564E-6</v>
      </c>
    </row>
    <row r="78" spans="1:29" x14ac:dyDescent="0.25">
      <c r="A78" s="30" t="str">
        <f t="shared" si="29"/>
        <v>Opex fix (admin, crew, insurance)</v>
      </c>
      <c r="B78" s="66">
        <f>B36/B47/(B44)</f>
        <v>1.0654632223259673E-3</v>
      </c>
      <c r="C78" s="66">
        <f t="shared" ref="C78:AC78" si="34">C36/C47/(C44)</f>
        <v>1.0654632223259673E-3</v>
      </c>
      <c r="D78" s="66">
        <f t="shared" si="34"/>
        <v>1.0654632223259673E-3</v>
      </c>
      <c r="E78" s="66">
        <f t="shared" si="34"/>
        <v>1.0654632223259673E-3</v>
      </c>
      <c r="F78" s="66">
        <f t="shared" si="34"/>
        <v>1.0654632223259673E-3</v>
      </c>
      <c r="G78" s="66">
        <f t="shared" si="34"/>
        <v>1.0654632223259673E-3</v>
      </c>
      <c r="H78" s="66">
        <f t="shared" si="34"/>
        <v>1.0654632223259673E-3</v>
      </c>
      <c r="I78" s="66">
        <f t="shared" si="34"/>
        <v>1.0654632223259673E-3</v>
      </c>
      <c r="J78" s="66">
        <f t="shared" si="34"/>
        <v>1.0654632223259673E-3</v>
      </c>
      <c r="K78" s="66">
        <f t="shared" si="34"/>
        <v>1.0654632223259673E-3</v>
      </c>
      <c r="L78" s="66">
        <f t="shared" si="34"/>
        <v>1.0654632223259673E-3</v>
      </c>
      <c r="M78" s="66">
        <f t="shared" si="34"/>
        <v>1.0654632223259673E-3</v>
      </c>
      <c r="N78" s="66">
        <f t="shared" si="34"/>
        <v>1.0654632223259673E-3</v>
      </c>
      <c r="O78" s="66">
        <f t="shared" si="34"/>
        <v>1.0654632223259673E-3</v>
      </c>
      <c r="P78" s="66">
        <f t="shared" si="34"/>
        <v>1.0654632223259673E-3</v>
      </c>
      <c r="Q78" s="66">
        <f t="shared" si="34"/>
        <v>1.0654632223259673E-3</v>
      </c>
      <c r="R78" s="66">
        <f t="shared" si="34"/>
        <v>1.0654632223259673E-3</v>
      </c>
      <c r="S78" s="66">
        <f t="shared" si="34"/>
        <v>1.0654632223259673E-3</v>
      </c>
      <c r="T78" s="66">
        <f t="shared" si="34"/>
        <v>1.0654632223259673E-3</v>
      </c>
      <c r="U78" s="66">
        <f t="shared" si="34"/>
        <v>1.0654632223259673E-3</v>
      </c>
      <c r="V78" s="66">
        <f t="shared" si="34"/>
        <v>1.0654632223259673E-3</v>
      </c>
      <c r="W78" s="66">
        <f t="shared" si="34"/>
        <v>1.0654632223259673E-3</v>
      </c>
      <c r="X78" s="66">
        <f t="shared" si="34"/>
        <v>1.0654632223259673E-3</v>
      </c>
      <c r="Y78" s="66">
        <f t="shared" si="34"/>
        <v>1.0654632223259673E-3</v>
      </c>
      <c r="Z78" s="66">
        <f t="shared" si="34"/>
        <v>1.0654632223259673E-3</v>
      </c>
      <c r="AA78" s="66">
        <f t="shared" si="34"/>
        <v>1.0654632223259673E-3</v>
      </c>
      <c r="AB78" s="66">
        <f t="shared" si="34"/>
        <v>1.0654632223259673E-3</v>
      </c>
      <c r="AC78" s="66">
        <f t="shared" si="34"/>
        <v>1.0654632223259673E-3</v>
      </c>
    </row>
    <row r="79" spans="1:29" x14ac:dyDescent="0.25">
      <c r="A79" s="30" t="str">
        <f t="shared" si="29"/>
        <v>Opex maintenance &amp; repair</v>
      </c>
      <c r="B79" s="66">
        <f>B37/B47/(B44)</f>
        <v>4.305425874053325E-4</v>
      </c>
      <c r="C79" s="66">
        <f t="shared" ref="C79:AC79" si="35">C37/C47/(C44)</f>
        <v>4.305425874053325E-4</v>
      </c>
      <c r="D79" s="66">
        <f t="shared" si="35"/>
        <v>4.305425874053325E-4</v>
      </c>
      <c r="E79" s="66">
        <f t="shared" si="35"/>
        <v>4.305425874053325E-4</v>
      </c>
      <c r="F79" s="66">
        <f t="shared" si="35"/>
        <v>4.305425874053325E-4</v>
      </c>
      <c r="G79" s="66">
        <f t="shared" si="35"/>
        <v>4.305425874053325E-4</v>
      </c>
      <c r="H79" s="66">
        <f t="shared" si="35"/>
        <v>4.305425874053325E-4</v>
      </c>
      <c r="I79" s="66">
        <f t="shared" si="35"/>
        <v>4.305425874053325E-4</v>
      </c>
      <c r="J79" s="66">
        <f t="shared" si="35"/>
        <v>4.305425874053325E-4</v>
      </c>
      <c r="K79" s="66">
        <f t="shared" si="35"/>
        <v>4.305425874053325E-4</v>
      </c>
      <c r="L79" s="66">
        <f t="shared" si="35"/>
        <v>4.305425874053325E-4</v>
      </c>
      <c r="M79" s="66">
        <f t="shared" si="35"/>
        <v>4.305425874053325E-4</v>
      </c>
      <c r="N79" s="66">
        <f t="shared" si="35"/>
        <v>4.305425874053325E-4</v>
      </c>
      <c r="O79" s="66">
        <f t="shared" si="35"/>
        <v>4.305425874053325E-4</v>
      </c>
      <c r="P79" s="66">
        <f t="shared" si="35"/>
        <v>4.305425874053325E-4</v>
      </c>
      <c r="Q79" s="66">
        <f t="shared" si="35"/>
        <v>4.305425874053325E-4</v>
      </c>
      <c r="R79" s="66">
        <f t="shared" si="35"/>
        <v>4.305425874053325E-4</v>
      </c>
      <c r="S79" s="66">
        <f t="shared" si="35"/>
        <v>4.305425874053325E-4</v>
      </c>
      <c r="T79" s="66">
        <f t="shared" si="35"/>
        <v>4.305425874053325E-4</v>
      </c>
      <c r="U79" s="66">
        <f t="shared" si="35"/>
        <v>4.305425874053325E-4</v>
      </c>
      <c r="V79" s="66">
        <f t="shared" si="35"/>
        <v>4.305425874053325E-4</v>
      </c>
      <c r="W79" s="66">
        <f t="shared" si="35"/>
        <v>4.305425874053325E-4</v>
      </c>
      <c r="X79" s="66">
        <f t="shared" si="35"/>
        <v>4.305425874053325E-4</v>
      </c>
      <c r="Y79" s="66">
        <f t="shared" si="35"/>
        <v>4.305425874053325E-4</v>
      </c>
      <c r="Z79" s="66">
        <f t="shared" si="35"/>
        <v>4.305425874053325E-4</v>
      </c>
      <c r="AA79" s="66">
        <f t="shared" si="35"/>
        <v>4.305425874053325E-4</v>
      </c>
      <c r="AB79" s="66">
        <f t="shared" si="35"/>
        <v>4.305425874053325E-4</v>
      </c>
      <c r="AC79" s="66">
        <f t="shared" si="35"/>
        <v>4.305425874053325E-4</v>
      </c>
    </row>
    <row r="80" spans="1:29" x14ac:dyDescent="0.25">
      <c r="A80" s="30" t="str">
        <f t="shared" si="29"/>
        <v>Opex var (mode-fees)</v>
      </c>
      <c r="B80" s="66">
        <f>B38*B47/B47/(B44)</f>
        <v>8.9502842587904882E-5</v>
      </c>
      <c r="C80" s="66">
        <f t="shared" ref="C80:AC80" si="36">C38*C47/C47/(C44)</f>
        <v>8.9502842587904882E-5</v>
      </c>
      <c r="D80" s="66">
        <f t="shared" si="36"/>
        <v>8.9502842587904882E-5</v>
      </c>
      <c r="E80" s="66">
        <f t="shared" si="36"/>
        <v>8.9502842587904882E-5</v>
      </c>
      <c r="F80" s="66">
        <f t="shared" si="36"/>
        <v>8.9502842587904882E-5</v>
      </c>
      <c r="G80" s="66">
        <f t="shared" si="36"/>
        <v>8.9502842587904882E-5</v>
      </c>
      <c r="H80" s="66">
        <f t="shared" si="36"/>
        <v>8.9502842587904882E-5</v>
      </c>
      <c r="I80" s="66">
        <f t="shared" si="36"/>
        <v>8.9502842587904882E-5</v>
      </c>
      <c r="J80" s="66">
        <f t="shared" si="36"/>
        <v>8.9502842587904882E-5</v>
      </c>
      <c r="K80" s="66">
        <f t="shared" si="36"/>
        <v>8.9502842587904882E-5</v>
      </c>
      <c r="L80" s="66">
        <f t="shared" si="36"/>
        <v>8.9502842587904882E-5</v>
      </c>
      <c r="M80" s="66">
        <f t="shared" si="36"/>
        <v>8.9502842587904882E-5</v>
      </c>
      <c r="N80" s="66">
        <f t="shared" si="36"/>
        <v>8.9502842587904882E-5</v>
      </c>
      <c r="O80" s="66">
        <f t="shared" si="36"/>
        <v>8.9502842587904882E-5</v>
      </c>
      <c r="P80" s="66">
        <f t="shared" si="36"/>
        <v>8.9502842587904882E-5</v>
      </c>
      <c r="Q80" s="66">
        <f t="shared" si="36"/>
        <v>8.9502842587904882E-5</v>
      </c>
      <c r="R80" s="66">
        <f t="shared" si="36"/>
        <v>8.9502842587904882E-5</v>
      </c>
      <c r="S80" s="66">
        <f t="shared" si="36"/>
        <v>8.9502842587904882E-5</v>
      </c>
      <c r="T80" s="66">
        <f t="shared" si="36"/>
        <v>8.9502842587904882E-5</v>
      </c>
      <c r="U80" s="66">
        <f t="shared" si="36"/>
        <v>8.9502842587904882E-5</v>
      </c>
      <c r="V80" s="66">
        <f t="shared" si="36"/>
        <v>8.9502842587904882E-5</v>
      </c>
      <c r="W80" s="66">
        <f t="shared" si="36"/>
        <v>8.9502842587904882E-5</v>
      </c>
      <c r="X80" s="66">
        <f t="shared" si="36"/>
        <v>8.9502842587904882E-5</v>
      </c>
      <c r="Y80" s="66">
        <f t="shared" si="36"/>
        <v>8.9502842587904882E-5</v>
      </c>
      <c r="Z80" s="66">
        <f t="shared" si="36"/>
        <v>8.9502842587904882E-5</v>
      </c>
      <c r="AA80" s="66">
        <f t="shared" si="36"/>
        <v>8.9502842587904882E-5</v>
      </c>
      <c r="AB80" s="66">
        <f t="shared" si="36"/>
        <v>8.9502842587904882E-5</v>
      </c>
      <c r="AC80" s="66">
        <f t="shared" si="36"/>
        <v>8.9502842587904882E-5</v>
      </c>
    </row>
    <row r="81" spans="1:29" x14ac:dyDescent="0.25">
      <c r="A81" s="30" t="str">
        <f t="shared" si="29"/>
        <v>Fuel Cost</v>
      </c>
      <c r="B81" s="66">
        <f>B39*B40*B47/B47/(B44)</f>
        <v>2.1494771182553069E-3</v>
      </c>
      <c r="C81" s="66">
        <f t="shared" ref="C81:AC81" si="37">C39*C40*C47/C47/(C44)</f>
        <v>2.1493287336269364E-3</v>
      </c>
      <c r="D81" s="66">
        <f t="shared" si="37"/>
        <v>2.1491163243364253E-3</v>
      </c>
      <c r="E81" s="66">
        <f t="shared" si="37"/>
        <v>2.14881245790906E-3</v>
      </c>
      <c r="F81" s="66">
        <f t="shared" si="37"/>
        <v>2.1483781657328982E-3</v>
      </c>
      <c r="G81" s="66">
        <f t="shared" si="37"/>
        <v>2.1477583369430842E-3</v>
      </c>
      <c r="H81" s="66">
        <f t="shared" si="37"/>
        <v>2.1468755486857413E-3</v>
      </c>
      <c r="I81" s="66">
        <f t="shared" si="37"/>
        <v>2.1456221159095916E-3</v>
      </c>
      <c r="J81" s="66">
        <f t="shared" si="37"/>
        <v>2.1438505091277019E-3</v>
      </c>
      <c r="K81" s="66">
        <f t="shared" si="37"/>
        <v>2.1413632051683635E-3</v>
      </c>
      <c r="L81" s="66">
        <f t="shared" si="37"/>
        <v>2.1379049497455864E-3</v>
      </c>
      <c r="M81" s="66">
        <f t="shared" si="37"/>
        <v>2.1331638109345504E-3</v>
      </c>
      <c r="N81" s="66">
        <f t="shared" si="37"/>
        <v>2.1267922284124146E-3</v>
      </c>
      <c r="O81" s="66">
        <f t="shared" si="37"/>
        <v>2.118463339156764E-3</v>
      </c>
      <c r="P81" s="66">
        <f t="shared" si="37"/>
        <v>2.1079745109042758E-3</v>
      </c>
      <c r="Q81" s="66">
        <f t="shared" si="37"/>
        <v>2.0953882180831502E-3</v>
      </c>
      <c r="R81" s="66">
        <f t="shared" si="37"/>
        <v>2.0811559697593205E-3</v>
      </c>
      <c r="S81" s="66">
        <f t="shared" si="37"/>
        <v>2.0661310435972982E-3</v>
      </c>
      <c r="T81" s="66">
        <f t="shared" si="37"/>
        <v>2.0514017798788087E-3</v>
      </c>
      <c r="U81" s="66">
        <f t="shared" si="37"/>
        <v>2.037993427935265E-3</v>
      </c>
      <c r="V81" s="66">
        <f t="shared" si="37"/>
        <v>2.0265982381692882E-3</v>
      </c>
      <c r="W81" s="66">
        <f t="shared" si="37"/>
        <v>2.0174727319296035E-3</v>
      </c>
      <c r="X81" s="66">
        <f t="shared" si="37"/>
        <v>2.0105095656498539E-3</v>
      </c>
      <c r="Y81" s="66">
        <f t="shared" si="37"/>
        <v>2.0053910799874954E-3</v>
      </c>
      <c r="Z81" s="66">
        <f t="shared" si="37"/>
        <v>2.0017314367863233E-3</v>
      </c>
      <c r="AA81" s="66">
        <f t="shared" si="37"/>
        <v>1.9991665673571302E-3</v>
      </c>
      <c r="AB81" s="66">
        <f t="shared" si="37"/>
        <v>1.9973940849323628E-3</v>
      </c>
      <c r="AC81" s="66">
        <f t="shared" si="37"/>
        <v>1.9961810868829068E-3</v>
      </c>
    </row>
    <row r="82" spans="1:29" x14ac:dyDescent="0.25">
      <c r="A82" s="59" t="str">
        <f>A45</f>
        <v>Market failure (av. utilization)</v>
      </c>
      <c r="B82" s="66">
        <f t="shared" ref="B82:AC82" si="38">B71/B45-B71/B44</f>
        <v>3.1413023056331849E-3</v>
      </c>
      <c r="C82" s="66">
        <f t="shared" si="38"/>
        <v>3.1431871092234102E-3</v>
      </c>
      <c r="D82" s="66">
        <f t="shared" si="38"/>
        <v>3.1458851635822052E-3</v>
      </c>
      <c r="E82" s="66">
        <f t="shared" si="38"/>
        <v>3.1497449200781234E-3</v>
      </c>
      <c r="F82" s="66">
        <f t="shared" si="38"/>
        <v>3.1552613638083501E-3</v>
      </c>
      <c r="G82" s="66">
        <f t="shared" si="38"/>
        <v>3.1631345211643068E-3</v>
      </c>
      <c r="H82" s="66">
        <f t="shared" si="38"/>
        <v>3.1743478287361137E-3</v>
      </c>
      <c r="I82" s="66">
        <f t="shared" si="38"/>
        <v>3.190269118040389E-3</v>
      </c>
      <c r="J82" s="66">
        <f t="shared" si="38"/>
        <v>3.2127723305337627E-3</v>
      </c>
      <c r="K82" s="66">
        <f t="shared" si="38"/>
        <v>3.2443664348828774E-3</v>
      </c>
      <c r="L82" s="66">
        <f t="shared" si="38"/>
        <v>3.288293708943171E-3</v>
      </c>
      <c r="M82" s="66">
        <f t="shared" si="38"/>
        <v>3.3485163583572442E-3</v>
      </c>
      <c r="N82" s="66">
        <f t="shared" si="38"/>
        <v>3.4294491459715424E-3</v>
      </c>
      <c r="O82" s="66">
        <f t="shared" si="38"/>
        <v>3.5352439344481365E-3</v>
      </c>
      <c r="P82" s="66">
        <f t="shared" si="38"/>
        <v>3.6684745888942421E-3</v>
      </c>
      <c r="Q82" s="66">
        <f t="shared" si="38"/>
        <v>3.8283475498430315E-3</v>
      </c>
      <c r="R82" s="66">
        <f t="shared" si="38"/>
        <v>4.0091276820730954E-3</v>
      </c>
      <c r="S82" s="66">
        <f t="shared" si="38"/>
        <v>4.1999765259461506E-3</v>
      </c>
      <c r="T82" s="66">
        <f t="shared" si="38"/>
        <v>4.3870698215445376E-3</v>
      </c>
      <c r="U82" s="66">
        <f t="shared" si="38"/>
        <v>4.5573846995727897E-3</v>
      </c>
      <c r="V82" s="66">
        <f t="shared" si="38"/>
        <v>4.7021280925917779E-3</v>
      </c>
      <c r="W82" s="66">
        <f t="shared" si="38"/>
        <v>4.8180416283269724E-3</v>
      </c>
      <c r="X82" s="66">
        <f t="shared" si="38"/>
        <v>4.9064888007027702E-3</v>
      </c>
      <c r="Y82" s="66">
        <f t="shared" si="38"/>
        <v>4.9715045658724581E-3</v>
      </c>
      <c r="Z82" s="66">
        <f t="shared" si="38"/>
        <v>5.0179898974075376E-3</v>
      </c>
      <c r="AA82" s="66">
        <f t="shared" si="38"/>
        <v>5.0505692498761072E-3</v>
      </c>
      <c r="AB82" s="66">
        <f t="shared" si="38"/>
        <v>5.0730835849153912E-3</v>
      </c>
      <c r="AC82" s="66">
        <f t="shared" si="38"/>
        <v>5.0884912663151215E-3</v>
      </c>
    </row>
    <row r="83" spans="1:29" x14ac:dyDescent="0.25">
      <c r="A83" s="59" t="str">
        <f>A46</f>
        <v>Payload loss (fuel)</v>
      </c>
      <c r="B83" s="66">
        <f>B71/(B44-B46)-B71/B44</f>
        <v>0</v>
      </c>
      <c r="C83" s="66">
        <f t="shared" ref="C83:AC83" si="39">C71/(C44-C46)-C71/C44</f>
        <v>0</v>
      </c>
      <c r="D83" s="66">
        <f t="shared" si="39"/>
        <v>0</v>
      </c>
      <c r="E83" s="66">
        <f t="shared" si="39"/>
        <v>0</v>
      </c>
      <c r="F83" s="66">
        <f t="shared" si="39"/>
        <v>0</v>
      </c>
      <c r="G83" s="66">
        <f t="shared" si="39"/>
        <v>0</v>
      </c>
      <c r="H83" s="66">
        <f t="shared" si="39"/>
        <v>0</v>
      </c>
      <c r="I83" s="66">
        <f t="shared" si="39"/>
        <v>0</v>
      </c>
      <c r="J83" s="66">
        <f t="shared" si="39"/>
        <v>0</v>
      </c>
      <c r="K83" s="66">
        <f t="shared" si="39"/>
        <v>0</v>
      </c>
      <c r="L83" s="66">
        <f t="shared" si="39"/>
        <v>0</v>
      </c>
      <c r="M83" s="66">
        <f t="shared" si="39"/>
        <v>0</v>
      </c>
      <c r="N83" s="66">
        <f t="shared" si="39"/>
        <v>0</v>
      </c>
      <c r="O83" s="66">
        <f t="shared" si="39"/>
        <v>0</v>
      </c>
      <c r="P83" s="66">
        <f t="shared" si="39"/>
        <v>0</v>
      </c>
      <c r="Q83" s="66">
        <f t="shared" si="39"/>
        <v>0</v>
      </c>
      <c r="R83" s="66">
        <f t="shared" si="39"/>
        <v>0</v>
      </c>
      <c r="S83" s="66">
        <f t="shared" si="39"/>
        <v>0</v>
      </c>
      <c r="T83" s="66">
        <f t="shared" si="39"/>
        <v>0</v>
      </c>
      <c r="U83" s="66">
        <f t="shared" si="39"/>
        <v>0</v>
      </c>
      <c r="V83" s="66">
        <f t="shared" si="39"/>
        <v>0</v>
      </c>
      <c r="W83" s="66">
        <f t="shared" si="39"/>
        <v>0</v>
      </c>
      <c r="X83" s="66">
        <f t="shared" si="39"/>
        <v>0</v>
      </c>
      <c r="Y83" s="66">
        <f t="shared" si="39"/>
        <v>0</v>
      </c>
      <c r="Z83" s="66">
        <f t="shared" si="39"/>
        <v>0</v>
      </c>
      <c r="AA83" s="66">
        <f t="shared" si="39"/>
        <v>0</v>
      </c>
      <c r="AB83" s="66">
        <f t="shared" si="39"/>
        <v>0</v>
      </c>
      <c r="AC83" s="66">
        <f t="shared" si="39"/>
        <v>0</v>
      </c>
    </row>
    <row r="84" spans="1:29" ht="15.75" thickBot="1" x14ac:dyDescent="0.3">
      <c r="A84" s="59" t="str">
        <f>A21</f>
        <v>Emission Cost</v>
      </c>
      <c r="B84" s="68">
        <f>B41*B47/B47/(B44)</f>
        <v>1.9330162494961441E-3</v>
      </c>
      <c r="C84" s="68">
        <f t="shared" ref="C84:AC84" si="40">C41*C47/C47/(C44)</f>
        <v>1.9371206834899628E-3</v>
      </c>
      <c r="D84" s="68">
        <f t="shared" si="40"/>
        <v>1.9429960893332179E-3</v>
      </c>
      <c r="E84" s="68">
        <f t="shared" si="40"/>
        <v>1.9514012705690036E-3</v>
      </c>
      <c r="F84" s="68">
        <f t="shared" si="40"/>
        <v>1.9634141292502638E-3</v>
      </c>
      <c r="G84" s="68">
        <f t="shared" si="40"/>
        <v>1.9805590746748382E-3</v>
      </c>
      <c r="H84" s="68">
        <f t="shared" si="40"/>
        <v>2.0049776830749549E-3</v>
      </c>
      <c r="I84" s="68">
        <f t="shared" si="40"/>
        <v>2.0396486065519404E-3</v>
      </c>
      <c r="J84" s="68">
        <f t="shared" si="40"/>
        <v>2.0886526252236323E-3</v>
      </c>
      <c r="K84" s="68">
        <f t="shared" si="40"/>
        <v>2.1574533833329558E-3</v>
      </c>
      <c r="L84" s="68">
        <f t="shared" si="40"/>
        <v>2.2531114125534991E-3</v>
      </c>
      <c r="M84" s="68">
        <f t="shared" si="40"/>
        <v>2.3842549920408719E-3</v>
      </c>
      <c r="N84" s="68">
        <f t="shared" si="40"/>
        <v>2.5604979100940593E-3</v>
      </c>
      <c r="O84" s="68">
        <f t="shared" si="40"/>
        <v>2.7908814516173566E-3</v>
      </c>
      <c r="P84" s="68">
        <f t="shared" si="40"/>
        <v>3.0810105822933029E-3</v>
      </c>
      <c r="Q84" s="68">
        <f t="shared" si="40"/>
        <v>3.4291572109464382E-3</v>
      </c>
      <c r="R84" s="68">
        <f t="shared" si="40"/>
        <v>3.8228322463611155E-3</v>
      </c>
      <c r="S84" s="68">
        <f t="shared" si="40"/>
        <v>4.2384333660403627E-3</v>
      </c>
      <c r="T84" s="68">
        <f t="shared" si="40"/>
        <v>4.6458562330444131E-3</v>
      </c>
      <c r="U84" s="68">
        <f t="shared" si="40"/>
        <v>5.0167416550889786E-3</v>
      </c>
      <c r="V84" s="68">
        <f t="shared" si="40"/>
        <v>5.3319414487271117E-3</v>
      </c>
      <c r="W84" s="68">
        <f t="shared" si="40"/>
        <v>5.5843600343464736E-3</v>
      </c>
      <c r="X84" s="68">
        <f t="shared" si="40"/>
        <v>5.7769666183103488E-3</v>
      </c>
      <c r="Y84" s="68">
        <f t="shared" si="40"/>
        <v>5.9185479045941606E-3</v>
      </c>
      <c r="Z84" s="68">
        <f t="shared" si="40"/>
        <v>6.0197764760781397E-3</v>
      </c>
      <c r="AA84" s="68">
        <f t="shared" si="40"/>
        <v>6.090722755288349E-3</v>
      </c>
      <c r="AB84" s="68">
        <f t="shared" si="40"/>
        <v>6.1397509949217199E-3</v>
      </c>
      <c r="AC84" s="68">
        <f t="shared" si="40"/>
        <v>6.1733034624737292E-3</v>
      </c>
    </row>
    <row r="85" spans="1:29" ht="15.75" thickBot="1" x14ac:dyDescent="0.3">
      <c r="A85" s="31" t="s">
        <v>210</v>
      </c>
      <c r="B85" s="77">
        <f>B74+B75+B76+B77+B78+B79+B80+B81+B82+B83+B84</f>
        <v>9.8027731057717341E-3</v>
      </c>
      <c r="C85" s="77">
        <f t="shared" ref="C85:AC85" si="41">C74+C75+C76+C77+C78+C79+C80+C81+C82+C83+C84</f>
        <v>9.8086631169911915E-3</v>
      </c>
      <c r="D85" s="77">
        <f t="shared" si="41"/>
        <v>9.8170945368624245E-3</v>
      </c>
      <c r="E85" s="77">
        <f t="shared" si="41"/>
        <v>9.8291562759121702E-3</v>
      </c>
      <c r="F85" s="77">
        <f t="shared" si="41"/>
        <v>9.8463951625691239E-3</v>
      </c>
      <c r="G85" s="77">
        <f t="shared" si="41"/>
        <v>9.8709987793064898E-3</v>
      </c>
      <c r="H85" s="77">
        <f t="shared" si="41"/>
        <v>9.9060403654683896E-3</v>
      </c>
      <c r="I85" s="77">
        <f t="shared" si="41"/>
        <v>9.9557943945442484E-3</v>
      </c>
      <c r="J85" s="77">
        <f t="shared" si="41"/>
        <v>1.002611693358604E-2</v>
      </c>
      <c r="K85" s="77">
        <f t="shared" si="41"/>
        <v>1.0124848509677022E-2</v>
      </c>
      <c r="L85" s="77">
        <f t="shared" si="41"/>
        <v>1.0262121241115443E-2</v>
      </c>
      <c r="M85" s="77">
        <f t="shared" si="41"/>
        <v>1.045031702053442E-2</v>
      </c>
      <c r="N85" s="77">
        <f t="shared" si="41"/>
        <v>1.0703231981829103E-2</v>
      </c>
      <c r="O85" s="77">
        <f t="shared" si="41"/>
        <v>1.1033840695818461E-2</v>
      </c>
      <c r="P85" s="77">
        <f t="shared" si="41"/>
        <v>1.1450186490962537E-2</v>
      </c>
      <c r="Q85" s="77">
        <f t="shared" si="41"/>
        <v>1.1949789493927505E-2</v>
      </c>
      <c r="R85" s="77">
        <f t="shared" si="41"/>
        <v>1.2514727407146452E-2</v>
      </c>
      <c r="S85" s="77">
        <f t="shared" si="41"/>
        <v>1.3111130044249755E-2</v>
      </c>
      <c r="T85" s="77">
        <f t="shared" si="41"/>
        <v>1.3695796592994712E-2</v>
      </c>
      <c r="U85" s="77">
        <f t="shared" si="41"/>
        <v>1.4228030586833005E-2</v>
      </c>
      <c r="V85" s="77">
        <f t="shared" si="41"/>
        <v>1.4680353690017339E-2</v>
      </c>
      <c r="W85" s="77">
        <f t="shared" si="41"/>
        <v>1.5042583489189824E-2</v>
      </c>
      <c r="X85" s="77">
        <f t="shared" si="41"/>
        <v>1.5318980902864189E-2</v>
      </c>
      <c r="Y85" s="77">
        <f t="shared" si="41"/>
        <v>1.5522155169019468E-2</v>
      </c>
      <c r="Z85" s="77">
        <f t="shared" si="41"/>
        <v>1.5667421830066586E-2</v>
      </c>
      <c r="AA85" s="77">
        <f t="shared" si="41"/>
        <v>1.5769232306530871E-2</v>
      </c>
      <c r="AB85" s="77">
        <f t="shared" si="41"/>
        <v>1.5839589603528634E-2</v>
      </c>
      <c r="AC85" s="77">
        <f t="shared" si="41"/>
        <v>1.5887738607902789E-2</v>
      </c>
    </row>
    <row r="87" spans="1:29" x14ac:dyDescent="0.25">
      <c r="B87" s="40"/>
    </row>
    <row r="107" spans="1:2" s="3" customFormat="1" ht="21" x14ac:dyDescent="0.35">
      <c r="A107" s="2" t="str">
        <f>'Parameter Input'!A167</f>
        <v>Short-sea: Container</v>
      </c>
    </row>
    <row r="108" spans="1:2" s="3" customFormat="1" ht="21" x14ac:dyDescent="0.35">
      <c r="A108" s="2" t="s">
        <v>290</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Input'!$L$168</f>
        <v>15000000</v>
      </c>
      <c r="C117" s="42">
        <f>'Parameter Input'!$M$168</f>
        <v>15000000</v>
      </c>
      <c r="D117" s="1" t="s">
        <v>15</v>
      </c>
      <c r="L117" s="51">
        <f>'Parameter Input'!$O$156</f>
        <v>17</v>
      </c>
      <c r="M117" s="52">
        <v>0</v>
      </c>
      <c r="N117" s="52">
        <v>1</v>
      </c>
      <c r="O117" s="52">
        <f>'Parameter Input'!$P$156</f>
        <v>0.9</v>
      </c>
      <c r="P117" s="53">
        <f>'Parameter Input'!$Q$156</f>
        <v>0.4</v>
      </c>
      <c r="Q117" s="4">
        <f t="shared" ref="Q117:AR126" si="42">$N117+($M117-$N117)*((1/(1+EXP(-$P117*(Q$9-$L117)))^$O117))</f>
        <v>0.99780374543478534</v>
      </c>
      <c r="R117" s="4">
        <f t="shared" si="42"/>
        <v>0.99685359315256394</v>
      </c>
      <c r="S117" s="4">
        <f t="shared" si="42"/>
        <v>0.99549347132349975</v>
      </c>
      <c r="T117" s="4">
        <f t="shared" si="42"/>
        <v>0.99354772139898062</v>
      </c>
      <c r="U117" s="4">
        <f t="shared" si="42"/>
        <v>0.99076681540580536</v>
      </c>
      <c r="V117" s="4">
        <f t="shared" si="42"/>
        <v>0.9867978615748374</v>
      </c>
      <c r="W117" s="4">
        <f t="shared" si="42"/>
        <v>0.98114509762858249</v>
      </c>
      <c r="X117" s="4">
        <f t="shared" si="42"/>
        <v>0.97311898315872036</v>
      </c>
      <c r="Y117" s="4">
        <f t="shared" si="42"/>
        <v>0.96177484161592774</v>
      </c>
      <c r="Z117" s="4">
        <f t="shared" si="42"/>
        <v>0.94584787155511363</v>
      </c>
      <c r="AA117" s="4">
        <f t="shared" si="42"/>
        <v>0.92370360150141495</v>
      </c>
      <c r="AB117" s="4">
        <f t="shared" si="42"/>
        <v>0.89334463567658451</v>
      </c>
      <c r="AC117" s="4">
        <f t="shared" si="42"/>
        <v>0.85254543874327005</v>
      </c>
      <c r="AD117" s="4">
        <f t="shared" si="42"/>
        <v>0.79921300652623883</v>
      </c>
      <c r="AE117" s="4">
        <f t="shared" si="42"/>
        <v>0.73204982249993378</v>
      </c>
      <c r="AF117" s="4">
        <f t="shared" si="42"/>
        <v>0.65145592958786691</v>
      </c>
      <c r="AG117" s="4">
        <f t="shared" si="42"/>
        <v>0.56032247880849573</v>
      </c>
      <c r="AH117" s="4">
        <f t="shared" si="42"/>
        <v>0.46411326873185343</v>
      </c>
      <c r="AI117" s="4">
        <f t="shared" si="42"/>
        <v>0.36979727595523937</v>
      </c>
      <c r="AJ117" s="4">
        <f t="shared" si="42"/>
        <v>0.28393948637231203</v>
      </c>
      <c r="AK117" s="4">
        <f t="shared" si="42"/>
        <v>0.21097259161117732</v>
      </c>
      <c r="AL117" s="4">
        <f t="shared" si="42"/>
        <v>0.15253917653798199</v>
      </c>
      <c r="AM117" s="4">
        <f t="shared" si="42"/>
        <v>0.10795188737709993</v>
      </c>
      <c r="AN117" s="4">
        <f t="shared" si="42"/>
        <v>7.5176653938091809E-2</v>
      </c>
      <c r="AO117" s="4">
        <f t="shared" si="42"/>
        <v>5.1742836177502194E-2</v>
      </c>
      <c r="AP117" s="4">
        <f t="shared" si="42"/>
        <v>3.5319190625345942E-2</v>
      </c>
      <c r="AQ117" s="4">
        <f t="shared" si="42"/>
        <v>2.3969442072658165E-2</v>
      </c>
      <c r="AR117" s="4">
        <f t="shared" si="42"/>
        <v>1.6202243558389728E-2</v>
      </c>
    </row>
    <row r="118" spans="1:44" x14ac:dyDescent="0.25">
      <c r="A118" s="24" t="s">
        <v>28</v>
      </c>
      <c r="B118" s="60">
        <f>'Parameter Input'!$L$169</f>
        <v>-1500000</v>
      </c>
      <c r="C118" s="61">
        <f>'Parameter Input'!$M$169</f>
        <v>-750000</v>
      </c>
      <c r="D118" s="1" t="s">
        <v>15</v>
      </c>
      <c r="L118" s="54">
        <f>'Parameter Input'!$O$157</f>
        <v>17</v>
      </c>
      <c r="M118" s="37">
        <v>0</v>
      </c>
      <c r="N118" s="37">
        <v>1</v>
      </c>
      <c r="O118" s="37">
        <f>'Parameter Input'!$P$157</f>
        <v>0.9</v>
      </c>
      <c r="P118" s="55">
        <f>'Parameter Input'!$Q$157</f>
        <v>0.4</v>
      </c>
      <c r="Q118" s="4">
        <f t="shared" si="42"/>
        <v>0.99780374543478534</v>
      </c>
      <c r="R118" s="4">
        <f t="shared" si="42"/>
        <v>0.99685359315256394</v>
      </c>
      <c r="S118" s="4">
        <f t="shared" si="42"/>
        <v>0.99549347132349975</v>
      </c>
      <c r="T118" s="4">
        <f t="shared" si="42"/>
        <v>0.99354772139898062</v>
      </c>
      <c r="U118" s="4">
        <f t="shared" si="42"/>
        <v>0.99076681540580536</v>
      </c>
      <c r="V118" s="4">
        <f t="shared" si="42"/>
        <v>0.9867978615748374</v>
      </c>
      <c r="W118" s="4">
        <f t="shared" si="42"/>
        <v>0.98114509762858249</v>
      </c>
      <c r="X118" s="4">
        <f t="shared" si="42"/>
        <v>0.97311898315872036</v>
      </c>
      <c r="Y118" s="4">
        <f t="shared" si="42"/>
        <v>0.96177484161592774</v>
      </c>
      <c r="Z118" s="4">
        <f t="shared" si="42"/>
        <v>0.94584787155511363</v>
      </c>
      <c r="AA118" s="4">
        <f t="shared" si="42"/>
        <v>0.92370360150141495</v>
      </c>
      <c r="AB118" s="4">
        <f t="shared" si="42"/>
        <v>0.89334463567658451</v>
      </c>
      <c r="AC118" s="4">
        <f t="shared" si="42"/>
        <v>0.85254543874327005</v>
      </c>
      <c r="AD118" s="4">
        <f t="shared" si="42"/>
        <v>0.79921300652623883</v>
      </c>
      <c r="AE118" s="4">
        <f t="shared" si="42"/>
        <v>0.73204982249993378</v>
      </c>
      <c r="AF118" s="4">
        <f t="shared" si="42"/>
        <v>0.65145592958786691</v>
      </c>
      <c r="AG118" s="4">
        <f t="shared" si="42"/>
        <v>0.56032247880849573</v>
      </c>
      <c r="AH118" s="4">
        <f t="shared" si="42"/>
        <v>0.46411326873185343</v>
      </c>
      <c r="AI118" s="4">
        <f t="shared" si="42"/>
        <v>0.36979727595523937</v>
      </c>
      <c r="AJ118" s="4">
        <f t="shared" si="42"/>
        <v>0.28393948637231203</v>
      </c>
      <c r="AK118" s="4">
        <f t="shared" si="42"/>
        <v>0.21097259161117732</v>
      </c>
      <c r="AL118" s="4">
        <f t="shared" si="42"/>
        <v>0.15253917653798199</v>
      </c>
      <c r="AM118" s="4">
        <f t="shared" si="42"/>
        <v>0.10795188737709993</v>
      </c>
      <c r="AN118" s="4">
        <f t="shared" si="42"/>
        <v>7.5176653938091809E-2</v>
      </c>
      <c r="AO118" s="4">
        <f t="shared" si="42"/>
        <v>5.1742836177502194E-2</v>
      </c>
      <c r="AP118" s="4">
        <f t="shared" si="42"/>
        <v>3.5319190625345942E-2</v>
      </c>
      <c r="AQ118" s="4">
        <f t="shared" si="42"/>
        <v>2.3969442072658165E-2</v>
      </c>
      <c r="AR118" s="4">
        <f t="shared" si="42"/>
        <v>1.6202243558389728E-2</v>
      </c>
    </row>
    <row r="119" spans="1:44" x14ac:dyDescent="0.25">
      <c r="A119" s="24" t="s">
        <v>14</v>
      </c>
      <c r="B119" s="60">
        <f>'Parameter Input'!B168</f>
        <v>5000000</v>
      </c>
      <c r="C119" s="61">
        <f>'Parameter Input'!C168</f>
        <v>5000000</v>
      </c>
      <c r="D119" s="1" t="s">
        <v>15</v>
      </c>
      <c r="L119" s="54">
        <f>'Parameter Input'!E168</f>
        <v>17</v>
      </c>
      <c r="M119" s="37">
        <v>0</v>
      </c>
      <c r="N119" s="37">
        <v>1</v>
      </c>
      <c r="O119" s="37">
        <f>'Parameter Input'!F168</f>
        <v>0.9</v>
      </c>
      <c r="P119" s="55">
        <f>'Parameter Input'!G168</f>
        <v>0.4</v>
      </c>
      <c r="Q119" s="4">
        <f t="shared" si="42"/>
        <v>0.99780374543478534</v>
      </c>
      <c r="R119" s="4">
        <f t="shared" si="42"/>
        <v>0.99685359315256394</v>
      </c>
      <c r="S119" s="4">
        <f t="shared" si="42"/>
        <v>0.99549347132349975</v>
      </c>
      <c r="T119" s="4">
        <f t="shared" si="42"/>
        <v>0.99354772139898062</v>
      </c>
      <c r="U119" s="4">
        <f t="shared" si="42"/>
        <v>0.99076681540580536</v>
      </c>
      <c r="V119" s="4">
        <f t="shared" si="42"/>
        <v>0.9867978615748374</v>
      </c>
      <c r="W119" s="4">
        <f t="shared" si="42"/>
        <v>0.98114509762858249</v>
      </c>
      <c r="X119" s="4">
        <f t="shared" si="42"/>
        <v>0.97311898315872036</v>
      </c>
      <c r="Y119" s="4">
        <f t="shared" si="42"/>
        <v>0.96177484161592774</v>
      </c>
      <c r="Z119" s="4">
        <f t="shared" si="42"/>
        <v>0.94584787155511363</v>
      </c>
      <c r="AA119" s="4">
        <f t="shared" si="42"/>
        <v>0.92370360150141495</v>
      </c>
      <c r="AB119" s="4">
        <f t="shared" si="42"/>
        <v>0.89334463567658451</v>
      </c>
      <c r="AC119" s="4">
        <f t="shared" si="42"/>
        <v>0.85254543874327005</v>
      </c>
      <c r="AD119" s="4">
        <f t="shared" si="42"/>
        <v>0.79921300652623883</v>
      </c>
      <c r="AE119" s="4">
        <f t="shared" si="42"/>
        <v>0.73204982249993378</v>
      </c>
      <c r="AF119" s="4">
        <f t="shared" si="42"/>
        <v>0.65145592958786691</v>
      </c>
      <c r="AG119" s="4">
        <f t="shared" si="42"/>
        <v>0.56032247880849573</v>
      </c>
      <c r="AH119" s="4">
        <f t="shared" si="42"/>
        <v>0.46411326873185343</v>
      </c>
      <c r="AI119" s="4">
        <f t="shared" si="42"/>
        <v>0.36979727595523937</v>
      </c>
      <c r="AJ119" s="4">
        <f t="shared" si="42"/>
        <v>0.28393948637231203</v>
      </c>
      <c r="AK119" s="4">
        <f t="shared" si="42"/>
        <v>0.21097259161117732</v>
      </c>
      <c r="AL119" s="4">
        <f t="shared" si="42"/>
        <v>0.15253917653798199</v>
      </c>
      <c r="AM119" s="4">
        <f t="shared" si="42"/>
        <v>0.10795188737709993</v>
      </c>
      <c r="AN119" s="4">
        <f t="shared" si="42"/>
        <v>7.5176653938091809E-2</v>
      </c>
      <c r="AO119" s="4">
        <f t="shared" si="42"/>
        <v>5.1742836177502194E-2</v>
      </c>
      <c r="AP119" s="4">
        <f t="shared" si="42"/>
        <v>3.5319190625345942E-2</v>
      </c>
      <c r="AQ119" s="4">
        <f t="shared" si="42"/>
        <v>2.3969442072658165E-2</v>
      </c>
      <c r="AR119" s="4">
        <f t="shared" si="42"/>
        <v>1.6202243558389728E-2</v>
      </c>
    </row>
    <row r="120" spans="1:44" x14ac:dyDescent="0.25">
      <c r="A120" s="24" t="s">
        <v>25</v>
      </c>
      <c r="B120" s="60">
        <f>'Parameter Input'!B169</f>
        <v>-500000</v>
      </c>
      <c r="C120" s="61">
        <f>'Parameter Input'!C169</f>
        <v>-500000</v>
      </c>
      <c r="D120" s="1" t="s">
        <v>15</v>
      </c>
      <c r="L120" s="54">
        <f>'Parameter Input'!E169</f>
        <v>17</v>
      </c>
      <c r="M120" s="37">
        <v>0</v>
      </c>
      <c r="N120" s="37">
        <v>1</v>
      </c>
      <c r="O120" s="37">
        <f>'Parameter Input'!F169</f>
        <v>0.9</v>
      </c>
      <c r="P120" s="55">
        <f>'Parameter Input'!G169</f>
        <v>0.4</v>
      </c>
      <c r="Q120" s="4">
        <f t="shared" si="42"/>
        <v>0.99780374543478534</v>
      </c>
      <c r="R120" s="4">
        <f t="shared" si="42"/>
        <v>0.99685359315256394</v>
      </c>
      <c r="S120" s="4">
        <f t="shared" si="42"/>
        <v>0.99549347132349975</v>
      </c>
      <c r="T120" s="4">
        <f t="shared" si="42"/>
        <v>0.99354772139898062</v>
      </c>
      <c r="U120" s="4">
        <f t="shared" si="42"/>
        <v>0.99076681540580536</v>
      </c>
      <c r="V120" s="4">
        <f t="shared" si="42"/>
        <v>0.9867978615748374</v>
      </c>
      <c r="W120" s="4">
        <f t="shared" si="42"/>
        <v>0.98114509762858249</v>
      </c>
      <c r="X120" s="4">
        <f t="shared" si="42"/>
        <v>0.97311898315872036</v>
      </c>
      <c r="Y120" s="4">
        <f t="shared" si="42"/>
        <v>0.96177484161592774</v>
      </c>
      <c r="Z120" s="4">
        <f t="shared" si="42"/>
        <v>0.94584787155511363</v>
      </c>
      <c r="AA120" s="4">
        <f t="shared" si="42"/>
        <v>0.92370360150141495</v>
      </c>
      <c r="AB120" s="4">
        <f t="shared" si="42"/>
        <v>0.89334463567658451</v>
      </c>
      <c r="AC120" s="4">
        <f t="shared" si="42"/>
        <v>0.85254543874327005</v>
      </c>
      <c r="AD120" s="4">
        <f t="shared" si="42"/>
        <v>0.79921300652623883</v>
      </c>
      <c r="AE120" s="4">
        <f t="shared" si="42"/>
        <v>0.73204982249993378</v>
      </c>
      <c r="AF120" s="4">
        <f t="shared" si="42"/>
        <v>0.65145592958786691</v>
      </c>
      <c r="AG120" s="4">
        <f t="shared" si="42"/>
        <v>0.56032247880849573</v>
      </c>
      <c r="AH120" s="4">
        <f t="shared" si="42"/>
        <v>0.46411326873185343</v>
      </c>
      <c r="AI120" s="4">
        <f t="shared" si="42"/>
        <v>0.36979727595523937</v>
      </c>
      <c r="AJ120" s="4">
        <f t="shared" si="42"/>
        <v>0.28393948637231203</v>
      </c>
      <c r="AK120" s="4">
        <f t="shared" si="42"/>
        <v>0.21097259161117732</v>
      </c>
      <c r="AL120" s="4">
        <f t="shared" si="42"/>
        <v>0.15253917653798199</v>
      </c>
      <c r="AM120" s="4">
        <f t="shared" si="42"/>
        <v>0.10795188737709993</v>
      </c>
      <c r="AN120" s="4">
        <f t="shared" si="42"/>
        <v>7.5176653938091809E-2</v>
      </c>
      <c r="AO120" s="4">
        <f t="shared" si="42"/>
        <v>5.1742836177502194E-2</v>
      </c>
      <c r="AP120" s="4">
        <f t="shared" si="42"/>
        <v>3.5319190625345942E-2</v>
      </c>
      <c r="AQ120" s="4">
        <f t="shared" si="42"/>
        <v>2.3969442072658165E-2</v>
      </c>
      <c r="AR120" s="4">
        <f t="shared" si="42"/>
        <v>1.6202243558389728E-2</v>
      </c>
    </row>
    <row r="121" spans="1:44" x14ac:dyDescent="0.25">
      <c r="A121" s="24" t="s">
        <v>79</v>
      </c>
      <c r="B121" s="92">
        <f>'Parameter Input'!$L$175</f>
        <v>0.06</v>
      </c>
      <c r="C121" s="91">
        <f>'Parameter Input'!$M$175</f>
        <v>0.06</v>
      </c>
      <c r="D121" s="1" t="s">
        <v>57</v>
      </c>
      <c r="L121" s="54">
        <f>'Parameter Input'!$O$163</f>
        <v>17</v>
      </c>
      <c r="M121" s="37">
        <v>0</v>
      </c>
      <c r="N121" s="37">
        <v>1</v>
      </c>
      <c r="O121" s="37">
        <f>'Parameter Input'!$P$163</f>
        <v>0.9</v>
      </c>
      <c r="P121" s="55">
        <f>'Parameter Input'!$Q$163</f>
        <v>0.4</v>
      </c>
      <c r="Q121" s="4">
        <f t="shared" si="42"/>
        <v>0.99780374543478534</v>
      </c>
      <c r="R121" s="4">
        <f t="shared" si="42"/>
        <v>0.99685359315256394</v>
      </c>
      <c r="S121" s="4">
        <f t="shared" si="42"/>
        <v>0.99549347132349975</v>
      </c>
      <c r="T121" s="4">
        <f t="shared" si="42"/>
        <v>0.99354772139898062</v>
      </c>
      <c r="U121" s="4">
        <f t="shared" si="42"/>
        <v>0.99076681540580536</v>
      </c>
      <c r="V121" s="4">
        <f t="shared" si="42"/>
        <v>0.9867978615748374</v>
      </c>
      <c r="W121" s="4">
        <f t="shared" si="42"/>
        <v>0.98114509762858249</v>
      </c>
      <c r="X121" s="4">
        <f t="shared" si="42"/>
        <v>0.97311898315872036</v>
      </c>
      <c r="Y121" s="4">
        <f t="shared" si="42"/>
        <v>0.96177484161592774</v>
      </c>
      <c r="Z121" s="4">
        <f t="shared" si="42"/>
        <v>0.94584787155511363</v>
      </c>
      <c r="AA121" s="4">
        <f t="shared" si="42"/>
        <v>0.92370360150141495</v>
      </c>
      <c r="AB121" s="4">
        <f t="shared" si="42"/>
        <v>0.89334463567658451</v>
      </c>
      <c r="AC121" s="4">
        <f t="shared" si="42"/>
        <v>0.85254543874327005</v>
      </c>
      <c r="AD121" s="4">
        <f t="shared" si="42"/>
        <v>0.79921300652623883</v>
      </c>
      <c r="AE121" s="4">
        <f t="shared" si="42"/>
        <v>0.73204982249993378</v>
      </c>
      <c r="AF121" s="4">
        <f t="shared" si="42"/>
        <v>0.65145592958786691</v>
      </c>
      <c r="AG121" s="4">
        <f t="shared" si="42"/>
        <v>0.56032247880849573</v>
      </c>
      <c r="AH121" s="4">
        <f t="shared" si="42"/>
        <v>0.46411326873185343</v>
      </c>
      <c r="AI121" s="4">
        <f t="shared" si="42"/>
        <v>0.36979727595523937</v>
      </c>
      <c r="AJ121" s="4">
        <f t="shared" si="42"/>
        <v>0.28393948637231203</v>
      </c>
      <c r="AK121" s="4">
        <f t="shared" si="42"/>
        <v>0.21097259161117732</v>
      </c>
      <c r="AL121" s="4">
        <f t="shared" si="42"/>
        <v>0.15253917653798199</v>
      </c>
      <c r="AM121" s="4">
        <f t="shared" si="42"/>
        <v>0.10795188737709993</v>
      </c>
      <c r="AN121" s="4">
        <f t="shared" si="42"/>
        <v>7.5176653938091809E-2</v>
      </c>
      <c r="AO121" s="4">
        <f t="shared" si="42"/>
        <v>5.1742836177502194E-2</v>
      </c>
      <c r="AP121" s="4">
        <f t="shared" si="42"/>
        <v>3.5319190625345942E-2</v>
      </c>
      <c r="AQ121" s="4">
        <f t="shared" si="42"/>
        <v>2.3969442072658165E-2</v>
      </c>
      <c r="AR121" s="4">
        <f t="shared" si="42"/>
        <v>1.6202243558389728E-2</v>
      </c>
    </row>
    <row r="122" spans="1:44" x14ac:dyDescent="0.25">
      <c r="A122" s="24" t="s">
        <v>37</v>
      </c>
      <c r="B122" s="60">
        <f>'Parameter Input'!B170</f>
        <v>1208235.294117647</v>
      </c>
      <c r="C122" s="61">
        <f>'Parameter Input'!C170</f>
        <v>1208235.294117647</v>
      </c>
      <c r="D122" s="1" t="s">
        <v>38</v>
      </c>
      <c r="L122" s="54">
        <f>'Parameter Input'!E170</f>
        <v>17</v>
      </c>
      <c r="M122" s="37">
        <v>0</v>
      </c>
      <c r="N122" s="37">
        <v>1</v>
      </c>
      <c r="O122" s="37">
        <f>'Parameter Input'!F170</f>
        <v>0.9</v>
      </c>
      <c r="P122" s="55">
        <f>'Parameter Input'!G170</f>
        <v>0.4</v>
      </c>
      <c r="Q122" s="4">
        <f t="shared" si="42"/>
        <v>0.99780374543478534</v>
      </c>
      <c r="R122" s="4">
        <f t="shared" si="42"/>
        <v>0.99685359315256394</v>
      </c>
      <c r="S122" s="4">
        <f t="shared" si="42"/>
        <v>0.99549347132349975</v>
      </c>
      <c r="T122" s="4">
        <f t="shared" si="42"/>
        <v>0.99354772139898062</v>
      </c>
      <c r="U122" s="4">
        <f t="shared" si="42"/>
        <v>0.99076681540580536</v>
      </c>
      <c r="V122" s="4">
        <f t="shared" si="42"/>
        <v>0.9867978615748374</v>
      </c>
      <c r="W122" s="4">
        <f t="shared" si="42"/>
        <v>0.98114509762858249</v>
      </c>
      <c r="X122" s="4">
        <f t="shared" si="42"/>
        <v>0.97311898315872036</v>
      </c>
      <c r="Y122" s="4">
        <f t="shared" si="42"/>
        <v>0.96177484161592774</v>
      </c>
      <c r="Z122" s="4">
        <f t="shared" si="42"/>
        <v>0.94584787155511363</v>
      </c>
      <c r="AA122" s="4">
        <f t="shared" si="42"/>
        <v>0.92370360150141495</v>
      </c>
      <c r="AB122" s="4">
        <f t="shared" si="42"/>
        <v>0.89334463567658451</v>
      </c>
      <c r="AC122" s="4">
        <f t="shared" si="42"/>
        <v>0.85254543874327005</v>
      </c>
      <c r="AD122" s="4">
        <f t="shared" si="42"/>
        <v>0.79921300652623883</v>
      </c>
      <c r="AE122" s="4">
        <f t="shared" si="42"/>
        <v>0.73204982249993378</v>
      </c>
      <c r="AF122" s="4">
        <f t="shared" si="42"/>
        <v>0.65145592958786691</v>
      </c>
      <c r="AG122" s="4">
        <f t="shared" si="42"/>
        <v>0.56032247880849573</v>
      </c>
      <c r="AH122" s="4">
        <f t="shared" si="42"/>
        <v>0.46411326873185343</v>
      </c>
      <c r="AI122" s="4">
        <f t="shared" si="42"/>
        <v>0.36979727595523937</v>
      </c>
      <c r="AJ122" s="4">
        <f t="shared" si="42"/>
        <v>0.28393948637231203</v>
      </c>
      <c r="AK122" s="4">
        <f t="shared" si="42"/>
        <v>0.21097259161117732</v>
      </c>
      <c r="AL122" s="4">
        <f t="shared" si="42"/>
        <v>0.15253917653798199</v>
      </c>
      <c r="AM122" s="4">
        <f t="shared" si="42"/>
        <v>0.10795188737709993</v>
      </c>
      <c r="AN122" s="4">
        <f t="shared" si="42"/>
        <v>7.5176653938091809E-2</v>
      </c>
      <c r="AO122" s="4">
        <f t="shared" si="42"/>
        <v>5.1742836177502194E-2</v>
      </c>
      <c r="AP122" s="4">
        <f t="shared" si="42"/>
        <v>3.5319190625345942E-2</v>
      </c>
      <c r="AQ122" s="4">
        <f t="shared" si="42"/>
        <v>2.3969442072658165E-2</v>
      </c>
      <c r="AR122" s="4">
        <f t="shared" si="42"/>
        <v>1.6202243558389728E-2</v>
      </c>
    </row>
    <row r="123" spans="1:44" x14ac:dyDescent="0.25">
      <c r="A123" s="24" t="s">
        <v>52</v>
      </c>
      <c r="B123" s="60">
        <f>'Parameter Input'!$L$171</f>
        <v>488235.29411764705</v>
      </c>
      <c r="C123" s="61">
        <f>'Parameter Input'!$M$171</f>
        <v>488235.29411764705</v>
      </c>
      <c r="D123" s="1" t="s">
        <v>38</v>
      </c>
      <c r="L123" s="54">
        <f>'Parameter Input'!$O$159</f>
        <v>17</v>
      </c>
      <c r="M123" s="37">
        <v>0</v>
      </c>
      <c r="N123" s="37">
        <v>1</v>
      </c>
      <c r="O123" s="37">
        <f>'Parameter Input'!$P$159</f>
        <v>0.9</v>
      </c>
      <c r="P123" s="55">
        <f>'Parameter Input'!$Q$159</f>
        <v>0.4</v>
      </c>
      <c r="Q123" s="4">
        <f t="shared" si="42"/>
        <v>0.99780374543478534</v>
      </c>
      <c r="R123" s="4">
        <f t="shared" si="42"/>
        <v>0.99685359315256394</v>
      </c>
      <c r="S123" s="4">
        <f t="shared" si="42"/>
        <v>0.99549347132349975</v>
      </c>
      <c r="T123" s="4">
        <f t="shared" si="42"/>
        <v>0.99354772139898062</v>
      </c>
      <c r="U123" s="4">
        <f t="shared" si="42"/>
        <v>0.99076681540580536</v>
      </c>
      <c r="V123" s="4">
        <f t="shared" si="42"/>
        <v>0.9867978615748374</v>
      </c>
      <c r="W123" s="4">
        <f t="shared" si="42"/>
        <v>0.98114509762858249</v>
      </c>
      <c r="X123" s="4">
        <f t="shared" si="42"/>
        <v>0.97311898315872036</v>
      </c>
      <c r="Y123" s="4">
        <f t="shared" si="42"/>
        <v>0.96177484161592774</v>
      </c>
      <c r="Z123" s="4">
        <f t="shared" si="42"/>
        <v>0.94584787155511363</v>
      </c>
      <c r="AA123" s="4">
        <f t="shared" si="42"/>
        <v>0.92370360150141495</v>
      </c>
      <c r="AB123" s="4">
        <f t="shared" si="42"/>
        <v>0.89334463567658451</v>
      </c>
      <c r="AC123" s="4">
        <f t="shared" si="42"/>
        <v>0.85254543874327005</v>
      </c>
      <c r="AD123" s="4">
        <f t="shared" si="42"/>
        <v>0.79921300652623883</v>
      </c>
      <c r="AE123" s="4">
        <f t="shared" si="42"/>
        <v>0.73204982249993378</v>
      </c>
      <c r="AF123" s="4">
        <f t="shared" si="42"/>
        <v>0.65145592958786691</v>
      </c>
      <c r="AG123" s="4">
        <f t="shared" si="42"/>
        <v>0.56032247880849573</v>
      </c>
      <c r="AH123" s="4">
        <f t="shared" si="42"/>
        <v>0.46411326873185343</v>
      </c>
      <c r="AI123" s="4">
        <f t="shared" si="42"/>
        <v>0.36979727595523937</v>
      </c>
      <c r="AJ123" s="4">
        <f t="shared" si="42"/>
        <v>0.28393948637231203</v>
      </c>
      <c r="AK123" s="4">
        <f t="shared" si="42"/>
        <v>0.21097259161117732</v>
      </c>
      <c r="AL123" s="4">
        <f t="shared" si="42"/>
        <v>0.15253917653798199</v>
      </c>
      <c r="AM123" s="4">
        <f t="shared" si="42"/>
        <v>0.10795188737709993</v>
      </c>
      <c r="AN123" s="4">
        <f t="shared" si="42"/>
        <v>7.5176653938091809E-2</v>
      </c>
      <c r="AO123" s="4">
        <f t="shared" si="42"/>
        <v>5.1742836177502194E-2</v>
      </c>
      <c r="AP123" s="4">
        <f t="shared" si="42"/>
        <v>3.5319190625345942E-2</v>
      </c>
      <c r="AQ123" s="4">
        <f t="shared" si="42"/>
        <v>2.3969442072658165E-2</v>
      </c>
      <c r="AR123" s="4">
        <f t="shared" si="42"/>
        <v>1.6202243558389728E-2</v>
      </c>
    </row>
    <row r="124" spans="1:44" x14ac:dyDescent="0.25">
      <c r="A124" s="24" t="s">
        <v>272</v>
      </c>
      <c r="B124" s="92">
        <f>'Parameter Input'!B175</f>
        <v>1.6886890630966982</v>
      </c>
      <c r="C124" s="61">
        <f>'Parameter Input'!C175</f>
        <v>1.6886890630966982</v>
      </c>
      <c r="D124" s="1" t="s">
        <v>76</v>
      </c>
      <c r="L124" s="54">
        <f>'Parameter Input'!E175</f>
        <v>17</v>
      </c>
      <c r="M124" s="37">
        <v>0</v>
      </c>
      <c r="N124" s="37">
        <v>1</v>
      </c>
      <c r="O124" s="37">
        <f>'Parameter Input'!F175</f>
        <v>0.9</v>
      </c>
      <c r="P124" s="55">
        <f>'Parameter Input'!G175</f>
        <v>0.4</v>
      </c>
      <c r="Q124" s="4">
        <f t="shared" si="42"/>
        <v>0.99780374543478534</v>
      </c>
      <c r="R124" s="4">
        <f t="shared" si="42"/>
        <v>0.99685359315256394</v>
      </c>
      <c r="S124" s="4">
        <f t="shared" si="42"/>
        <v>0.99549347132349975</v>
      </c>
      <c r="T124" s="4">
        <f t="shared" si="42"/>
        <v>0.99354772139898062</v>
      </c>
      <c r="U124" s="4">
        <f t="shared" si="42"/>
        <v>0.99076681540580536</v>
      </c>
      <c r="V124" s="4">
        <f t="shared" si="42"/>
        <v>0.9867978615748374</v>
      </c>
      <c r="W124" s="4">
        <f t="shared" si="42"/>
        <v>0.98114509762858249</v>
      </c>
      <c r="X124" s="4">
        <f t="shared" si="42"/>
        <v>0.97311898315872036</v>
      </c>
      <c r="Y124" s="4">
        <f t="shared" si="42"/>
        <v>0.96177484161592774</v>
      </c>
      <c r="Z124" s="4">
        <f t="shared" si="42"/>
        <v>0.94584787155511363</v>
      </c>
      <c r="AA124" s="4">
        <f t="shared" si="42"/>
        <v>0.92370360150141495</v>
      </c>
      <c r="AB124" s="4">
        <f t="shared" si="42"/>
        <v>0.89334463567658451</v>
      </c>
      <c r="AC124" s="4">
        <f t="shared" si="42"/>
        <v>0.85254543874327005</v>
      </c>
      <c r="AD124" s="4">
        <f t="shared" si="42"/>
        <v>0.79921300652623883</v>
      </c>
      <c r="AE124" s="4">
        <f t="shared" si="42"/>
        <v>0.73204982249993378</v>
      </c>
      <c r="AF124" s="4">
        <f t="shared" si="42"/>
        <v>0.65145592958786691</v>
      </c>
      <c r="AG124" s="4">
        <f t="shared" si="42"/>
        <v>0.56032247880849573</v>
      </c>
      <c r="AH124" s="4">
        <f t="shared" si="42"/>
        <v>0.46411326873185343</v>
      </c>
      <c r="AI124" s="4">
        <f t="shared" si="42"/>
        <v>0.36979727595523937</v>
      </c>
      <c r="AJ124" s="4">
        <f t="shared" si="42"/>
        <v>0.28393948637231203</v>
      </c>
      <c r="AK124" s="4">
        <f t="shared" si="42"/>
        <v>0.21097259161117732</v>
      </c>
      <c r="AL124" s="4">
        <f t="shared" si="42"/>
        <v>0.15253917653798199</v>
      </c>
      <c r="AM124" s="4">
        <f t="shared" si="42"/>
        <v>0.10795188737709993</v>
      </c>
      <c r="AN124" s="4">
        <f t="shared" si="42"/>
        <v>7.5176653938091809E-2</v>
      </c>
      <c r="AO124" s="4">
        <f t="shared" si="42"/>
        <v>5.1742836177502194E-2</v>
      </c>
      <c r="AP124" s="4">
        <f t="shared" si="42"/>
        <v>3.5319190625345942E-2</v>
      </c>
      <c r="AQ124" s="4">
        <f t="shared" si="42"/>
        <v>2.3969442072658165E-2</v>
      </c>
      <c r="AR124" s="4">
        <f t="shared" si="42"/>
        <v>1.6202243558389728E-2</v>
      </c>
    </row>
    <row r="125" spans="1:44" x14ac:dyDescent="0.25">
      <c r="A125" s="24" t="s">
        <v>59</v>
      </c>
      <c r="B125" s="60">
        <f>'Parameter Input'!$L$172</f>
        <v>647</v>
      </c>
      <c r="C125" s="61">
        <f>'Parameter Input'!$M$172</f>
        <v>600</v>
      </c>
      <c r="D125" s="1" t="s">
        <v>60</v>
      </c>
      <c r="L125" s="54">
        <f>'Parameter Input'!$O$160</f>
        <v>17</v>
      </c>
      <c r="M125" s="37">
        <v>0</v>
      </c>
      <c r="N125" s="37">
        <v>1</v>
      </c>
      <c r="O125" s="37">
        <f>'Parameter Input'!$P$160</f>
        <v>0.9</v>
      </c>
      <c r="P125" s="55">
        <f>'Parameter Input'!$Q$160</f>
        <v>0.4</v>
      </c>
      <c r="Q125" s="4">
        <f t="shared" si="42"/>
        <v>0.99780374543478534</v>
      </c>
      <c r="R125" s="4">
        <f t="shared" si="42"/>
        <v>0.99685359315256394</v>
      </c>
      <c r="S125" s="4">
        <f t="shared" si="42"/>
        <v>0.99549347132349975</v>
      </c>
      <c r="T125" s="4">
        <f t="shared" si="42"/>
        <v>0.99354772139898062</v>
      </c>
      <c r="U125" s="4">
        <f t="shared" si="42"/>
        <v>0.99076681540580536</v>
      </c>
      <c r="V125" s="4">
        <f t="shared" si="42"/>
        <v>0.9867978615748374</v>
      </c>
      <c r="W125" s="4">
        <f t="shared" si="42"/>
        <v>0.98114509762858249</v>
      </c>
      <c r="X125" s="4">
        <f t="shared" si="42"/>
        <v>0.97311898315872036</v>
      </c>
      <c r="Y125" s="4">
        <f t="shared" si="42"/>
        <v>0.96177484161592774</v>
      </c>
      <c r="Z125" s="4">
        <f t="shared" si="42"/>
        <v>0.94584787155511363</v>
      </c>
      <c r="AA125" s="4">
        <f t="shared" si="42"/>
        <v>0.92370360150141495</v>
      </c>
      <c r="AB125" s="4">
        <f t="shared" si="42"/>
        <v>0.89334463567658451</v>
      </c>
      <c r="AC125" s="4">
        <f t="shared" si="42"/>
        <v>0.85254543874327005</v>
      </c>
      <c r="AD125" s="4">
        <f t="shared" si="42"/>
        <v>0.79921300652623883</v>
      </c>
      <c r="AE125" s="4">
        <f t="shared" si="42"/>
        <v>0.73204982249993378</v>
      </c>
      <c r="AF125" s="4">
        <f t="shared" si="42"/>
        <v>0.65145592958786691</v>
      </c>
      <c r="AG125" s="4">
        <f t="shared" si="42"/>
        <v>0.56032247880849573</v>
      </c>
      <c r="AH125" s="4">
        <f t="shared" si="42"/>
        <v>0.46411326873185343</v>
      </c>
      <c r="AI125" s="4">
        <f t="shared" si="42"/>
        <v>0.36979727595523937</v>
      </c>
      <c r="AJ125" s="4">
        <f t="shared" si="42"/>
        <v>0.28393948637231203</v>
      </c>
      <c r="AK125" s="4">
        <f t="shared" si="42"/>
        <v>0.21097259161117732</v>
      </c>
      <c r="AL125" s="4">
        <f t="shared" si="42"/>
        <v>0.15253917653798199</v>
      </c>
      <c r="AM125" s="4">
        <f t="shared" si="42"/>
        <v>0.10795188737709993</v>
      </c>
      <c r="AN125" s="4">
        <f t="shared" si="42"/>
        <v>7.5176653938091809E-2</v>
      </c>
      <c r="AO125" s="4">
        <f t="shared" si="42"/>
        <v>5.1742836177502194E-2</v>
      </c>
      <c r="AP125" s="4">
        <f t="shared" si="42"/>
        <v>3.5319190625345942E-2</v>
      </c>
      <c r="AQ125" s="4">
        <f t="shared" si="42"/>
        <v>2.3969442072658165E-2</v>
      </c>
      <c r="AR125" s="4">
        <f t="shared" si="42"/>
        <v>1.6202243558389728E-2</v>
      </c>
    </row>
    <row r="126" spans="1:44" x14ac:dyDescent="0.25">
      <c r="A126" s="24" t="s">
        <v>67</v>
      </c>
      <c r="B126" s="78">
        <f>'Parameter Input'!$L$173</f>
        <v>3.1399999999999997E-2</v>
      </c>
      <c r="C126" s="61">
        <f>'Parameter Input'!$M$173</f>
        <v>3.1399999999999997E-2</v>
      </c>
      <c r="D126" s="1" t="s">
        <v>68</v>
      </c>
      <c r="L126" s="54">
        <f>'Parameter Input'!$O$161</f>
        <v>17</v>
      </c>
      <c r="M126" s="37">
        <v>0</v>
      </c>
      <c r="N126" s="37">
        <v>1</v>
      </c>
      <c r="O126" s="37">
        <f>'Parameter Input'!$P$161</f>
        <v>0.9</v>
      </c>
      <c r="P126" s="55">
        <f>'Parameter Input'!$Q$161</f>
        <v>0.4</v>
      </c>
      <c r="Q126" s="4">
        <f t="shared" si="42"/>
        <v>0.99780374543478534</v>
      </c>
      <c r="R126" s="4">
        <f t="shared" si="42"/>
        <v>0.99685359315256394</v>
      </c>
      <c r="S126" s="4">
        <f t="shared" si="42"/>
        <v>0.99549347132349975</v>
      </c>
      <c r="T126" s="4">
        <f t="shared" ref="T126:AI133" si="43">$N126+($M126-$N126)*((1/(1+EXP(-$P126*(T$9-$L126)))^$O126))</f>
        <v>0.99354772139898062</v>
      </c>
      <c r="U126" s="4">
        <f t="shared" si="43"/>
        <v>0.99076681540580536</v>
      </c>
      <c r="V126" s="4">
        <f t="shared" si="43"/>
        <v>0.9867978615748374</v>
      </c>
      <c r="W126" s="4">
        <f t="shared" si="43"/>
        <v>0.98114509762858249</v>
      </c>
      <c r="X126" s="4">
        <f t="shared" si="43"/>
        <v>0.97311898315872036</v>
      </c>
      <c r="Y126" s="4">
        <f t="shared" si="43"/>
        <v>0.96177484161592774</v>
      </c>
      <c r="Z126" s="4">
        <f t="shared" si="43"/>
        <v>0.94584787155511363</v>
      </c>
      <c r="AA126" s="4">
        <f t="shared" si="43"/>
        <v>0.92370360150141495</v>
      </c>
      <c r="AB126" s="4">
        <f t="shared" si="43"/>
        <v>0.89334463567658451</v>
      </c>
      <c r="AC126" s="4">
        <f t="shared" si="43"/>
        <v>0.85254543874327005</v>
      </c>
      <c r="AD126" s="4">
        <f t="shared" si="43"/>
        <v>0.79921300652623883</v>
      </c>
      <c r="AE126" s="4">
        <f t="shared" si="43"/>
        <v>0.73204982249993378</v>
      </c>
      <c r="AF126" s="4">
        <f t="shared" si="43"/>
        <v>0.65145592958786691</v>
      </c>
      <c r="AG126" s="4">
        <f t="shared" si="43"/>
        <v>0.56032247880849573</v>
      </c>
      <c r="AH126" s="4">
        <f t="shared" si="43"/>
        <v>0.46411326873185343</v>
      </c>
      <c r="AI126" s="4">
        <f t="shared" si="43"/>
        <v>0.36979727595523937</v>
      </c>
      <c r="AJ126" s="4">
        <f t="shared" ref="AJ126:AR133" si="44">$N126+($M126-$N126)*((1/(1+EXP(-$P126*(AJ$9-$L126)))^$O126))</f>
        <v>0.28393948637231203</v>
      </c>
      <c r="AK126" s="4">
        <f t="shared" si="44"/>
        <v>0.21097259161117732</v>
      </c>
      <c r="AL126" s="4">
        <f t="shared" si="44"/>
        <v>0.15253917653798199</v>
      </c>
      <c r="AM126" s="4">
        <f t="shared" si="44"/>
        <v>0.10795188737709993</v>
      </c>
      <c r="AN126" s="4">
        <f t="shared" si="44"/>
        <v>7.5176653938091809E-2</v>
      </c>
      <c r="AO126" s="4">
        <f t="shared" si="44"/>
        <v>5.1742836177502194E-2</v>
      </c>
      <c r="AP126" s="4">
        <f t="shared" si="44"/>
        <v>3.5319190625345942E-2</v>
      </c>
      <c r="AQ126" s="4">
        <f t="shared" si="44"/>
        <v>2.3969442072658165E-2</v>
      </c>
      <c r="AR126" s="4">
        <f t="shared" si="44"/>
        <v>1.6202243558389728E-2</v>
      </c>
    </row>
    <row r="127" spans="1:44" x14ac:dyDescent="0.25">
      <c r="A127" s="24" t="s">
        <v>206</v>
      </c>
      <c r="B127" s="78">
        <f>'Parameter Input'!$L$176</f>
        <v>18.177348551360843</v>
      </c>
      <c r="C127" s="61">
        <f>'Parameter Input'!$M$176</f>
        <v>58.999122036874446</v>
      </c>
      <c r="D127" s="1"/>
      <c r="L127" s="54">
        <f>'Parameter Input'!O164</f>
        <v>17</v>
      </c>
      <c r="M127" s="37">
        <v>0</v>
      </c>
      <c r="N127" s="37">
        <v>1</v>
      </c>
      <c r="O127" s="37">
        <f>'Parameter Input'!P164</f>
        <v>0.9</v>
      </c>
      <c r="P127" s="55">
        <f>'Parameter Input'!Q164</f>
        <v>0.4</v>
      </c>
      <c r="Q127" s="4">
        <f t="shared" ref="Q127:AR133" si="45">$N127+($M127-$N127)*((1/(1+EXP(-$P127*(Q$9-$L127)))^$O127))</f>
        <v>0.99780374543478534</v>
      </c>
      <c r="R127" s="4">
        <f t="shared" si="45"/>
        <v>0.99685359315256394</v>
      </c>
      <c r="S127" s="4">
        <f t="shared" si="45"/>
        <v>0.99549347132349975</v>
      </c>
      <c r="T127" s="4">
        <f t="shared" si="45"/>
        <v>0.99354772139898062</v>
      </c>
      <c r="U127" s="4">
        <f t="shared" si="45"/>
        <v>0.99076681540580536</v>
      </c>
      <c r="V127" s="4">
        <f t="shared" si="45"/>
        <v>0.9867978615748374</v>
      </c>
      <c r="W127" s="4">
        <f t="shared" si="45"/>
        <v>0.98114509762858249</v>
      </c>
      <c r="X127" s="4">
        <f t="shared" si="45"/>
        <v>0.97311898315872036</v>
      </c>
      <c r="Y127" s="4">
        <f t="shared" si="45"/>
        <v>0.96177484161592774</v>
      </c>
      <c r="Z127" s="4">
        <f t="shared" si="45"/>
        <v>0.94584787155511363</v>
      </c>
      <c r="AA127" s="4">
        <f t="shared" si="45"/>
        <v>0.92370360150141495</v>
      </c>
      <c r="AB127" s="4">
        <f t="shared" si="45"/>
        <v>0.89334463567658451</v>
      </c>
      <c r="AC127" s="4">
        <f t="shared" si="45"/>
        <v>0.85254543874327005</v>
      </c>
      <c r="AD127" s="4">
        <f t="shared" si="45"/>
        <v>0.79921300652623883</v>
      </c>
      <c r="AE127" s="4">
        <f t="shared" si="45"/>
        <v>0.73204982249993378</v>
      </c>
      <c r="AF127" s="4">
        <f t="shared" si="45"/>
        <v>0.65145592958786691</v>
      </c>
      <c r="AG127" s="4">
        <f t="shared" si="45"/>
        <v>0.56032247880849573</v>
      </c>
      <c r="AH127" s="4">
        <f t="shared" si="45"/>
        <v>0.46411326873185343</v>
      </c>
      <c r="AI127" s="4">
        <f t="shared" si="45"/>
        <v>0.36979727595523937</v>
      </c>
      <c r="AJ127" s="4">
        <f t="shared" si="45"/>
        <v>0.28393948637231203</v>
      </c>
      <c r="AK127" s="4">
        <f t="shared" si="45"/>
        <v>0.21097259161117732</v>
      </c>
      <c r="AL127" s="4">
        <f t="shared" si="45"/>
        <v>0.15253917653798199</v>
      </c>
      <c r="AM127" s="4">
        <f t="shared" si="45"/>
        <v>0.10795188737709993</v>
      </c>
      <c r="AN127" s="4">
        <f t="shared" si="45"/>
        <v>7.5176653938091809E-2</v>
      </c>
      <c r="AO127" s="4">
        <f t="shared" si="45"/>
        <v>5.1742836177502194E-2</v>
      </c>
      <c r="AP127" s="4">
        <f t="shared" si="45"/>
        <v>3.5319190625345942E-2</v>
      </c>
      <c r="AQ127" s="4">
        <f t="shared" si="45"/>
        <v>2.3969442072658165E-2</v>
      </c>
      <c r="AR127" s="4">
        <f t="shared" si="45"/>
        <v>1.6202243558389728E-2</v>
      </c>
    </row>
    <row r="128" spans="1:44" x14ac:dyDescent="0.25">
      <c r="A128" s="24" t="s">
        <v>41</v>
      </c>
      <c r="B128" s="60">
        <f>'Parameter Input'!$L$170</f>
        <v>25</v>
      </c>
      <c r="C128" s="61">
        <f>'Parameter Input'!$M$170</f>
        <v>25</v>
      </c>
      <c r="D128" s="1" t="s">
        <v>42</v>
      </c>
      <c r="L128" s="54">
        <f>'Parameter Input'!$O$158</f>
        <v>17</v>
      </c>
      <c r="M128" s="37">
        <v>0</v>
      </c>
      <c r="N128" s="37">
        <v>1</v>
      </c>
      <c r="O128" s="37">
        <f>'Parameter Input'!$P$158</f>
        <v>0.9</v>
      </c>
      <c r="P128" s="55">
        <f>'Parameter Input'!$Q$158</f>
        <v>0.4</v>
      </c>
      <c r="Q128" s="4">
        <f t="shared" si="45"/>
        <v>0.99780374543478534</v>
      </c>
      <c r="R128" s="4">
        <f t="shared" si="45"/>
        <v>0.99685359315256394</v>
      </c>
      <c r="S128" s="4">
        <f t="shared" si="45"/>
        <v>0.99549347132349975</v>
      </c>
      <c r="T128" s="4">
        <f t="shared" si="45"/>
        <v>0.99354772139898062</v>
      </c>
      <c r="U128" s="4">
        <f t="shared" si="45"/>
        <v>0.99076681540580536</v>
      </c>
      <c r="V128" s="4">
        <f t="shared" si="45"/>
        <v>0.9867978615748374</v>
      </c>
      <c r="W128" s="4">
        <f t="shared" si="45"/>
        <v>0.98114509762858249</v>
      </c>
      <c r="X128" s="4">
        <f t="shared" si="45"/>
        <v>0.97311898315872036</v>
      </c>
      <c r="Y128" s="4">
        <f t="shared" si="45"/>
        <v>0.96177484161592774</v>
      </c>
      <c r="Z128" s="4">
        <f t="shared" si="45"/>
        <v>0.94584787155511363</v>
      </c>
      <c r="AA128" s="4">
        <f t="shared" si="45"/>
        <v>0.92370360150141495</v>
      </c>
      <c r="AB128" s="4">
        <f t="shared" si="45"/>
        <v>0.89334463567658451</v>
      </c>
      <c r="AC128" s="4">
        <f t="shared" si="45"/>
        <v>0.85254543874327005</v>
      </c>
      <c r="AD128" s="4">
        <f t="shared" si="45"/>
        <v>0.79921300652623883</v>
      </c>
      <c r="AE128" s="4">
        <f t="shared" si="45"/>
        <v>0.73204982249993378</v>
      </c>
      <c r="AF128" s="4">
        <f t="shared" si="45"/>
        <v>0.65145592958786691</v>
      </c>
      <c r="AG128" s="4">
        <f t="shared" si="43"/>
        <v>0.56032247880849573</v>
      </c>
      <c r="AH128" s="4">
        <f t="shared" si="43"/>
        <v>0.46411326873185343</v>
      </c>
      <c r="AI128" s="4">
        <f t="shared" si="43"/>
        <v>0.36979727595523937</v>
      </c>
      <c r="AJ128" s="4">
        <f t="shared" si="44"/>
        <v>0.28393948637231203</v>
      </c>
      <c r="AK128" s="4">
        <f t="shared" si="44"/>
        <v>0.21097259161117732</v>
      </c>
      <c r="AL128" s="4">
        <f t="shared" si="44"/>
        <v>0.15253917653798199</v>
      </c>
      <c r="AM128" s="4">
        <f t="shared" si="44"/>
        <v>0.10795188737709993</v>
      </c>
      <c r="AN128" s="4">
        <f t="shared" si="44"/>
        <v>7.5176653938091809E-2</v>
      </c>
      <c r="AO128" s="4">
        <f t="shared" si="44"/>
        <v>5.1742836177502194E-2</v>
      </c>
      <c r="AP128" s="4">
        <f t="shared" si="44"/>
        <v>3.5319190625345942E-2</v>
      </c>
      <c r="AQ128" s="4">
        <f t="shared" si="44"/>
        <v>2.3969442072658165E-2</v>
      </c>
      <c r="AR128" s="4">
        <f t="shared" si="44"/>
        <v>1.6202243558389728E-2</v>
      </c>
    </row>
    <row r="129" spans="1:44" x14ac:dyDescent="0.25">
      <c r="A129" s="24" t="s">
        <v>70</v>
      </c>
      <c r="B129" s="60">
        <f>'Parameter Input'!B174</f>
        <v>25</v>
      </c>
      <c r="C129" s="61">
        <f>'Parameter Input'!C174</f>
        <v>25</v>
      </c>
      <c r="D129" s="1" t="s">
        <v>42</v>
      </c>
      <c r="L129" s="54">
        <f>'Parameter Input'!E174</f>
        <v>17</v>
      </c>
      <c r="M129" s="37">
        <v>0</v>
      </c>
      <c r="N129" s="37">
        <v>1</v>
      </c>
      <c r="O129" s="37">
        <f>'Parameter Input'!F174</f>
        <v>0.9</v>
      </c>
      <c r="P129" s="55">
        <f>'Parameter Input'!G174</f>
        <v>0.4</v>
      </c>
      <c r="Q129" s="4">
        <f t="shared" si="45"/>
        <v>0.99780374543478534</v>
      </c>
      <c r="R129" s="4">
        <f t="shared" si="45"/>
        <v>0.99685359315256394</v>
      </c>
      <c r="S129" s="4">
        <f t="shared" si="45"/>
        <v>0.99549347132349975</v>
      </c>
      <c r="T129" s="4">
        <f t="shared" si="45"/>
        <v>0.99354772139898062</v>
      </c>
      <c r="U129" s="4">
        <f t="shared" si="45"/>
        <v>0.99076681540580536</v>
      </c>
      <c r="V129" s="4">
        <f t="shared" si="45"/>
        <v>0.9867978615748374</v>
      </c>
      <c r="W129" s="4">
        <f t="shared" si="45"/>
        <v>0.98114509762858249</v>
      </c>
      <c r="X129" s="4">
        <f t="shared" si="45"/>
        <v>0.97311898315872036</v>
      </c>
      <c r="Y129" s="4">
        <f t="shared" si="45"/>
        <v>0.96177484161592774</v>
      </c>
      <c r="Z129" s="4">
        <f t="shared" si="45"/>
        <v>0.94584787155511363</v>
      </c>
      <c r="AA129" s="4">
        <f t="shared" si="45"/>
        <v>0.92370360150141495</v>
      </c>
      <c r="AB129" s="4">
        <f t="shared" si="45"/>
        <v>0.89334463567658451</v>
      </c>
      <c r="AC129" s="4">
        <f t="shared" si="45"/>
        <v>0.85254543874327005</v>
      </c>
      <c r="AD129" s="4">
        <f t="shared" si="45"/>
        <v>0.79921300652623883</v>
      </c>
      <c r="AE129" s="4">
        <f t="shared" si="45"/>
        <v>0.73204982249993378</v>
      </c>
      <c r="AF129" s="4">
        <f t="shared" si="45"/>
        <v>0.65145592958786691</v>
      </c>
      <c r="AG129" s="4">
        <f t="shared" si="43"/>
        <v>0.56032247880849573</v>
      </c>
      <c r="AH129" s="4">
        <f t="shared" si="43"/>
        <v>0.46411326873185343</v>
      </c>
      <c r="AI129" s="4">
        <f t="shared" si="43"/>
        <v>0.36979727595523937</v>
      </c>
      <c r="AJ129" s="4">
        <f t="shared" si="44"/>
        <v>0.28393948637231203</v>
      </c>
      <c r="AK129" s="4">
        <f t="shared" si="44"/>
        <v>0.21097259161117732</v>
      </c>
      <c r="AL129" s="4">
        <f t="shared" si="44"/>
        <v>0.15253917653798199</v>
      </c>
      <c r="AM129" s="4">
        <f t="shared" si="44"/>
        <v>0.10795188737709993</v>
      </c>
      <c r="AN129" s="4">
        <f t="shared" si="44"/>
        <v>7.5176653938091809E-2</v>
      </c>
      <c r="AO129" s="4">
        <f t="shared" si="44"/>
        <v>5.1742836177502194E-2</v>
      </c>
      <c r="AP129" s="4">
        <f t="shared" si="44"/>
        <v>3.5319190625345942E-2</v>
      </c>
      <c r="AQ129" s="4">
        <f t="shared" si="44"/>
        <v>2.3969442072658165E-2</v>
      </c>
      <c r="AR129" s="4">
        <f t="shared" si="44"/>
        <v>1.6202243558389728E-2</v>
      </c>
    </row>
    <row r="130" spans="1:44" x14ac:dyDescent="0.25">
      <c r="A130" s="24" t="s">
        <v>207</v>
      </c>
      <c r="B130" s="43">
        <f>'Parameter Input'!B171</f>
        <v>9450</v>
      </c>
      <c r="C130" s="44">
        <f>'Parameter Input'!C171</f>
        <v>9450</v>
      </c>
      <c r="D130" s="1" t="s">
        <v>49</v>
      </c>
      <c r="L130" s="54">
        <f>'Parameter Input'!E171</f>
        <v>17</v>
      </c>
      <c r="M130" s="37">
        <v>0</v>
      </c>
      <c r="N130" s="37">
        <v>1</v>
      </c>
      <c r="O130" s="37">
        <f>'Parameter Input'!F171</f>
        <v>0.9</v>
      </c>
      <c r="P130" s="55">
        <f>'Parameter Input'!G171</f>
        <v>0.4</v>
      </c>
      <c r="Q130" s="4">
        <f t="shared" si="45"/>
        <v>0.99780374543478534</v>
      </c>
      <c r="R130" s="4">
        <f t="shared" si="45"/>
        <v>0.99685359315256394</v>
      </c>
      <c r="S130" s="4">
        <f t="shared" si="45"/>
        <v>0.99549347132349975</v>
      </c>
      <c r="T130" s="4">
        <f t="shared" si="45"/>
        <v>0.99354772139898062</v>
      </c>
      <c r="U130" s="4">
        <f t="shared" si="45"/>
        <v>0.99076681540580536</v>
      </c>
      <c r="V130" s="4">
        <f t="shared" si="45"/>
        <v>0.9867978615748374</v>
      </c>
      <c r="W130" s="4">
        <f t="shared" si="45"/>
        <v>0.98114509762858249</v>
      </c>
      <c r="X130" s="4">
        <f t="shared" si="45"/>
        <v>0.97311898315872036</v>
      </c>
      <c r="Y130" s="4">
        <f t="shared" si="45"/>
        <v>0.96177484161592774</v>
      </c>
      <c r="Z130" s="4">
        <f t="shared" si="45"/>
        <v>0.94584787155511363</v>
      </c>
      <c r="AA130" s="4">
        <f t="shared" si="45"/>
        <v>0.92370360150141495</v>
      </c>
      <c r="AB130" s="4">
        <f t="shared" si="45"/>
        <v>0.89334463567658451</v>
      </c>
      <c r="AC130" s="4">
        <f t="shared" si="45"/>
        <v>0.85254543874327005</v>
      </c>
      <c r="AD130" s="4">
        <f t="shared" si="45"/>
        <v>0.79921300652623883</v>
      </c>
      <c r="AE130" s="4">
        <f t="shared" si="45"/>
        <v>0.73204982249993378</v>
      </c>
      <c r="AF130" s="4">
        <f t="shared" si="45"/>
        <v>0.65145592958786691</v>
      </c>
      <c r="AG130" s="4">
        <f t="shared" si="43"/>
        <v>0.56032247880849573</v>
      </c>
      <c r="AH130" s="4">
        <f t="shared" si="43"/>
        <v>0.46411326873185343</v>
      </c>
      <c r="AI130" s="4">
        <f t="shared" si="43"/>
        <v>0.36979727595523937</v>
      </c>
      <c r="AJ130" s="4">
        <f t="shared" si="44"/>
        <v>0.28393948637231203</v>
      </c>
      <c r="AK130" s="4">
        <f t="shared" si="44"/>
        <v>0.21097259161117732</v>
      </c>
      <c r="AL130" s="4">
        <f t="shared" si="44"/>
        <v>0.15253917653798199</v>
      </c>
      <c r="AM130" s="4">
        <f t="shared" si="44"/>
        <v>0.10795188737709993</v>
      </c>
      <c r="AN130" s="4">
        <f t="shared" si="44"/>
        <v>7.5176653938091809E-2</v>
      </c>
      <c r="AO130" s="4">
        <f t="shared" si="44"/>
        <v>5.1742836177502194E-2</v>
      </c>
      <c r="AP130" s="4">
        <f t="shared" si="44"/>
        <v>3.5319190625345942E-2</v>
      </c>
      <c r="AQ130" s="4">
        <f t="shared" si="44"/>
        <v>2.3969442072658165E-2</v>
      </c>
      <c r="AR130" s="4">
        <f t="shared" si="44"/>
        <v>1.6202243558389728E-2</v>
      </c>
    </row>
    <row r="131" spans="1:44" x14ac:dyDescent="0.25">
      <c r="A131" s="24" t="s">
        <v>56</v>
      </c>
      <c r="B131" s="45">
        <f>'Parameter Input'!B172</f>
        <v>0.57333333333333336</v>
      </c>
      <c r="C131" s="46">
        <f>'Parameter Input'!C172</f>
        <v>0.57333333333333336</v>
      </c>
      <c r="D131" s="1" t="s">
        <v>57</v>
      </c>
      <c r="L131" s="54">
        <f>'Parameter Input'!E172</f>
        <v>17</v>
      </c>
      <c r="M131" s="37">
        <v>0</v>
      </c>
      <c r="N131" s="37">
        <v>1</v>
      </c>
      <c r="O131" s="37">
        <f>'Parameter Input'!F172</f>
        <v>0.9</v>
      </c>
      <c r="P131" s="55">
        <f>'Parameter Input'!G172</f>
        <v>0.4</v>
      </c>
      <c r="Q131" s="4">
        <f t="shared" si="45"/>
        <v>0.99780374543478534</v>
      </c>
      <c r="R131" s="4">
        <f t="shared" si="45"/>
        <v>0.99685359315256394</v>
      </c>
      <c r="S131" s="4">
        <f t="shared" si="45"/>
        <v>0.99549347132349975</v>
      </c>
      <c r="T131" s="4">
        <f t="shared" si="45"/>
        <v>0.99354772139898062</v>
      </c>
      <c r="U131" s="4">
        <f t="shared" si="45"/>
        <v>0.99076681540580536</v>
      </c>
      <c r="V131" s="4">
        <f t="shared" si="45"/>
        <v>0.9867978615748374</v>
      </c>
      <c r="W131" s="4">
        <f t="shared" si="45"/>
        <v>0.98114509762858249</v>
      </c>
      <c r="X131" s="4">
        <f t="shared" si="45"/>
        <v>0.97311898315872036</v>
      </c>
      <c r="Y131" s="4">
        <f t="shared" si="45"/>
        <v>0.96177484161592774</v>
      </c>
      <c r="Z131" s="4">
        <f t="shared" si="45"/>
        <v>0.94584787155511363</v>
      </c>
      <c r="AA131" s="4">
        <f t="shared" si="45"/>
        <v>0.92370360150141495</v>
      </c>
      <c r="AB131" s="4">
        <f t="shared" si="45"/>
        <v>0.89334463567658451</v>
      </c>
      <c r="AC131" s="4">
        <f t="shared" si="45"/>
        <v>0.85254543874327005</v>
      </c>
      <c r="AD131" s="4">
        <f t="shared" si="45"/>
        <v>0.79921300652623883</v>
      </c>
      <c r="AE131" s="4">
        <f t="shared" si="45"/>
        <v>0.73204982249993378</v>
      </c>
      <c r="AF131" s="4">
        <f t="shared" si="45"/>
        <v>0.65145592958786691</v>
      </c>
      <c r="AG131" s="4">
        <f t="shared" si="43"/>
        <v>0.56032247880849573</v>
      </c>
      <c r="AH131" s="4">
        <f t="shared" si="43"/>
        <v>0.46411326873185343</v>
      </c>
      <c r="AI131" s="4">
        <f t="shared" si="43"/>
        <v>0.36979727595523937</v>
      </c>
      <c r="AJ131" s="4">
        <f t="shared" si="44"/>
        <v>0.28393948637231203</v>
      </c>
      <c r="AK131" s="4">
        <f t="shared" si="44"/>
        <v>0.21097259161117732</v>
      </c>
      <c r="AL131" s="4">
        <f t="shared" si="44"/>
        <v>0.15253917653798199</v>
      </c>
      <c r="AM131" s="4">
        <f t="shared" si="44"/>
        <v>0.10795188737709993</v>
      </c>
      <c r="AN131" s="4">
        <f t="shared" si="44"/>
        <v>7.5176653938091809E-2</v>
      </c>
      <c r="AO131" s="4">
        <f t="shared" si="44"/>
        <v>5.1742836177502194E-2</v>
      </c>
      <c r="AP131" s="4">
        <f t="shared" si="44"/>
        <v>3.5319190625345942E-2</v>
      </c>
      <c r="AQ131" s="4">
        <f t="shared" si="44"/>
        <v>2.3969442072658165E-2</v>
      </c>
      <c r="AR131" s="4">
        <f t="shared" si="44"/>
        <v>1.6202243558389728E-2</v>
      </c>
    </row>
    <row r="132" spans="1:44" x14ac:dyDescent="0.25">
      <c r="A132" s="24" t="s">
        <v>73</v>
      </c>
      <c r="B132" s="45">
        <f>'Parameter Input'!$L$174</f>
        <v>0</v>
      </c>
      <c r="C132" s="46">
        <f>'Parameter Input'!$M$174</f>
        <v>0</v>
      </c>
      <c r="D132" s="1" t="s">
        <v>57</v>
      </c>
      <c r="L132" s="54">
        <f>'Parameter Input'!$O$162</f>
        <v>17</v>
      </c>
      <c r="M132" s="37">
        <v>0</v>
      </c>
      <c r="N132" s="37">
        <v>1</v>
      </c>
      <c r="O132" s="37">
        <f>'Parameter Input'!$P$162</f>
        <v>0.9</v>
      </c>
      <c r="P132" s="55">
        <f>'Parameter Input'!$Q$162</f>
        <v>0.4</v>
      </c>
      <c r="Q132" s="4">
        <f t="shared" si="45"/>
        <v>0.99780374543478534</v>
      </c>
      <c r="R132" s="4">
        <f t="shared" si="45"/>
        <v>0.99685359315256394</v>
      </c>
      <c r="S132" s="4">
        <f t="shared" si="45"/>
        <v>0.99549347132349975</v>
      </c>
      <c r="T132" s="4">
        <f t="shared" si="45"/>
        <v>0.99354772139898062</v>
      </c>
      <c r="U132" s="4">
        <f t="shared" si="45"/>
        <v>0.99076681540580536</v>
      </c>
      <c r="V132" s="4">
        <f t="shared" si="45"/>
        <v>0.9867978615748374</v>
      </c>
      <c r="W132" s="4">
        <f t="shared" si="45"/>
        <v>0.98114509762858249</v>
      </c>
      <c r="X132" s="4">
        <f t="shared" si="45"/>
        <v>0.97311898315872036</v>
      </c>
      <c r="Y132" s="4">
        <f t="shared" si="45"/>
        <v>0.96177484161592774</v>
      </c>
      <c r="Z132" s="4">
        <f t="shared" si="45"/>
        <v>0.94584787155511363</v>
      </c>
      <c r="AA132" s="4">
        <f t="shared" si="45"/>
        <v>0.92370360150141495</v>
      </c>
      <c r="AB132" s="4">
        <f t="shared" si="45"/>
        <v>0.89334463567658451</v>
      </c>
      <c r="AC132" s="4">
        <f t="shared" si="45"/>
        <v>0.85254543874327005</v>
      </c>
      <c r="AD132" s="4">
        <f t="shared" si="45"/>
        <v>0.79921300652623883</v>
      </c>
      <c r="AE132" s="4">
        <f t="shared" si="45"/>
        <v>0.73204982249993378</v>
      </c>
      <c r="AF132" s="4">
        <f t="shared" si="45"/>
        <v>0.65145592958786691</v>
      </c>
      <c r="AG132" s="4">
        <f t="shared" si="43"/>
        <v>0.56032247880849573</v>
      </c>
      <c r="AH132" s="4">
        <f t="shared" si="43"/>
        <v>0.46411326873185343</v>
      </c>
      <c r="AI132" s="4">
        <f t="shared" si="43"/>
        <v>0.36979727595523937</v>
      </c>
      <c r="AJ132" s="4">
        <f t="shared" si="44"/>
        <v>0.28393948637231203</v>
      </c>
      <c r="AK132" s="4">
        <f t="shared" si="44"/>
        <v>0.21097259161117732</v>
      </c>
      <c r="AL132" s="4">
        <f t="shared" si="44"/>
        <v>0.15253917653798199</v>
      </c>
      <c r="AM132" s="4">
        <f t="shared" si="44"/>
        <v>0.10795188737709993</v>
      </c>
      <c r="AN132" s="4">
        <f t="shared" si="44"/>
        <v>7.5176653938091809E-2</v>
      </c>
      <c r="AO132" s="4">
        <f t="shared" si="44"/>
        <v>5.1742836177502194E-2</v>
      </c>
      <c r="AP132" s="4">
        <f t="shared" si="44"/>
        <v>3.5319190625345942E-2</v>
      </c>
      <c r="AQ132" s="4">
        <f t="shared" si="44"/>
        <v>2.3969442072658165E-2</v>
      </c>
      <c r="AR132" s="4">
        <f t="shared" si="44"/>
        <v>1.6202243558389728E-2</v>
      </c>
    </row>
    <row r="133" spans="1:44" ht="15.75" thickBot="1" x14ac:dyDescent="0.3">
      <c r="A133" s="24" t="s">
        <v>64</v>
      </c>
      <c r="B133" s="49">
        <f>'Parameter Input'!B173</f>
        <v>120000</v>
      </c>
      <c r="C133" s="50">
        <f>'Parameter Input'!C173</f>
        <v>120000</v>
      </c>
      <c r="D133" s="1" t="s">
        <v>65</v>
      </c>
      <c r="L133" s="56">
        <f>'Parameter Input'!E173</f>
        <v>17</v>
      </c>
      <c r="M133" s="57">
        <v>0</v>
      </c>
      <c r="N133" s="57">
        <v>1</v>
      </c>
      <c r="O133" s="57">
        <f>'Parameter Input'!F173</f>
        <v>0.9</v>
      </c>
      <c r="P133" s="58">
        <f>'Parameter Input'!G173</f>
        <v>0.4</v>
      </c>
      <c r="Q133" s="4">
        <f t="shared" si="45"/>
        <v>0.99780374543478534</v>
      </c>
      <c r="R133" s="4">
        <f t="shared" si="45"/>
        <v>0.99685359315256394</v>
      </c>
      <c r="S133" s="4">
        <f t="shared" si="45"/>
        <v>0.99549347132349975</v>
      </c>
      <c r="T133" s="4">
        <f t="shared" si="45"/>
        <v>0.99354772139898062</v>
      </c>
      <c r="U133" s="4">
        <f t="shared" si="45"/>
        <v>0.99076681540580536</v>
      </c>
      <c r="V133" s="4">
        <f t="shared" si="45"/>
        <v>0.9867978615748374</v>
      </c>
      <c r="W133" s="4">
        <f t="shared" si="45"/>
        <v>0.98114509762858249</v>
      </c>
      <c r="X133" s="4">
        <f t="shared" si="45"/>
        <v>0.97311898315872036</v>
      </c>
      <c r="Y133" s="4">
        <f t="shared" si="45"/>
        <v>0.96177484161592774</v>
      </c>
      <c r="Z133" s="4">
        <f t="shared" si="45"/>
        <v>0.94584787155511363</v>
      </c>
      <c r="AA133" s="4">
        <f t="shared" si="45"/>
        <v>0.92370360150141495</v>
      </c>
      <c r="AB133" s="4">
        <f t="shared" si="45"/>
        <v>0.89334463567658451</v>
      </c>
      <c r="AC133" s="4">
        <f t="shared" si="45"/>
        <v>0.85254543874327005</v>
      </c>
      <c r="AD133" s="4">
        <f t="shared" si="45"/>
        <v>0.79921300652623883</v>
      </c>
      <c r="AE133" s="4">
        <f t="shared" si="45"/>
        <v>0.73204982249993378</v>
      </c>
      <c r="AF133" s="4">
        <f t="shared" si="45"/>
        <v>0.65145592958786691</v>
      </c>
      <c r="AG133" s="4">
        <f t="shared" si="43"/>
        <v>0.56032247880849573</v>
      </c>
      <c r="AH133" s="4">
        <f t="shared" si="43"/>
        <v>0.46411326873185343</v>
      </c>
      <c r="AI133" s="4">
        <f t="shared" si="43"/>
        <v>0.36979727595523937</v>
      </c>
      <c r="AJ133" s="4">
        <f t="shared" si="44"/>
        <v>0.28393948637231203</v>
      </c>
      <c r="AK133" s="4">
        <f t="shared" si="44"/>
        <v>0.21097259161117732</v>
      </c>
      <c r="AL133" s="4">
        <f t="shared" si="44"/>
        <v>0.15253917653798199</v>
      </c>
      <c r="AM133" s="4">
        <f t="shared" si="44"/>
        <v>0.10795188737709993</v>
      </c>
      <c r="AN133" s="4">
        <f t="shared" si="44"/>
        <v>7.5176653938091809E-2</v>
      </c>
      <c r="AO133" s="4">
        <f t="shared" si="44"/>
        <v>5.1742836177502194E-2</v>
      </c>
      <c r="AP133" s="4">
        <f t="shared" si="44"/>
        <v>3.5319190625345942E-2</v>
      </c>
      <c r="AQ133" s="4">
        <f t="shared" si="44"/>
        <v>2.3969442072658165E-2</v>
      </c>
      <c r="AR133" s="4">
        <f t="shared" si="44"/>
        <v>1.6202243558389728E-2</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51" si="46">A117</f>
        <v>Capex vehicle</v>
      </c>
      <c r="B137" s="62">
        <f t="shared" ref="B137:AC146" si="47">$B117+($C117-$B117)*(1-Q117)</f>
        <v>15000000</v>
      </c>
      <c r="C137" s="62">
        <f t="shared" si="47"/>
        <v>15000000</v>
      </c>
      <c r="D137" s="62">
        <f t="shared" si="47"/>
        <v>15000000</v>
      </c>
      <c r="E137" s="62">
        <f t="shared" si="47"/>
        <v>15000000</v>
      </c>
      <c r="F137" s="62">
        <f t="shared" si="47"/>
        <v>15000000</v>
      </c>
      <c r="G137" s="62">
        <f t="shared" si="47"/>
        <v>15000000</v>
      </c>
      <c r="H137" s="62">
        <f t="shared" si="47"/>
        <v>15000000</v>
      </c>
      <c r="I137" s="62">
        <f t="shared" si="47"/>
        <v>15000000</v>
      </c>
      <c r="J137" s="62">
        <f t="shared" si="47"/>
        <v>15000000</v>
      </c>
      <c r="K137" s="62">
        <f t="shared" si="47"/>
        <v>15000000</v>
      </c>
      <c r="L137" s="62">
        <f t="shared" si="47"/>
        <v>15000000</v>
      </c>
      <c r="M137" s="62">
        <f t="shared" si="47"/>
        <v>15000000</v>
      </c>
      <c r="N137" s="62">
        <f t="shared" si="47"/>
        <v>15000000</v>
      </c>
      <c r="O137" s="62">
        <f t="shared" si="47"/>
        <v>15000000</v>
      </c>
      <c r="P137" s="62">
        <f t="shared" si="47"/>
        <v>15000000</v>
      </c>
      <c r="Q137" s="62">
        <f t="shared" si="47"/>
        <v>15000000</v>
      </c>
      <c r="R137" s="62">
        <f t="shared" si="47"/>
        <v>15000000</v>
      </c>
      <c r="S137" s="62">
        <f t="shared" si="47"/>
        <v>15000000</v>
      </c>
      <c r="T137" s="62">
        <f t="shared" si="47"/>
        <v>15000000</v>
      </c>
      <c r="U137" s="62">
        <f t="shared" si="47"/>
        <v>15000000</v>
      </c>
      <c r="V137" s="62">
        <f t="shared" si="47"/>
        <v>15000000</v>
      </c>
      <c r="W137" s="62">
        <f t="shared" si="47"/>
        <v>15000000</v>
      </c>
      <c r="X137" s="62">
        <f t="shared" si="47"/>
        <v>15000000</v>
      </c>
      <c r="Y137" s="62">
        <f t="shared" si="47"/>
        <v>15000000</v>
      </c>
      <c r="Z137" s="62">
        <f t="shared" si="47"/>
        <v>15000000</v>
      </c>
      <c r="AA137" s="62">
        <f t="shared" si="47"/>
        <v>15000000</v>
      </c>
      <c r="AB137" s="62">
        <f t="shared" si="47"/>
        <v>15000000</v>
      </c>
      <c r="AC137" s="62">
        <f t="shared" si="47"/>
        <v>15000000</v>
      </c>
    </row>
    <row r="138" spans="1:44" x14ac:dyDescent="0.25">
      <c r="A138" s="30" t="str">
        <f t="shared" si="46"/>
        <v>Residual value (vehicle)</v>
      </c>
      <c r="B138" s="62">
        <f t="shared" si="47"/>
        <v>-1498352.8090760889</v>
      </c>
      <c r="C138" s="62">
        <f t="shared" si="47"/>
        <v>-1497640.194864423</v>
      </c>
      <c r="D138" s="62">
        <f t="shared" si="47"/>
        <v>-1496620.1034926248</v>
      </c>
      <c r="E138" s="62">
        <f t="shared" si="47"/>
        <v>-1495160.7910492355</v>
      </c>
      <c r="F138" s="62">
        <f t="shared" si="47"/>
        <v>-1493075.111554354</v>
      </c>
      <c r="G138" s="62">
        <f t="shared" si="47"/>
        <v>-1490098.396181128</v>
      </c>
      <c r="H138" s="62">
        <f t="shared" si="47"/>
        <v>-1485858.8232214369</v>
      </c>
      <c r="I138" s="62">
        <f t="shared" si="47"/>
        <v>-1479839.2373690403</v>
      </c>
      <c r="J138" s="62">
        <f t="shared" si="47"/>
        <v>-1471331.1312119458</v>
      </c>
      <c r="K138" s="62">
        <f t="shared" si="47"/>
        <v>-1459385.9036663352</v>
      </c>
      <c r="L138" s="62">
        <f t="shared" si="47"/>
        <v>-1442777.7011260611</v>
      </c>
      <c r="M138" s="62">
        <f t="shared" si="47"/>
        <v>-1420008.4767574384</v>
      </c>
      <c r="N138" s="62">
        <f t="shared" si="47"/>
        <v>-1389409.0790574525</v>
      </c>
      <c r="O138" s="62">
        <f t="shared" si="47"/>
        <v>-1349409.7548946792</v>
      </c>
      <c r="P138" s="62">
        <f t="shared" si="47"/>
        <v>-1299037.3668749502</v>
      </c>
      <c r="Q138" s="62">
        <f t="shared" si="47"/>
        <v>-1238591.9471909001</v>
      </c>
      <c r="R138" s="62">
        <f t="shared" si="47"/>
        <v>-1170241.8591063719</v>
      </c>
      <c r="S138" s="62">
        <f t="shared" si="47"/>
        <v>-1098084.9515488902</v>
      </c>
      <c r="T138" s="62">
        <f t="shared" si="47"/>
        <v>-1027347.9569664295</v>
      </c>
      <c r="U138" s="62">
        <f t="shared" si="47"/>
        <v>-962954.61477923405</v>
      </c>
      <c r="V138" s="62">
        <f t="shared" si="47"/>
        <v>-908229.44370838301</v>
      </c>
      <c r="W138" s="62">
        <f t="shared" si="47"/>
        <v>-864404.38240348652</v>
      </c>
      <c r="X138" s="62">
        <f t="shared" si="47"/>
        <v>-830963.91553282493</v>
      </c>
      <c r="Y138" s="62">
        <f t="shared" si="47"/>
        <v>-806382.49045356887</v>
      </c>
      <c r="Z138" s="62">
        <f t="shared" si="47"/>
        <v>-788807.1271331266</v>
      </c>
      <c r="AA138" s="62">
        <f t="shared" si="47"/>
        <v>-776489.39296900947</v>
      </c>
      <c r="AB138" s="62">
        <f t="shared" si="47"/>
        <v>-767977.08155449363</v>
      </c>
      <c r="AC138" s="62">
        <f t="shared" si="47"/>
        <v>-762151.68266879232</v>
      </c>
    </row>
    <row r="139" spans="1:44" x14ac:dyDescent="0.25">
      <c r="A139" s="30" t="str">
        <f t="shared" si="46"/>
        <v>Capex costumization</v>
      </c>
      <c r="B139" s="62">
        <f t="shared" si="47"/>
        <v>5000000</v>
      </c>
      <c r="C139" s="62">
        <f t="shared" si="47"/>
        <v>5000000</v>
      </c>
      <c r="D139" s="62">
        <f t="shared" si="47"/>
        <v>5000000</v>
      </c>
      <c r="E139" s="62">
        <f t="shared" si="47"/>
        <v>5000000</v>
      </c>
      <c r="F139" s="62">
        <f t="shared" si="47"/>
        <v>5000000</v>
      </c>
      <c r="G139" s="62">
        <f t="shared" si="47"/>
        <v>5000000</v>
      </c>
      <c r="H139" s="62">
        <f t="shared" si="47"/>
        <v>5000000</v>
      </c>
      <c r="I139" s="62">
        <f t="shared" si="47"/>
        <v>5000000</v>
      </c>
      <c r="J139" s="62">
        <f t="shared" si="47"/>
        <v>5000000</v>
      </c>
      <c r="K139" s="62">
        <f t="shared" si="47"/>
        <v>5000000</v>
      </c>
      <c r="L139" s="62">
        <f t="shared" si="47"/>
        <v>5000000</v>
      </c>
      <c r="M139" s="62">
        <f t="shared" si="47"/>
        <v>5000000</v>
      </c>
      <c r="N139" s="62">
        <f t="shared" si="47"/>
        <v>5000000</v>
      </c>
      <c r="O139" s="62">
        <f t="shared" si="47"/>
        <v>5000000</v>
      </c>
      <c r="P139" s="62">
        <f t="shared" si="47"/>
        <v>5000000</v>
      </c>
      <c r="Q139" s="62">
        <f t="shared" si="47"/>
        <v>5000000</v>
      </c>
      <c r="R139" s="62">
        <f t="shared" si="47"/>
        <v>5000000</v>
      </c>
      <c r="S139" s="62">
        <f t="shared" si="47"/>
        <v>5000000</v>
      </c>
      <c r="T139" s="62">
        <f t="shared" si="47"/>
        <v>5000000</v>
      </c>
      <c r="U139" s="62">
        <f t="shared" si="47"/>
        <v>5000000</v>
      </c>
      <c r="V139" s="62">
        <f t="shared" si="47"/>
        <v>5000000</v>
      </c>
      <c r="W139" s="62">
        <f t="shared" si="47"/>
        <v>5000000</v>
      </c>
      <c r="X139" s="62">
        <f t="shared" si="47"/>
        <v>5000000</v>
      </c>
      <c r="Y139" s="62">
        <f t="shared" si="47"/>
        <v>5000000</v>
      </c>
      <c r="Z139" s="62">
        <f t="shared" si="47"/>
        <v>5000000</v>
      </c>
      <c r="AA139" s="62">
        <f t="shared" si="47"/>
        <v>5000000</v>
      </c>
      <c r="AB139" s="62">
        <f t="shared" si="47"/>
        <v>5000000</v>
      </c>
      <c r="AC139" s="62">
        <f t="shared" si="47"/>
        <v>5000000</v>
      </c>
    </row>
    <row r="140" spans="1:44" x14ac:dyDescent="0.25">
      <c r="A140" s="30" t="str">
        <f t="shared" si="46"/>
        <v>Residual value (costumization)</v>
      </c>
      <c r="B140" s="62">
        <f t="shared" si="47"/>
        <v>-500000</v>
      </c>
      <c r="C140" s="62">
        <f t="shared" si="47"/>
        <v>-500000</v>
      </c>
      <c r="D140" s="62">
        <f t="shared" si="47"/>
        <v>-500000</v>
      </c>
      <c r="E140" s="62">
        <f t="shared" si="47"/>
        <v>-500000</v>
      </c>
      <c r="F140" s="62">
        <f t="shared" si="47"/>
        <v>-500000</v>
      </c>
      <c r="G140" s="62">
        <f t="shared" si="47"/>
        <v>-500000</v>
      </c>
      <c r="H140" s="62">
        <f t="shared" si="47"/>
        <v>-500000</v>
      </c>
      <c r="I140" s="62">
        <f t="shared" si="47"/>
        <v>-500000</v>
      </c>
      <c r="J140" s="62">
        <f t="shared" si="47"/>
        <v>-500000</v>
      </c>
      <c r="K140" s="62">
        <f t="shared" si="47"/>
        <v>-500000</v>
      </c>
      <c r="L140" s="62">
        <f t="shared" si="47"/>
        <v>-500000</v>
      </c>
      <c r="M140" s="62">
        <f t="shared" si="47"/>
        <v>-500000</v>
      </c>
      <c r="N140" s="62">
        <f t="shared" si="47"/>
        <v>-500000</v>
      </c>
      <c r="O140" s="62">
        <f t="shared" si="47"/>
        <v>-500000</v>
      </c>
      <c r="P140" s="62">
        <f t="shared" si="47"/>
        <v>-500000</v>
      </c>
      <c r="Q140" s="62">
        <f t="shared" si="47"/>
        <v>-500000</v>
      </c>
      <c r="R140" s="62">
        <f t="shared" si="47"/>
        <v>-500000</v>
      </c>
      <c r="S140" s="62">
        <f t="shared" si="47"/>
        <v>-500000</v>
      </c>
      <c r="T140" s="62">
        <f t="shared" si="47"/>
        <v>-500000</v>
      </c>
      <c r="U140" s="62">
        <f t="shared" si="47"/>
        <v>-500000</v>
      </c>
      <c r="V140" s="62">
        <f t="shared" si="47"/>
        <v>-500000</v>
      </c>
      <c r="W140" s="62">
        <f t="shared" si="47"/>
        <v>-500000</v>
      </c>
      <c r="X140" s="62">
        <f t="shared" si="47"/>
        <v>-500000</v>
      </c>
      <c r="Y140" s="62">
        <f t="shared" si="47"/>
        <v>-500000</v>
      </c>
      <c r="Z140" s="62">
        <f t="shared" si="47"/>
        <v>-500000</v>
      </c>
      <c r="AA140" s="62">
        <f t="shared" si="47"/>
        <v>-500000</v>
      </c>
      <c r="AB140" s="62">
        <f t="shared" si="47"/>
        <v>-500000</v>
      </c>
      <c r="AC140" s="62">
        <f t="shared" si="47"/>
        <v>-500000</v>
      </c>
    </row>
    <row r="141" spans="1:44" x14ac:dyDescent="0.25">
      <c r="A141" s="30" t="str">
        <f t="shared" si="46"/>
        <v>WACC</v>
      </c>
      <c r="B141" s="66">
        <f>$B121+($C121-$B121)*(1-Q121)</f>
        <v>0.06</v>
      </c>
      <c r="C141" s="62">
        <f t="shared" si="47"/>
        <v>0.06</v>
      </c>
      <c r="D141" s="62">
        <f t="shared" si="47"/>
        <v>0.06</v>
      </c>
      <c r="E141" s="62">
        <f t="shared" si="47"/>
        <v>0.06</v>
      </c>
      <c r="F141" s="62">
        <f t="shared" si="47"/>
        <v>0.06</v>
      </c>
      <c r="G141" s="62">
        <f t="shared" si="47"/>
        <v>0.06</v>
      </c>
      <c r="H141" s="62">
        <f t="shared" si="47"/>
        <v>0.06</v>
      </c>
      <c r="I141" s="62">
        <f t="shared" si="47"/>
        <v>0.06</v>
      </c>
      <c r="J141" s="62">
        <f t="shared" si="47"/>
        <v>0.06</v>
      </c>
      <c r="K141" s="62">
        <f t="shared" si="47"/>
        <v>0.06</v>
      </c>
      <c r="L141" s="62">
        <f t="shared" si="47"/>
        <v>0.06</v>
      </c>
      <c r="M141" s="62">
        <f t="shared" si="47"/>
        <v>0.06</v>
      </c>
      <c r="N141" s="62">
        <f t="shared" si="47"/>
        <v>0.06</v>
      </c>
      <c r="O141" s="62">
        <f t="shared" si="47"/>
        <v>0.06</v>
      </c>
      <c r="P141" s="62">
        <f t="shared" si="47"/>
        <v>0.06</v>
      </c>
      <c r="Q141" s="62">
        <f t="shared" si="47"/>
        <v>0.06</v>
      </c>
      <c r="R141" s="62">
        <f t="shared" si="47"/>
        <v>0.06</v>
      </c>
      <c r="S141" s="62">
        <f t="shared" si="47"/>
        <v>0.06</v>
      </c>
      <c r="T141" s="62">
        <f t="shared" si="47"/>
        <v>0.06</v>
      </c>
      <c r="U141" s="62">
        <f t="shared" si="47"/>
        <v>0.06</v>
      </c>
      <c r="V141" s="62">
        <f t="shared" si="47"/>
        <v>0.06</v>
      </c>
      <c r="W141" s="62">
        <f t="shared" si="47"/>
        <v>0.06</v>
      </c>
      <c r="X141" s="62">
        <f t="shared" si="47"/>
        <v>0.06</v>
      </c>
      <c r="Y141" s="62">
        <f t="shared" si="47"/>
        <v>0.06</v>
      </c>
      <c r="Z141" s="62">
        <f t="shared" si="47"/>
        <v>0.06</v>
      </c>
      <c r="AA141" s="62">
        <f t="shared" si="47"/>
        <v>0.06</v>
      </c>
      <c r="AB141" s="62">
        <f t="shared" si="47"/>
        <v>0.06</v>
      </c>
      <c r="AC141" s="62">
        <f t="shared" si="47"/>
        <v>0.06</v>
      </c>
    </row>
    <row r="142" spans="1:44" x14ac:dyDescent="0.25">
      <c r="A142" s="30" t="str">
        <f t="shared" si="46"/>
        <v>Opex fix (admin, crew, insurance)</v>
      </c>
      <c r="B142" s="62">
        <f t="shared" si="47"/>
        <v>1208235.294117647</v>
      </c>
      <c r="C142" s="62">
        <f t="shared" si="47"/>
        <v>1208235.294117647</v>
      </c>
      <c r="D142" s="62">
        <f t="shared" si="47"/>
        <v>1208235.294117647</v>
      </c>
      <c r="E142" s="62">
        <f t="shared" si="47"/>
        <v>1208235.294117647</v>
      </c>
      <c r="F142" s="62">
        <f t="shared" si="47"/>
        <v>1208235.294117647</v>
      </c>
      <c r="G142" s="62">
        <f t="shared" si="47"/>
        <v>1208235.294117647</v>
      </c>
      <c r="H142" s="62">
        <f t="shared" si="47"/>
        <v>1208235.294117647</v>
      </c>
      <c r="I142" s="62">
        <f t="shared" si="47"/>
        <v>1208235.294117647</v>
      </c>
      <c r="J142" s="62">
        <f t="shared" si="47"/>
        <v>1208235.294117647</v>
      </c>
      <c r="K142" s="62">
        <f t="shared" si="47"/>
        <v>1208235.294117647</v>
      </c>
      <c r="L142" s="62">
        <f t="shared" si="47"/>
        <v>1208235.294117647</v>
      </c>
      <c r="M142" s="62">
        <f t="shared" si="47"/>
        <v>1208235.294117647</v>
      </c>
      <c r="N142" s="62">
        <f t="shared" si="47"/>
        <v>1208235.294117647</v>
      </c>
      <c r="O142" s="62">
        <f t="shared" si="47"/>
        <v>1208235.294117647</v>
      </c>
      <c r="P142" s="62">
        <f t="shared" si="47"/>
        <v>1208235.294117647</v>
      </c>
      <c r="Q142" s="62">
        <f t="shared" si="47"/>
        <v>1208235.294117647</v>
      </c>
      <c r="R142" s="62">
        <f t="shared" si="47"/>
        <v>1208235.294117647</v>
      </c>
      <c r="S142" s="62">
        <f t="shared" si="47"/>
        <v>1208235.294117647</v>
      </c>
      <c r="T142" s="62">
        <f t="shared" si="47"/>
        <v>1208235.294117647</v>
      </c>
      <c r="U142" s="62">
        <f t="shared" si="47"/>
        <v>1208235.294117647</v>
      </c>
      <c r="V142" s="62">
        <f t="shared" si="47"/>
        <v>1208235.294117647</v>
      </c>
      <c r="W142" s="62">
        <f t="shared" si="47"/>
        <v>1208235.294117647</v>
      </c>
      <c r="X142" s="62">
        <f t="shared" si="47"/>
        <v>1208235.294117647</v>
      </c>
      <c r="Y142" s="62">
        <f t="shared" si="47"/>
        <v>1208235.294117647</v>
      </c>
      <c r="Z142" s="62">
        <f t="shared" si="47"/>
        <v>1208235.294117647</v>
      </c>
      <c r="AA142" s="62">
        <f t="shared" si="47"/>
        <v>1208235.294117647</v>
      </c>
      <c r="AB142" s="62">
        <f t="shared" si="47"/>
        <v>1208235.294117647</v>
      </c>
      <c r="AC142" s="62">
        <f t="shared" si="47"/>
        <v>1208235.294117647</v>
      </c>
    </row>
    <row r="143" spans="1:44" x14ac:dyDescent="0.25">
      <c r="A143" s="30" t="str">
        <f t="shared" si="46"/>
        <v>Opex maintenance &amp; repair</v>
      </c>
      <c r="B143" s="62">
        <f t="shared" si="47"/>
        <v>488235.29411764705</v>
      </c>
      <c r="C143" s="62">
        <f t="shared" si="47"/>
        <v>488235.29411764705</v>
      </c>
      <c r="D143" s="62">
        <f t="shared" si="47"/>
        <v>488235.29411764705</v>
      </c>
      <c r="E143" s="62">
        <f t="shared" si="47"/>
        <v>488235.29411764705</v>
      </c>
      <c r="F143" s="62">
        <f t="shared" si="47"/>
        <v>488235.29411764705</v>
      </c>
      <c r="G143" s="62">
        <f t="shared" si="47"/>
        <v>488235.29411764705</v>
      </c>
      <c r="H143" s="62">
        <f t="shared" si="47"/>
        <v>488235.29411764705</v>
      </c>
      <c r="I143" s="62">
        <f t="shared" si="47"/>
        <v>488235.29411764705</v>
      </c>
      <c r="J143" s="62">
        <f t="shared" si="47"/>
        <v>488235.29411764705</v>
      </c>
      <c r="K143" s="62">
        <f t="shared" si="47"/>
        <v>488235.29411764705</v>
      </c>
      <c r="L143" s="62">
        <f t="shared" si="47"/>
        <v>488235.29411764705</v>
      </c>
      <c r="M143" s="62">
        <f t="shared" si="47"/>
        <v>488235.29411764705</v>
      </c>
      <c r="N143" s="62">
        <f t="shared" si="47"/>
        <v>488235.29411764705</v>
      </c>
      <c r="O143" s="62">
        <f t="shared" si="47"/>
        <v>488235.29411764705</v>
      </c>
      <c r="P143" s="62">
        <f t="shared" si="47"/>
        <v>488235.29411764705</v>
      </c>
      <c r="Q143" s="62">
        <f t="shared" si="47"/>
        <v>488235.29411764705</v>
      </c>
      <c r="R143" s="62">
        <f t="shared" si="47"/>
        <v>488235.29411764705</v>
      </c>
      <c r="S143" s="62">
        <f t="shared" si="47"/>
        <v>488235.29411764705</v>
      </c>
      <c r="T143" s="62">
        <f t="shared" si="47"/>
        <v>488235.29411764705</v>
      </c>
      <c r="U143" s="62">
        <f t="shared" si="47"/>
        <v>488235.29411764705</v>
      </c>
      <c r="V143" s="62">
        <f t="shared" si="47"/>
        <v>488235.29411764705</v>
      </c>
      <c r="W143" s="62">
        <f t="shared" si="47"/>
        <v>488235.29411764705</v>
      </c>
      <c r="X143" s="62">
        <f t="shared" si="47"/>
        <v>488235.29411764705</v>
      </c>
      <c r="Y143" s="62">
        <f t="shared" si="47"/>
        <v>488235.29411764705</v>
      </c>
      <c r="Z143" s="62">
        <f t="shared" si="47"/>
        <v>488235.29411764705</v>
      </c>
      <c r="AA143" s="62">
        <f t="shared" si="47"/>
        <v>488235.29411764705</v>
      </c>
      <c r="AB143" s="62">
        <f t="shared" si="47"/>
        <v>488235.29411764705</v>
      </c>
      <c r="AC143" s="62">
        <f t="shared" si="47"/>
        <v>488235.29411764705</v>
      </c>
    </row>
    <row r="144" spans="1:44" x14ac:dyDescent="0.25">
      <c r="A144" s="30" t="str">
        <f t="shared" si="46"/>
        <v>Opex var (mode-fees)</v>
      </c>
      <c r="B144" s="62">
        <f t="shared" si="47"/>
        <v>1.6886890630966982</v>
      </c>
      <c r="C144" s="62">
        <f t="shared" si="47"/>
        <v>1.6886890630966982</v>
      </c>
      <c r="D144" s="62">
        <f t="shared" si="47"/>
        <v>1.6886890630966982</v>
      </c>
      <c r="E144" s="62">
        <f t="shared" si="47"/>
        <v>1.6886890630966982</v>
      </c>
      <c r="F144" s="62">
        <f t="shared" si="47"/>
        <v>1.6886890630966982</v>
      </c>
      <c r="G144" s="62">
        <f t="shared" si="47"/>
        <v>1.6886890630966982</v>
      </c>
      <c r="H144" s="62">
        <f t="shared" si="47"/>
        <v>1.6886890630966982</v>
      </c>
      <c r="I144" s="62">
        <f t="shared" si="47"/>
        <v>1.6886890630966982</v>
      </c>
      <c r="J144" s="62">
        <f t="shared" si="47"/>
        <v>1.6886890630966982</v>
      </c>
      <c r="K144" s="62">
        <f t="shared" si="47"/>
        <v>1.6886890630966982</v>
      </c>
      <c r="L144" s="62">
        <f t="shared" si="47"/>
        <v>1.6886890630966982</v>
      </c>
      <c r="M144" s="62">
        <f t="shared" si="47"/>
        <v>1.6886890630966982</v>
      </c>
      <c r="N144" s="62">
        <f t="shared" si="47"/>
        <v>1.6886890630966982</v>
      </c>
      <c r="O144" s="62">
        <f t="shared" si="47"/>
        <v>1.6886890630966982</v>
      </c>
      <c r="P144" s="62">
        <f t="shared" si="47"/>
        <v>1.6886890630966982</v>
      </c>
      <c r="Q144" s="62">
        <f t="shared" si="47"/>
        <v>1.6886890630966982</v>
      </c>
      <c r="R144" s="62">
        <f t="shared" si="47"/>
        <v>1.6886890630966982</v>
      </c>
      <c r="S144" s="62">
        <f t="shared" si="47"/>
        <v>1.6886890630966982</v>
      </c>
      <c r="T144" s="62">
        <f t="shared" si="47"/>
        <v>1.6886890630966982</v>
      </c>
      <c r="U144" s="62">
        <f t="shared" si="47"/>
        <v>1.6886890630966982</v>
      </c>
      <c r="V144" s="62">
        <f t="shared" si="47"/>
        <v>1.6886890630966982</v>
      </c>
      <c r="W144" s="62">
        <f t="shared" si="47"/>
        <v>1.6886890630966982</v>
      </c>
      <c r="X144" s="62">
        <f t="shared" si="47"/>
        <v>1.6886890630966982</v>
      </c>
      <c r="Y144" s="62">
        <f t="shared" si="47"/>
        <v>1.6886890630966982</v>
      </c>
      <c r="Z144" s="62">
        <f t="shared" si="47"/>
        <v>1.6886890630966982</v>
      </c>
      <c r="AA144" s="62">
        <f t="shared" si="47"/>
        <v>1.6886890630966982</v>
      </c>
      <c r="AB144" s="62">
        <f t="shared" si="47"/>
        <v>1.6886890630966982</v>
      </c>
      <c r="AC144" s="62">
        <f t="shared" si="47"/>
        <v>1.6886890630966982</v>
      </c>
    </row>
    <row r="145" spans="1:29" x14ac:dyDescent="0.25">
      <c r="A145" s="30" t="str">
        <f t="shared" si="46"/>
        <v>Fuel Economy</v>
      </c>
      <c r="B145" s="62">
        <f t="shared" si="47"/>
        <v>646.89677603543487</v>
      </c>
      <c r="C145" s="62">
        <f t="shared" si="47"/>
        <v>646.85211887817047</v>
      </c>
      <c r="D145" s="62">
        <f t="shared" si="47"/>
        <v>646.78819315220449</v>
      </c>
      <c r="E145" s="62">
        <f t="shared" si="47"/>
        <v>646.6967429057521</v>
      </c>
      <c r="F145" s="62">
        <f t="shared" si="47"/>
        <v>646.5660403240729</v>
      </c>
      <c r="G145" s="62">
        <f t="shared" si="47"/>
        <v>646.37949949401741</v>
      </c>
      <c r="H145" s="62">
        <f t="shared" si="47"/>
        <v>646.11381958854338</v>
      </c>
      <c r="I145" s="62">
        <f t="shared" si="47"/>
        <v>645.73659220845991</v>
      </c>
      <c r="J145" s="62">
        <f t="shared" si="47"/>
        <v>645.20341755594859</v>
      </c>
      <c r="K145" s="62">
        <f t="shared" si="47"/>
        <v>644.4548499630904</v>
      </c>
      <c r="L145" s="62">
        <f t="shared" si="47"/>
        <v>643.41406927056653</v>
      </c>
      <c r="M145" s="62">
        <f t="shared" si="47"/>
        <v>641.98719787679943</v>
      </c>
      <c r="N145" s="62">
        <f t="shared" si="47"/>
        <v>640.0696356209337</v>
      </c>
      <c r="O145" s="62">
        <f t="shared" si="47"/>
        <v>637.56301130673319</v>
      </c>
      <c r="P145" s="62">
        <f t="shared" si="47"/>
        <v>634.40634165749691</v>
      </c>
      <c r="Q145" s="62">
        <f t="shared" si="47"/>
        <v>630.6184286906298</v>
      </c>
      <c r="R145" s="62">
        <f t="shared" si="47"/>
        <v>626.33515650399931</v>
      </c>
      <c r="S145" s="62">
        <f t="shared" si="47"/>
        <v>621.81332363039712</v>
      </c>
      <c r="T145" s="62">
        <f t="shared" si="47"/>
        <v>617.38047196989623</v>
      </c>
      <c r="U145" s="62">
        <f t="shared" si="47"/>
        <v>613.34515585949862</v>
      </c>
      <c r="V145" s="62">
        <f t="shared" si="47"/>
        <v>609.91571180572532</v>
      </c>
      <c r="W145" s="62">
        <f t="shared" si="47"/>
        <v>607.1693412972852</v>
      </c>
      <c r="X145" s="62">
        <f t="shared" si="47"/>
        <v>605.0737387067237</v>
      </c>
      <c r="Y145" s="62">
        <f t="shared" si="47"/>
        <v>603.53330273509027</v>
      </c>
      <c r="Z145" s="62">
        <f t="shared" si="47"/>
        <v>602.43191330034256</v>
      </c>
      <c r="AA145" s="62">
        <f t="shared" si="47"/>
        <v>601.66000195939125</v>
      </c>
      <c r="AB145" s="62">
        <f t="shared" si="47"/>
        <v>601.12656377741496</v>
      </c>
      <c r="AC145" s="62">
        <f t="shared" si="47"/>
        <v>600.7615054472443</v>
      </c>
    </row>
    <row r="146" spans="1:29" x14ac:dyDescent="0.25">
      <c r="A146" s="30" t="str">
        <f t="shared" si="46"/>
        <v>Fuel Cost</v>
      </c>
      <c r="B146" s="62">
        <f t="shared" si="47"/>
        <v>3.1399999999999997E-2</v>
      </c>
      <c r="C146" s="62">
        <f t="shared" si="47"/>
        <v>3.1399999999999997E-2</v>
      </c>
      <c r="D146" s="62">
        <f t="shared" si="47"/>
        <v>3.1399999999999997E-2</v>
      </c>
      <c r="E146" s="62">
        <f t="shared" ref="E146:AC146" si="48">$B126+($C126-$B126)*(1-T126)</f>
        <v>3.1399999999999997E-2</v>
      </c>
      <c r="F146" s="62">
        <f t="shared" si="48"/>
        <v>3.1399999999999997E-2</v>
      </c>
      <c r="G146" s="62">
        <f t="shared" si="48"/>
        <v>3.1399999999999997E-2</v>
      </c>
      <c r="H146" s="62">
        <f t="shared" si="48"/>
        <v>3.1399999999999997E-2</v>
      </c>
      <c r="I146" s="62">
        <f t="shared" si="48"/>
        <v>3.1399999999999997E-2</v>
      </c>
      <c r="J146" s="62">
        <f t="shared" si="48"/>
        <v>3.1399999999999997E-2</v>
      </c>
      <c r="K146" s="62">
        <f t="shared" si="48"/>
        <v>3.1399999999999997E-2</v>
      </c>
      <c r="L146" s="62">
        <f t="shared" si="48"/>
        <v>3.1399999999999997E-2</v>
      </c>
      <c r="M146" s="62">
        <f t="shared" si="48"/>
        <v>3.1399999999999997E-2</v>
      </c>
      <c r="N146" s="62">
        <f t="shared" si="48"/>
        <v>3.1399999999999997E-2</v>
      </c>
      <c r="O146" s="62">
        <f t="shared" si="48"/>
        <v>3.1399999999999997E-2</v>
      </c>
      <c r="P146" s="62">
        <f t="shared" si="48"/>
        <v>3.1399999999999997E-2</v>
      </c>
      <c r="Q146" s="62">
        <f t="shared" si="48"/>
        <v>3.1399999999999997E-2</v>
      </c>
      <c r="R146" s="62">
        <f t="shared" si="48"/>
        <v>3.1399999999999997E-2</v>
      </c>
      <c r="S146" s="62">
        <f t="shared" si="48"/>
        <v>3.1399999999999997E-2</v>
      </c>
      <c r="T146" s="62">
        <f t="shared" si="48"/>
        <v>3.1399999999999997E-2</v>
      </c>
      <c r="U146" s="62">
        <f t="shared" si="48"/>
        <v>3.1399999999999997E-2</v>
      </c>
      <c r="V146" s="62">
        <f t="shared" si="48"/>
        <v>3.1399999999999997E-2</v>
      </c>
      <c r="W146" s="62">
        <f t="shared" si="48"/>
        <v>3.1399999999999997E-2</v>
      </c>
      <c r="X146" s="62">
        <f t="shared" si="48"/>
        <v>3.1399999999999997E-2</v>
      </c>
      <c r="Y146" s="62">
        <f t="shared" si="48"/>
        <v>3.1399999999999997E-2</v>
      </c>
      <c r="Z146" s="62">
        <f t="shared" si="48"/>
        <v>3.1399999999999997E-2</v>
      </c>
      <c r="AA146" s="62">
        <f t="shared" si="48"/>
        <v>3.1399999999999997E-2</v>
      </c>
      <c r="AB146" s="62">
        <f t="shared" si="48"/>
        <v>3.1399999999999997E-2</v>
      </c>
      <c r="AC146" s="62">
        <f t="shared" si="48"/>
        <v>3.1399999999999997E-2</v>
      </c>
    </row>
    <row r="147" spans="1:29" x14ac:dyDescent="0.25">
      <c r="A147" s="30" t="str">
        <f t="shared" si="46"/>
        <v>Emission Cost</v>
      </c>
      <c r="B147" s="98">
        <f>$B127+($C127-$B127)*(1-Q127)</f>
        <v>18.267003557738562</v>
      </c>
      <c r="C147" s="98">
        <f t="shared" ref="C147:AC150" si="49">$B127+($C127-$B127)*(1-R127)</f>
        <v>18.305790458980148</v>
      </c>
      <c r="D147" s="98">
        <f t="shared" si="49"/>
        <v>18.361313044198909</v>
      </c>
      <c r="E147" s="98">
        <f t="shared" si="49"/>
        <v>18.440742006877084</v>
      </c>
      <c r="F147" s="98">
        <f t="shared" si="49"/>
        <v>18.554263521414992</v>
      </c>
      <c r="G147" s="98">
        <f t="shared" si="49"/>
        <v>18.716283255677226</v>
      </c>
      <c r="H147" s="98">
        <f t="shared" si="49"/>
        <v>18.947039105058323</v>
      </c>
      <c r="I147" s="98">
        <f t="shared" si="49"/>
        <v>19.274679331915838</v>
      </c>
      <c r="J147" s="98">
        <f t="shared" si="49"/>
        <v>19.737767308363324</v>
      </c>
      <c r="K147" s="98">
        <f t="shared" si="49"/>
        <v>20.387934472496433</v>
      </c>
      <c r="L147" s="98">
        <f t="shared" si="49"/>
        <v>21.291902848630563</v>
      </c>
      <c r="M147" s="98">
        <f t="shared" si="49"/>
        <v>22.53120967478624</v>
      </c>
      <c r="N147" s="98">
        <f t="shared" si="49"/>
        <v>24.196705250388863</v>
      </c>
      <c r="O147" s="98">
        <f t="shared" si="49"/>
        <v>26.37382971778402</v>
      </c>
      <c r="P147" s="98">
        <f t="shared" si="49"/>
        <v>29.115550002671711</v>
      </c>
      <c r="Q147" s="98">
        <f t="shared" si="49"/>
        <v>32.405535643443841</v>
      </c>
      <c r="R147" s="98">
        <f t="shared" si="49"/>
        <v>36.125764728112543</v>
      </c>
      <c r="S147" s="98">
        <f t="shared" si="49"/>
        <v>40.053195309081424</v>
      </c>
      <c r="T147" s="98">
        <f t="shared" si="49"/>
        <v>43.903341402269703</v>
      </c>
      <c r="U147" s="98">
        <f t="shared" si="49"/>
        <v>47.40820864059085</v>
      </c>
      <c r="V147" s="98">
        <f t="shared" si="49"/>
        <v>50.386846690471195</v>
      </c>
      <c r="W147" s="98">
        <f t="shared" si="49"/>
        <v>52.772202324574174</v>
      </c>
      <c r="X147" s="98">
        <f t="shared" si="49"/>
        <v>54.592334543032798</v>
      </c>
      <c r="Y147" s="98">
        <f t="shared" si="49"/>
        <v>55.93027769841482</v>
      </c>
      <c r="Z147" s="98">
        <f t="shared" si="49"/>
        <v>56.886887698938416</v>
      </c>
      <c r="AA147" s="98">
        <f t="shared" si="49"/>
        <v>57.557330037474898</v>
      </c>
      <c r="AB147" s="98">
        <f t="shared" si="49"/>
        <v>58.020646902010256</v>
      </c>
      <c r="AC147" s="98">
        <f t="shared" si="49"/>
        <v>58.337717720376737</v>
      </c>
    </row>
    <row r="148" spans="1:29" x14ac:dyDescent="0.25">
      <c r="A148" s="30" t="str">
        <f t="shared" si="46"/>
        <v>Lifetime vehicle</v>
      </c>
      <c r="B148" s="62">
        <f>$B128+($C128-$B128)*(1-Q128)</f>
        <v>25</v>
      </c>
      <c r="C148" s="62">
        <f t="shared" si="49"/>
        <v>25</v>
      </c>
      <c r="D148" s="62">
        <f t="shared" si="49"/>
        <v>25</v>
      </c>
      <c r="E148" s="62">
        <f t="shared" si="49"/>
        <v>25</v>
      </c>
      <c r="F148" s="62">
        <f t="shared" si="49"/>
        <v>25</v>
      </c>
      <c r="G148" s="62">
        <f t="shared" si="49"/>
        <v>25</v>
      </c>
      <c r="H148" s="62">
        <f t="shared" si="49"/>
        <v>25</v>
      </c>
      <c r="I148" s="62">
        <f t="shared" si="49"/>
        <v>25</v>
      </c>
      <c r="J148" s="62">
        <f t="shared" si="49"/>
        <v>25</v>
      </c>
      <c r="K148" s="62">
        <f t="shared" si="49"/>
        <v>25</v>
      </c>
      <c r="L148" s="62">
        <f t="shared" si="49"/>
        <v>25</v>
      </c>
      <c r="M148" s="62">
        <f t="shared" si="49"/>
        <v>25</v>
      </c>
      <c r="N148" s="62">
        <f t="shared" si="49"/>
        <v>25</v>
      </c>
      <c r="O148" s="62">
        <f t="shared" si="49"/>
        <v>25</v>
      </c>
      <c r="P148" s="62">
        <f t="shared" si="49"/>
        <v>25</v>
      </c>
      <c r="Q148" s="62">
        <f t="shared" si="49"/>
        <v>25</v>
      </c>
      <c r="R148" s="62">
        <f t="shared" si="49"/>
        <v>25</v>
      </c>
      <c r="S148" s="62">
        <f t="shared" si="49"/>
        <v>25</v>
      </c>
      <c r="T148" s="62">
        <f t="shared" si="49"/>
        <v>25</v>
      </c>
      <c r="U148" s="62">
        <f t="shared" si="49"/>
        <v>25</v>
      </c>
      <c r="V148" s="62">
        <f t="shared" si="49"/>
        <v>25</v>
      </c>
      <c r="W148" s="62">
        <f t="shared" si="49"/>
        <v>25</v>
      </c>
      <c r="X148" s="62">
        <f t="shared" si="49"/>
        <v>25</v>
      </c>
      <c r="Y148" s="62">
        <f t="shared" si="49"/>
        <v>25</v>
      </c>
      <c r="Z148" s="62">
        <f t="shared" si="49"/>
        <v>25</v>
      </c>
      <c r="AA148" s="62">
        <f t="shared" si="49"/>
        <v>25</v>
      </c>
      <c r="AB148" s="62">
        <f t="shared" si="49"/>
        <v>25</v>
      </c>
      <c r="AC148" s="62">
        <f t="shared" si="49"/>
        <v>25</v>
      </c>
    </row>
    <row r="149" spans="1:29" x14ac:dyDescent="0.25">
      <c r="A149" s="30" t="str">
        <f t="shared" si="46"/>
        <v>Lifetime costumization</v>
      </c>
      <c r="B149" s="62">
        <f>$B129+($C129-$B129)*(1-Q129)</f>
        <v>25</v>
      </c>
      <c r="C149" s="62">
        <f t="shared" si="49"/>
        <v>25</v>
      </c>
      <c r="D149" s="62">
        <f t="shared" si="49"/>
        <v>25</v>
      </c>
      <c r="E149" s="62">
        <f t="shared" si="49"/>
        <v>25</v>
      </c>
      <c r="F149" s="62">
        <f t="shared" si="49"/>
        <v>25</v>
      </c>
      <c r="G149" s="62">
        <f t="shared" si="49"/>
        <v>25</v>
      </c>
      <c r="H149" s="62">
        <f t="shared" si="49"/>
        <v>25</v>
      </c>
      <c r="I149" s="62">
        <f t="shared" si="49"/>
        <v>25</v>
      </c>
      <c r="J149" s="62">
        <f t="shared" si="49"/>
        <v>25</v>
      </c>
      <c r="K149" s="62">
        <f t="shared" si="49"/>
        <v>25</v>
      </c>
      <c r="L149" s="62">
        <f t="shared" si="49"/>
        <v>25</v>
      </c>
      <c r="M149" s="62">
        <f t="shared" si="49"/>
        <v>25</v>
      </c>
      <c r="N149" s="62">
        <f t="shared" si="49"/>
        <v>25</v>
      </c>
      <c r="O149" s="62">
        <f t="shared" si="49"/>
        <v>25</v>
      </c>
      <c r="P149" s="62">
        <f t="shared" si="49"/>
        <v>25</v>
      </c>
      <c r="Q149" s="62">
        <f t="shared" si="49"/>
        <v>25</v>
      </c>
      <c r="R149" s="62">
        <f t="shared" si="49"/>
        <v>25</v>
      </c>
      <c r="S149" s="62">
        <f t="shared" si="49"/>
        <v>25</v>
      </c>
      <c r="T149" s="62">
        <f t="shared" si="49"/>
        <v>25</v>
      </c>
      <c r="U149" s="62">
        <f t="shared" si="49"/>
        <v>25</v>
      </c>
      <c r="V149" s="62">
        <f t="shared" si="49"/>
        <v>25</v>
      </c>
      <c r="W149" s="62">
        <f t="shared" si="49"/>
        <v>25</v>
      </c>
      <c r="X149" s="62">
        <f t="shared" si="49"/>
        <v>25</v>
      </c>
      <c r="Y149" s="62">
        <f t="shared" si="49"/>
        <v>25</v>
      </c>
      <c r="Z149" s="62">
        <f t="shared" si="49"/>
        <v>25</v>
      </c>
      <c r="AA149" s="62">
        <f t="shared" si="49"/>
        <v>25</v>
      </c>
      <c r="AB149" s="62">
        <f t="shared" si="49"/>
        <v>25</v>
      </c>
      <c r="AC149" s="62">
        <f t="shared" si="49"/>
        <v>25</v>
      </c>
    </row>
    <row r="150" spans="1:29" x14ac:dyDescent="0.25">
      <c r="A150" s="30" t="str">
        <f t="shared" si="46"/>
        <v>Tonnage .</v>
      </c>
      <c r="B150" s="62">
        <f>$B130+($C130-$B130)*(1-Q130)</f>
        <v>9450</v>
      </c>
      <c r="C150" s="62">
        <f t="shared" si="49"/>
        <v>9450</v>
      </c>
      <c r="D150" s="62">
        <f t="shared" si="49"/>
        <v>9450</v>
      </c>
      <c r="E150" s="62">
        <f t="shared" si="49"/>
        <v>9450</v>
      </c>
      <c r="F150" s="62">
        <f t="shared" si="49"/>
        <v>9450</v>
      </c>
      <c r="G150" s="62">
        <f t="shared" si="49"/>
        <v>9450</v>
      </c>
      <c r="H150" s="62">
        <f t="shared" si="49"/>
        <v>9450</v>
      </c>
      <c r="I150" s="62">
        <f t="shared" si="49"/>
        <v>9450</v>
      </c>
      <c r="J150" s="62">
        <f t="shared" si="49"/>
        <v>9450</v>
      </c>
      <c r="K150" s="62">
        <f t="shared" si="49"/>
        <v>9450</v>
      </c>
      <c r="L150" s="62">
        <f t="shared" si="49"/>
        <v>9450</v>
      </c>
      <c r="M150" s="62">
        <f t="shared" si="49"/>
        <v>9450</v>
      </c>
      <c r="N150" s="62">
        <f t="shared" si="49"/>
        <v>9450</v>
      </c>
      <c r="O150" s="62">
        <f t="shared" si="49"/>
        <v>9450</v>
      </c>
      <c r="P150" s="62">
        <f t="shared" si="49"/>
        <v>9450</v>
      </c>
      <c r="Q150" s="62">
        <f t="shared" si="49"/>
        <v>9450</v>
      </c>
      <c r="R150" s="62">
        <f t="shared" si="49"/>
        <v>9450</v>
      </c>
      <c r="S150" s="62">
        <f t="shared" si="49"/>
        <v>9450</v>
      </c>
      <c r="T150" s="62">
        <f t="shared" si="49"/>
        <v>9450</v>
      </c>
      <c r="U150" s="62">
        <f t="shared" si="49"/>
        <v>9450</v>
      </c>
      <c r="V150" s="62">
        <f t="shared" si="49"/>
        <v>9450</v>
      </c>
      <c r="W150" s="62">
        <f t="shared" si="49"/>
        <v>9450</v>
      </c>
      <c r="X150" s="62">
        <f t="shared" si="49"/>
        <v>9450</v>
      </c>
      <c r="Y150" s="62">
        <f t="shared" si="49"/>
        <v>9450</v>
      </c>
      <c r="Z150" s="62">
        <f t="shared" si="49"/>
        <v>9450</v>
      </c>
      <c r="AA150" s="62">
        <f t="shared" si="49"/>
        <v>9450</v>
      </c>
      <c r="AB150" s="62">
        <f t="shared" si="49"/>
        <v>9450</v>
      </c>
      <c r="AC150" s="62">
        <f t="shared" si="49"/>
        <v>9450</v>
      </c>
    </row>
    <row r="151" spans="1:29" x14ac:dyDescent="0.25">
      <c r="A151" s="30" t="str">
        <f t="shared" si="46"/>
        <v>Market failure (av. utilization)</v>
      </c>
      <c r="B151" s="62">
        <f t="shared" ref="B151:AC152" si="50">($B131+($C131-$B131)*(1-Q131))*B$44</f>
        <v>5418</v>
      </c>
      <c r="C151" s="62">
        <f t="shared" si="50"/>
        <v>5418</v>
      </c>
      <c r="D151" s="62">
        <f t="shared" si="50"/>
        <v>5418</v>
      </c>
      <c r="E151" s="62">
        <f t="shared" si="50"/>
        <v>5418</v>
      </c>
      <c r="F151" s="62">
        <f t="shared" si="50"/>
        <v>5418</v>
      </c>
      <c r="G151" s="62">
        <f t="shared" si="50"/>
        <v>5418</v>
      </c>
      <c r="H151" s="62">
        <f t="shared" si="50"/>
        <v>5418</v>
      </c>
      <c r="I151" s="62">
        <f t="shared" si="50"/>
        <v>5418</v>
      </c>
      <c r="J151" s="62">
        <f t="shared" si="50"/>
        <v>5418</v>
      </c>
      <c r="K151" s="62">
        <f t="shared" si="50"/>
        <v>5418</v>
      </c>
      <c r="L151" s="62">
        <f t="shared" si="50"/>
        <v>5418</v>
      </c>
      <c r="M151" s="62">
        <f t="shared" si="50"/>
        <v>5418</v>
      </c>
      <c r="N151" s="62">
        <f t="shared" si="50"/>
        <v>5418</v>
      </c>
      <c r="O151" s="62">
        <f t="shared" si="50"/>
        <v>5418</v>
      </c>
      <c r="P151" s="62">
        <f t="shared" si="50"/>
        <v>5418</v>
      </c>
      <c r="Q151" s="62">
        <f t="shared" si="50"/>
        <v>5418</v>
      </c>
      <c r="R151" s="62">
        <f t="shared" si="50"/>
        <v>5418</v>
      </c>
      <c r="S151" s="62">
        <f t="shared" si="50"/>
        <v>5418</v>
      </c>
      <c r="T151" s="62">
        <f t="shared" si="50"/>
        <v>5418</v>
      </c>
      <c r="U151" s="62">
        <f t="shared" si="50"/>
        <v>5418</v>
      </c>
      <c r="V151" s="62">
        <f t="shared" si="50"/>
        <v>5418</v>
      </c>
      <c r="W151" s="62">
        <f t="shared" si="50"/>
        <v>5418</v>
      </c>
      <c r="X151" s="62">
        <f t="shared" si="50"/>
        <v>5418</v>
      </c>
      <c r="Y151" s="62">
        <f t="shared" si="50"/>
        <v>5418</v>
      </c>
      <c r="Z151" s="62">
        <f t="shared" si="50"/>
        <v>5418</v>
      </c>
      <c r="AA151" s="62">
        <f t="shared" si="50"/>
        <v>5418</v>
      </c>
      <c r="AB151" s="62">
        <f t="shared" si="50"/>
        <v>5418</v>
      </c>
      <c r="AC151" s="62">
        <f t="shared" si="50"/>
        <v>5418</v>
      </c>
    </row>
    <row r="152" spans="1:29" x14ac:dyDescent="0.25">
      <c r="A152" s="30" t="s">
        <v>73</v>
      </c>
      <c r="B152" s="62">
        <f t="shared" si="50"/>
        <v>0</v>
      </c>
      <c r="C152" s="62">
        <f t="shared" si="50"/>
        <v>0</v>
      </c>
      <c r="D152" s="62">
        <f t="shared" si="50"/>
        <v>0</v>
      </c>
      <c r="E152" s="62">
        <f t="shared" si="50"/>
        <v>0</v>
      </c>
      <c r="F152" s="62">
        <f t="shared" si="50"/>
        <v>0</v>
      </c>
      <c r="G152" s="62">
        <f t="shared" si="50"/>
        <v>0</v>
      </c>
      <c r="H152" s="62">
        <f t="shared" si="50"/>
        <v>0</v>
      </c>
      <c r="I152" s="62">
        <f t="shared" si="50"/>
        <v>0</v>
      </c>
      <c r="J152" s="62">
        <f t="shared" si="50"/>
        <v>0</v>
      </c>
      <c r="K152" s="62">
        <f t="shared" si="50"/>
        <v>0</v>
      </c>
      <c r="L152" s="62">
        <f t="shared" si="50"/>
        <v>0</v>
      </c>
      <c r="M152" s="62">
        <f t="shared" si="50"/>
        <v>0</v>
      </c>
      <c r="N152" s="62">
        <f t="shared" si="50"/>
        <v>0</v>
      </c>
      <c r="O152" s="62">
        <f t="shared" si="50"/>
        <v>0</v>
      </c>
      <c r="P152" s="62">
        <f t="shared" si="50"/>
        <v>0</v>
      </c>
      <c r="Q152" s="62">
        <f t="shared" si="50"/>
        <v>0</v>
      </c>
      <c r="R152" s="62">
        <f t="shared" si="50"/>
        <v>0</v>
      </c>
      <c r="S152" s="62">
        <f t="shared" si="50"/>
        <v>0</v>
      </c>
      <c r="T152" s="62">
        <f t="shared" si="50"/>
        <v>0</v>
      </c>
      <c r="U152" s="62">
        <f t="shared" si="50"/>
        <v>0</v>
      </c>
      <c r="V152" s="62">
        <f t="shared" si="50"/>
        <v>0</v>
      </c>
      <c r="W152" s="62">
        <f t="shared" si="50"/>
        <v>0</v>
      </c>
      <c r="X152" s="62">
        <f t="shared" si="50"/>
        <v>0</v>
      </c>
      <c r="Y152" s="62">
        <f t="shared" si="50"/>
        <v>0</v>
      </c>
      <c r="Z152" s="62">
        <f t="shared" si="50"/>
        <v>0</v>
      </c>
      <c r="AA152" s="62">
        <f t="shared" si="50"/>
        <v>0</v>
      </c>
      <c r="AB152" s="62">
        <f t="shared" si="50"/>
        <v>0</v>
      </c>
      <c r="AC152" s="62">
        <f t="shared" si="50"/>
        <v>0</v>
      </c>
    </row>
    <row r="153" spans="1:29" x14ac:dyDescent="0.25">
      <c r="A153" s="30" t="str">
        <f>A133</f>
        <v>Annual Mileage</v>
      </c>
      <c r="B153" s="62">
        <f t="shared" ref="B153:AC153" si="51">$B133+($C133-$B133)*(1-Q133)</f>
        <v>120000</v>
      </c>
      <c r="C153" s="62">
        <f t="shared" si="51"/>
        <v>120000</v>
      </c>
      <c r="D153" s="62">
        <f t="shared" si="51"/>
        <v>120000</v>
      </c>
      <c r="E153" s="62">
        <f t="shared" si="51"/>
        <v>120000</v>
      </c>
      <c r="F153" s="62">
        <f t="shared" si="51"/>
        <v>120000</v>
      </c>
      <c r="G153" s="62">
        <f t="shared" si="51"/>
        <v>120000</v>
      </c>
      <c r="H153" s="62">
        <f t="shared" si="51"/>
        <v>120000</v>
      </c>
      <c r="I153" s="62">
        <f t="shared" si="51"/>
        <v>120000</v>
      </c>
      <c r="J153" s="62">
        <f t="shared" si="51"/>
        <v>120000</v>
      </c>
      <c r="K153" s="62">
        <f t="shared" si="51"/>
        <v>120000</v>
      </c>
      <c r="L153" s="62">
        <f t="shared" si="51"/>
        <v>120000</v>
      </c>
      <c r="M153" s="62">
        <f t="shared" si="51"/>
        <v>120000</v>
      </c>
      <c r="N153" s="62">
        <f t="shared" si="51"/>
        <v>120000</v>
      </c>
      <c r="O153" s="62">
        <f t="shared" si="51"/>
        <v>120000</v>
      </c>
      <c r="P153" s="62">
        <f t="shared" si="51"/>
        <v>120000</v>
      </c>
      <c r="Q153" s="62">
        <f t="shared" si="51"/>
        <v>120000</v>
      </c>
      <c r="R153" s="62">
        <f t="shared" si="51"/>
        <v>120000</v>
      </c>
      <c r="S153" s="62">
        <f t="shared" si="51"/>
        <v>120000</v>
      </c>
      <c r="T153" s="62">
        <f t="shared" si="51"/>
        <v>120000</v>
      </c>
      <c r="U153" s="62">
        <f t="shared" si="51"/>
        <v>120000</v>
      </c>
      <c r="V153" s="62">
        <f t="shared" si="51"/>
        <v>120000</v>
      </c>
      <c r="W153" s="62">
        <f t="shared" si="51"/>
        <v>120000</v>
      </c>
      <c r="X153" s="62">
        <f t="shared" si="51"/>
        <v>120000</v>
      </c>
      <c r="Y153" s="62">
        <f t="shared" si="51"/>
        <v>120000</v>
      </c>
      <c r="Z153" s="62">
        <f t="shared" si="51"/>
        <v>120000</v>
      </c>
      <c r="AA153" s="62">
        <f t="shared" si="51"/>
        <v>120000</v>
      </c>
      <c r="AB153" s="62">
        <f t="shared" si="51"/>
        <v>120000</v>
      </c>
      <c r="AC153" s="62">
        <f t="shared" si="51"/>
        <v>120000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1173400.7731841092</v>
      </c>
      <c r="C156" s="63">
        <f t="shared" ref="C156:AC156" si="52">((1+C141)^C148)*C141/(((1+C141)^C148)-1)*(C137)</f>
        <v>1173400.7731841092</v>
      </c>
      <c r="D156" s="63">
        <f t="shared" si="52"/>
        <v>1173400.7731841092</v>
      </c>
      <c r="E156" s="63">
        <f t="shared" si="52"/>
        <v>1173400.7731841092</v>
      </c>
      <c r="F156" s="63">
        <f t="shared" si="52"/>
        <v>1173400.7731841092</v>
      </c>
      <c r="G156" s="63">
        <f t="shared" si="52"/>
        <v>1173400.7731841092</v>
      </c>
      <c r="H156" s="63">
        <f t="shared" si="52"/>
        <v>1173400.7731841092</v>
      </c>
      <c r="I156" s="63">
        <f t="shared" si="52"/>
        <v>1173400.7731841092</v>
      </c>
      <c r="J156" s="63">
        <f t="shared" si="52"/>
        <v>1173400.7731841092</v>
      </c>
      <c r="K156" s="63">
        <f t="shared" si="52"/>
        <v>1173400.7731841092</v>
      </c>
      <c r="L156" s="63">
        <f t="shared" si="52"/>
        <v>1173400.7731841092</v>
      </c>
      <c r="M156" s="63">
        <f t="shared" si="52"/>
        <v>1173400.7731841092</v>
      </c>
      <c r="N156" s="63">
        <f t="shared" si="52"/>
        <v>1173400.7731841092</v>
      </c>
      <c r="O156" s="63">
        <f t="shared" si="52"/>
        <v>1173400.7731841092</v>
      </c>
      <c r="P156" s="63">
        <f t="shared" si="52"/>
        <v>1173400.7731841092</v>
      </c>
      <c r="Q156" s="63">
        <f t="shared" si="52"/>
        <v>1173400.7731841092</v>
      </c>
      <c r="R156" s="63">
        <f t="shared" si="52"/>
        <v>1173400.7731841092</v>
      </c>
      <c r="S156" s="63">
        <f t="shared" si="52"/>
        <v>1173400.7731841092</v>
      </c>
      <c r="T156" s="63">
        <f t="shared" si="52"/>
        <v>1173400.7731841092</v>
      </c>
      <c r="U156" s="63">
        <f t="shared" si="52"/>
        <v>1173400.7731841092</v>
      </c>
      <c r="V156" s="63">
        <f t="shared" si="52"/>
        <v>1173400.7731841092</v>
      </c>
      <c r="W156" s="63">
        <f t="shared" si="52"/>
        <v>1173400.7731841092</v>
      </c>
      <c r="X156" s="63">
        <f t="shared" si="52"/>
        <v>1173400.7731841092</v>
      </c>
      <c r="Y156" s="63">
        <f t="shared" si="52"/>
        <v>1173400.7731841092</v>
      </c>
      <c r="Z156" s="63">
        <f t="shared" si="52"/>
        <v>1173400.7731841092</v>
      </c>
      <c r="AA156" s="63">
        <f t="shared" si="52"/>
        <v>1173400.7731841092</v>
      </c>
      <c r="AB156" s="63">
        <f t="shared" si="52"/>
        <v>1173400.7731841092</v>
      </c>
      <c r="AC156" s="63">
        <f t="shared" si="52"/>
        <v>1173400.7731841092</v>
      </c>
    </row>
    <row r="157" spans="1:29" x14ac:dyDescent="0.25">
      <c r="A157" s="30" t="str">
        <f>A138</f>
        <v>Residual value (vehicle)</v>
      </c>
      <c r="B157" s="62">
        <f>((1+B141)^B148)*B141/(((1+B141)^B148)-1)*(B138)</f>
        <v>-117211.22297816433</v>
      </c>
      <c r="C157" s="62">
        <f t="shared" ref="C157:AC157" si="53">((1+C141)^C148)*C141/(((1+C141)^C148)-1)*(C138)</f>
        <v>-117155.47750703427</v>
      </c>
      <c r="D157" s="62">
        <f t="shared" si="53"/>
        <v>-117075.67910674184</v>
      </c>
      <c r="E157" s="62">
        <f t="shared" si="53"/>
        <v>-116961.52188344915</v>
      </c>
      <c r="F157" s="62">
        <f t="shared" si="53"/>
        <v>-116798.36602132194</v>
      </c>
      <c r="G157" s="62">
        <f t="shared" si="53"/>
        <v>-116565.50734662244</v>
      </c>
      <c r="H157" s="62">
        <f t="shared" si="53"/>
        <v>-116233.85946736432</v>
      </c>
      <c r="I157" s="62">
        <f t="shared" si="53"/>
        <v>-115762.96702113429</v>
      </c>
      <c r="J157" s="62">
        <f t="shared" si="53"/>
        <v>-115097.40579826315</v>
      </c>
      <c r="K157" s="62">
        <f t="shared" si="53"/>
        <v>-114162.96984907117</v>
      </c>
      <c r="L157" s="62">
        <f t="shared" si="53"/>
        <v>-112863.76466894078</v>
      </c>
      <c r="M157" s="62">
        <f t="shared" si="53"/>
        <v>-111082.60297034449</v>
      </c>
      <c r="N157" s="62">
        <f t="shared" si="53"/>
        <v>-108688.91250900239</v>
      </c>
      <c r="O157" s="62">
        <f t="shared" si="53"/>
        <v>-105559.89664903973</v>
      </c>
      <c r="P157" s="62">
        <f t="shared" si="53"/>
        <v>-101619.43004574107</v>
      </c>
      <c r="Q157" s="62">
        <f t="shared" si="53"/>
        <v>-96890.983232894243</v>
      </c>
      <c r="R157" s="62">
        <f t="shared" si="53"/>
        <v>-91544.180152521745</v>
      </c>
      <c r="S157" s="62">
        <f t="shared" si="53"/>
        <v>-85899.582077953528</v>
      </c>
      <c r="T157" s="62">
        <f t="shared" si="53"/>
        <v>-80366.059135568226</v>
      </c>
      <c r="U157" s="62">
        <f t="shared" si="53"/>
        <v>-75328.779301543953</v>
      </c>
      <c r="V157" s="62">
        <f t="shared" si="53"/>
        <v>-71047.808765066002</v>
      </c>
      <c r="W157" s="62">
        <f t="shared" si="53"/>
        <v>-67619.518043732241</v>
      </c>
      <c r="X157" s="62">
        <f t="shared" si="53"/>
        <v>-65003.580064954105</v>
      </c>
      <c r="Y157" s="62">
        <f t="shared" si="53"/>
        <v>-63080.655852023017</v>
      </c>
      <c r="Z157" s="62">
        <f t="shared" si="53"/>
        <v>-61705.792858076449</v>
      </c>
      <c r="AA157" s="62">
        <f t="shared" si="53"/>
        <v>-60742.216938606354</v>
      </c>
      <c r="AB157" s="62">
        <f t="shared" si="53"/>
        <v>-60076.3267522479</v>
      </c>
      <c r="AC157" s="62">
        <f t="shared" si="53"/>
        <v>-59620.624915142049</v>
      </c>
    </row>
    <row r="158" spans="1:29" x14ac:dyDescent="0.25">
      <c r="A158" s="30" t="str">
        <f>A139</f>
        <v>Capex costumization</v>
      </c>
      <c r="B158" s="62">
        <f>((1+B141)^B149)*B141/(((1+B141)^B149)-1)*(B139)</f>
        <v>391133.59106136975</v>
      </c>
      <c r="C158" s="62">
        <f t="shared" ref="C158:AC158" si="54">((1+C141)^C149)*C141/(((1+C141)^C149)-1)*(C139)</f>
        <v>391133.59106136975</v>
      </c>
      <c r="D158" s="62">
        <f t="shared" si="54"/>
        <v>391133.59106136975</v>
      </c>
      <c r="E158" s="62">
        <f t="shared" si="54"/>
        <v>391133.59106136975</v>
      </c>
      <c r="F158" s="62">
        <f t="shared" si="54"/>
        <v>391133.59106136975</v>
      </c>
      <c r="G158" s="62">
        <f t="shared" si="54"/>
        <v>391133.59106136975</v>
      </c>
      <c r="H158" s="62">
        <f t="shared" si="54"/>
        <v>391133.59106136975</v>
      </c>
      <c r="I158" s="62">
        <f t="shared" si="54"/>
        <v>391133.59106136975</v>
      </c>
      <c r="J158" s="62">
        <f t="shared" si="54"/>
        <v>391133.59106136975</v>
      </c>
      <c r="K158" s="62">
        <f t="shared" si="54"/>
        <v>391133.59106136975</v>
      </c>
      <c r="L158" s="62">
        <f t="shared" si="54"/>
        <v>391133.59106136975</v>
      </c>
      <c r="M158" s="62">
        <f t="shared" si="54"/>
        <v>391133.59106136975</v>
      </c>
      <c r="N158" s="62">
        <f t="shared" si="54"/>
        <v>391133.59106136975</v>
      </c>
      <c r="O158" s="62">
        <f t="shared" si="54"/>
        <v>391133.59106136975</v>
      </c>
      <c r="P158" s="62">
        <f t="shared" si="54"/>
        <v>391133.59106136975</v>
      </c>
      <c r="Q158" s="62">
        <f t="shared" si="54"/>
        <v>391133.59106136975</v>
      </c>
      <c r="R158" s="62">
        <f t="shared" si="54"/>
        <v>391133.59106136975</v>
      </c>
      <c r="S158" s="62">
        <f t="shared" si="54"/>
        <v>391133.59106136975</v>
      </c>
      <c r="T158" s="62">
        <f t="shared" si="54"/>
        <v>391133.59106136975</v>
      </c>
      <c r="U158" s="62">
        <f t="shared" si="54"/>
        <v>391133.59106136975</v>
      </c>
      <c r="V158" s="62">
        <f t="shared" si="54"/>
        <v>391133.59106136975</v>
      </c>
      <c r="W158" s="62">
        <f t="shared" si="54"/>
        <v>391133.59106136975</v>
      </c>
      <c r="X158" s="62">
        <f t="shared" si="54"/>
        <v>391133.59106136975</v>
      </c>
      <c r="Y158" s="62">
        <f t="shared" si="54"/>
        <v>391133.59106136975</v>
      </c>
      <c r="Z158" s="62">
        <f t="shared" si="54"/>
        <v>391133.59106136975</v>
      </c>
      <c r="AA158" s="62">
        <f t="shared" si="54"/>
        <v>391133.59106136975</v>
      </c>
      <c r="AB158" s="62">
        <f t="shared" si="54"/>
        <v>391133.59106136975</v>
      </c>
      <c r="AC158" s="62">
        <f t="shared" si="54"/>
        <v>391133.59106136975</v>
      </c>
    </row>
    <row r="159" spans="1:29" x14ac:dyDescent="0.25">
      <c r="A159" s="30" t="str">
        <f>A140</f>
        <v>Residual value (costumization)</v>
      </c>
      <c r="B159" s="62">
        <f>((1+B141)^B149)*B141/(((1+B141)^B149)-1)*(B140)</f>
        <v>-39113.359106136973</v>
      </c>
      <c r="C159" s="62">
        <f t="shared" ref="C159:AC159" si="55">((1+C141)^C149)*C141/(((1+C141)^C149)-1)*(C140)</f>
        <v>-39113.359106136973</v>
      </c>
      <c r="D159" s="62">
        <f t="shared" si="55"/>
        <v>-39113.359106136973</v>
      </c>
      <c r="E159" s="62">
        <f t="shared" si="55"/>
        <v>-39113.359106136973</v>
      </c>
      <c r="F159" s="62">
        <f t="shared" si="55"/>
        <v>-39113.359106136973</v>
      </c>
      <c r="G159" s="62">
        <f t="shared" si="55"/>
        <v>-39113.359106136973</v>
      </c>
      <c r="H159" s="62">
        <f t="shared" si="55"/>
        <v>-39113.359106136973</v>
      </c>
      <c r="I159" s="62">
        <f t="shared" si="55"/>
        <v>-39113.359106136973</v>
      </c>
      <c r="J159" s="62">
        <f t="shared" si="55"/>
        <v>-39113.359106136973</v>
      </c>
      <c r="K159" s="62">
        <f t="shared" si="55"/>
        <v>-39113.359106136973</v>
      </c>
      <c r="L159" s="62">
        <f t="shared" si="55"/>
        <v>-39113.359106136973</v>
      </c>
      <c r="M159" s="62">
        <f t="shared" si="55"/>
        <v>-39113.359106136973</v>
      </c>
      <c r="N159" s="62">
        <f t="shared" si="55"/>
        <v>-39113.359106136973</v>
      </c>
      <c r="O159" s="62">
        <f t="shared" si="55"/>
        <v>-39113.359106136973</v>
      </c>
      <c r="P159" s="62">
        <f t="shared" si="55"/>
        <v>-39113.359106136973</v>
      </c>
      <c r="Q159" s="62">
        <f t="shared" si="55"/>
        <v>-39113.359106136973</v>
      </c>
      <c r="R159" s="62">
        <f t="shared" si="55"/>
        <v>-39113.359106136973</v>
      </c>
      <c r="S159" s="62">
        <f t="shared" si="55"/>
        <v>-39113.359106136973</v>
      </c>
      <c r="T159" s="62">
        <f t="shared" si="55"/>
        <v>-39113.359106136973</v>
      </c>
      <c r="U159" s="62">
        <f t="shared" si="55"/>
        <v>-39113.359106136973</v>
      </c>
      <c r="V159" s="62">
        <f t="shared" si="55"/>
        <v>-39113.359106136973</v>
      </c>
      <c r="W159" s="62">
        <f t="shared" si="55"/>
        <v>-39113.359106136973</v>
      </c>
      <c r="X159" s="62">
        <f t="shared" si="55"/>
        <v>-39113.359106136973</v>
      </c>
      <c r="Y159" s="62">
        <f t="shared" si="55"/>
        <v>-39113.359106136973</v>
      </c>
      <c r="Z159" s="62">
        <f t="shared" si="55"/>
        <v>-39113.359106136973</v>
      </c>
      <c r="AA159" s="62">
        <f t="shared" si="55"/>
        <v>-39113.359106136973</v>
      </c>
      <c r="AB159" s="62">
        <f t="shared" si="55"/>
        <v>-39113.359106136973</v>
      </c>
      <c r="AC159" s="62">
        <f t="shared" si="55"/>
        <v>-39113.359106136973</v>
      </c>
    </row>
    <row r="160" spans="1:29" x14ac:dyDescent="0.25">
      <c r="A160" s="30" t="str">
        <f t="shared" ref="A160:AC161" si="56">A142</f>
        <v>Opex fix (admin, crew, insurance)</v>
      </c>
      <c r="B160" s="62">
        <f t="shared" si="56"/>
        <v>1208235.294117647</v>
      </c>
      <c r="C160" s="62">
        <f t="shared" si="56"/>
        <v>1208235.294117647</v>
      </c>
      <c r="D160" s="62">
        <f t="shared" si="56"/>
        <v>1208235.294117647</v>
      </c>
      <c r="E160" s="62">
        <f t="shared" si="56"/>
        <v>1208235.294117647</v>
      </c>
      <c r="F160" s="62">
        <f t="shared" si="56"/>
        <v>1208235.294117647</v>
      </c>
      <c r="G160" s="62">
        <f t="shared" si="56"/>
        <v>1208235.294117647</v>
      </c>
      <c r="H160" s="62">
        <f t="shared" si="56"/>
        <v>1208235.294117647</v>
      </c>
      <c r="I160" s="62">
        <f t="shared" si="56"/>
        <v>1208235.294117647</v>
      </c>
      <c r="J160" s="62">
        <f t="shared" si="56"/>
        <v>1208235.294117647</v>
      </c>
      <c r="K160" s="62">
        <f t="shared" si="56"/>
        <v>1208235.294117647</v>
      </c>
      <c r="L160" s="62">
        <f t="shared" si="56"/>
        <v>1208235.294117647</v>
      </c>
      <c r="M160" s="62">
        <f t="shared" si="56"/>
        <v>1208235.294117647</v>
      </c>
      <c r="N160" s="62">
        <f t="shared" si="56"/>
        <v>1208235.294117647</v>
      </c>
      <c r="O160" s="62">
        <f t="shared" si="56"/>
        <v>1208235.294117647</v>
      </c>
      <c r="P160" s="62">
        <f t="shared" si="56"/>
        <v>1208235.294117647</v>
      </c>
      <c r="Q160" s="62">
        <f t="shared" si="56"/>
        <v>1208235.294117647</v>
      </c>
      <c r="R160" s="62">
        <f t="shared" si="56"/>
        <v>1208235.294117647</v>
      </c>
      <c r="S160" s="62">
        <f t="shared" si="56"/>
        <v>1208235.294117647</v>
      </c>
      <c r="T160" s="62">
        <f t="shared" si="56"/>
        <v>1208235.294117647</v>
      </c>
      <c r="U160" s="62">
        <f t="shared" si="56"/>
        <v>1208235.294117647</v>
      </c>
      <c r="V160" s="62">
        <f t="shared" si="56"/>
        <v>1208235.294117647</v>
      </c>
      <c r="W160" s="62">
        <f t="shared" si="56"/>
        <v>1208235.294117647</v>
      </c>
      <c r="X160" s="62">
        <f t="shared" si="56"/>
        <v>1208235.294117647</v>
      </c>
      <c r="Y160" s="62">
        <f t="shared" si="56"/>
        <v>1208235.294117647</v>
      </c>
      <c r="Z160" s="62">
        <f t="shared" si="56"/>
        <v>1208235.294117647</v>
      </c>
      <c r="AA160" s="62">
        <f t="shared" si="56"/>
        <v>1208235.294117647</v>
      </c>
      <c r="AB160" s="62">
        <f t="shared" si="56"/>
        <v>1208235.294117647</v>
      </c>
      <c r="AC160" s="62">
        <f t="shared" si="56"/>
        <v>1208235.294117647</v>
      </c>
    </row>
    <row r="161" spans="1:29" x14ac:dyDescent="0.25">
      <c r="A161" s="30" t="str">
        <f t="shared" si="56"/>
        <v>Opex maintenance &amp; repair</v>
      </c>
      <c r="B161" s="62">
        <f t="shared" si="56"/>
        <v>488235.29411764705</v>
      </c>
      <c r="C161" s="62">
        <f t="shared" si="56"/>
        <v>488235.29411764705</v>
      </c>
      <c r="D161" s="62">
        <f t="shared" si="56"/>
        <v>488235.29411764705</v>
      </c>
      <c r="E161" s="62">
        <f t="shared" si="56"/>
        <v>488235.29411764705</v>
      </c>
      <c r="F161" s="62">
        <f t="shared" si="56"/>
        <v>488235.29411764705</v>
      </c>
      <c r="G161" s="62">
        <f t="shared" si="56"/>
        <v>488235.29411764705</v>
      </c>
      <c r="H161" s="62">
        <f t="shared" si="56"/>
        <v>488235.29411764705</v>
      </c>
      <c r="I161" s="62">
        <f t="shared" si="56"/>
        <v>488235.29411764705</v>
      </c>
      <c r="J161" s="62">
        <f t="shared" si="56"/>
        <v>488235.29411764705</v>
      </c>
      <c r="K161" s="62">
        <f t="shared" si="56"/>
        <v>488235.29411764705</v>
      </c>
      <c r="L161" s="62">
        <f t="shared" si="56"/>
        <v>488235.29411764705</v>
      </c>
      <c r="M161" s="62">
        <f t="shared" si="56"/>
        <v>488235.29411764705</v>
      </c>
      <c r="N161" s="62">
        <f t="shared" si="56"/>
        <v>488235.29411764705</v>
      </c>
      <c r="O161" s="62">
        <f t="shared" si="56"/>
        <v>488235.29411764705</v>
      </c>
      <c r="P161" s="62">
        <f t="shared" si="56"/>
        <v>488235.29411764705</v>
      </c>
      <c r="Q161" s="62">
        <f t="shared" si="56"/>
        <v>488235.29411764705</v>
      </c>
      <c r="R161" s="62">
        <f t="shared" si="56"/>
        <v>488235.29411764705</v>
      </c>
      <c r="S161" s="62">
        <f t="shared" si="56"/>
        <v>488235.29411764705</v>
      </c>
      <c r="T161" s="62">
        <f t="shared" si="56"/>
        <v>488235.29411764705</v>
      </c>
      <c r="U161" s="62">
        <f t="shared" si="56"/>
        <v>488235.29411764705</v>
      </c>
      <c r="V161" s="62">
        <f t="shared" si="56"/>
        <v>488235.29411764705</v>
      </c>
      <c r="W161" s="62">
        <f t="shared" si="56"/>
        <v>488235.29411764705</v>
      </c>
      <c r="X161" s="62">
        <f t="shared" si="56"/>
        <v>488235.29411764705</v>
      </c>
      <c r="Y161" s="62">
        <f t="shared" si="56"/>
        <v>488235.29411764705</v>
      </c>
      <c r="Z161" s="62">
        <f t="shared" si="56"/>
        <v>488235.29411764705</v>
      </c>
      <c r="AA161" s="62">
        <f t="shared" si="56"/>
        <v>488235.29411764705</v>
      </c>
      <c r="AB161" s="62">
        <f t="shared" si="56"/>
        <v>488235.29411764705</v>
      </c>
      <c r="AC161" s="62">
        <f t="shared" si="56"/>
        <v>488235.29411764705</v>
      </c>
    </row>
    <row r="162" spans="1:29" x14ac:dyDescent="0.25">
      <c r="A162" s="30" t="str">
        <f>A144</f>
        <v>Opex var (mode-fees)</v>
      </c>
      <c r="B162" s="62">
        <f>B144*B153</f>
        <v>202642.68757160378</v>
      </c>
      <c r="C162" s="62">
        <f t="shared" ref="C162:AC162" si="57">C144*C153</f>
        <v>202642.68757160378</v>
      </c>
      <c r="D162" s="62">
        <f t="shared" si="57"/>
        <v>202642.68757160378</v>
      </c>
      <c r="E162" s="62">
        <f t="shared" si="57"/>
        <v>202642.68757160378</v>
      </c>
      <c r="F162" s="62">
        <f t="shared" si="57"/>
        <v>202642.68757160378</v>
      </c>
      <c r="G162" s="62">
        <f t="shared" si="57"/>
        <v>202642.68757160378</v>
      </c>
      <c r="H162" s="62">
        <f t="shared" si="57"/>
        <v>202642.68757160378</v>
      </c>
      <c r="I162" s="62">
        <f t="shared" si="57"/>
        <v>202642.68757160378</v>
      </c>
      <c r="J162" s="62">
        <f t="shared" si="57"/>
        <v>202642.68757160378</v>
      </c>
      <c r="K162" s="62">
        <f t="shared" si="57"/>
        <v>202642.68757160378</v>
      </c>
      <c r="L162" s="62">
        <f t="shared" si="57"/>
        <v>202642.68757160378</v>
      </c>
      <c r="M162" s="62">
        <f t="shared" si="57"/>
        <v>202642.68757160378</v>
      </c>
      <c r="N162" s="62">
        <f t="shared" si="57"/>
        <v>202642.68757160378</v>
      </c>
      <c r="O162" s="62">
        <f t="shared" si="57"/>
        <v>202642.68757160378</v>
      </c>
      <c r="P162" s="62">
        <f t="shared" si="57"/>
        <v>202642.68757160378</v>
      </c>
      <c r="Q162" s="62">
        <f t="shared" si="57"/>
        <v>202642.68757160378</v>
      </c>
      <c r="R162" s="62">
        <f t="shared" si="57"/>
        <v>202642.68757160378</v>
      </c>
      <c r="S162" s="62">
        <f t="shared" si="57"/>
        <v>202642.68757160378</v>
      </c>
      <c r="T162" s="62">
        <f t="shared" si="57"/>
        <v>202642.68757160378</v>
      </c>
      <c r="U162" s="62">
        <f t="shared" si="57"/>
        <v>202642.68757160378</v>
      </c>
      <c r="V162" s="62">
        <f t="shared" si="57"/>
        <v>202642.68757160378</v>
      </c>
      <c r="W162" s="62">
        <f t="shared" si="57"/>
        <v>202642.68757160378</v>
      </c>
      <c r="X162" s="62">
        <f t="shared" si="57"/>
        <v>202642.68757160378</v>
      </c>
      <c r="Y162" s="62">
        <f t="shared" si="57"/>
        <v>202642.68757160378</v>
      </c>
      <c r="Z162" s="62">
        <f t="shared" si="57"/>
        <v>202642.68757160378</v>
      </c>
      <c r="AA162" s="62">
        <f t="shared" si="57"/>
        <v>202642.68757160378</v>
      </c>
      <c r="AB162" s="62">
        <f t="shared" si="57"/>
        <v>202642.68757160378</v>
      </c>
      <c r="AC162" s="62">
        <f t="shared" si="57"/>
        <v>202642.68757160378</v>
      </c>
    </row>
    <row r="163" spans="1:29" x14ac:dyDescent="0.25">
      <c r="A163" s="30" t="str">
        <f>A146</f>
        <v>Fuel Cost</v>
      </c>
      <c r="B163" s="62">
        <f>B145*B146*B153</f>
        <v>2437507.052101518</v>
      </c>
      <c r="C163" s="62">
        <f t="shared" ref="C163:AC163" si="58">C145*C146*C153</f>
        <v>2437338.7839329462</v>
      </c>
      <c r="D163" s="62">
        <f t="shared" si="58"/>
        <v>2437097.9117975063</v>
      </c>
      <c r="E163" s="62">
        <f t="shared" si="58"/>
        <v>2436753.3272688738</v>
      </c>
      <c r="F163" s="62">
        <f t="shared" si="58"/>
        <v>2436260.8399411063</v>
      </c>
      <c r="G163" s="62">
        <f t="shared" si="58"/>
        <v>2435557.9540934572</v>
      </c>
      <c r="H163" s="62">
        <f t="shared" si="58"/>
        <v>2434556.8722096309</v>
      </c>
      <c r="I163" s="62">
        <f t="shared" si="58"/>
        <v>2433135.479441477</v>
      </c>
      <c r="J163" s="62">
        <f t="shared" si="58"/>
        <v>2431126.4773508143</v>
      </c>
      <c r="K163" s="62">
        <f t="shared" si="58"/>
        <v>2428305.8746609245</v>
      </c>
      <c r="L163" s="62">
        <f t="shared" si="58"/>
        <v>2424384.2130114948</v>
      </c>
      <c r="M163" s="62">
        <f t="shared" si="58"/>
        <v>2419007.7615997801</v>
      </c>
      <c r="N163" s="62">
        <f t="shared" si="58"/>
        <v>2411782.387019678</v>
      </c>
      <c r="O163" s="62">
        <f t="shared" si="58"/>
        <v>2402337.4266037703</v>
      </c>
      <c r="P163" s="62">
        <f t="shared" si="58"/>
        <v>2390443.0953654484</v>
      </c>
      <c r="Q163" s="62">
        <f t="shared" si="58"/>
        <v>2376170.2393062925</v>
      </c>
      <c r="R163" s="62">
        <f t="shared" si="58"/>
        <v>2360030.8697070694</v>
      </c>
      <c r="S163" s="62">
        <f t="shared" si="58"/>
        <v>2342992.6034393362</v>
      </c>
      <c r="T163" s="62">
        <f t="shared" si="58"/>
        <v>2326289.6183825689</v>
      </c>
      <c r="U163" s="62">
        <f t="shared" si="58"/>
        <v>2311084.5472785905</v>
      </c>
      <c r="V163" s="62">
        <f t="shared" si="58"/>
        <v>2298162.4020839729</v>
      </c>
      <c r="W163" s="62">
        <f t="shared" si="58"/>
        <v>2287814.0780081702</v>
      </c>
      <c r="X163" s="62">
        <f t="shared" si="58"/>
        <v>2279917.8474469348</v>
      </c>
      <c r="Y163" s="62">
        <f t="shared" si="58"/>
        <v>2274113.4847058197</v>
      </c>
      <c r="Z163" s="62">
        <f t="shared" si="58"/>
        <v>2269963.4493156904</v>
      </c>
      <c r="AA163" s="62">
        <f t="shared" si="58"/>
        <v>2267054.887382986</v>
      </c>
      <c r="AB163" s="62">
        <f t="shared" si="58"/>
        <v>2265044.8923132992</v>
      </c>
      <c r="AC163" s="62">
        <f t="shared" si="58"/>
        <v>2263669.3525252165</v>
      </c>
    </row>
    <row r="164" spans="1:29" ht="15.75" thickBot="1" x14ac:dyDescent="0.3">
      <c r="A164" s="59" t="str">
        <f>A127</f>
        <v>Emission Cost</v>
      </c>
      <c r="B164" s="62">
        <f>B147*B153</f>
        <v>2192040.4269286273</v>
      </c>
      <c r="C164" s="62">
        <f t="shared" ref="C164:AC164" si="59">C147*C153</f>
        <v>2196694.8550776178</v>
      </c>
      <c r="D164" s="62">
        <f t="shared" si="59"/>
        <v>2203357.5653038691</v>
      </c>
      <c r="E164" s="62">
        <f t="shared" si="59"/>
        <v>2212889.0408252501</v>
      </c>
      <c r="F164" s="62">
        <f t="shared" si="59"/>
        <v>2226511.622569799</v>
      </c>
      <c r="G164" s="62">
        <f t="shared" si="59"/>
        <v>2245953.9906812669</v>
      </c>
      <c r="H164" s="62">
        <f t="shared" si="59"/>
        <v>2273644.6926069986</v>
      </c>
      <c r="I164" s="62">
        <f t="shared" si="59"/>
        <v>2312961.5198299005</v>
      </c>
      <c r="J164" s="62">
        <f t="shared" si="59"/>
        <v>2368532.0770035987</v>
      </c>
      <c r="K164" s="62">
        <f t="shared" si="59"/>
        <v>2446552.1366995717</v>
      </c>
      <c r="L164" s="62">
        <f t="shared" si="59"/>
        <v>2555028.3418356678</v>
      </c>
      <c r="M164" s="62">
        <f t="shared" si="59"/>
        <v>2703745.1609743489</v>
      </c>
      <c r="N164" s="62">
        <f t="shared" si="59"/>
        <v>2903604.6300466633</v>
      </c>
      <c r="O164" s="62">
        <f t="shared" si="59"/>
        <v>3164859.5661340822</v>
      </c>
      <c r="P164" s="62">
        <f t="shared" si="59"/>
        <v>3493866.0003206055</v>
      </c>
      <c r="Q164" s="62">
        <f t="shared" si="59"/>
        <v>3888664.277213261</v>
      </c>
      <c r="R164" s="62">
        <f t="shared" si="59"/>
        <v>4335091.767373505</v>
      </c>
      <c r="S164" s="62">
        <f t="shared" si="59"/>
        <v>4806383.437089771</v>
      </c>
      <c r="T164" s="62">
        <f t="shared" si="59"/>
        <v>5268400.9682723647</v>
      </c>
      <c r="U164" s="62">
        <f t="shared" si="59"/>
        <v>5688985.0368709024</v>
      </c>
      <c r="V164" s="62">
        <f t="shared" si="59"/>
        <v>6046421.6028565438</v>
      </c>
      <c r="W164" s="62">
        <f t="shared" si="59"/>
        <v>6332664.2789489012</v>
      </c>
      <c r="X164" s="62">
        <f t="shared" si="59"/>
        <v>6551080.1451639356</v>
      </c>
      <c r="Y164" s="62">
        <f t="shared" si="59"/>
        <v>6711633.3238097783</v>
      </c>
      <c r="Z164" s="62">
        <f t="shared" si="59"/>
        <v>6826426.5238726102</v>
      </c>
      <c r="AA164" s="62">
        <f t="shared" si="59"/>
        <v>6906879.6044969875</v>
      </c>
      <c r="AB164" s="62">
        <f t="shared" si="59"/>
        <v>6962477.6282412307</v>
      </c>
      <c r="AC164" s="62">
        <f t="shared" si="59"/>
        <v>7000526.1264452087</v>
      </c>
    </row>
    <row r="165" spans="1:29" ht="15.75" thickBot="1" x14ac:dyDescent="0.3">
      <c r="A165" s="31" t="s">
        <v>209</v>
      </c>
      <c r="B165" s="64">
        <f>B156+B157+B158+B159+B160+B161+B162+B163+B164</f>
        <v>7936870.5369982207</v>
      </c>
      <c r="C165" s="64">
        <f t="shared" ref="C165:AC165" si="60">C156+C157+C158+C159+C160+C161+C162+C163+C164</f>
        <v>7941412.4424497699</v>
      </c>
      <c r="D165" s="64">
        <f t="shared" si="60"/>
        <v>7947914.078940874</v>
      </c>
      <c r="E165" s="64">
        <f t="shared" si="60"/>
        <v>7957215.1271569151</v>
      </c>
      <c r="F165" s="64">
        <f t="shared" si="60"/>
        <v>7970508.3774358239</v>
      </c>
      <c r="G165" s="64">
        <f t="shared" si="60"/>
        <v>7989480.7183743417</v>
      </c>
      <c r="H165" s="64">
        <f t="shared" si="60"/>
        <v>8016501.9862955054</v>
      </c>
      <c r="I165" s="64">
        <f t="shared" si="60"/>
        <v>8054868.313196484</v>
      </c>
      <c r="J165" s="64">
        <f t="shared" si="60"/>
        <v>8109095.4295023903</v>
      </c>
      <c r="K165" s="64">
        <f t="shared" si="60"/>
        <v>8185229.3224576656</v>
      </c>
      <c r="L165" s="64">
        <f t="shared" si="60"/>
        <v>8291083.0711244624</v>
      </c>
      <c r="M165" s="64">
        <f t="shared" si="60"/>
        <v>8436204.6005500257</v>
      </c>
      <c r="N165" s="64">
        <f t="shared" si="60"/>
        <v>8631232.3855035789</v>
      </c>
      <c r="O165" s="64">
        <f t="shared" si="60"/>
        <v>8886171.3770350534</v>
      </c>
      <c r="P165" s="64">
        <f t="shared" si="60"/>
        <v>9207223.946586553</v>
      </c>
      <c r="Q165" s="64">
        <f t="shared" si="60"/>
        <v>9592477.8142328989</v>
      </c>
      <c r="R165" s="64">
        <f t="shared" si="60"/>
        <v>10028112.737874292</v>
      </c>
      <c r="S165" s="64">
        <f t="shared" si="60"/>
        <v>10488010.739397394</v>
      </c>
      <c r="T165" s="64">
        <f t="shared" si="60"/>
        <v>10938858.808465604</v>
      </c>
      <c r="U165" s="64">
        <f t="shared" si="60"/>
        <v>11349275.085794188</v>
      </c>
      <c r="V165" s="64">
        <f t="shared" si="60"/>
        <v>11698070.477121692</v>
      </c>
      <c r="W165" s="64">
        <f t="shared" si="60"/>
        <v>11977393.11985958</v>
      </c>
      <c r="X165" s="64">
        <f t="shared" si="60"/>
        <v>12190528.693492156</v>
      </c>
      <c r="Y165" s="64">
        <f t="shared" si="60"/>
        <v>12347200.433609815</v>
      </c>
      <c r="Z165" s="64">
        <f t="shared" si="60"/>
        <v>12459218.461276464</v>
      </c>
      <c r="AA165" s="64">
        <f t="shared" si="60"/>
        <v>12537726.555887606</v>
      </c>
      <c r="AB165" s="64">
        <f t="shared" si="60"/>
        <v>12591980.474748522</v>
      </c>
      <c r="AC165" s="64">
        <f t="shared" si="60"/>
        <v>12629109.135001523</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61">A156</f>
        <v>Capex vehicle</v>
      </c>
      <c r="B168" s="65">
        <f>((1+B141)^B148)*B141/(((1+B141)^B148)-1)*(B137)/B153</f>
        <v>9.7783397765342439</v>
      </c>
      <c r="C168" s="65">
        <f t="shared" ref="C168:AC168" si="62">((1+C141)^C148)*C141/(((1+C141)^C148)-1)*(C137)/C153</f>
        <v>9.7783397765342439</v>
      </c>
      <c r="D168" s="65">
        <f t="shared" si="62"/>
        <v>9.7783397765342439</v>
      </c>
      <c r="E168" s="65">
        <f t="shared" si="62"/>
        <v>9.7783397765342439</v>
      </c>
      <c r="F168" s="65">
        <f t="shared" si="62"/>
        <v>9.7783397765342439</v>
      </c>
      <c r="G168" s="65">
        <f t="shared" si="62"/>
        <v>9.7783397765342439</v>
      </c>
      <c r="H168" s="65">
        <f t="shared" si="62"/>
        <v>9.7783397765342439</v>
      </c>
      <c r="I168" s="65">
        <f t="shared" si="62"/>
        <v>9.7783397765342439</v>
      </c>
      <c r="J168" s="65">
        <f t="shared" si="62"/>
        <v>9.7783397765342439</v>
      </c>
      <c r="K168" s="65">
        <f t="shared" si="62"/>
        <v>9.7783397765342439</v>
      </c>
      <c r="L168" s="65">
        <f t="shared" si="62"/>
        <v>9.7783397765342439</v>
      </c>
      <c r="M168" s="65">
        <f t="shared" si="62"/>
        <v>9.7783397765342439</v>
      </c>
      <c r="N168" s="65">
        <f t="shared" si="62"/>
        <v>9.7783397765342439</v>
      </c>
      <c r="O168" s="65">
        <f t="shared" si="62"/>
        <v>9.7783397765342439</v>
      </c>
      <c r="P168" s="65">
        <f t="shared" si="62"/>
        <v>9.7783397765342439</v>
      </c>
      <c r="Q168" s="65">
        <f t="shared" si="62"/>
        <v>9.7783397765342439</v>
      </c>
      <c r="R168" s="65">
        <f t="shared" si="62"/>
        <v>9.7783397765342439</v>
      </c>
      <c r="S168" s="65">
        <f t="shared" si="62"/>
        <v>9.7783397765342439</v>
      </c>
      <c r="T168" s="65">
        <f t="shared" si="62"/>
        <v>9.7783397765342439</v>
      </c>
      <c r="U168" s="65">
        <f t="shared" si="62"/>
        <v>9.7783397765342439</v>
      </c>
      <c r="V168" s="65">
        <f t="shared" si="62"/>
        <v>9.7783397765342439</v>
      </c>
      <c r="W168" s="65">
        <f t="shared" si="62"/>
        <v>9.7783397765342439</v>
      </c>
      <c r="X168" s="65">
        <f t="shared" si="62"/>
        <v>9.7783397765342439</v>
      </c>
      <c r="Y168" s="65">
        <f t="shared" si="62"/>
        <v>9.7783397765342439</v>
      </c>
      <c r="Z168" s="65">
        <f t="shared" si="62"/>
        <v>9.7783397765342439</v>
      </c>
      <c r="AA168" s="65">
        <f t="shared" si="62"/>
        <v>9.7783397765342439</v>
      </c>
      <c r="AB168" s="65">
        <f t="shared" si="62"/>
        <v>9.7783397765342439</v>
      </c>
      <c r="AC168" s="65">
        <f t="shared" si="62"/>
        <v>9.7783397765342439</v>
      </c>
    </row>
    <row r="169" spans="1:29" x14ac:dyDescent="0.25">
      <c r="A169" s="30" t="str">
        <f t="shared" si="61"/>
        <v>Residual value (vehicle)</v>
      </c>
      <c r="B169" s="66">
        <f>((1+B141)^B148)*B141/(((1+B141)^B148)-1)*(B138)/B153</f>
        <v>-0.97676019148470272</v>
      </c>
      <c r="C169" s="66">
        <f t="shared" ref="C169:AC169" si="63">((1+C141)^C148)*C141/(((1+C141)^C148)-1)*(C138)/C153</f>
        <v>-0.97629564589195228</v>
      </c>
      <c r="D169" s="66">
        <f t="shared" si="63"/>
        <v>-0.97563065922284864</v>
      </c>
      <c r="E169" s="66">
        <f t="shared" si="63"/>
        <v>-0.97467934902874298</v>
      </c>
      <c r="F169" s="66">
        <f t="shared" si="63"/>
        <v>-0.97331971684434948</v>
      </c>
      <c r="G169" s="66">
        <f t="shared" si="63"/>
        <v>-0.97137922788852038</v>
      </c>
      <c r="H169" s="66">
        <f t="shared" si="63"/>
        <v>-0.96861549556136939</v>
      </c>
      <c r="I169" s="66">
        <f t="shared" si="63"/>
        <v>-0.96469139184278574</v>
      </c>
      <c r="J169" s="66">
        <f t="shared" si="63"/>
        <v>-0.95914504831885961</v>
      </c>
      <c r="K169" s="66">
        <f t="shared" si="63"/>
        <v>-0.95135808207559314</v>
      </c>
      <c r="L169" s="66">
        <f t="shared" si="63"/>
        <v>-0.94053137224117322</v>
      </c>
      <c r="M169" s="66">
        <f t="shared" si="63"/>
        <v>-0.92568835808620409</v>
      </c>
      <c r="N169" s="66">
        <f t="shared" si="63"/>
        <v>-0.90574093757501994</v>
      </c>
      <c r="O169" s="66">
        <f t="shared" si="63"/>
        <v>-0.87966580540866446</v>
      </c>
      <c r="P169" s="66">
        <f t="shared" si="63"/>
        <v>-0.84682858371450898</v>
      </c>
      <c r="Q169" s="66">
        <f t="shared" si="63"/>
        <v>-0.80742486027411864</v>
      </c>
      <c r="R169" s="66">
        <f t="shared" si="63"/>
        <v>-0.7628681679376812</v>
      </c>
      <c r="S169" s="66">
        <f t="shared" si="63"/>
        <v>-0.71582985064961269</v>
      </c>
      <c r="T169" s="66">
        <f t="shared" si="63"/>
        <v>-0.66971715946306853</v>
      </c>
      <c r="U169" s="66">
        <f t="shared" si="63"/>
        <v>-0.62773982751286628</v>
      </c>
      <c r="V169" s="66">
        <f t="shared" si="63"/>
        <v>-0.59206507304221667</v>
      </c>
      <c r="W169" s="66">
        <f t="shared" si="63"/>
        <v>-0.56349598369776865</v>
      </c>
      <c r="X169" s="66">
        <f t="shared" si="63"/>
        <v>-0.54169650054128426</v>
      </c>
      <c r="Y169" s="66">
        <f t="shared" si="63"/>
        <v>-0.52567213210019181</v>
      </c>
      <c r="Z169" s="66">
        <f t="shared" si="63"/>
        <v>-0.51421494048397043</v>
      </c>
      <c r="AA169" s="66">
        <f t="shared" si="63"/>
        <v>-0.50618514115505298</v>
      </c>
      <c r="AB169" s="66">
        <f t="shared" si="63"/>
        <v>-0.50063605626873253</v>
      </c>
      <c r="AC169" s="66">
        <f t="shared" si="63"/>
        <v>-0.49683854095951707</v>
      </c>
    </row>
    <row r="170" spans="1:29" x14ac:dyDescent="0.25">
      <c r="A170" s="30" t="str">
        <f t="shared" si="61"/>
        <v>Capex costumization</v>
      </c>
      <c r="B170" s="66">
        <f>((1+B141)^B149)*B141/(((1+B141)^B149)-1)*(B139)/B153</f>
        <v>3.2594465921780813</v>
      </c>
      <c r="C170" s="66">
        <f t="shared" ref="C170:AC170" si="64">((1+C141)^C149)*C141/(((1+C141)^C149)-1)*(C139)/C153</f>
        <v>3.2594465921780813</v>
      </c>
      <c r="D170" s="66">
        <f t="shared" si="64"/>
        <v>3.2594465921780813</v>
      </c>
      <c r="E170" s="66">
        <f t="shared" si="64"/>
        <v>3.2594465921780813</v>
      </c>
      <c r="F170" s="66">
        <f t="shared" si="64"/>
        <v>3.2594465921780813</v>
      </c>
      <c r="G170" s="66">
        <f t="shared" si="64"/>
        <v>3.2594465921780813</v>
      </c>
      <c r="H170" s="66">
        <f t="shared" si="64"/>
        <v>3.2594465921780813</v>
      </c>
      <c r="I170" s="66">
        <f t="shared" si="64"/>
        <v>3.2594465921780813</v>
      </c>
      <c r="J170" s="66">
        <f t="shared" si="64"/>
        <v>3.2594465921780813</v>
      </c>
      <c r="K170" s="66">
        <f t="shared" si="64"/>
        <v>3.2594465921780813</v>
      </c>
      <c r="L170" s="66">
        <f t="shared" si="64"/>
        <v>3.2594465921780813</v>
      </c>
      <c r="M170" s="66">
        <f t="shared" si="64"/>
        <v>3.2594465921780813</v>
      </c>
      <c r="N170" s="66">
        <f t="shared" si="64"/>
        <v>3.2594465921780813</v>
      </c>
      <c r="O170" s="66">
        <f t="shared" si="64"/>
        <v>3.2594465921780813</v>
      </c>
      <c r="P170" s="66">
        <f t="shared" si="64"/>
        <v>3.2594465921780813</v>
      </c>
      <c r="Q170" s="66">
        <f t="shared" si="64"/>
        <v>3.2594465921780813</v>
      </c>
      <c r="R170" s="66">
        <f t="shared" si="64"/>
        <v>3.2594465921780813</v>
      </c>
      <c r="S170" s="66">
        <f t="shared" si="64"/>
        <v>3.2594465921780813</v>
      </c>
      <c r="T170" s="66">
        <f t="shared" si="64"/>
        <v>3.2594465921780813</v>
      </c>
      <c r="U170" s="66">
        <f t="shared" si="64"/>
        <v>3.2594465921780813</v>
      </c>
      <c r="V170" s="66">
        <f t="shared" si="64"/>
        <v>3.2594465921780813</v>
      </c>
      <c r="W170" s="66">
        <f t="shared" si="64"/>
        <v>3.2594465921780813</v>
      </c>
      <c r="X170" s="66">
        <f t="shared" si="64"/>
        <v>3.2594465921780813</v>
      </c>
      <c r="Y170" s="66">
        <f t="shared" si="64"/>
        <v>3.2594465921780813</v>
      </c>
      <c r="Z170" s="66">
        <f t="shared" si="64"/>
        <v>3.2594465921780813</v>
      </c>
      <c r="AA170" s="66">
        <f t="shared" si="64"/>
        <v>3.2594465921780813</v>
      </c>
      <c r="AB170" s="66">
        <f t="shared" si="64"/>
        <v>3.2594465921780813</v>
      </c>
      <c r="AC170" s="66">
        <f t="shared" si="64"/>
        <v>3.2594465921780813</v>
      </c>
    </row>
    <row r="171" spans="1:29" x14ac:dyDescent="0.25">
      <c r="A171" s="30" t="str">
        <f t="shared" si="61"/>
        <v>Residual value (costumization)</v>
      </c>
      <c r="B171" s="66">
        <f>((1+B141)^B149)*B141/(((1+B141)^B149)-1)*(B140)/B153</f>
        <v>-0.32594465921780813</v>
      </c>
      <c r="C171" s="66">
        <f t="shared" ref="C171:AC171" si="65">((1+C141)^C149)*C141/(((1+C141)^C149)-1)*(C140)/C153</f>
        <v>-0.32594465921780813</v>
      </c>
      <c r="D171" s="66">
        <f t="shared" si="65"/>
        <v>-0.32594465921780813</v>
      </c>
      <c r="E171" s="66">
        <f t="shared" si="65"/>
        <v>-0.32594465921780813</v>
      </c>
      <c r="F171" s="66">
        <f t="shared" si="65"/>
        <v>-0.32594465921780813</v>
      </c>
      <c r="G171" s="66">
        <f t="shared" si="65"/>
        <v>-0.32594465921780813</v>
      </c>
      <c r="H171" s="66">
        <f t="shared" si="65"/>
        <v>-0.32594465921780813</v>
      </c>
      <c r="I171" s="66">
        <f t="shared" si="65"/>
        <v>-0.32594465921780813</v>
      </c>
      <c r="J171" s="66">
        <f t="shared" si="65"/>
        <v>-0.32594465921780813</v>
      </c>
      <c r="K171" s="66">
        <f t="shared" si="65"/>
        <v>-0.32594465921780813</v>
      </c>
      <c r="L171" s="66">
        <f t="shared" si="65"/>
        <v>-0.32594465921780813</v>
      </c>
      <c r="M171" s="66">
        <f t="shared" si="65"/>
        <v>-0.32594465921780813</v>
      </c>
      <c r="N171" s="66">
        <f t="shared" si="65"/>
        <v>-0.32594465921780813</v>
      </c>
      <c r="O171" s="66">
        <f t="shared" si="65"/>
        <v>-0.32594465921780813</v>
      </c>
      <c r="P171" s="66">
        <f t="shared" si="65"/>
        <v>-0.32594465921780813</v>
      </c>
      <c r="Q171" s="66">
        <f t="shared" si="65"/>
        <v>-0.32594465921780813</v>
      </c>
      <c r="R171" s="66">
        <f t="shared" si="65"/>
        <v>-0.32594465921780813</v>
      </c>
      <c r="S171" s="66">
        <f t="shared" si="65"/>
        <v>-0.32594465921780813</v>
      </c>
      <c r="T171" s="66">
        <f t="shared" si="65"/>
        <v>-0.32594465921780813</v>
      </c>
      <c r="U171" s="66">
        <f t="shared" si="65"/>
        <v>-0.32594465921780813</v>
      </c>
      <c r="V171" s="66">
        <f t="shared" si="65"/>
        <v>-0.32594465921780813</v>
      </c>
      <c r="W171" s="66">
        <f t="shared" si="65"/>
        <v>-0.32594465921780813</v>
      </c>
      <c r="X171" s="66">
        <f t="shared" si="65"/>
        <v>-0.32594465921780813</v>
      </c>
      <c r="Y171" s="66">
        <f t="shared" si="65"/>
        <v>-0.32594465921780813</v>
      </c>
      <c r="Z171" s="66">
        <f t="shared" si="65"/>
        <v>-0.32594465921780813</v>
      </c>
      <c r="AA171" s="66">
        <f t="shared" si="65"/>
        <v>-0.32594465921780813</v>
      </c>
      <c r="AB171" s="66">
        <f t="shared" si="65"/>
        <v>-0.32594465921780813</v>
      </c>
      <c r="AC171" s="66">
        <f t="shared" si="65"/>
        <v>-0.32594465921780813</v>
      </c>
    </row>
    <row r="172" spans="1:29" x14ac:dyDescent="0.25">
      <c r="A172" s="30" t="str">
        <f t="shared" si="61"/>
        <v>Opex fix (admin, crew, insurance)</v>
      </c>
      <c r="B172" s="66">
        <f>B142/B153</f>
        <v>10.068627450980392</v>
      </c>
      <c r="C172" s="66">
        <f t="shared" ref="C172:AC172" si="66">C142/C153</f>
        <v>10.068627450980392</v>
      </c>
      <c r="D172" s="66">
        <f t="shared" si="66"/>
        <v>10.068627450980392</v>
      </c>
      <c r="E172" s="66">
        <f t="shared" si="66"/>
        <v>10.068627450980392</v>
      </c>
      <c r="F172" s="66">
        <f t="shared" si="66"/>
        <v>10.068627450980392</v>
      </c>
      <c r="G172" s="66">
        <f t="shared" si="66"/>
        <v>10.068627450980392</v>
      </c>
      <c r="H172" s="66">
        <f t="shared" si="66"/>
        <v>10.068627450980392</v>
      </c>
      <c r="I172" s="66">
        <f t="shared" si="66"/>
        <v>10.068627450980392</v>
      </c>
      <c r="J172" s="66">
        <f t="shared" si="66"/>
        <v>10.068627450980392</v>
      </c>
      <c r="K172" s="66">
        <f t="shared" si="66"/>
        <v>10.068627450980392</v>
      </c>
      <c r="L172" s="66">
        <f t="shared" si="66"/>
        <v>10.068627450980392</v>
      </c>
      <c r="M172" s="66">
        <f t="shared" si="66"/>
        <v>10.068627450980392</v>
      </c>
      <c r="N172" s="66">
        <f t="shared" si="66"/>
        <v>10.068627450980392</v>
      </c>
      <c r="O172" s="66">
        <f t="shared" si="66"/>
        <v>10.068627450980392</v>
      </c>
      <c r="P172" s="66">
        <f t="shared" si="66"/>
        <v>10.068627450980392</v>
      </c>
      <c r="Q172" s="66">
        <f t="shared" si="66"/>
        <v>10.068627450980392</v>
      </c>
      <c r="R172" s="66">
        <f t="shared" si="66"/>
        <v>10.068627450980392</v>
      </c>
      <c r="S172" s="66">
        <f t="shared" si="66"/>
        <v>10.068627450980392</v>
      </c>
      <c r="T172" s="66">
        <f t="shared" si="66"/>
        <v>10.068627450980392</v>
      </c>
      <c r="U172" s="66">
        <f t="shared" si="66"/>
        <v>10.068627450980392</v>
      </c>
      <c r="V172" s="66">
        <f t="shared" si="66"/>
        <v>10.068627450980392</v>
      </c>
      <c r="W172" s="66">
        <f t="shared" si="66"/>
        <v>10.068627450980392</v>
      </c>
      <c r="X172" s="66">
        <f t="shared" si="66"/>
        <v>10.068627450980392</v>
      </c>
      <c r="Y172" s="66">
        <f t="shared" si="66"/>
        <v>10.068627450980392</v>
      </c>
      <c r="Z172" s="66">
        <f t="shared" si="66"/>
        <v>10.068627450980392</v>
      </c>
      <c r="AA172" s="66">
        <f t="shared" si="66"/>
        <v>10.068627450980392</v>
      </c>
      <c r="AB172" s="66">
        <f t="shared" si="66"/>
        <v>10.068627450980392</v>
      </c>
      <c r="AC172" s="66">
        <f t="shared" si="66"/>
        <v>10.068627450980392</v>
      </c>
    </row>
    <row r="173" spans="1:29" x14ac:dyDescent="0.25">
      <c r="A173" s="30" t="str">
        <f t="shared" si="61"/>
        <v>Opex maintenance &amp; repair</v>
      </c>
      <c r="B173" s="66">
        <f>B143/B153</f>
        <v>4.0686274509803919</v>
      </c>
      <c r="C173" s="66">
        <f t="shared" ref="C173:AC173" si="67">C143/C153</f>
        <v>4.0686274509803919</v>
      </c>
      <c r="D173" s="66">
        <f t="shared" si="67"/>
        <v>4.0686274509803919</v>
      </c>
      <c r="E173" s="66">
        <f t="shared" si="67"/>
        <v>4.0686274509803919</v>
      </c>
      <c r="F173" s="66">
        <f t="shared" si="67"/>
        <v>4.0686274509803919</v>
      </c>
      <c r="G173" s="66">
        <f t="shared" si="67"/>
        <v>4.0686274509803919</v>
      </c>
      <c r="H173" s="66">
        <f t="shared" si="67"/>
        <v>4.0686274509803919</v>
      </c>
      <c r="I173" s="66">
        <f t="shared" si="67"/>
        <v>4.0686274509803919</v>
      </c>
      <c r="J173" s="66">
        <f t="shared" si="67"/>
        <v>4.0686274509803919</v>
      </c>
      <c r="K173" s="66">
        <f t="shared" si="67"/>
        <v>4.0686274509803919</v>
      </c>
      <c r="L173" s="66">
        <f t="shared" si="67"/>
        <v>4.0686274509803919</v>
      </c>
      <c r="M173" s="66">
        <f t="shared" si="67"/>
        <v>4.0686274509803919</v>
      </c>
      <c r="N173" s="66">
        <f t="shared" si="67"/>
        <v>4.0686274509803919</v>
      </c>
      <c r="O173" s="66">
        <f t="shared" si="67"/>
        <v>4.0686274509803919</v>
      </c>
      <c r="P173" s="66">
        <f t="shared" si="67"/>
        <v>4.0686274509803919</v>
      </c>
      <c r="Q173" s="66">
        <f t="shared" si="67"/>
        <v>4.0686274509803919</v>
      </c>
      <c r="R173" s="66">
        <f t="shared" si="67"/>
        <v>4.0686274509803919</v>
      </c>
      <c r="S173" s="66">
        <f t="shared" si="67"/>
        <v>4.0686274509803919</v>
      </c>
      <c r="T173" s="66">
        <f t="shared" si="67"/>
        <v>4.0686274509803919</v>
      </c>
      <c r="U173" s="66">
        <f t="shared" si="67"/>
        <v>4.0686274509803919</v>
      </c>
      <c r="V173" s="66">
        <f t="shared" si="67"/>
        <v>4.0686274509803919</v>
      </c>
      <c r="W173" s="66">
        <f t="shared" si="67"/>
        <v>4.0686274509803919</v>
      </c>
      <c r="X173" s="66">
        <f t="shared" si="67"/>
        <v>4.0686274509803919</v>
      </c>
      <c r="Y173" s="66">
        <f t="shared" si="67"/>
        <v>4.0686274509803919</v>
      </c>
      <c r="Z173" s="66">
        <f t="shared" si="67"/>
        <v>4.0686274509803919</v>
      </c>
      <c r="AA173" s="66">
        <f t="shared" si="67"/>
        <v>4.0686274509803919</v>
      </c>
      <c r="AB173" s="66">
        <f t="shared" si="67"/>
        <v>4.0686274509803919</v>
      </c>
      <c r="AC173" s="66">
        <f t="shared" si="67"/>
        <v>4.0686274509803919</v>
      </c>
    </row>
    <row r="174" spans="1:29" x14ac:dyDescent="0.25">
      <c r="A174" s="30" t="str">
        <f t="shared" si="61"/>
        <v>Opex var (mode-fees)</v>
      </c>
      <c r="B174" s="66">
        <f>B144*B153/B153</f>
        <v>1.6886890630966982</v>
      </c>
      <c r="C174" s="66">
        <f t="shared" ref="C174:AC174" si="68">C144*C153/C153</f>
        <v>1.6886890630966982</v>
      </c>
      <c r="D174" s="66">
        <f t="shared" si="68"/>
        <v>1.6886890630966982</v>
      </c>
      <c r="E174" s="66">
        <f t="shared" si="68"/>
        <v>1.6886890630966982</v>
      </c>
      <c r="F174" s="66">
        <f t="shared" si="68"/>
        <v>1.6886890630966982</v>
      </c>
      <c r="G174" s="66">
        <f t="shared" si="68"/>
        <v>1.6886890630966982</v>
      </c>
      <c r="H174" s="66">
        <f t="shared" si="68"/>
        <v>1.6886890630966982</v>
      </c>
      <c r="I174" s="66">
        <f t="shared" si="68"/>
        <v>1.6886890630966982</v>
      </c>
      <c r="J174" s="66">
        <f t="shared" si="68"/>
        <v>1.6886890630966982</v>
      </c>
      <c r="K174" s="66">
        <f t="shared" si="68"/>
        <v>1.6886890630966982</v>
      </c>
      <c r="L174" s="66">
        <f t="shared" si="68"/>
        <v>1.6886890630966982</v>
      </c>
      <c r="M174" s="66">
        <f t="shared" si="68"/>
        <v>1.6886890630966982</v>
      </c>
      <c r="N174" s="66">
        <f t="shared" si="68"/>
        <v>1.6886890630966982</v>
      </c>
      <c r="O174" s="66">
        <f t="shared" si="68"/>
        <v>1.6886890630966982</v>
      </c>
      <c r="P174" s="66">
        <f t="shared" si="68"/>
        <v>1.6886890630966982</v>
      </c>
      <c r="Q174" s="66">
        <f t="shared" si="68"/>
        <v>1.6886890630966982</v>
      </c>
      <c r="R174" s="66">
        <f t="shared" si="68"/>
        <v>1.6886890630966982</v>
      </c>
      <c r="S174" s="66">
        <f t="shared" si="68"/>
        <v>1.6886890630966982</v>
      </c>
      <c r="T174" s="66">
        <f t="shared" si="68"/>
        <v>1.6886890630966982</v>
      </c>
      <c r="U174" s="66">
        <f t="shared" si="68"/>
        <v>1.6886890630966982</v>
      </c>
      <c r="V174" s="66">
        <f t="shared" si="68"/>
        <v>1.6886890630966982</v>
      </c>
      <c r="W174" s="66">
        <f t="shared" si="68"/>
        <v>1.6886890630966982</v>
      </c>
      <c r="X174" s="66">
        <f t="shared" si="68"/>
        <v>1.6886890630966982</v>
      </c>
      <c r="Y174" s="66">
        <f t="shared" si="68"/>
        <v>1.6886890630966982</v>
      </c>
      <c r="Z174" s="66">
        <f t="shared" si="68"/>
        <v>1.6886890630966982</v>
      </c>
      <c r="AA174" s="66">
        <f t="shared" si="68"/>
        <v>1.6886890630966982</v>
      </c>
      <c r="AB174" s="66">
        <f t="shared" si="68"/>
        <v>1.6886890630966982</v>
      </c>
      <c r="AC174" s="66">
        <f t="shared" si="68"/>
        <v>1.6886890630966982</v>
      </c>
    </row>
    <row r="175" spans="1:29" x14ac:dyDescent="0.25">
      <c r="A175" s="30" t="str">
        <f t="shared" si="61"/>
        <v>Fuel Cost</v>
      </c>
      <c r="B175" s="66">
        <f>B145*B146*B153/B153</f>
        <v>20.312558767512652</v>
      </c>
      <c r="C175" s="66">
        <f t="shared" ref="C175:AC175" si="69">C145*C146*C153/C153</f>
        <v>20.31115653277455</v>
      </c>
      <c r="D175" s="66">
        <f t="shared" si="69"/>
        <v>20.309149264979219</v>
      </c>
      <c r="E175" s="66">
        <f t="shared" si="69"/>
        <v>20.306277727240616</v>
      </c>
      <c r="F175" s="66">
        <f t="shared" si="69"/>
        <v>20.302173666175886</v>
      </c>
      <c r="G175" s="66">
        <f t="shared" si="69"/>
        <v>20.296316284112145</v>
      </c>
      <c r="H175" s="66">
        <f t="shared" si="69"/>
        <v>20.287973935080256</v>
      </c>
      <c r="I175" s="66">
        <f t="shared" si="69"/>
        <v>20.276128995345641</v>
      </c>
      <c r="J175" s="66">
        <f t="shared" si="69"/>
        <v>20.259387311256784</v>
      </c>
      <c r="K175" s="66">
        <f t="shared" si="69"/>
        <v>20.235882288841037</v>
      </c>
      <c r="L175" s="66">
        <f t="shared" si="69"/>
        <v>20.203201775095792</v>
      </c>
      <c r="M175" s="66">
        <f t="shared" si="69"/>
        <v>20.158398013331499</v>
      </c>
      <c r="N175" s="66">
        <f t="shared" si="69"/>
        <v>20.098186558497318</v>
      </c>
      <c r="O175" s="66">
        <f t="shared" si="69"/>
        <v>20.019478555031419</v>
      </c>
      <c r="P175" s="66">
        <f t="shared" si="69"/>
        <v>19.920359128045405</v>
      </c>
      <c r="Q175" s="66">
        <f t="shared" si="69"/>
        <v>19.801418660885769</v>
      </c>
      <c r="R175" s="66">
        <f t="shared" si="69"/>
        <v>19.666923914225578</v>
      </c>
      <c r="S175" s="66">
        <f t="shared" si="69"/>
        <v>19.524938361994469</v>
      </c>
      <c r="T175" s="66">
        <f t="shared" si="69"/>
        <v>19.385746819854742</v>
      </c>
      <c r="U175" s="66">
        <f t="shared" si="69"/>
        <v>19.259037893988253</v>
      </c>
      <c r="V175" s="66">
        <f t="shared" si="69"/>
        <v>19.151353350699775</v>
      </c>
      <c r="W175" s="66">
        <f t="shared" si="69"/>
        <v>19.065117316734753</v>
      </c>
      <c r="X175" s="66">
        <f t="shared" si="69"/>
        <v>18.999315395391122</v>
      </c>
      <c r="Y175" s="66">
        <f t="shared" si="69"/>
        <v>18.950945705881832</v>
      </c>
      <c r="Z175" s="66">
        <f t="shared" si="69"/>
        <v>18.916362077630755</v>
      </c>
      <c r="AA175" s="66">
        <f t="shared" si="69"/>
        <v>18.892124061524882</v>
      </c>
      <c r="AB175" s="66">
        <f t="shared" si="69"/>
        <v>18.875374102610827</v>
      </c>
      <c r="AC175" s="66">
        <f t="shared" si="69"/>
        <v>18.86391127104347</v>
      </c>
    </row>
    <row r="176" spans="1:29" ht="15.75" thickBot="1" x14ac:dyDescent="0.3">
      <c r="A176" s="59" t="str">
        <f>A127</f>
        <v>Emission Cost</v>
      </c>
      <c r="B176" s="66">
        <f>B147</f>
        <v>18.267003557738562</v>
      </c>
      <c r="C176" s="66">
        <f t="shared" ref="C176:AC176" si="70">C147</f>
        <v>18.305790458980148</v>
      </c>
      <c r="D176" s="66">
        <f t="shared" si="70"/>
        <v>18.361313044198909</v>
      </c>
      <c r="E176" s="66">
        <f t="shared" si="70"/>
        <v>18.440742006877084</v>
      </c>
      <c r="F176" s="66">
        <f t="shared" si="70"/>
        <v>18.554263521414992</v>
      </c>
      <c r="G176" s="66">
        <f t="shared" si="70"/>
        <v>18.716283255677226</v>
      </c>
      <c r="H176" s="66">
        <f t="shared" si="70"/>
        <v>18.947039105058323</v>
      </c>
      <c r="I176" s="66">
        <f t="shared" si="70"/>
        <v>19.274679331915838</v>
      </c>
      <c r="J176" s="66">
        <f t="shared" si="70"/>
        <v>19.737767308363324</v>
      </c>
      <c r="K176" s="66">
        <f t="shared" si="70"/>
        <v>20.387934472496433</v>
      </c>
      <c r="L176" s="66">
        <f t="shared" si="70"/>
        <v>21.291902848630563</v>
      </c>
      <c r="M176" s="66">
        <f t="shared" si="70"/>
        <v>22.53120967478624</v>
      </c>
      <c r="N176" s="66">
        <f t="shared" si="70"/>
        <v>24.196705250388863</v>
      </c>
      <c r="O176" s="66">
        <f t="shared" si="70"/>
        <v>26.37382971778402</v>
      </c>
      <c r="P176" s="66">
        <f t="shared" si="70"/>
        <v>29.115550002671711</v>
      </c>
      <c r="Q176" s="66">
        <f t="shared" si="70"/>
        <v>32.405535643443841</v>
      </c>
      <c r="R176" s="66">
        <f t="shared" si="70"/>
        <v>36.125764728112543</v>
      </c>
      <c r="S176" s="66">
        <f t="shared" si="70"/>
        <v>40.053195309081424</v>
      </c>
      <c r="T176" s="66">
        <f t="shared" si="70"/>
        <v>43.903341402269703</v>
      </c>
      <c r="U176" s="66">
        <f t="shared" si="70"/>
        <v>47.40820864059085</v>
      </c>
      <c r="V176" s="66">
        <f t="shared" si="70"/>
        <v>50.386846690471195</v>
      </c>
      <c r="W176" s="66">
        <f t="shared" si="70"/>
        <v>52.772202324574174</v>
      </c>
      <c r="X176" s="66">
        <f t="shared" si="70"/>
        <v>54.592334543032798</v>
      </c>
      <c r="Y176" s="66">
        <f t="shared" si="70"/>
        <v>55.93027769841482</v>
      </c>
      <c r="Z176" s="66">
        <f t="shared" si="70"/>
        <v>56.886887698938416</v>
      </c>
      <c r="AA176" s="66">
        <f t="shared" si="70"/>
        <v>57.557330037474898</v>
      </c>
      <c r="AB176" s="66">
        <f t="shared" si="70"/>
        <v>58.020646902010256</v>
      </c>
      <c r="AC176" s="66">
        <f t="shared" si="70"/>
        <v>58.337717720376737</v>
      </c>
    </row>
    <row r="177" spans="1:29" ht="15.75" thickBot="1" x14ac:dyDescent="0.3">
      <c r="A177" s="31" t="s">
        <v>63</v>
      </c>
      <c r="B177" s="76">
        <f>B168+B169+B170-B171+B172+B173+B174+B175+B176</f>
        <v>66.792477126754136</v>
      </c>
      <c r="C177" s="76">
        <f t="shared" ref="C177:AC177" si="71">C168+C169+C170-C171+C172+C173+C174+C175+C176</f>
        <v>66.830326338850369</v>
      </c>
      <c r="D177" s="76">
        <f t="shared" si="71"/>
        <v>66.884506642942895</v>
      </c>
      <c r="E177" s="76">
        <f t="shared" si="71"/>
        <v>66.962015378076572</v>
      </c>
      <c r="F177" s="76">
        <f t="shared" si="71"/>
        <v>67.072792463734146</v>
      </c>
      <c r="G177" s="76">
        <f t="shared" si="71"/>
        <v>67.230895304888463</v>
      </c>
      <c r="H177" s="76">
        <f t="shared" si="71"/>
        <v>67.456072537564836</v>
      </c>
      <c r="I177" s="76">
        <f t="shared" si="71"/>
        <v>67.775791928406306</v>
      </c>
      <c r="J177" s="76">
        <f t="shared" si="71"/>
        <v>68.227684564288865</v>
      </c>
      <c r="K177" s="76">
        <f t="shared" si="71"/>
        <v>68.862133672249485</v>
      </c>
      <c r="L177" s="76">
        <f t="shared" si="71"/>
        <v>69.7442482444728</v>
      </c>
      <c r="M177" s="76">
        <f t="shared" si="71"/>
        <v>70.953594323019161</v>
      </c>
      <c r="N177" s="76">
        <f t="shared" si="71"/>
        <v>72.578825864298778</v>
      </c>
      <c r="O177" s="76">
        <f t="shared" si="71"/>
        <v>74.703317460394388</v>
      </c>
      <c r="P177" s="76">
        <f t="shared" si="71"/>
        <v>77.378755539990223</v>
      </c>
      <c r="Q177" s="76">
        <f t="shared" si="71"/>
        <v>80.589204437043108</v>
      </c>
      <c r="R177" s="76">
        <f t="shared" si="71"/>
        <v>84.219495467388057</v>
      </c>
      <c r="S177" s="76">
        <f t="shared" si="71"/>
        <v>88.051978813413896</v>
      </c>
      <c r="T177" s="76">
        <f t="shared" si="71"/>
        <v>91.809046055648992</v>
      </c>
      <c r="U177" s="76">
        <f t="shared" si="71"/>
        <v>95.229181700053857</v>
      </c>
      <c r="V177" s="76">
        <f t="shared" si="71"/>
        <v>98.135809961116365</v>
      </c>
      <c r="W177" s="76">
        <f t="shared" si="71"/>
        <v>100.46349865059878</v>
      </c>
      <c r="X177" s="76">
        <f t="shared" si="71"/>
        <v>102.23962843087025</v>
      </c>
      <c r="Y177" s="76">
        <f t="shared" si="71"/>
        <v>103.54522626518408</v>
      </c>
      <c r="Z177" s="76">
        <f t="shared" si="71"/>
        <v>104.47870982907281</v>
      </c>
      <c r="AA177" s="76">
        <f t="shared" si="71"/>
        <v>105.13294395083234</v>
      </c>
      <c r="AB177" s="76">
        <f t="shared" si="71"/>
        <v>105.58505994133996</v>
      </c>
      <c r="AC177" s="76">
        <f t="shared" si="71"/>
        <v>105.8944654434483</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72">A156</f>
        <v>Capex vehicle</v>
      </c>
      <c r="B180" s="153">
        <f>((1+B141)^B148)*B141/(((1+B141)^B148)-1)*(B137)/B153/(B150)</f>
        <v>1.0347449498978036E-3</v>
      </c>
      <c r="C180" s="65">
        <f t="shared" ref="C180:AC180" si="73">((1+C141)^C148)*C141/(((1+C141)^C148)-1)*(C137)/C153/(C150)</f>
        <v>1.0347449498978036E-3</v>
      </c>
      <c r="D180" s="65">
        <f t="shared" si="73"/>
        <v>1.0347449498978036E-3</v>
      </c>
      <c r="E180" s="65">
        <f t="shared" si="73"/>
        <v>1.0347449498978036E-3</v>
      </c>
      <c r="F180" s="65">
        <f t="shared" si="73"/>
        <v>1.0347449498978036E-3</v>
      </c>
      <c r="G180" s="65">
        <f t="shared" si="73"/>
        <v>1.0347449498978036E-3</v>
      </c>
      <c r="H180" s="65">
        <f t="shared" si="73"/>
        <v>1.0347449498978036E-3</v>
      </c>
      <c r="I180" s="65">
        <f t="shared" si="73"/>
        <v>1.0347449498978036E-3</v>
      </c>
      <c r="J180" s="65">
        <f t="shared" si="73"/>
        <v>1.0347449498978036E-3</v>
      </c>
      <c r="K180" s="65">
        <f t="shared" si="73"/>
        <v>1.0347449498978036E-3</v>
      </c>
      <c r="L180" s="65">
        <f t="shared" si="73"/>
        <v>1.0347449498978036E-3</v>
      </c>
      <c r="M180" s="65">
        <f t="shared" si="73"/>
        <v>1.0347449498978036E-3</v>
      </c>
      <c r="N180" s="65">
        <f t="shared" si="73"/>
        <v>1.0347449498978036E-3</v>
      </c>
      <c r="O180" s="65">
        <f t="shared" si="73"/>
        <v>1.0347449498978036E-3</v>
      </c>
      <c r="P180" s="65">
        <f t="shared" si="73"/>
        <v>1.0347449498978036E-3</v>
      </c>
      <c r="Q180" s="65">
        <f t="shared" si="73"/>
        <v>1.0347449498978036E-3</v>
      </c>
      <c r="R180" s="65">
        <f t="shared" si="73"/>
        <v>1.0347449498978036E-3</v>
      </c>
      <c r="S180" s="65">
        <f t="shared" si="73"/>
        <v>1.0347449498978036E-3</v>
      </c>
      <c r="T180" s="65">
        <f t="shared" si="73"/>
        <v>1.0347449498978036E-3</v>
      </c>
      <c r="U180" s="65">
        <f t="shared" si="73"/>
        <v>1.0347449498978036E-3</v>
      </c>
      <c r="V180" s="65">
        <f t="shared" si="73"/>
        <v>1.0347449498978036E-3</v>
      </c>
      <c r="W180" s="65">
        <f t="shared" si="73"/>
        <v>1.0347449498978036E-3</v>
      </c>
      <c r="X180" s="65">
        <f t="shared" si="73"/>
        <v>1.0347449498978036E-3</v>
      </c>
      <c r="Y180" s="65">
        <f t="shared" si="73"/>
        <v>1.0347449498978036E-3</v>
      </c>
      <c r="Z180" s="65">
        <f t="shared" si="73"/>
        <v>1.0347449498978036E-3</v>
      </c>
      <c r="AA180" s="65">
        <f t="shared" si="73"/>
        <v>1.0347449498978036E-3</v>
      </c>
      <c r="AB180" s="65">
        <f t="shared" si="73"/>
        <v>1.0347449498978036E-3</v>
      </c>
      <c r="AC180" s="65">
        <f t="shared" si="73"/>
        <v>1.0347449498978036E-3</v>
      </c>
    </row>
    <row r="181" spans="1:29" x14ac:dyDescent="0.25">
      <c r="A181" s="30" t="str">
        <f t="shared" si="72"/>
        <v>Residual value (vehicle)</v>
      </c>
      <c r="B181" s="69">
        <f>((1+B141)^B148)*B141/(((1+B141)^B148)-1)*(B138)/B153/(B150)</f>
        <v>-1.0336086682377807E-4</v>
      </c>
      <c r="C181" s="68">
        <f t="shared" ref="C181:AC181" si="74">((1+C141)^C148)*C141/(((1+C141)^C148)-1)*(C138)/C153/(C150)</f>
        <v>-1.0331170855999495E-4</v>
      </c>
      <c r="D181" s="68">
        <f t="shared" si="74"/>
        <v>-1.0324133960030145E-4</v>
      </c>
      <c r="E181" s="68">
        <f t="shared" si="74"/>
        <v>-1.0314067185489343E-4</v>
      </c>
      <c r="F181" s="68">
        <f t="shared" si="74"/>
        <v>-1.0299679543326449E-4</v>
      </c>
      <c r="G181" s="68">
        <f t="shared" si="74"/>
        <v>-1.0279145268661591E-4</v>
      </c>
      <c r="H181" s="68">
        <f t="shared" si="74"/>
        <v>-1.0249899423929835E-4</v>
      </c>
      <c r="I181" s="68">
        <f t="shared" si="74"/>
        <v>-1.0208374516854875E-4</v>
      </c>
      <c r="J181" s="68">
        <f t="shared" si="74"/>
        <v>-1.0149683050993223E-4</v>
      </c>
      <c r="K181" s="68">
        <f t="shared" si="74"/>
        <v>-1.0067281291805218E-4</v>
      </c>
      <c r="L181" s="68">
        <f t="shared" si="74"/>
        <v>-9.9527129337690295E-5</v>
      </c>
      <c r="M181" s="68">
        <f t="shared" si="74"/>
        <v>-9.7956440009122124E-5</v>
      </c>
      <c r="N181" s="68">
        <f t="shared" si="74"/>
        <v>-9.5845601859790468E-5</v>
      </c>
      <c r="O181" s="68">
        <f t="shared" si="74"/>
        <v>-9.3086328614673487E-5</v>
      </c>
      <c r="P181" s="68">
        <f t="shared" si="74"/>
        <v>-8.9611490340159677E-5</v>
      </c>
      <c r="Q181" s="68">
        <f t="shared" si="74"/>
        <v>-8.5441784155991385E-5</v>
      </c>
      <c r="R181" s="68">
        <f t="shared" si="74"/>
        <v>-8.0726790257955685E-5</v>
      </c>
      <c r="S181" s="68">
        <f t="shared" si="74"/>
        <v>-7.5749190544932557E-5</v>
      </c>
      <c r="T181" s="68">
        <f t="shared" si="74"/>
        <v>-7.086954068392259E-5</v>
      </c>
      <c r="U181" s="68">
        <f t="shared" si="74"/>
        <v>-6.6427494974906487E-5</v>
      </c>
      <c r="V181" s="68">
        <f t="shared" si="74"/>
        <v>-6.2652388681716054E-5</v>
      </c>
      <c r="W181" s="68">
        <f t="shared" si="74"/>
        <v>-5.9629204624102501E-5</v>
      </c>
      <c r="X181" s="68">
        <f t="shared" si="74"/>
        <v>-5.7322381009659713E-5</v>
      </c>
      <c r="Y181" s="68">
        <f t="shared" si="74"/>
        <v>-5.5626680645522941E-5</v>
      </c>
      <c r="Z181" s="68">
        <f t="shared" si="74"/>
        <v>-5.4414279416293167E-5</v>
      </c>
      <c r="AA181" s="68">
        <f t="shared" si="74"/>
        <v>-5.3564565201592909E-5</v>
      </c>
      <c r="AB181" s="68">
        <f t="shared" si="74"/>
        <v>-5.2977360451717727E-5</v>
      </c>
      <c r="AC181" s="68">
        <f t="shared" si="74"/>
        <v>-5.2575506979843073E-5</v>
      </c>
    </row>
    <row r="182" spans="1:29" x14ac:dyDescent="0.25">
      <c r="A182" s="30" t="str">
        <f t="shared" si="72"/>
        <v>Capex costumization</v>
      </c>
      <c r="B182" s="69">
        <f>((1+B141)^B149)*B141/(((1+B141)^B149)-1)*(B139)/B153/(B150)</f>
        <v>3.4491498329926784E-4</v>
      </c>
      <c r="C182" s="66">
        <f t="shared" ref="C182:AC182" si="75">((1+C141)^C149)*C141/(((1+C141)^C149)-1)*(C139)/C153/(C150)</f>
        <v>3.4491498329926784E-4</v>
      </c>
      <c r="D182" s="66">
        <f t="shared" si="75"/>
        <v>3.4491498329926784E-4</v>
      </c>
      <c r="E182" s="66">
        <f t="shared" si="75"/>
        <v>3.4491498329926784E-4</v>
      </c>
      <c r="F182" s="66">
        <f t="shared" si="75"/>
        <v>3.4491498329926784E-4</v>
      </c>
      <c r="G182" s="66">
        <f t="shared" si="75"/>
        <v>3.4491498329926784E-4</v>
      </c>
      <c r="H182" s="66">
        <f t="shared" si="75"/>
        <v>3.4491498329926784E-4</v>
      </c>
      <c r="I182" s="66">
        <f t="shared" si="75"/>
        <v>3.4491498329926784E-4</v>
      </c>
      <c r="J182" s="66">
        <f t="shared" si="75"/>
        <v>3.4491498329926784E-4</v>
      </c>
      <c r="K182" s="66">
        <f t="shared" si="75"/>
        <v>3.4491498329926784E-4</v>
      </c>
      <c r="L182" s="66">
        <f t="shared" si="75"/>
        <v>3.4491498329926784E-4</v>
      </c>
      <c r="M182" s="66">
        <f t="shared" si="75"/>
        <v>3.4491498329926784E-4</v>
      </c>
      <c r="N182" s="66">
        <f t="shared" si="75"/>
        <v>3.4491498329926784E-4</v>
      </c>
      <c r="O182" s="66">
        <f t="shared" si="75"/>
        <v>3.4491498329926784E-4</v>
      </c>
      <c r="P182" s="66">
        <f t="shared" si="75"/>
        <v>3.4491498329926784E-4</v>
      </c>
      <c r="Q182" s="66">
        <f t="shared" si="75"/>
        <v>3.4491498329926784E-4</v>
      </c>
      <c r="R182" s="66">
        <f t="shared" si="75"/>
        <v>3.4491498329926784E-4</v>
      </c>
      <c r="S182" s="66">
        <f t="shared" si="75"/>
        <v>3.4491498329926784E-4</v>
      </c>
      <c r="T182" s="66">
        <f t="shared" si="75"/>
        <v>3.4491498329926784E-4</v>
      </c>
      <c r="U182" s="66">
        <f t="shared" si="75"/>
        <v>3.4491498329926784E-4</v>
      </c>
      <c r="V182" s="66">
        <f t="shared" si="75"/>
        <v>3.4491498329926784E-4</v>
      </c>
      <c r="W182" s="66">
        <f t="shared" si="75"/>
        <v>3.4491498329926784E-4</v>
      </c>
      <c r="X182" s="66">
        <f t="shared" si="75"/>
        <v>3.4491498329926784E-4</v>
      </c>
      <c r="Y182" s="66">
        <f t="shared" si="75"/>
        <v>3.4491498329926784E-4</v>
      </c>
      <c r="Z182" s="66">
        <f t="shared" si="75"/>
        <v>3.4491498329926784E-4</v>
      </c>
      <c r="AA182" s="66">
        <f t="shared" si="75"/>
        <v>3.4491498329926784E-4</v>
      </c>
      <c r="AB182" s="66">
        <f t="shared" si="75"/>
        <v>3.4491498329926784E-4</v>
      </c>
      <c r="AC182" s="66">
        <f t="shared" si="75"/>
        <v>3.4491498329926784E-4</v>
      </c>
    </row>
    <row r="183" spans="1:29" x14ac:dyDescent="0.25">
      <c r="A183" s="30" t="str">
        <f t="shared" si="72"/>
        <v>Residual value (costumization)</v>
      </c>
      <c r="B183" s="69">
        <f>((1+B141)^B149)*B141/(((1+B141)^B149)-1)*(B140)/B153/(B150)</f>
        <v>-3.4491498329926788E-5</v>
      </c>
      <c r="C183" s="69">
        <f t="shared" ref="C183:AC183" si="76">((1+C141)^C149)*C141/(((1+C141)^C149)-1)*(C140)/C153/(C150)</f>
        <v>-3.4491498329926788E-5</v>
      </c>
      <c r="D183" s="69">
        <f t="shared" si="76"/>
        <v>-3.4491498329926788E-5</v>
      </c>
      <c r="E183" s="69">
        <f t="shared" si="76"/>
        <v>-3.4491498329926788E-5</v>
      </c>
      <c r="F183" s="69">
        <f t="shared" si="76"/>
        <v>-3.4491498329926788E-5</v>
      </c>
      <c r="G183" s="69">
        <f t="shared" si="76"/>
        <v>-3.4491498329926788E-5</v>
      </c>
      <c r="H183" s="69">
        <f t="shared" si="76"/>
        <v>-3.4491498329926788E-5</v>
      </c>
      <c r="I183" s="69">
        <f t="shared" si="76"/>
        <v>-3.4491498329926788E-5</v>
      </c>
      <c r="J183" s="69">
        <f t="shared" si="76"/>
        <v>-3.4491498329926788E-5</v>
      </c>
      <c r="K183" s="69">
        <f t="shared" si="76"/>
        <v>-3.4491498329926788E-5</v>
      </c>
      <c r="L183" s="69">
        <f t="shared" si="76"/>
        <v>-3.4491498329926788E-5</v>
      </c>
      <c r="M183" s="69">
        <f t="shared" si="76"/>
        <v>-3.4491498329926788E-5</v>
      </c>
      <c r="N183" s="69">
        <f t="shared" si="76"/>
        <v>-3.4491498329926788E-5</v>
      </c>
      <c r="O183" s="69">
        <f t="shared" si="76"/>
        <v>-3.4491498329926788E-5</v>
      </c>
      <c r="P183" s="69">
        <f t="shared" si="76"/>
        <v>-3.4491498329926788E-5</v>
      </c>
      <c r="Q183" s="69">
        <f t="shared" si="76"/>
        <v>-3.4491498329926788E-5</v>
      </c>
      <c r="R183" s="69">
        <f t="shared" si="76"/>
        <v>-3.4491498329926788E-5</v>
      </c>
      <c r="S183" s="69">
        <f t="shared" si="76"/>
        <v>-3.4491498329926788E-5</v>
      </c>
      <c r="T183" s="69">
        <f t="shared" si="76"/>
        <v>-3.4491498329926788E-5</v>
      </c>
      <c r="U183" s="69">
        <f t="shared" si="76"/>
        <v>-3.4491498329926788E-5</v>
      </c>
      <c r="V183" s="69">
        <f t="shared" si="76"/>
        <v>-3.4491498329926788E-5</v>
      </c>
      <c r="W183" s="69">
        <f t="shared" si="76"/>
        <v>-3.4491498329926788E-5</v>
      </c>
      <c r="X183" s="69">
        <f t="shared" si="76"/>
        <v>-3.4491498329926788E-5</v>
      </c>
      <c r="Y183" s="69">
        <f t="shared" si="76"/>
        <v>-3.4491498329926788E-5</v>
      </c>
      <c r="Z183" s="69">
        <f t="shared" si="76"/>
        <v>-3.4491498329926788E-5</v>
      </c>
      <c r="AA183" s="69">
        <f t="shared" si="76"/>
        <v>-3.4491498329926788E-5</v>
      </c>
      <c r="AB183" s="69">
        <f t="shared" si="76"/>
        <v>-3.4491498329926788E-5</v>
      </c>
      <c r="AC183" s="69">
        <f t="shared" si="76"/>
        <v>-3.4491498329926788E-5</v>
      </c>
    </row>
    <row r="184" spans="1:29" x14ac:dyDescent="0.25">
      <c r="A184" s="30" t="str">
        <f t="shared" si="72"/>
        <v>Opex fix (admin, crew, insurance)</v>
      </c>
      <c r="B184" s="69">
        <f>B142/B153/(B150)</f>
        <v>1.0654632223259673E-3</v>
      </c>
      <c r="C184" s="66">
        <f t="shared" ref="C184:AC184" si="77">C142/C153/(C150)</f>
        <v>1.0654632223259673E-3</v>
      </c>
      <c r="D184" s="66">
        <f t="shared" si="77"/>
        <v>1.0654632223259673E-3</v>
      </c>
      <c r="E184" s="66">
        <f t="shared" si="77"/>
        <v>1.0654632223259673E-3</v>
      </c>
      <c r="F184" s="66">
        <f t="shared" si="77"/>
        <v>1.0654632223259673E-3</v>
      </c>
      <c r="G184" s="66">
        <f t="shared" si="77"/>
        <v>1.0654632223259673E-3</v>
      </c>
      <c r="H184" s="66">
        <f t="shared" si="77"/>
        <v>1.0654632223259673E-3</v>
      </c>
      <c r="I184" s="66">
        <f t="shared" si="77"/>
        <v>1.0654632223259673E-3</v>
      </c>
      <c r="J184" s="66">
        <f t="shared" si="77"/>
        <v>1.0654632223259673E-3</v>
      </c>
      <c r="K184" s="66">
        <f t="shared" si="77"/>
        <v>1.0654632223259673E-3</v>
      </c>
      <c r="L184" s="66">
        <f t="shared" si="77"/>
        <v>1.0654632223259673E-3</v>
      </c>
      <c r="M184" s="66">
        <f t="shared" si="77"/>
        <v>1.0654632223259673E-3</v>
      </c>
      <c r="N184" s="66">
        <f t="shared" si="77"/>
        <v>1.0654632223259673E-3</v>
      </c>
      <c r="O184" s="66">
        <f t="shared" si="77"/>
        <v>1.0654632223259673E-3</v>
      </c>
      <c r="P184" s="66">
        <f t="shared" si="77"/>
        <v>1.0654632223259673E-3</v>
      </c>
      <c r="Q184" s="66">
        <f t="shared" si="77"/>
        <v>1.0654632223259673E-3</v>
      </c>
      <c r="R184" s="66">
        <f t="shared" si="77"/>
        <v>1.0654632223259673E-3</v>
      </c>
      <c r="S184" s="66">
        <f t="shared" si="77"/>
        <v>1.0654632223259673E-3</v>
      </c>
      <c r="T184" s="66">
        <f t="shared" si="77"/>
        <v>1.0654632223259673E-3</v>
      </c>
      <c r="U184" s="66">
        <f t="shared" si="77"/>
        <v>1.0654632223259673E-3</v>
      </c>
      <c r="V184" s="66">
        <f t="shared" si="77"/>
        <v>1.0654632223259673E-3</v>
      </c>
      <c r="W184" s="66">
        <f t="shared" si="77"/>
        <v>1.0654632223259673E-3</v>
      </c>
      <c r="X184" s="66">
        <f t="shared" si="77"/>
        <v>1.0654632223259673E-3</v>
      </c>
      <c r="Y184" s="66">
        <f t="shared" si="77"/>
        <v>1.0654632223259673E-3</v>
      </c>
      <c r="Z184" s="66">
        <f t="shared" si="77"/>
        <v>1.0654632223259673E-3</v>
      </c>
      <c r="AA184" s="66">
        <f t="shared" si="77"/>
        <v>1.0654632223259673E-3</v>
      </c>
      <c r="AB184" s="66">
        <f t="shared" si="77"/>
        <v>1.0654632223259673E-3</v>
      </c>
      <c r="AC184" s="66">
        <f t="shared" si="77"/>
        <v>1.0654632223259673E-3</v>
      </c>
    </row>
    <row r="185" spans="1:29" x14ac:dyDescent="0.25">
      <c r="A185" s="30" t="str">
        <f t="shared" si="72"/>
        <v>Opex maintenance &amp; repair</v>
      </c>
      <c r="B185" s="69">
        <f>B143/B153/(B150)</f>
        <v>4.305425874053325E-4</v>
      </c>
      <c r="C185" s="66">
        <f t="shared" ref="C185:AC185" si="78">C143/C153/(C150)</f>
        <v>4.305425874053325E-4</v>
      </c>
      <c r="D185" s="66">
        <f t="shared" si="78"/>
        <v>4.305425874053325E-4</v>
      </c>
      <c r="E185" s="66">
        <f t="shared" si="78"/>
        <v>4.305425874053325E-4</v>
      </c>
      <c r="F185" s="66">
        <f t="shared" si="78"/>
        <v>4.305425874053325E-4</v>
      </c>
      <c r="G185" s="66">
        <f t="shared" si="78"/>
        <v>4.305425874053325E-4</v>
      </c>
      <c r="H185" s="66">
        <f t="shared" si="78"/>
        <v>4.305425874053325E-4</v>
      </c>
      <c r="I185" s="66">
        <f t="shared" si="78"/>
        <v>4.305425874053325E-4</v>
      </c>
      <c r="J185" s="66">
        <f t="shared" si="78"/>
        <v>4.305425874053325E-4</v>
      </c>
      <c r="K185" s="66">
        <f t="shared" si="78"/>
        <v>4.305425874053325E-4</v>
      </c>
      <c r="L185" s="66">
        <f t="shared" si="78"/>
        <v>4.305425874053325E-4</v>
      </c>
      <c r="M185" s="66">
        <f t="shared" si="78"/>
        <v>4.305425874053325E-4</v>
      </c>
      <c r="N185" s="66">
        <f t="shared" si="78"/>
        <v>4.305425874053325E-4</v>
      </c>
      <c r="O185" s="66">
        <f t="shared" si="78"/>
        <v>4.305425874053325E-4</v>
      </c>
      <c r="P185" s="66">
        <f t="shared" si="78"/>
        <v>4.305425874053325E-4</v>
      </c>
      <c r="Q185" s="66">
        <f t="shared" si="78"/>
        <v>4.305425874053325E-4</v>
      </c>
      <c r="R185" s="66">
        <f t="shared" si="78"/>
        <v>4.305425874053325E-4</v>
      </c>
      <c r="S185" s="66">
        <f t="shared" si="78"/>
        <v>4.305425874053325E-4</v>
      </c>
      <c r="T185" s="66">
        <f t="shared" si="78"/>
        <v>4.305425874053325E-4</v>
      </c>
      <c r="U185" s="66">
        <f t="shared" si="78"/>
        <v>4.305425874053325E-4</v>
      </c>
      <c r="V185" s="66">
        <f t="shared" si="78"/>
        <v>4.305425874053325E-4</v>
      </c>
      <c r="W185" s="66">
        <f t="shared" si="78"/>
        <v>4.305425874053325E-4</v>
      </c>
      <c r="X185" s="66">
        <f t="shared" si="78"/>
        <v>4.305425874053325E-4</v>
      </c>
      <c r="Y185" s="66">
        <f t="shared" si="78"/>
        <v>4.305425874053325E-4</v>
      </c>
      <c r="Z185" s="66">
        <f t="shared" si="78"/>
        <v>4.305425874053325E-4</v>
      </c>
      <c r="AA185" s="66">
        <f t="shared" si="78"/>
        <v>4.305425874053325E-4</v>
      </c>
      <c r="AB185" s="66">
        <f t="shared" si="78"/>
        <v>4.305425874053325E-4</v>
      </c>
      <c r="AC185" s="66">
        <f t="shared" si="78"/>
        <v>4.305425874053325E-4</v>
      </c>
    </row>
    <row r="186" spans="1:29" x14ac:dyDescent="0.25">
      <c r="A186" s="30" t="str">
        <f t="shared" si="72"/>
        <v>Opex var (mode-fees)</v>
      </c>
      <c r="B186" s="69">
        <f>B144*B153/B153/(B150)</f>
        <v>1.7869725535414797E-4</v>
      </c>
      <c r="C186" s="66">
        <f t="shared" ref="C186:AC186" si="79">C144*C153/C153/(C150)</f>
        <v>1.7869725535414797E-4</v>
      </c>
      <c r="D186" s="66">
        <f t="shared" si="79"/>
        <v>1.7869725535414797E-4</v>
      </c>
      <c r="E186" s="66">
        <f t="shared" si="79"/>
        <v>1.7869725535414797E-4</v>
      </c>
      <c r="F186" s="66">
        <f t="shared" si="79"/>
        <v>1.7869725535414797E-4</v>
      </c>
      <c r="G186" s="66">
        <f t="shared" si="79"/>
        <v>1.7869725535414797E-4</v>
      </c>
      <c r="H186" s="66">
        <f t="shared" si="79"/>
        <v>1.7869725535414797E-4</v>
      </c>
      <c r="I186" s="66">
        <f t="shared" si="79"/>
        <v>1.7869725535414797E-4</v>
      </c>
      <c r="J186" s="66">
        <f t="shared" si="79"/>
        <v>1.7869725535414797E-4</v>
      </c>
      <c r="K186" s="66">
        <f t="shared" si="79"/>
        <v>1.7869725535414797E-4</v>
      </c>
      <c r="L186" s="66">
        <f t="shared" si="79"/>
        <v>1.7869725535414797E-4</v>
      </c>
      <c r="M186" s="66">
        <f t="shared" si="79"/>
        <v>1.7869725535414797E-4</v>
      </c>
      <c r="N186" s="66">
        <f t="shared" si="79"/>
        <v>1.7869725535414797E-4</v>
      </c>
      <c r="O186" s="66">
        <f t="shared" si="79"/>
        <v>1.7869725535414797E-4</v>
      </c>
      <c r="P186" s="66">
        <f t="shared" si="79"/>
        <v>1.7869725535414797E-4</v>
      </c>
      <c r="Q186" s="66">
        <f t="shared" si="79"/>
        <v>1.7869725535414797E-4</v>
      </c>
      <c r="R186" s="66">
        <f t="shared" si="79"/>
        <v>1.7869725535414797E-4</v>
      </c>
      <c r="S186" s="66">
        <f t="shared" si="79"/>
        <v>1.7869725535414797E-4</v>
      </c>
      <c r="T186" s="66">
        <f t="shared" si="79"/>
        <v>1.7869725535414797E-4</v>
      </c>
      <c r="U186" s="66">
        <f t="shared" si="79"/>
        <v>1.7869725535414797E-4</v>
      </c>
      <c r="V186" s="66">
        <f t="shared" si="79"/>
        <v>1.7869725535414797E-4</v>
      </c>
      <c r="W186" s="66">
        <f t="shared" si="79"/>
        <v>1.7869725535414797E-4</v>
      </c>
      <c r="X186" s="66">
        <f t="shared" si="79"/>
        <v>1.7869725535414797E-4</v>
      </c>
      <c r="Y186" s="66">
        <f t="shared" si="79"/>
        <v>1.7869725535414797E-4</v>
      </c>
      <c r="Z186" s="66">
        <f t="shared" si="79"/>
        <v>1.7869725535414797E-4</v>
      </c>
      <c r="AA186" s="66">
        <f t="shared" si="79"/>
        <v>1.7869725535414797E-4</v>
      </c>
      <c r="AB186" s="66">
        <f t="shared" si="79"/>
        <v>1.7869725535414797E-4</v>
      </c>
      <c r="AC186" s="66">
        <f t="shared" si="79"/>
        <v>1.7869725535414797E-4</v>
      </c>
    </row>
    <row r="187" spans="1:29" x14ac:dyDescent="0.25">
      <c r="A187" s="30" t="str">
        <f t="shared" si="72"/>
        <v>Fuel Cost</v>
      </c>
      <c r="B187" s="69">
        <f>B145*B146*B153/B153/(B150)</f>
        <v>2.1494771182553069E-3</v>
      </c>
      <c r="C187" s="66">
        <f t="shared" ref="C187:AC187" si="80">C145*C146*C153/C153/(C150)</f>
        <v>2.1493287336269364E-3</v>
      </c>
      <c r="D187" s="66">
        <f t="shared" si="80"/>
        <v>2.1491163243364253E-3</v>
      </c>
      <c r="E187" s="66">
        <f t="shared" si="80"/>
        <v>2.14881245790906E-3</v>
      </c>
      <c r="F187" s="66">
        <f t="shared" si="80"/>
        <v>2.1483781657328982E-3</v>
      </c>
      <c r="G187" s="66">
        <f t="shared" si="80"/>
        <v>2.1477583369430842E-3</v>
      </c>
      <c r="H187" s="66">
        <f t="shared" si="80"/>
        <v>2.1468755486857413E-3</v>
      </c>
      <c r="I187" s="66">
        <f t="shared" si="80"/>
        <v>2.1456221159095916E-3</v>
      </c>
      <c r="J187" s="66">
        <f t="shared" si="80"/>
        <v>2.1438505091277019E-3</v>
      </c>
      <c r="K187" s="66">
        <f t="shared" si="80"/>
        <v>2.1413632051683635E-3</v>
      </c>
      <c r="L187" s="66">
        <f t="shared" si="80"/>
        <v>2.1379049497455864E-3</v>
      </c>
      <c r="M187" s="66">
        <f t="shared" si="80"/>
        <v>2.1331638109345504E-3</v>
      </c>
      <c r="N187" s="66">
        <f t="shared" si="80"/>
        <v>2.1267922284124146E-3</v>
      </c>
      <c r="O187" s="66">
        <f t="shared" si="80"/>
        <v>2.118463339156764E-3</v>
      </c>
      <c r="P187" s="66">
        <f t="shared" si="80"/>
        <v>2.1079745109042758E-3</v>
      </c>
      <c r="Q187" s="66">
        <f t="shared" si="80"/>
        <v>2.0953882180831502E-3</v>
      </c>
      <c r="R187" s="66">
        <f t="shared" si="80"/>
        <v>2.0811559697593205E-3</v>
      </c>
      <c r="S187" s="66">
        <f t="shared" si="80"/>
        <v>2.0661310435972982E-3</v>
      </c>
      <c r="T187" s="66">
        <f t="shared" si="80"/>
        <v>2.0514017798788087E-3</v>
      </c>
      <c r="U187" s="66">
        <f t="shared" si="80"/>
        <v>2.037993427935265E-3</v>
      </c>
      <c r="V187" s="66">
        <f t="shared" si="80"/>
        <v>2.0265982381692882E-3</v>
      </c>
      <c r="W187" s="66">
        <f t="shared" si="80"/>
        <v>2.0174727319296035E-3</v>
      </c>
      <c r="X187" s="66">
        <f t="shared" si="80"/>
        <v>2.0105095656498539E-3</v>
      </c>
      <c r="Y187" s="66">
        <f t="shared" si="80"/>
        <v>2.0053910799874954E-3</v>
      </c>
      <c r="Z187" s="66">
        <f t="shared" si="80"/>
        <v>2.0017314367863233E-3</v>
      </c>
      <c r="AA187" s="66">
        <f t="shared" si="80"/>
        <v>1.9991665673571302E-3</v>
      </c>
      <c r="AB187" s="66">
        <f t="shared" si="80"/>
        <v>1.9973940849323628E-3</v>
      </c>
      <c r="AC187" s="66">
        <f t="shared" si="80"/>
        <v>1.9961810868829068E-3</v>
      </c>
    </row>
    <row r="188" spans="1:29" x14ac:dyDescent="0.25">
      <c r="A188" s="59" t="str">
        <f>A151</f>
        <v>Market failure (av. utilization)</v>
      </c>
      <c r="B188" s="69">
        <f t="shared" ref="B188:AC188" si="81">B177/B151-B177/B150</f>
        <v>5.2598973004949739E-3</v>
      </c>
      <c r="C188" s="66">
        <f t="shared" si="81"/>
        <v>5.2628779201260283E-3</v>
      </c>
      <c r="D188" s="66">
        <f t="shared" si="81"/>
        <v>5.267144610739934E-3</v>
      </c>
      <c r="E188" s="66">
        <f t="shared" si="81"/>
        <v>5.2732484117102262E-3</v>
      </c>
      <c r="F188" s="66">
        <f t="shared" si="81"/>
        <v>5.2819720901673252E-3</v>
      </c>
      <c r="G188" s="66">
        <f t="shared" si="81"/>
        <v>5.2944226645906993E-3</v>
      </c>
      <c r="H188" s="66">
        <f t="shared" si="81"/>
        <v>5.3121553370298379E-3</v>
      </c>
      <c r="I188" s="66">
        <f t="shared" si="81"/>
        <v>5.3373331898831106E-3</v>
      </c>
      <c r="J188" s="66">
        <f t="shared" si="81"/>
        <v>5.3729196654540264E-3</v>
      </c>
      <c r="K188" s="66">
        <f t="shared" si="81"/>
        <v>5.4228824351223908E-3</v>
      </c>
      <c r="L188" s="66">
        <f t="shared" si="81"/>
        <v>5.4923488220084398E-3</v>
      </c>
      <c r="M188" s="66">
        <f t="shared" si="81"/>
        <v>5.5875846396865091E-3</v>
      </c>
      <c r="N188" s="66">
        <f t="shared" si="81"/>
        <v>5.7155713735881908E-3</v>
      </c>
      <c r="O188" s="66">
        <f t="shared" si="81"/>
        <v>5.8828747600162927E-3</v>
      </c>
      <c r="P188" s="66">
        <f t="shared" si="81"/>
        <v>6.0935650972798999E-3</v>
      </c>
      <c r="Q188" s="66">
        <f t="shared" si="81"/>
        <v>6.3463874541291477E-3</v>
      </c>
      <c r="R188" s="66">
        <f t="shared" si="81"/>
        <v>6.6322723143999451E-3</v>
      </c>
      <c r="S188" s="66">
        <f t="shared" si="81"/>
        <v>6.9340797884317584E-3</v>
      </c>
      <c r="T188" s="66">
        <f t="shared" si="81"/>
        <v>7.2299482558896705E-3</v>
      </c>
      <c r="U188" s="66">
        <f t="shared" si="81"/>
        <v>7.4992834118413291E-3</v>
      </c>
      <c r="V188" s="66">
        <f t="shared" si="81"/>
        <v>7.7281799403364684E-3</v>
      </c>
      <c r="W188" s="66">
        <f t="shared" si="81"/>
        <v>7.9114850666153844E-3</v>
      </c>
      <c r="X188" s="66">
        <f t="shared" si="81"/>
        <v>8.0513550136282717E-3</v>
      </c>
      <c r="Y188" s="66">
        <f t="shared" si="81"/>
        <v>8.1541706422687127E-3</v>
      </c>
      <c r="Z188" s="66">
        <f t="shared" si="81"/>
        <v>8.2276823293474348E-3</v>
      </c>
      <c r="AA188" s="66">
        <f t="shared" si="81"/>
        <v>8.2792031658093634E-3</v>
      </c>
      <c r="AB188" s="66">
        <f t="shared" si="81"/>
        <v>8.31480723052265E-3</v>
      </c>
      <c r="AC188" s="66">
        <f t="shared" si="81"/>
        <v>8.339172866224551E-3</v>
      </c>
    </row>
    <row r="189" spans="1:29" x14ac:dyDescent="0.25">
      <c r="A189" s="59" t="str">
        <f>A152</f>
        <v>Payload loss (fuel)</v>
      </c>
      <c r="B189" s="69">
        <f>B177/(B150-B152)-B177/B150</f>
        <v>0</v>
      </c>
      <c r="C189" s="66">
        <f t="shared" ref="C189:AC189" si="82">C177/(C150-C152)-C177/C150</f>
        <v>0</v>
      </c>
      <c r="D189" s="66">
        <f t="shared" si="82"/>
        <v>0</v>
      </c>
      <c r="E189" s="66">
        <f t="shared" si="82"/>
        <v>0</v>
      </c>
      <c r="F189" s="66">
        <f t="shared" si="82"/>
        <v>0</v>
      </c>
      <c r="G189" s="66">
        <f t="shared" si="82"/>
        <v>0</v>
      </c>
      <c r="H189" s="66">
        <f t="shared" si="82"/>
        <v>0</v>
      </c>
      <c r="I189" s="66">
        <f t="shared" si="82"/>
        <v>0</v>
      </c>
      <c r="J189" s="66">
        <f t="shared" si="82"/>
        <v>0</v>
      </c>
      <c r="K189" s="66">
        <f t="shared" si="82"/>
        <v>0</v>
      </c>
      <c r="L189" s="66">
        <f t="shared" si="82"/>
        <v>0</v>
      </c>
      <c r="M189" s="66">
        <f t="shared" si="82"/>
        <v>0</v>
      </c>
      <c r="N189" s="66">
        <f t="shared" si="82"/>
        <v>0</v>
      </c>
      <c r="O189" s="66">
        <f t="shared" si="82"/>
        <v>0</v>
      </c>
      <c r="P189" s="66">
        <f t="shared" si="82"/>
        <v>0</v>
      </c>
      <c r="Q189" s="66">
        <f t="shared" si="82"/>
        <v>0</v>
      </c>
      <c r="R189" s="66">
        <f t="shared" si="82"/>
        <v>0</v>
      </c>
      <c r="S189" s="66">
        <f t="shared" si="82"/>
        <v>0</v>
      </c>
      <c r="T189" s="66">
        <f t="shared" si="82"/>
        <v>0</v>
      </c>
      <c r="U189" s="66">
        <f t="shared" si="82"/>
        <v>0</v>
      </c>
      <c r="V189" s="66">
        <f t="shared" si="82"/>
        <v>0</v>
      </c>
      <c r="W189" s="66">
        <f t="shared" si="82"/>
        <v>0</v>
      </c>
      <c r="X189" s="66">
        <f t="shared" si="82"/>
        <v>0</v>
      </c>
      <c r="Y189" s="66">
        <f t="shared" si="82"/>
        <v>0</v>
      </c>
      <c r="Z189" s="66">
        <f t="shared" si="82"/>
        <v>0</v>
      </c>
      <c r="AA189" s="66">
        <f t="shared" si="82"/>
        <v>0</v>
      </c>
      <c r="AB189" s="66">
        <f t="shared" si="82"/>
        <v>0</v>
      </c>
      <c r="AC189" s="66">
        <f t="shared" si="82"/>
        <v>0</v>
      </c>
    </row>
    <row r="190" spans="1:29" ht="15.75" thickBot="1" x14ac:dyDescent="0.3">
      <c r="A190" s="59" t="str">
        <f>A127</f>
        <v>Emission Cost</v>
      </c>
      <c r="B190" s="69">
        <f>B147*B153/B153/(B150)</f>
        <v>1.9330162494961441E-3</v>
      </c>
      <c r="C190" s="68">
        <f t="shared" ref="C190:AC190" si="83">C147*C153/C153/(C150)</f>
        <v>1.9371206834899628E-3</v>
      </c>
      <c r="D190" s="68">
        <f t="shared" si="83"/>
        <v>1.9429960893332179E-3</v>
      </c>
      <c r="E190" s="68">
        <f t="shared" si="83"/>
        <v>1.9514012705690036E-3</v>
      </c>
      <c r="F190" s="68">
        <f t="shared" si="83"/>
        <v>1.9634141292502638E-3</v>
      </c>
      <c r="G190" s="68">
        <f t="shared" si="83"/>
        <v>1.9805590746748382E-3</v>
      </c>
      <c r="H190" s="68">
        <f t="shared" si="83"/>
        <v>2.0049776830749549E-3</v>
      </c>
      <c r="I190" s="68">
        <f t="shared" si="83"/>
        <v>2.0396486065519404E-3</v>
      </c>
      <c r="J190" s="68">
        <f t="shared" si="83"/>
        <v>2.0886526252236323E-3</v>
      </c>
      <c r="K190" s="68">
        <f t="shared" si="83"/>
        <v>2.1574533833329558E-3</v>
      </c>
      <c r="L190" s="68">
        <f t="shared" si="83"/>
        <v>2.2531114125534991E-3</v>
      </c>
      <c r="M190" s="68">
        <f t="shared" si="83"/>
        <v>2.3842549920408719E-3</v>
      </c>
      <c r="N190" s="68">
        <f t="shared" si="83"/>
        <v>2.5604979100940593E-3</v>
      </c>
      <c r="O190" s="68">
        <f t="shared" si="83"/>
        <v>2.7908814516173566E-3</v>
      </c>
      <c r="P190" s="68">
        <f t="shared" si="83"/>
        <v>3.0810105822933029E-3</v>
      </c>
      <c r="Q190" s="68">
        <f t="shared" si="83"/>
        <v>3.4291572109464382E-3</v>
      </c>
      <c r="R190" s="68">
        <f t="shared" si="83"/>
        <v>3.8228322463611155E-3</v>
      </c>
      <c r="S190" s="68">
        <f t="shared" si="83"/>
        <v>4.2384333660403627E-3</v>
      </c>
      <c r="T190" s="68">
        <f t="shared" si="83"/>
        <v>4.6458562330444131E-3</v>
      </c>
      <c r="U190" s="68">
        <f t="shared" si="83"/>
        <v>5.0167416550889786E-3</v>
      </c>
      <c r="V190" s="68">
        <f t="shared" si="83"/>
        <v>5.3319414487271117E-3</v>
      </c>
      <c r="W190" s="68">
        <f t="shared" si="83"/>
        <v>5.5843600343464736E-3</v>
      </c>
      <c r="X190" s="68">
        <f t="shared" si="83"/>
        <v>5.7769666183103488E-3</v>
      </c>
      <c r="Y190" s="68">
        <f t="shared" si="83"/>
        <v>5.9185479045941606E-3</v>
      </c>
      <c r="Z190" s="68">
        <f t="shared" si="83"/>
        <v>6.0197764760781397E-3</v>
      </c>
      <c r="AA190" s="68">
        <f t="shared" si="83"/>
        <v>6.090722755288349E-3</v>
      </c>
      <c r="AB190" s="68">
        <f t="shared" si="83"/>
        <v>6.1397509949217199E-3</v>
      </c>
      <c r="AC190" s="68">
        <f t="shared" si="83"/>
        <v>6.1733034624737292E-3</v>
      </c>
    </row>
    <row r="191" spans="1:29" ht="15.75" thickBot="1" x14ac:dyDescent="0.3">
      <c r="A191" s="31" t="s">
        <v>210</v>
      </c>
      <c r="B191" s="76">
        <f>B180+B181+B182+B183+B184+B185+B186+B187+B188+B189+B190</f>
        <v>1.2258901301375238E-2</v>
      </c>
      <c r="C191" s="67">
        <f t="shared" ref="C191:AC191" si="84">C180+C181+C182+C183+C184+C185+C186+C187+C188+C189+C190</f>
        <v>1.2265887128635525E-2</v>
      </c>
      <c r="D191" s="67">
        <f t="shared" si="84"/>
        <v>1.2275887184761868E-2</v>
      </c>
      <c r="E191" s="67">
        <f t="shared" si="84"/>
        <v>1.2290192968285988E-2</v>
      </c>
      <c r="F191" s="67">
        <f t="shared" si="84"/>
        <v>1.2310639089669815E-2</v>
      </c>
      <c r="G191" s="67">
        <f t="shared" si="84"/>
        <v>1.23398201234746E-2</v>
      </c>
      <c r="H191" s="67">
        <f t="shared" si="84"/>
        <v>1.2381381074503827E-2</v>
      </c>
      <c r="I191" s="67">
        <f t="shared" si="84"/>
        <v>1.2440391667128686E-2</v>
      </c>
      <c r="J191" s="67">
        <f t="shared" si="84"/>
        <v>1.2523797469248022E-2</v>
      </c>
      <c r="K191" s="67">
        <f t="shared" si="84"/>
        <v>1.2640897710658249E-2</v>
      </c>
      <c r="L191" s="67">
        <f t="shared" si="84"/>
        <v>1.2803709554922427E-2</v>
      </c>
      <c r="M191" s="67">
        <f t="shared" si="84"/>
        <v>1.30269185026054E-2</v>
      </c>
      <c r="N191" s="67">
        <f t="shared" si="84"/>
        <v>1.3326887410187466E-2</v>
      </c>
      <c r="O191" s="67">
        <f t="shared" si="84"/>
        <v>1.3719004722128333E-2</v>
      </c>
      <c r="P191" s="67">
        <f t="shared" si="84"/>
        <v>1.4212810200089911E-2</v>
      </c>
      <c r="Q191" s="67">
        <f t="shared" si="84"/>
        <v>1.4805362598955337E-2</v>
      </c>
      <c r="R191" s="67">
        <f t="shared" si="84"/>
        <v>1.5475405240215017E-2</v>
      </c>
      <c r="S191" s="67">
        <f t="shared" si="84"/>
        <v>1.6182766507477079E-2</v>
      </c>
      <c r="T191" s="67">
        <f t="shared" si="84"/>
        <v>1.6876208228081561E-2</v>
      </c>
      <c r="U191" s="67">
        <f t="shared" si="84"/>
        <v>1.7507462499843258E-2</v>
      </c>
      <c r="V191" s="67">
        <f t="shared" si="84"/>
        <v>1.8043938738503743E-2</v>
      </c>
      <c r="W191" s="67">
        <f t="shared" si="84"/>
        <v>1.8473560128219952E-2</v>
      </c>
      <c r="X191" s="67">
        <f t="shared" si="84"/>
        <v>1.8801380316531408E-2</v>
      </c>
      <c r="Y191" s="67">
        <f t="shared" si="84"/>
        <v>1.9042354446157438E-2</v>
      </c>
      <c r="Z191" s="67">
        <f t="shared" si="84"/>
        <v>1.9214647462748195E-2</v>
      </c>
      <c r="AA191" s="67">
        <f t="shared" si="84"/>
        <v>1.9335399423205842E-2</v>
      </c>
      <c r="AB191" s="67">
        <f t="shared" si="84"/>
        <v>1.9418846449877607E-2</v>
      </c>
      <c r="AC191" s="67">
        <f t="shared" si="84"/>
        <v>1.9475953408553938E-2</v>
      </c>
    </row>
    <row r="193" spans="2:2" x14ac:dyDescent="0.25">
      <c r="B193" s="40"/>
    </row>
    <row r="215" spans="1:44" s="3" customFormat="1" ht="21" x14ac:dyDescent="0.35">
      <c r="A215" s="2" t="str">
        <f>'Parameter Input'!A179</f>
        <v>Short-sea: Break bulk</v>
      </c>
    </row>
    <row r="216" spans="1:44" s="3" customFormat="1" ht="21" x14ac:dyDescent="0.35">
      <c r="A216" s="2" t="s">
        <v>290</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Input'!$L$168</f>
        <v>15000000</v>
      </c>
      <c r="C225" s="42">
        <f>'Parameter Input'!$M$168</f>
        <v>15000000</v>
      </c>
      <c r="D225" s="1" t="s">
        <v>15</v>
      </c>
      <c r="L225" s="51">
        <f>'Parameter Input'!$O$156</f>
        <v>17</v>
      </c>
      <c r="M225" s="52">
        <v>0</v>
      </c>
      <c r="N225" s="52">
        <v>1</v>
      </c>
      <c r="O225" s="52">
        <f>'Parameter Input'!$P$156</f>
        <v>0.9</v>
      </c>
      <c r="P225" s="53">
        <f>'Parameter Input'!$Q$156</f>
        <v>0.4</v>
      </c>
      <c r="Q225" s="4">
        <f t="shared" ref="Q225:AR234" si="85">$N225+($M225-$N225)*((1/(1+EXP(-$P225*(Q$9-$L225)))^$O225))</f>
        <v>0.99780374543478534</v>
      </c>
      <c r="R225" s="4">
        <f t="shared" si="85"/>
        <v>0.99685359315256394</v>
      </c>
      <c r="S225" s="4">
        <f t="shared" si="85"/>
        <v>0.99549347132349975</v>
      </c>
      <c r="T225" s="4">
        <f t="shared" si="85"/>
        <v>0.99354772139898062</v>
      </c>
      <c r="U225" s="4">
        <f t="shared" si="85"/>
        <v>0.99076681540580536</v>
      </c>
      <c r="V225" s="4">
        <f t="shared" si="85"/>
        <v>0.9867978615748374</v>
      </c>
      <c r="W225" s="4">
        <f t="shared" si="85"/>
        <v>0.98114509762858249</v>
      </c>
      <c r="X225" s="4">
        <f t="shared" si="85"/>
        <v>0.97311898315872036</v>
      </c>
      <c r="Y225" s="4">
        <f t="shared" si="85"/>
        <v>0.96177484161592774</v>
      </c>
      <c r="Z225" s="4">
        <f t="shared" si="85"/>
        <v>0.94584787155511363</v>
      </c>
      <c r="AA225" s="4">
        <f t="shared" si="85"/>
        <v>0.92370360150141495</v>
      </c>
      <c r="AB225" s="4">
        <f t="shared" si="85"/>
        <v>0.89334463567658451</v>
      </c>
      <c r="AC225" s="4">
        <f t="shared" si="85"/>
        <v>0.85254543874327005</v>
      </c>
      <c r="AD225" s="4">
        <f t="shared" si="85"/>
        <v>0.79921300652623883</v>
      </c>
      <c r="AE225" s="4">
        <f t="shared" si="85"/>
        <v>0.73204982249993378</v>
      </c>
      <c r="AF225" s="4">
        <f t="shared" si="85"/>
        <v>0.65145592958786691</v>
      </c>
      <c r="AG225" s="4">
        <f t="shared" si="85"/>
        <v>0.56032247880849573</v>
      </c>
      <c r="AH225" s="4">
        <f t="shared" si="85"/>
        <v>0.46411326873185343</v>
      </c>
      <c r="AI225" s="4">
        <f t="shared" si="85"/>
        <v>0.36979727595523937</v>
      </c>
      <c r="AJ225" s="4">
        <f t="shared" si="85"/>
        <v>0.28393948637231203</v>
      </c>
      <c r="AK225" s="4">
        <f t="shared" si="85"/>
        <v>0.21097259161117732</v>
      </c>
      <c r="AL225" s="4">
        <f t="shared" si="85"/>
        <v>0.15253917653798199</v>
      </c>
      <c r="AM225" s="4">
        <f t="shared" si="85"/>
        <v>0.10795188737709993</v>
      </c>
      <c r="AN225" s="4">
        <f t="shared" si="85"/>
        <v>7.5176653938091809E-2</v>
      </c>
      <c r="AO225" s="4">
        <f t="shared" si="85"/>
        <v>5.1742836177502194E-2</v>
      </c>
      <c r="AP225" s="4">
        <f t="shared" si="85"/>
        <v>3.5319190625345942E-2</v>
      </c>
      <c r="AQ225" s="4">
        <f t="shared" si="85"/>
        <v>2.3969442072658165E-2</v>
      </c>
      <c r="AR225" s="4">
        <f t="shared" si="85"/>
        <v>1.6202243558389728E-2</v>
      </c>
    </row>
    <row r="226" spans="1:44" x14ac:dyDescent="0.25">
      <c r="A226" s="24" t="s">
        <v>28</v>
      </c>
      <c r="B226" s="60">
        <f>'Parameter Input'!$L$169</f>
        <v>-1500000</v>
      </c>
      <c r="C226" s="61">
        <f>'Parameter Input'!$M$169</f>
        <v>-750000</v>
      </c>
      <c r="D226" s="1" t="s">
        <v>15</v>
      </c>
      <c r="L226" s="54">
        <f>'Parameter Input'!$O$157</f>
        <v>17</v>
      </c>
      <c r="M226" s="37">
        <v>0</v>
      </c>
      <c r="N226" s="37">
        <v>1</v>
      </c>
      <c r="O226" s="37">
        <f>'Parameter Input'!$P$157</f>
        <v>0.9</v>
      </c>
      <c r="P226" s="55">
        <f>'Parameter Input'!$Q$157</f>
        <v>0.4</v>
      </c>
      <c r="Q226" s="4">
        <f t="shared" si="85"/>
        <v>0.99780374543478534</v>
      </c>
      <c r="R226" s="4">
        <f t="shared" si="85"/>
        <v>0.99685359315256394</v>
      </c>
      <c r="S226" s="4">
        <f t="shared" si="85"/>
        <v>0.99549347132349975</v>
      </c>
      <c r="T226" s="4">
        <f t="shared" si="85"/>
        <v>0.99354772139898062</v>
      </c>
      <c r="U226" s="4">
        <f t="shared" si="85"/>
        <v>0.99076681540580536</v>
      </c>
      <c r="V226" s="4">
        <f t="shared" si="85"/>
        <v>0.9867978615748374</v>
      </c>
      <c r="W226" s="4">
        <f t="shared" si="85"/>
        <v>0.98114509762858249</v>
      </c>
      <c r="X226" s="4">
        <f t="shared" si="85"/>
        <v>0.97311898315872036</v>
      </c>
      <c r="Y226" s="4">
        <f t="shared" si="85"/>
        <v>0.96177484161592774</v>
      </c>
      <c r="Z226" s="4">
        <f t="shared" si="85"/>
        <v>0.94584787155511363</v>
      </c>
      <c r="AA226" s="4">
        <f t="shared" si="85"/>
        <v>0.92370360150141495</v>
      </c>
      <c r="AB226" s="4">
        <f t="shared" si="85"/>
        <v>0.89334463567658451</v>
      </c>
      <c r="AC226" s="4">
        <f t="shared" si="85"/>
        <v>0.85254543874327005</v>
      </c>
      <c r="AD226" s="4">
        <f t="shared" si="85"/>
        <v>0.79921300652623883</v>
      </c>
      <c r="AE226" s="4">
        <f t="shared" si="85"/>
        <v>0.73204982249993378</v>
      </c>
      <c r="AF226" s="4">
        <f t="shared" si="85"/>
        <v>0.65145592958786691</v>
      </c>
      <c r="AG226" s="4">
        <f t="shared" si="85"/>
        <v>0.56032247880849573</v>
      </c>
      <c r="AH226" s="4">
        <f t="shared" si="85"/>
        <v>0.46411326873185343</v>
      </c>
      <c r="AI226" s="4">
        <f t="shared" si="85"/>
        <v>0.36979727595523937</v>
      </c>
      <c r="AJ226" s="4">
        <f t="shared" si="85"/>
        <v>0.28393948637231203</v>
      </c>
      <c r="AK226" s="4">
        <f t="shared" si="85"/>
        <v>0.21097259161117732</v>
      </c>
      <c r="AL226" s="4">
        <f t="shared" si="85"/>
        <v>0.15253917653798199</v>
      </c>
      <c r="AM226" s="4">
        <f t="shared" si="85"/>
        <v>0.10795188737709993</v>
      </c>
      <c r="AN226" s="4">
        <f t="shared" si="85"/>
        <v>7.5176653938091809E-2</v>
      </c>
      <c r="AO226" s="4">
        <f t="shared" si="85"/>
        <v>5.1742836177502194E-2</v>
      </c>
      <c r="AP226" s="4">
        <f t="shared" si="85"/>
        <v>3.5319190625345942E-2</v>
      </c>
      <c r="AQ226" s="4">
        <f t="shared" si="85"/>
        <v>2.3969442072658165E-2</v>
      </c>
      <c r="AR226" s="4">
        <f t="shared" si="85"/>
        <v>1.6202243558389728E-2</v>
      </c>
    </row>
    <row r="227" spans="1:44" x14ac:dyDescent="0.25">
      <c r="A227" s="24" t="s">
        <v>14</v>
      </c>
      <c r="B227" s="60">
        <f>'Parameter Input'!B180</f>
        <v>1000000</v>
      </c>
      <c r="C227" s="61">
        <f>'Parameter Input'!C180</f>
        <v>1000000</v>
      </c>
      <c r="D227" s="1" t="s">
        <v>15</v>
      </c>
      <c r="L227" s="54">
        <f>'Parameter Input'!E180</f>
        <v>17</v>
      </c>
      <c r="M227" s="37">
        <v>0</v>
      </c>
      <c r="N227" s="37">
        <v>1</v>
      </c>
      <c r="O227" s="37">
        <f>'Parameter Input'!F180</f>
        <v>0.9</v>
      </c>
      <c r="P227" s="55">
        <f>'Parameter Input'!G180</f>
        <v>0.4</v>
      </c>
      <c r="Q227" s="4">
        <f t="shared" si="85"/>
        <v>0.99780374543478534</v>
      </c>
      <c r="R227" s="4">
        <f t="shared" si="85"/>
        <v>0.99685359315256394</v>
      </c>
      <c r="S227" s="4">
        <f t="shared" si="85"/>
        <v>0.99549347132349975</v>
      </c>
      <c r="T227" s="4">
        <f t="shared" si="85"/>
        <v>0.99354772139898062</v>
      </c>
      <c r="U227" s="4">
        <f t="shared" si="85"/>
        <v>0.99076681540580536</v>
      </c>
      <c r="V227" s="4">
        <f t="shared" si="85"/>
        <v>0.9867978615748374</v>
      </c>
      <c r="W227" s="4">
        <f t="shared" si="85"/>
        <v>0.98114509762858249</v>
      </c>
      <c r="X227" s="4">
        <f t="shared" si="85"/>
        <v>0.97311898315872036</v>
      </c>
      <c r="Y227" s="4">
        <f t="shared" si="85"/>
        <v>0.96177484161592774</v>
      </c>
      <c r="Z227" s="4">
        <f t="shared" si="85"/>
        <v>0.94584787155511363</v>
      </c>
      <c r="AA227" s="4">
        <f t="shared" si="85"/>
        <v>0.92370360150141495</v>
      </c>
      <c r="AB227" s="4">
        <f t="shared" si="85"/>
        <v>0.89334463567658451</v>
      </c>
      <c r="AC227" s="4">
        <f t="shared" si="85"/>
        <v>0.85254543874327005</v>
      </c>
      <c r="AD227" s="4">
        <f t="shared" si="85"/>
        <v>0.79921300652623883</v>
      </c>
      <c r="AE227" s="4">
        <f t="shared" si="85"/>
        <v>0.73204982249993378</v>
      </c>
      <c r="AF227" s="4">
        <f t="shared" si="85"/>
        <v>0.65145592958786691</v>
      </c>
      <c r="AG227" s="4">
        <f t="shared" si="85"/>
        <v>0.56032247880849573</v>
      </c>
      <c r="AH227" s="4">
        <f t="shared" si="85"/>
        <v>0.46411326873185343</v>
      </c>
      <c r="AI227" s="4">
        <f t="shared" si="85"/>
        <v>0.36979727595523937</v>
      </c>
      <c r="AJ227" s="4">
        <f t="shared" si="85"/>
        <v>0.28393948637231203</v>
      </c>
      <c r="AK227" s="4">
        <f t="shared" si="85"/>
        <v>0.21097259161117732</v>
      </c>
      <c r="AL227" s="4">
        <f t="shared" si="85"/>
        <v>0.15253917653798199</v>
      </c>
      <c r="AM227" s="4">
        <f t="shared" si="85"/>
        <v>0.10795188737709993</v>
      </c>
      <c r="AN227" s="4">
        <f t="shared" si="85"/>
        <v>7.5176653938091809E-2</v>
      </c>
      <c r="AO227" s="4">
        <f t="shared" si="85"/>
        <v>5.1742836177502194E-2</v>
      </c>
      <c r="AP227" s="4">
        <f t="shared" si="85"/>
        <v>3.5319190625345942E-2</v>
      </c>
      <c r="AQ227" s="4">
        <f t="shared" si="85"/>
        <v>2.3969442072658165E-2</v>
      </c>
      <c r="AR227" s="4">
        <f t="shared" si="85"/>
        <v>1.6202243558389728E-2</v>
      </c>
    </row>
    <row r="228" spans="1:44" x14ac:dyDescent="0.25">
      <c r="A228" s="24" t="s">
        <v>25</v>
      </c>
      <c r="B228" s="60">
        <f>'Parameter Input'!B181</f>
        <v>-100000</v>
      </c>
      <c r="C228" s="61">
        <f>'Parameter Input'!C181</f>
        <v>-100000</v>
      </c>
      <c r="D228" s="1" t="s">
        <v>15</v>
      </c>
      <c r="L228" s="54">
        <f>'Parameter Input'!E181</f>
        <v>17</v>
      </c>
      <c r="M228" s="37">
        <v>0</v>
      </c>
      <c r="N228" s="37">
        <v>1</v>
      </c>
      <c r="O228" s="37">
        <f>'Parameter Input'!F181</f>
        <v>0.9</v>
      </c>
      <c r="P228" s="55">
        <f>'Parameter Input'!G181</f>
        <v>0.4</v>
      </c>
      <c r="Q228" s="4">
        <f t="shared" si="85"/>
        <v>0.99780374543478534</v>
      </c>
      <c r="R228" s="4">
        <f t="shared" si="85"/>
        <v>0.99685359315256394</v>
      </c>
      <c r="S228" s="4">
        <f t="shared" si="85"/>
        <v>0.99549347132349975</v>
      </c>
      <c r="T228" s="4">
        <f t="shared" si="85"/>
        <v>0.99354772139898062</v>
      </c>
      <c r="U228" s="4">
        <f t="shared" si="85"/>
        <v>0.99076681540580536</v>
      </c>
      <c r="V228" s="4">
        <f t="shared" si="85"/>
        <v>0.9867978615748374</v>
      </c>
      <c r="W228" s="4">
        <f t="shared" si="85"/>
        <v>0.98114509762858249</v>
      </c>
      <c r="X228" s="4">
        <f t="shared" si="85"/>
        <v>0.97311898315872036</v>
      </c>
      <c r="Y228" s="4">
        <f t="shared" si="85"/>
        <v>0.96177484161592774</v>
      </c>
      <c r="Z228" s="4">
        <f t="shared" si="85"/>
        <v>0.94584787155511363</v>
      </c>
      <c r="AA228" s="4">
        <f t="shared" si="85"/>
        <v>0.92370360150141495</v>
      </c>
      <c r="AB228" s="4">
        <f t="shared" si="85"/>
        <v>0.89334463567658451</v>
      </c>
      <c r="AC228" s="4">
        <f t="shared" si="85"/>
        <v>0.85254543874327005</v>
      </c>
      <c r="AD228" s="4">
        <f t="shared" si="85"/>
        <v>0.79921300652623883</v>
      </c>
      <c r="AE228" s="4">
        <f t="shared" si="85"/>
        <v>0.73204982249993378</v>
      </c>
      <c r="AF228" s="4">
        <f t="shared" si="85"/>
        <v>0.65145592958786691</v>
      </c>
      <c r="AG228" s="4">
        <f t="shared" si="85"/>
        <v>0.56032247880849573</v>
      </c>
      <c r="AH228" s="4">
        <f t="shared" si="85"/>
        <v>0.46411326873185343</v>
      </c>
      <c r="AI228" s="4">
        <f t="shared" si="85"/>
        <v>0.36979727595523937</v>
      </c>
      <c r="AJ228" s="4">
        <f t="shared" si="85"/>
        <v>0.28393948637231203</v>
      </c>
      <c r="AK228" s="4">
        <f t="shared" si="85"/>
        <v>0.21097259161117732</v>
      </c>
      <c r="AL228" s="4">
        <f t="shared" si="85"/>
        <v>0.15253917653798199</v>
      </c>
      <c r="AM228" s="4">
        <f t="shared" si="85"/>
        <v>0.10795188737709993</v>
      </c>
      <c r="AN228" s="4">
        <f t="shared" si="85"/>
        <v>7.5176653938091809E-2</v>
      </c>
      <c r="AO228" s="4">
        <f t="shared" si="85"/>
        <v>5.1742836177502194E-2</v>
      </c>
      <c r="AP228" s="4">
        <f t="shared" si="85"/>
        <v>3.5319190625345942E-2</v>
      </c>
      <c r="AQ228" s="4">
        <f t="shared" si="85"/>
        <v>2.3969442072658165E-2</v>
      </c>
      <c r="AR228" s="4">
        <f t="shared" si="85"/>
        <v>1.6202243558389728E-2</v>
      </c>
    </row>
    <row r="229" spans="1:44" x14ac:dyDescent="0.25">
      <c r="A229" s="24" t="s">
        <v>79</v>
      </c>
      <c r="B229" s="92">
        <f>'Parameter Input'!$L$175</f>
        <v>0.06</v>
      </c>
      <c r="C229" s="91">
        <f>'Parameter Input'!$M$175</f>
        <v>0.06</v>
      </c>
      <c r="D229" s="1" t="s">
        <v>57</v>
      </c>
      <c r="L229" s="54">
        <f>'Parameter Input'!$O$163</f>
        <v>17</v>
      </c>
      <c r="M229" s="37">
        <v>0</v>
      </c>
      <c r="N229" s="37">
        <v>1</v>
      </c>
      <c r="O229" s="37">
        <f>'Parameter Input'!$P$163</f>
        <v>0.9</v>
      </c>
      <c r="P229" s="55">
        <f>'Parameter Input'!$Q$163</f>
        <v>0.4</v>
      </c>
      <c r="Q229" s="4">
        <f t="shared" si="85"/>
        <v>0.99780374543478534</v>
      </c>
      <c r="R229" s="4">
        <f t="shared" si="85"/>
        <v>0.99685359315256394</v>
      </c>
      <c r="S229" s="4">
        <f t="shared" si="85"/>
        <v>0.99549347132349975</v>
      </c>
      <c r="T229" s="4">
        <f t="shared" si="85"/>
        <v>0.99354772139898062</v>
      </c>
      <c r="U229" s="4">
        <f t="shared" si="85"/>
        <v>0.99076681540580536</v>
      </c>
      <c r="V229" s="4">
        <f t="shared" si="85"/>
        <v>0.9867978615748374</v>
      </c>
      <c r="W229" s="4">
        <f t="shared" si="85"/>
        <v>0.98114509762858249</v>
      </c>
      <c r="X229" s="4">
        <f t="shared" si="85"/>
        <v>0.97311898315872036</v>
      </c>
      <c r="Y229" s="4">
        <f t="shared" si="85"/>
        <v>0.96177484161592774</v>
      </c>
      <c r="Z229" s="4">
        <f t="shared" si="85"/>
        <v>0.94584787155511363</v>
      </c>
      <c r="AA229" s="4">
        <f t="shared" si="85"/>
        <v>0.92370360150141495</v>
      </c>
      <c r="AB229" s="4">
        <f t="shared" si="85"/>
        <v>0.89334463567658451</v>
      </c>
      <c r="AC229" s="4">
        <f t="shared" si="85"/>
        <v>0.85254543874327005</v>
      </c>
      <c r="AD229" s="4">
        <f t="shared" si="85"/>
        <v>0.79921300652623883</v>
      </c>
      <c r="AE229" s="4">
        <f t="shared" si="85"/>
        <v>0.73204982249993378</v>
      </c>
      <c r="AF229" s="4">
        <f t="shared" si="85"/>
        <v>0.65145592958786691</v>
      </c>
      <c r="AG229" s="4">
        <f t="shared" si="85"/>
        <v>0.56032247880849573</v>
      </c>
      <c r="AH229" s="4">
        <f t="shared" si="85"/>
        <v>0.46411326873185343</v>
      </c>
      <c r="AI229" s="4">
        <f t="shared" si="85"/>
        <v>0.36979727595523937</v>
      </c>
      <c r="AJ229" s="4">
        <f t="shared" si="85"/>
        <v>0.28393948637231203</v>
      </c>
      <c r="AK229" s="4">
        <f t="shared" si="85"/>
        <v>0.21097259161117732</v>
      </c>
      <c r="AL229" s="4">
        <f t="shared" si="85"/>
        <v>0.15253917653798199</v>
      </c>
      <c r="AM229" s="4">
        <f t="shared" si="85"/>
        <v>0.10795188737709993</v>
      </c>
      <c r="AN229" s="4">
        <f t="shared" si="85"/>
        <v>7.5176653938091809E-2</v>
      </c>
      <c r="AO229" s="4">
        <f t="shared" si="85"/>
        <v>5.1742836177502194E-2</v>
      </c>
      <c r="AP229" s="4">
        <f t="shared" si="85"/>
        <v>3.5319190625345942E-2</v>
      </c>
      <c r="AQ229" s="4">
        <f t="shared" si="85"/>
        <v>2.3969442072658165E-2</v>
      </c>
      <c r="AR229" s="4">
        <f t="shared" si="85"/>
        <v>1.6202243558389728E-2</v>
      </c>
    </row>
    <row r="230" spans="1:44" x14ac:dyDescent="0.25">
      <c r="A230" s="24" t="s">
        <v>37</v>
      </c>
      <c r="B230" s="60">
        <f>'Parameter Input'!B182</f>
        <v>1208235.294117647</v>
      </c>
      <c r="C230" s="61">
        <f>'Parameter Input'!C182</f>
        <v>1208235.294117647</v>
      </c>
      <c r="D230" s="1" t="s">
        <v>38</v>
      </c>
      <c r="L230" s="54">
        <f>'Parameter Input'!E182</f>
        <v>17</v>
      </c>
      <c r="M230" s="37">
        <v>0</v>
      </c>
      <c r="N230" s="37">
        <v>1</v>
      </c>
      <c r="O230" s="37">
        <f>'Parameter Input'!F182</f>
        <v>0.9</v>
      </c>
      <c r="P230" s="55">
        <f>'Parameter Input'!G182</f>
        <v>0.4</v>
      </c>
      <c r="Q230" s="4">
        <f t="shared" si="85"/>
        <v>0.99780374543478534</v>
      </c>
      <c r="R230" s="4">
        <f t="shared" si="85"/>
        <v>0.99685359315256394</v>
      </c>
      <c r="S230" s="4">
        <f t="shared" si="85"/>
        <v>0.99549347132349975</v>
      </c>
      <c r="T230" s="4">
        <f t="shared" si="85"/>
        <v>0.99354772139898062</v>
      </c>
      <c r="U230" s="4">
        <f t="shared" si="85"/>
        <v>0.99076681540580536</v>
      </c>
      <c r="V230" s="4">
        <f t="shared" si="85"/>
        <v>0.9867978615748374</v>
      </c>
      <c r="W230" s="4">
        <f t="shared" si="85"/>
        <v>0.98114509762858249</v>
      </c>
      <c r="X230" s="4">
        <f t="shared" si="85"/>
        <v>0.97311898315872036</v>
      </c>
      <c r="Y230" s="4">
        <f t="shared" si="85"/>
        <v>0.96177484161592774</v>
      </c>
      <c r="Z230" s="4">
        <f t="shared" si="85"/>
        <v>0.94584787155511363</v>
      </c>
      <c r="AA230" s="4">
        <f t="shared" si="85"/>
        <v>0.92370360150141495</v>
      </c>
      <c r="AB230" s="4">
        <f t="shared" si="85"/>
        <v>0.89334463567658451</v>
      </c>
      <c r="AC230" s="4">
        <f t="shared" si="85"/>
        <v>0.85254543874327005</v>
      </c>
      <c r="AD230" s="4">
        <f t="shared" si="85"/>
        <v>0.79921300652623883</v>
      </c>
      <c r="AE230" s="4">
        <f t="shared" si="85"/>
        <v>0.73204982249993378</v>
      </c>
      <c r="AF230" s="4">
        <f t="shared" si="85"/>
        <v>0.65145592958786691</v>
      </c>
      <c r="AG230" s="4">
        <f t="shared" si="85"/>
        <v>0.56032247880849573</v>
      </c>
      <c r="AH230" s="4">
        <f t="shared" si="85"/>
        <v>0.46411326873185343</v>
      </c>
      <c r="AI230" s="4">
        <f t="shared" si="85"/>
        <v>0.36979727595523937</v>
      </c>
      <c r="AJ230" s="4">
        <f t="shared" si="85"/>
        <v>0.28393948637231203</v>
      </c>
      <c r="AK230" s="4">
        <f t="shared" si="85"/>
        <v>0.21097259161117732</v>
      </c>
      <c r="AL230" s="4">
        <f t="shared" si="85"/>
        <v>0.15253917653798199</v>
      </c>
      <c r="AM230" s="4">
        <f t="shared" si="85"/>
        <v>0.10795188737709993</v>
      </c>
      <c r="AN230" s="4">
        <f t="shared" si="85"/>
        <v>7.5176653938091809E-2</v>
      </c>
      <c r="AO230" s="4">
        <f t="shared" si="85"/>
        <v>5.1742836177502194E-2</v>
      </c>
      <c r="AP230" s="4">
        <f t="shared" si="85"/>
        <v>3.5319190625345942E-2</v>
      </c>
      <c r="AQ230" s="4">
        <f t="shared" si="85"/>
        <v>2.3969442072658165E-2</v>
      </c>
      <c r="AR230" s="4">
        <f t="shared" si="85"/>
        <v>1.6202243558389728E-2</v>
      </c>
    </row>
    <row r="231" spans="1:44" x14ac:dyDescent="0.25">
      <c r="A231" s="24" t="s">
        <v>52</v>
      </c>
      <c r="B231" s="60">
        <f>'Parameter Input'!$L$171</f>
        <v>488235.29411764705</v>
      </c>
      <c r="C231" s="61">
        <f>'Parameter Input'!$M$171</f>
        <v>488235.29411764705</v>
      </c>
      <c r="D231" s="1" t="s">
        <v>38</v>
      </c>
      <c r="L231" s="54">
        <f>'Parameter Input'!$O$159</f>
        <v>17</v>
      </c>
      <c r="M231" s="37">
        <v>0</v>
      </c>
      <c r="N231" s="37">
        <v>1</v>
      </c>
      <c r="O231" s="37">
        <f>'Parameter Input'!$P$159</f>
        <v>0.9</v>
      </c>
      <c r="P231" s="55">
        <f>'Parameter Input'!$Q$159</f>
        <v>0.4</v>
      </c>
      <c r="Q231" s="4">
        <f t="shared" si="85"/>
        <v>0.99780374543478534</v>
      </c>
      <c r="R231" s="4">
        <f t="shared" si="85"/>
        <v>0.99685359315256394</v>
      </c>
      <c r="S231" s="4">
        <f t="shared" si="85"/>
        <v>0.99549347132349975</v>
      </c>
      <c r="T231" s="4">
        <f t="shared" si="85"/>
        <v>0.99354772139898062</v>
      </c>
      <c r="U231" s="4">
        <f t="shared" si="85"/>
        <v>0.99076681540580536</v>
      </c>
      <c r="V231" s="4">
        <f t="shared" si="85"/>
        <v>0.9867978615748374</v>
      </c>
      <c r="W231" s="4">
        <f t="shared" si="85"/>
        <v>0.98114509762858249</v>
      </c>
      <c r="X231" s="4">
        <f t="shared" si="85"/>
        <v>0.97311898315872036</v>
      </c>
      <c r="Y231" s="4">
        <f t="shared" si="85"/>
        <v>0.96177484161592774</v>
      </c>
      <c r="Z231" s="4">
        <f t="shared" si="85"/>
        <v>0.94584787155511363</v>
      </c>
      <c r="AA231" s="4">
        <f t="shared" si="85"/>
        <v>0.92370360150141495</v>
      </c>
      <c r="AB231" s="4">
        <f t="shared" si="85"/>
        <v>0.89334463567658451</v>
      </c>
      <c r="AC231" s="4">
        <f t="shared" si="85"/>
        <v>0.85254543874327005</v>
      </c>
      <c r="AD231" s="4">
        <f t="shared" si="85"/>
        <v>0.79921300652623883</v>
      </c>
      <c r="AE231" s="4">
        <f t="shared" si="85"/>
        <v>0.73204982249993378</v>
      </c>
      <c r="AF231" s="4">
        <f t="shared" si="85"/>
        <v>0.65145592958786691</v>
      </c>
      <c r="AG231" s="4">
        <f t="shared" si="85"/>
        <v>0.56032247880849573</v>
      </c>
      <c r="AH231" s="4">
        <f t="shared" si="85"/>
        <v>0.46411326873185343</v>
      </c>
      <c r="AI231" s="4">
        <f t="shared" si="85"/>
        <v>0.36979727595523937</v>
      </c>
      <c r="AJ231" s="4">
        <f t="shared" si="85"/>
        <v>0.28393948637231203</v>
      </c>
      <c r="AK231" s="4">
        <f t="shared" si="85"/>
        <v>0.21097259161117732</v>
      </c>
      <c r="AL231" s="4">
        <f t="shared" si="85"/>
        <v>0.15253917653798199</v>
      </c>
      <c r="AM231" s="4">
        <f t="shared" si="85"/>
        <v>0.10795188737709993</v>
      </c>
      <c r="AN231" s="4">
        <f t="shared" si="85"/>
        <v>7.5176653938091809E-2</v>
      </c>
      <c r="AO231" s="4">
        <f t="shared" si="85"/>
        <v>5.1742836177502194E-2</v>
      </c>
      <c r="AP231" s="4">
        <f t="shared" si="85"/>
        <v>3.5319190625345942E-2</v>
      </c>
      <c r="AQ231" s="4">
        <f t="shared" si="85"/>
        <v>2.3969442072658165E-2</v>
      </c>
      <c r="AR231" s="4">
        <f t="shared" si="85"/>
        <v>1.6202243558389728E-2</v>
      </c>
    </row>
    <row r="232" spans="1:44" x14ac:dyDescent="0.25">
      <c r="A232" s="24" t="s">
        <v>272</v>
      </c>
      <c r="B232" s="92">
        <f>'Parameter Input'!B187</f>
        <v>0.81280569096848254</v>
      </c>
      <c r="C232" s="61">
        <f>'Parameter Input'!C187</f>
        <v>0.81280569096848254</v>
      </c>
      <c r="D232" s="1" t="s">
        <v>76</v>
      </c>
      <c r="L232" s="54">
        <f>'Parameter Input'!E187</f>
        <v>17</v>
      </c>
      <c r="M232" s="37">
        <v>0</v>
      </c>
      <c r="N232" s="37">
        <v>1</v>
      </c>
      <c r="O232" s="37">
        <f>'Parameter Input'!F187</f>
        <v>0.9</v>
      </c>
      <c r="P232" s="55">
        <f>'Parameter Input'!G187</f>
        <v>0.4</v>
      </c>
      <c r="Q232" s="4">
        <f t="shared" si="85"/>
        <v>0.99780374543478534</v>
      </c>
      <c r="R232" s="4">
        <f t="shared" si="85"/>
        <v>0.99685359315256394</v>
      </c>
      <c r="S232" s="4">
        <f t="shared" si="85"/>
        <v>0.99549347132349975</v>
      </c>
      <c r="T232" s="4">
        <f t="shared" si="85"/>
        <v>0.99354772139898062</v>
      </c>
      <c r="U232" s="4">
        <f t="shared" si="85"/>
        <v>0.99076681540580536</v>
      </c>
      <c r="V232" s="4">
        <f t="shared" si="85"/>
        <v>0.9867978615748374</v>
      </c>
      <c r="W232" s="4">
        <f t="shared" si="85"/>
        <v>0.98114509762858249</v>
      </c>
      <c r="X232" s="4">
        <f t="shared" si="85"/>
        <v>0.97311898315872036</v>
      </c>
      <c r="Y232" s="4">
        <f t="shared" si="85"/>
        <v>0.96177484161592774</v>
      </c>
      <c r="Z232" s="4">
        <f t="shared" si="85"/>
        <v>0.94584787155511363</v>
      </c>
      <c r="AA232" s="4">
        <f t="shared" si="85"/>
        <v>0.92370360150141495</v>
      </c>
      <c r="AB232" s="4">
        <f t="shared" si="85"/>
        <v>0.89334463567658451</v>
      </c>
      <c r="AC232" s="4">
        <f t="shared" si="85"/>
        <v>0.85254543874327005</v>
      </c>
      <c r="AD232" s="4">
        <f t="shared" si="85"/>
        <v>0.79921300652623883</v>
      </c>
      <c r="AE232" s="4">
        <f t="shared" si="85"/>
        <v>0.73204982249993378</v>
      </c>
      <c r="AF232" s="4">
        <f t="shared" si="85"/>
        <v>0.65145592958786691</v>
      </c>
      <c r="AG232" s="4">
        <f t="shared" si="85"/>
        <v>0.56032247880849573</v>
      </c>
      <c r="AH232" s="4">
        <f t="shared" si="85"/>
        <v>0.46411326873185343</v>
      </c>
      <c r="AI232" s="4">
        <f t="shared" si="85"/>
        <v>0.36979727595523937</v>
      </c>
      <c r="AJ232" s="4">
        <f t="shared" si="85"/>
        <v>0.28393948637231203</v>
      </c>
      <c r="AK232" s="4">
        <f t="shared" si="85"/>
        <v>0.21097259161117732</v>
      </c>
      <c r="AL232" s="4">
        <f t="shared" si="85"/>
        <v>0.15253917653798199</v>
      </c>
      <c r="AM232" s="4">
        <f t="shared" si="85"/>
        <v>0.10795188737709993</v>
      </c>
      <c r="AN232" s="4">
        <f t="shared" si="85"/>
        <v>7.5176653938091809E-2</v>
      </c>
      <c r="AO232" s="4">
        <f t="shared" si="85"/>
        <v>5.1742836177502194E-2</v>
      </c>
      <c r="AP232" s="4">
        <f t="shared" si="85"/>
        <v>3.5319190625345942E-2</v>
      </c>
      <c r="AQ232" s="4">
        <f t="shared" si="85"/>
        <v>2.3969442072658165E-2</v>
      </c>
      <c r="AR232" s="4">
        <f t="shared" si="85"/>
        <v>1.6202243558389728E-2</v>
      </c>
    </row>
    <row r="233" spans="1:44" x14ac:dyDescent="0.25">
      <c r="A233" s="24" t="s">
        <v>59</v>
      </c>
      <c r="B233" s="60">
        <f>'Parameter Input'!$L$172</f>
        <v>647</v>
      </c>
      <c r="C233" s="61">
        <f>'Parameter Input'!$M$172</f>
        <v>600</v>
      </c>
      <c r="D233" s="1" t="s">
        <v>60</v>
      </c>
      <c r="L233" s="54">
        <f>'Parameter Input'!$O$160</f>
        <v>17</v>
      </c>
      <c r="M233" s="37">
        <v>0</v>
      </c>
      <c r="N233" s="37">
        <v>1</v>
      </c>
      <c r="O233" s="37">
        <f>'Parameter Input'!$P$160</f>
        <v>0.9</v>
      </c>
      <c r="P233" s="55">
        <f>'Parameter Input'!$Q$160</f>
        <v>0.4</v>
      </c>
      <c r="Q233" s="4">
        <f t="shared" si="85"/>
        <v>0.99780374543478534</v>
      </c>
      <c r="R233" s="4">
        <f t="shared" si="85"/>
        <v>0.99685359315256394</v>
      </c>
      <c r="S233" s="4">
        <f t="shared" si="85"/>
        <v>0.99549347132349975</v>
      </c>
      <c r="T233" s="4">
        <f t="shared" si="85"/>
        <v>0.99354772139898062</v>
      </c>
      <c r="U233" s="4">
        <f t="shared" si="85"/>
        <v>0.99076681540580536</v>
      </c>
      <c r="V233" s="4">
        <f t="shared" si="85"/>
        <v>0.9867978615748374</v>
      </c>
      <c r="W233" s="4">
        <f t="shared" si="85"/>
        <v>0.98114509762858249</v>
      </c>
      <c r="X233" s="4">
        <f t="shared" si="85"/>
        <v>0.97311898315872036</v>
      </c>
      <c r="Y233" s="4">
        <f t="shared" si="85"/>
        <v>0.96177484161592774</v>
      </c>
      <c r="Z233" s="4">
        <f t="shared" si="85"/>
        <v>0.94584787155511363</v>
      </c>
      <c r="AA233" s="4">
        <f t="shared" si="85"/>
        <v>0.92370360150141495</v>
      </c>
      <c r="AB233" s="4">
        <f t="shared" si="85"/>
        <v>0.89334463567658451</v>
      </c>
      <c r="AC233" s="4">
        <f t="shared" si="85"/>
        <v>0.85254543874327005</v>
      </c>
      <c r="AD233" s="4">
        <f t="shared" si="85"/>
        <v>0.79921300652623883</v>
      </c>
      <c r="AE233" s="4">
        <f t="shared" si="85"/>
        <v>0.73204982249993378</v>
      </c>
      <c r="AF233" s="4">
        <f t="shared" si="85"/>
        <v>0.65145592958786691</v>
      </c>
      <c r="AG233" s="4">
        <f t="shared" si="85"/>
        <v>0.56032247880849573</v>
      </c>
      <c r="AH233" s="4">
        <f t="shared" si="85"/>
        <v>0.46411326873185343</v>
      </c>
      <c r="AI233" s="4">
        <f t="shared" si="85"/>
        <v>0.36979727595523937</v>
      </c>
      <c r="AJ233" s="4">
        <f t="shared" si="85"/>
        <v>0.28393948637231203</v>
      </c>
      <c r="AK233" s="4">
        <f t="shared" si="85"/>
        <v>0.21097259161117732</v>
      </c>
      <c r="AL233" s="4">
        <f t="shared" si="85"/>
        <v>0.15253917653798199</v>
      </c>
      <c r="AM233" s="4">
        <f t="shared" si="85"/>
        <v>0.10795188737709993</v>
      </c>
      <c r="AN233" s="4">
        <f t="shared" si="85"/>
        <v>7.5176653938091809E-2</v>
      </c>
      <c r="AO233" s="4">
        <f t="shared" si="85"/>
        <v>5.1742836177502194E-2</v>
      </c>
      <c r="AP233" s="4">
        <f t="shared" si="85"/>
        <v>3.5319190625345942E-2</v>
      </c>
      <c r="AQ233" s="4">
        <f t="shared" si="85"/>
        <v>2.3969442072658165E-2</v>
      </c>
      <c r="AR233" s="4">
        <f t="shared" si="85"/>
        <v>1.6202243558389728E-2</v>
      </c>
    </row>
    <row r="234" spans="1:44" x14ac:dyDescent="0.25">
      <c r="A234" s="24" t="s">
        <v>67</v>
      </c>
      <c r="B234" s="78">
        <f>'Parameter Input'!$L$173</f>
        <v>3.1399999999999997E-2</v>
      </c>
      <c r="C234" s="61">
        <f>'Parameter Input'!$M$173</f>
        <v>3.1399999999999997E-2</v>
      </c>
      <c r="D234" s="1" t="s">
        <v>68</v>
      </c>
      <c r="L234" s="54">
        <f>'Parameter Input'!$O$161</f>
        <v>17</v>
      </c>
      <c r="M234" s="37">
        <v>0</v>
      </c>
      <c r="N234" s="37">
        <v>1</v>
      </c>
      <c r="O234" s="37">
        <f>'Parameter Input'!$P$161</f>
        <v>0.9</v>
      </c>
      <c r="P234" s="55">
        <f>'Parameter Input'!$Q$161</f>
        <v>0.4</v>
      </c>
      <c r="Q234" s="4">
        <f t="shared" si="85"/>
        <v>0.99780374543478534</v>
      </c>
      <c r="R234" s="4">
        <f t="shared" si="85"/>
        <v>0.99685359315256394</v>
      </c>
      <c r="S234" s="4">
        <f t="shared" si="85"/>
        <v>0.99549347132349975</v>
      </c>
      <c r="T234" s="4">
        <f t="shared" ref="T234:AI241" si="86">$N234+($M234-$N234)*((1/(1+EXP(-$P234*(T$9-$L234)))^$O234))</f>
        <v>0.99354772139898062</v>
      </c>
      <c r="U234" s="4">
        <f t="shared" si="86"/>
        <v>0.99076681540580536</v>
      </c>
      <c r="V234" s="4">
        <f t="shared" si="86"/>
        <v>0.9867978615748374</v>
      </c>
      <c r="W234" s="4">
        <f t="shared" si="86"/>
        <v>0.98114509762858249</v>
      </c>
      <c r="X234" s="4">
        <f t="shared" si="86"/>
        <v>0.97311898315872036</v>
      </c>
      <c r="Y234" s="4">
        <f t="shared" si="86"/>
        <v>0.96177484161592774</v>
      </c>
      <c r="Z234" s="4">
        <f t="shared" si="86"/>
        <v>0.94584787155511363</v>
      </c>
      <c r="AA234" s="4">
        <f t="shared" si="86"/>
        <v>0.92370360150141495</v>
      </c>
      <c r="AB234" s="4">
        <f t="shared" si="86"/>
        <v>0.89334463567658451</v>
      </c>
      <c r="AC234" s="4">
        <f t="shared" si="86"/>
        <v>0.85254543874327005</v>
      </c>
      <c r="AD234" s="4">
        <f t="shared" si="86"/>
        <v>0.79921300652623883</v>
      </c>
      <c r="AE234" s="4">
        <f t="shared" si="86"/>
        <v>0.73204982249993378</v>
      </c>
      <c r="AF234" s="4">
        <f t="shared" si="86"/>
        <v>0.65145592958786691</v>
      </c>
      <c r="AG234" s="4">
        <f t="shared" si="86"/>
        <v>0.56032247880849573</v>
      </c>
      <c r="AH234" s="4">
        <f t="shared" si="86"/>
        <v>0.46411326873185343</v>
      </c>
      <c r="AI234" s="4">
        <f t="shared" si="86"/>
        <v>0.36979727595523937</v>
      </c>
      <c r="AJ234" s="4">
        <f t="shared" ref="AJ234:AR241" si="87">$N234+($M234-$N234)*((1/(1+EXP(-$P234*(AJ$9-$L234)))^$O234))</f>
        <v>0.28393948637231203</v>
      </c>
      <c r="AK234" s="4">
        <f t="shared" si="87"/>
        <v>0.21097259161117732</v>
      </c>
      <c r="AL234" s="4">
        <f t="shared" si="87"/>
        <v>0.15253917653798199</v>
      </c>
      <c r="AM234" s="4">
        <f t="shared" si="87"/>
        <v>0.10795188737709993</v>
      </c>
      <c r="AN234" s="4">
        <f t="shared" si="87"/>
        <v>7.5176653938091809E-2</v>
      </c>
      <c r="AO234" s="4">
        <f t="shared" si="87"/>
        <v>5.1742836177502194E-2</v>
      </c>
      <c r="AP234" s="4">
        <f t="shared" si="87"/>
        <v>3.5319190625345942E-2</v>
      </c>
      <c r="AQ234" s="4">
        <f t="shared" si="87"/>
        <v>2.3969442072658165E-2</v>
      </c>
      <c r="AR234" s="4">
        <f t="shared" si="87"/>
        <v>1.6202243558389728E-2</v>
      </c>
    </row>
    <row r="235" spans="1:44" x14ac:dyDescent="0.25">
      <c r="A235" s="24" t="s">
        <v>206</v>
      </c>
      <c r="B235" s="78">
        <f>'Parameter Input'!$L$176</f>
        <v>18.177348551360843</v>
      </c>
      <c r="C235" s="61">
        <f>'Parameter Input'!$M$176</f>
        <v>58.999122036874446</v>
      </c>
      <c r="D235" s="1"/>
      <c r="L235" s="54">
        <f>'Parameter Input'!O164</f>
        <v>17</v>
      </c>
      <c r="M235" s="37">
        <v>0</v>
      </c>
      <c r="N235" s="37">
        <v>1</v>
      </c>
      <c r="O235" s="37">
        <f>'Parameter Input'!P164</f>
        <v>0.9</v>
      </c>
      <c r="P235" s="55">
        <f>'Parameter Input'!Q164</f>
        <v>0.4</v>
      </c>
      <c r="Q235" s="4">
        <f t="shared" ref="Q235:AR241" si="88">$N235+($M235-$N235)*((1/(1+EXP(-$P235*(Q$9-$L235)))^$O235))</f>
        <v>0.99780374543478534</v>
      </c>
      <c r="R235" s="4">
        <f t="shared" si="88"/>
        <v>0.99685359315256394</v>
      </c>
      <c r="S235" s="4">
        <f t="shared" si="88"/>
        <v>0.99549347132349975</v>
      </c>
      <c r="T235" s="4">
        <f t="shared" si="88"/>
        <v>0.99354772139898062</v>
      </c>
      <c r="U235" s="4">
        <f t="shared" si="88"/>
        <v>0.99076681540580536</v>
      </c>
      <c r="V235" s="4">
        <f t="shared" si="88"/>
        <v>0.9867978615748374</v>
      </c>
      <c r="W235" s="4">
        <f t="shared" si="88"/>
        <v>0.98114509762858249</v>
      </c>
      <c r="X235" s="4">
        <f t="shared" si="88"/>
        <v>0.97311898315872036</v>
      </c>
      <c r="Y235" s="4">
        <f t="shared" si="88"/>
        <v>0.96177484161592774</v>
      </c>
      <c r="Z235" s="4">
        <f t="shared" si="88"/>
        <v>0.94584787155511363</v>
      </c>
      <c r="AA235" s="4">
        <f t="shared" si="88"/>
        <v>0.92370360150141495</v>
      </c>
      <c r="AB235" s="4">
        <f t="shared" si="88"/>
        <v>0.89334463567658451</v>
      </c>
      <c r="AC235" s="4">
        <f t="shared" si="88"/>
        <v>0.85254543874327005</v>
      </c>
      <c r="AD235" s="4">
        <f t="shared" si="88"/>
        <v>0.79921300652623883</v>
      </c>
      <c r="AE235" s="4">
        <f t="shared" si="88"/>
        <v>0.73204982249993378</v>
      </c>
      <c r="AF235" s="4">
        <f t="shared" si="88"/>
        <v>0.65145592958786691</v>
      </c>
      <c r="AG235" s="4">
        <f t="shared" si="88"/>
        <v>0.56032247880849573</v>
      </c>
      <c r="AH235" s="4">
        <f t="shared" si="88"/>
        <v>0.46411326873185343</v>
      </c>
      <c r="AI235" s="4">
        <f t="shared" si="88"/>
        <v>0.36979727595523937</v>
      </c>
      <c r="AJ235" s="4">
        <f t="shared" si="88"/>
        <v>0.28393948637231203</v>
      </c>
      <c r="AK235" s="4">
        <f t="shared" si="88"/>
        <v>0.21097259161117732</v>
      </c>
      <c r="AL235" s="4">
        <f t="shared" si="88"/>
        <v>0.15253917653798199</v>
      </c>
      <c r="AM235" s="4">
        <f t="shared" si="88"/>
        <v>0.10795188737709993</v>
      </c>
      <c r="AN235" s="4">
        <f t="shared" si="88"/>
        <v>7.5176653938091809E-2</v>
      </c>
      <c r="AO235" s="4">
        <f t="shared" si="88"/>
        <v>5.1742836177502194E-2</v>
      </c>
      <c r="AP235" s="4">
        <f t="shared" si="88"/>
        <v>3.5319190625345942E-2</v>
      </c>
      <c r="AQ235" s="4">
        <f t="shared" si="88"/>
        <v>2.3969442072658165E-2</v>
      </c>
      <c r="AR235" s="4">
        <f t="shared" si="88"/>
        <v>1.6202243558389728E-2</v>
      </c>
    </row>
    <row r="236" spans="1:44" x14ac:dyDescent="0.25">
      <c r="A236" s="24" t="s">
        <v>41</v>
      </c>
      <c r="B236" s="60">
        <f>'Parameter Input'!$L$170</f>
        <v>25</v>
      </c>
      <c r="C236" s="61">
        <f>'Parameter Input'!$M$170</f>
        <v>25</v>
      </c>
      <c r="D236" s="1" t="s">
        <v>42</v>
      </c>
      <c r="L236" s="54">
        <f>'Parameter Input'!$O$158</f>
        <v>17</v>
      </c>
      <c r="M236" s="37">
        <v>0</v>
      </c>
      <c r="N236" s="37">
        <v>1</v>
      </c>
      <c r="O236" s="37">
        <f>'Parameter Input'!$P$158</f>
        <v>0.9</v>
      </c>
      <c r="P236" s="55">
        <f>'Parameter Input'!$Q$158</f>
        <v>0.4</v>
      </c>
      <c r="Q236" s="4">
        <f t="shared" si="88"/>
        <v>0.99780374543478534</v>
      </c>
      <c r="R236" s="4">
        <f t="shared" si="88"/>
        <v>0.99685359315256394</v>
      </c>
      <c r="S236" s="4">
        <f t="shared" si="88"/>
        <v>0.99549347132349975</v>
      </c>
      <c r="T236" s="4">
        <f t="shared" si="88"/>
        <v>0.99354772139898062</v>
      </c>
      <c r="U236" s="4">
        <f t="shared" si="88"/>
        <v>0.99076681540580536</v>
      </c>
      <c r="V236" s="4">
        <f t="shared" si="88"/>
        <v>0.9867978615748374</v>
      </c>
      <c r="W236" s="4">
        <f t="shared" si="88"/>
        <v>0.98114509762858249</v>
      </c>
      <c r="X236" s="4">
        <f t="shared" si="88"/>
        <v>0.97311898315872036</v>
      </c>
      <c r="Y236" s="4">
        <f t="shared" si="88"/>
        <v>0.96177484161592774</v>
      </c>
      <c r="Z236" s="4">
        <f t="shared" si="88"/>
        <v>0.94584787155511363</v>
      </c>
      <c r="AA236" s="4">
        <f t="shared" si="88"/>
        <v>0.92370360150141495</v>
      </c>
      <c r="AB236" s="4">
        <f t="shared" si="88"/>
        <v>0.89334463567658451</v>
      </c>
      <c r="AC236" s="4">
        <f t="shared" si="88"/>
        <v>0.85254543874327005</v>
      </c>
      <c r="AD236" s="4">
        <f t="shared" si="88"/>
        <v>0.79921300652623883</v>
      </c>
      <c r="AE236" s="4">
        <f t="shared" si="88"/>
        <v>0.73204982249993378</v>
      </c>
      <c r="AF236" s="4">
        <f t="shared" si="88"/>
        <v>0.65145592958786691</v>
      </c>
      <c r="AG236" s="4">
        <f t="shared" si="86"/>
        <v>0.56032247880849573</v>
      </c>
      <c r="AH236" s="4">
        <f t="shared" si="86"/>
        <v>0.46411326873185343</v>
      </c>
      <c r="AI236" s="4">
        <f t="shared" si="86"/>
        <v>0.36979727595523937</v>
      </c>
      <c r="AJ236" s="4">
        <f t="shared" si="87"/>
        <v>0.28393948637231203</v>
      </c>
      <c r="AK236" s="4">
        <f t="shared" si="87"/>
        <v>0.21097259161117732</v>
      </c>
      <c r="AL236" s="4">
        <f t="shared" si="87"/>
        <v>0.15253917653798199</v>
      </c>
      <c r="AM236" s="4">
        <f t="shared" si="87"/>
        <v>0.10795188737709993</v>
      </c>
      <c r="AN236" s="4">
        <f t="shared" si="87"/>
        <v>7.5176653938091809E-2</v>
      </c>
      <c r="AO236" s="4">
        <f t="shared" si="87"/>
        <v>5.1742836177502194E-2</v>
      </c>
      <c r="AP236" s="4">
        <f t="shared" si="87"/>
        <v>3.5319190625345942E-2</v>
      </c>
      <c r="AQ236" s="4">
        <f t="shared" si="87"/>
        <v>2.3969442072658165E-2</v>
      </c>
      <c r="AR236" s="4">
        <f t="shared" si="87"/>
        <v>1.6202243558389728E-2</v>
      </c>
    </row>
    <row r="237" spans="1:44" x14ac:dyDescent="0.25">
      <c r="A237" s="24" t="s">
        <v>70</v>
      </c>
      <c r="B237" s="60">
        <f>'Parameter Input'!B186</f>
        <v>25</v>
      </c>
      <c r="C237" s="61">
        <f>'Parameter Input'!C186</f>
        <v>25</v>
      </c>
      <c r="D237" s="1" t="s">
        <v>42</v>
      </c>
      <c r="L237" s="54">
        <f>'Parameter Input'!E186</f>
        <v>17</v>
      </c>
      <c r="M237" s="37">
        <v>0</v>
      </c>
      <c r="N237" s="37">
        <v>1</v>
      </c>
      <c r="O237" s="37">
        <f>'Parameter Input'!F186</f>
        <v>0.9</v>
      </c>
      <c r="P237" s="55">
        <f>'Parameter Input'!G186</f>
        <v>0.4</v>
      </c>
      <c r="Q237" s="4">
        <f t="shared" si="88"/>
        <v>0.99780374543478534</v>
      </c>
      <c r="R237" s="4">
        <f t="shared" si="88"/>
        <v>0.99685359315256394</v>
      </c>
      <c r="S237" s="4">
        <f t="shared" si="88"/>
        <v>0.99549347132349975</v>
      </c>
      <c r="T237" s="4">
        <f t="shared" si="88"/>
        <v>0.99354772139898062</v>
      </c>
      <c r="U237" s="4">
        <f t="shared" si="88"/>
        <v>0.99076681540580536</v>
      </c>
      <c r="V237" s="4">
        <f t="shared" si="88"/>
        <v>0.9867978615748374</v>
      </c>
      <c r="W237" s="4">
        <f t="shared" si="88"/>
        <v>0.98114509762858249</v>
      </c>
      <c r="X237" s="4">
        <f t="shared" si="88"/>
        <v>0.97311898315872036</v>
      </c>
      <c r="Y237" s="4">
        <f t="shared" si="88"/>
        <v>0.96177484161592774</v>
      </c>
      <c r="Z237" s="4">
        <f t="shared" si="88"/>
        <v>0.94584787155511363</v>
      </c>
      <c r="AA237" s="4">
        <f t="shared" si="88"/>
        <v>0.92370360150141495</v>
      </c>
      <c r="AB237" s="4">
        <f t="shared" si="88"/>
        <v>0.89334463567658451</v>
      </c>
      <c r="AC237" s="4">
        <f t="shared" si="88"/>
        <v>0.85254543874327005</v>
      </c>
      <c r="AD237" s="4">
        <f t="shared" si="88"/>
        <v>0.79921300652623883</v>
      </c>
      <c r="AE237" s="4">
        <f t="shared" si="88"/>
        <v>0.73204982249993378</v>
      </c>
      <c r="AF237" s="4">
        <f t="shared" si="88"/>
        <v>0.65145592958786691</v>
      </c>
      <c r="AG237" s="4">
        <f t="shared" si="86"/>
        <v>0.56032247880849573</v>
      </c>
      <c r="AH237" s="4">
        <f t="shared" si="86"/>
        <v>0.46411326873185343</v>
      </c>
      <c r="AI237" s="4">
        <f t="shared" si="86"/>
        <v>0.36979727595523937</v>
      </c>
      <c r="AJ237" s="4">
        <f t="shared" si="87"/>
        <v>0.28393948637231203</v>
      </c>
      <c r="AK237" s="4">
        <f t="shared" si="87"/>
        <v>0.21097259161117732</v>
      </c>
      <c r="AL237" s="4">
        <f t="shared" si="87"/>
        <v>0.15253917653798199</v>
      </c>
      <c r="AM237" s="4">
        <f t="shared" si="87"/>
        <v>0.10795188737709993</v>
      </c>
      <c r="AN237" s="4">
        <f t="shared" si="87"/>
        <v>7.5176653938091809E-2</v>
      </c>
      <c r="AO237" s="4">
        <f t="shared" si="87"/>
        <v>5.1742836177502194E-2</v>
      </c>
      <c r="AP237" s="4">
        <f t="shared" si="87"/>
        <v>3.5319190625345942E-2</v>
      </c>
      <c r="AQ237" s="4">
        <f t="shared" si="87"/>
        <v>2.3969442072658165E-2</v>
      </c>
      <c r="AR237" s="4">
        <f t="shared" si="87"/>
        <v>1.6202243558389728E-2</v>
      </c>
    </row>
    <row r="238" spans="1:44" x14ac:dyDescent="0.25">
      <c r="A238" s="24" t="s">
        <v>207</v>
      </c>
      <c r="B238" s="43">
        <f>'Parameter Input'!B183</f>
        <v>9450</v>
      </c>
      <c r="C238" s="44">
        <f>'Parameter Input'!C183</f>
        <v>9450</v>
      </c>
      <c r="D238" s="1" t="s">
        <v>49</v>
      </c>
      <c r="L238" s="54">
        <f>'Parameter Input'!E183</f>
        <v>17</v>
      </c>
      <c r="M238" s="37">
        <v>0</v>
      </c>
      <c r="N238" s="37">
        <v>1</v>
      </c>
      <c r="O238" s="37">
        <f>'Parameter Input'!F183</f>
        <v>0.9</v>
      </c>
      <c r="P238" s="55">
        <f>'Parameter Input'!G183</f>
        <v>0.4</v>
      </c>
      <c r="Q238" s="4">
        <f t="shared" si="88"/>
        <v>0.99780374543478534</v>
      </c>
      <c r="R238" s="4">
        <f t="shared" si="88"/>
        <v>0.99685359315256394</v>
      </c>
      <c r="S238" s="4">
        <f t="shared" si="88"/>
        <v>0.99549347132349975</v>
      </c>
      <c r="T238" s="4">
        <f t="shared" si="88"/>
        <v>0.99354772139898062</v>
      </c>
      <c r="U238" s="4">
        <f t="shared" si="88"/>
        <v>0.99076681540580536</v>
      </c>
      <c r="V238" s="4">
        <f t="shared" si="88"/>
        <v>0.9867978615748374</v>
      </c>
      <c r="W238" s="4">
        <f t="shared" si="88"/>
        <v>0.98114509762858249</v>
      </c>
      <c r="X238" s="4">
        <f t="shared" si="88"/>
        <v>0.97311898315872036</v>
      </c>
      <c r="Y238" s="4">
        <f t="shared" si="88"/>
        <v>0.96177484161592774</v>
      </c>
      <c r="Z238" s="4">
        <f t="shared" si="88"/>
        <v>0.94584787155511363</v>
      </c>
      <c r="AA238" s="4">
        <f t="shared" si="88"/>
        <v>0.92370360150141495</v>
      </c>
      <c r="AB238" s="4">
        <f t="shared" si="88"/>
        <v>0.89334463567658451</v>
      </c>
      <c r="AC238" s="4">
        <f t="shared" si="88"/>
        <v>0.85254543874327005</v>
      </c>
      <c r="AD238" s="4">
        <f t="shared" si="88"/>
        <v>0.79921300652623883</v>
      </c>
      <c r="AE238" s="4">
        <f t="shared" si="88"/>
        <v>0.73204982249993378</v>
      </c>
      <c r="AF238" s="4">
        <f t="shared" si="88"/>
        <v>0.65145592958786691</v>
      </c>
      <c r="AG238" s="4">
        <f t="shared" si="86"/>
        <v>0.56032247880849573</v>
      </c>
      <c r="AH238" s="4">
        <f t="shared" si="86"/>
        <v>0.46411326873185343</v>
      </c>
      <c r="AI238" s="4">
        <f t="shared" si="86"/>
        <v>0.36979727595523937</v>
      </c>
      <c r="AJ238" s="4">
        <f t="shared" si="87"/>
        <v>0.28393948637231203</v>
      </c>
      <c r="AK238" s="4">
        <f t="shared" si="87"/>
        <v>0.21097259161117732</v>
      </c>
      <c r="AL238" s="4">
        <f t="shared" si="87"/>
        <v>0.15253917653798199</v>
      </c>
      <c r="AM238" s="4">
        <f t="shared" si="87"/>
        <v>0.10795188737709993</v>
      </c>
      <c r="AN238" s="4">
        <f t="shared" si="87"/>
        <v>7.5176653938091809E-2</v>
      </c>
      <c r="AO238" s="4">
        <f t="shared" si="87"/>
        <v>5.1742836177502194E-2</v>
      </c>
      <c r="AP238" s="4">
        <f t="shared" si="87"/>
        <v>3.5319190625345942E-2</v>
      </c>
      <c r="AQ238" s="4">
        <f t="shared" si="87"/>
        <v>2.3969442072658165E-2</v>
      </c>
      <c r="AR238" s="4">
        <f t="shared" si="87"/>
        <v>1.6202243558389728E-2</v>
      </c>
    </row>
    <row r="239" spans="1:44" x14ac:dyDescent="0.25">
      <c r="A239" s="24" t="s">
        <v>56</v>
      </c>
      <c r="B239" s="45">
        <f>'Parameter Input'!B184</f>
        <v>0.52</v>
      </c>
      <c r="C239" s="46">
        <f>'Parameter Input'!C184</f>
        <v>0.52</v>
      </c>
      <c r="D239" s="1" t="s">
        <v>57</v>
      </c>
      <c r="L239" s="54">
        <f>'Parameter Input'!E184</f>
        <v>17</v>
      </c>
      <c r="M239" s="37">
        <v>0</v>
      </c>
      <c r="N239" s="37">
        <v>1</v>
      </c>
      <c r="O239" s="37">
        <f>'Parameter Input'!F184</f>
        <v>0.9</v>
      </c>
      <c r="P239" s="55">
        <f>'Parameter Input'!G184</f>
        <v>0.4</v>
      </c>
      <c r="Q239" s="4">
        <f t="shared" si="88"/>
        <v>0.99780374543478534</v>
      </c>
      <c r="R239" s="4">
        <f t="shared" si="88"/>
        <v>0.99685359315256394</v>
      </c>
      <c r="S239" s="4">
        <f t="shared" si="88"/>
        <v>0.99549347132349975</v>
      </c>
      <c r="T239" s="4">
        <f t="shared" si="88"/>
        <v>0.99354772139898062</v>
      </c>
      <c r="U239" s="4">
        <f t="shared" si="88"/>
        <v>0.99076681540580536</v>
      </c>
      <c r="V239" s="4">
        <f t="shared" si="88"/>
        <v>0.9867978615748374</v>
      </c>
      <c r="W239" s="4">
        <f t="shared" si="88"/>
        <v>0.98114509762858249</v>
      </c>
      <c r="X239" s="4">
        <f t="shared" si="88"/>
        <v>0.97311898315872036</v>
      </c>
      <c r="Y239" s="4">
        <f t="shared" si="88"/>
        <v>0.96177484161592774</v>
      </c>
      <c r="Z239" s="4">
        <f t="shared" si="88"/>
        <v>0.94584787155511363</v>
      </c>
      <c r="AA239" s="4">
        <f t="shared" si="88"/>
        <v>0.92370360150141495</v>
      </c>
      <c r="AB239" s="4">
        <f t="shared" si="88"/>
        <v>0.89334463567658451</v>
      </c>
      <c r="AC239" s="4">
        <f t="shared" si="88"/>
        <v>0.85254543874327005</v>
      </c>
      <c r="AD239" s="4">
        <f t="shared" si="88"/>
        <v>0.79921300652623883</v>
      </c>
      <c r="AE239" s="4">
        <f t="shared" si="88"/>
        <v>0.73204982249993378</v>
      </c>
      <c r="AF239" s="4">
        <f t="shared" si="88"/>
        <v>0.65145592958786691</v>
      </c>
      <c r="AG239" s="4">
        <f t="shared" si="86"/>
        <v>0.56032247880849573</v>
      </c>
      <c r="AH239" s="4">
        <f t="shared" si="86"/>
        <v>0.46411326873185343</v>
      </c>
      <c r="AI239" s="4">
        <f t="shared" si="86"/>
        <v>0.36979727595523937</v>
      </c>
      <c r="AJ239" s="4">
        <f t="shared" si="87"/>
        <v>0.28393948637231203</v>
      </c>
      <c r="AK239" s="4">
        <f t="shared" si="87"/>
        <v>0.21097259161117732</v>
      </c>
      <c r="AL239" s="4">
        <f t="shared" si="87"/>
        <v>0.15253917653798199</v>
      </c>
      <c r="AM239" s="4">
        <f t="shared" si="87"/>
        <v>0.10795188737709993</v>
      </c>
      <c r="AN239" s="4">
        <f t="shared" si="87"/>
        <v>7.5176653938091809E-2</v>
      </c>
      <c r="AO239" s="4">
        <f t="shared" si="87"/>
        <v>5.1742836177502194E-2</v>
      </c>
      <c r="AP239" s="4">
        <f t="shared" si="87"/>
        <v>3.5319190625345942E-2</v>
      </c>
      <c r="AQ239" s="4">
        <f t="shared" si="87"/>
        <v>2.3969442072658165E-2</v>
      </c>
      <c r="AR239" s="4">
        <f t="shared" si="87"/>
        <v>1.6202243558389728E-2</v>
      </c>
    </row>
    <row r="240" spans="1:44" x14ac:dyDescent="0.25">
      <c r="A240" s="24" t="s">
        <v>73</v>
      </c>
      <c r="B240" s="45">
        <f>'Parameter Input'!$L$174</f>
        <v>0</v>
      </c>
      <c r="C240" s="46">
        <f>'Parameter Input'!$M$174</f>
        <v>0</v>
      </c>
      <c r="D240" s="1" t="s">
        <v>57</v>
      </c>
      <c r="L240" s="54">
        <f>'Parameter Input'!$O$162</f>
        <v>17</v>
      </c>
      <c r="M240" s="37">
        <v>0</v>
      </c>
      <c r="N240" s="37">
        <v>1</v>
      </c>
      <c r="O240" s="37">
        <f>'Parameter Input'!$P$162</f>
        <v>0.9</v>
      </c>
      <c r="P240" s="55">
        <f>'Parameter Input'!$Q$162</f>
        <v>0.4</v>
      </c>
      <c r="Q240" s="4">
        <f t="shared" si="88"/>
        <v>0.99780374543478534</v>
      </c>
      <c r="R240" s="4">
        <f t="shared" si="88"/>
        <v>0.99685359315256394</v>
      </c>
      <c r="S240" s="4">
        <f t="shared" si="88"/>
        <v>0.99549347132349975</v>
      </c>
      <c r="T240" s="4">
        <f t="shared" si="88"/>
        <v>0.99354772139898062</v>
      </c>
      <c r="U240" s="4">
        <f t="shared" si="88"/>
        <v>0.99076681540580536</v>
      </c>
      <c r="V240" s="4">
        <f t="shared" si="88"/>
        <v>0.9867978615748374</v>
      </c>
      <c r="W240" s="4">
        <f t="shared" si="88"/>
        <v>0.98114509762858249</v>
      </c>
      <c r="X240" s="4">
        <f t="shared" si="88"/>
        <v>0.97311898315872036</v>
      </c>
      <c r="Y240" s="4">
        <f t="shared" si="88"/>
        <v>0.96177484161592774</v>
      </c>
      <c r="Z240" s="4">
        <f t="shared" si="88"/>
        <v>0.94584787155511363</v>
      </c>
      <c r="AA240" s="4">
        <f t="shared" si="88"/>
        <v>0.92370360150141495</v>
      </c>
      <c r="AB240" s="4">
        <f t="shared" si="88"/>
        <v>0.89334463567658451</v>
      </c>
      <c r="AC240" s="4">
        <f t="shared" si="88"/>
        <v>0.85254543874327005</v>
      </c>
      <c r="AD240" s="4">
        <f t="shared" si="88"/>
        <v>0.79921300652623883</v>
      </c>
      <c r="AE240" s="4">
        <f t="shared" si="88"/>
        <v>0.73204982249993378</v>
      </c>
      <c r="AF240" s="4">
        <f t="shared" si="88"/>
        <v>0.65145592958786691</v>
      </c>
      <c r="AG240" s="4">
        <f t="shared" si="86"/>
        <v>0.56032247880849573</v>
      </c>
      <c r="AH240" s="4">
        <f t="shared" si="86"/>
        <v>0.46411326873185343</v>
      </c>
      <c r="AI240" s="4">
        <f t="shared" si="86"/>
        <v>0.36979727595523937</v>
      </c>
      <c r="AJ240" s="4">
        <f t="shared" si="87"/>
        <v>0.28393948637231203</v>
      </c>
      <c r="AK240" s="4">
        <f t="shared" si="87"/>
        <v>0.21097259161117732</v>
      </c>
      <c r="AL240" s="4">
        <f t="shared" si="87"/>
        <v>0.15253917653798199</v>
      </c>
      <c r="AM240" s="4">
        <f t="shared" si="87"/>
        <v>0.10795188737709993</v>
      </c>
      <c r="AN240" s="4">
        <f t="shared" si="87"/>
        <v>7.5176653938091809E-2</v>
      </c>
      <c r="AO240" s="4">
        <f t="shared" si="87"/>
        <v>5.1742836177502194E-2</v>
      </c>
      <c r="AP240" s="4">
        <f t="shared" si="87"/>
        <v>3.5319190625345942E-2</v>
      </c>
      <c r="AQ240" s="4">
        <f t="shared" si="87"/>
        <v>2.3969442072658165E-2</v>
      </c>
      <c r="AR240" s="4">
        <f t="shared" si="87"/>
        <v>1.6202243558389728E-2</v>
      </c>
    </row>
    <row r="241" spans="1:44" ht="15.75" thickBot="1" x14ac:dyDescent="0.3">
      <c r="A241" s="24" t="s">
        <v>64</v>
      </c>
      <c r="B241" s="49">
        <f>'Parameter Input'!B185</f>
        <v>120000</v>
      </c>
      <c r="C241" s="50">
        <f>'Parameter Input'!C185</f>
        <v>120000</v>
      </c>
      <c r="D241" s="1" t="s">
        <v>65</v>
      </c>
      <c r="L241" s="56">
        <f>'Parameter Input'!E185</f>
        <v>17</v>
      </c>
      <c r="M241" s="57">
        <v>0</v>
      </c>
      <c r="N241" s="57">
        <v>1</v>
      </c>
      <c r="O241" s="57">
        <f>'Parameter Input'!F185</f>
        <v>0.9</v>
      </c>
      <c r="P241" s="58">
        <f>'Parameter Input'!G185</f>
        <v>0.4</v>
      </c>
      <c r="Q241" s="4">
        <f t="shared" si="88"/>
        <v>0.99780374543478534</v>
      </c>
      <c r="R241" s="4">
        <f t="shared" si="88"/>
        <v>0.99685359315256394</v>
      </c>
      <c r="S241" s="4">
        <f t="shared" si="88"/>
        <v>0.99549347132349975</v>
      </c>
      <c r="T241" s="4">
        <f t="shared" si="88"/>
        <v>0.99354772139898062</v>
      </c>
      <c r="U241" s="4">
        <f t="shared" si="88"/>
        <v>0.99076681540580536</v>
      </c>
      <c r="V241" s="4">
        <f t="shared" si="88"/>
        <v>0.9867978615748374</v>
      </c>
      <c r="W241" s="4">
        <f t="shared" si="88"/>
        <v>0.98114509762858249</v>
      </c>
      <c r="X241" s="4">
        <f t="shared" si="88"/>
        <v>0.97311898315872036</v>
      </c>
      <c r="Y241" s="4">
        <f t="shared" si="88"/>
        <v>0.96177484161592774</v>
      </c>
      <c r="Z241" s="4">
        <f t="shared" si="88"/>
        <v>0.94584787155511363</v>
      </c>
      <c r="AA241" s="4">
        <f t="shared" si="88"/>
        <v>0.92370360150141495</v>
      </c>
      <c r="AB241" s="4">
        <f t="shared" si="88"/>
        <v>0.89334463567658451</v>
      </c>
      <c r="AC241" s="4">
        <f t="shared" si="88"/>
        <v>0.85254543874327005</v>
      </c>
      <c r="AD241" s="4">
        <f t="shared" si="88"/>
        <v>0.79921300652623883</v>
      </c>
      <c r="AE241" s="4">
        <f t="shared" si="88"/>
        <v>0.73204982249993378</v>
      </c>
      <c r="AF241" s="4">
        <f t="shared" si="88"/>
        <v>0.65145592958786691</v>
      </c>
      <c r="AG241" s="4">
        <f t="shared" si="86"/>
        <v>0.56032247880849573</v>
      </c>
      <c r="AH241" s="4">
        <f t="shared" si="86"/>
        <v>0.46411326873185343</v>
      </c>
      <c r="AI241" s="4">
        <f t="shared" si="86"/>
        <v>0.36979727595523937</v>
      </c>
      <c r="AJ241" s="4">
        <f t="shared" si="87"/>
        <v>0.28393948637231203</v>
      </c>
      <c r="AK241" s="4">
        <f t="shared" si="87"/>
        <v>0.21097259161117732</v>
      </c>
      <c r="AL241" s="4">
        <f t="shared" si="87"/>
        <v>0.15253917653798199</v>
      </c>
      <c r="AM241" s="4">
        <f t="shared" si="87"/>
        <v>0.10795188737709993</v>
      </c>
      <c r="AN241" s="4">
        <f t="shared" si="87"/>
        <v>7.5176653938091809E-2</v>
      </c>
      <c r="AO241" s="4">
        <f t="shared" si="87"/>
        <v>5.1742836177502194E-2</v>
      </c>
      <c r="AP241" s="4">
        <f t="shared" si="87"/>
        <v>3.5319190625345942E-2</v>
      </c>
      <c r="AQ241" s="4">
        <f t="shared" si="87"/>
        <v>2.3969442072658165E-2</v>
      </c>
      <c r="AR241" s="4">
        <f t="shared" si="87"/>
        <v>1.6202243558389728E-2</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9" si="89">A225</f>
        <v>Capex vehicle</v>
      </c>
      <c r="B245" s="62">
        <f t="shared" ref="B245:AC254" si="90">$B225+($C225-$B225)*(1-Q225)</f>
        <v>15000000</v>
      </c>
      <c r="C245" s="62">
        <f t="shared" si="90"/>
        <v>15000000</v>
      </c>
      <c r="D245" s="62">
        <f t="shared" si="90"/>
        <v>15000000</v>
      </c>
      <c r="E245" s="62">
        <f t="shared" si="90"/>
        <v>15000000</v>
      </c>
      <c r="F245" s="62">
        <f t="shared" si="90"/>
        <v>15000000</v>
      </c>
      <c r="G245" s="62">
        <f t="shared" si="90"/>
        <v>15000000</v>
      </c>
      <c r="H245" s="62">
        <f t="shared" si="90"/>
        <v>15000000</v>
      </c>
      <c r="I245" s="62">
        <f t="shared" si="90"/>
        <v>15000000</v>
      </c>
      <c r="J245" s="62">
        <f t="shared" si="90"/>
        <v>15000000</v>
      </c>
      <c r="K245" s="62">
        <f t="shared" si="90"/>
        <v>15000000</v>
      </c>
      <c r="L245" s="62">
        <f t="shared" si="90"/>
        <v>15000000</v>
      </c>
      <c r="M245" s="62">
        <f t="shared" si="90"/>
        <v>15000000</v>
      </c>
      <c r="N245" s="62">
        <f t="shared" si="90"/>
        <v>15000000</v>
      </c>
      <c r="O245" s="62">
        <f t="shared" si="90"/>
        <v>15000000</v>
      </c>
      <c r="P245" s="62">
        <f t="shared" si="90"/>
        <v>15000000</v>
      </c>
      <c r="Q245" s="62">
        <f t="shared" si="90"/>
        <v>15000000</v>
      </c>
      <c r="R245" s="62">
        <f t="shared" si="90"/>
        <v>15000000</v>
      </c>
      <c r="S245" s="62">
        <f t="shared" si="90"/>
        <v>15000000</v>
      </c>
      <c r="T245" s="62">
        <f t="shared" si="90"/>
        <v>15000000</v>
      </c>
      <c r="U245" s="62">
        <f t="shared" si="90"/>
        <v>15000000</v>
      </c>
      <c r="V245" s="62">
        <f t="shared" si="90"/>
        <v>15000000</v>
      </c>
      <c r="W245" s="62">
        <f t="shared" si="90"/>
        <v>15000000</v>
      </c>
      <c r="X245" s="62">
        <f t="shared" si="90"/>
        <v>15000000</v>
      </c>
      <c r="Y245" s="62">
        <f t="shared" si="90"/>
        <v>15000000</v>
      </c>
      <c r="Z245" s="62">
        <f t="shared" si="90"/>
        <v>15000000</v>
      </c>
      <c r="AA245" s="62">
        <f t="shared" si="90"/>
        <v>15000000</v>
      </c>
      <c r="AB245" s="62">
        <f t="shared" si="90"/>
        <v>15000000</v>
      </c>
      <c r="AC245" s="62">
        <f t="shared" si="90"/>
        <v>15000000</v>
      </c>
    </row>
    <row r="246" spans="1:44" x14ac:dyDescent="0.25">
      <c r="A246" s="30" t="str">
        <f t="shared" si="89"/>
        <v>Residual value (vehicle)</v>
      </c>
      <c r="B246" s="62">
        <f t="shared" si="90"/>
        <v>-1498352.8090760889</v>
      </c>
      <c r="C246" s="62">
        <f t="shared" si="90"/>
        <v>-1497640.194864423</v>
      </c>
      <c r="D246" s="62">
        <f t="shared" si="90"/>
        <v>-1496620.1034926248</v>
      </c>
      <c r="E246" s="62">
        <f t="shared" si="90"/>
        <v>-1495160.7910492355</v>
      </c>
      <c r="F246" s="62">
        <f t="shared" si="90"/>
        <v>-1493075.111554354</v>
      </c>
      <c r="G246" s="62">
        <f t="shared" si="90"/>
        <v>-1490098.396181128</v>
      </c>
      <c r="H246" s="62">
        <f t="shared" si="90"/>
        <v>-1485858.8232214369</v>
      </c>
      <c r="I246" s="62">
        <f t="shared" si="90"/>
        <v>-1479839.2373690403</v>
      </c>
      <c r="J246" s="62">
        <f t="shared" si="90"/>
        <v>-1471331.1312119458</v>
      </c>
      <c r="K246" s="62">
        <f t="shared" si="90"/>
        <v>-1459385.9036663352</v>
      </c>
      <c r="L246" s="62">
        <f t="shared" si="90"/>
        <v>-1442777.7011260611</v>
      </c>
      <c r="M246" s="62">
        <f t="shared" si="90"/>
        <v>-1420008.4767574384</v>
      </c>
      <c r="N246" s="62">
        <f t="shared" si="90"/>
        <v>-1389409.0790574525</v>
      </c>
      <c r="O246" s="62">
        <f t="shared" si="90"/>
        <v>-1349409.7548946792</v>
      </c>
      <c r="P246" s="62">
        <f t="shared" si="90"/>
        <v>-1299037.3668749502</v>
      </c>
      <c r="Q246" s="62">
        <f t="shared" si="90"/>
        <v>-1238591.9471909001</v>
      </c>
      <c r="R246" s="62">
        <f t="shared" si="90"/>
        <v>-1170241.8591063719</v>
      </c>
      <c r="S246" s="62">
        <f t="shared" si="90"/>
        <v>-1098084.9515488902</v>
      </c>
      <c r="T246" s="62">
        <f t="shared" si="90"/>
        <v>-1027347.9569664295</v>
      </c>
      <c r="U246" s="62">
        <f t="shared" si="90"/>
        <v>-962954.61477923405</v>
      </c>
      <c r="V246" s="62">
        <f t="shared" si="90"/>
        <v>-908229.44370838301</v>
      </c>
      <c r="W246" s="62">
        <f t="shared" si="90"/>
        <v>-864404.38240348652</v>
      </c>
      <c r="X246" s="62">
        <f t="shared" si="90"/>
        <v>-830963.91553282493</v>
      </c>
      <c r="Y246" s="62">
        <f t="shared" si="90"/>
        <v>-806382.49045356887</v>
      </c>
      <c r="Z246" s="62">
        <f t="shared" si="90"/>
        <v>-788807.1271331266</v>
      </c>
      <c r="AA246" s="62">
        <f t="shared" si="90"/>
        <v>-776489.39296900947</v>
      </c>
      <c r="AB246" s="62">
        <f t="shared" si="90"/>
        <v>-767977.08155449363</v>
      </c>
      <c r="AC246" s="62">
        <f t="shared" si="90"/>
        <v>-762151.68266879232</v>
      </c>
    </row>
    <row r="247" spans="1:44" x14ac:dyDescent="0.25">
      <c r="A247" s="30" t="str">
        <f t="shared" si="89"/>
        <v>Capex costumization</v>
      </c>
      <c r="B247" s="62">
        <f t="shared" si="90"/>
        <v>1000000</v>
      </c>
      <c r="C247" s="62">
        <f t="shared" si="90"/>
        <v>1000000</v>
      </c>
      <c r="D247" s="62">
        <f t="shared" si="90"/>
        <v>1000000</v>
      </c>
      <c r="E247" s="62">
        <f t="shared" si="90"/>
        <v>1000000</v>
      </c>
      <c r="F247" s="62">
        <f t="shared" si="90"/>
        <v>1000000</v>
      </c>
      <c r="G247" s="62">
        <f t="shared" si="90"/>
        <v>1000000</v>
      </c>
      <c r="H247" s="62">
        <f t="shared" si="90"/>
        <v>1000000</v>
      </c>
      <c r="I247" s="62">
        <f t="shared" si="90"/>
        <v>1000000</v>
      </c>
      <c r="J247" s="62">
        <f t="shared" si="90"/>
        <v>1000000</v>
      </c>
      <c r="K247" s="62">
        <f t="shared" si="90"/>
        <v>1000000</v>
      </c>
      <c r="L247" s="62">
        <f t="shared" si="90"/>
        <v>1000000</v>
      </c>
      <c r="M247" s="62">
        <f t="shared" si="90"/>
        <v>1000000</v>
      </c>
      <c r="N247" s="62">
        <f t="shared" si="90"/>
        <v>1000000</v>
      </c>
      <c r="O247" s="62">
        <f t="shared" si="90"/>
        <v>1000000</v>
      </c>
      <c r="P247" s="62">
        <f t="shared" si="90"/>
        <v>1000000</v>
      </c>
      <c r="Q247" s="62">
        <f t="shared" si="90"/>
        <v>1000000</v>
      </c>
      <c r="R247" s="62">
        <f t="shared" si="90"/>
        <v>1000000</v>
      </c>
      <c r="S247" s="62">
        <f t="shared" si="90"/>
        <v>1000000</v>
      </c>
      <c r="T247" s="62">
        <f t="shared" si="90"/>
        <v>1000000</v>
      </c>
      <c r="U247" s="62">
        <f t="shared" si="90"/>
        <v>1000000</v>
      </c>
      <c r="V247" s="62">
        <f t="shared" si="90"/>
        <v>1000000</v>
      </c>
      <c r="W247" s="62">
        <f t="shared" si="90"/>
        <v>1000000</v>
      </c>
      <c r="X247" s="62">
        <f t="shared" si="90"/>
        <v>1000000</v>
      </c>
      <c r="Y247" s="62">
        <f t="shared" si="90"/>
        <v>1000000</v>
      </c>
      <c r="Z247" s="62">
        <f t="shared" si="90"/>
        <v>1000000</v>
      </c>
      <c r="AA247" s="62">
        <f t="shared" si="90"/>
        <v>1000000</v>
      </c>
      <c r="AB247" s="62">
        <f t="shared" si="90"/>
        <v>1000000</v>
      </c>
      <c r="AC247" s="62">
        <f t="shared" si="90"/>
        <v>1000000</v>
      </c>
    </row>
    <row r="248" spans="1:44" x14ac:dyDescent="0.25">
      <c r="A248" s="30" t="str">
        <f t="shared" si="89"/>
        <v>Residual value (costumization)</v>
      </c>
      <c r="B248" s="62">
        <f t="shared" si="90"/>
        <v>-100000</v>
      </c>
      <c r="C248" s="62">
        <f t="shared" si="90"/>
        <v>-100000</v>
      </c>
      <c r="D248" s="62">
        <f t="shared" si="90"/>
        <v>-100000</v>
      </c>
      <c r="E248" s="62">
        <f t="shared" si="90"/>
        <v>-100000</v>
      </c>
      <c r="F248" s="62">
        <f t="shared" si="90"/>
        <v>-100000</v>
      </c>
      <c r="G248" s="62">
        <f t="shared" si="90"/>
        <v>-100000</v>
      </c>
      <c r="H248" s="62">
        <f t="shared" si="90"/>
        <v>-100000</v>
      </c>
      <c r="I248" s="62">
        <f t="shared" si="90"/>
        <v>-100000</v>
      </c>
      <c r="J248" s="62">
        <f t="shared" si="90"/>
        <v>-100000</v>
      </c>
      <c r="K248" s="62">
        <f t="shared" si="90"/>
        <v>-100000</v>
      </c>
      <c r="L248" s="62">
        <f t="shared" si="90"/>
        <v>-100000</v>
      </c>
      <c r="M248" s="62">
        <f t="shared" si="90"/>
        <v>-100000</v>
      </c>
      <c r="N248" s="62">
        <f t="shared" si="90"/>
        <v>-100000</v>
      </c>
      <c r="O248" s="62">
        <f t="shared" si="90"/>
        <v>-100000</v>
      </c>
      <c r="P248" s="62">
        <f t="shared" si="90"/>
        <v>-100000</v>
      </c>
      <c r="Q248" s="62">
        <f t="shared" si="90"/>
        <v>-100000</v>
      </c>
      <c r="R248" s="62">
        <f t="shared" si="90"/>
        <v>-100000</v>
      </c>
      <c r="S248" s="62">
        <f t="shared" si="90"/>
        <v>-100000</v>
      </c>
      <c r="T248" s="62">
        <f t="shared" si="90"/>
        <v>-100000</v>
      </c>
      <c r="U248" s="62">
        <f t="shared" si="90"/>
        <v>-100000</v>
      </c>
      <c r="V248" s="62">
        <f t="shared" si="90"/>
        <v>-100000</v>
      </c>
      <c r="W248" s="62">
        <f t="shared" si="90"/>
        <v>-100000</v>
      </c>
      <c r="X248" s="62">
        <f t="shared" si="90"/>
        <v>-100000</v>
      </c>
      <c r="Y248" s="62">
        <f t="shared" si="90"/>
        <v>-100000</v>
      </c>
      <c r="Z248" s="62">
        <f t="shared" si="90"/>
        <v>-100000</v>
      </c>
      <c r="AA248" s="62">
        <f t="shared" si="90"/>
        <v>-100000</v>
      </c>
      <c r="AB248" s="62">
        <f t="shared" si="90"/>
        <v>-100000</v>
      </c>
      <c r="AC248" s="62">
        <f t="shared" si="90"/>
        <v>-100000</v>
      </c>
    </row>
    <row r="249" spans="1:44" x14ac:dyDescent="0.25">
      <c r="A249" s="30" t="str">
        <f t="shared" si="89"/>
        <v>WACC</v>
      </c>
      <c r="B249" s="62">
        <f t="shared" si="90"/>
        <v>0.06</v>
      </c>
      <c r="C249" s="62">
        <f t="shared" si="90"/>
        <v>0.06</v>
      </c>
      <c r="D249" s="62">
        <f t="shared" si="90"/>
        <v>0.06</v>
      </c>
      <c r="E249" s="62">
        <f t="shared" si="90"/>
        <v>0.06</v>
      </c>
      <c r="F249" s="62">
        <f t="shared" si="90"/>
        <v>0.06</v>
      </c>
      <c r="G249" s="62">
        <f t="shared" si="90"/>
        <v>0.06</v>
      </c>
      <c r="H249" s="62">
        <f t="shared" si="90"/>
        <v>0.06</v>
      </c>
      <c r="I249" s="62">
        <f t="shared" si="90"/>
        <v>0.06</v>
      </c>
      <c r="J249" s="62">
        <f t="shared" si="90"/>
        <v>0.06</v>
      </c>
      <c r="K249" s="62">
        <f t="shared" si="90"/>
        <v>0.06</v>
      </c>
      <c r="L249" s="62">
        <f t="shared" si="90"/>
        <v>0.06</v>
      </c>
      <c r="M249" s="62">
        <f t="shared" si="90"/>
        <v>0.06</v>
      </c>
      <c r="N249" s="62">
        <f t="shared" si="90"/>
        <v>0.06</v>
      </c>
      <c r="O249" s="62">
        <f t="shared" si="90"/>
        <v>0.06</v>
      </c>
      <c r="P249" s="62">
        <f t="shared" si="90"/>
        <v>0.06</v>
      </c>
      <c r="Q249" s="62">
        <f t="shared" si="90"/>
        <v>0.06</v>
      </c>
      <c r="R249" s="62">
        <f t="shared" si="90"/>
        <v>0.06</v>
      </c>
      <c r="S249" s="62">
        <f t="shared" si="90"/>
        <v>0.06</v>
      </c>
      <c r="T249" s="62">
        <f t="shared" si="90"/>
        <v>0.06</v>
      </c>
      <c r="U249" s="62">
        <f t="shared" si="90"/>
        <v>0.06</v>
      </c>
      <c r="V249" s="62">
        <f t="shared" si="90"/>
        <v>0.06</v>
      </c>
      <c r="W249" s="62">
        <f t="shared" si="90"/>
        <v>0.06</v>
      </c>
      <c r="X249" s="62">
        <f t="shared" si="90"/>
        <v>0.06</v>
      </c>
      <c r="Y249" s="62">
        <f t="shared" si="90"/>
        <v>0.06</v>
      </c>
      <c r="Z249" s="62">
        <f t="shared" si="90"/>
        <v>0.06</v>
      </c>
      <c r="AA249" s="62">
        <f t="shared" si="90"/>
        <v>0.06</v>
      </c>
      <c r="AB249" s="62">
        <f t="shared" si="90"/>
        <v>0.06</v>
      </c>
      <c r="AC249" s="62">
        <f t="shared" si="90"/>
        <v>0.06</v>
      </c>
    </row>
    <row r="250" spans="1:44" x14ac:dyDescent="0.25">
      <c r="A250" s="30" t="str">
        <f t="shared" si="89"/>
        <v>Opex fix (admin, crew, insurance)</v>
      </c>
      <c r="B250" s="62">
        <f t="shared" si="90"/>
        <v>1208235.294117647</v>
      </c>
      <c r="C250" s="62">
        <f t="shared" si="90"/>
        <v>1208235.294117647</v>
      </c>
      <c r="D250" s="62">
        <f t="shared" si="90"/>
        <v>1208235.294117647</v>
      </c>
      <c r="E250" s="62">
        <f t="shared" si="90"/>
        <v>1208235.294117647</v>
      </c>
      <c r="F250" s="62">
        <f t="shared" si="90"/>
        <v>1208235.294117647</v>
      </c>
      <c r="G250" s="62">
        <f t="shared" si="90"/>
        <v>1208235.294117647</v>
      </c>
      <c r="H250" s="62">
        <f t="shared" si="90"/>
        <v>1208235.294117647</v>
      </c>
      <c r="I250" s="62">
        <f t="shared" si="90"/>
        <v>1208235.294117647</v>
      </c>
      <c r="J250" s="62">
        <f t="shared" si="90"/>
        <v>1208235.294117647</v>
      </c>
      <c r="K250" s="62">
        <f t="shared" si="90"/>
        <v>1208235.294117647</v>
      </c>
      <c r="L250" s="62">
        <f t="shared" si="90"/>
        <v>1208235.294117647</v>
      </c>
      <c r="M250" s="62">
        <f t="shared" si="90"/>
        <v>1208235.294117647</v>
      </c>
      <c r="N250" s="62">
        <f t="shared" si="90"/>
        <v>1208235.294117647</v>
      </c>
      <c r="O250" s="62">
        <f t="shared" si="90"/>
        <v>1208235.294117647</v>
      </c>
      <c r="P250" s="62">
        <f t="shared" si="90"/>
        <v>1208235.294117647</v>
      </c>
      <c r="Q250" s="62">
        <f t="shared" si="90"/>
        <v>1208235.294117647</v>
      </c>
      <c r="R250" s="62">
        <f t="shared" si="90"/>
        <v>1208235.294117647</v>
      </c>
      <c r="S250" s="62">
        <f t="shared" si="90"/>
        <v>1208235.294117647</v>
      </c>
      <c r="T250" s="62">
        <f t="shared" si="90"/>
        <v>1208235.294117647</v>
      </c>
      <c r="U250" s="62">
        <f t="shared" si="90"/>
        <v>1208235.294117647</v>
      </c>
      <c r="V250" s="62">
        <f t="shared" si="90"/>
        <v>1208235.294117647</v>
      </c>
      <c r="W250" s="62">
        <f t="shared" si="90"/>
        <v>1208235.294117647</v>
      </c>
      <c r="X250" s="62">
        <f t="shared" si="90"/>
        <v>1208235.294117647</v>
      </c>
      <c r="Y250" s="62">
        <f t="shared" si="90"/>
        <v>1208235.294117647</v>
      </c>
      <c r="Z250" s="62">
        <f t="shared" si="90"/>
        <v>1208235.294117647</v>
      </c>
      <c r="AA250" s="62">
        <f t="shared" si="90"/>
        <v>1208235.294117647</v>
      </c>
      <c r="AB250" s="62">
        <f t="shared" si="90"/>
        <v>1208235.294117647</v>
      </c>
      <c r="AC250" s="62">
        <f t="shared" si="90"/>
        <v>1208235.294117647</v>
      </c>
    </row>
    <row r="251" spans="1:44" x14ac:dyDescent="0.25">
      <c r="A251" s="30" t="str">
        <f t="shared" si="89"/>
        <v>Opex maintenance &amp; repair</v>
      </c>
      <c r="B251" s="62">
        <f t="shared" si="90"/>
        <v>488235.29411764705</v>
      </c>
      <c r="C251" s="62">
        <f t="shared" si="90"/>
        <v>488235.29411764705</v>
      </c>
      <c r="D251" s="62">
        <f t="shared" si="90"/>
        <v>488235.29411764705</v>
      </c>
      <c r="E251" s="62">
        <f t="shared" si="90"/>
        <v>488235.29411764705</v>
      </c>
      <c r="F251" s="62">
        <f t="shared" si="90"/>
        <v>488235.29411764705</v>
      </c>
      <c r="G251" s="62">
        <f t="shared" si="90"/>
        <v>488235.29411764705</v>
      </c>
      <c r="H251" s="62">
        <f t="shared" si="90"/>
        <v>488235.29411764705</v>
      </c>
      <c r="I251" s="62">
        <f t="shared" si="90"/>
        <v>488235.29411764705</v>
      </c>
      <c r="J251" s="62">
        <f t="shared" si="90"/>
        <v>488235.29411764705</v>
      </c>
      <c r="K251" s="62">
        <f t="shared" si="90"/>
        <v>488235.29411764705</v>
      </c>
      <c r="L251" s="62">
        <f t="shared" si="90"/>
        <v>488235.29411764705</v>
      </c>
      <c r="M251" s="62">
        <f t="shared" si="90"/>
        <v>488235.29411764705</v>
      </c>
      <c r="N251" s="62">
        <f t="shared" si="90"/>
        <v>488235.29411764705</v>
      </c>
      <c r="O251" s="62">
        <f t="shared" si="90"/>
        <v>488235.29411764705</v>
      </c>
      <c r="P251" s="62">
        <f t="shared" si="90"/>
        <v>488235.29411764705</v>
      </c>
      <c r="Q251" s="62">
        <f t="shared" si="90"/>
        <v>488235.29411764705</v>
      </c>
      <c r="R251" s="62">
        <f t="shared" si="90"/>
        <v>488235.29411764705</v>
      </c>
      <c r="S251" s="62">
        <f t="shared" si="90"/>
        <v>488235.29411764705</v>
      </c>
      <c r="T251" s="62">
        <f t="shared" si="90"/>
        <v>488235.29411764705</v>
      </c>
      <c r="U251" s="62">
        <f t="shared" si="90"/>
        <v>488235.29411764705</v>
      </c>
      <c r="V251" s="62">
        <f t="shared" si="90"/>
        <v>488235.29411764705</v>
      </c>
      <c r="W251" s="62">
        <f t="shared" si="90"/>
        <v>488235.29411764705</v>
      </c>
      <c r="X251" s="62">
        <f t="shared" si="90"/>
        <v>488235.29411764705</v>
      </c>
      <c r="Y251" s="62">
        <f t="shared" si="90"/>
        <v>488235.29411764705</v>
      </c>
      <c r="Z251" s="62">
        <f t="shared" si="90"/>
        <v>488235.29411764705</v>
      </c>
      <c r="AA251" s="62">
        <f t="shared" si="90"/>
        <v>488235.29411764705</v>
      </c>
      <c r="AB251" s="62">
        <f t="shared" si="90"/>
        <v>488235.29411764705</v>
      </c>
      <c r="AC251" s="62">
        <f t="shared" si="90"/>
        <v>488235.29411764705</v>
      </c>
    </row>
    <row r="252" spans="1:44" x14ac:dyDescent="0.25">
      <c r="A252" s="30" t="str">
        <f t="shared" si="89"/>
        <v>Opex var (mode-fees)</v>
      </c>
      <c r="B252" s="62">
        <f t="shared" si="90"/>
        <v>0.81280569096848254</v>
      </c>
      <c r="C252" s="62">
        <f t="shared" si="90"/>
        <v>0.81280569096848254</v>
      </c>
      <c r="D252" s="62">
        <f t="shared" si="90"/>
        <v>0.81280569096848254</v>
      </c>
      <c r="E252" s="62">
        <f t="shared" si="90"/>
        <v>0.81280569096848254</v>
      </c>
      <c r="F252" s="62">
        <f t="shared" si="90"/>
        <v>0.81280569096848254</v>
      </c>
      <c r="G252" s="62">
        <f t="shared" si="90"/>
        <v>0.81280569096848254</v>
      </c>
      <c r="H252" s="62">
        <f t="shared" si="90"/>
        <v>0.81280569096848254</v>
      </c>
      <c r="I252" s="62">
        <f t="shared" si="90"/>
        <v>0.81280569096848254</v>
      </c>
      <c r="J252" s="62">
        <f t="shared" si="90"/>
        <v>0.81280569096848254</v>
      </c>
      <c r="K252" s="62">
        <f t="shared" si="90"/>
        <v>0.81280569096848254</v>
      </c>
      <c r="L252" s="62">
        <f t="shared" si="90"/>
        <v>0.81280569096848254</v>
      </c>
      <c r="M252" s="62">
        <f t="shared" si="90"/>
        <v>0.81280569096848254</v>
      </c>
      <c r="N252" s="62">
        <f t="shared" si="90"/>
        <v>0.81280569096848254</v>
      </c>
      <c r="O252" s="62">
        <f t="shared" si="90"/>
        <v>0.81280569096848254</v>
      </c>
      <c r="P252" s="62">
        <f t="shared" si="90"/>
        <v>0.81280569096848254</v>
      </c>
      <c r="Q252" s="62">
        <f t="shared" si="90"/>
        <v>0.81280569096848254</v>
      </c>
      <c r="R252" s="62">
        <f t="shared" si="90"/>
        <v>0.81280569096848254</v>
      </c>
      <c r="S252" s="62">
        <f t="shared" si="90"/>
        <v>0.81280569096848254</v>
      </c>
      <c r="T252" s="62">
        <f t="shared" si="90"/>
        <v>0.81280569096848254</v>
      </c>
      <c r="U252" s="62">
        <f t="shared" si="90"/>
        <v>0.81280569096848254</v>
      </c>
      <c r="V252" s="62">
        <f t="shared" si="90"/>
        <v>0.81280569096848254</v>
      </c>
      <c r="W252" s="62">
        <f t="shared" si="90"/>
        <v>0.81280569096848254</v>
      </c>
      <c r="X252" s="62">
        <f t="shared" si="90"/>
        <v>0.81280569096848254</v>
      </c>
      <c r="Y252" s="62">
        <f t="shared" si="90"/>
        <v>0.81280569096848254</v>
      </c>
      <c r="Z252" s="62">
        <f t="shared" si="90"/>
        <v>0.81280569096848254</v>
      </c>
      <c r="AA252" s="62">
        <f t="shared" si="90"/>
        <v>0.81280569096848254</v>
      </c>
      <c r="AB252" s="62">
        <f t="shared" si="90"/>
        <v>0.81280569096848254</v>
      </c>
      <c r="AC252" s="62">
        <f t="shared" si="90"/>
        <v>0.81280569096848254</v>
      </c>
    </row>
    <row r="253" spans="1:44" x14ac:dyDescent="0.25">
      <c r="A253" s="30" t="str">
        <f t="shared" si="89"/>
        <v>Fuel Economy</v>
      </c>
      <c r="B253" s="62">
        <f t="shared" si="90"/>
        <v>646.89677603543487</v>
      </c>
      <c r="C253" s="62">
        <f t="shared" si="90"/>
        <v>646.85211887817047</v>
      </c>
      <c r="D253" s="62">
        <f t="shared" si="90"/>
        <v>646.78819315220449</v>
      </c>
      <c r="E253" s="62">
        <f t="shared" si="90"/>
        <v>646.6967429057521</v>
      </c>
      <c r="F253" s="62">
        <f t="shared" si="90"/>
        <v>646.5660403240729</v>
      </c>
      <c r="G253" s="62">
        <f t="shared" si="90"/>
        <v>646.37949949401741</v>
      </c>
      <c r="H253" s="62">
        <f t="shared" si="90"/>
        <v>646.11381958854338</v>
      </c>
      <c r="I253" s="62">
        <f t="shared" si="90"/>
        <v>645.73659220845991</v>
      </c>
      <c r="J253" s="62">
        <f t="shared" si="90"/>
        <v>645.20341755594859</v>
      </c>
      <c r="K253" s="62">
        <f t="shared" si="90"/>
        <v>644.4548499630904</v>
      </c>
      <c r="L253" s="62">
        <f t="shared" si="90"/>
        <v>643.41406927056653</v>
      </c>
      <c r="M253" s="62">
        <f t="shared" si="90"/>
        <v>641.98719787679943</v>
      </c>
      <c r="N253" s="62">
        <f t="shared" si="90"/>
        <v>640.0696356209337</v>
      </c>
      <c r="O253" s="62">
        <f t="shared" si="90"/>
        <v>637.56301130673319</v>
      </c>
      <c r="P253" s="62">
        <f t="shared" si="90"/>
        <v>634.40634165749691</v>
      </c>
      <c r="Q253" s="62">
        <f t="shared" si="90"/>
        <v>630.6184286906298</v>
      </c>
      <c r="R253" s="62">
        <f t="shared" si="90"/>
        <v>626.33515650399931</v>
      </c>
      <c r="S253" s="62">
        <f t="shared" si="90"/>
        <v>621.81332363039712</v>
      </c>
      <c r="T253" s="62">
        <f t="shared" si="90"/>
        <v>617.38047196989623</v>
      </c>
      <c r="U253" s="62">
        <f t="shared" si="90"/>
        <v>613.34515585949862</v>
      </c>
      <c r="V253" s="62">
        <f t="shared" si="90"/>
        <v>609.91571180572532</v>
      </c>
      <c r="W253" s="62">
        <f t="shared" si="90"/>
        <v>607.1693412972852</v>
      </c>
      <c r="X253" s="62">
        <f t="shared" si="90"/>
        <v>605.0737387067237</v>
      </c>
      <c r="Y253" s="62">
        <f t="shared" si="90"/>
        <v>603.53330273509027</v>
      </c>
      <c r="Z253" s="62">
        <f t="shared" si="90"/>
        <v>602.43191330034256</v>
      </c>
      <c r="AA253" s="62">
        <f t="shared" si="90"/>
        <v>601.66000195939125</v>
      </c>
      <c r="AB253" s="62">
        <f t="shared" si="90"/>
        <v>601.12656377741496</v>
      </c>
      <c r="AC253" s="62">
        <f t="shared" si="90"/>
        <v>600.7615054472443</v>
      </c>
    </row>
    <row r="254" spans="1:44" x14ac:dyDescent="0.25">
      <c r="A254" s="30" t="str">
        <f t="shared" si="89"/>
        <v>Fuel Cost</v>
      </c>
      <c r="B254" s="62">
        <f t="shared" si="90"/>
        <v>3.1399999999999997E-2</v>
      </c>
      <c r="C254" s="62">
        <f t="shared" si="90"/>
        <v>3.1399999999999997E-2</v>
      </c>
      <c r="D254" s="62">
        <f t="shared" si="90"/>
        <v>3.1399999999999997E-2</v>
      </c>
      <c r="E254" s="62">
        <f t="shared" ref="E254:AC254" si="91">$B234+($C234-$B234)*(1-T234)</f>
        <v>3.1399999999999997E-2</v>
      </c>
      <c r="F254" s="62">
        <f t="shared" si="91"/>
        <v>3.1399999999999997E-2</v>
      </c>
      <c r="G254" s="62">
        <f t="shared" si="91"/>
        <v>3.1399999999999997E-2</v>
      </c>
      <c r="H254" s="62">
        <f t="shared" si="91"/>
        <v>3.1399999999999997E-2</v>
      </c>
      <c r="I254" s="62">
        <f t="shared" si="91"/>
        <v>3.1399999999999997E-2</v>
      </c>
      <c r="J254" s="62">
        <f t="shared" si="91"/>
        <v>3.1399999999999997E-2</v>
      </c>
      <c r="K254" s="62">
        <f t="shared" si="91"/>
        <v>3.1399999999999997E-2</v>
      </c>
      <c r="L254" s="62">
        <f t="shared" si="91"/>
        <v>3.1399999999999997E-2</v>
      </c>
      <c r="M254" s="62">
        <f t="shared" si="91"/>
        <v>3.1399999999999997E-2</v>
      </c>
      <c r="N254" s="62">
        <f t="shared" si="91"/>
        <v>3.1399999999999997E-2</v>
      </c>
      <c r="O254" s="62">
        <f t="shared" si="91"/>
        <v>3.1399999999999997E-2</v>
      </c>
      <c r="P254" s="62">
        <f t="shared" si="91"/>
        <v>3.1399999999999997E-2</v>
      </c>
      <c r="Q254" s="62">
        <f t="shared" si="91"/>
        <v>3.1399999999999997E-2</v>
      </c>
      <c r="R254" s="62">
        <f t="shared" si="91"/>
        <v>3.1399999999999997E-2</v>
      </c>
      <c r="S254" s="62">
        <f t="shared" si="91"/>
        <v>3.1399999999999997E-2</v>
      </c>
      <c r="T254" s="62">
        <f t="shared" si="91"/>
        <v>3.1399999999999997E-2</v>
      </c>
      <c r="U254" s="62">
        <f t="shared" si="91"/>
        <v>3.1399999999999997E-2</v>
      </c>
      <c r="V254" s="62">
        <f t="shared" si="91"/>
        <v>3.1399999999999997E-2</v>
      </c>
      <c r="W254" s="62">
        <f t="shared" si="91"/>
        <v>3.1399999999999997E-2</v>
      </c>
      <c r="X254" s="62">
        <f t="shared" si="91"/>
        <v>3.1399999999999997E-2</v>
      </c>
      <c r="Y254" s="62">
        <f t="shared" si="91"/>
        <v>3.1399999999999997E-2</v>
      </c>
      <c r="Z254" s="62">
        <f t="shared" si="91"/>
        <v>3.1399999999999997E-2</v>
      </c>
      <c r="AA254" s="62">
        <f t="shared" si="91"/>
        <v>3.1399999999999997E-2</v>
      </c>
      <c r="AB254" s="62">
        <f t="shared" si="91"/>
        <v>3.1399999999999997E-2</v>
      </c>
      <c r="AC254" s="62">
        <f t="shared" si="91"/>
        <v>3.1399999999999997E-2</v>
      </c>
    </row>
    <row r="255" spans="1:44" x14ac:dyDescent="0.25">
      <c r="A255" s="30" t="str">
        <f t="shared" si="89"/>
        <v>Emission Cost</v>
      </c>
      <c r="B255" s="62">
        <f>$B235+($C235-$B235)*(1-Q235)</f>
        <v>18.267003557738562</v>
      </c>
      <c r="C255" s="62">
        <f t="shared" ref="C255:AC258" si="92">$B235+($C235-$B235)*(1-R235)</f>
        <v>18.305790458980148</v>
      </c>
      <c r="D255" s="62">
        <f t="shared" si="92"/>
        <v>18.361313044198909</v>
      </c>
      <c r="E255" s="62">
        <f t="shared" si="92"/>
        <v>18.440742006877084</v>
      </c>
      <c r="F255" s="62">
        <f t="shared" si="92"/>
        <v>18.554263521414992</v>
      </c>
      <c r="G255" s="62">
        <f t="shared" si="92"/>
        <v>18.716283255677226</v>
      </c>
      <c r="H255" s="62">
        <f t="shared" si="92"/>
        <v>18.947039105058323</v>
      </c>
      <c r="I255" s="62">
        <f t="shared" si="92"/>
        <v>19.274679331915838</v>
      </c>
      <c r="J255" s="62">
        <f t="shared" si="92"/>
        <v>19.737767308363324</v>
      </c>
      <c r="K255" s="62">
        <f t="shared" si="92"/>
        <v>20.387934472496433</v>
      </c>
      <c r="L255" s="62">
        <f t="shared" si="92"/>
        <v>21.291902848630563</v>
      </c>
      <c r="M255" s="62">
        <f t="shared" si="92"/>
        <v>22.53120967478624</v>
      </c>
      <c r="N255" s="62">
        <f t="shared" si="92"/>
        <v>24.196705250388863</v>
      </c>
      <c r="O255" s="62">
        <f t="shared" si="92"/>
        <v>26.37382971778402</v>
      </c>
      <c r="P255" s="62">
        <f t="shared" si="92"/>
        <v>29.115550002671711</v>
      </c>
      <c r="Q255" s="62">
        <f t="shared" si="92"/>
        <v>32.405535643443841</v>
      </c>
      <c r="R255" s="62">
        <f t="shared" si="92"/>
        <v>36.125764728112543</v>
      </c>
      <c r="S255" s="62">
        <f t="shared" si="92"/>
        <v>40.053195309081424</v>
      </c>
      <c r="T255" s="62">
        <f t="shared" si="92"/>
        <v>43.903341402269703</v>
      </c>
      <c r="U255" s="62">
        <f t="shared" si="92"/>
        <v>47.40820864059085</v>
      </c>
      <c r="V255" s="62">
        <f t="shared" si="92"/>
        <v>50.386846690471195</v>
      </c>
      <c r="W255" s="62">
        <f t="shared" si="92"/>
        <v>52.772202324574174</v>
      </c>
      <c r="X255" s="62">
        <f t="shared" si="92"/>
        <v>54.592334543032798</v>
      </c>
      <c r="Y255" s="62">
        <f t="shared" si="92"/>
        <v>55.93027769841482</v>
      </c>
      <c r="Z255" s="62">
        <f t="shared" si="92"/>
        <v>56.886887698938416</v>
      </c>
      <c r="AA255" s="62">
        <f t="shared" si="92"/>
        <v>57.557330037474898</v>
      </c>
      <c r="AB255" s="62">
        <f t="shared" si="92"/>
        <v>58.020646902010256</v>
      </c>
      <c r="AC255" s="62">
        <f t="shared" si="92"/>
        <v>58.337717720376737</v>
      </c>
    </row>
    <row r="256" spans="1:44" x14ac:dyDescent="0.25">
      <c r="A256" s="30" t="str">
        <f t="shared" si="89"/>
        <v>Lifetime vehicle</v>
      </c>
      <c r="B256" s="62">
        <f>$B236+($C236-$B236)*(1-Q236)</f>
        <v>25</v>
      </c>
      <c r="C256" s="62">
        <f t="shared" si="92"/>
        <v>25</v>
      </c>
      <c r="D256" s="62">
        <f t="shared" si="92"/>
        <v>25</v>
      </c>
      <c r="E256" s="62">
        <f t="shared" si="92"/>
        <v>25</v>
      </c>
      <c r="F256" s="62">
        <f t="shared" si="92"/>
        <v>25</v>
      </c>
      <c r="G256" s="62">
        <f t="shared" si="92"/>
        <v>25</v>
      </c>
      <c r="H256" s="62">
        <f t="shared" si="92"/>
        <v>25</v>
      </c>
      <c r="I256" s="62">
        <f t="shared" si="92"/>
        <v>25</v>
      </c>
      <c r="J256" s="62">
        <f t="shared" si="92"/>
        <v>25</v>
      </c>
      <c r="K256" s="62">
        <f t="shared" si="92"/>
        <v>25</v>
      </c>
      <c r="L256" s="62">
        <f t="shared" si="92"/>
        <v>25</v>
      </c>
      <c r="M256" s="62">
        <f t="shared" si="92"/>
        <v>25</v>
      </c>
      <c r="N256" s="62">
        <f t="shared" si="92"/>
        <v>25</v>
      </c>
      <c r="O256" s="62">
        <f t="shared" si="92"/>
        <v>25</v>
      </c>
      <c r="P256" s="62">
        <f t="shared" si="92"/>
        <v>25</v>
      </c>
      <c r="Q256" s="62">
        <f t="shared" si="92"/>
        <v>25</v>
      </c>
      <c r="R256" s="62">
        <f t="shared" si="92"/>
        <v>25</v>
      </c>
      <c r="S256" s="62">
        <f t="shared" si="92"/>
        <v>25</v>
      </c>
      <c r="T256" s="62">
        <f t="shared" si="92"/>
        <v>25</v>
      </c>
      <c r="U256" s="62">
        <f t="shared" si="92"/>
        <v>25</v>
      </c>
      <c r="V256" s="62">
        <f t="shared" si="92"/>
        <v>25</v>
      </c>
      <c r="W256" s="62">
        <f t="shared" si="92"/>
        <v>25</v>
      </c>
      <c r="X256" s="62">
        <f t="shared" si="92"/>
        <v>25</v>
      </c>
      <c r="Y256" s="62">
        <f t="shared" si="92"/>
        <v>25</v>
      </c>
      <c r="Z256" s="62">
        <f t="shared" si="92"/>
        <v>25</v>
      </c>
      <c r="AA256" s="62">
        <f t="shared" si="92"/>
        <v>25</v>
      </c>
      <c r="AB256" s="62">
        <f t="shared" si="92"/>
        <v>25</v>
      </c>
      <c r="AC256" s="62">
        <f t="shared" si="92"/>
        <v>25</v>
      </c>
    </row>
    <row r="257" spans="1:29" x14ac:dyDescent="0.25">
      <c r="A257" s="30" t="str">
        <f t="shared" si="89"/>
        <v>Lifetime costumization</v>
      </c>
      <c r="B257" s="62">
        <f>$B237+($C237-$B237)*(1-Q237)</f>
        <v>25</v>
      </c>
      <c r="C257" s="62">
        <f t="shared" si="92"/>
        <v>25</v>
      </c>
      <c r="D257" s="62">
        <f t="shared" si="92"/>
        <v>25</v>
      </c>
      <c r="E257" s="62">
        <f t="shared" si="92"/>
        <v>25</v>
      </c>
      <c r="F257" s="62">
        <f t="shared" si="92"/>
        <v>25</v>
      </c>
      <c r="G257" s="62">
        <f t="shared" si="92"/>
        <v>25</v>
      </c>
      <c r="H257" s="62">
        <f t="shared" si="92"/>
        <v>25</v>
      </c>
      <c r="I257" s="62">
        <f t="shared" si="92"/>
        <v>25</v>
      </c>
      <c r="J257" s="62">
        <f t="shared" si="92"/>
        <v>25</v>
      </c>
      <c r="K257" s="62">
        <f t="shared" si="92"/>
        <v>25</v>
      </c>
      <c r="L257" s="62">
        <f t="shared" si="92"/>
        <v>25</v>
      </c>
      <c r="M257" s="62">
        <f t="shared" si="92"/>
        <v>25</v>
      </c>
      <c r="N257" s="62">
        <f t="shared" si="92"/>
        <v>25</v>
      </c>
      <c r="O257" s="62">
        <f t="shared" si="92"/>
        <v>25</v>
      </c>
      <c r="P257" s="62">
        <f t="shared" si="92"/>
        <v>25</v>
      </c>
      <c r="Q257" s="62">
        <f t="shared" si="92"/>
        <v>25</v>
      </c>
      <c r="R257" s="62">
        <f t="shared" si="92"/>
        <v>25</v>
      </c>
      <c r="S257" s="62">
        <f t="shared" si="92"/>
        <v>25</v>
      </c>
      <c r="T257" s="62">
        <f t="shared" si="92"/>
        <v>25</v>
      </c>
      <c r="U257" s="62">
        <f t="shared" si="92"/>
        <v>25</v>
      </c>
      <c r="V257" s="62">
        <f t="shared" si="92"/>
        <v>25</v>
      </c>
      <c r="W257" s="62">
        <f t="shared" si="92"/>
        <v>25</v>
      </c>
      <c r="X257" s="62">
        <f t="shared" si="92"/>
        <v>25</v>
      </c>
      <c r="Y257" s="62">
        <f t="shared" si="92"/>
        <v>25</v>
      </c>
      <c r="Z257" s="62">
        <f t="shared" si="92"/>
        <v>25</v>
      </c>
      <c r="AA257" s="62">
        <f t="shared" si="92"/>
        <v>25</v>
      </c>
      <c r="AB257" s="62">
        <f t="shared" si="92"/>
        <v>25</v>
      </c>
      <c r="AC257" s="62">
        <f t="shared" si="92"/>
        <v>25</v>
      </c>
    </row>
    <row r="258" spans="1:29" x14ac:dyDescent="0.25">
      <c r="A258" s="30" t="str">
        <f t="shared" si="89"/>
        <v>Tonnage .</v>
      </c>
      <c r="B258" s="62">
        <f>$B238+($C238-$B238)*(1-Q238)</f>
        <v>9450</v>
      </c>
      <c r="C258" s="62">
        <f t="shared" si="92"/>
        <v>9450</v>
      </c>
      <c r="D258" s="62">
        <f t="shared" si="92"/>
        <v>9450</v>
      </c>
      <c r="E258" s="62">
        <f t="shared" si="92"/>
        <v>9450</v>
      </c>
      <c r="F258" s="62">
        <f t="shared" si="92"/>
        <v>9450</v>
      </c>
      <c r="G258" s="62">
        <f t="shared" si="92"/>
        <v>9450</v>
      </c>
      <c r="H258" s="62">
        <f t="shared" si="92"/>
        <v>9450</v>
      </c>
      <c r="I258" s="62">
        <f t="shared" si="92"/>
        <v>9450</v>
      </c>
      <c r="J258" s="62">
        <f t="shared" si="92"/>
        <v>9450</v>
      </c>
      <c r="K258" s="62">
        <f t="shared" si="92"/>
        <v>9450</v>
      </c>
      <c r="L258" s="62">
        <f t="shared" si="92"/>
        <v>9450</v>
      </c>
      <c r="M258" s="62">
        <f t="shared" si="92"/>
        <v>9450</v>
      </c>
      <c r="N258" s="62">
        <f t="shared" si="92"/>
        <v>9450</v>
      </c>
      <c r="O258" s="62">
        <f t="shared" si="92"/>
        <v>9450</v>
      </c>
      <c r="P258" s="62">
        <f t="shared" si="92"/>
        <v>9450</v>
      </c>
      <c r="Q258" s="62">
        <f t="shared" si="92"/>
        <v>9450</v>
      </c>
      <c r="R258" s="62">
        <f t="shared" si="92"/>
        <v>9450</v>
      </c>
      <c r="S258" s="62">
        <f t="shared" si="92"/>
        <v>9450</v>
      </c>
      <c r="T258" s="62">
        <f t="shared" si="92"/>
        <v>9450</v>
      </c>
      <c r="U258" s="62">
        <f t="shared" si="92"/>
        <v>9450</v>
      </c>
      <c r="V258" s="62">
        <f t="shared" si="92"/>
        <v>9450</v>
      </c>
      <c r="W258" s="62">
        <f t="shared" si="92"/>
        <v>9450</v>
      </c>
      <c r="X258" s="62">
        <f t="shared" si="92"/>
        <v>9450</v>
      </c>
      <c r="Y258" s="62">
        <f t="shared" si="92"/>
        <v>9450</v>
      </c>
      <c r="Z258" s="62">
        <f t="shared" si="92"/>
        <v>9450</v>
      </c>
      <c r="AA258" s="62">
        <f t="shared" si="92"/>
        <v>9450</v>
      </c>
      <c r="AB258" s="62">
        <f t="shared" si="92"/>
        <v>9450</v>
      </c>
      <c r="AC258" s="62">
        <f t="shared" si="92"/>
        <v>9450</v>
      </c>
    </row>
    <row r="259" spans="1:29" x14ac:dyDescent="0.25">
      <c r="A259" s="30" t="str">
        <f t="shared" si="89"/>
        <v>Market failure (av. utilization)</v>
      </c>
      <c r="B259" s="62">
        <f t="shared" ref="B259:AC260" si="93">($B239+($C239-$B239)*(1-Q239))*B$44</f>
        <v>4914</v>
      </c>
      <c r="C259" s="62">
        <f t="shared" si="93"/>
        <v>4914</v>
      </c>
      <c r="D259" s="62">
        <f t="shared" si="93"/>
        <v>4914</v>
      </c>
      <c r="E259" s="62">
        <f t="shared" si="93"/>
        <v>4914</v>
      </c>
      <c r="F259" s="62">
        <f t="shared" si="93"/>
        <v>4914</v>
      </c>
      <c r="G259" s="62">
        <f t="shared" si="93"/>
        <v>4914</v>
      </c>
      <c r="H259" s="62">
        <f t="shared" si="93"/>
        <v>4914</v>
      </c>
      <c r="I259" s="62">
        <f t="shared" si="93"/>
        <v>4914</v>
      </c>
      <c r="J259" s="62">
        <f t="shared" si="93"/>
        <v>4914</v>
      </c>
      <c r="K259" s="62">
        <f t="shared" si="93"/>
        <v>4914</v>
      </c>
      <c r="L259" s="62">
        <f t="shared" si="93"/>
        <v>4914</v>
      </c>
      <c r="M259" s="62">
        <f t="shared" si="93"/>
        <v>4914</v>
      </c>
      <c r="N259" s="62">
        <f t="shared" si="93"/>
        <v>4914</v>
      </c>
      <c r="O259" s="62">
        <f t="shared" si="93"/>
        <v>4914</v>
      </c>
      <c r="P259" s="62">
        <f t="shared" si="93"/>
        <v>4914</v>
      </c>
      <c r="Q259" s="62">
        <f t="shared" si="93"/>
        <v>4914</v>
      </c>
      <c r="R259" s="62">
        <f t="shared" si="93"/>
        <v>4914</v>
      </c>
      <c r="S259" s="62">
        <f t="shared" si="93"/>
        <v>4914</v>
      </c>
      <c r="T259" s="62">
        <f t="shared" si="93"/>
        <v>4914</v>
      </c>
      <c r="U259" s="62">
        <f t="shared" si="93"/>
        <v>4914</v>
      </c>
      <c r="V259" s="62">
        <f t="shared" si="93"/>
        <v>4914</v>
      </c>
      <c r="W259" s="62">
        <f t="shared" si="93"/>
        <v>4914</v>
      </c>
      <c r="X259" s="62">
        <f t="shared" si="93"/>
        <v>4914</v>
      </c>
      <c r="Y259" s="62">
        <f t="shared" si="93"/>
        <v>4914</v>
      </c>
      <c r="Z259" s="62">
        <f t="shared" si="93"/>
        <v>4914</v>
      </c>
      <c r="AA259" s="62">
        <f t="shared" si="93"/>
        <v>4914</v>
      </c>
      <c r="AB259" s="62">
        <f t="shared" si="93"/>
        <v>4914</v>
      </c>
      <c r="AC259" s="62">
        <f t="shared" si="93"/>
        <v>4914</v>
      </c>
    </row>
    <row r="260" spans="1:29" x14ac:dyDescent="0.25">
      <c r="A260" s="30" t="s">
        <v>73</v>
      </c>
      <c r="B260" s="62">
        <f t="shared" si="93"/>
        <v>0</v>
      </c>
      <c r="C260" s="62">
        <f t="shared" si="93"/>
        <v>0</v>
      </c>
      <c r="D260" s="62">
        <f t="shared" si="93"/>
        <v>0</v>
      </c>
      <c r="E260" s="62">
        <f t="shared" si="93"/>
        <v>0</v>
      </c>
      <c r="F260" s="62">
        <f t="shared" si="93"/>
        <v>0</v>
      </c>
      <c r="G260" s="62">
        <f t="shared" si="93"/>
        <v>0</v>
      </c>
      <c r="H260" s="62">
        <f t="shared" si="93"/>
        <v>0</v>
      </c>
      <c r="I260" s="62">
        <f t="shared" si="93"/>
        <v>0</v>
      </c>
      <c r="J260" s="62">
        <f t="shared" si="93"/>
        <v>0</v>
      </c>
      <c r="K260" s="62">
        <f t="shared" si="93"/>
        <v>0</v>
      </c>
      <c r="L260" s="62">
        <f t="shared" si="93"/>
        <v>0</v>
      </c>
      <c r="M260" s="62">
        <f t="shared" si="93"/>
        <v>0</v>
      </c>
      <c r="N260" s="62">
        <f t="shared" si="93"/>
        <v>0</v>
      </c>
      <c r="O260" s="62">
        <f t="shared" si="93"/>
        <v>0</v>
      </c>
      <c r="P260" s="62">
        <f t="shared" si="93"/>
        <v>0</v>
      </c>
      <c r="Q260" s="62">
        <f t="shared" si="93"/>
        <v>0</v>
      </c>
      <c r="R260" s="62">
        <f t="shared" si="93"/>
        <v>0</v>
      </c>
      <c r="S260" s="62">
        <f t="shared" si="93"/>
        <v>0</v>
      </c>
      <c r="T260" s="62">
        <f t="shared" si="93"/>
        <v>0</v>
      </c>
      <c r="U260" s="62">
        <f t="shared" si="93"/>
        <v>0</v>
      </c>
      <c r="V260" s="62">
        <f t="shared" si="93"/>
        <v>0</v>
      </c>
      <c r="W260" s="62">
        <f t="shared" si="93"/>
        <v>0</v>
      </c>
      <c r="X260" s="62">
        <f t="shared" si="93"/>
        <v>0</v>
      </c>
      <c r="Y260" s="62">
        <f t="shared" si="93"/>
        <v>0</v>
      </c>
      <c r="Z260" s="62">
        <f t="shared" si="93"/>
        <v>0</v>
      </c>
      <c r="AA260" s="62">
        <f t="shared" si="93"/>
        <v>0</v>
      </c>
      <c r="AB260" s="62">
        <f t="shared" si="93"/>
        <v>0</v>
      </c>
      <c r="AC260" s="62">
        <f t="shared" si="93"/>
        <v>0</v>
      </c>
    </row>
    <row r="261" spans="1:29" x14ac:dyDescent="0.25">
      <c r="A261" s="30" t="str">
        <f>A241</f>
        <v>Annual Mileage</v>
      </c>
      <c r="B261" s="62">
        <f t="shared" ref="B261:AC261" si="94">$B241+($C241-$B241)*(1-Q241)</f>
        <v>120000</v>
      </c>
      <c r="C261" s="62">
        <f t="shared" si="94"/>
        <v>120000</v>
      </c>
      <c r="D261" s="62">
        <f t="shared" si="94"/>
        <v>120000</v>
      </c>
      <c r="E261" s="62">
        <f t="shared" si="94"/>
        <v>120000</v>
      </c>
      <c r="F261" s="62">
        <f t="shared" si="94"/>
        <v>120000</v>
      </c>
      <c r="G261" s="62">
        <f t="shared" si="94"/>
        <v>120000</v>
      </c>
      <c r="H261" s="62">
        <f t="shared" si="94"/>
        <v>120000</v>
      </c>
      <c r="I261" s="62">
        <f t="shared" si="94"/>
        <v>120000</v>
      </c>
      <c r="J261" s="62">
        <f t="shared" si="94"/>
        <v>120000</v>
      </c>
      <c r="K261" s="62">
        <f t="shared" si="94"/>
        <v>120000</v>
      </c>
      <c r="L261" s="62">
        <f t="shared" si="94"/>
        <v>120000</v>
      </c>
      <c r="M261" s="62">
        <f t="shared" si="94"/>
        <v>120000</v>
      </c>
      <c r="N261" s="62">
        <f t="shared" si="94"/>
        <v>120000</v>
      </c>
      <c r="O261" s="62">
        <f t="shared" si="94"/>
        <v>120000</v>
      </c>
      <c r="P261" s="62">
        <f t="shared" si="94"/>
        <v>120000</v>
      </c>
      <c r="Q261" s="62">
        <f t="shared" si="94"/>
        <v>120000</v>
      </c>
      <c r="R261" s="62">
        <f t="shared" si="94"/>
        <v>120000</v>
      </c>
      <c r="S261" s="62">
        <f t="shared" si="94"/>
        <v>120000</v>
      </c>
      <c r="T261" s="62">
        <f t="shared" si="94"/>
        <v>120000</v>
      </c>
      <c r="U261" s="62">
        <f t="shared" si="94"/>
        <v>120000</v>
      </c>
      <c r="V261" s="62">
        <f t="shared" si="94"/>
        <v>120000</v>
      </c>
      <c r="W261" s="62">
        <f t="shared" si="94"/>
        <v>120000</v>
      </c>
      <c r="X261" s="62">
        <f t="shared" si="94"/>
        <v>120000</v>
      </c>
      <c r="Y261" s="62">
        <f t="shared" si="94"/>
        <v>120000</v>
      </c>
      <c r="Z261" s="62">
        <f t="shared" si="94"/>
        <v>120000</v>
      </c>
      <c r="AA261" s="62">
        <f t="shared" si="94"/>
        <v>120000</v>
      </c>
      <c r="AB261" s="62">
        <f t="shared" si="94"/>
        <v>120000</v>
      </c>
      <c r="AC261" s="62">
        <f t="shared" si="94"/>
        <v>120000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1173400.7731841092</v>
      </c>
      <c r="C264" s="63">
        <f t="shared" ref="C264:AC264" si="95">((1+C249)^C256)*C249/(((1+C249)^C256)-1)*(C245)</f>
        <v>1173400.7731841092</v>
      </c>
      <c r="D264" s="63">
        <f t="shared" si="95"/>
        <v>1173400.7731841092</v>
      </c>
      <c r="E264" s="63">
        <f t="shared" si="95"/>
        <v>1173400.7731841092</v>
      </c>
      <c r="F264" s="63">
        <f t="shared" si="95"/>
        <v>1173400.7731841092</v>
      </c>
      <c r="G264" s="63">
        <f t="shared" si="95"/>
        <v>1173400.7731841092</v>
      </c>
      <c r="H264" s="63">
        <f t="shared" si="95"/>
        <v>1173400.7731841092</v>
      </c>
      <c r="I264" s="63">
        <f t="shared" si="95"/>
        <v>1173400.7731841092</v>
      </c>
      <c r="J264" s="63">
        <f t="shared" si="95"/>
        <v>1173400.7731841092</v>
      </c>
      <c r="K264" s="63">
        <f t="shared" si="95"/>
        <v>1173400.7731841092</v>
      </c>
      <c r="L264" s="63">
        <f t="shared" si="95"/>
        <v>1173400.7731841092</v>
      </c>
      <c r="M264" s="63">
        <f t="shared" si="95"/>
        <v>1173400.7731841092</v>
      </c>
      <c r="N264" s="63">
        <f t="shared" si="95"/>
        <v>1173400.7731841092</v>
      </c>
      <c r="O264" s="63">
        <f t="shared" si="95"/>
        <v>1173400.7731841092</v>
      </c>
      <c r="P264" s="63">
        <f t="shared" si="95"/>
        <v>1173400.7731841092</v>
      </c>
      <c r="Q264" s="63">
        <f t="shared" si="95"/>
        <v>1173400.7731841092</v>
      </c>
      <c r="R264" s="63">
        <f t="shared" si="95"/>
        <v>1173400.7731841092</v>
      </c>
      <c r="S264" s="63">
        <f t="shared" si="95"/>
        <v>1173400.7731841092</v>
      </c>
      <c r="T264" s="63">
        <f t="shared" si="95"/>
        <v>1173400.7731841092</v>
      </c>
      <c r="U264" s="63">
        <f t="shared" si="95"/>
        <v>1173400.7731841092</v>
      </c>
      <c r="V264" s="63">
        <f t="shared" si="95"/>
        <v>1173400.7731841092</v>
      </c>
      <c r="W264" s="63">
        <f t="shared" si="95"/>
        <v>1173400.7731841092</v>
      </c>
      <c r="X264" s="63">
        <f t="shared" si="95"/>
        <v>1173400.7731841092</v>
      </c>
      <c r="Y264" s="63">
        <f t="shared" si="95"/>
        <v>1173400.7731841092</v>
      </c>
      <c r="Z264" s="63">
        <f t="shared" si="95"/>
        <v>1173400.7731841092</v>
      </c>
      <c r="AA264" s="63">
        <f t="shared" si="95"/>
        <v>1173400.7731841092</v>
      </c>
      <c r="AB264" s="63">
        <f t="shared" si="95"/>
        <v>1173400.7731841092</v>
      </c>
      <c r="AC264" s="63">
        <f t="shared" si="95"/>
        <v>1173400.7731841092</v>
      </c>
    </row>
    <row r="265" spans="1:29" x14ac:dyDescent="0.25">
      <c r="A265" s="30" t="str">
        <f>A246</f>
        <v>Residual value (vehicle)</v>
      </c>
      <c r="B265" s="62">
        <f>((1+B249)^B256)*B249/(((1+B249)^B256)-1)*(B246)</f>
        <v>-117211.22297816433</v>
      </c>
      <c r="C265" s="62">
        <f t="shared" ref="C265:AC265" si="96">((1+C249)^C256)*C249/(((1+C249)^C256)-1)*(C246)</f>
        <v>-117155.47750703427</v>
      </c>
      <c r="D265" s="62">
        <f t="shared" si="96"/>
        <v>-117075.67910674184</v>
      </c>
      <c r="E265" s="62">
        <f t="shared" si="96"/>
        <v>-116961.52188344915</v>
      </c>
      <c r="F265" s="62">
        <f t="shared" si="96"/>
        <v>-116798.36602132194</v>
      </c>
      <c r="G265" s="62">
        <f t="shared" si="96"/>
        <v>-116565.50734662244</v>
      </c>
      <c r="H265" s="62">
        <f t="shared" si="96"/>
        <v>-116233.85946736432</v>
      </c>
      <c r="I265" s="62">
        <f t="shared" si="96"/>
        <v>-115762.96702113429</v>
      </c>
      <c r="J265" s="62">
        <f t="shared" si="96"/>
        <v>-115097.40579826315</v>
      </c>
      <c r="K265" s="62">
        <f t="shared" si="96"/>
        <v>-114162.96984907117</v>
      </c>
      <c r="L265" s="62">
        <f t="shared" si="96"/>
        <v>-112863.76466894078</v>
      </c>
      <c r="M265" s="62">
        <f t="shared" si="96"/>
        <v>-111082.60297034449</v>
      </c>
      <c r="N265" s="62">
        <f t="shared" si="96"/>
        <v>-108688.91250900239</v>
      </c>
      <c r="O265" s="62">
        <f t="shared" si="96"/>
        <v>-105559.89664903973</v>
      </c>
      <c r="P265" s="62">
        <f t="shared" si="96"/>
        <v>-101619.43004574107</v>
      </c>
      <c r="Q265" s="62">
        <f t="shared" si="96"/>
        <v>-96890.983232894243</v>
      </c>
      <c r="R265" s="62">
        <f t="shared" si="96"/>
        <v>-91544.180152521745</v>
      </c>
      <c r="S265" s="62">
        <f t="shared" si="96"/>
        <v>-85899.582077953528</v>
      </c>
      <c r="T265" s="62">
        <f t="shared" si="96"/>
        <v>-80366.059135568226</v>
      </c>
      <c r="U265" s="62">
        <f t="shared" si="96"/>
        <v>-75328.779301543953</v>
      </c>
      <c r="V265" s="62">
        <f t="shared" si="96"/>
        <v>-71047.808765066002</v>
      </c>
      <c r="W265" s="62">
        <f t="shared" si="96"/>
        <v>-67619.518043732241</v>
      </c>
      <c r="X265" s="62">
        <f t="shared" si="96"/>
        <v>-65003.580064954105</v>
      </c>
      <c r="Y265" s="62">
        <f t="shared" si="96"/>
        <v>-63080.655852023017</v>
      </c>
      <c r="Z265" s="62">
        <f t="shared" si="96"/>
        <v>-61705.792858076449</v>
      </c>
      <c r="AA265" s="62">
        <f t="shared" si="96"/>
        <v>-60742.216938606354</v>
      </c>
      <c r="AB265" s="62">
        <f t="shared" si="96"/>
        <v>-60076.3267522479</v>
      </c>
      <c r="AC265" s="62">
        <f t="shared" si="96"/>
        <v>-59620.624915142049</v>
      </c>
    </row>
    <row r="266" spans="1:29" x14ac:dyDescent="0.25">
      <c r="A266" s="30" t="str">
        <f>A247</f>
        <v>Capex costumization</v>
      </c>
      <c r="B266" s="62">
        <f>((1+B249)^B257)*B249/(((1+B249)^B257)-1)*(B247)</f>
        <v>78226.718212273947</v>
      </c>
      <c r="C266" s="62">
        <f t="shared" ref="C266:AC266" si="97">((1+C249)^C257)*C249/(((1+C249)^C257)-1)*(C247)</f>
        <v>78226.718212273947</v>
      </c>
      <c r="D266" s="62">
        <f t="shared" si="97"/>
        <v>78226.718212273947</v>
      </c>
      <c r="E266" s="62">
        <f t="shared" si="97"/>
        <v>78226.718212273947</v>
      </c>
      <c r="F266" s="62">
        <f t="shared" si="97"/>
        <v>78226.718212273947</v>
      </c>
      <c r="G266" s="62">
        <f t="shared" si="97"/>
        <v>78226.718212273947</v>
      </c>
      <c r="H266" s="62">
        <f t="shared" si="97"/>
        <v>78226.718212273947</v>
      </c>
      <c r="I266" s="62">
        <f t="shared" si="97"/>
        <v>78226.718212273947</v>
      </c>
      <c r="J266" s="62">
        <f t="shared" si="97"/>
        <v>78226.718212273947</v>
      </c>
      <c r="K266" s="62">
        <f t="shared" si="97"/>
        <v>78226.718212273947</v>
      </c>
      <c r="L266" s="62">
        <f t="shared" si="97"/>
        <v>78226.718212273947</v>
      </c>
      <c r="M266" s="62">
        <f t="shared" si="97"/>
        <v>78226.718212273947</v>
      </c>
      <c r="N266" s="62">
        <f t="shared" si="97"/>
        <v>78226.718212273947</v>
      </c>
      <c r="O266" s="62">
        <f t="shared" si="97"/>
        <v>78226.718212273947</v>
      </c>
      <c r="P266" s="62">
        <f t="shared" si="97"/>
        <v>78226.718212273947</v>
      </c>
      <c r="Q266" s="62">
        <f t="shared" si="97"/>
        <v>78226.718212273947</v>
      </c>
      <c r="R266" s="62">
        <f t="shared" si="97"/>
        <v>78226.718212273947</v>
      </c>
      <c r="S266" s="62">
        <f t="shared" si="97"/>
        <v>78226.718212273947</v>
      </c>
      <c r="T266" s="62">
        <f t="shared" si="97"/>
        <v>78226.718212273947</v>
      </c>
      <c r="U266" s="62">
        <f t="shared" si="97"/>
        <v>78226.718212273947</v>
      </c>
      <c r="V266" s="62">
        <f t="shared" si="97"/>
        <v>78226.718212273947</v>
      </c>
      <c r="W266" s="62">
        <f t="shared" si="97"/>
        <v>78226.718212273947</v>
      </c>
      <c r="X266" s="62">
        <f t="shared" si="97"/>
        <v>78226.718212273947</v>
      </c>
      <c r="Y266" s="62">
        <f t="shared" si="97"/>
        <v>78226.718212273947</v>
      </c>
      <c r="Z266" s="62">
        <f t="shared" si="97"/>
        <v>78226.718212273947</v>
      </c>
      <c r="AA266" s="62">
        <f t="shared" si="97"/>
        <v>78226.718212273947</v>
      </c>
      <c r="AB266" s="62">
        <f t="shared" si="97"/>
        <v>78226.718212273947</v>
      </c>
      <c r="AC266" s="62">
        <f t="shared" si="97"/>
        <v>78226.718212273947</v>
      </c>
    </row>
    <row r="267" spans="1:29" x14ac:dyDescent="0.25">
      <c r="A267" s="30" t="str">
        <f>A248</f>
        <v>Residual value (costumization)</v>
      </c>
      <c r="B267" s="62">
        <f>((1+B249)^B257)*B249/(((1+B249)^B257)-1)*(B248)</f>
        <v>-7822.6718212273945</v>
      </c>
      <c r="C267" s="62">
        <f t="shared" ref="C267:AC267" si="98">((1+C249)^C257)*C249/(((1+C249)^C257)-1)*(C248)</f>
        <v>-7822.6718212273945</v>
      </c>
      <c r="D267" s="62">
        <f t="shared" si="98"/>
        <v>-7822.6718212273945</v>
      </c>
      <c r="E267" s="62">
        <f t="shared" si="98"/>
        <v>-7822.6718212273945</v>
      </c>
      <c r="F267" s="62">
        <f t="shared" si="98"/>
        <v>-7822.6718212273945</v>
      </c>
      <c r="G267" s="62">
        <f t="shared" si="98"/>
        <v>-7822.6718212273945</v>
      </c>
      <c r="H267" s="62">
        <f t="shared" si="98"/>
        <v>-7822.6718212273945</v>
      </c>
      <c r="I267" s="62">
        <f t="shared" si="98"/>
        <v>-7822.6718212273945</v>
      </c>
      <c r="J267" s="62">
        <f t="shared" si="98"/>
        <v>-7822.6718212273945</v>
      </c>
      <c r="K267" s="62">
        <f t="shared" si="98"/>
        <v>-7822.6718212273945</v>
      </c>
      <c r="L267" s="62">
        <f t="shared" si="98"/>
        <v>-7822.6718212273945</v>
      </c>
      <c r="M267" s="62">
        <f t="shared" si="98"/>
        <v>-7822.6718212273945</v>
      </c>
      <c r="N267" s="62">
        <f t="shared" si="98"/>
        <v>-7822.6718212273945</v>
      </c>
      <c r="O267" s="62">
        <f t="shared" si="98"/>
        <v>-7822.6718212273945</v>
      </c>
      <c r="P267" s="62">
        <f t="shared" si="98"/>
        <v>-7822.6718212273945</v>
      </c>
      <c r="Q267" s="62">
        <f t="shared" si="98"/>
        <v>-7822.6718212273945</v>
      </c>
      <c r="R267" s="62">
        <f t="shared" si="98"/>
        <v>-7822.6718212273945</v>
      </c>
      <c r="S267" s="62">
        <f t="shared" si="98"/>
        <v>-7822.6718212273945</v>
      </c>
      <c r="T267" s="62">
        <f t="shared" si="98"/>
        <v>-7822.6718212273945</v>
      </c>
      <c r="U267" s="62">
        <f t="shared" si="98"/>
        <v>-7822.6718212273945</v>
      </c>
      <c r="V267" s="62">
        <f t="shared" si="98"/>
        <v>-7822.6718212273945</v>
      </c>
      <c r="W267" s="62">
        <f t="shared" si="98"/>
        <v>-7822.6718212273945</v>
      </c>
      <c r="X267" s="62">
        <f t="shared" si="98"/>
        <v>-7822.6718212273945</v>
      </c>
      <c r="Y267" s="62">
        <f t="shared" si="98"/>
        <v>-7822.6718212273945</v>
      </c>
      <c r="Z267" s="62">
        <f t="shared" si="98"/>
        <v>-7822.6718212273945</v>
      </c>
      <c r="AA267" s="62">
        <f t="shared" si="98"/>
        <v>-7822.6718212273945</v>
      </c>
      <c r="AB267" s="62">
        <f t="shared" si="98"/>
        <v>-7822.6718212273945</v>
      </c>
      <c r="AC267" s="62">
        <f t="shared" si="98"/>
        <v>-7822.6718212273945</v>
      </c>
    </row>
    <row r="268" spans="1:29" x14ac:dyDescent="0.25">
      <c r="A268" s="30" t="str">
        <f t="shared" ref="A268:AC269" si="99">A250</f>
        <v>Opex fix (admin, crew, insurance)</v>
      </c>
      <c r="B268" s="62">
        <f t="shared" si="99"/>
        <v>1208235.294117647</v>
      </c>
      <c r="C268" s="62">
        <f t="shared" si="99"/>
        <v>1208235.294117647</v>
      </c>
      <c r="D268" s="62">
        <f t="shared" si="99"/>
        <v>1208235.294117647</v>
      </c>
      <c r="E268" s="62">
        <f t="shared" si="99"/>
        <v>1208235.294117647</v>
      </c>
      <c r="F268" s="62">
        <f t="shared" si="99"/>
        <v>1208235.294117647</v>
      </c>
      <c r="G268" s="62">
        <f t="shared" si="99"/>
        <v>1208235.294117647</v>
      </c>
      <c r="H268" s="62">
        <f t="shared" si="99"/>
        <v>1208235.294117647</v>
      </c>
      <c r="I268" s="62">
        <f t="shared" si="99"/>
        <v>1208235.294117647</v>
      </c>
      <c r="J268" s="62">
        <f t="shared" si="99"/>
        <v>1208235.294117647</v>
      </c>
      <c r="K268" s="62">
        <f t="shared" si="99"/>
        <v>1208235.294117647</v>
      </c>
      <c r="L268" s="62">
        <f t="shared" si="99"/>
        <v>1208235.294117647</v>
      </c>
      <c r="M268" s="62">
        <f t="shared" si="99"/>
        <v>1208235.294117647</v>
      </c>
      <c r="N268" s="62">
        <f t="shared" si="99"/>
        <v>1208235.294117647</v>
      </c>
      <c r="O268" s="62">
        <f t="shared" si="99"/>
        <v>1208235.294117647</v>
      </c>
      <c r="P268" s="62">
        <f t="shared" si="99"/>
        <v>1208235.294117647</v>
      </c>
      <c r="Q268" s="62">
        <f t="shared" si="99"/>
        <v>1208235.294117647</v>
      </c>
      <c r="R268" s="62">
        <f t="shared" si="99"/>
        <v>1208235.294117647</v>
      </c>
      <c r="S268" s="62">
        <f t="shared" si="99"/>
        <v>1208235.294117647</v>
      </c>
      <c r="T268" s="62">
        <f t="shared" si="99"/>
        <v>1208235.294117647</v>
      </c>
      <c r="U268" s="62">
        <f t="shared" si="99"/>
        <v>1208235.294117647</v>
      </c>
      <c r="V268" s="62">
        <f t="shared" si="99"/>
        <v>1208235.294117647</v>
      </c>
      <c r="W268" s="62">
        <f t="shared" si="99"/>
        <v>1208235.294117647</v>
      </c>
      <c r="X268" s="62">
        <f t="shared" si="99"/>
        <v>1208235.294117647</v>
      </c>
      <c r="Y268" s="62">
        <f t="shared" si="99"/>
        <v>1208235.294117647</v>
      </c>
      <c r="Z268" s="62">
        <f t="shared" si="99"/>
        <v>1208235.294117647</v>
      </c>
      <c r="AA268" s="62">
        <f t="shared" si="99"/>
        <v>1208235.294117647</v>
      </c>
      <c r="AB268" s="62">
        <f t="shared" si="99"/>
        <v>1208235.294117647</v>
      </c>
      <c r="AC268" s="62">
        <f t="shared" si="99"/>
        <v>1208235.294117647</v>
      </c>
    </row>
    <row r="269" spans="1:29" x14ac:dyDescent="0.25">
      <c r="A269" s="30" t="str">
        <f t="shared" si="99"/>
        <v>Opex maintenance &amp; repair</v>
      </c>
      <c r="B269" s="62">
        <f t="shared" si="99"/>
        <v>488235.29411764705</v>
      </c>
      <c r="C269" s="62">
        <f t="shared" si="99"/>
        <v>488235.29411764705</v>
      </c>
      <c r="D269" s="62">
        <f t="shared" si="99"/>
        <v>488235.29411764705</v>
      </c>
      <c r="E269" s="62">
        <f t="shared" si="99"/>
        <v>488235.29411764705</v>
      </c>
      <c r="F269" s="62">
        <f t="shared" si="99"/>
        <v>488235.29411764705</v>
      </c>
      <c r="G269" s="62">
        <f t="shared" si="99"/>
        <v>488235.29411764705</v>
      </c>
      <c r="H269" s="62">
        <f t="shared" si="99"/>
        <v>488235.29411764705</v>
      </c>
      <c r="I269" s="62">
        <f t="shared" si="99"/>
        <v>488235.29411764705</v>
      </c>
      <c r="J269" s="62">
        <f t="shared" si="99"/>
        <v>488235.29411764705</v>
      </c>
      <c r="K269" s="62">
        <f t="shared" si="99"/>
        <v>488235.29411764705</v>
      </c>
      <c r="L269" s="62">
        <f t="shared" si="99"/>
        <v>488235.29411764705</v>
      </c>
      <c r="M269" s="62">
        <f t="shared" si="99"/>
        <v>488235.29411764705</v>
      </c>
      <c r="N269" s="62">
        <f t="shared" si="99"/>
        <v>488235.29411764705</v>
      </c>
      <c r="O269" s="62">
        <f t="shared" si="99"/>
        <v>488235.29411764705</v>
      </c>
      <c r="P269" s="62">
        <f t="shared" si="99"/>
        <v>488235.29411764705</v>
      </c>
      <c r="Q269" s="62">
        <f t="shared" si="99"/>
        <v>488235.29411764705</v>
      </c>
      <c r="R269" s="62">
        <f t="shared" si="99"/>
        <v>488235.29411764705</v>
      </c>
      <c r="S269" s="62">
        <f t="shared" si="99"/>
        <v>488235.29411764705</v>
      </c>
      <c r="T269" s="62">
        <f t="shared" si="99"/>
        <v>488235.29411764705</v>
      </c>
      <c r="U269" s="62">
        <f t="shared" si="99"/>
        <v>488235.29411764705</v>
      </c>
      <c r="V269" s="62">
        <f t="shared" si="99"/>
        <v>488235.29411764705</v>
      </c>
      <c r="W269" s="62">
        <f t="shared" si="99"/>
        <v>488235.29411764705</v>
      </c>
      <c r="X269" s="62">
        <f t="shared" si="99"/>
        <v>488235.29411764705</v>
      </c>
      <c r="Y269" s="62">
        <f t="shared" si="99"/>
        <v>488235.29411764705</v>
      </c>
      <c r="Z269" s="62">
        <f t="shared" si="99"/>
        <v>488235.29411764705</v>
      </c>
      <c r="AA269" s="62">
        <f t="shared" si="99"/>
        <v>488235.29411764705</v>
      </c>
      <c r="AB269" s="62">
        <f t="shared" si="99"/>
        <v>488235.29411764705</v>
      </c>
      <c r="AC269" s="62">
        <f t="shared" si="99"/>
        <v>488235.29411764705</v>
      </c>
    </row>
    <row r="270" spans="1:29" x14ac:dyDescent="0.25">
      <c r="A270" s="30" t="str">
        <f>A252</f>
        <v>Opex var (mode-fees)</v>
      </c>
      <c r="B270" s="62">
        <f>B252*B261</f>
        <v>97536.682916217906</v>
      </c>
      <c r="C270" s="62">
        <f t="shared" ref="C270:AC270" si="100">C252*C261</f>
        <v>97536.682916217906</v>
      </c>
      <c r="D270" s="62">
        <f t="shared" si="100"/>
        <v>97536.682916217906</v>
      </c>
      <c r="E270" s="62">
        <f t="shared" si="100"/>
        <v>97536.682916217906</v>
      </c>
      <c r="F270" s="62">
        <f t="shared" si="100"/>
        <v>97536.682916217906</v>
      </c>
      <c r="G270" s="62">
        <f t="shared" si="100"/>
        <v>97536.682916217906</v>
      </c>
      <c r="H270" s="62">
        <f t="shared" si="100"/>
        <v>97536.682916217906</v>
      </c>
      <c r="I270" s="62">
        <f t="shared" si="100"/>
        <v>97536.682916217906</v>
      </c>
      <c r="J270" s="62">
        <f t="shared" si="100"/>
        <v>97536.682916217906</v>
      </c>
      <c r="K270" s="62">
        <f t="shared" si="100"/>
        <v>97536.682916217906</v>
      </c>
      <c r="L270" s="62">
        <f t="shared" si="100"/>
        <v>97536.682916217906</v>
      </c>
      <c r="M270" s="62">
        <f t="shared" si="100"/>
        <v>97536.682916217906</v>
      </c>
      <c r="N270" s="62">
        <f t="shared" si="100"/>
        <v>97536.682916217906</v>
      </c>
      <c r="O270" s="62">
        <f t="shared" si="100"/>
        <v>97536.682916217906</v>
      </c>
      <c r="P270" s="62">
        <f t="shared" si="100"/>
        <v>97536.682916217906</v>
      </c>
      <c r="Q270" s="62">
        <f t="shared" si="100"/>
        <v>97536.682916217906</v>
      </c>
      <c r="R270" s="62">
        <f t="shared" si="100"/>
        <v>97536.682916217906</v>
      </c>
      <c r="S270" s="62">
        <f t="shared" si="100"/>
        <v>97536.682916217906</v>
      </c>
      <c r="T270" s="62">
        <f t="shared" si="100"/>
        <v>97536.682916217906</v>
      </c>
      <c r="U270" s="62">
        <f t="shared" si="100"/>
        <v>97536.682916217906</v>
      </c>
      <c r="V270" s="62">
        <f t="shared" si="100"/>
        <v>97536.682916217906</v>
      </c>
      <c r="W270" s="62">
        <f t="shared" si="100"/>
        <v>97536.682916217906</v>
      </c>
      <c r="X270" s="62">
        <f t="shared" si="100"/>
        <v>97536.682916217906</v>
      </c>
      <c r="Y270" s="62">
        <f t="shared" si="100"/>
        <v>97536.682916217906</v>
      </c>
      <c r="Z270" s="62">
        <f t="shared" si="100"/>
        <v>97536.682916217906</v>
      </c>
      <c r="AA270" s="62">
        <f t="shared" si="100"/>
        <v>97536.682916217906</v>
      </c>
      <c r="AB270" s="62">
        <f t="shared" si="100"/>
        <v>97536.682916217906</v>
      </c>
      <c r="AC270" s="62">
        <f t="shared" si="100"/>
        <v>97536.682916217906</v>
      </c>
    </row>
    <row r="271" spans="1:29" x14ac:dyDescent="0.25">
      <c r="A271" s="30" t="str">
        <f>A254</f>
        <v>Fuel Cost</v>
      </c>
      <c r="B271" s="62">
        <f>B253*B254*B261</f>
        <v>2437507.052101518</v>
      </c>
      <c r="C271" s="62">
        <f t="shared" ref="C271:AC271" si="101">C253*C254*C261</f>
        <v>2437338.7839329462</v>
      </c>
      <c r="D271" s="62">
        <f t="shared" si="101"/>
        <v>2437097.9117975063</v>
      </c>
      <c r="E271" s="62">
        <f t="shared" si="101"/>
        <v>2436753.3272688738</v>
      </c>
      <c r="F271" s="62">
        <f t="shared" si="101"/>
        <v>2436260.8399411063</v>
      </c>
      <c r="G271" s="62">
        <f t="shared" si="101"/>
        <v>2435557.9540934572</v>
      </c>
      <c r="H271" s="62">
        <f t="shared" si="101"/>
        <v>2434556.8722096309</v>
      </c>
      <c r="I271" s="62">
        <f t="shared" si="101"/>
        <v>2433135.479441477</v>
      </c>
      <c r="J271" s="62">
        <f t="shared" si="101"/>
        <v>2431126.4773508143</v>
      </c>
      <c r="K271" s="62">
        <f t="shared" si="101"/>
        <v>2428305.8746609245</v>
      </c>
      <c r="L271" s="62">
        <f t="shared" si="101"/>
        <v>2424384.2130114948</v>
      </c>
      <c r="M271" s="62">
        <f t="shared" si="101"/>
        <v>2419007.7615997801</v>
      </c>
      <c r="N271" s="62">
        <f t="shared" si="101"/>
        <v>2411782.387019678</v>
      </c>
      <c r="O271" s="62">
        <f t="shared" si="101"/>
        <v>2402337.4266037703</v>
      </c>
      <c r="P271" s="62">
        <f t="shared" si="101"/>
        <v>2390443.0953654484</v>
      </c>
      <c r="Q271" s="62">
        <f t="shared" si="101"/>
        <v>2376170.2393062925</v>
      </c>
      <c r="R271" s="62">
        <f t="shared" si="101"/>
        <v>2360030.8697070694</v>
      </c>
      <c r="S271" s="62">
        <f t="shared" si="101"/>
        <v>2342992.6034393362</v>
      </c>
      <c r="T271" s="62">
        <f t="shared" si="101"/>
        <v>2326289.6183825689</v>
      </c>
      <c r="U271" s="62">
        <f t="shared" si="101"/>
        <v>2311084.5472785905</v>
      </c>
      <c r="V271" s="62">
        <f t="shared" si="101"/>
        <v>2298162.4020839729</v>
      </c>
      <c r="W271" s="62">
        <f t="shared" si="101"/>
        <v>2287814.0780081702</v>
      </c>
      <c r="X271" s="62">
        <f t="shared" si="101"/>
        <v>2279917.8474469348</v>
      </c>
      <c r="Y271" s="62">
        <f t="shared" si="101"/>
        <v>2274113.4847058197</v>
      </c>
      <c r="Z271" s="62">
        <f t="shared" si="101"/>
        <v>2269963.4493156904</v>
      </c>
      <c r="AA271" s="62">
        <f t="shared" si="101"/>
        <v>2267054.887382986</v>
      </c>
      <c r="AB271" s="62">
        <f t="shared" si="101"/>
        <v>2265044.8923132992</v>
      </c>
      <c r="AC271" s="62">
        <f t="shared" si="101"/>
        <v>2263669.3525252165</v>
      </c>
    </row>
    <row r="272" spans="1:29" ht="15.75" thickBot="1" x14ac:dyDescent="0.3">
      <c r="A272" s="59" t="str">
        <f>A235</f>
        <v>Emission Cost</v>
      </c>
      <c r="B272" s="62">
        <f>B255*B261</f>
        <v>2192040.4269286273</v>
      </c>
      <c r="C272" s="62">
        <f t="shared" ref="C272:AC272" si="102">C255*C261</f>
        <v>2196694.8550776178</v>
      </c>
      <c r="D272" s="62">
        <f t="shared" si="102"/>
        <v>2203357.5653038691</v>
      </c>
      <c r="E272" s="62">
        <f t="shared" si="102"/>
        <v>2212889.0408252501</v>
      </c>
      <c r="F272" s="62">
        <f t="shared" si="102"/>
        <v>2226511.622569799</v>
      </c>
      <c r="G272" s="62">
        <f t="shared" si="102"/>
        <v>2245953.9906812669</v>
      </c>
      <c r="H272" s="62">
        <f t="shared" si="102"/>
        <v>2273644.6926069986</v>
      </c>
      <c r="I272" s="62">
        <f t="shared" si="102"/>
        <v>2312961.5198299005</v>
      </c>
      <c r="J272" s="62">
        <f t="shared" si="102"/>
        <v>2368532.0770035987</v>
      </c>
      <c r="K272" s="62">
        <f t="shared" si="102"/>
        <v>2446552.1366995717</v>
      </c>
      <c r="L272" s="62">
        <f t="shared" si="102"/>
        <v>2555028.3418356678</v>
      </c>
      <c r="M272" s="62">
        <f t="shared" si="102"/>
        <v>2703745.1609743489</v>
      </c>
      <c r="N272" s="62">
        <f t="shared" si="102"/>
        <v>2903604.6300466633</v>
      </c>
      <c r="O272" s="62">
        <f t="shared" si="102"/>
        <v>3164859.5661340822</v>
      </c>
      <c r="P272" s="62">
        <f t="shared" si="102"/>
        <v>3493866.0003206055</v>
      </c>
      <c r="Q272" s="62">
        <f t="shared" si="102"/>
        <v>3888664.277213261</v>
      </c>
      <c r="R272" s="62">
        <f t="shared" si="102"/>
        <v>4335091.767373505</v>
      </c>
      <c r="S272" s="62">
        <f t="shared" si="102"/>
        <v>4806383.437089771</v>
      </c>
      <c r="T272" s="62">
        <f t="shared" si="102"/>
        <v>5268400.9682723647</v>
      </c>
      <c r="U272" s="62">
        <f t="shared" si="102"/>
        <v>5688985.0368709024</v>
      </c>
      <c r="V272" s="62">
        <f t="shared" si="102"/>
        <v>6046421.6028565438</v>
      </c>
      <c r="W272" s="62">
        <f t="shared" si="102"/>
        <v>6332664.2789489012</v>
      </c>
      <c r="X272" s="62">
        <f t="shared" si="102"/>
        <v>6551080.1451639356</v>
      </c>
      <c r="Y272" s="62">
        <f t="shared" si="102"/>
        <v>6711633.3238097783</v>
      </c>
      <c r="Z272" s="62">
        <f t="shared" si="102"/>
        <v>6826426.5238726102</v>
      </c>
      <c r="AA272" s="62">
        <f t="shared" si="102"/>
        <v>6906879.6044969875</v>
      </c>
      <c r="AB272" s="62">
        <f t="shared" si="102"/>
        <v>6962477.6282412307</v>
      </c>
      <c r="AC272" s="62">
        <f t="shared" si="102"/>
        <v>7000526.1264452087</v>
      </c>
    </row>
    <row r="273" spans="1:29" ht="15.75" thickBot="1" x14ac:dyDescent="0.3">
      <c r="A273" s="31" t="s">
        <v>209</v>
      </c>
      <c r="B273" s="64">
        <f>B264+B265+B266+B267+B268+B269+B270+B271+B272</f>
        <v>7550148.3467786489</v>
      </c>
      <c r="C273" s="64">
        <f t="shared" ref="C273:AC273" si="103">C264+C265+C266+C267+C268+C269+C270+C271+C272</f>
        <v>7554690.2522301981</v>
      </c>
      <c r="D273" s="64">
        <f t="shared" si="103"/>
        <v>7561191.8887213022</v>
      </c>
      <c r="E273" s="64">
        <f t="shared" si="103"/>
        <v>7570492.9369373433</v>
      </c>
      <c r="F273" s="64">
        <f t="shared" si="103"/>
        <v>7583786.1872162521</v>
      </c>
      <c r="G273" s="64">
        <f t="shared" si="103"/>
        <v>7602758.5281547699</v>
      </c>
      <c r="H273" s="64">
        <f t="shared" si="103"/>
        <v>7629779.7960759327</v>
      </c>
      <c r="I273" s="64">
        <f t="shared" si="103"/>
        <v>7668146.1229769122</v>
      </c>
      <c r="J273" s="64">
        <f t="shared" si="103"/>
        <v>7722373.2392828166</v>
      </c>
      <c r="K273" s="64">
        <f t="shared" si="103"/>
        <v>7798507.1322380938</v>
      </c>
      <c r="L273" s="64">
        <f t="shared" si="103"/>
        <v>7904360.8809048906</v>
      </c>
      <c r="M273" s="64">
        <f t="shared" si="103"/>
        <v>8049482.410330453</v>
      </c>
      <c r="N273" s="64">
        <f t="shared" si="103"/>
        <v>8244510.1952840071</v>
      </c>
      <c r="O273" s="64">
        <f t="shared" si="103"/>
        <v>8499449.1868154816</v>
      </c>
      <c r="P273" s="64">
        <f t="shared" si="103"/>
        <v>8820501.7563669812</v>
      </c>
      <c r="Q273" s="64">
        <f t="shared" si="103"/>
        <v>9205755.6240133271</v>
      </c>
      <c r="R273" s="64">
        <f t="shared" si="103"/>
        <v>9641390.5476547219</v>
      </c>
      <c r="S273" s="64">
        <f t="shared" si="103"/>
        <v>10101288.549177822</v>
      </c>
      <c r="T273" s="64">
        <f t="shared" si="103"/>
        <v>10552136.618246034</v>
      </c>
      <c r="U273" s="64">
        <f t="shared" si="103"/>
        <v>10962552.895574616</v>
      </c>
      <c r="V273" s="64">
        <f t="shared" si="103"/>
        <v>11311348.286902118</v>
      </c>
      <c r="W273" s="64">
        <f t="shared" si="103"/>
        <v>11590670.929640006</v>
      </c>
      <c r="X273" s="64">
        <f t="shared" si="103"/>
        <v>11803806.503272586</v>
      </c>
      <c r="Y273" s="64">
        <f t="shared" si="103"/>
        <v>11960478.243390244</v>
      </c>
      <c r="Z273" s="64">
        <f t="shared" si="103"/>
        <v>12072496.271056892</v>
      </c>
      <c r="AA273" s="64">
        <f t="shared" si="103"/>
        <v>12151004.365668036</v>
      </c>
      <c r="AB273" s="64">
        <f t="shared" si="103"/>
        <v>12205258.28452895</v>
      </c>
      <c r="AC273" s="64">
        <f t="shared" si="103"/>
        <v>12242386.944781952</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104">A264</f>
        <v>Capex vehicle</v>
      </c>
      <c r="B276" s="65">
        <f>((1+B249)^B256)*B249/(((1+B249)^B256)-1)*(B245)/B261</f>
        <v>9.7783397765342439</v>
      </c>
      <c r="C276" s="65">
        <f t="shared" ref="C276:AC276" si="105">((1+C249)^C256)*C249/(((1+C249)^C256)-1)*(C245)/C261</f>
        <v>9.7783397765342439</v>
      </c>
      <c r="D276" s="65">
        <f t="shared" si="105"/>
        <v>9.7783397765342439</v>
      </c>
      <c r="E276" s="65">
        <f t="shared" si="105"/>
        <v>9.7783397765342439</v>
      </c>
      <c r="F276" s="65">
        <f t="shared" si="105"/>
        <v>9.7783397765342439</v>
      </c>
      <c r="G276" s="65">
        <f t="shared" si="105"/>
        <v>9.7783397765342439</v>
      </c>
      <c r="H276" s="65">
        <f t="shared" si="105"/>
        <v>9.7783397765342439</v>
      </c>
      <c r="I276" s="65">
        <f t="shared" si="105"/>
        <v>9.7783397765342439</v>
      </c>
      <c r="J276" s="65">
        <f t="shared" si="105"/>
        <v>9.7783397765342439</v>
      </c>
      <c r="K276" s="65">
        <f t="shared" si="105"/>
        <v>9.7783397765342439</v>
      </c>
      <c r="L276" s="65">
        <f t="shared" si="105"/>
        <v>9.7783397765342439</v>
      </c>
      <c r="M276" s="65">
        <f t="shared" si="105"/>
        <v>9.7783397765342439</v>
      </c>
      <c r="N276" s="65">
        <f t="shared" si="105"/>
        <v>9.7783397765342439</v>
      </c>
      <c r="O276" s="65">
        <f t="shared" si="105"/>
        <v>9.7783397765342439</v>
      </c>
      <c r="P276" s="65">
        <f t="shared" si="105"/>
        <v>9.7783397765342439</v>
      </c>
      <c r="Q276" s="65">
        <f t="shared" si="105"/>
        <v>9.7783397765342439</v>
      </c>
      <c r="R276" s="65">
        <f t="shared" si="105"/>
        <v>9.7783397765342439</v>
      </c>
      <c r="S276" s="65">
        <f t="shared" si="105"/>
        <v>9.7783397765342439</v>
      </c>
      <c r="T276" s="65">
        <f t="shared" si="105"/>
        <v>9.7783397765342439</v>
      </c>
      <c r="U276" s="65">
        <f t="shared" si="105"/>
        <v>9.7783397765342439</v>
      </c>
      <c r="V276" s="65">
        <f t="shared" si="105"/>
        <v>9.7783397765342439</v>
      </c>
      <c r="W276" s="65">
        <f t="shared" si="105"/>
        <v>9.7783397765342439</v>
      </c>
      <c r="X276" s="65">
        <f t="shared" si="105"/>
        <v>9.7783397765342439</v>
      </c>
      <c r="Y276" s="65">
        <f t="shared" si="105"/>
        <v>9.7783397765342439</v>
      </c>
      <c r="Z276" s="65">
        <f t="shared" si="105"/>
        <v>9.7783397765342439</v>
      </c>
      <c r="AA276" s="65">
        <f t="shared" si="105"/>
        <v>9.7783397765342439</v>
      </c>
      <c r="AB276" s="65">
        <f t="shared" si="105"/>
        <v>9.7783397765342439</v>
      </c>
      <c r="AC276" s="65">
        <f t="shared" si="105"/>
        <v>9.7783397765342439</v>
      </c>
    </row>
    <row r="277" spans="1:29" x14ac:dyDescent="0.25">
      <c r="A277" s="30" t="str">
        <f t="shared" si="104"/>
        <v>Residual value (vehicle)</v>
      </c>
      <c r="B277" s="66">
        <f>((1+B249)^B256)*B249/(((1+B249)^B256)-1)*(B246)/B261</f>
        <v>-0.97676019148470272</v>
      </c>
      <c r="C277" s="66">
        <f t="shared" ref="C277:AC277" si="106">((1+C249)^C256)*C249/(((1+C249)^C256)-1)*(C246)/C261</f>
        <v>-0.97629564589195228</v>
      </c>
      <c r="D277" s="66">
        <f t="shared" si="106"/>
        <v>-0.97563065922284864</v>
      </c>
      <c r="E277" s="66">
        <f t="shared" si="106"/>
        <v>-0.97467934902874298</v>
      </c>
      <c r="F277" s="66">
        <f t="shared" si="106"/>
        <v>-0.97331971684434948</v>
      </c>
      <c r="G277" s="66">
        <f t="shared" si="106"/>
        <v>-0.97137922788852038</v>
      </c>
      <c r="H277" s="66">
        <f t="shared" si="106"/>
        <v>-0.96861549556136939</v>
      </c>
      <c r="I277" s="66">
        <f t="shared" si="106"/>
        <v>-0.96469139184278574</v>
      </c>
      <c r="J277" s="66">
        <f t="shared" si="106"/>
        <v>-0.95914504831885961</v>
      </c>
      <c r="K277" s="66">
        <f t="shared" si="106"/>
        <v>-0.95135808207559314</v>
      </c>
      <c r="L277" s="66">
        <f t="shared" si="106"/>
        <v>-0.94053137224117322</v>
      </c>
      <c r="M277" s="66">
        <f t="shared" si="106"/>
        <v>-0.92568835808620409</v>
      </c>
      <c r="N277" s="66">
        <f t="shared" si="106"/>
        <v>-0.90574093757501994</v>
      </c>
      <c r="O277" s="66">
        <f t="shared" si="106"/>
        <v>-0.87966580540866446</v>
      </c>
      <c r="P277" s="66">
        <f t="shared" si="106"/>
        <v>-0.84682858371450898</v>
      </c>
      <c r="Q277" s="66">
        <f t="shared" si="106"/>
        <v>-0.80742486027411864</v>
      </c>
      <c r="R277" s="66">
        <f t="shared" si="106"/>
        <v>-0.7628681679376812</v>
      </c>
      <c r="S277" s="66">
        <f t="shared" si="106"/>
        <v>-0.71582985064961269</v>
      </c>
      <c r="T277" s="66">
        <f t="shared" si="106"/>
        <v>-0.66971715946306853</v>
      </c>
      <c r="U277" s="66">
        <f t="shared" si="106"/>
        <v>-0.62773982751286628</v>
      </c>
      <c r="V277" s="66">
        <f t="shared" si="106"/>
        <v>-0.59206507304221667</v>
      </c>
      <c r="W277" s="66">
        <f t="shared" si="106"/>
        <v>-0.56349598369776865</v>
      </c>
      <c r="X277" s="66">
        <f t="shared" si="106"/>
        <v>-0.54169650054128426</v>
      </c>
      <c r="Y277" s="66">
        <f t="shared" si="106"/>
        <v>-0.52567213210019181</v>
      </c>
      <c r="Z277" s="66">
        <f t="shared" si="106"/>
        <v>-0.51421494048397043</v>
      </c>
      <c r="AA277" s="66">
        <f t="shared" si="106"/>
        <v>-0.50618514115505298</v>
      </c>
      <c r="AB277" s="66">
        <f t="shared" si="106"/>
        <v>-0.50063605626873253</v>
      </c>
      <c r="AC277" s="66">
        <f t="shared" si="106"/>
        <v>-0.49683854095951707</v>
      </c>
    </row>
    <row r="278" spans="1:29" x14ac:dyDescent="0.25">
      <c r="A278" s="30" t="str">
        <f t="shared" si="104"/>
        <v>Capex costumization</v>
      </c>
      <c r="B278" s="66">
        <f>((1+B249)^B257)*B249/(((1+B249)^B257)-1)*(B247)/B261</f>
        <v>0.65188931843561626</v>
      </c>
      <c r="C278" s="66">
        <f t="shared" ref="C278:AC278" si="107">((1+C249)^C257)*C249/(((1+C249)^C257)-1)*(C247)/C261</f>
        <v>0.65188931843561626</v>
      </c>
      <c r="D278" s="66">
        <f t="shared" si="107"/>
        <v>0.65188931843561626</v>
      </c>
      <c r="E278" s="66">
        <f t="shared" si="107"/>
        <v>0.65188931843561626</v>
      </c>
      <c r="F278" s="66">
        <f t="shared" si="107"/>
        <v>0.65188931843561626</v>
      </c>
      <c r="G278" s="66">
        <f t="shared" si="107"/>
        <v>0.65188931843561626</v>
      </c>
      <c r="H278" s="66">
        <f t="shared" si="107"/>
        <v>0.65188931843561626</v>
      </c>
      <c r="I278" s="66">
        <f t="shared" si="107"/>
        <v>0.65188931843561626</v>
      </c>
      <c r="J278" s="66">
        <f t="shared" si="107"/>
        <v>0.65188931843561626</v>
      </c>
      <c r="K278" s="66">
        <f t="shared" si="107"/>
        <v>0.65188931843561626</v>
      </c>
      <c r="L278" s="66">
        <f t="shared" si="107"/>
        <v>0.65188931843561626</v>
      </c>
      <c r="M278" s="66">
        <f t="shared" si="107"/>
        <v>0.65188931843561626</v>
      </c>
      <c r="N278" s="66">
        <f t="shared" si="107"/>
        <v>0.65188931843561626</v>
      </c>
      <c r="O278" s="66">
        <f t="shared" si="107"/>
        <v>0.65188931843561626</v>
      </c>
      <c r="P278" s="66">
        <f t="shared" si="107"/>
        <v>0.65188931843561626</v>
      </c>
      <c r="Q278" s="66">
        <f t="shared" si="107"/>
        <v>0.65188931843561626</v>
      </c>
      <c r="R278" s="66">
        <f t="shared" si="107"/>
        <v>0.65188931843561626</v>
      </c>
      <c r="S278" s="66">
        <f t="shared" si="107"/>
        <v>0.65188931843561626</v>
      </c>
      <c r="T278" s="66">
        <f t="shared" si="107"/>
        <v>0.65188931843561626</v>
      </c>
      <c r="U278" s="66">
        <f t="shared" si="107"/>
        <v>0.65188931843561626</v>
      </c>
      <c r="V278" s="66">
        <f t="shared" si="107"/>
        <v>0.65188931843561626</v>
      </c>
      <c r="W278" s="66">
        <f t="shared" si="107"/>
        <v>0.65188931843561626</v>
      </c>
      <c r="X278" s="66">
        <f t="shared" si="107"/>
        <v>0.65188931843561626</v>
      </c>
      <c r="Y278" s="66">
        <f t="shared" si="107"/>
        <v>0.65188931843561626</v>
      </c>
      <c r="Z278" s="66">
        <f t="shared" si="107"/>
        <v>0.65188931843561626</v>
      </c>
      <c r="AA278" s="66">
        <f t="shared" si="107"/>
        <v>0.65188931843561626</v>
      </c>
      <c r="AB278" s="66">
        <f t="shared" si="107"/>
        <v>0.65188931843561626</v>
      </c>
      <c r="AC278" s="66">
        <f t="shared" si="107"/>
        <v>0.65188931843561626</v>
      </c>
    </row>
    <row r="279" spans="1:29" x14ac:dyDescent="0.25">
      <c r="A279" s="30" t="str">
        <f t="shared" si="104"/>
        <v>Residual value (costumization)</v>
      </c>
      <c r="B279" s="66">
        <f>((1+B249)^B257)*B249/(((1+B249)^B257)-1)*(B248)/B261</f>
        <v>-6.5188931843561615E-2</v>
      </c>
      <c r="C279" s="66">
        <f t="shared" ref="C279:AC279" si="108">((1+C249)^C257)*C249/(((1+C249)^C257)-1)*(C248)/C261</f>
        <v>-6.5188931843561615E-2</v>
      </c>
      <c r="D279" s="66">
        <f t="shared" si="108"/>
        <v>-6.5188931843561615E-2</v>
      </c>
      <c r="E279" s="66">
        <f t="shared" si="108"/>
        <v>-6.5188931843561615E-2</v>
      </c>
      <c r="F279" s="66">
        <f t="shared" si="108"/>
        <v>-6.5188931843561615E-2</v>
      </c>
      <c r="G279" s="66">
        <f t="shared" si="108"/>
        <v>-6.5188931843561615E-2</v>
      </c>
      <c r="H279" s="66">
        <f t="shared" si="108"/>
        <v>-6.5188931843561615E-2</v>
      </c>
      <c r="I279" s="66">
        <f t="shared" si="108"/>
        <v>-6.5188931843561615E-2</v>
      </c>
      <c r="J279" s="66">
        <f t="shared" si="108"/>
        <v>-6.5188931843561615E-2</v>
      </c>
      <c r="K279" s="66">
        <f t="shared" si="108"/>
        <v>-6.5188931843561615E-2</v>
      </c>
      <c r="L279" s="66">
        <f t="shared" si="108"/>
        <v>-6.5188931843561615E-2</v>
      </c>
      <c r="M279" s="66">
        <f t="shared" si="108"/>
        <v>-6.5188931843561615E-2</v>
      </c>
      <c r="N279" s="66">
        <f t="shared" si="108"/>
        <v>-6.5188931843561615E-2</v>
      </c>
      <c r="O279" s="66">
        <f t="shared" si="108"/>
        <v>-6.5188931843561615E-2</v>
      </c>
      <c r="P279" s="66">
        <f t="shared" si="108"/>
        <v>-6.5188931843561615E-2</v>
      </c>
      <c r="Q279" s="66">
        <f t="shared" si="108"/>
        <v>-6.5188931843561615E-2</v>
      </c>
      <c r="R279" s="66">
        <f t="shared" si="108"/>
        <v>-6.5188931843561615E-2</v>
      </c>
      <c r="S279" s="66">
        <f t="shared" si="108"/>
        <v>-6.5188931843561615E-2</v>
      </c>
      <c r="T279" s="66">
        <f t="shared" si="108"/>
        <v>-6.5188931843561615E-2</v>
      </c>
      <c r="U279" s="66">
        <f t="shared" si="108"/>
        <v>-6.5188931843561615E-2</v>
      </c>
      <c r="V279" s="66">
        <f t="shared" si="108"/>
        <v>-6.5188931843561615E-2</v>
      </c>
      <c r="W279" s="66">
        <f t="shared" si="108"/>
        <v>-6.5188931843561615E-2</v>
      </c>
      <c r="X279" s="66">
        <f t="shared" si="108"/>
        <v>-6.5188931843561615E-2</v>
      </c>
      <c r="Y279" s="66">
        <f t="shared" si="108"/>
        <v>-6.5188931843561615E-2</v>
      </c>
      <c r="Z279" s="66">
        <f t="shared" si="108"/>
        <v>-6.5188931843561615E-2</v>
      </c>
      <c r="AA279" s="66">
        <f t="shared" si="108"/>
        <v>-6.5188931843561615E-2</v>
      </c>
      <c r="AB279" s="66">
        <f t="shared" si="108"/>
        <v>-6.5188931843561615E-2</v>
      </c>
      <c r="AC279" s="66">
        <f t="shared" si="108"/>
        <v>-6.5188931843561615E-2</v>
      </c>
    </row>
    <row r="280" spans="1:29" x14ac:dyDescent="0.25">
      <c r="A280" s="30" t="str">
        <f t="shared" si="104"/>
        <v>Opex fix (admin, crew, insurance)</v>
      </c>
      <c r="B280" s="66">
        <f>B250/B261</f>
        <v>10.068627450980392</v>
      </c>
      <c r="C280" s="66">
        <f t="shared" ref="C280:AC280" si="109">C250/C261</f>
        <v>10.068627450980392</v>
      </c>
      <c r="D280" s="66">
        <f t="shared" si="109"/>
        <v>10.068627450980392</v>
      </c>
      <c r="E280" s="66">
        <f t="shared" si="109"/>
        <v>10.068627450980392</v>
      </c>
      <c r="F280" s="66">
        <f t="shared" si="109"/>
        <v>10.068627450980392</v>
      </c>
      <c r="G280" s="66">
        <f t="shared" si="109"/>
        <v>10.068627450980392</v>
      </c>
      <c r="H280" s="66">
        <f t="shared" si="109"/>
        <v>10.068627450980392</v>
      </c>
      <c r="I280" s="66">
        <f t="shared" si="109"/>
        <v>10.068627450980392</v>
      </c>
      <c r="J280" s="66">
        <f t="shared" si="109"/>
        <v>10.068627450980392</v>
      </c>
      <c r="K280" s="66">
        <f t="shared" si="109"/>
        <v>10.068627450980392</v>
      </c>
      <c r="L280" s="66">
        <f t="shared" si="109"/>
        <v>10.068627450980392</v>
      </c>
      <c r="M280" s="66">
        <f t="shared" si="109"/>
        <v>10.068627450980392</v>
      </c>
      <c r="N280" s="66">
        <f t="shared" si="109"/>
        <v>10.068627450980392</v>
      </c>
      <c r="O280" s="66">
        <f t="shared" si="109"/>
        <v>10.068627450980392</v>
      </c>
      <c r="P280" s="66">
        <f t="shared" si="109"/>
        <v>10.068627450980392</v>
      </c>
      <c r="Q280" s="66">
        <f t="shared" si="109"/>
        <v>10.068627450980392</v>
      </c>
      <c r="R280" s="66">
        <f t="shared" si="109"/>
        <v>10.068627450980392</v>
      </c>
      <c r="S280" s="66">
        <f t="shared" si="109"/>
        <v>10.068627450980392</v>
      </c>
      <c r="T280" s="66">
        <f t="shared" si="109"/>
        <v>10.068627450980392</v>
      </c>
      <c r="U280" s="66">
        <f t="shared" si="109"/>
        <v>10.068627450980392</v>
      </c>
      <c r="V280" s="66">
        <f t="shared" si="109"/>
        <v>10.068627450980392</v>
      </c>
      <c r="W280" s="66">
        <f t="shared" si="109"/>
        <v>10.068627450980392</v>
      </c>
      <c r="X280" s="66">
        <f t="shared" si="109"/>
        <v>10.068627450980392</v>
      </c>
      <c r="Y280" s="66">
        <f t="shared" si="109"/>
        <v>10.068627450980392</v>
      </c>
      <c r="Z280" s="66">
        <f t="shared" si="109"/>
        <v>10.068627450980392</v>
      </c>
      <c r="AA280" s="66">
        <f t="shared" si="109"/>
        <v>10.068627450980392</v>
      </c>
      <c r="AB280" s="66">
        <f t="shared" si="109"/>
        <v>10.068627450980392</v>
      </c>
      <c r="AC280" s="66">
        <f t="shared" si="109"/>
        <v>10.068627450980392</v>
      </c>
    </row>
    <row r="281" spans="1:29" x14ac:dyDescent="0.25">
      <c r="A281" s="30" t="str">
        <f t="shared" si="104"/>
        <v>Opex maintenance &amp; repair</v>
      </c>
      <c r="B281" s="66">
        <f>B251/B261</f>
        <v>4.0686274509803919</v>
      </c>
      <c r="C281" s="66">
        <f t="shared" ref="C281:AC281" si="110">C251/C261</f>
        <v>4.0686274509803919</v>
      </c>
      <c r="D281" s="66">
        <f t="shared" si="110"/>
        <v>4.0686274509803919</v>
      </c>
      <c r="E281" s="66">
        <f t="shared" si="110"/>
        <v>4.0686274509803919</v>
      </c>
      <c r="F281" s="66">
        <f t="shared" si="110"/>
        <v>4.0686274509803919</v>
      </c>
      <c r="G281" s="66">
        <f t="shared" si="110"/>
        <v>4.0686274509803919</v>
      </c>
      <c r="H281" s="66">
        <f t="shared" si="110"/>
        <v>4.0686274509803919</v>
      </c>
      <c r="I281" s="66">
        <f t="shared" si="110"/>
        <v>4.0686274509803919</v>
      </c>
      <c r="J281" s="66">
        <f t="shared" si="110"/>
        <v>4.0686274509803919</v>
      </c>
      <c r="K281" s="66">
        <f t="shared" si="110"/>
        <v>4.0686274509803919</v>
      </c>
      <c r="L281" s="66">
        <f t="shared" si="110"/>
        <v>4.0686274509803919</v>
      </c>
      <c r="M281" s="66">
        <f t="shared" si="110"/>
        <v>4.0686274509803919</v>
      </c>
      <c r="N281" s="66">
        <f t="shared" si="110"/>
        <v>4.0686274509803919</v>
      </c>
      <c r="O281" s="66">
        <f t="shared" si="110"/>
        <v>4.0686274509803919</v>
      </c>
      <c r="P281" s="66">
        <f t="shared" si="110"/>
        <v>4.0686274509803919</v>
      </c>
      <c r="Q281" s="66">
        <f t="shared" si="110"/>
        <v>4.0686274509803919</v>
      </c>
      <c r="R281" s="66">
        <f t="shared" si="110"/>
        <v>4.0686274509803919</v>
      </c>
      <c r="S281" s="66">
        <f t="shared" si="110"/>
        <v>4.0686274509803919</v>
      </c>
      <c r="T281" s="66">
        <f t="shared" si="110"/>
        <v>4.0686274509803919</v>
      </c>
      <c r="U281" s="66">
        <f t="shared" si="110"/>
        <v>4.0686274509803919</v>
      </c>
      <c r="V281" s="66">
        <f t="shared" si="110"/>
        <v>4.0686274509803919</v>
      </c>
      <c r="W281" s="66">
        <f t="shared" si="110"/>
        <v>4.0686274509803919</v>
      </c>
      <c r="X281" s="66">
        <f t="shared" si="110"/>
        <v>4.0686274509803919</v>
      </c>
      <c r="Y281" s="66">
        <f t="shared" si="110"/>
        <v>4.0686274509803919</v>
      </c>
      <c r="Z281" s="66">
        <f t="shared" si="110"/>
        <v>4.0686274509803919</v>
      </c>
      <c r="AA281" s="66">
        <f t="shared" si="110"/>
        <v>4.0686274509803919</v>
      </c>
      <c r="AB281" s="66">
        <f t="shared" si="110"/>
        <v>4.0686274509803919</v>
      </c>
      <c r="AC281" s="66">
        <f t="shared" si="110"/>
        <v>4.0686274509803919</v>
      </c>
    </row>
    <row r="282" spans="1:29" x14ac:dyDescent="0.25">
      <c r="A282" s="30" t="str">
        <f t="shared" si="104"/>
        <v>Opex var (mode-fees)</v>
      </c>
      <c r="B282" s="66">
        <f>B252*B261/B261</f>
        <v>0.81280569096848254</v>
      </c>
      <c r="C282" s="66">
        <f t="shared" ref="C282:AC282" si="111">C252*C261/C261</f>
        <v>0.81280569096848254</v>
      </c>
      <c r="D282" s="66">
        <f t="shared" si="111"/>
        <v>0.81280569096848254</v>
      </c>
      <c r="E282" s="66">
        <f t="shared" si="111"/>
        <v>0.81280569096848254</v>
      </c>
      <c r="F282" s="66">
        <f t="shared" si="111"/>
        <v>0.81280569096848254</v>
      </c>
      <c r="G282" s="66">
        <f t="shared" si="111"/>
        <v>0.81280569096848254</v>
      </c>
      <c r="H282" s="66">
        <f t="shared" si="111"/>
        <v>0.81280569096848254</v>
      </c>
      <c r="I282" s="66">
        <f t="shared" si="111"/>
        <v>0.81280569096848254</v>
      </c>
      <c r="J282" s="66">
        <f t="shared" si="111"/>
        <v>0.81280569096848254</v>
      </c>
      <c r="K282" s="66">
        <f t="shared" si="111"/>
        <v>0.81280569096848254</v>
      </c>
      <c r="L282" s="66">
        <f t="shared" si="111"/>
        <v>0.81280569096848254</v>
      </c>
      <c r="M282" s="66">
        <f t="shared" si="111"/>
        <v>0.81280569096848254</v>
      </c>
      <c r="N282" s="66">
        <f t="shared" si="111"/>
        <v>0.81280569096848254</v>
      </c>
      <c r="O282" s="66">
        <f t="shared" si="111"/>
        <v>0.81280569096848254</v>
      </c>
      <c r="P282" s="66">
        <f t="shared" si="111"/>
        <v>0.81280569096848254</v>
      </c>
      <c r="Q282" s="66">
        <f t="shared" si="111"/>
        <v>0.81280569096848254</v>
      </c>
      <c r="R282" s="66">
        <f t="shared" si="111"/>
        <v>0.81280569096848254</v>
      </c>
      <c r="S282" s="66">
        <f t="shared" si="111"/>
        <v>0.81280569096848254</v>
      </c>
      <c r="T282" s="66">
        <f t="shared" si="111"/>
        <v>0.81280569096848254</v>
      </c>
      <c r="U282" s="66">
        <f t="shared" si="111"/>
        <v>0.81280569096848254</v>
      </c>
      <c r="V282" s="66">
        <f t="shared" si="111"/>
        <v>0.81280569096848254</v>
      </c>
      <c r="W282" s="66">
        <f t="shared" si="111"/>
        <v>0.81280569096848254</v>
      </c>
      <c r="X282" s="66">
        <f t="shared" si="111"/>
        <v>0.81280569096848254</v>
      </c>
      <c r="Y282" s="66">
        <f t="shared" si="111"/>
        <v>0.81280569096848254</v>
      </c>
      <c r="Z282" s="66">
        <f t="shared" si="111"/>
        <v>0.81280569096848254</v>
      </c>
      <c r="AA282" s="66">
        <f t="shared" si="111"/>
        <v>0.81280569096848254</v>
      </c>
      <c r="AB282" s="66">
        <f t="shared" si="111"/>
        <v>0.81280569096848254</v>
      </c>
      <c r="AC282" s="66">
        <f t="shared" si="111"/>
        <v>0.81280569096848254</v>
      </c>
    </row>
    <row r="283" spans="1:29" x14ac:dyDescent="0.25">
      <c r="A283" s="30" t="str">
        <f t="shared" si="104"/>
        <v>Fuel Cost</v>
      </c>
      <c r="B283" s="66">
        <f>B253*B254*B261/B261</f>
        <v>20.312558767512652</v>
      </c>
      <c r="C283" s="66">
        <f t="shared" ref="C283:AC283" si="112">C253*C254*C261/C261</f>
        <v>20.31115653277455</v>
      </c>
      <c r="D283" s="66">
        <f t="shared" si="112"/>
        <v>20.309149264979219</v>
      </c>
      <c r="E283" s="66">
        <f t="shared" si="112"/>
        <v>20.306277727240616</v>
      </c>
      <c r="F283" s="66">
        <f t="shared" si="112"/>
        <v>20.302173666175886</v>
      </c>
      <c r="G283" s="66">
        <f t="shared" si="112"/>
        <v>20.296316284112145</v>
      </c>
      <c r="H283" s="66">
        <f t="shared" si="112"/>
        <v>20.287973935080256</v>
      </c>
      <c r="I283" s="66">
        <f t="shared" si="112"/>
        <v>20.276128995345641</v>
      </c>
      <c r="J283" s="66">
        <f t="shared" si="112"/>
        <v>20.259387311256784</v>
      </c>
      <c r="K283" s="66">
        <f t="shared" si="112"/>
        <v>20.235882288841037</v>
      </c>
      <c r="L283" s="66">
        <f t="shared" si="112"/>
        <v>20.203201775095792</v>
      </c>
      <c r="M283" s="66">
        <f t="shared" si="112"/>
        <v>20.158398013331499</v>
      </c>
      <c r="N283" s="66">
        <f t="shared" si="112"/>
        <v>20.098186558497318</v>
      </c>
      <c r="O283" s="66">
        <f t="shared" si="112"/>
        <v>20.019478555031419</v>
      </c>
      <c r="P283" s="66">
        <f t="shared" si="112"/>
        <v>19.920359128045405</v>
      </c>
      <c r="Q283" s="66">
        <f t="shared" si="112"/>
        <v>19.801418660885769</v>
      </c>
      <c r="R283" s="66">
        <f t="shared" si="112"/>
        <v>19.666923914225578</v>
      </c>
      <c r="S283" s="66">
        <f t="shared" si="112"/>
        <v>19.524938361994469</v>
      </c>
      <c r="T283" s="66">
        <f t="shared" si="112"/>
        <v>19.385746819854742</v>
      </c>
      <c r="U283" s="66">
        <f t="shared" si="112"/>
        <v>19.259037893988253</v>
      </c>
      <c r="V283" s="66">
        <f t="shared" si="112"/>
        <v>19.151353350699775</v>
      </c>
      <c r="W283" s="66">
        <f t="shared" si="112"/>
        <v>19.065117316734753</v>
      </c>
      <c r="X283" s="66">
        <f t="shared" si="112"/>
        <v>18.999315395391122</v>
      </c>
      <c r="Y283" s="66">
        <f t="shared" si="112"/>
        <v>18.950945705881832</v>
      </c>
      <c r="Z283" s="66">
        <f t="shared" si="112"/>
        <v>18.916362077630755</v>
      </c>
      <c r="AA283" s="66">
        <f t="shared" si="112"/>
        <v>18.892124061524882</v>
      </c>
      <c r="AB283" s="66">
        <f t="shared" si="112"/>
        <v>18.875374102610827</v>
      </c>
      <c r="AC283" s="66">
        <f t="shared" si="112"/>
        <v>18.86391127104347</v>
      </c>
    </row>
    <row r="284" spans="1:29" ht="15.75" thickBot="1" x14ac:dyDescent="0.3">
      <c r="A284" s="59" t="str">
        <f>A235</f>
        <v>Emission Cost</v>
      </c>
      <c r="B284" s="66">
        <f>B255</f>
        <v>18.267003557738562</v>
      </c>
      <c r="C284" s="66">
        <f t="shared" ref="C284:AC284" si="113">C255</f>
        <v>18.305790458980148</v>
      </c>
      <c r="D284" s="66">
        <f t="shared" si="113"/>
        <v>18.361313044198909</v>
      </c>
      <c r="E284" s="66">
        <f t="shared" si="113"/>
        <v>18.440742006877084</v>
      </c>
      <c r="F284" s="66">
        <f t="shared" si="113"/>
        <v>18.554263521414992</v>
      </c>
      <c r="G284" s="66">
        <f t="shared" si="113"/>
        <v>18.716283255677226</v>
      </c>
      <c r="H284" s="66">
        <f t="shared" si="113"/>
        <v>18.947039105058323</v>
      </c>
      <c r="I284" s="66">
        <f t="shared" si="113"/>
        <v>19.274679331915838</v>
      </c>
      <c r="J284" s="66">
        <f t="shared" si="113"/>
        <v>19.737767308363324</v>
      </c>
      <c r="K284" s="66">
        <f t="shared" si="113"/>
        <v>20.387934472496433</v>
      </c>
      <c r="L284" s="66">
        <f t="shared" si="113"/>
        <v>21.291902848630563</v>
      </c>
      <c r="M284" s="66">
        <f t="shared" si="113"/>
        <v>22.53120967478624</v>
      </c>
      <c r="N284" s="66">
        <f t="shared" si="113"/>
        <v>24.196705250388863</v>
      </c>
      <c r="O284" s="66">
        <f t="shared" si="113"/>
        <v>26.37382971778402</v>
      </c>
      <c r="P284" s="66">
        <f t="shared" si="113"/>
        <v>29.115550002671711</v>
      </c>
      <c r="Q284" s="66">
        <f t="shared" si="113"/>
        <v>32.405535643443841</v>
      </c>
      <c r="R284" s="66">
        <f t="shared" si="113"/>
        <v>36.125764728112543</v>
      </c>
      <c r="S284" s="66">
        <f t="shared" si="113"/>
        <v>40.053195309081424</v>
      </c>
      <c r="T284" s="66">
        <f t="shared" si="113"/>
        <v>43.903341402269703</v>
      </c>
      <c r="U284" s="66">
        <f t="shared" si="113"/>
        <v>47.40820864059085</v>
      </c>
      <c r="V284" s="66">
        <f t="shared" si="113"/>
        <v>50.386846690471195</v>
      </c>
      <c r="W284" s="66">
        <f t="shared" si="113"/>
        <v>52.772202324574174</v>
      </c>
      <c r="X284" s="66">
        <f t="shared" si="113"/>
        <v>54.592334543032798</v>
      </c>
      <c r="Y284" s="66">
        <f t="shared" si="113"/>
        <v>55.93027769841482</v>
      </c>
      <c r="Z284" s="66">
        <f t="shared" si="113"/>
        <v>56.886887698938416</v>
      </c>
      <c r="AA284" s="66">
        <f t="shared" si="113"/>
        <v>57.557330037474898</v>
      </c>
      <c r="AB284" s="66">
        <f t="shared" si="113"/>
        <v>58.020646902010256</v>
      </c>
      <c r="AC284" s="66">
        <f t="shared" si="113"/>
        <v>58.337717720376737</v>
      </c>
    </row>
    <row r="285" spans="1:29" ht="15.75" thickBot="1" x14ac:dyDescent="0.3">
      <c r="A285" s="31" t="s">
        <v>63</v>
      </c>
      <c r="B285" s="76">
        <f>B276+B277+B278-B279+B280+B281+B282+B283+B284</f>
        <v>63.048280753509204</v>
      </c>
      <c r="C285" s="76">
        <f t="shared" ref="C285:AC285" si="114">C276+C277+C278-C279+C280+C281+C282+C283+C284</f>
        <v>63.08612996560543</v>
      </c>
      <c r="D285" s="76">
        <f t="shared" si="114"/>
        <v>63.140310269697963</v>
      </c>
      <c r="E285" s="76">
        <f t="shared" si="114"/>
        <v>63.217819004831654</v>
      </c>
      <c r="F285" s="76">
        <f t="shared" si="114"/>
        <v>63.328596090489214</v>
      </c>
      <c r="G285" s="76">
        <f t="shared" si="114"/>
        <v>63.486698931643538</v>
      </c>
      <c r="H285" s="76">
        <f t="shared" si="114"/>
        <v>63.711876164319904</v>
      </c>
      <c r="I285" s="76">
        <f t="shared" si="114"/>
        <v>64.031595555161374</v>
      </c>
      <c r="J285" s="76">
        <f t="shared" si="114"/>
        <v>64.483488191043932</v>
      </c>
      <c r="K285" s="76">
        <f t="shared" si="114"/>
        <v>65.117937299004552</v>
      </c>
      <c r="L285" s="76">
        <f t="shared" si="114"/>
        <v>66.000051871227868</v>
      </c>
      <c r="M285" s="76">
        <f t="shared" si="114"/>
        <v>67.209397949774228</v>
      </c>
      <c r="N285" s="76">
        <f t="shared" si="114"/>
        <v>68.834629491053846</v>
      </c>
      <c r="O285" s="76">
        <f t="shared" si="114"/>
        <v>70.95912108714947</v>
      </c>
      <c r="P285" s="76">
        <f t="shared" si="114"/>
        <v>73.634559166745305</v>
      </c>
      <c r="Q285" s="76">
        <f t="shared" si="114"/>
        <v>76.845008063798176</v>
      </c>
      <c r="R285" s="76">
        <f t="shared" si="114"/>
        <v>80.475299094143125</v>
      </c>
      <c r="S285" s="76">
        <f t="shared" si="114"/>
        <v>84.307782440168978</v>
      </c>
      <c r="T285" s="76">
        <f t="shared" si="114"/>
        <v>88.064849682404059</v>
      </c>
      <c r="U285" s="76">
        <f t="shared" si="114"/>
        <v>91.484985326808925</v>
      </c>
      <c r="V285" s="76">
        <f t="shared" si="114"/>
        <v>94.391613587871433</v>
      </c>
      <c r="W285" s="76">
        <f t="shared" si="114"/>
        <v>96.719302277353847</v>
      </c>
      <c r="X285" s="76">
        <f t="shared" si="114"/>
        <v>98.495432057625322</v>
      </c>
      <c r="Y285" s="76">
        <f t="shared" si="114"/>
        <v>99.801029891939152</v>
      </c>
      <c r="Z285" s="76">
        <f t="shared" si="114"/>
        <v>100.73451345582788</v>
      </c>
      <c r="AA285" s="76">
        <f t="shared" si="114"/>
        <v>101.38874757758742</v>
      </c>
      <c r="AB285" s="76">
        <f t="shared" si="114"/>
        <v>101.84086356809505</v>
      </c>
      <c r="AC285" s="76">
        <f t="shared" si="114"/>
        <v>102.15026907020338</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115">A264</f>
        <v>Capex vehicle</v>
      </c>
      <c r="B288" s="65">
        <f>((1+B249)^B256)*B249/(((1+B249)^B256)-1)*(B245)/B261/(B258)</f>
        <v>1.0347449498978036E-3</v>
      </c>
      <c r="C288" s="65">
        <f t="shared" ref="C288:AC288" si="116">((1+C249)^C256)*C249/(((1+C249)^C256)-1)*(C245)/C261/(C258)</f>
        <v>1.0347449498978036E-3</v>
      </c>
      <c r="D288" s="65">
        <f t="shared" si="116"/>
        <v>1.0347449498978036E-3</v>
      </c>
      <c r="E288" s="65">
        <f t="shared" si="116"/>
        <v>1.0347449498978036E-3</v>
      </c>
      <c r="F288" s="65">
        <f t="shared" si="116"/>
        <v>1.0347449498978036E-3</v>
      </c>
      <c r="G288" s="65">
        <f t="shared" si="116"/>
        <v>1.0347449498978036E-3</v>
      </c>
      <c r="H288" s="65">
        <f t="shared" si="116"/>
        <v>1.0347449498978036E-3</v>
      </c>
      <c r="I288" s="65">
        <f t="shared" si="116"/>
        <v>1.0347449498978036E-3</v>
      </c>
      <c r="J288" s="65">
        <f t="shared" si="116"/>
        <v>1.0347449498978036E-3</v>
      </c>
      <c r="K288" s="65">
        <f t="shared" si="116"/>
        <v>1.0347449498978036E-3</v>
      </c>
      <c r="L288" s="65">
        <f t="shared" si="116"/>
        <v>1.0347449498978036E-3</v>
      </c>
      <c r="M288" s="65">
        <f t="shared" si="116"/>
        <v>1.0347449498978036E-3</v>
      </c>
      <c r="N288" s="65">
        <f t="shared" si="116"/>
        <v>1.0347449498978036E-3</v>
      </c>
      <c r="O288" s="65">
        <f t="shared" si="116"/>
        <v>1.0347449498978036E-3</v>
      </c>
      <c r="P288" s="65">
        <f t="shared" si="116"/>
        <v>1.0347449498978036E-3</v>
      </c>
      <c r="Q288" s="65">
        <f t="shared" si="116"/>
        <v>1.0347449498978036E-3</v>
      </c>
      <c r="R288" s="65">
        <f t="shared" si="116"/>
        <v>1.0347449498978036E-3</v>
      </c>
      <c r="S288" s="65">
        <f t="shared" si="116"/>
        <v>1.0347449498978036E-3</v>
      </c>
      <c r="T288" s="65">
        <f t="shared" si="116"/>
        <v>1.0347449498978036E-3</v>
      </c>
      <c r="U288" s="65">
        <f t="shared" si="116"/>
        <v>1.0347449498978036E-3</v>
      </c>
      <c r="V288" s="65">
        <f t="shared" si="116"/>
        <v>1.0347449498978036E-3</v>
      </c>
      <c r="W288" s="65">
        <f t="shared" si="116"/>
        <v>1.0347449498978036E-3</v>
      </c>
      <c r="X288" s="65">
        <f t="shared" si="116"/>
        <v>1.0347449498978036E-3</v>
      </c>
      <c r="Y288" s="65">
        <f t="shared" si="116"/>
        <v>1.0347449498978036E-3</v>
      </c>
      <c r="Z288" s="65">
        <f t="shared" si="116"/>
        <v>1.0347449498978036E-3</v>
      </c>
      <c r="AA288" s="65">
        <f t="shared" si="116"/>
        <v>1.0347449498978036E-3</v>
      </c>
      <c r="AB288" s="65">
        <f t="shared" si="116"/>
        <v>1.0347449498978036E-3</v>
      </c>
      <c r="AC288" s="65">
        <f t="shared" si="116"/>
        <v>1.0347449498978036E-3</v>
      </c>
    </row>
    <row r="289" spans="1:29" x14ac:dyDescent="0.25">
      <c r="A289" s="30" t="str">
        <f t="shared" si="115"/>
        <v>Residual value (vehicle)</v>
      </c>
      <c r="B289" s="68">
        <f>((1+B249)^B256)*B249/(((1+B249)^B256)-1)*(B246)/B261/(B258)</f>
        <v>-1.0336086682377807E-4</v>
      </c>
      <c r="C289" s="68">
        <f t="shared" ref="C289:AC289" si="117">((1+C249)^C256)*C249/(((1+C249)^C256)-1)*(C246)/C261/(C258)</f>
        <v>-1.0331170855999495E-4</v>
      </c>
      <c r="D289" s="68">
        <f t="shared" si="117"/>
        <v>-1.0324133960030145E-4</v>
      </c>
      <c r="E289" s="68">
        <f t="shared" si="117"/>
        <v>-1.0314067185489343E-4</v>
      </c>
      <c r="F289" s="68">
        <f t="shared" si="117"/>
        <v>-1.0299679543326449E-4</v>
      </c>
      <c r="G289" s="68">
        <f t="shared" si="117"/>
        <v>-1.0279145268661591E-4</v>
      </c>
      <c r="H289" s="68">
        <f t="shared" si="117"/>
        <v>-1.0249899423929835E-4</v>
      </c>
      <c r="I289" s="68">
        <f t="shared" si="117"/>
        <v>-1.0208374516854875E-4</v>
      </c>
      <c r="J289" s="68">
        <f t="shared" si="117"/>
        <v>-1.0149683050993223E-4</v>
      </c>
      <c r="K289" s="68">
        <f t="shared" si="117"/>
        <v>-1.0067281291805218E-4</v>
      </c>
      <c r="L289" s="68">
        <f t="shared" si="117"/>
        <v>-9.9527129337690295E-5</v>
      </c>
      <c r="M289" s="68">
        <f t="shared" si="117"/>
        <v>-9.7956440009122124E-5</v>
      </c>
      <c r="N289" s="68">
        <f t="shared" si="117"/>
        <v>-9.5845601859790468E-5</v>
      </c>
      <c r="O289" s="68">
        <f t="shared" si="117"/>
        <v>-9.3086328614673487E-5</v>
      </c>
      <c r="P289" s="68">
        <f t="shared" si="117"/>
        <v>-8.9611490340159677E-5</v>
      </c>
      <c r="Q289" s="68">
        <f t="shared" si="117"/>
        <v>-8.5441784155991385E-5</v>
      </c>
      <c r="R289" s="68">
        <f t="shared" si="117"/>
        <v>-8.0726790257955685E-5</v>
      </c>
      <c r="S289" s="68">
        <f t="shared" si="117"/>
        <v>-7.5749190544932557E-5</v>
      </c>
      <c r="T289" s="68">
        <f t="shared" si="117"/>
        <v>-7.086954068392259E-5</v>
      </c>
      <c r="U289" s="68">
        <f t="shared" si="117"/>
        <v>-6.6427494974906487E-5</v>
      </c>
      <c r="V289" s="68">
        <f t="shared" si="117"/>
        <v>-6.2652388681716054E-5</v>
      </c>
      <c r="W289" s="68">
        <f t="shared" si="117"/>
        <v>-5.9629204624102501E-5</v>
      </c>
      <c r="X289" s="68">
        <f t="shared" si="117"/>
        <v>-5.7322381009659713E-5</v>
      </c>
      <c r="Y289" s="68">
        <f t="shared" si="117"/>
        <v>-5.5626680645522941E-5</v>
      </c>
      <c r="Z289" s="68">
        <f t="shared" si="117"/>
        <v>-5.4414279416293167E-5</v>
      </c>
      <c r="AA289" s="68">
        <f t="shared" si="117"/>
        <v>-5.3564565201592909E-5</v>
      </c>
      <c r="AB289" s="68">
        <f t="shared" si="117"/>
        <v>-5.2977360451717727E-5</v>
      </c>
      <c r="AC289" s="68">
        <f t="shared" si="117"/>
        <v>-5.2575506979843073E-5</v>
      </c>
    </row>
    <row r="290" spans="1:29" x14ac:dyDescent="0.25">
      <c r="A290" s="30" t="str">
        <f t="shared" si="115"/>
        <v>Capex costumization</v>
      </c>
      <c r="B290" s="66">
        <f>((1+B249)^B257)*B249/(((1+B249)^B257)-1)*(B247)/B261/(B258)</f>
        <v>6.8982996659853576E-5</v>
      </c>
      <c r="C290" s="66">
        <f t="shared" ref="C290:AC290" si="118">((1+C249)^C257)*C249/(((1+C249)^C257)-1)*(C247)/C261/(C258)</f>
        <v>6.8982996659853576E-5</v>
      </c>
      <c r="D290" s="66">
        <f t="shared" si="118"/>
        <v>6.8982996659853576E-5</v>
      </c>
      <c r="E290" s="66">
        <f t="shared" si="118"/>
        <v>6.8982996659853576E-5</v>
      </c>
      <c r="F290" s="66">
        <f t="shared" si="118"/>
        <v>6.8982996659853576E-5</v>
      </c>
      <c r="G290" s="66">
        <f t="shared" si="118"/>
        <v>6.8982996659853576E-5</v>
      </c>
      <c r="H290" s="66">
        <f t="shared" si="118"/>
        <v>6.8982996659853576E-5</v>
      </c>
      <c r="I290" s="66">
        <f t="shared" si="118"/>
        <v>6.8982996659853576E-5</v>
      </c>
      <c r="J290" s="66">
        <f t="shared" si="118"/>
        <v>6.8982996659853576E-5</v>
      </c>
      <c r="K290" s="66">
        <f t="shared" si="118"/>
        <v>6.8982996659853576E-5</v>
      </c>
      <c r="L290" s="66">
        <f t="shared" si="118"/>
        <v>6.8982996659853576E-5</v>
      </c>
      <c r="M290" s="66">
        <f t="shared" si="118"/>
        <v>6.8982996659853576E-5</v>
      </c>
      <c r="N290" s="66">
        <f t="shared" si="118"/>
        <v>6.8982996659853576E-5</v>
      </c>
      <c r="O290" s="66">
        <f t="shared" si="118"/>
        <v>6.8982996659853576E-5</v>
      </c>
      <c r="P290" s="66">
        <f t="shared" si="118"/>
        <v>6.8982996659853576E-5</v>
      </c>
      <c r="Q290" s="66">
        <f t="shared" si="118"/>
        <v>6.8982996659853576E-5</v>
      </c>
      <c r="R290" s="66">
        <f t="shared" si="118"/>
        <v>6.8982996659853576E-5</v>
      </c>
      <c r="S290" s="66">
        <f t="shared" si="118"/>
        <v>6.8982996659853576E-5</v>
      </c>
      <c r="T290" s="66">
        <f t="shared" si="118"/>
        <v>6.8982996659853576E-5</v>
      </c>
      <c r="U290" s="66">
        <f t="shared" si="118"/>
        <v>6.8982996659853576E-5</v>
      </c>
      <c r="V290" s="66">
        <f t="shared" si="118"/>
        <v>6.8982996659853576E-5</v>
      </c>
      <c r="W290" s="66">
        <f t="shared" si="118"/>
        <v>6.8982996659853576E-5</v>
      </c>
      <c r="X290" s="66">
        <f t="shared" si="118"/>
        <v>6.8982996659853576E-5</v>
      </c>
      <c r="Y290" s="66">
        <f t="shared" si="118"/>
        <v>6.8982996659853576E-5</v>
      </c>
      <c r="Z290" s="66">
        <f t="shared" si="118"/>
        <v>6.8982996659853576E-5</v>
      </c>
      <c r="AA290" s="66">
        <f t="shared" si="118"/>
        <v>6.8982996659853576E-5</v>
      </c>
      <c r="AB290" s="66">
        <f t="shared" si="118"/>
        <v>6.8982996659853576E-5</v>
      </c>
      <c r="AC290" s="66">
        <f t="shared" si="118"/>
        <v>6.8982996659853576E-5</v>
      </c>
    </row>
    <row r="291" spans="1:29" x14ac:dyDescent="0.25">
      <c r="A291" s="30" t="str">
        <f t="shared" si="115"/>
        <v>Residual value (costumization)</v>
      </c>
      <c r="B291" s="69">
        <f>((1+B249)^B257)*B249/(((1+B249)^B257)-1)*(B248)/B261/(B258)</f>
        <v>-6.8982996659853564E-6</v>
      </c>
      <c r="C291" s="69">
        <f t="shared" ref="C291:AC291" si="119">((1+C249)^C257)*C249/(((1+C249)^C257)-1)*(C248)/C261/(C258)</f>
        <v>-6.8982996659853564E-6</v>
      </c>
      <c r="D291" s="69">
        <f t="shared" si="119"/>
        <v>-6.8982996659853564E-6</v>
      </c>
      <c r="E291" s="69">
        <f t="shared" si="119"/>
        <v>-6.8982996659853564E-6</v>
      </c>
      <c r="F291" s="69">
        <f t="shared" si="119"/>
        <v>-6.8982996659853564E-6</v>
      </c>
      <c r="G291" s="69">
        <f t="shared" si="119"/>
        <v>-6.8982996659853564E-6</v>
      </c>
      <c r="H291" s="69">
        <f t="shared" si="119"/>
        <v>-6.8982996659853564E-6</v>
      </c>
      <c r="I291" s="69">
        <f t="shared" si="119"/>
        <v>-6.8982996659853564E-6</v>
      </c>
      <c r="J291" s="69">
        <f t="shared" si="119"/>
        <v>-6.8982996659853564E-6</v>
      </c>
      <c r="K291" s="69">
        <f t="shared" si="119"/>
        <v>-6.8982996659853564E-6</v>
      </c>
      <c r="L291" s="69">
        <f t="shared" si="119"/>
        <v>-6.8982996659853564E-6</v>
      </c>
      <c r="M291" s="69">
        <f t="shared" si="119"/>
        <v>-6.8982996659853564E-6</v>
      </c>
      <c r="N291" s="69">
        <f t="shared" si="119"/>
        <v>-6.8982996659853564E-6</v>
      </c>
      <c r="O291" s="69">
        <f t="shared" si="119"/>
        <v>-6.8982996659853564E-6</v>
      </c>
      <c r="P291" s="69">
        <f t="shared" si="119"/>
        <v>-6.8982996659853564E-6</v>
      </c>
      <c r="Q291" s="69">
        <f t="shared" si="119"/>
        <v>-6.8982996659853564E-6</v>
      </c>
      <c r="R291" s="69">
        <f t="shared" si="119"/>
        <v>-6.8982996659853564E-6</v>
      </c>
      <c r="S291" s="69">
        <f t="shared" si="119"/>
        <v>-6.8982996659853564E-6</v>
      </c>
      <c r="T291" s="69">
        <f t="shared" si="119"/>
        <v>-6.8982996659853564E-6</v>
      </c>
      <c r="U291" s="69">
        <f t="shared" si="119"/>
        <v>-6.8982996659853564E-6</v>
      </c>
      <c r="V291" s="69">
        <f t="shared" si="119"/>
        <v>-6.8982996659853564E-6</v>
      </c>
      <c r="W291" s="69">
        <f t="shared" si="119"/>
        <v>-6.8982996659853564E-6</v>
      </c>
      <c r="X291" s="69">
        <f t="shared" si="119"/>
        <v>-6.8982996659853564E-6</v>
      </c>
      <c r="Y291" s="69">
        <f t="shared" si="119"/>
        <v>-6.8982996659853564E-6</v>
      </c>
      <c r="Z291" s="69">
        <f t="shared" si="119"/>
        <v>-6.8982996659853564E-6</v>
      </c>
      <c r="AA291" s="69">
        <f t="shared" si="119"/>
        <v>-6.8982996659853564E-6</v>
      </c>
      <c r="AB291" s="69">
        <f t="shared" si="119"/>
        <v>-6.8982996659853564E-6</v>
      </c>
      <c r="AC291" s="69">
        <f t="shared" si="119"/>
        <v>-6.8982996659853564E-6</v>
      </c>
    </row>
    <row r="292" spans="1:29" x14ac:dyDescent="0.25">
      <c r="A292" s="30" t="str">
        <f t="shared" si="115"/>
        <v>Opex fix (admin, crew, insurance)</v>
      </c>
      <c r="B292" s="66">
        <f>B250/B261/(B258)</f>
        <v>1.0654632223259673E-3</v>
      </c>
      <c r="C292" s="66">
        <f t="shared" ref="C292:AC292" si="120">C250/C261/(C258)</f>
        <v>1.0654632223259673E-3</v>
      </c>
      <c r="D292" s="66">
        <f t="shared" si="120"/>
        <v>1.0654632223259673E-3</v>
      </c>
      <c r="E292" s="66">
        <f t="shared" si="120"/>
        <v>1.0654632223259673E-3</v>
      </c>
      <c r="F292" s="66">
        <f t="shared" si="120"/>
        <v>1.0654632223259673E-3</v>
      </c>
      <c r="G292" s="66">
        <f t="shared" si="120"/>
        <v>1.0654632223259673E-3</v>
      </c>
      <c r="H292" s="66">
        <f t="shared" si="120"/>
        <v>1.0654632223259673E-3</v>
      </c>
      <c r="I292" s="66">
        <f t="shared" si="120"/>
        <v>1.0654632223259673E-3</v>
      </c>
      <c r="J292" s="66">
        <f t="shared" si="120"/>
        <v>1.0654632223259673E-3</v>
      </c>
      <c r="K292" s="66">
        <f t="shared" si="120"/>
        <v>1.0654632223259673E-3</v>
      </c>
      <c r="L292" s="66">
        <f t="shared" si="120"/>
        <v>1.0654632223259673E-3</v>
      </c>
      <c r="M292" s="66">
        <f t="shared" si="120"/>
        <v>1.0654632223259673E-3</v>
      </c>
      <c r="N292" s="66">
        <f t="shared" si="120"/>
        <v>1.0654632223259673E-3</v>
      </c>
      <c r="O292" s="66">
        <f t="shared" si="120"/>
        <v>1.0654632223259673E-3</v>
      </c>
      <c r="P292" s="66">
        <f t="shared" si="120"/>
        <v>1.0654632223259673E-3</v>
      </c>
      <c r="Q292" s="66">
        <f t="shared" si="120"/>
        <v>1.0654632223259673E-3</v>
      </c>
      <c r="R292" s="66">
        <f t="shared" si="120"/>
        <v>1.0654632223259673E-3</v>
      </c>
      <c r="S292" s="66">
        <f t="shared" si="120"/>
        <v>1.0654632223259673E-3</v>
      </c>
      <c r="T292" s="66">
        <f t="shared" si="120"/>
        <v>1.0654632223259673E-3</v>
      </c>
      <c r="U292" s="66">
        <f t="shared" si="120"/>
        <v>1.0654632223259673E-3</v>
      </c>
      <c r="V292" s="66">
        <f t="shared" si="120"/>
        <v>1.0654632223259673E-3</v>
      </c>
      <c r="W292" s="66">
        <f t="shared" si="120"/>
        <v>1.0654632223259673E-3</v>
      </c>
      <c r="X292" s="66">
        <f t="shared" si="120"/>
        <v>1.0654632223259673E-3</v>
      </c>
      <c r="Y292" s="66">
        <f t="shared" si="120"/>
        <v>1.0654632223259673E-3</v>
      </c>
      <c r="Z292" s="66">
        <f t="shared" si="120"/>
        <v>1.0654632223259673E-3</v>
      </c>
      <c r="AA292" s="66">
        <f t="shared" si="120"/>
        <v>1.0654632223259673E-3</v>
      </c>
      <c r="AB292" s="66">
        <f t="shared" si="120"/>
        <v>1.0654632223259673E-3</v>
      </c>
      <c r="AC292" s="66">
        <f t="shared" si="120"/>
        <v>1.0654632223259673E-3</v>
      </c>
    </row>
    <row r="293" spans="1:29" x14ac:dyDescent="0.25">
      <c r="A293" s="30" t="str">
        <f t="shared" si="115"/>
        <v>Opex maintenance &amp; repair</v>
      </c>
      <c r="B293" s="66">
        <f>B251/B261/(B258)</f>
        <v>4.305425874053325E-4</v>
      </c>
      <c r="C293" s="66">
        <f t="shared" ref="C293:AC293" si="121">C251/C261/(C258)</f>
        <v>4.305425874053325E-4</v>
      </c>
      <c r="D293" s="66">
        <f t="shared" si="121"/>
        <v>4.305425874053325E-4</v>
      </c>
      <c r="E293" s="66">
        <f t="shared" si="121"/>
        <v>4.305425874053325E-4</v>
      </c>
      <c r="F293" s="66">
        <f t="shared" si="121"/>
        <v>4.305425874053325E-4</v>
      </c>
      <c r="G293" s="66">
        <f t="shared" si="121"/>
        <v>4.305425874053325E-4</v>
      </c>
      <c r="H293" s="66">
        <f t="shared" si="121"/>
        <v>4.305425874053325E-4</v>
      </c>
      <c r="I293" s="66">
        <f t="shared" si="121"/>
        <v>4.305425874053325E-4</v>
      </c>
      <c r="J293" s="66">
        <f t="shared" si="121"/>
        <v>4.305425874053325E-4</v>
      </c>
      <c r="K293" s="66">
        <f t="shared" si="121"/>
        <v>4.305425874053325E-4</v>
      </c>
      <c r="L293" s="66">
        <f t="shared" si="121"/>
        <v>4.305425874053325E-4</v>
      </c>
      <c r="M293" s="66">
        <f t="shared" si="121"/>
        <v>4.305425874053325E-4</v>
      </c>
      <c r="N293" s="66">
        <f t="shared" si="121"/>
        <v>4.305425874053325E-4</v>
      </c>
      <c r="O293" s="66">
        <f t="shared" si="121"/>
        <v>4.305425874053325E-4</v>
      </c>
      <c r="P293" s="66">
        <f t="shared" si="121"/>
        <v>4.305425874053325E-4</v>
      </c>
      <c r="Q293" s="66">
        <f t="shared" si="121"/>
        <v>4.305425874053325E-4</v>
      </c>
      <c r="R293" s="66">
        <f t="shared" si="121"/>
        <v>4.305425874053325E-4</v>
      </c>
      <c r="S293" s="66">
        <f t="shared" si="121"/>
        <v>4.305425874053325E-4</v>
      </c>
      <c r="T293" s="66">
        <f t="shared" si="121"/>
        <v>4.305425874053325E-4</v>
      </c>
      <c r="U293" s="66">
        <f t="shared" si="121"/>
        <v>4.305425874053325E-4</v>
      </c>
      <c r="V293" s="66">
        <f t="shared" si="121"/>
        <v>4.305425874053325E-4</v>
      </c>
      <c r="W293" s="66">
        <f t="shared" si="121"/>
        <v>4.305425874053325E-4</v>
      </c>
      <c r="X293" s="66">
        <f t="shared" si="121"/>
        <v>4.305425874053325E-4</v>
      </c>
      <c r="Y293" s="66">
        <f t="shared" si="121"/>
        <v>4.305425874053325E-4</v>
      </c>
      <c r="Z293" s="66">
        <f t="shared" si="121"/>
        <v>4.305425874053325E-4</v>
      </c>
      <c r="AA293" s="66">
        <f t="shared" si="121"/>
        <v>4.305425874053325E-4</v>
      </c>
      <c r="AB293" s="66">
        <f t="shared" si="121"/>
        <v>4.305425874053325E-4</v>
      </c>
      <c r="AC293" s="66">
        <f t="shared" si="121"/>
        <v>4.305425874053325E-4</v>
      </c>
    </row>
    <row r="294" spans="1:29" x14ac:dyDescent="0.25">
      <c r="A294" s="30" t="str">
        <f t="shared" si="115"/>
        <v>Opex var (mode-fees)</v>
      </c>
      <c r="B294" s="66">
        <f>B252*B261/B261/(B258)</f>
        <v>8.6011184229469056E-5</v>
      </c>
      <c r="C294" s="66">
        <f t="shared" ref="C294:AC294" si="122">C252*C261/C261/(C258)</f>
        <v>8.6011184229469056E-5</v>
      </c>
      <c r="D294" s="66">
        <f t="shared" si="122"/>
        <v>8.6011184229469056E-5</v>
      </c>
      <c r="E294" s="66">
        <f t="shared" si="122"/>
        <v>8.6011184229469056E-5</v>
      </c>
      <c r="F294" s="66">
        <f t="shared" si="122"/>
        <v>8.6011184229469056E-5</v>
      </c>
      <c r="G294" s="66">
        <f t="shared" si="122"/>
        <v>8.6011184229469056E-5</v>
      </c>
      <c r="H294" s="66">
        <f t="shared" si="122"/>
        <v>8.6011184229469056E-5</v>
      </c>
      <c r="I294" s="66">
        <f t="shared" si="122"/>
        <v>8.6011184229469056E-5</v>
      </c>
      <c r="J294" s="66">
        <f t="shared" si="122"/>
        <v>8.6011184229469056E-5</v>
      </c>
      <c r="K294" s="66">
        <f t="shared" si="122"/>
        <v>8.6011184229469056E-5</v>
      </c>
      <c r="L294" s="66">
        <f t="shared" si="122"/>
        <v>8.6011184229469056E-5</v>
      </c>
      <c r="M294" s="66">
        <f t="shared" si="122"/>
        <v>8.6011184229469056E-5</v>
      </c>
      <c r="N294" s="66">
        <f t="shared" si="122"/>
        <v>8.6011184229469056E-5</v>
      </c>
      <c r="O294" s="66">
        <f t="shared" si="122"/>
        <v>8.6011184229469056E-5</v>
      </c>
      <c r="P294" s="66">
        <f t="shared" si="122"/>
        <v>8.6011184229469056E-5</v>
      </c>
      <c r="Q294" s="66">
        <f t="shared" si="122"/>
        <v>8.6011184229469056E-5</v>
      </c>
      <c r="R294" s="66">
        <f t="shared" si="122"/>
        <v>8.6011184229469056E-5</v>
      </c>
      <c r="S294" s="66">
        <f t="shared" si="122"/>
        <v>8.6011184229469056E-5</v>
      </c>
      <c r="T294" s="66">
        <f t="shared" si="122"/>
        <v>8.6011184229469056E-5</v>
      </c>
      <c r="U294" s="66">
        <f t="shared" si="122"/>
        <v>8.6011184229469056E-5</v>
      </c>
      <c r="V294" s="66">
        <f t="shared" si="122"/>
        <v>8.6011184229469056E-5</v>
      </c>
      <c r="W294" s="66">
        <f t="shared" si="122"/>
        <v>8.6011184229469056E-5</v>
      </c>
      <c r="X294" s="66">
        <f t="shared" si="122"/>
        <v>8.6011184229469056E-5</v>
      </c>
      <c r="Y294" s="66">
        <f t="shared" si="122"/>
        <v>8.6011184229469056E-5</v>
      </c>
      <c r="Z294" s="66">
        <f t="shared" si="122"/>
        <v>8.6011184229469056E-5</v>
      </c>
      <c r="AA294" s="66">
        <f t="shared" si="122"/>
        <v>8.6011184229469056E-5</v>
      </c>
      <c r="AB294" s="66">
        <f t="shared" si="122"/>
        <v>8.6011184229469056E-5</v>
      </c>
      <c r="AC294" s="66">
        <f t="shared" si="122"/>
        <v>8.6011184229469056E-5</v>
      </c>
    </row>
    <row r="295" spans="1:29" x14ac:dyDescent="0.25">
      <c r="A295" s="30" t="str">
        <f t="shared" si="115"/>
        <v>Fuel Cost</v>
      </c>
      <c r="B295" s="66">
        <f>B253*B254*B261/B261/(B258)</f>
        <v>2.1494771182553069E-3</v>
      </c>
      <c r="C295" s="66">
        <f t="shared" ref="C295:AC295" si="123">C253*C254*C261/C261/(C258)</f>
        <v>2.1493287336269364E-3</v>
      </c>
      <c r="D295" s="66">
        <f t="shared" si="123"/>
        <v>2.1491163243364253E-3</v>
      </c>
      <c r="E295" s="66">
        <f t="shared" si="123"/>
        <v>2.14881245790906E-3</v>
      </c>
      <c r="F295" s="66">
        <f t="shared" si="123"/>
        <v>2.1483781657328982E-3</v>
      </c>
      <c r="G295" s="66">
        <f t="shared" si="123"/>
        <v>2.1477583369430842E-3</v>
      </c>
      <c r="H295" s="66">
        <f t="shared" si="123"/>
        <v>2.1468755486857413E-3</v>
      </c>
      <c r="I295" s="66">
        <f t="shared" si="123"/>
        <v>2.1456221159095916E-3</v>
      </c>
      <c r="J295" s="66">
        <f t="shared" si="123"/>
        <v>2.1438505091277019E-3</v>
      </c>
      <c r="K295" s="66">
        <f t="shared" si="123"/>
        <v>2.1413632051683635E-3</v>
      </c>
      <c r="L295" s="66">
        <f t="shared" si="123"/>
        <v>2.1379049497455864E-3</v>
      </c>
      <c r="M295" s="66">
        <f t="shared" si="123"/>
        <v>2.1331638109345504E-3</v>
      </c>
      <c r="N295" s="66">
        <f t="shared" si="123"/>
        <v>2.1267922284124146E-3</v>
      </c>
      <c r="O295" s="66">
        <f t="shared" si="123"/>
        <v>2.118463339156764E-3</v>
      </c>
      <c r="P295" s="66">
        <f t="shared" si="123"/>
        <v>2.1079745109042758E-3</v>
      </c>
      <c r="Q295" s="66">
        <f t="shared" si="123"/>
        <v>2.0953882180831502E-3</v>
      </c>
      <c r="R295" s="66">
        <f t="shared" si="123"/>
        <v>2.0811559697593205E-3</v>
      </c>
      <c r="S295" s="66">
        <f t="shared" si="123"/>
        <v>2.0661310435972982E-3</v>
      </c>
      <c r="T295" s="66">
        <f t="shared" si="123"/>
        <v>2.0514017798788087E-3</v>
      </c>
      <c r="U295" s="66">
        <f t="shared" si="123"/>
        <v>2.037993427935265E-3</v>
      </c>
      <c r="V295" s="66">
        <f t="shared" si="123"/>
        <v>2.0265982381692882E-3</v>
      </c>
      <c r="W295" s="66">
        <f t="shared" si="123"/>
        <v>2.0174727319296035E-3</v>
      </c>
      <c r="X295" s="66">
        <f t="shared" si="123"/>
        <v>2.0105095656498539E-3</v>
      </c>
      <c r="Y295" s="66">
        <f t="shared" si="123"/>
        <v>2.0053910799874954E-3</v>
      </c>
      <c r="Z295" s="66">
        <f t="shared" si="123"/>
        <v>2.0017314367863233E-3</v>
      </c>
      <c r="AA295" s="66">
        <f t="shared" si="123"/>
        <v>1.9991665673571302E-3</v>
      </c>
      <c r="AB295" s="66">
        <f t="shared" si="123"/>
        <v>1.9973940849323628E-3</v>
      </c>
      <c r="AC295" s="66">
        <f t="shared" si="123"/>
        <v>1.9961810868829068E-3</v>
      </c>
    </row>
    <row r="296" spans="1:29" x14ac:dyDescent="0.25">
      <c r="A296" s="59" t="str">
        <f>A259</f>
        <v>Market failure (av. utilization)</v>
      </c>
      <c r="B296" s="66">
        <f t="shared" ref="B296:AC296" si="124">B285/B259-B285/B258</f>
        <v>6.1585622225650014E-3</v>
      </c>
      <c r="C296" s="66">
        <f t="shared" si="124"/>
        <v>6.1622593372996758E-3</v>
      </c>
      <c r="D296" s="66">
        <f t="shared" si="124"/>
        <v>6.1675516746957718E-3</v>
      </c>
      <c r="E296" s="66">
        <f t="shared" si="124"/>
        <v>6.1751227355146925E-3</v>
      </c>
      <c r="F296" s="66">
        <f t="shared" si="124"/>
        <v>6.185943452062438E-3</v>
      </c>
      <c r="G296" s="66">
        <f t="shared" si="124"/>
        <v>6.2013869530298943E-3</v>
      </c>
      <c r="H296" s="66">
        <f t="shared" si="124"/>
        <v>6.2233822871130551E-3</v>
      </c>
      <c r="I296" s="66">
        <f t="shared" si="124"/>
        <v>6.2546125084406712E-3</v>
      </c>
      <c r="J296" s="66">
        <f t="shared" si="124"/>
        <v>6.2987534252545961E-3</v>
      </c>
      <c r="K296" s="66">
        <f t="shared" si="124"/>
        <v>6.3607264760932401E-3</v>
      </c>
      <c r="L296" s="66">
        <f t="shared" si="124"/>
        <v>6.4468915136730517E-3</v>
      </c>
      <c r="M296" s="66">
        <f t="shared" si="124"/>
        <v>6.5650205567545031E-3</v>
      </c>
      <c r="N296" s="66">
        <f t="shared" si="124"/>
        <v>6.7237733324594711E-3</v>
      </c>
      <c r="O296" s="66">
        <f t="shared" si="124"/>
        <v>6.9312938790866392E-3</v>
      </c>
      <c r="P296" s="66">
        <f t="shared" si="124"/>
        <v>7.1926309320386132E-3</v>
      </c>
      <c r="Q296" s="66">
        <f t="shared" si="124"/>
        <v>7.5062278938996981E-3</v>
      </c>
      <c r="R296" s="66">
        <f t="shared" si="124"/>
        <v>7.8608350763509759E-3</v>
      </c>
      <c r="S296" s="66">
        <f t="shared" si="124"/>
        <v>8.2351924239481289E-3</v>
      </c>
      <c r="T296" s="66">
        <f t="shared" si="124"/>
        <v>8.6021831191603459E-3</v>
      </c>
      <c r="U296" s="66">
        <f t="shared" si="124"/>
        <v>8.9362623029850003E-3</v>
      </c>
      <c r="V296" s="66">
        <f t="shared" si="124"/>
        <v>9.2201820354453155E-3</v>
      </c>
      <c r="W296" s="66">
        <f t="shared" si="124"/>
        <v>9.447550894002817E-3</v>
      </c>
      <c r="X296" s="66">
        <f t="shared" si="124"/>
        <v>9.6210434244322664E-3</v>
      </c>
      <c r="Y296" s="66">
        <f t="shared" si="124"/>
        <v>9.748574348418965E-3</v>
      </c>
      <c r="Z296" s="66">
        <f t="shared" si="124"/>
        <v>9.839757114122381E-3</v>
      </c>
      <c r="AA296" s="66">
        <f t="shared" si="124"/>
        <v>9.9036627670415073E-3</v>
      </c>
      <c r="AB296" s="66">
        <f t="shared" si="124"/>
        <v>9.9478255011570243E-3</v>
      </c>
      <c r="AC296" s="66">
        <f t="shared" si="124"/>
        <v>9.9780482608257288E-3</v>
      </c>
    </row>
    <row r="297" spans="1:29" x14ac:dyDescent="0.25">
      <c r="A297" s="59" t="str">
        <f>A260</f>
        <v>Payload loss (fuel)</v>
      </c>
      <c r="B297" s="66">
        <f>B285/(B258-B260)-B285/B258</f>
        <v>0</v>
      </c>
      <c r="C297" s="66">
        <f t="shared" ref="C297:AC297" si="125">C285/(C258-C260)-C285/C258</f>
        <v>0</v>
      </c>
      <c r="D297" s="66">
        <f t="shared" si="125"/>
        <v>0</v>
      </c>
      <c r="E297" s="66">
        <f t="shared" si="125"/>
        <v>0</v>
      </c>
      <c r="F297" s="66">
        <f t="shared" si="125"/>
        <v>0</v>
      </c>
      <c r="G297" s="66">
        <f t="shared" si="125"/>
        <v>0</v>
      </c>
      <c r="H297" s="66">
        <f t="shared" si="125"/>
        <v>0</v>
      </c>
      <c r="I297" s="66">
        <f t="shared" si="125"/>
        <v>0</v>
      </c>
      <c r="J297" s="66">
        <f t="shared" si="125"/>
        <v>0</v>
      </c>
      <c r="K297" s="66">
        <f t="shared" si="125"/>
        <v>0</v>
      </c>
      <c r="L297" s="66">
        <f t="shared" si="125"/>
        <v>0</v>
      </c>
      <c r="M297" s="66">
        <f t="shared" si="125"/>
        <v>0</v>
      </c>
      <c r="N297" s="66">
        <f t="shared" si="125"/>
        <v>0</v>
      </c>
      <c r="O297" s="66">
        <f t="shared" si="125"/>
        <v>0</v>
      </c>
      <c r="P297" s="66">
        <f t="shared" si="125"/>
        <v>0</v>
      </c>
      <c r="Q297" s="66">
        <f t="shared" si="125"/>
        <v>0</v>
      </c>
      <c r="R297" s="66">
        <f t="shared" si="125"/>
        <v>0</v>
      </c>
      <c r="S297" s="66">
        <f t="shared" si="125"/>
        <v>0</v>
      </c>
      <c r="T297" s="66">
        <f t="shared" si="125"/>
        <v>0</v>
      </c>
      <c r="U297" s="66">
        <f t="shared" si="125"/>
        <v>0</v>
      </c>
      <c r="V297" s="66">
        <f t="shared" si="125"/>
        <v>0</v>
      </c>
      <c r="W297" s="66">
        <f t="shared" si="125"/>
        <v>0</v>
      </c>
      <c r="X297" s="66">
        <f t="shared" si="125"/>
        <v>0</v>
      </c>
      <c r="Y297" s="66">
        <f t="shared" si="125"/>
        <v>0</v>
      </c>
      <c r="Z297" s="66">
        <f t="shared" si="125"/>
        <v>0</v>
      </c>
      <c r="AA297" s="66">
        <f t="shared" si="125"/>
        <v>0</v>
      </c>
      <c r="AB297" s="66">
        <f t="shared" si="125"/>
        <v>0</v>
      </c>
      <c r="AC297" s="66">
        <f t="shared" si="125"/>
        <v>0</v>
      </c>
    </row>
    <row r="298" spans="1:29" ht="15.75" thickBot="1" x14ac:dyDescent="0.3">
      <c r="A298" s="59" t="str">
        <f>A235</f>
        <v>Emission Cost</v>
      </c>
      <c r="B298" s="68">
        <f>B255*B261/B261/(B258)</f>
        <v>1.9330162494961441E-3</v>
      </c>
      <c r="C298" s="68">
        <f t="shared" ref="C298:AC298" si="126">C255*C261/C261/(C258)</f>
        <v>1.9371206834899628E-3</v>
      </c>
      <c r="D298" s="68">
        <f t="shared" si="126"/>
        <v>1.9429960893332179E-3</v>
      </c>
      <c r="E298" s="68">
        <f t="shared" si="126"/>
        <v>1.9514012705690036E-3</v>
      </c>
      <c r="F298" s="68">
        <f t="shared" si="126"/>
        <v>1.9634141292502638E-3</v>
      </c>
      <c r="G298" s="68">
        <f t="shared" si="126"/>
        <v>1.9805590746748382E-3</v>
      </c>
      <c r="H298" s="68">
        <f t="shared" si="126"/>
        <v>2.0049776830749549E-3</v>
      </c>
      <c r="I298" s="68">
        <f t="shared" si="126"/>
        <v>2.0396486065519404E-3</v>
      </c>
      <c r="J298" s="68">
        <f t="shared" si="126"/>
        <v>2.0886526252236323E-3</v>
      </c>
      <c r="K298" s="68">
        <f t="shared" si="126"/>
        <v>2.1574533833329558E-3</v>
      </c>
      <c r="L298" s="68">
        <f t="shared" si="126"/>
        <v>2.2531114125534991E-3</v>
      </c>
      <c r="M298" s="68">
        <f t="shared" si="126"/>
        <v>2.3842549920408719E-3</v>
      </c>
      <c r="N298" s="68">
        <f t="shared" si="126"/>
        <v>2.5604979100940593E-3</v>
      </c>
      <c r="O298" s="68">
        <f t="shared" si="126"/>
        <v>2.7908814516173566E-3</v>
      </c>
      <c r="P298" s="68">
        <f t="shared" si="126"/>
        <v>3.0810105822933029E-3</v>
      </c>
      <c r="Q298" s="68">
        <f t="shared" si="126"/>
        <v>3.4291572109464382E-3</v>
      </c>
      <c r="R298" s="68">
        <f t="shared" si="126"/>
        <v>3.8228322463611155E-3</v>
      </c>
      <c r="S298" s="68">
        <f t="shared" si="126"/>
        <v>4.2384333660403627E-3</v>
      </c>
      <c r="T298" s="68">
        <f t="shared" si="126"/>
        <v>4.6458562330444131E-3</v>
      </c>
      <c r="U298" s="68">
        <f t="shared" si="126"/>
        <v>5.0167416550889786E-3</v>
      </c>
      <c r="V298" s="68">
        <f t="shared" si="126"/>
        <v>5.3319414487271117E-3</v>
      </c>
      <c r="W298" s="68">
        <f t="shared" si="126"/>
        <v>5.5843600343464736E-3</v>
      </c>
      <c r="X298" s="68">
        <f t="shared" si="126"/>
        <v>5.7769666183103488E-3</v>
      </c>
      <c r="Y298" s="68">
        <f t="shared" si="126"/>
        <v>5.9185479045941606E-3</v>
      </c>
      <c r="Z298" s="68">
        <f t="shared" si="126"/>
        <v>6.0197764760781397E-3</v>
      </c>
      <c r="AA298" s="68">
        <f t="shared" si="126"/>
        <v>6.090722755288349E-3</v>
      </c>
      <c r="AB298" s="68">
        <f t="shared" si="126"/>
        <v>6.1397509949217199E-3</v>
      </c>
      <c r="AC298" s="68">
        <f t="shared" si="126"/>
        <v>6.1733034624737292E-3</v>
      </c>
    </row>
    <row r="299" spans="1:29" ht="15.75" thickBot="1" x14ac:dyDescent="0.3">
      <c r="A299" s="31" t="s">
        <v>210</v>
      </c>
      <c r="B299" s="77">
        <f>B288+B289+B290+B291+B292+B293+B294+B295+B296+B297+B298</f>
        <v>1.2816541364345116E-2</v>
      </c>
      <c r="C299" s="67">
        <f t="shared" ref="C299:AC299" si="127">C288+C289+C290+C291+C292+C293+C294+C295+C296+C297+C298</f>
        <v>1.282424368670902E-2</v>
      </c>
      <c r="D299" s="67">
        <f t="shared" si="127"/>
        <v>1.2835269389617555E-2</v>
      </c>
      <c r="E299" s="67">
        <f t="shared" si="127"/>
        <v>1.2851042432990303E-2</v>
      </c>
      <c r="F299" s="67">
        <f t="shared" si="127"/>
        <v>1.2873585592464775E-2</v>
      </c>
      <c r="G299" s="67">
        <f t="shared" si="127"/>
        <v>1.2905759552813641E-2</v>
      </c>
      <c r="H299" s="67">
        <f t="shared" si="127"/>
        <v>1.2951583165486894E-2</v>
      </c>
      <c r="I299" s="67">
        <f t="shared" si="127"/>
        <v>1.3016646126586096E-2</v>
      </c>
      <c r="J299" s="67">
        <f t="shared" si="127"/>
        <v>1.3108606369948438E-2</v>
      </c>
      <c r="K299" s="67">
        <f t="shared" si="127"/>
        <v>1.3237716892528947E-2</v>
      </c>
      <c r="L299" s="67">
        <f t="shared" si="127"/>
        <v>1.3417227387486887E-2</v>
      </c>
      <c r="M299" s="67">
        <f t="shared" si="127"/>
        <v>1.3663329560573244E-2</v>
      </c>
      <c r="N299" s="67">
        <f t="shared" si="127"/>
        <v>1.3994064509958595E-2</v>
      </c>
      <c r="O299" s="67">
        <f t="shared" si="127"/>
        <v>1.4426398982098528E-2</v>
      </c>
      <c r="P299" s="67">
        <f t="shared" si="127"/>
        <v>1.4970851175748472E-2</v>
      </c>
      <c r="Q299" s="67">
        <f t="shared" si="127"/>
        <v>1.5624178179625735E-2</v>
      </c>
      <c r="R299" s="67">
        <f t="shared" si="127"/>
        <v>1.6362943143065897E-2</v>
      </c>
      <c r="S299" s="67">
        <f t="shared" si="127"/>
        <v>1.7142854283893297E-2</v>
      </c>
      <c r="T299" s="67">
        <f t="shared" si="127"/>
        <v>1.7907418232252087E-2</v>
      </c>
      <c r="U299" s="67">
        <f t="shared" si="127"/>
        <v>1.8603416531886779E-2</v>
      </c>
      <c r="V299" s="67">
        <f t="shared" si="127"/>
        <v>1.9194915974512439E-2</v>
      </c>
      <c r="W299" s="67">
        <f t="shared" si="127"/>
        <v>1.9668601096507234E-2</v>
      </c>
      <c r="X299" s="67">
        <f t="shared" si="127"/>
        <v>2.0030043868235252E-2</v>
      </c>
      <c r="Y299" s="67">
        <f t="shared" si="127"/>
        <v>2.0295733293207538E-2</v>
      </c>
      <c r="Z299" s="67">
        <f t="shared" si="127"/>
        <v>2.0485697388422992E-2</v>
      </c>
      <c r="AA299" s="67">
        <f t="shared" si="127"/>
        <v>2.0618834165337836E-2</v>
      </c>
      <c r="AB299" s="67">
        <f t="shared" si="127"/>
        <v>2.0710839861411829E-2</v>
      </c>
      <c r="AC299" s="67">
        <f t="shared" si="127"/>
        <v>2.077380394405496E-2</v>
      </c>
    </row>
    <row r="301" spans="1:29" x14ac:dyDescent="0.25">
      <c r="B301" s="40"/>
    </row>
    <row r="324" spans="1:44" s="3" customFormat="1" ht="21" x14ac:dyDescent="0.35">
      <c r="A324" s="2" t="str">
        <f>'Parameter Input'!A192</f>
        <v>Short-sea:  Neo bulk</v>
      </c>
    </row>
    <row r="325" spans="1:44" s="3" customFormat="1" ht="21" x14ac:dyDescent="0.35">
      <c r="A325" s="2" t="s">
        <v>290</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Input'!$L$168</f>
        <v>15000000</v>
      </c>
      <c r="C334" s="42">
        <f>'Parameter Input'!$M$168</f>
        <v>15000000</v>
      </c>
      <c r="D334" s="1" t="s">
        <v>15</v>
      </c>
      <c r="L334" s="51">
        <f>'Parameter Input'!$O$156</f>
        <v>17</v>
      </c>
      <c r="M334" s="52">
        <v>0</v>
      </c>
      <c r="N334" s="52">
        <v>1</v>
      </c>
      <c r="O334" s="52">
        <f>'Parameter Input'!$P$156</f>
        <v>0.9</v>
      </c>
      <c r="P334" s="53">
        <f>'Parameter Input'!$Q$156</f>
        <v>0.4</v>
      </c>
      <c r="Q334" s="4">
        <f t="shared" ref="Q334:AR343" si="128">$N334+($M334-$N334)*((1/(1+EXP(-$P334*(Q$9-$L334)))^$O334))</f>
        <v>0.99780374543478534</v>
      </c>
      <c r="R334" s="4">
        <f t="shared" si="128"/>
        <v>0.99685359315256394</v>
      </c>
      <c r="S334" s="4">
        <f t="shared" si="128"/>
        <v>0.99549347132349975</v>
      </c>
      <c r="T334" s="4">
        <f t="shared" si="128"/>
        <v>0.99354772139898062</v>
      </c>
      <c r="U334" s="4">
        <f t="shared" si="128"/>
        <v>0.99076681540580536</v>
      </c>
      <c r="V334" s="4">
        <f t="shared" si="128"/>
        <v>0.9867978615748374</v>
      </c>
      <c r="W334" s="4">
        <f t="shared" si="128"/>
        <v>0.98114509762858249</v>
      </c>
      <c r="X334" s="4">
        <f t="shared" si="128"/>
        <v>0.97311898315872036</v>
      </c>
      <c r="Y334" s="4">
        <f t="shared" si="128"/>
        <v>0.96177484161592774</v>
      </c>
      <c r="Z334" s="4">
        <f t="shared" si="128"/>
        <v>0.94584787155511363</v>
      </c>
      <c r="AA334" s="4">
        <f t="shared" si="128"/>
        <v>0.92370360150141495</v>
      </c>
      <c r="AB334" s="4">
        <f t="shared" si="128"/>
        <v>0.89334463567658451</v>
      </c>
      <c r="AC334" s="4">
        <f t="shared" si="128"/>
        <v>0.85254543874327005</v>
      </c>
      <c r="AD334" s="4">
        <f t="shared" si="128"/>
        <v>0.79921300652623883</v>
      </c>
      <c r="AE334" s="4">
        <f t="shared" si="128"/>
        <v>0.73204982249993378</v>
      </c>
      <c r="AF334" s="4">
        <f t="shared" si="128"/>
        <v>0.65145592958786691</v>
      </c>
      <c r="AG334" s="4">
        <f t="shared" si="128"/>
        <v>0.56032247880849573</v>
      </c>
      <c r="AH334" s="4">
        <f t="shared" si="128"/>
        <v>0.46411326873185343</v>
      </c>
      <c r="AI334" s="4">
        <f t="shared" si="128"/>
        <v>0.36979727595523937</v>
      </c>
      <c r="AJ334" s="4">
        <f t="shared" si="128"/>
        <v>0.28393948637231203</v>
      </c>
      <c r="AK334" s="4">
        <f t="shared" si="128"/>
        <v>0.21097259161117732</v>
      </c>
      <c r="AL334" s="4">
        <f t="shared" si="128"/>
        <v>0.15253917653798199</v>
      </c>
      <c r="AM334" s="4">
        <f t="shared" si="128"/>
        <v>0.10795188737709993</v>
      </c>
      <c r="AN334" s="4">
        <f t="shared" si="128"/>
        <v>7.5176653938091809E-2</v>
      </c>
      <c r="AO334" s="4">
        <f t="shared" si="128"/>
        <v>5.1742836177502194E-2</v>
      </c>
      <c r="AP334" s="4">
        <f t="shared" si="128"/>
        <v>3.5319190625345942E-2</v>
      </c>
      <c r="AQ334" s="4">
        <f t="shared" si="128"/>
        <v>2.3969442072658165E-2</v>
      </c>
      <c r="AR334" s="4">
        <f t="shared" si="128"/>
        <v>1.6202243558389728E-2</v>
      </c>
    </row>
    <row r="335" spans="1:44" x14ac:dyDescent="0.25">
      <c r="A335" s="24" t="s">
        <v>28</v>
      </c>
      <c r="B335" s="60">
        <f>'Parameter Input'!$L$169</f>
        <v>-1500000</v>
      </c>
      <c r="C335" s="61">
        <f>'Parameter Input'!$M$169</f>
        <v>-750000</v>
      </c>
      <c r="D335" s="1" t="s">
        <v>15</v>
      </c>
      <c r="L335" s="54">
        <f>'Parameter Input'!$O$157</f>
        <v>17</v>
      </c>
      <c r="M335" s="37">
        <v>0</v>
      </c>
      <c r="N335" s="37">
        <v>1</v>
      </c>
      <c r="O335" s="37">
        <f>'Parameter Input'!$P$157</f>
        <v>0.9</v>
      </c>
      <c r="P335" s="55">
        <f>'Parameter Input'!$Q$157</f>
        <v>0.4</v>
      </c>
      <c r="Q335" s="4">
        <f t="shared" si="128"/>
        <v>0.99780374543478534</v>
      </c>
      <c r="R335" s="4">
        <f t="shared" si="128"/>
        <v>0.99685359315256394</v>
      </c>
      <c r="S335" s="4">
        <f t="shared" si="128"/>
        <v>0.99549347132349975</v>
      </c>
      <c r="T335" s="4">
        <f t="shared" si="128"/>
        <v>0.99354772139898062</v>
      </c>
      <c r="U335" s="4">
        <f t="shared" si="128"/>
        <v>0.99076681540580536</v>
      </c>
      <c r="V335" s="4">
        <f t="shared" si="128"/>
        <v>0.9867978615748374</v>
      </c>
      <c r="W335" s="4">
        <f t="shared" si="128"/>
        <v>0.98114509762858249</v>
      </c>
      <c r="X335" s="4">
        <f t="shared" si="128"/>
        <v>0.97311898315872036</v>
      </c>
      <c r="Y335" s="4">
        <f t="shared" si="128"/>
        <v>0.96177484161592774</v>
      </c>
      <c r="Z335" s="4">
        <f t="shared" si="128"/>
        <v>0.94584787155511363</v>
      </c>
      <c r="AA335" s="4">
        <f t="shared" si="128"/>
        <v>0.92370360150141495</v>
      </c>
      <c r="AB335" s="4">
        <f t="shared" si="128"/>
        <v>0.89334463567658451</v>
      </c>
      <c r="AC335" s="4">
        <f t="shared" si="128"/>
        <v>0.85254543874327005</v>
      </c>
      <c r="AD335" s="4">
        <f t="shared" si="128"/>
        <v>0.79921300652623883</v>
      </c>
      <c r="AE335" s="4">
        <f t="shared" si="128"/>
        <v>0.73204982249993378</v>
      </c>
      <c r="AF335" s="4">
        <f t="shared" si="128"/>
        <v>0.65145592958786691</v>
      </c>
      <c r="AG335" s="4">
        <f t="shared" si="128"/>
        <v>0.56032247880849573</v>
      </c>
      <c r="AH335" s="4">
        <f t="shared" si="128"/>
        <v>0.46411326873185343</v>
      </c>
      <c r="AI335" s="4">
        <f t="shared" si="128"/>
        <v>0.36979727595523937</v>
      </c>
      <c r="AJ335" s="4">
        <f t="shared" si="128"/>
        <v>0.28393948637231203</v>
      </c>
      <c r="AK335" s="4">
        <f t="shared" si="128"/>
        <v>0.21097259161117732</v>
      </c>
      <c r="AL335" s="4">
        <f t="shared" si="128"/>
        <v>0.15253917653798199</v>
      </c>
      <c r="AM335" s="4">
        <f t="shared" si="128"/>
        <v>0.10795188737709993</v>
      </c>
      <c r="AN335" s="4">
        <f t="shared" si="128"/>
        <v>7.5176653938091809E-2</v>
      </c>
      <c r="AO335" s="4">
        <f t="shared" si="128"/>
        <v>5.1742836177502194E-2</v>
      </c>
      <c r="AP335" s="4">
        <f t="shared" si="128"/>
        <v>3.5319190625345942E-2</v>
      </c>
      <c r="AQ335" s="4">
        <f t="shared" si="128"/>
        <v>2.3969442072658165E-2</v>
      </c>
      <c r="AR335" s="4">
        <f t="shared" si="128"/>
        <v>1.6202243558389728E-2</v>
      </c>
    </row>
    <row r="336" spans="1:44" x14ac:dyDescent="0.25">
      <c r="A336" s="24" t="s">
        <v>14</v>
      </c>
      <c r="B336" s="60">
        <f>'Parameter Input'!B193</f>
        <v>1000000</v>
      </c>
      <c r="C336" s="61">
        <f>'Parameter Input'!C193</f>
        <v>1000000</v>
      </c>
      <c r="D336" s="1" t="s">
        <v>15</v>
      </c>
      <c r="L336" s="54">
        <f>'Parameter Input'!E193</f>
        <v>17</v>
      </c>
      <c r="M336" s="37">
        <v>0</v>
      </c>
      <c r="N336" s="37">
        <v>1</v>
      </c>
      <c r="O336" s="37">
        <f>'Parameter Input'!F193</f>
        <v>0.9</v>
      </c>
      <c r="P336" s="55">
        <f>'Parameter Input'!G193</f>
        <v>0.4</v>
      </c>
      <c r="Q336" s="4">
        <f t="shared" si="128"/>
        <v>0.99780374543478534</v>
      </c>
      <c r="R336" s="4">
        <f t="shared" si="128"/>
        <v>0.99685359315256394</v>
      </c>
      <c r="S336" s="4">
        <f t="shared" si="128"/>
        <v>0.99549347132349975</v>
      </c>
      <c r="T336" s="4">
        <f t="shared" si="128"/>
        <v>0.99354772139898062</v>
      </c>
      <c r="U336" s="4">
        <f t="shared" si="128"/>
        <v>0.99076681540580536</v>
      </c>
      <c r="V336" s="4">
        <f t="shared" si="128"/>
        <v>0.9867978615748374</v>
      </c>
      <c r="W336" s="4">
        <f t="shared" si="128"/>
        <v>0.98114509762858249</v>
      </c>
      <c r="X336" s="4">
        <f t="shared" si="128"/>
        <v>0.97311898315872036</v>
      </c>
      <c r="Y336" s="4">
        <f t="shared" si="128"/>
        <v>0.96177484161592774</v>
      </c>
      <c r="Z336" s="4">
        <f t="shared" si="128"/>
        <v>0.94584787155511363</v>
      </c>
      <c r="AA336" s="4">
        <f t="shared" si="128"/>
        <v>0.92370360150141495</v>
      </c>
      <c r="AB336" s="4">
        <f t="shared" si="128"/>
        <v>0.89334463567658451</v>
      </c>
      <c r="AC336" s="4">
        <f t="shared" si="128"/>
        <v>0.85254543874327005</v>
      </c>
      <c r="AD336" s="4">
        <f t="shared" si="128"/>
        <v>0.79921300652623883</v>
      </c>
      <c r="AE336" s="4">
        <f t="shared" si="128"/>
        <v>0.73204982249993378</v>
      </c>
      <c r="AF336" s="4">
        <f t="shared" si="128"/>
        <v>0.65145592958786691</v>
      </c>
      <c r="AG336" s="4">
        <f t="shared" si="128"/>
        <v>0.56032247880849573</v>
      </c>
      <c r="AH336" s="4">
        <f t="shared" si="128"/>
        <v>0.46411326873185343</v>
      </c>
      <c r="AI336" s="4">
        <f t="shared" si="128"/>
        <v>0.36979727595523937</v>
      </c>
      <c r="AJ336" s="4">
        <f t="shared" si="128"/>
        <v>0.28393948637231203</v>
      </c>
      <c r="AK336" s="4">
        <f t="shared" si="128"/>
        <v>0.21097259161117732</v>
      </c>
      <c r="AL336" s="4">
        <f t="shared" si="128"/>
        <v>0.15253917653798199</v>
      </c>
      <c r="AM336" s="4">
        <f t="shared" si="128"/>
        <v>0.10795188737709993</v>
      </c>
      <c r="AN336" s="4">
        <f t="shared" si="128"/>
        <v>7.5176653938091809E-2</v>
      </c>
      <c r="AO336" s="4">
        <f t="shared" si="128"/>
        <v>5.1742836177502194E-2</v>
      </c>
      <c r="AP336" s="4">
        <f t="shared" si="128"/>
        <v>3.5319190625345942E-2</v>
      </c>
      <c r="AQ336" s="4">
        <f t="shared" si="128"/>
        <v>2.3969442072658165E-2</v>
      </c>
      <c r="AR336" s="4">
        <f t="shared" si="128"/>
        <v>1.6202243558389728E-2</v>
      </c>
    </row>
    <row r="337" spans="1:44" x14ac:dyDescent="0.25">
      <c r="A337" s="24" t="s">
        <v>25</v>
      </c>
      <c r="B337" s="60">
        <f>'Parameter Input'!B194</f>
        <v>-100000</v>
      </c>
      <c r="C337" s="61">
        <f>'Parameter Input'!C194</f>
        <v>-100000</v>
      </c>
      <c r="D337" s="1" t="s">
        <v>15</v>
      </c>
      <c r="L337" s="54">
        <f>'Parameter Input'!E194</f>
        <v>17</v>
      </c>
      <c r="M337" s="37">
        <v>0</v>
      </c>
      <c r="N337" s="37">
        <v>1</v>
      </c>
      <c r="O337" s="37">
        <f>'Parameter Input'!F194</f>
        <v>0.9</v>
      </c>
      <c r="P337" s="55">
        <f>'Parameter Input'!G194</f>
        <v>0.4</v>
      </c>
      <c r="Q337" s="4">
        <f t="shared" si="128"/>
        <v>0.99780374543478534</v>
      </c>
      <c r="R337" s="4">
        <f t="shared" si="128"/>
        <v>0.99685359315256394</v>
      </c>
      <c r="S337" s="4">
        <f t="shared" si="128"/>
        <v>0.99549347132349975</v>
      </c>
      <c r="T337" s="4">
        <f t="shared" si="128"/>
        <v>0.99354772139898062</v>
      </c>
      <c r="U337" s="4">
        <f t="shared" si="128"/>
        <v>0.99076681540580536</v>
      </c>
      <c r="V337" s="4">
        <f t="shared" si="128"/>
        <v>0.9867978615748374</v>
      </c>
      <c r="W337" s="4">
        <f t="shared" si="128"/>
        <v>0.98114509762858249</v>
      </c>
      <c r="X337" s="4">
        <f t="shared" si="128"/>
        <v>0.97311898315872036</v>
      </c>
      <c r="Y337" s="4">
        <f t="shared" si="128"/>
        <v>0.96177484161592774</v>
      </c>
      <c r="Z337" s="4">
        <f t="shared" si="128"/>
        <v>0.94584787155511363</v>
      </c>
      <c r="AA337" s="4">
        <f t="shared" si="128"/>
        <v>0.92370360150141495</v>
      </c>
      <c r="AB337" s="4">
        <f t="shared" si="128"/>
        <v>0.89334463567658451</v>
      </c>
      <c r="AC337" s="4">
        <f t="shared" si="128"/>
        <v>0.85254543874327005</v>
      </c>
      <c r="AD337" s="4">
        <f t="shared" si="128"/>
        <v>0.79921300652623883</v>
      </c>
      <c r="AE337" s="4">
        <f t="shared" si="128"/>
        <v>0.73204982249993378</v>
      </c>
      <c r="AF337" s="4">
        <f t="shared" si="128"/>
        <v>0.65145592958786691</v>
      </c>
      <c r="AG337" s="4">
        <f t="shared" si="128"/>
        <v>0.56032247880849573</v>
      </c>
      <c r="AH337" s="4">
        <f t="shared" si="128"/>
        <v>0.46411326873185343</v>
      </c>
      <c r="AI337" s="4">
        <f t="shared" si="128"/>
        <v>0.36979727595523937</v>
      </c>
      <c r="AJ337" s="4">
        <f t="shared" si="128"/>
        <v>0.28393948637231203</v>
      </c>
      <c r="AK337" s="4">
        <f t="shared" si="128"/>
        <v>0.21097259161117732</v>
      </c>
      <c r="AL337" s="4">
        <f t="shared" si="128"/>
        <v>0.15253917653798199</v>
      </c>
      <c r="AM337" s="4">
        <f t="shared" si="128"/>
        <v>0.10795188737709993</v>
      </c>
      <c r="AN337" s="4">
        <f t="shared" si="128"/>
        <v>7.5176653938091809E-2</v>
      </c>
      <c r="AO337" s="4">
        <f t="shared" si="128"/>
        <v>5.1742836177502194E-2</v>
      </c>
      <c r="AP337" s="4">
        <f t="shared" si="128"/>
        <v>3.5319190625345942E-2</v>
      </c>
      <c r="AQ337" s="4">
        <f t="shared" si="128"/>
        <v>2.3969442072658165E-2</v>
      </c>
      <c r="AR337" s="4">
        <f t="shared" si="128"/>
        <v>1.6202243558389728E-2</v>
      </c>
    </row>
    <row r="338" spans="1:44" x14ac:dyDescent="0.25">
      <c r="A338" s="24" t="s">
        <v>79</v>
      </c>
      <c r="B338" s="92">
        <f>'Parameter Input'!$L$175</f>
        <v>0.06</v>
      </c>
      <c r="C338" s="91">
        <f>'Parameter Input'!$M$175</f>
        <v>0.06</v>
      </c>
      <c r="D338" s="1" t="s">
        <v>57</v>
      </c>
      <c r="L338" s="54">
        <f>'Parameter Input'!$O$163</f>
        <v>17</v>
      </c>
      <c r="M338" s="37">
        <v>0</v>
      </c>
      <c r="N338" s="37">
        <v>1</v>
      </c>
      <c r="O338" s="37">
        <f>'Parameter Input'!$P$163</f>
        <v>0.9</v>
      </c>
      <c r="P338" s="55">
        <f>'Parameter Input'!$Q$163</f>
        <v>0.4</v>
      </c>
      <c r="Q338" s="4">
        <f t="shared" si="128"/>
        <v>0.99780374543478534</v>
      </c>
      <c r="R338" s="4">
        <f t="shared" si="128"/>
        <v>0.99685359315256394</v>
      </c>
      <c r="S338" s="4">
        <f t="shared" si="128"/>
        <v>0.99549347132349975</v>
      </c>
      <c r="T338" s="4">
        <f t="shared" si="128"/>
        <v>0.99354772139898062</v>
      </c>
      <c r="U338" s="4">
        <f t="shared" si="128"/>
        <v>0.99076681540580536</v>
      </c>
      <c r="V338" s="4">
        <f t="shared" si="128"/>
        <v>0.9867978615748374</v>
      </c>
      <c r="W338" s="4">
        <f t="shared" si="128"/>
        <v>0.98114509762858249</v>
      </c>
      <c r="X338" s="4">
        <f t="shared" si="128"/>
        <v>0.97311898315872036</v>
      </c>
      <c r="Y338" s="4">
        <f t="shared" si="128"/>
        <v>0.96177484161592774</v>
      </c>
      <c r="Z338" s="4">
        <f t="shared" si="128"/>
        <v>0.94584787155511363</v>
      </c>
      <c r="AA338" s="4">
        <f t="shared" si="128"/>
        <v>0.92370360150141495</v>
      </c>
      <c r="AB338" s="4">
        <f t="shared" si="128"/>
        <v>0.89334463567658451</v>
      </c>
      <c r="AC338" s="4">
        <f t="shared" si="128"/>
        <v>0.85254543874327005</v>
      </c>
      <c r="AD338" s="4">
        <f t="shared" si="128"/>
        <v>0.79921300652623883</v>
      </c>
      <c r="AE338" s="4">
        <f t="shared" si="128"/>
        <v>0.73204982249993378</v>
      </c>
      <c r="AF338" s="4">
        <f t="shared" si="128"/>
        <v>0.65145592958786691</v>
      </c>
      <c r="AG338" s="4">
        <f t="shared" si="128"/>
        <v>0.56032247880849573</v>
      </c>
      <c r="AH338" s="4">
        <f t="shared" si="128"/>
        <v>0.46411326873185343</v>
      </c>
      <c r="AI338" s="4">
        <f t="shared" si="128"/>
        <v>0.36979727595523937</v>
      </c>
      <c r="AJ338" s="4">
        <f t="shared" si="128"/>
        <v>0.28393948637231203</v>
      </c>
      <c r="AK338" s="4">
        <f t="shared" si="128"/>
        <v>0.21097259161117732</v>
      </c>
      <c r="AL338" s="4">
        <f t="shared" si="128"/>
        <v>0.15253917653798199</v>
      </c>
      <c r="AM338" s="4">
        <f t="shared" si="128"/>
        <v>0.10795188737709993</v>
      </c>
      <c r="AN338" s="4">
        <f t="shared" si="128"/>
        <v>7.5176653938091809E-2</v>
      </c>
      <c r="AO338" s="4">
        <f t="shared" si="128"/>
        <v>5.1742836177502194E-2</v>
      </c>
      <c r="AP338" s="4">
        <f t="shared" si="128"/>
        <v>3.5319190625345942E-2</v>
      </c>
      <c r="AQ338" s="4">
        <f t="shared" si="128"/>
        <v>2.3969442072658165E-2</v>
      </c>
      <c r="AR338" s="4">
        <f t="shared" si="128"/>
        <v>1.6202243558389728E-2</v>
      </c>
    </row>
    <row r="339" spans="1:44" x14ac:dyDescent="0.25">
      <c r="A339" s="24" t="s">
        <v>37</v>
      </c>
      <c r="B339" s="60">
        <f>'Parameter Input'!B195</f>
        <v>1208235.294117647</v>
      </c>
      <c r="C339" s="61">
        <f>'Parameter Input'!C195</f>
        <v>1208235.294117647</v>
      </c>
      <c r="D339" s="1" t="s">
        <v>38</v>
      </c>
      <c r="L339" s="54">
        <f>'Parameter Input'!E195</f>
        <v>17</v>
      </c>
      <c r="M339" s="37">
        <v>0</v>
      </c>
      <c r="N339" s="37">
        <v>1</v>
      </c>
      <c r="O339" s="37">
        <f>'Parameter Input'!F195</f>
        <v>0.9</v>
      </c>
      <c r="P339" s="55">
        <f>'Parameter Input'!G195</f>
        <v>0.4</v>
      </c>
      <c r="Q339" s="4">
        <f t="shared" si="128"/>
        <v>0.99780374543478534</v>
      </c>
      <c r="R339" s="4">
        <f t="shared" si="128"/>
        <v>0.99685359315256394</v>
      </c>
      <c r="S339" s="4">
        <f t="shared" si="128"/>
        <v>0.99549347132349975</v>
      </c>
      <c r="T339" s="4">
        <f t="shared" si="128"/>
        <v>0.99354772139898062</v>
      </c>
      <c r="U339" s="4">
        <f t="shared" si="128"/>
        <v>0.99076681540580536</v>
      </c>
      <c r="V339" s="4">
        <f t="shared" si="128"/>
        <v>0.9867978615748374</v>
      </c>
      <c r="W339" s="4">
        <f t="shared" si="128"/>
        <v>0.98114509762858249</v>
      </c>
      <c r="X339" s="4">
        <f t="shared" si="128"/>
        <v>0.97311898315872036</v>
      </c>
      <c r="Y339" s="4">
        <f t="shared" si="128"/>
        <v>0.96177484161592774</v>
      </c>
      <c r="Z339" s="4">
        <f t="shared" si="128"/>
        <v>0.94584787155511363</v>
      </c>
      <c r="AA339" s="4">
        <f t="shared" si="128"/>
        <v>0.92370360150141495</v>
      </c>
      <c r="AB339" s="4">
        <f t="shared" si="128"/>
        <v>0.89334463567658451</v>
      </c>
      <c r="AC339" s="4">
        <f t="shared" si="128"/>
        <v>0.85254543874327005</v>
      </c>
      <c r="AD339" s="4">
        <f t="shared" si="128"/>
        <v>0.79921300652623883</v>
      </c>
      <c r="AE339" s="4">
        <f t="shared" si="128"/>
        <v>0.73204982249993378</v>
      </c>
      <c r="AF339" s="4">
        <f t="shared" si="128"/>
        <v>0.65145592958786691</v>
      </c>
      <c r="AG339" s="4">
        <f t="shared" si="128"/>
        <v>0.56032247880849573</v>
      </c>
      <c r="AH339" s="4">
        <f t="shared" si="128"/>
        <v>0.46411326873185343</v>
      </c>
      <c r="AI339" s="4">
        <f t="shared" si="128"/>
        <v>0.36979727595523937</v>
      </c>
      <c r="AJ339" s="4">
        <f t="shared" si="128"/>
        <v>0.28393948637231203</v>
      </c>
      <c r="AK339" s="4">
        <f t="shared" si="128"/>
        <v>0.21097259161117732</v>
      </c>
      <c r="AL339" s="4">
        <f t="shared" si="128"/>
        <v>0.15253917653798199</v>
      </c>
      <c r="AM339" s="4">
        <f t="shared" si="128"/>
        <v>0.10795188737709993</v>
      </c>
      <c r="AN339" s="4">
        <f t="shared" si="128"/>
        <v>7.5176653938091809E-2</v>
      </c>
      <c r="AO339" s="4">
        <f t="shared" si="128"/>
        <v>5.1742836177502194E-2</v>
      </c>
      <c r="AP339" s="4">
        <f t="shared" si="128"/>
        <v>3.5319190625345942E-2</v>
      </c>
      <c r="AQ339" s="4">
        <f t="shared" si="128"/>
        <v>2.3969442072658165E-2</v>
      </c>
      <c r="AR339" s="4">
        <f t="shared" si="128"/>
        <v>1.6202243558389728E-2</v>
      </c>
    </row>
    <row r="340" spans="1:44" x14ac:dyDescent="0.25">
      <c r="A340" s="24" t="s">
        <v>52</v>
      </c>
      <c r="B340" s="60">
        <f>'Parameter Input'!$L$171</f>
        <v>488235.29411764705</v>
      </c>
      <c r="C340" s="61">
        <f>'Parameter Input'!$M$171</f>
        <v>488235.29411764705</v>
      </c>
      <c r="D340" s="1" t="s">
        <v>38</v>
      </c>
      <c r="L340" s="54">
        <f>'Parameter Input'!$O$159</f>
        <v>17</v>
      </c>
      <c r="M340" s="37">
        <v>0</v>
      </c>
      <c r="N340" s="37">
        <v>1</v>
      </c>
      <c r="O340" s="37">
        <f>'Parameter Input'!$P$159</f>
        <v>0.9</v>
      </c>
      <c r="P340" s="55">
        <f>'Parameter Input'!$Q$159</f>
        <v>0.4</v>
      </c>
      <c r="Q340" s="4">
        <f t="shared" si="128"/>
        <v>0.99780374543478534</v>
      </c>
      <c r="R340" s="4">
        <f t="shared" si="128"/>
        <v>0.99685359315256394</v>
      </c>
      <c r="S340" s="4">
        <f t="shared" si="128"/>
        <v>0.99549347132349975</v>
      </c>
      <c r="T340" s="4">
        <f t="shared" si="128"/>
        <v>0.99354772139898062</v>
      </c>
      <c r="U340" s="4">
        <f t="shared" si="128"/>
        <v>0.99076681540580536</v>
      </c>
      <c r="V340" s="4">
        <f t="shared" si="128"/>
        <v>0.9867978615748374</v>
      </c>
      <c r="W340" s="4">
        <f t="shared" si="128"/>
        <v>0.98114509762858249</v>
      </c>
      <c r="X340" s="4">
        <f t="shared" si="128"/>
        <v>0.97311898315872036</v>
      </c>
      <c r="Y340" s="4">
        <f t="shared" si="128"/>
        <v>0.96177484161592774</v>
      </c>
      <c r="Z340" s="4">
        <f t="shared" si="128"/>
        <v>0.94584787155511363</v>
      </c>
      <c r="AA340" s="4">
        <f t="shared" si="128"/>
        <v>0.92370360150141495</v>
      </c>
      <c r="AB340" s="4">
        <f t="shared" si="128"/>
        <v>0.89334463567658451</v>
      </c>
      <c r="AC340" s="4">
        <f t="shared" si="128"/>
        <v>0.85254543874327005</v>
      </c>
      <c r="AD340" s="4">
        <f t="shared" si="128"/>
        <v>0.79921300652623883</v>
      </c>
      <c r="AE340" s="4">
        <f t="shared" si="128"/>
        <v>0.73204982249993378</v>
      </c>
      <c r="AF340" s="4">
        <f t="shared" si="128"/>
        <v>0.65145592958786691</v>
      </c>
      <c r="AG340" s="4">
        <f t="shared" si="128"/>
        <v>0.56032247880849573</v>
      </c>
      <c r="AH340" s="4">
        <f t="shared" si="128"/>
        <v>0.46411326873185343</v>
      </c>
      <c r="AI340" s="4">
        <f t="shared" si="128"/>
        <v>0.36979727595523937</v>
      </c>
      <c r="AJ340" s="4">
        <f t="shared" si="128"/>
        <v>0.28393948637231203</v>
      </c>
      <c r="AK340" s="4">
        <f t="shared" si="128"/>
        <v>0.21097259161117732</v>
      </c>
      <c r="AL340" s="4">
        <f t="shared" si="128"/>
        <v>0.15253917653798199</v>
      </c>
      <c r="AM340" s="4">
        <f t="shared" si="128"/>
        <v>0.10795188737709993</v>
      </c>
      <c r="AN340" s="4">
        <f t="shared" si="128"/>
        <v>7.5176653938091809E-2</v>
      </c>
      <c r="AO340" s="4">
        <f t="shared" si="128"/>
        <v>5.1742836177502194E-2</v>
      </c>
      <c r="AP340" s="4">
        <f t="shared" si="128"/>
        <v>3.5319190625345942E-2</v>
      </c>
      <c r="AQ340" s="4">
        <f t="shared" si="128"/>
        <v>2.3969442072658165E-2</v>
      </c>
      <c r="AR340" s="4">
        <f t="shared" si="128"/>
        <v>1.6202243558389728E-2</v>
      </c>
    </row>
    <row r="341" spans="1:44" x14ac:dyDescent="0.25">
      <c r="A341" s="24" t="s">
        <v>272</v>
      </c>
      <c r="B341" s="92">
        <f>'Parameter Input'!B200</f>
        <v>0.81280569096848254</v>
      </c>
      <c r="C341" s="61">
        <f>'Parameter Input'!C200</f>
        <v>0.81280569096848254</v>
      </c>
      <c r="D341" s="1" t="s">
        <v>76</v>
      </c>
      <c r="L341" s="54">
        <f>'Parameter Input'!E200</f>
        <v>17</v>
      </c>
      <c r="M341" s="37">
        <v>0</v>
      </c>
      <c r="N341" s="37">
        <v>1</v>
      </c>
      <c r="O341" s="37">
        <f>'Parameter Input'!F200</f>
        <v>0.9</v>
      </c>
      <c r="P341" s="55">
        <f>'Parameter Input'!G200</f>
        <v>0.4</v>
      </c>
      <c r="Q341" s="4">
        <f t="shared" si="128"/>
        <v>0.99780374543478534</v>
      </c>
      <c r="R341" s="4">
        <f t="shared" si="128"/>
        <v>0.99685359315256394</v>
      </c>
      <c r="S341" s="4">
        <f t="shared" si="128"/>
        <v>0.99549347132349975</v>
      </c>
      <c r="T341" s="4">
        <f t="shared" si="128"/>
        <v>0.99354772139898062</v>
      </c>
      <c r="U341" s="4">
        <f t="shared" si="128"/>
        <v>0.99076681540580536</v>
      </c>
      <c r="V341" s="4">
        <f t="shared" si="128"/>
        <v>0.9867978615748374</v>
      </c>
      <c r="W341" s="4">
        <f t="shared" si="128"/>
        <v>0.98114509762858249</v>
      </c>
      <c r="X341" s="4">
        <f t="shared" si="128"/>
        <v>0.97311898315872036</v>
      </c>
      <c r="Y341" s="4">
        <f t="shared" si="128"/>
        <v>0.96177484161592774</v>
      </c>
      <c r="Z341" s="4">
        <f t="shared" si="128"/>
        <v>0.94584787155511363</v>
      </c>
      <c r="AA341" s="4">
        <f t="shared" si="128"/>
        <v>0.92370360150141495</v>
      </c>
      <c r="AB341" s="4">
        <f t="shared" si="128"/>
        <v>0.89334463567658451</v>
      </c>
      <c r="AC341" s="4">
        <f t="shared" si="128"/>
        <v>0.85254543874327005</v>
      </c>
      <c r="AD341" s="4">
        <f t="shared" si="128"/>
        <v>0.79921300652623883</v>
      </c>
      <c r="AE341" s="4">
        <f t="shared" si="128"/>
        <v>0.73204982249993378</v>
      </c>
      <c r="AF341" s="4">
        <f t="shared" si="128"/>
        <v>0.65145592958786691</v>
      </c>
      <c r="AG341" s="4">
        <f t="shared" si="128"/>
        <v>0.56032247880849573</v>
      </c>
      <c r="AH341" s="4">
        <f t="shared" si="128"/>
        <v>0.46411326873185343</v>
      </c>
      <c r="AI341" s="4">
        <f t="shared" si="128"/>
        <v>0.36979727595523937</v>
      </c>
      <c r="AJ341" s="4">
        <f t="shared" si="128"/>
        <v>0.28393948637231203</v>
      </c>
      <c r="AK341" s="4">
        <f t="shared" si="128"/>
        <v>0.21097259161117732</v>
      </c>
      <c r="AL341" s="4">
        <f t="shared" si="128"/>
        <v>0.15253917653798199</v>
      </c>
      <c r="AM341" s="4">
        <f t="shared" si="128"/>
        <v>0.10795188737709993</v>
      </c>
      <c r="AN341" s="4">
        <f t="shared" si="128"/>
        <v>7.5176653938091809E-2</v>
      </c>
      <c r="AO341" s="4">
        <f t="shared" si="128"/>
        <v>5.1742836177502194E-2</v>
      </c>
      <c r="AP341" s="4">
        <f t="shared" si="128"/>
        <v>3.5319190625345942E-2</v>
      </c>
      <c r="AQ341" s="4">
        <f t="shared" si="128"/>
        <v>2.3969442072658165E-2</v>
      </c>
      <c r="AR341" s="4">
        <f t="shared" si="128"/>
        <v>1.6202243558389728E-2</v>
      </c>
    </row>
    <row r="342" spans="1:44" x14ac:dyDescent="0.25">
      <c r="A342" s="24" t="s">
        <v>59</v>
      </c>
      <c r="B342" s="60">
        <f>'Parameter Input'!$L$172</f>
        <v>647</v>
      </c>
      <c r="C342" s="61">
        <f>'Parameter Input'!$M$172</f>
        <v>600</v>
      </c>
      <c r="D342" s="1" t="s">
        <v>60</v>
      </c>
      <c r="L342" s="54">
        <f>'Parameter Input'!$O$160</f>
        <v>17</v>
      </c>
      <c r="M342" s="37">
        <v>0</v>
      </c>
      <c r="N342" s="37">
        <v>1</v>
      </c>
      <c r="O342" s="37">
        <f>'Parameter Input'!$P$160</f>
        <v>0.9</v>
      </c>
      <c r="P342" s="55">
        <f>'Parameter Input'!$Q$160</f>
        <v>0.4</v>
      </c>
      <c r="Q342" s="4">
        <f t="shared" si="128"/>
        <v>0.99780374543478534</v>
      </c>
      <c r="R342" s="4">
        <f t="shared" si="128"/>
        <v>0.99685359315256394</v>
      </c>
      <c r="S342" s="4">
        <f t="shared" si="128"/>
        <v>0.99549347132349975</v>
      </c>
      <c r="T342" s="4">
        <f t="shared" si="128"/>
        <v>0.99354772139898062</v>
      </c>
      <c r="U342" s="4">
        <f t="shared" si="128"/>
        <v>0.99076681540580536</v>
      </c>
      <c r="V342" s="4">
        <f t="shared" si="128"/>
        <v>0.9867978615748374</v>
      </c>
      <c r="W342" s="4">
        <f t="shared" si="128"/>
        <v>0.98114509762858249</v>
      </c>
      <c r="X342" s="4">
        <f t="shared" si="128"/>
        <v>0.97311898315872036</v>
      </c>
      <c r="Y342" s="4">
        <f t="shared" si="128"/>
        <v>0.96177484161592774</v>
      </c>
      <c r="Z342" s="4">
        <f t="shared" si="128"/>
        <v>0.94584787155511363</v>
      </c>
      <c r="AA342" s="4">
        <f t="shared" si="128"/>
        <v>0.92370360150141495</v>
      </c>
      <c r="AB342" s="4">
        <f t="shared" si="128"/>
        <v>0.89334463567658451</v>
      </c>
      <c r="AC342" s="4">
        <f t="shared" si="128"/>
        <v>0.85254543874327005</v>
      </c>
      <c r="AD342" s="4">
        <f t="shared" si="128"/>
        <v>0.79921300652623883</v>
      </c>
      <c r="AE342" s="4">
        <f t="shared" si="128"/>
        <v>0.73204982249993378</v>
      </c>
      <c r="AF342" s="4">
        <f t="shared" si="128"/>
        <v>0.65145592958786691</v>
      </c>
      <c r="AG342" s="4">
        <f t="shared" si="128"/>
        <v>0.56032247880849573</v>
      </c>
      <c r="AH342" s="4">
        <f t="shared" si="128"/>
        <v>0.46411326873185343</v>
      </c>
      <c r="AI342" s="4">
        <f t="shared" si="128"/>
        <v>0.36979727595523937</v>
      </c>
      <c r="AJ342" s="4">
        <f t="shared" si="128"/>
        <v>0.28393948637231203</v>
      </c>
      <c r="AK342" s="4">
        <f t="shared" si="128"/>
        <v>0.21097259161117732</v>
      </c>
      <c r="AL342" s="4">
        <f t="shared" si="128"/>
        <v>0.15253917653798199</v>
      </c>
      <c r="AM342" s="4">
        <f t="shared" si="128"/>
        <v>0.10795188737709993</v>
      </c>
      <c r="AN342" s="4">
        <f t="shared" si="128"/>
        <v>7.5176653938091809E-2</v>
      </c>
      <c r="AO342" s="4">
        <f t="shared" si="128"/>
        <v>5.1742836177502194E-2</v>
      </c>
      <c r="AP342" s="4">
        <f t="shared" si="128"/>
        <v>3.5319190625345942E-2</v>
      </c>
      <c r="AQ342" s="4">
        <f t="shared" si="128"/>
        <v>2.3969442072658165E-2</v>
      </c>
      <c r="AR342" s="4">
        <f t="shared" si="128"/>
        <v>1.6202243558389728E-2</v>
      </c>
    </row>
    <row r="343" spans="1:44" x14ac:dyDescent="0.25">
      <c r="A343" s="24" t="s">
        <v>67</v>
      </c>
      <c r="B343" s="78">
        <f>'Parameter Input'!$L$173</f>
        <v>3.1399999999999997E-2</v>
      </c>
      <c r="C343" s="61">
        <f>'Parameter Input'!$M$173</f>
        <v>3.1399999999999997E-2</v>
      </c>
      <c r="D343" s="1" t="s">
        <v>68</v>
      </c>
      <c r="L343" s="54">
        <f>'Parameter Input'!$O$161</f>
        <v>17</v>
      </c>
      <c r="M343" s="37">
        <v>0</v>
      </c>
      <c r="N343" s="37">
        <v>1</v>
      </c>
      <c r="O343" s="37">
        <f>'Parameter Input'!$P$161</f>
        <v>0.9</v>
      </c>
      <c r="P343" s="55">
        <f>'Parameter Input'!$Q$161</f>
        <v>0.4</v>
      </c>
      <c r="Q343" s="4">
        <f t="shared" si="128"/>
        <v>0.99780374543478534</v>
      </c>
      <c r="R343" s="4">
        <f t="shared" si="128"/>
        <v>0.99685359315256394</v>
      </c>
      <c r="S343" s="4">
        <f t="shared" si="128"/>
        <v>0.99549347132349975</v>
      </c>
      <c r="T343" s="4">
        <f t="shared" ref="T343:AI350" si="129">$N343+($M343-$N343)*((1/(1+EXP(-$P343*(T$9-$L343)))^$O343))</f>
        <v>0.99354772139898062</v>
      </c>
      <c r="U343" s="4">
        <f t="shared" si="129"/>
        <v>0.99076681540580536</v>
      </c>
      <c r="V343" s="4">
        <f t="shared" si="129"/>
        <v>0.9867978615748374</v>
      </c>
      <c r="W343" s="4">
        <f t="shared" si="129"/>
        <v>0.98114509762858249</v>
      </c>
      <c r="X343" s="4">
        <f t="shared" si="129"/>
        <v>0.97311898315872036</v>
      </c>
      <c r="Y343" s="4">
        <f t="shared" si="129"/>
        <v>0.96177484161592774</v>
      </c>
      <c r="Z343" s="4">
        <f t="shared" si="129"/>
        <v>0.94584787155511363</v>
      </c>
      <c r="AA343" s="4">
        <f t="shared" si="129"/>
        <v>0.92370360150141495</v>
      </c>
      <c r="AB343" s="4">
        <f t="shared" si="129"/>
        <v>0.89334463567658451</v>
      </c>
      <c r="AC343" s="4">
        <f t="shared" si="129"/>
        <v>0.85254543874327005</v>
      </c>
      <c r="AD343" s="4">
        <f t="shared" si="129"/>
        <v>0.79921300652623883</v>
      </c>
      <c r="AE343" s="4">
        <f t="shared" si="129"/>
        <v>0.73204982249993378</v>
      </c>
      <c r="AF343" s="4">
        <f t="shared" si="129"/>
        <v>0.65145592958786691</v>
      </c>
      <c r="AG343" s="4">
        <f t="shared" si="129"/>
        <v>0.56032247880849573</v>
      </c>
      <c r="AH343" s="4">
        <f t="shared" si="129"/>
        <v>0.46411326873185343</v>
      </c>
      <c r="AI343" s="4">
        <f t="shared" si="129"/>
        <v>0.36979727595523937</v>
      </c>
      <c r="AJ343" s="4">
        <f t="shared" ref="AJ343:AR350" si="130">$N343+($M343-$N343)*((1/(1+EXP(-$P343*(AJ$9-$L343)))^$O343))</f>
        <v>0.28393948637231203</v>
      </c>
      <c r="AK343" s="4">
        <f t="shared" si="130"/>
        <v>0.21097259161117732</v>
      </c>
      <c r="AL343" s="4">
        <f t="shared" si="130"/>
        <v>0.15253917653798199</v>
      </c>
      <c r="AM343" s="4">
        <f t="shared" si="130"/>
        <v>0.10795188737709993</v>
      </c>
      <c r="AN343" s="4">
        <f t="shared" si="130"/>
        <v>7.5176653938091809E-2</v>
      </c>
      <c r="AO343" s="4">
        <f t="shared" si="130"/>
        <v>5.1742836177502194E-2</v>
      </c>
      <c r="AP343" s="4">
        <f t="shared" si="130"/>
        <v>3.5319190625345942E-2</v>
      </c>
      <c r="AQ343" s="4">
        <f t="shared" si="130"/>
        <v>2.3969442072658165E-2</v>
      </c>
      <c r="AR343" s="4">
        <f t="shared" si="130"/>
        <v>1.6202243558389728E-2</v>
      </c>
    </row>
    <row r="344" spans="1:44" x14ac:dyDescent="0.25">
      <c r="A344" s="24" t="s">
        <v>206</v>
      </c>
      <c r="B344" s="78">
        <f>'Parameter Input'!$L$176</f>
        <v>18.177348551360843</v>
      </c>
      <c r="C344" s="61">
        <f>'Parameter Input'!$M$176</f>
        <v>58.999122036874446</v>
      </c>
      <c r="D344" s="1"/>
      <c r="L344" s="54">
        <f>'Parameter Input'!O164</f>
        <v>17</v>
      </c>
      <c r="M344" s="37">
        <v>0</v>
      </c>
      <c r="N344" s="37">
        <v>1</v>
      </c>
      <c r="O344" s="37">
        <f>'Parameter Input'!P164</f>
        <v>0.9</v>
      </c>
      <c r="P344" s="55">
        <f>'Parameter Input'!Q164</f>
        <v>0.4</v>
      </c>
      <c r="Q344" s="4">
        <f t="shared" ref="Q344:AR350" si="131">$N344+($M344-$N344)*((1/(1+EXP(-$P344*(Q$9-$L344)))^$O344))</f>
        <v>0.99780374543478534</v>
      </c>
      <c r="R344" s="4">
        <f t="shared" si="131"/>
        <v>0.99685359315256394</v>
      </c>
      <c r="S344" s="4">
        <f t="shared" si="131"/>
        <v>0.99549347132349975</v>
      </c>
      <c r="T344" s="4">
        <f t="shared" si="131"/>
        <v>0.99354772139898062</v>
      </c>
      <c r="U344" s="4">
        <f t="shared" si="131"/>
        <v>0.99076681540580536</v>
      </c>
      <c r="V344" s="4">
        <f t="shared" si="131"/>
        <v>0.9867978615748374</v>
      </c>
      <c r="W344" s="4">
        <f t="shared" si="131"/>
        <v>0.98114509762858249</v>
      </c>
      <c r="X344" s="4">
        <f t="shared" si="131"/>
        <v>0.97311898315872036</v>
      </c>
      <c r="Y344" s="4">
        <f t="shared" si="131"/>
        <v>0.96177484161592774</v>
      </c>
      <c r="Z344" s="4">
        <f t="shared" si="131"/>
        <v>0.94584787155511363</v>
      </c>
      <c r="AA344" s="4">
        <f t="shared" si="131"/>
        <v>0.92370360150141495</v>
      </c>
      <c r="AB344" s="4">
        <f t="shared" si="131"/>
        <v>0.89334463567658451</v>
      </c>
      <c r="AC344" s="4">
        <f t="shared" si="131"/>
        <v>0.85254543874327005</v>
      </c>
      <c r="AD344" s="4">
        <f t="shared" si="131"/>
        <v>0.79921300652623883</v>
      </c>
      <c r="AE344" s="4">
        <f t="shared" si="131"/>
        <v>0.73204982249993378</v>
      </c>
      <c r="AF344" s="4">
        <f t="shared" si="131"/>
        <v>0.65145592958786691</v>
      </c>
      <c r="AG344" s="4">
        <f t="shared" si="131"/>
        <v>0.56032247880849573</v>
      </c>
      <c r="AH344" s="4">
        <f t="shared" si="131"/>
        <v>0.46411326873185343</v>
      </c>
      <c r="AI344" s="4">
        <f t="shared" si="131"/>
        <v>0.36979727595523937</v>
      </c>
      <c r="AJ344" s="4">
        <f t="shared" si="131"/>
        <v>0.28393948637231203</v>
      </c>
      <c r="AK344" s="4">
        <f t="shared" si="131"/>
        <v>0.21097259161117732</v>
      </c>
      <c r="AL344" s="4">
        <f t="shared" si="131"/>
        <v>0.15253917653798199</v>
      </c>
      <c r="AM344" s="4">
        <f t="shared" si="131"/>
        <v>0.10795188737709993</v>
      </c>
      <c r="AN344" s="4">
        <f t="shared" si="131"/>
        <v>7.5176653938091809E-2</v>
      </c>
      <c r="AO344" s="4">
        <f t="shared" si="131"/>
        <v>5.1742836177502194E-2</v>
      </c>
      <c r="AP344" s="4">
        <f t="shared" si="131"/>
        <v>3.5319190625345942E-2</v>
      </c>
      <c r="AQ344" s="4">
        <f t="shared" si="131"/>
        <v>2.3969442072658165E-2</v>
      </c>
      <c r="AR344" s="4">
        <f t="shared" si="131"/>
        <v>1.6202243558389728E-2</v>
      </c>
    </row>
    <row r="345" spans="1:44" x14ac:dyDescent="0.25">
      <c r="A345" s="24" t="s">
        <v>41</v>
      </c>
      <c r="B345" s="60">
        <f>'Parameter Input'!$L$170</f>
        <v>25</v>
      </c>
      <c r="C345" s="61">
        <f>'Parameter Input'!$M$170</f>
        <v>25</v>
      </c>
      <c r="D345" s="1" t="s">
        <v>42</v>
      </c>
      <c r="L345" s="54">
        <f>'Parameter Input'!$O$158</f>
        <v>17</v>
      </c>
      <c r="M345" s="37">
        <v>0</v>
      </c>
      <c r="N345" s="37">
        <v>1</v>
      </c>
      <c r="O345" s="37">
        <f>'Parameter Input'!$P$158</f>
        <v>0.9</v>
      </c>
      <c r="P345" s="55">
        <f>'Parameter Input'!$Q$158</f>
        <v>0.4</v>
      </c>
      <c r="Q345" s="4">
        <f t="shared" si="131"/>
        <v>0.99780374543478534</v>
      </c>
      <c r="R345" s="4">
        <f t="shared" si="131"/>
        <v>0.99685359315256394</v>
      </c>
      <c r="S345" s="4">
        <f t="shared" si="131"/>
        <v>0.99549347132349975</v>
      </c>
      <c r="T345" s="4">
        <f t="shared" si="131"/>
        <v>0.99354772139898062</v>
      </c>
      <c r="U345" s="4">
        <f t="shared" si="131"/>
        <v>0.99076681540580536</v>
      </c>
      <c r="V345" s="4">
        <f t="shared" si="131"/>
        <v>0.9867978615748374</v>
      </c>
      <c r="W345" s="4">
        <f t="shared" si="131"/>
        <v>0.98114509762858249</v>
      </c>
      <c r="X345" s="4">
        <f t="shared" si="131"/>
        <v>0.97311898315872036</v>
      </c>
      <c r="Y345" s="4">
        <f t="shared" si="131"/>
        <v>0.96177484161592774</v>
      </c>
      <c r="Z345" s="4">
        <f t="shared" si="131"/>
        <v>0.94584787155511363</v>
      </c>
      <c r="AA345" s="4">
        <f t="shared" si="131"/>
        <v>0.92370360150141495</v>
      </c>
      <c r="AB345" s="4">
        <f t="shared" si="131"/>
        <v>0.89334463567658451</v>
      </c>
      <c r="AC345" s="4">
        <f t="shared" si="131"/>
        <v>0.85254543874327005</v>
      </c>
      <c r="AD345" s="4">
        <f t="shared" si="131"/>
        <v>0.79921300652623883</v>
      </c>
      <c r="AE345" s="4">
        <f t="shared" si="131"/>
        <v>0.73204982249993378</v>
      </c>
      <c r="AF345" s="4">
        <f t="shared" si="131"/>
        <v>0.65145592958786691</v>
      </c>
      <c r="AG345" s="4">
        <f t="shared" si="129"/>
        <v>0.56032247880849573</v>
      </c>
      <c r="AH345" s="4">
        <f t="shared" si="129"/>
        <v>0.46411326873185343</v>
      </c>
      <c r="AI345" s="4">
        <f t="shared" si="129"/>
        <v>0.36979727595523937</v>
      </c>
      <c r="AJ345" s="4">
        <f t="shared" si="130"/>
        <v>0.28393948637231203</v>
      </c>
      <c r="AK345" s="4">
        <f t="shared" si="130"/>
        <v>0.21097259161117732</v>
      </c>
      <c r="AL345" s="4">
        <f t="shared" si="130"/>
        <v>0.15253917653798199</v>
      </c>
      <c r="AM345" s="4">
        <f t="shared" si="130"/>
        <v>0.10795188737709993</v>
      </c>
      <c r="AN345" s="4">
        <f t="shared" si="130"/>
        <v>7.5176653938091809E-2</v>
      </c>
      <c r="AO345" s="4">
        <f t="shared" si="130"/>
        <v>5.1742836177502194E-2</v>
      </c>
      <c r="AP345" s="4">
        <f t="shared" si="130"/>
        <v>3.5319190625345942E-2</v>
      </c>
      <c r="AQ345" s="4">
        <f t="shared" si="130"/>
        <v>2.3969442072658165E-2</v>
      </c>
      <c r="AR345" s="4">
        <f t="shared" si="130"/>
        <v>1.6202243558389728E-2</v>
      </c>
    </row>
    <row r="346" spans="1:44" x14ac:dyDescent="0.25">
      <c r="A346" s="24" t="s">
        <v>70</v>
      </c>
      <c r="B346" s="60">
        <f>'Parameter Input'!B199</f>
        <v>25</v>
      </c>
      <c r="C346" s="61">
        <f>'Parameter Input'!C199</f>
        <v>25</v>
      </c>
      <c r="D346" s="1" t="s">
        <v>42</v>
      </c>
      <c r="L346" s="54">
        <f>'Parameter Input'!E199</f>
        <v>17</v>
      </c>
      <c r="M346" s="37">
        <v>0</v>
      </c>
      <c r="N346" s="37">
        <v>1</v>
      </c>
      <c r="O346" s="37">
        <f>'Parameter Input'!F199</f>
        <v>0.9</v>
      </c>
      <c r="P346" s="55">
        <f>'Parameter Input'!G199</f>
        <v>0.4</v>
      </c>
      <c r="Q346" s="4">
        <f t="shared" si="131"/>
        <v>0.99780374543478534</v>
      </c>
      <c r="R346" s="4">
        <f t="shared" si="131"/>
        <v>0.99685359315256394</v>
      </c>
      <c r="S346" s="4">
        <f t="shared" si="131"/>
        <v>0.99549347132349975</v>
      </c>
      <c r="T346" s="4">
        <f t="shared" si="131"/>
        <v>0.99354772139898062</v>
      </c>
      <c r="U346" s="4">
        <f t="shared" si="131"/>
        <v>0.99076681540580536</v>
      </c>
      <c r="V346" s="4">
        <f t="shared" si="131"/>
        <v>0.9867978615748374</v>
      </c>
      <c r="W346" s="4">
        <f t="shared" si="131"/>
        <v>0.98114509762858249</v>
      </c>
      <c r="X346" s="4">
        <f t="shared" si="131"/>
        <v>0.97311898315872036</v>
      </c>
      <c r="Y346" s="4">
        <f t="shared" si="131"/>
        <v>0.96177484161592774</v>
      </c>
      <c r="Z346" s="4">
        <f t="shared" si="131"/>
        <v>0.94584787155511363</v>
      </c>
      <c r="AA346" s="4">
        <f t="shared" si="131"/>
        <v>0.92370360150141495</v>
      </c>
      <c r="AB346" s="4">
        <f t="shared" si="131"/>
        <v>0.89334463567658451</v>
      </c>
      <c r="AC346" s="4">
        <f t="shared" si="131"/>
        <v>0.85254543874327005</v>
      </c>
      <c r="AD346" s="4">
        <f t="shared" si="131"/>
        <v>0.79921300652623883</v>
      </c>
      <c r="AE346" s="4">
        <f t="shared" si="131"/>
        <v>0.73204982249993378</v>
      </c>
      <c r="AF346" s="4">
        <f t="shared" si="131"/>
        <v>0.65145592958786691</v>
      </c>
      <c r="AG346" s="4">
        <f t="shared" si="129"/>
        <v>0.56032247880849573</v>
      </c>
      <c r="AH346" s="4">
        <f t="shared" si="129"/>
        <v>0.46411326873185343</v>
      </c>
      <c r="AI346" s="4">
        <f t="shared" si="129"/>
        <v>0.36979727595523937</v>
      </c>
      <c r="AJ346" s="4">
        <f t="shared" si="130"/>
        <v>0.28393948637231203</v>
      </c>
      <c r="AK346" s="4">
        <f t="shared" si="130"/>
        <v>0.21097259161117732</v>
      </c>
      <c r="AL346" s="4">
        <f t="shared" si="130"/>
        <v>0.15253917653798199</v>
      </c>
      <c r="AM346" s="4">
        <f t="shared" si="130"/>
        <v>0.10795188737709993</v>
      </c>
      <c r="AN346" s="4">
        <f t="shared" si="130"/>
        <v>7.5176653938091809E-2</v>
      </c>
      <c r="AO346" s="4">
        <f t="shared" si="130"/>
        <v>5.1742836177502194E-2</v>
      </c>
      <c r="AP346" s="4">
        <f t="shared" si="130"/>
        <v>3.5319190625345942E-2</v>
      </c>
      <c r="AQ346" s="4">
        <f t="shared" si="130"/>
        <v>2.3969442072658165E-2</v>
      </c>
      <c r="AR346" s="4">
        <f t="shared" si="130"/>
        <v>1.6202243558389728E-2</v>
      </c>
    </row>
    <row r="347" spans="1:44" x14ac:dyDescent="0.25">
      <c r="A347" s="24" t="s">
        <v>207</v>
      </c>
      <c r="B347" s="43">
        <f>'Parameter Input'!B196</f>
        <v>9450</v>
      </c>
      <c r="C347" s="44">
        <f>'Parameter Input'!C196</f>
        <v>9450</v>
      </c>
      <c r="D347" s="1" t="s">
        <v>49</v>
      </c>
      <c r="L347" s="54">
        <f>'Parameter Input'!E196</f>
        <v>17</v>
      </c>
      <c r="M347" s="37">
        <v>0</v>
      </c>
      <c r="N347" s="37">
        <v>1</v>
      </c>
      <c r="O347" s="37">
        <f>'Parameter Input'!F196</f>
        <v>0.9</v>
      </c>
      <c r="P347" s="55">
        <f>'Parameter Input'!G196</f>
        <v>0.4</v>
      </c>
      <c r="Q347" s="4">
        <f t="shared" si="131"/>
        <v>0.99780374543478534</v>
      </c>
      <c r="R347" s="4">
        <f t="shared" si="131"/>
        <v>0.99685359315256394</v>
      </c>
      <c r="S347" s="4">
        <f t="shared" si="131"/>
        <v>0.99549347132349975</v>
      </c>
      <c r="T347" s="4">
        <f t="shared" si="131"/>
        <v>0.99354772139898062</v>
      </c>
      <c r="U347" s="4">
        <f t="shared" si="131"/>
        <v>0.99076681540580536</v>
      </c>
      <c r="V347" s="4">
        <f t="shared" si="131"/>
        <v>0.9867978615748374</v>
      </c>
      <c r="W347" s="4">
        <f t="shared" si="131"/>
        <v>0.98114509762858249</v>
      </c>
      <c r="X347" s="4">
        <f t="shared" si="131"/>
        <v>0.97311898315872036</v>
      </c>
      <c r="Y347" s="4">
        <f t="shared" si="131"/>
        <v>0.96177484161592774</v>
      </c>
      <c r="Z347" s="4">
        <f t="shared" si="131"/>
        <v>0.94584787155511363</v>
      </c>
      <c r="AA347" s="4">
        <f t="shared" si="131"/>
        <v>0.92370360150141495</v>
      </c>
      <c r="AB347" s="4">
        <f t="shared" si="131"/>
        <v>0.89334463567658451</v>
      </c>
      <c r="AC347" s="4">
        <f t="shared" si="131"/>
        <v>0.85254543874327005</v>
      </c>
      <c r="AD347" s="4">
        <f t="shared" si="131"/>
        <v>0.79921300652623883</v>
      </c>
      <c r="AE347" s="4">
        <f t="shared" si="131"/>
        <v>0.73204982249993378</v>
      </c>
      <c r="AF347" s="4">
        <f t="shared" si="131"/>
        <v>0.65145592958786691</v>
      </c>
      <c r="AG347" s="4">
        <f t="shared" si="129"/>
        <v>0.56032247880849573</v>
      </c>
      <c r="AH347" s="4">
        <f t="shared" si="129"/>
        <v>0.46411326873185343</v>
      </c>
      <c r="AI347" s="4">
        <f t="shared" si="129"/>
        <v>0.36979727595523937</v>
      </c>
      <c r="AJ347" s="4">
        <f t="shared" si="130"/>
        <v>0.28393948637231203</v>
      </c>
      <c r="AK347" s="4">
        <f t="shared" si="130"/>
        <v>0.21097259161117732</v>
      </c>
      <c r="AL347" s="4">
        <f t="shared" si="130"/>
        <v>0.15253917653798199</v>
      </c>
      <c r="AM347" s="4">
        <f t="shared" si="130"/>
        <v>0.10795188737709993</v>
      </c>
      <c r="AN347" s="4">
        <f t="shared" si="130"/>
        <v>7.5176653938091809E-2</v>
      </c>
      <c r="AO347" s="4">
        <f t="shared" si="130"/>
        <v>5.1742836177502194E-2</v>
      </c>
      <c r="AP347" s="4">
        <f t="shared" si="130"/>
        <v>3.5319190625345942E-2</v>
      </c>
      <c r="AQ347" s="4">
        <f t="shared" si="130"/>
        <v>2.3969442072658165E-2</v>
      </c>
      <c r="AR347" s="4">
        <f t="shared" si="130"/>
        <v>1.6202243558389728E-2</v>
      </c>
    </row>
    <row r="348" spans="1:44" x14ac:dyDescent="0.25">
      <c r="A348" s="24" t="s">
        <v>56</v>
      </c>
      <c r="B348" s="45">
        <f>'Parameter Input'!B197</f>
        <v>0.68</v>
      </c>
      <c r="C348" s="46">
        <f>'Parameter Input'!C197</f>
        <v>0.68</v>
      </c>
      <c r="D348" s="1" t="s">
        <v>57</v>
      </c>
      <c r="L348" s="54">
        <f>'Parameter Input'!E197</f>
        <v>17</v>
      </c>
      <c r="M348" s="37">
        <v>0</v>
      </c>
      <c r="N348" s="37">
        <v>1</v>
      </c>
      <c r="O348" s="37">
        <f>'Parameter Input'!F197</f>
        <v>0.9</v>
      </c>
      <c r="P348" s="55">
        <f>'Parameter Input'!G197</f>
        <v>0.4</v>
      </c>
      <c r="Q348" s="4">
        <f t="shared" si="131"/>
        <v>0.99780374543478534</v>
      </c>
      <c r="R348" s="4">
        <f t="shared" si="131"/>
        <v>0.99685359315256394</v>
      </c>
      <c r="S348" s="4">
        <f t="shared" si="131"/>
        <v>0.99549347132349975</v>
      </c>
      <c r="T348" s="4">
        <f t="shared" si="131"/>
        <v>0.99354772139898062</v>
      </c>
      <c r="U348" s="4">
        <f t="shared" si="131"/>
        <v>0.99076681540580536</v>
      </c>
      <c r="V348" s="4">
        <f t="shared" si="131"/>
        <v>0.9867978615748374</v>
      </c>
      <c r="W348" s="4">
        <f t="shared" si="131"/>
        <v>0.98114509762858249</v>
      </c>
      <c r="X348" s="4">
        <f t="shared" si="131"/>
        <v>0.97311898315872036</v>
      </c>
      <c r="Y348" s="4">
        <f t="shared" si="131"/>
        <v>0.96177484161592774</v>
      </c>
      <c r="Z348" s="4">
        <f t="shared" si="131"/>
        <v>0.94584787155511363</v>
      </c>
      <c r="AA348" s="4">
        <f t="shared" si="131"/>
        <v>0.92370360150141495</v>
      </c>
      <c r="AB348" s="4">
        <f t="shared" si="131"/>
        <v>0.89334463567658451</v>
      </c>
      <c r="AC348" s="4">
        <f t="shared" si="131"/>
        <v>0.85254543874327005</v>
      </c>
      <c r="AD348" s="4">
        <f t="shared" si="131"/>
        <v>0.79921300652623883</v>
      </c>
      <c r="AE348" s="4">
        <f t="shared" si="131"/>
        <v>0.73204982249993378</v>
      </c>
      <c r="AF348" s="4">
        <f t="shared" si="131"/>
        <v>0.65145592958786691</v>
      </c>
      <c r="AG348" s="4">
        <f t="shared" si="129"/>
        <v>0.56032247880849573</v>
      </c>
      <c r="AH348" s="4">
        <f t="shared" si="129"/>
        <v>0.46411326873185343</v>
      </c>
      <c r="AI348" s="4">
        <f t="shared" si="129"/>
        <v>0.36979727595523937</v>
      </c>
      <c r="AJ348" s="4">
        <f t="shared" si="130"/>
        <v>0.28393948637231203</v>
      </c>
      <c r="AK348" s="4">
        <f t="shared" si="130"/>
        <v>0.21097259161117732</v>
      </c>
      <c r="AL348" s="4">
        <f t="shared" si="130"/>
        <v>0.15253917653798199</v>
      </c>
      <c r="AM348" s="4">
        <f t="shared" si="130"/>
        <v>0.10795188737709993</v>
      </c>
      <c r="AN348" s="4">
        <f t="shared" si="130"/>
        <v>7.5176653938091809E-2</v>
      </c>
      <c r="AO348" s="4">
        <f t="shared" si="130"/>
        <v>5.1742836177502194E-2</v>
      </c>
      <c r="AP348" s="4">
        <f t="shared" si="130"/>
        <v>3.5319190625345942E-2</v>
      </c>
      <c r="AQ348" s="4">
        <f t="shared" si="130"/>
        <v>2.3969442072658165E-2</v>
      </c>
      <c r="AR348" s="4">
        <f t="shared" si="130"/>
        <v>1.6202243558389728E-2</v>
      </c>
    </row>
    <row r="349" spans="1:44" x14ac:dyDescent="0.25">
      <c r="A349" s="24" t="s">
        <v>73</v>
      </c>
      <c r="B349" s="45">
        <f>'Parameter Input'!$L$174</f>
        <v>0</v>
      </c>
      <c r="C349" s="46">
        <f>'Parameter Input'!$M$174</f>
        <v>0</v>
      </c>
      <c r="D349" s="1" t="s">
        <v>57</v>
      </c>
      <c r="L349" s="54">
        <f>'Parameter Input'!$O$162</f>
        <v>17</v>
      </c>
      <c r="M349" s="37">
        <v>0</v>
      </c>
      <c r="N349" s="37">
        <v>1</v>
      </c>
      <c r="O349" s="37">
        <f>'Parameter Input'!$P$162</f>
        <v>0.9</v>
      </c>
      <c r="P349" s="55">
        <f>'Parameter Input'!$Q$162</f>
        <v>0.4</v>
      </c>
      <c r="Q349" s="4">
        <f t="shared" si="131"/>
        <v>0.99780374543478534</v>
      </c>
      <c r="R349" s="4">
        <f t="shared" si="131"/>
        <v>0.99685359315256394</v>
      </c>
      <c r="S349" s="4">
        <f t="shared" si="131"/>
        <v>0.99549347132349975</v>
      </c>
      <c r="T349" s="4">
        <f t="shared" si="131"/>
        <v>0.99354772139898062</v>
      </c>
      <c r="U349" s="4">
        <f t="shared" si="131"/>
        <v>0.99076681540580536</v>
      </c>
      <c r="V349" s="4">
        <f t="shared" si="131"/>
        <v>0.9867978615748374</v>
      </c>
      <c r="W349" s="4">
        <f t="shared" si="131"/>
        <v>0.98114509762858249</v>
      </c>
      <c r="X349" s="4">
        <f t="shared" si="131"/>
        <v>0.97311898315872036</v>
      </c>
      <c r="Y349" s="4">
        <f t="shared" si="131"/>
        <v>0.96177484161592774</v>
      </c>
      <c r="Z349" s="4">
        <f t="shared" si="131"/>
        <v>0.94584787155511363</v>
      </c>
      <c r="AA349" s="4">
        <f t="shared" si="131"/>
        <v>0.92370360150141495</v>
      </c>
      <c r="AB349" s="4">
        <f t="shared" si="131"/>
        <v>0.89334463567658451</v>
      </c>
      <c r="AC349" s="4">
        <f t="shared" si="131"/>
        <v>0.85254543874327005</v>
      </c>
      <c r="AD349" s="4">
        <f t="shared" si="131"/>
        <v>0.79921300652623883</v>
      </c>
      <c r="AE349" s="4">
        <f t="shared" si="131"/>
        <v>0.73204982249993378</v>
      </c>
      <c r="AF349" s="4">
        <f t="shared" si="131"/>
        <v>0.65145592958786691</v>
      </c>
      <c r="AG349" s="4">
        <f t="shared" si="129"/>
        <v>0.56032247880849573</v>
      </c>
      <c r="AH349" s="4">
        <f t="shared" si="129"/>
        <v>0.46411326873185343</v>
      </c>
      <c r="AI349" s="4">
        <f t="shared" si="129"/>
        <v>0.36979727595523937</v>
      </c>
      <c r="AJ349" s="4">
        <f t="shared" si="130"/>
        <v>0.28393948637231203</v>
      </c>
      <c r="AK349" s="4">
        <f t="shared" si="130"/>
        <v>0.21097259161117732</v>
      </c>
      <c r="AL349" s="4">
        <f t="shared" si="130"/>
        <v>0.15253917653798199</v>
      </c>
      <c r="AM349" s="4">
        <f t="shared" si="130"/>
        <v>0.10795188737709993</v>
      </c>
      <c r="AN349" s="4">
        <f t="shared" si="130"/>
        <v>7.5176653938091809E-2</v>
      </c>
      <c r="AO349" s="4">
        <f t="shared" si="130"/>
        <v>5.1742836177502194E-2</v>
      </c>
      <c r="AP349" s="4">
        <f t="shared" si="130"/>
        <v>3.5319190625345942E-2</v>
      </c>
      <c r="AQ349" s="4">
        <f t="shared" si="130"/>
        <v>2.3969442072658165E-2</v>
      </c>
      <c r="AR349" s="4">
        <f t="shared" si="130"/>
        <v>1.6202243558389728E-2</v>
      </c>
    </row>
    <row r="350" spans="1:44" ht="15.75" thickBot="1" x14ac:dyDescent="0.3">
      <c r="A350" s="24" t="s">
        <v>64</v>
      </c>
      <c r="B350" s="49">
        <f>'Parameter Input'!B198</f>
        <v>120000</v>
      </c>
      <c r="C350" s="50">
        <f>'Parameter Input'!C198</f>
        <v>120000</v>
      </c>
      <c r="D350" s="1" t="s">
        <v>65</v>
      </c>
      <c r="L350" s="56">
        <f>'Parameter Input'!E198</f>
        <v>17</v>
      </c>
      <c r="M350" s="57">
        <v>0</v>
      </c>
      <c r="N350" s="57">
        <v>1</v>
      </c>
      <c r="O350" s="57">
        <f>'Parameter Input'!F198</f>
        <v>0.9</v>
      </c>
      <c r="P350" s="58">
        <f>'Parameter Input'!G198</f>
        <v>0.4</v>
      </c>
      <c r="Q350" s="4">
        <f t="shared" si="131"/>
        <v>0.99780374543478534</v>
      </c>
      <c r="R350" s="4">
        <f t="shared" si="131"/>
        <v>0.99685359315256394</v>
      </c>
      <c r="S350" s="4">
        <f t="shared" si="131"/>
        <v>0.99549347132349975</v>
      </c>
      <c r="T350" s="4">
        <f t="shared" si="131"/>
        <v>0.99354772139898062</v>
      </c>
      <c r="U350" s="4">
        <f t="shared" si="131"/>
        <v>0.99076681540580536</v>
      </c>
      <c r="V350" s="4">
        <f t="shared" si="131"/>
        <v>0.9867978615748374</v>
      </c>
      <c r="W350" s="4">
        <f t="shared" si="131"/>
        <v>0.98114509762858249</v>
      </c>
      <c r="X350" s="4">
        <f t="shared" si="131"/>
        <v>0.97311898315872036</v>
      </c>
      <c r="Y350" s="4">
        <f t="shared" si="131"/>
        <v>0.96177484161592774</v>
      </c>
      <c r="Z350" s="4">
        <f t="shared" si="131"/>
        <v>0.94584787155511363</v>
      </c>
      <c r="AA350" s="4">
        <f t="shared" si="131"/>
        <v>0.92370360150141495</v>
      </c>
      <c r="AB350" s="4">
        <f t="shared" si="131"/>
        <v>0.89334463567658451</v>
      </c>
      <c r="AC350" s="4">
        <f t="shared" si="131"/>
        <v>0.85254543874327005</v>
      </c>
      <c r="AD350" s="4">
        <f t="shared" si="131"/>
        <v>0.79921300652623883</v>
      </c>
      <c r="AE350" s="4">
        <f t="shared" si="131"/>
        <v>0.73204982249993378</v>
      </c>
      <c r="AF350" s="4">
        <f t="shared" si="131"/>
        <v>0.65145592958786691</v>
      </c>
      <c r="AG350" s="4">
        <f t="shared" si="129"/>
        <v>0.56032247880849573</v>
      </c>
      <c r="AH350" s="4">
        <f t="shared" si="129"/>
        <v>0.46411326873185343</v>
      </c>
      <c r="AI350" s="4">
        <f t="shared" si="129"/>
        <v>0.36979727595523937</v>
      </c>
      <c r="AJ350" s="4">
        <f t="shared" si="130"/>
        <v>0.28393948637231203</v>
      </c>
      <c r="AK350" s="4">
        <f t="shared" si="130"/>
        <v>0.21097259161117732</v>
      </c>
      <c r="AL350" s="4">
        <f t="shared" si="130"/>
        <v>0.15253917653798199</v>
      </c>
      <c r="AM350" s="4">
        <f t="shared" si="130"/>
        <v>0.10795188737709993</v>
      </c>
      <c r="AN350" s="4">
        <f t="shared" si="130"/>
        <v>7.5176653938091809E-2</v>
      </c>
      <c r="AO350" s="4">
        <f t="shared" si="130"/>
        <v>5.1742836177502194E-2</v>
      </c>
      <c r="AP350" s="4">
        <f t="shared" si="130"/>
        <v>3.5319190625345942E-2</v>
      </c>
      <c r="AQ350" s="4">
        <f t="shared" si="130"/>
        <v>2.3969442072658165E-2</v>
      </c>
      <c r="AR350" s="4">
        <f t="shared" si="130"/>
        <v>1.6202243558389728E-2</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8" si="132">A334</f>
        <v>Capex vehicle</v>
      </c>
      <c r="B354" s="62">
        <f t="shared" ref="B354:AC363" si="133">$B334+($C334-$B334)*(1-Q334)</f>
        <v>15000000</v>
      </c>
      <c r="C354" s="62">
        <f t="shared" si="133"/>
        <v>15000000</v>
      </c>
      <c r="D354" s="62">
        <f t="shared" si="133"/>
        <v>15000000</v>
      </c>
      <c r="E354" s="62">
        <f t="shared" si="133"/>
        <v>15000000</v>
      </c>
      <c r="F354" s="62">
        <f t="shared" si="133"/>
        <v>15000000</v>
      </c>
      <c r="G354" s="62">
        <f t="shared" si="133"/>
        <v>15000000</v>
      </c>
      <c r="H354" s="62">
        <f t="shared" si="133"/>
        <v>15000000</v>
      </c>
      <c r="I354" s="62">
        <f t="shared" si="133"/>
        <v>15000000</v>
      </c>
      <c r="J354" s="62">
        <f t="shared" si="133"/>
        <v>15000000</v>
      </c>
      <c r="K354" s="62">
        <f t="shared" si="133"/>
        <v>15000000</v>
      </c>
      <c r="L354" s="62">
        <f t="shared" si="133"/>
        <v>15000000</v>
      </c>
      <c r="M354" s="62">
        <f t="shared" si="133"/>
        <v>15000000</v>
      </c>
      <c r="N354" s="62">
        <f t="shared" si="133"/>
        <v>15000000</v>
      </c>
      <c r="O354" s="62">
        <f t="shared" si="133"/>
        <v>15000000</v>
      </c>
      <c r="P354" s="62">
        <f t="shared" si="133"/>
        <v>15000000</v>
      </c>
      <c r="Q354" s="62">
        <f t="shared" si="133"/>
        <v>15000000</v>
      </c>
      <c r="R354" s="62">
        <f t="shared" si="133"/>
        <v>15000000</v>
      </c>
      <c r="S354" s="62">
        <f t="shared" si="133"/>
        <v>15000000</v>
      </c>
      <c r="T354" s="62">
        <f t="shared" si="133"/>
        <v>15000000</v>
      </c>
      <c r="U354" s="62">
        <f t="shared" si="133"/>
        <v>15000000</v>
      </c>
      <c r="V354" s="62">
        <f t="shared" si="133"/>
        <v>15000000</v>
      </c>
      <c r="W354" s="62">
        <f t="shared" si="133"/>
        <v>15000000</v>
      </c>
      <c r="X354" s="62">
        <f t="shared" si="133"/>
        <v>15000000</v>
      </c>
      <c r="Y354" s="62">
        <f t="shared" si="133"/>
        <v>15000000</v>
      </c>
      <c r="Z354" s="62">
        <f t="shared" si="133"/>
        <v>15000000</v>
      </c>
      <c r="AA354" s="62">
        <f t="shared" si="133"/>
        <v>15000000</v>
      </c>
      <c r="AB354" s="62">
        <f t="shared" si="133"/>
        <v>15000000</v>
      </c>
      <c r="AC354" s="62">
        <f t="shared" si="133"/>
        <v>15000000</v>
      </c>
    </row>
    <row r="355" spans="1:29" x14ac:dyDescent="0.25">
      <c r="A355" s="30" t="str">
        <f t="shared" si="132"/>
        <v>Residual value (vehicle)</v>
      </c>
      <c r="B355" s="62">
        <f t="shared" si="133"/>
        <v>-1498352.8090760889</v>
      </c>
      <c r="C355" s="62">
        <f t="shared" si="133"/>
        <v>-1497640.194864423</v>
      </c>
      <c r="D355" s="62">
        <f t="shared" si="133"/>
        <v>-1496620.1034926248</v>
      </c>
      <c r="E355" s="62">
        <f t="shared" si="133"/>
        <v>-1495160.7910492355</v>
      </c>
      <c r="F355" s="62">
        <f t="shared" si="133"/>
        <v>-1493075.111554354</v>
      </c>
      <c r="G355" s="62">
        <f t="shared" si="133"/>
        <v>-1490098.396181128</v>
      </c>
      <c r="H355" s="62">
        <f t="shared" si="133"/>
        <v>-1485858.8232214369</v>
      </c>
      <c r="I355" s="62">
        <f t="shared" si="133"/>
        <v>-1479839.2373690403</v>
      </c>
      <c r="J355" s="62">
        <f t="shared" si="133"/>
        <v>-1471331.1312119458</v>
      </c>
      <c r="K355" s="62">
        <f t="shared" si="133"/>
        <v>-1459385.9036663352</v>
      </c>
      <c r="L355" s="62">
        <f t="shared" si="133"/>
        <v>-1442777.7011260611</v>
      </c>
      <c r="M355" s="62">
        <f t="shared" si="133"/>
        <v>-1420008.4767574384</v>
      </c>
      <c r="N355" s="62">
        <f t="shared" si="133"/>
        <v>-1389409.0790574525</v>
      </c>
      <c r="O355" s="62">
        <f t="shared" si="133"/>
        <v>-1349409.7548946792</v>
      </c>
      <c r="P355" s="62">
        <f t="shared" si="133"/>
        <v>-1299037.3668749502</v>
      </c>
      <c r="Q355" s="62">
        <f t="shared" si="133"/>
        <v>-1238591.9471909001</v>
      </c>
      <c r="R355" s="62">
        <f t="shared" si="133"/>
        <v>-1170241.8591063719</v>
      </c>
      <c r="S355" s="62">
        <f t="shared" si="133"/>
        <v>-1098084.9515488902</v>
      </c>
      <c r="T355" s="62">
        <f t="shared" si="133"/>
        <v>-1027347.9569664295</v>
      </c>
      <c r="U355" s="62">
        <f t="shared" si="133"/>
        <v>-962954.61477923405</v>
      </c>
      <c r="V355" s="62">
        <f t="shared" si="133"/>
        <v>-908229.44370838301</v>
      </c>
      <c r="W355" s="62">
        <f t="shared" si="133"/>
        <v>-864404.38240348652</v>
      </c>
      <c r="X355" s="62">
        <f t="shared" si="133"/>
        <v>-830963.91553282493</v>
      </c>
      <c r="Y355" s="62">
        <f t="shared" si="133"/>
        <v>-806382.49045356887</v>
      </c>
      <c r="Z355" s="62">
        <f t="shared" si="133"/>
        <v>-788807.1271331266</v>
      </c>
      <c r="AA355" s="62">
        <f t="shared" si="133"/>
        <v>-776489.39296900947</v>
      </c>
      <c r="AB355" s="62">
        <f t="shared" si="133"/>
        <v>-767977.08155449363</v>
      </c>
      <c r="AC355" s="62">
        <f t="shared" si="133"/>
        <v>-762151.68266879232</v>
      </c>
    </row>
    <row r="356" spans="1:29" x14ac:dyDescent="0.25">
      <c r="A356" s="30" t="str">
        <f t="shared" si="132"/>
        <v>Capex costumization</v>
      </c>
      <c r="B356" s="62">
        <f t="shared" si="133"/>
        <v>1000000</v>
      </c>
      <c r="C356" s="62">
        <f t="shared" si="133"/>
        <v>1000000</v>
      </c>
      <c r="D356" s="62">
        <f t="shared" si="133"/>
        <v>1000000</v>
      </c>
      <c r="E356" s="62">
        <f t="shared" si="133"/>
        <v>1000000</v>
      </c>
      <c r="F356" s="62">
        <f t="shared" si="133"/>
        <v>1000000</v>
      </c>
      <c r="G356" s="62">
        <f t="shared" si="133"/>
        <v>1000000</v>
      </c>
      <c r="H356" s="62">
        <f t="shared" si="133"/>
        <v>1000000</v>
      </c>
      <c r="I356" s="62">
        <f t="shared" si="133"/>
        <v>1000000</v>
      </c>
      <c r="J356" s="62">
        <f t="shared" si="133"/>
        <v>1000000</v>
      </c>
      <c r="K356" s="62">
        <f t="shared" si="133"/>
        <v>1000000</v>
      </c>
      <c r="L356" s="62">
        <f t="shared" si="133"/>
        <v>1000000</v>
      </c>
      <c r="M356" s="62">
        <f t="shared" si="133"/>
        <v>1000000</v>
      </c>
      <c r="N356" s="62">
        <f t="shared" si="133"/>
        <v>1000000</v>
      </c>
      <c r="O356" s="62">
        <f t="shared" si="133"/>
        <v>1000000</v>
      </c>
      <c r="P356" s="62">
        <f t="shared" si="133"/>
        <v>1000000</v>
      </c>
      <c r="Q356" s="62">
        <f t="shared" si="133"/>
        <v>1000000</v>
      </c>
      <c r="R356" s="62">
        <f t="shared" si="133"/>
        <v>1000000</v>
      </c>
      <c r="S356" s="62">
        <f t="shared" si="133"/>
        <v>1000000</v>
      </c>
      <c r="T356" s="62">
        <f t="shared" si="133"/>
        <v>1000000</v>
      </c>
      <c r="U356" s="62">
        <f t="shared" si="133"/>
        <v>1000000</v>
      </c>
      <c r="V356" s="62">
        <f t="shared" si="133"/>
        <v>1000000</v>
      </c>
      <c r="W356" s="62">
        <f t="shared" si="133"/>
        <v>1000000</v>
      </c>
      <c r="X356" s="62">
        <f t="shared" si="133"/>
        <v>1000000</v>
      </c>
      <c r="Y356" s="62">
        <f t="shared" si="133"/>
        <v>1000000</v>
      </c>
      <c r="Z356" s="62">
        <f t="shared" si="133"/>
        <v>1000000</v>
      </c>
      <c r="AA356" s="62">
        <f t="shared" si="133"/>
        <v>1000000</v>
      </c>
      <c r="AB356" s="62">
        <f t="shared" si="133"/>
        <v>1000000</v>
      </c>
      <c r="AC356" s="62">
        <f t="shared" si="133"/>
        <v>1000000</v>
      </c>
    </row>
    <row r="357" spans="1:29" x14ac:dyDescent="0.25">
      <c r="A357" s="30" t="str">
        <f t="shared" si="132"/>
        <v>Residual value (costumization)</v>
      </c>
      <c r="B357" s="62">
        <f t="shared" si="133"/>
        <v>-100000</v>
      </c>
      <c r="C357" s="62">
        <f t="shared" si="133"/>
        <v>-100000</v>
      </c>
      <c r="D357" s="62">
        <f t="shared" si="133"/>
        <v>-100000</v>
      </c>
      <c r="E357" s="62">
        <f t="shared" si="133"/>
        <v>-100000</v>
      </c>
      <c r="F357" s="62">
        <f t="shared" si="133"/>
        <v>-100000</v>
      </c>
      <c r="G357" s="62">
        <f t="shared" si="133"/>
        <v>-100000</v>
      </c>
      <c r="H357" s="62">
        <f t="shared" si="133"/>
        <v>-100000</v>
      </c>
      <c r="I357" s="62">
        <f t="shared" si="133"/>
        <v>-100000</v>
      </c>
      <c r="J357" s="62">
        <f t="shared" si="133"/>
        <v>-100000</v>
      </c>
      <c r="K357" s="62">
        <f t="shared" si="133"/>
        <v>-100000</v>
      </c>
      <c r="L357" s="62">
        <f t="shared" si="133"/>
        <v>-100000</v>
      </c>
      <c r="M357" s="62">
        <f t="shared" si="133"/>
        <v>-100000</v>
      </c>
      <c r="N357" s="62">
        <f t="shared" si="133"/>
        <v>-100000</v>
      </c>
      <c r="O357" s="62">
        <f t="shared" si="133"/>
        <v>-100000</v>
      </c>
      <c r="P357" s="62">
        <f t="shared" si="133"/>
        <v>-100000</v>
      </c>
      <c r="Q357" s="62">
        <f t="shared" si="133"/>
        <v>-100000</v>
      </c>
      <c r="R357" s="62">
        <f t="shared" si="133"/>
        <v>-100000</v>
      </c>
      <c r="S357" s="62">
        <f t="shared" si="133"/>
        <v>-100000</v>
      </c>
      <c r="T357" s="62">
        <f t="shared" si="133"/>
        <v>-100000</v>
      </c>
      <c r="U357" s="62">
        <f t="shared" si="133"/>
        <v>-100000</v>
      </c>
      <c r="V357" s="62">
        <f t="shared" si="133"/>
        <v>-100000</v>
      </c>
      <c r="W357" s="62">
        <f t="shared" si="133"/>
        <v>-100000</v>
      </c>
      <c r="X357" s="62">
        <f t="shared" si="133"/>
        <v>-100000</v>
      </c>
      <c r="Y357" s="62">
        <f t="shared" si="133"/>
        <v>-100000</v>
      </c>
      <c r="Z357" s="62">
        <f t="shared" si="133"/>
        <v>-100000</v>
      </c>
      <c r="AA357" s="62">
        <f t="shared" si="133"/>
        <v>-100000</v>
      </c>
      <c r="AB357" s="62">
        <f t="shared" si="133"/>
        <v>-100000</v>
      </c>
      <c r="AC357" s="62">
        <f t="shared" si="133"/>
        <v>-100000</v>
      </c>
    </row>
    <row r="358" spans="1:29" x14ac:dyDescent="0.25">
      <c r="A358" s="30" t="str">
        <f t="shared" si="132"/>
        <v>WACC</v>
      </c>
      <c r="B358" s="62">
        <f t="shared" si="133"/>
        <v>0.06</v>
      </c>
      <c r="C358" s="62">
        <f t="shared" si="133"/>
        <v>0.06</v>
      </c>
      <c r="D358" s="62">
        <f t="shared" si="133"/>
        <v>0.06</v>
      </c>
      <c r="E358" s="62">
        <f t="shared" si="133"/>
        <v>0.06</v>
      </c>
      <c r="F358" s="62">
        <f t="shared" si="133"/>
        <v>0.06</v>
      </c>
      <c r="G358" s="62">
        <f t="shared" si="133"/>
        <v>0.06</v>
      </c>
      <c r="H358" s="62">
        <f t="shared" si="133"/>
        <v>0.06</v>
      </c>
      <c r="I358" s="62">
        <f t="shared" si="133"/>
        <v>0.06</v>
      </c>
      <c r="J358" s="62">
        <f t="shared" si="133"/>
        <v>0.06</v>
      </c>
      <c r="K358" s="62">
        <f t="shared" si="133"/>
        <v>0.06</v>
      </c>
      <c r="L358" s="62">
        <f t="shared" si="133"/>
        <v>0.06</v>
      </c>
      <c r="M358" s="62">
        <f t="shared" si="133"/>
        <v>0.06</v>
      </c>
      <c r="N358" s="62">
        <f t="shared" si="133"/>
        <v>0.06</v>
      </c>
      <c r="O358" s="62">
        <f t="shared" si="133"/>
        <v>0.06</v>
      </c>
      <c r="P358" s="62">
        <f t="shared" si="133"/>
        <v>0.06</v>
      </c>
      <c r="Q358" s="62">
        <f t="shared" si="133"/>
        <v>0.06</v>
      </c>
      <c r="R358" s="62">
        <f t="shared" si="133"/>
        <v>0.06</v>
      </c>
      <c r="S358" s="62">
        <f t="shared" si="133"/>
        <v>0.06</v>
      </c>
      <c r="T358" s="62">
        <f t="shared" si="133"/>
        <v>0.06</v>
      </c>
      <c r="U358" s="62">
        <f t="shared" si="133"/>
        <v>0.06</v>
      </c>
      <c r="V358" s="62">
        <f t="shared" si="133"/>
        <v>0.06</v>
      </c>
      <c r="W358" s="62">
        <f t="shared" si="133"/>
        <v>0.06</v>
      </c>
      <c r="X358" s="62">
        <f t="shared" si="133"/>
        <v>0.06</v>
      </c>
      <c r="Y358" s="62">
        <f t="shared" si="133"/>
        <v>0.06</v>
      </c>
      <c r="Z358" s="62">
        <f t="shared" si="133"/>
        <v>0.06</v>
      </c>
      <c r="AA358" s="62">
        <f t="shared" si="133"/>
        <v>0.06</v>
      </c>
      <c r="AB358" s="62">
        <f t="shared" si="133"/>
        <v>0.06</v>
      </c>
      <c r="AC358" s="62">
        <f t="shared" si="133"/>
        <v>0.06</v>
      </c>
    </row>
    <row r="359" spans="1:29" x14ac:dyDescent="0.25">
      <c r="A359" s="30" t="str">
        <f t="shared" si="132"/>
        <v>Opex fix (admin, crew, insurance)</v>
      </c>
      <c r="B359" s="62">
        <f t="shared" si="133"/>
        <v>1208235.294117647</v>
      </c>
      <c r="C359" s="62">
        <f t="shared" si="133"/>
        <v>1208235.294117647</v>
      </c>
      <c r="D359" s="62">
        <f t="shared" si="133"/>
        <v>1208235.294117647</v>
      </c>
      <c r="E359" s="62">
        <f t="shared" si="133"/>
        <v>1208235.294117647</v>
      </c>
      <c r="F359" s="62">
        <f t="shared" si="133"/>
        <v>1208235.294117647</v>
      </c>
      <c r="G359" s="62">
        <f t="shared" si="133"/>
        <v>1208235.294117647</v>
      </c>
      <c r="H359" s="62">
        <f t="shared" si="133"/>
        <v>1208235.294117647</v>
      </c>
      <c r="I359" s="62">
        <f t="shared" si="133"/>
        <v>1208235.294117647</v>
      </c>
      <c r="J359" s="62">
        <f t="shared" si="133"/>
        <v>1208235.294117647</v>
      </c>
      <c r="K359" s="62">
        <f t="shared" si="133"/>
        <v>1208235.294117647</v>
      </c>
      <c r="L359" s="62">
        <f t="shared" si="133"/>
        <v>1208235.294117647</v>
      </c>
      <c r="M359" s="62">
        <f t="shared" si="133"/>
        <v>1208235.294117647</v>
      </c>
      <c r="N359" s="62">
        <f t="shared" si="133"/>
        <v>1208235.294117647</v>
      </c>
      <c r="O359" s="62">
        <f t="shared" si="133"/>
        <v>1208235.294117647</v>
      </c>
      <c r="P359" s="62">
        <f t="shared" si="133"/>
        <v>1208235.294117647</v>
      </c>
      <c r="Q359" s="62">
        <f t="shared" si="133"/>
        <v>1208235.294117647</v>
      </c>
      <c r="R359" s="62">
        <f t="shared" si="133"/>
        <v>1208235.294117647</v>
      </c>
      <c r="S359" s="62">
        <f t="shared" si="133"/>
        <v>1208235.294117647</v>
      </c>
      <c r="T359" s="62">
        <f t="shared" si="133"/>
        <v>1208235.294117647</v>
      </c>
      <c r="U359" s="62">
        <f t="shared" si="133"/>
        <v>1208235.294117647</v>
      </c>
      <c r="V359" s="62">
        <f t="shared" si="133"/>
        <v>1208235.294117647</v>
      </c>
      <c r="W359" s="62">
        <f t="shared" si="133"/>
        <v>1208235.294117647</v>
      </c>
      <c r="X359" s="62">
        <f t="shared" si="133"/>
        <v>1208235.294117647</v>
      </c>
      <c r="Y359" s="62">
        <f t="shared" si="133"/>
        <v>1208235.294117647</v>
      </c>
      <c r="Z359" s="62">
        <f t="shared" si="133"/>
        <v>1208235.294117647</v>
      </c>
      <c r="AA359" s="62">
        <f t="shared" si="133"/>
        <v>1208235.294117647</v>
      </c>
      <c r="AB359" s="62">
        <f t="shared" si="133"/>
        <v>1208235.294117647</v>
      </c>
      <c r="AC359" s="62">
        <f t="shared" si="133"/>
        <v>1208235.294117647</v>
      </c>
    </row>
    <row r="360" spans="1:29" x14ac:dyDescent="0.25">
      <c r="A360" s="30" t="str">
        <f t="shared" si="132"/>
        <v>Opex maintenance &amp; repair</v>
      </c>
      <c r="B360" s="62">
        <f t="shared" si="133"/>
        <v>488235.29411764705</v>
      </c>
      <c r="C360" s="62">
        <f t="shared" si="133"/>
        <v>488235.29411764705</v>
      </c>
      <c r="D360" s="62">
        <f t="shared" si="133"/>
        <v>488235.29411764705</v>
      </c>
      <c r="E360" s="62">
        <f t="shared" si="133"/>
        <v>488235.29411764705</v>
      </c>
      <c r="F360" s="62">
        <f t="shared" si="133"/>
        <v>488235.29411764705</v>
      </c>
      <c r="G360" s="62">
        <f t="shared" si="133"/>
        <v>488235.29411764705</v>
      </c>
      <c r="H360" s="62">
        <f t="shared" si="133"/>
        <v>488235.29411764705</v>
      </c>
      <c r="I360" s="62">
        <f t="shared" si="133"/>
        <v>488235.29411764705</v>
      </c>
      <c r="J360" s="62">
        <f t="shared" si="133"/>
        <v>488235.29411764705</v>
      </c>
      <c r="K360" s="62">
        <f t="shared" si="133"/>
        <v>488235.29411764705</v>
      </c>
      <c r="L360" s="62">
        <f t="shared" si="133"/>
        <v>488235.29411764705</v>
      </c>
      <c r="M360" s="62">
        <f t="shared" si="133"/>
        <v>488235.29411764705</v>
      </c>
      <c r="N360" s="62">
        <f t="shared" si="133"/>
        <v>488235.29411764705</v>
      </c>
      <c r="O360" s="62">
        <f t="shared" si="133"/>
        <v>488235.29411764705</v>
      </c>
      <c r="P360" s="62">
        <f t="shared" si="133"/>
        <v>488235.29411764705</v>
      </c>
      <c r="Q360" s="62">
        <f t="shared" si="133"/>
        <v>488235.29411764705</v>
      </c>
      <c r="R360" s="62">
        <f t="shared" si="133"/>
        <v>488235.29411764705</v>
      </c>
      <c r="S360" s="62">
        <f t="shared" si="133"/>
        <v>488235.29411764705</v>
      </c>
      <c r="T360" s="62">
        <f t="shared" si="133"/>
        <v>488235.29411764705</v>
      </c>
      <c r="U360" s="62">
        <f t="shared" si="133"/>
        <v>488235.29411764705</v>
      </c>
      <c r="V360" s="62">
        <f t="shared" si="133"/>
        <v>488235.29411764705</v>
      </c>
      <c r="W360" s="62">
        <f t="shared" si="133"/>
        <v>488235.29411764705</v>
      </c>
      <c r="X360" s="62">
        <f t="shared" si="133"/>
        <v>488235.29411764705</v>
      </c>
      <c r="Y360" s="62">
        <f t="shared" si="133"/>
        <v>488235.29411764705</v>
      </c>
      <c r="Z360" s="62">
        <f t="shared" si="133"/>
        <v>488235.29411764705</v>
      </c>
      <c r="AA360" s="62">
        <f t="shared" si="133"/>
        <v>488235.29411764705</v>
      </c>
      <c r="AB360" s="62">
        <f t="shared" si="133"/>
        <v>488235.29411764705</v>
      </c>
      <c r="AC360" s="62">
        <f t="shared" si="133"/>
        <v>488235.29411764705</v>
      </c>
    </row>
    <row r="361" spans="1:29" x14ac:dyDescent="0.25">
      <c r="A361" s="30" t="str">
        <f t="shared" si="132"/>
        <v>Opex var (mode-fees)</v>
      </c>
      <c r="B361" s="62">
        <f t="shared" si="133"/>
        <v>0.81280569096848254</v>
      </c>
      <c r="C361" s="62">
        <f t="shared" si="133"/>
        <v>0.81280569096848254</v>
      </c>
      <c r="D361" s="62">
        <f t="shared" si="133"/>
        <v>0.81280569096848254</v>
      </c>
      <c r="E361" s="62">
        <f t="shared" si="133"/>
        <v>0.81280569096848254</v>
      </c>
      <c r="F361" s="62">
        <f t="shared" si="133"/>
        <v>0.81280569096848254</v>
      </c>
      <c r="G361" s="62">
        <f t="shared" si="133"/>
        <v>0.81280569096848254</v>
      </c>
      <c r="H361" s="62">
        <f t="shared" si="133"/>
        <v>0.81280569096848254</v>
      </c>
      <c r="I361" s="62">
        <f t="shared" si="133"/>
        <v>0.81280569096848254</v>
      </c>
      <c r="J361" s="62">
        <f t="shared" si="133"/>
        <v>0.81280569096848254</v>
      </c>
      <c r="K361" s="62">
        <f t="shared" si="133"/>
        <v>0.81280569096848254</v>
      </c>
      <c r="L361" s="62">
        <f t="shared" si="133"/>
        <v>0.81280569096848254</v>
      </c>
      <c r="M361" s="62">
        <f t="shared" si="133"/>
        <v>0.81280569096848254</v>
      </c>
      <c r="N361" s="62">
        <f t="shared" si="133"/>
        <v>0.81280569096848254</v>
      </c>
      <c r="O361" s="62">
        <f t="shared" si="133"/>
        <v>0.81280569096848254</v>
      </c>
      <c r="P361" s="62">
        <f t="shared" si="133"/>
        <v>0.81280569096848254</v>
      </c>
      <c r="Q361" s="62">
        <f t="shared" si="133"/>
        <v>0.81280569096848254</v>
      </c>
      <c r="R361" s="62">
        <f t="shared" si="133"/>
        <v>0.81280569096848254</v>
      </c>
      <c r="S361" s="62">
        <f t="shared" si="133"/>
        <v>0.81280569096848254</v>
      </c>
      <c r="T361" s="62">
        <f t="shared" si="133"/>
        <v>0.81280569096848254</v>
      </c>
      <c r="U361" s="62">
        <f t="shared" si="133"/>
        <v>0.81280569096848254</v>
      </c>
      <c r="V361" s="62">
        <f t="shared" si="133"/>
        <v>0.81280569096848254</v>
      </c>
      <c r="W361" s="62">
        <f t="shared" si="133"/>
        <v>0.81280569096848254</v>
      </c>
      <c r="X361" s="62">
        <f t="shared" si="133"/>
        <v>0.81280569096848254</v>
      </c>
      <c r="Y361" s="62">
        <f t="shared" si="133"/>
        <v>0.81280569096848254</v>
      </c>
      <c r="Z361" s="62">
        <f t="shared" si="133"/>
        <v>0.81280569096848254</v>
      </c>
      <c r="AA361" s="62">
        <f t="shared" si="133"/>
        <v>0.81280569096848254</v>
      </c>
      <c r="AB361" s="62">
        <f t="shared" si="133"/>
        <v>0.81280569096848254</v>
      </c>
      <c r="AC361" s="62">
        <f t="shared" si="133"/>
        <v>0.81280569096848254</v>
      </c>
    </row>
    <row r="362" spans="1:29" x14ac:dyDescent="0.25">
      <c r="A362" s="30" t="str">
        <f t="shared" si="132"/>
        <v>Fuel Economy</v>
      </c>
      <c r="B362" s="62">
        <f t="shared" si="133"/>
        <v>646.89677603543487</v>
      </c>
      <c r="C362" s="62">
        <f t="shared" si="133"/>
        <v>646.85211887817047</v>
      </c>
      <c r="D362" s="62">
        <f t="shared" si="133"/>
        <v>646.78819315220449</v>
      </c>
      <c r="E362" s="62">
        <f t="shared" si="133"/>
        <v>646.6967429057521</v>
      </c>
      <c r="F362" s="62">
        <f t="shared" si="133"/>
        <v>646.5660403240729</v>
      </c>
      <c r="G362" s="62">
        <f t="shared" si="133"/>
        <v>646.37949949401741</v>
      </c>
      <c r="H362" s="62">
        <f t="shared" si="133"/>
        <v>646.11381958854338</v>
      </c>
      <c r="I362" s="62">
        <f t="shared" si="133"/>
        <v>645.73659220845991</v>
      </c>
      <c r="J362" s="62">
        <f t="shared" si="133"/>
        <v>645.20341755594859</v>
      </c>
      <c r="K362" s="62">
        <f t="shared" si="133"/>
        <v>644.4548499630904</v>
      </c>
      <c r="L362" s="62">
        <f t="shared" si="133"/>
        <v>643.41406927056653</v>
      </c>
      <c r="M362" s="62">
        <f t="shared" si="133"/>
        <v>641.98719787679943</v>
      </c>
      <c r="N362" s="62">
        <f t="shared" si="133"/>
        <v>640.0696356209337</v>
      </c>
      <c r="O362" s="62">
        <f t="shared" si="133"/>
        <v>637.56301130673319</v>
      </c>
      <c r="P362" s="62">
        <f t="shared" si="133"/>
        <v>634.40634165749691</v>
      </c>
      <c r="Q362" s="62">
        <f t="shared" si="133"/>
        <v>630.6184286906298</v>
      </c>
      <c r="R362" s="62">
        <f t="shared" si="133"/>
        <v>626.33515650399931</v>
      </c>
      <c r="S362" s="62">
        <f t="shared" si="133"/>
        <v>621.81332363039712</v>
      </c>
      <c r="T362" s="62">
        <f t="shared" si="133"/>
        <v>617.38047196989623</v>
      </c>
      <c r="U362" s="62">
        <f t="shared" si="133"/>
        <v>613.34515585949862</v>
      </c>
      <c r="V362" s="62">
        <f t="shared" si="133"/>
        <v>609.91571180572532</v>
      </c>
      <c r="W362" s="62">
        <f t="shared" si="133"/>
        <v>607.1693412972852</v>
      </c>
      <c r="X362" s="62">
        <f t="shared" si="133"/>
        <v>605.0737387067237</v>
      </c>
      <c r="Y362" s="62">
        <f t="shared" si="133"/>
        <v>603.53330273509027</v>
      </c>
      <c r="Z362" s="62">
        <f t="shared" si="133"/>
        <v>602.43191330034256</v>
      </c>
      <c r="AA362" s="62">
        <f t="shared" si="133"/>
        <v>601.66000195939125</v>
      </c>
      <c r="AB362" s="62">
        <f t="shared" si="133"/>
        <v>601.12656377741496</v>
      </c>
      <c r="AC362" s="62">
        <f t="shared" si="133"/>
        <v>600.7615054472443</v>
      </c>
    </row>
    <row r="363" spans="1:29" x14ac:dyDescent="0.25">
      <c r="A363" s="30" t="str">
        <f t="shared" si="132"/>
        <v>Fuel Cost</v>
      </c>
      <c r="B363" s="62">
        <f t="shared" si="133"/>
        <v>3.1399999999999997E-2</v>
      </c>
      <c r="C363" s="62">
        <f t="shared" si="133"/>
        <v>3.1399999999999997E-2</v>
      </c>
      <c r="D363" s="62">
        <f t="shared" si="133"/>
        <v>3.1399999999999997E-2</v>
      </c>
      <c r="E363" s="62">
        <f t="shared" ref="E363:AC363" si="134">$B343+($C343-$B343)*(1-T343)</f>
        <v>3.1399999999999997E-2</v>
      </c>
      <c r="F363" s="62">
        <f t="shared" si="134"/>
        <v>3.1399999999999997E-2</v>
      </c>
      <c r="G363" s="62">
        <f t="shared" si="134"/>
        <v>3.1399999999999997E-2</v>
      </c>
      <c r="H363" s="62">
        <f t="shared" si="134"/>
        <v>3.1399999999999997E-2</v>
      </c>
      <c r="I363" s="62">
        <f t="shared" si="134"/>
        <v>3.1399999999999997E-2</v>
      </c>
      <c r="J363" s="62">
        <f t="shared" si="134"/>
        <v>3.1399999999999997E-2</v>
      </c>
      <c r="K363" s="62">
        <f t="shared" si="134"/>
        <v>3.1399999999999997E-2</v>
      </c>
      <c r="L363" s="62">
        <f t="shared" si="134"/>
        <v>3.1399999999999997E-2</v>
      </c>
      <c r="M363" s="62">
        <f t="shared" si="134"/>
        <v>3.1399999999999997E-2</v>
      </c>
      <c r="N363" s="62">
        <f t="shared" si="134"/>
        <v>3.1399999999999997E-2</v>
      </c>
      <c r="O363" s="62">
        <f t="shared" si="134"/>
        <v>3.1399999999999997E-2</v>
      </c>
      <c r="P363" s="62">
        <f t="shared" si="134"/>
        <v>3.1399999999999997E-2</v>
      </c>
      <c r="Q363" s="62">
        <f t="shared" si="134"/>
        <v>3.1399999999999997E-2</v>
      </c>
      <c r="R363" s="62">
        <f t="shared" si="134"/>
        <v>3.1399999999999997E-2</v>
      </c>
      <c r="S363" s="62">
        <f t="shared" si="134"/>
        <v>3.1399999999999997E-2</v>
      </c>
      <c r="T363" s="62">
        <f t="shared" si="134"/>
        <v>3.1399999999999997E-2</v>
      </c>
      <c r="U363" s="62">
        <f t="shared" si="134"/>
        <v>3.1399999999999997E-2</v>
      </c>
      <c r="V363" s="62">
        <f t="shared" si="134"/>
        <v>3.1399999999999997E-2</v>
      </c>
      <c r="W363" s="62">
        <f t="shared" si="134"/>
        <v>3.1399999999999997E-2</v>
      </c>
      <c r="X363" s="62">
        <f t="shared" si="134"/>
        <v>3.1399999999999997E-2</v>
      </c>
      <c r="Y363" s="62">
        <f t="shared" si="134"/>
        <v>3.1399999999999997E-2</v>
      </c>
      <c r="Z363" s="62">
        <f t="shared" si="134"/>
        <v>3.1399999999999997E-2</v>
      </c>
      <c r="AA363" s="62">
        <f t="shared" si="134"/>
        <v>3.1399999999999997E-2</v>
      </c>
      <c r="AB363" s="62">
        <f t="shared" si="134"/>
        <v>3.1399999999999997E-2</v>
      </c>
      <c r="AC363" s="62">
        <f t="shared" si="134"/>
        <v>3.1399999999999997E-2</v>
      </c>
    </row>
    <row r="364" spans="1:29" x14ac:dyDescent="0.25">
      <c r="A364" s="30" t="str">
        <f t="shared" si="132"/>
        <v>Emission Cost</v>
      </c>
      <c r="B364" s="62">
        <f>$B344+($C344-$B344)*(1-Q344)</f>
        <v>18.267003557738562</v>
      </c>
      <c r="C364" s="62">
        <f t="shared" ref="C364:AC367" si="135">$B344+($C344-$B344)*(1-R344)</f>
        <v>18.305790458980148</v>
      </c>
      <c r="D364" s="62">
        <f t="shared" si="135"/>
        <v>18.361313044198909</v>
      </c>
      <c r="E364" s="62">
        <f t="shared" si="135"/>
        <v>18.440742006877084</v>
      </c>
      <c r="F364" s="62">
        <f t="shared" si="135"/>
        <v>18.554263521414992</v>
      </c>
      <c r="G364" s="62">
        <f t="shared" si="135"/>
        <v>18.716283255677226</v>
      </c>
      <c r="H364" s="62">
        <f t="shared" si="135"/>
        <v>18.947039105058323</v>
      </c>
      <c r="I364" s="62">
        <f t="shared" si="135"/>
        <v>19.274679331915838</v>
      </c>
      <c r="J364" s="62">
        <f t="shared" si="135"/>
        <v>19.737767308363324</v>
      </c>
      <c r="K364" s="62">
        <f t="shared" si="135"/>
        <v>20.387934472496433</v>
      </c>
      <c r="L364" s="62">
        <f t="shared" si="135"/>
        <v>21.291902848630563</v>
      </c>
      <c r="M364" s="62">
        <f t="shared" si="135"/>
        <v>22.53120967478624</v>
      </c>
      <c r="N364" s="62">
        <f t="shared" si="135"/>
        <v>24.196705250388863</v>
      </c>
      <c r="O364" s="62">
        <f t="shared" si="135"/>
        <v>26.37382971778402</v>
      </c>
      <c r="P364" s="62">
        <f t="shared" si="135"/>
        <v>29.115550002671711</v>
      </c>
      <c r="Q364" s="62">
        <f t="shared" si="135"/>
        <v>32.405535643443841</v>
      </c>
      <c r="R364" s="62">
        <f t="shared" si="135"/>
        <v>36.125764728112543</v>
      </c>
      <c r="S364" s="62">
        <f t="shared" si="135"/>
        <v>40.053195309081424</v>
      </c>
      <c r="T364" s="62">
        <f t="shared" si="135"/>
        <v>43.903341402269703</v>
      </c>
      <c r="U364" s="62">
        <f t="shared" si="135"/>
        <v>47.40820864059085</v>
      </c>
      <c r="V364" s="62">
        <f t="shared" si="135"/>
        <v>50.386846690471195</v>
      </c>
      <c r="W364" s="62">
        <f t="shared" si="135"/>
        <v>52.772202324574174</v>
      </c>
      <c r="X364" s="62">
        <f t="shared" si="135"/>
        <v>54.592334543032798</v>
      </c>
      <c r="Y364" s="62">
        <f t="shared" si="135"/>
        <v>55.93027769841482</v>
      </c>
      <c r="Z364" s="62">
        <f t="shared" si="135"/>
        <v>56.886887698938416</v>
      </c>
      <c r="AA364" s="62">
        <f t="shared" si="135"/>
        <v>57.557330037474898</v>
      </c>
      <c r="AB364" s="62">
        <f t="shared" si="135"/>
        <v>58.020646902010256</v>
      </c>
      <c r="AC364" s="62">
        <f t="shared" si="135"/>
        <v>58.337717720376737</v>
      </c>
    </row>
    <row r="365" spans="1:29" x14ac:dyDescent="0.25">
      <c r="A365" s="30" t="str">
        <f t="shared" si="132"/>
        <v>Lifetime vehicle</v>
      </c>
      <c r="B365" s="62">
        <f>$B345+($C345-$B345)*(1-Q345)</f>
        <v>25</v>
      </c>
      <c r="C365" s="62">
        <f t="shared" si="135"/>
        <v>25</v>
      </c>
      <c r="D365" s="62">
        <f t="shared" si="135"/>
        <v>25</v>
      </c>
      <c r="E365" s="62">
        <f t="shared" si="135"/>
        <v>25</v>
      </c>
      <c r="F365" s="62">
        <f t="shared" si="135"/>
        <v>25</v>
      </c>
      <c r="G365" s="62">
        <f t="shared" si="135"/>
        <v>25</v>
      </c>
      <c r="H365" s="62">
        <f t="shared" si="135"/>
        <v>25</v>
      </c>
      <c r="I365" s="62">
        <f t="shared" si="135"/>
        <v>25</v>
      </c>
      <c r="J365" s="62">
        <f t="shared" si="135"/>
        <v>25</v>
      </c>
      <c r="K365" s="62">
        <f t="shared" si="135"/>
        <v>25</v>
      </c>
      <c r="L365" s="62">
        <f t="shared" si="135"/>
        <v>25</v>
      </c>
      <c r="M365" s="62">
        <f t="shared" si="135"/>
        <v>25</v>
      </c>
      <c r="N365" s="62">
        <f t="shared" si="135"/>
        <v>25</v>
      </c>
      <c r="O365" s="62">
        <f t="shared" si="135"/>
        <v>25</v>
      </c>
      <c r="P365" s="62">
        <f t="shared" si="135"/>
        <v>25</v>
      </c>
      <c r="Q365" s="62">
        <f t="shared" si="135"/>
        <v>25</v>
      </c>
      <c r="R365" s="62">
        <f t="shared" si="135"/>
        <v>25</v>
      </c>
      <c r="S365" s="62">
        <f t="shared" si="135"/>
        <v>25</v>
      </c>
      <c r="T365" s="62">
        <f t="shared" si="135"/>
        <v>25</v>
      </c>
      <c r="U365" s="62">
        <f t="shared" si="135"/>
        <v>25</v>
      </c>
      <c r="V365" s="62">
        <f t="shared" si="135"/>
        <v>25</v>
      </c>
      <c r="W365" s="62">
        <f t="shared" si="135"/>
        <v>25</v>
      </c>
      <c r="X365" s="62">
        <f t="shared" si="135"/>
        <v>25</v>
      </c>
      <c r="Y365" s="62">
        <f t="shared" si="135"/>
        <v>25</v>
      </c>
      <c r="Z365" s="62">
        <f t="shared" si="135"/>
        <v>25</v>
      </c>
      <c r="AA365" s="62">
        <f t="shared" si="135"/>
        <v>25</v>
      </c>
      <c r="AB365" s="62">
        <f t="shared" si="135"/>
        <v>25</v>
      </c>
      <c r="AC365" s="62">
        <f t="shared" si="135"/>
        <v>25</v>
      </c>
    </row>
    <row r="366" spans="1:29" x14ac:dyDescent="0.25">
      <c r="A366" s="30" t="str">
        <f t="shared" si="132"/>
        <v>Lifetime costumization</v>
      </c>
      <c r="B366" s="62">
        <f>$B346+($C346-$B346)*(1-Q346)</f>
        <v>25</v>
      </c>
      <c r="C366" s="62">
        <f t="shared" si="135"/>
        <v>25</v>
      </c>
      <c r="D366" s="62">
        <f t="shared" si="135"/>
        <v>25</v>
      </c>
      <c r="E366" s="62">
        <f t="shared" si="135"/>
        <v>25</v>
      </c>
      <c r="F366" s="62">
        <f t="shared" si="135"/>
        <v>25</v>
      </c>
      <c r="G366" s="62">
        <f t="shared" si="135"/>
        <v>25</v>
      </c>
      <c r="H366" s="62">
        <f t="shared" si="135"/>
        <v>25</v>
      </c>
      <c r="I366" s="62">
        <f t="shared" si="135"/>
        <v>25</v>
      </c>
      <c r="J366" s="62">
        <f t="shared" si="135"/>
        <v>25</v>
      </c>
      <c r="K366" s="62">
        <f t="shared" si="135"/>
        <v>25</v>
      </c>
      <c r="L366" s="62">
        <f t="shared" si="135"/>
        <v>25</v>
      </c>
      <c r="M366" s="62">
        <f t="shared" si="135"/>
        <v>25</v>
      </c>
      <c r="N366" s="62">
        <f t="shared" si="135"/>
        <v>25</v>
      </c>
      <c r="O366" s="62">
        <f t="shared" si="135"/>
        <v>25</v>
      </c>
      <c r="P366" s="62">
        <f t="shared" si="135"/>
        <v>25</v>
      </c>
      <c r="Q366" s="62">
        <f t="shared" si="135"/>
        <v>25</v>
      </c>
      <c r="R366" s="62">
        <f t="shared" si="135"/>
        <v>25</v>
      </c>
      <c r="S366" s="62">
        <f t="shared" si="135"/>
        <v>25</v>
      </c>
      <c r="T366" s="62">
        <f t="shared" si="135"/>
        <v>25</v>
      </c>
      <c r="U366" s="62">
        <f t="shared" si="135"/>
        <v>25</v>
      </c>
      <c r="V366" s="62">
        <f t="shared" si="135"/>
        <v>25</v>
      </c>
      <c r="W366" s="62">
        <f t="shared" si="135"/>
        <v>25</v>
      </c>
      <c r="X366" s="62">
        <f t="shared" si="135"/>
        <v>25</v>
      </c>
      <c r="Y366" s="62">
        <f t="shared" si="135"/>
        <v>25</v>
      </c>
      <c r="Z366" s="62">
        <f t="shared" si="135"/>
        <v>25</v>
      </c>
      <c r="AA366" s="62">
        <f t="shared" si="135"/>
        <v>25</v>
      </c>
      <c r="AB366" s="62">
        <f t="shared" si="135"/>
        <v>25</v>
      </c>
      <c r="AC366" s="62">
        <f t="shared" si="135"/>
        <v>25</v>
      </c>
    </row>
    <row r="367" spans="1:29" x14ac:dyDescent="0.25">
      <c r="A367" s="30" t="str">
        <f t="shared" si="132"/>
        <v>Tonnage .</v>
      </c>
      <c r="B367" s="62">
        <f>$B347+($C347-$B347)*(1-Q347)</f>
        <v>9450</v>
      </c>
      <c r="C367" s="62">
        <f t="shared" si="135"/>
        <v>9450</v>
      </c>
      <c r="D367" s="62">
        <f t="shared" si="135"/>
        <v>9450</v>
      </c>
      <c r="E367" s="62">
        <f t="shared" si="135"/>
        <v>9450</v>
      </c>
      <c r="F367" s="62">
        <f t="shared" si="135"/>
        <v>9450</v>
      </c>
      <c r="G367" s="62">
        <f t="shared" si="135"/>
        <v>9450</v>
      </c>
      <c r="H367" s="62">
        <f t="shared" si="135"/>
        <v>9450</v>
      </c>
      <c r="I367" s="62">
        <f t="shared" si="135"/>
        <v>9450</v>
      </c>
      <c r="J367" s="62">
        <f t="shared" si="135"/>
        <v>9450</v>
      </c>
      <c r="K367" s="62">
        <f t="shared" si="135"/>
        <v>9450</v>
      </c>
      <c r="L367" s="62">
        <f t="shared" si="135"/>
        <v>9450</v>
      </c>
      <c r="M367" s="62">
        <f t="shared" si="135"/>
        <v>9450</v>
      </c>
      <c r="N367" s="62">
        <f t="shared" si="135"/>
        <v>9450</v>
      </c>
      <c r="O367" s="62">
        <f t="shared" si="135"/>
        <v>9450</v>
      </c>
      <c r="P367" s="62">
        <f t="shared" si="135"/>
        <v>9450</v>
      </c>
      <c r="Q367" s="62">
        <f t="shared" si="135"/>
        <v>9450</v>
      </c>
      <c r="R367" s="62">
        <f t="shared" si="135"/>
        <v>9450</v>
      </c>
      <c r="S367" s="62">
        <f t="shared" si="135"/>
        <v>9450</v>
      </c>
      <c r="T367" s="62">
        <f t="shared" si="135"/>
        <v>9450</v>
      </c>
      <c r="U367" s="62">
        <f t="shared" si="135"/>
        <v>9450</v>
      </c>
      <c r="V367" s="62">
        <f t="shared" si="135"/>
        <v>9450</v>
      </c>
      <c r="W367" s="62">
        <f t="shared" si="135"/>
        <v>9450</v>
      </c>
      <c r="X367" s="62">
        <f t="shared" si="135"/>
        <v>9450</v>
      </c>
      <c r="Y367" s="62">
        <f t="shared" si="135"/>
        <v>9450</v>
      </c>
      <c r="Z367" s="62">
        <f t="shared" si="135"/>
        <v>9450</v>
      </c>
      <c r="AA367" s="62">
        <f t="shared" si="135"/>
        <v>9450</v>
      </c>
      <c r="AB367" s="62">
        <f t="shared" si="135"/>
        <v>9450</v>
      </c>
      <c r="AC367" s="62">
        <f t="shared" si="135"/>
        <v>9450</v>
      </c>
    </row>
    <row r="368" spans="1:29" x14ac:dyDescent="0.25">
      <c r="A368" s="30" t="str">
        <f t="shared" si="132"/>
        <v>Market failure (av. utilization)</v>
      </c>
      <c r="B368" s="62">
        <f t="shared" ref="B368:AC369" si="136">($B348+($C348-$B348)*(1-Q348))*B$44</f>
        <v>6426.0000000000009</v>
      </c>
      <c r="C368" s="62">
        <f t="shared" si="136"/>
        <v>6426.0000000000009</v>
      </c>
      <c r="D368" s="62">
        <f t="shared" si="136"/>
        <v>6426.0000000000009</v>
      </c>
      <c r="E368" s="62">
        <f t="shared" si="136"/>
        <v>6426.0000000000009</v>
      </c>
      <c r="F368" s="62">
        <f t="shared" si="136"/>
        <v>6426.0000000000009</v>
      </c>
      <c r="G368" s="62">
        <f t="shared" si="136"/>
        <v>6426.0000000000009</v>
      </c>
      <c r="H368" s="62">
        <f t="shared" si="136"/>
        <v>6426.0000000000009</v>
      </c>
      <c r="I368" s="62">
        <f t="shared" si="136"/>
        <v>6426.0000000000009</v>
      </c>
      <c r="J368" s="62">
        <f t="shared" si="136"/>
        <v>6426.0000000000009</v>
      </c>
      <c r="K368" s="62">
        <f t="shared" si="136"/>
        <v>6426.0000000000009</v>
      </c>
      <c r="L368" s="62">
        <f t="shared" si="136"/>
        <v>6426.0000000000009</v>
      </c>
      <c r="M368" s="62">
        <f t="shared" si="136"/>
        <v>6426.0000000000009</v>
      </c>
      <c r="N368" s="62">
        <f t="shared" si="136"/>
        <v>6426.0000000000009</v>
      </c>
      <c r="O368" s="62">
        <f t="shared" si="136"/>
        <v>6426.0000000000009</v>
      </c>
      <c r="P368" s="62">
        <f t="shared" si="136"/>
        <v>6426.0000000000009</v>
      </c>
      <c r="Q368" s="62">
        <f t="shared" si="136"/>
        <v>6426.0000000000009</v>
      </c>
      <c r="R368" s="62">
        <f t="shared" si="136"/>
        <v>6426.0000000000009</v>
      </c>
      <c r="S368" s="62">
        <f t="shared" si="136"/>
        <v>6426.0000000000009</v>
      </c>
      <c r="T368" s="62">
        <f t="shared" si="136"/>
        <v>6426.0000000000009</v>
      </c>
      <c r="U368" s="62">
        <f t="shared" si="136"/>
        <v>6426.0000000000009</v>
      </c>
      <c r="V368" s="62">
        <f t="shared" si="136"/>
        <v>6426.0000000000009</v>
      </c>
      <c r="W368" s="62">
        <f t="shared" si="136"/>
        <v>6426.0000000000009</v>
      </c>
      <c r="X368" s="62">
        <f t="shared" si="136"/>
        <v>6426.0000000000009</v>
      </c>
      <c r="Y368" s="62">
        <f t="shared" si="136"/>
        <v>6426.0000000000009</v>
      </c>
      <c r="Z368" s="62">
        <f t="shared" si="136"/>
        <v>6426.0000000000009</v>
      </c>
      <c r="AA368" s="62">
        <f t="shared" si="136"/>
        <v>6426.0000000000009</v>
      </c>
      <c r="AB368" s="62">
        <f t="shared" si="136"/>
        <v>6426.0000000000009</v>
      </c>
      <c r="AC368" s="62">
        <f t="shared" si="136"/>
        <v>6426.0000000000009</v>
      </c>
    </row>
    <row r="369" spans="1:29" x14ac:dyDescent="0.25">
      <c r="A369" s="30" t="s">
        <v>73</v>
      </c>
      <c r="B369" s="62">
        <f t="shared" si="136"/>
        <v>0</v>
      </c>
      <c r="C369" s="62">
        <f t="shared" si="136"/>
        <v>0</v>
      </c>
      <c r="D369" s="62">
        <f t="shared" si="136"/>
        <v>0</v>
      </c>
      <c r="E369" s="62">
        <f t="shared" si="136"/>
        <v>0</v>
      </c>
      <c r="F369" s="62">
        <f t="shared" si="136"/>
        <v>0</v>
      </c>
      <c r="G369" s="62">
        <f t="shared" si="136"/>
        <v>0</v>
      </c>
      <c r="H369" s="62">
        <f t="shared" si="136"/>
        <v>0</v>
      </c>
      <c r="I369" s="62">
        <f t="shared" si="136"/>
        <v>0</v>
      </c>
      <c r="J369" s="62">
        <f t="shared" si="136"/>
        <v>0</v>
      </c>
      <c r="K369" s="62">
        <f t="shared" si="136"/>
        <v>0</v>
      </c>
      <c r="L369" s="62">
        <f t="shared" si="136"/>
        <v>0</v>
      </c>
      <c r="M369" s="62">
        <f t="shared" si="136"/>
        <v>0</v>
      </c>
      <c r="N369" s="62">
        <f t="shared" si="136"/>
        <v>0</v>
      </c>
      <c r="O369" s="62">
        <f t="shared" si="136"/>
        <v>0</v>
      </c>
      <c r="P369" s="62">
        <f t="shared" si="136"/>
        <v>0</v>
      </c>
      <c r="Q369" s="62">
        <f t="shared" si="136"/>
        <v>0</v>
      </c>
      <c r="R369" s="62">
        <f t="shared" si="136"/>
        <v>0</v>
      </c>
      <c r="S369" s="62">
        <f t="shared" si="136"/>
        <v>0</v>
      </c>
      <c r="T369" s="62">
        <f t="shared" si="136"/>
        <v>0</v>
      </c>
      <c r="U369" s="62">
        <f t="shared" si="136"/>
        <v>0</v>
      </c>
      <c r="V369" s="62">
        <f t="shared" si="136"/>
        <v>0</v>
      </c>
      <c r="W369" s="62">
        <f t="shared" si="136"/>
        <v>0</v>
      </c>
      <c r="X369" s="62">
        <f t="shared" si="136"/>
        <v>0</v>
      </c>
      <c r="Y369" s="62">
        <f t="shared" si="136"/>
        <v>0</v>
      </c>
      <c r="Z369" s="62">
        <f t="shared" si="136"/>
        <v>0</v>
      </c>
      <c r="AA369" s="62">
        <f t="shared" si="136"/>
        <v>0</v>
      </c>
      <c r="AB369" s="62">
        <f t="shared" si="136"/>
        <v>0</v>
      </c>
      <c r="AC369" s="62">
        <f t="shared" si="136"/>
        <v>0</v>
      </c>
    </row>
    <row r="370" spans="1:29" x14ac:dyDescent="0.25">
      <c r="A370" s="30" t="str">
        <f>A350</f>
        <v>Annual Mileage</v>
      </c>
      <c r="B370" s="62">
        <f t="shared" ref="B370:AC370" si="137">$B350+($C350-$B350)*(1-Q350)</f>
        <v>120000</v>
      </c>
      <c r="C370" s="62">
        <f t="shared" si="137"/>
        <v>120000</v>
      </c>
      <c r="D370" s="62">
        <f t="shared" si="137"/>
        <v>120000</v>
      </c>
      <c r="E370" s="62">
        <f t="shared" si="137"/>
        <v>120000</v>
      </c>
      <c r="F370" s="62">
        <f t="shared" si="137"/>
        <v>120000</v>
      </c>
      <c r="G370" s="62">
        <f t="shared" si="137"/>
        <v>120000</v>
      </c>
      <c r="H370" s="62">
        <f t="shared" si="137"/>
        <v>120000</v>
      </c>
      <c r="I370" s="62">
        <f t="shared" si="137"/>
        <v>120000</v>
      </c>
      <c r="J370" s="62">
        <f t="shared" si="137"/>
        <v>120000</v>
      </c>
      <c r="K370" s="62">
        <f t="shared" si="137"/>
        <v>120000</v>
      </c>
      <c r="L370" s="62">
        <f t="shared" si="137"/>
        <v>120000</v>
      </c>
      <c r="M370" s="62">
        <f t="shared" si="137"/>
        <v>120000</v>
      </c>
      <c r="N370" s="62">
        <f t="shared" si="137"/>
        <v>120000</v>
      </c>
      <c r="O370" s="62">
        <f t="shared" si="137"/>
        <v>120000</v>
      </c>
      <c r="P370" s="62">
        <f t="shared" si="137"/>
        <v>120000</v>
      </c>
      <c r="Q370" s="62">
        <f t="shared" si="137"/>
        <v>120000</v>
      </c>
      <c r="R370" s="62">
        <f t="shared" si="137"/>
        <v>120000</v>
      </c>
      <c r="S370" s="62">
        <f t="shared" si="137"/>
        <v>120000</v>
      </c>
      <c r="T370" s="62">
        <f t="shared" si="137"/>
        <v>120000</v>
      </c>
      <c r="U370" s="62">
        <f t="shared" si="137"/>
        <v>120000</v>
      </c>
      <c r="V370" s="62">
        <f t="shared" si="137"/>
        <v>120000</v>
      </c>
      <c r="W370" s="62">
        <f t="shared" si="137"/>
        <v>120000</v>
      </c>
      <c r="X370" s="62">
        <f t="shared" si="137"/>
        <v>120000</v>
      </c>
      <c r="Y370" s="62">
        <f t="shared" si="137"/>
        <v>120000</v>
      </c>
      <c r="Z370" s="62">
        <f t="shared" si="137"/>
        <v>120000</v>
      </c>
      <c r="AA370" s="62">
        <f t="shared" si="137"/>
        <v>120000</v>
      </c>
      <c r="AB370" s="62">
        <f t="shared" si="137"/>
        <v>120000</v>
      </c>
      <c r="AC370" s="62">
        <f t="shared" si="137"/>
        <v>120000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1173400.7731841092</v>
      </c>
      <c r="C373" s="63">
        <f t="shared" ref="C373:AC373" si="138">((1+C358)^C365)*C358/(((1+C358)^C365)-1)*(C354)</f>
        <v>1173400.7731841092</v>
      </c>
      <c r="D373" s="63">
        <f t="shared" si="138"/>
        <v>1173400.7731841092</v>
      </c>
      <c r="E373" s="63">
        <f t="shared" si="138"/>
        <v>1173400.7731841092</v>
      </c>
      <c r="F373" s="63">
        <f t="shared" si="138"/>
        <v>1173400.7731841092</v>
      </c>
      <c r="G373" s="63">
        <f t="shared" si="138"/>
        <v>1173400.7731841092</v>
      </c>
      <c r="H373" s="63">
        <f t="shared" si="138"/>
        <v>1173400.7731841092</v>
      </c>
      <c r="I373" s="63">
        <f t="shared" si="138"/>
        <v>1173400.7731841092</v>
      </c>
      <c r="J373" s="63">
        <f t="shared" si="138"/>
        <v>1173400.7731841092</v>
      </c>
      <c r="K373" s="63">
        <f t="shared" si="138"/>
        <v>1173400.7731841092</v>
      </c>
      <c r="L373" s="63">
        <f t="shared" si="138"/>
        <v>1173400.7731841092</v>
      </c>
      <c r="M373" s="63">
        <f t="shared" si="138"/>
        <v>1173400.7731841092</v>
      </c>
      <c r="N373" s="63">
        <f t="shared" si="138"/>
        <v>1173400.7731841092</v>
      </c>
      <c r="O373" s="63">
        <f t="shared" si="138"/>
        <v>1173400.7731841092</v>
      </c>
      <c r="P373" s="63">
        <f t="shared" si="138"/>
        <v>1173400.7731841092</v>
      </c>
      <c r="Q373" s="63">
        <f t="shared" si="138"/>
        <v>1173400.7731841092</v>
      </c>
      <c r="R373" s="63">
        <f t="shared" si="138"/>
        <v>1173400.7731841092</v>
      </c>
      <c r="S373" s="63">
        <f t="shared" si="138"/>
        <v>1173400.7731841092</v>
      </c>
      <c r="T373" s="63">
        <f t="shared" si="138"/>
        <v>1173400.7731841092</v>
      </c>
      <c r="U373" s="63">
        <f t="shared" si="138"/>
        <v>1173400.7731841092</v>
      </c>
      <c r="V373" s="63">
        <f t="shared" si="138"/>
        <v>1173400.7731841092</v>
      </c>
      <c r="W373" s="63">
        <f t="shared" si="138"/>
        <v>1173400.7731841092</v>
      </c>
      <c r="X373" s="63">
        <f t="shared" si="138"/>
        <v>1173400.7731841092</v>
      </c>
      <c r="Y373" s="63">
        <f t="shared" si="138"/>
        <v>1173400.7731841092</v>
      </c>
      <c r="Z373" s="63">
        <f t="shared" si="138"/>
        <v>1173400.7731841092</v>
      </c>
      <c r="AA373" s="63">
        <f t="shared" si="138"/>
        <v>1173400.7731841092</v>
      </c>
      <c r="AB373" s="63">
        <f t="shared" si="138"/>
        <v>1173400.7731841092</v>
      </c>
      <c r="AC373" s="63">
        <f t="shared" si="138"/>
        <v>1173400.7731841092</v>
      </c>
    </row>
    <row r="374" spans="1:29" x14ac:dyDescent="0.25">
      <c r="A374" s="30" t="str">
        <f>A355</f>
        <v>Residual value (vehicle)</v>
      </c>
      <c r="B374" s="62">
        <f>((1+B358)^B365)*B358/(((1+B358)^B365)-1)*(B355)</f>
        <v>-117211.22297816433</v>
      </c>
      <c r="C374" s="62">
        <f t="shared" ref="C374:AC374" si="139">((1+C358)^C365)*C358/(((1+C358)^C365)-1)*(C355)</f>
        <v>-117155.47750703427</v>
      </c>
      <c r="D374" s="62">
        <f t="shared" si="139"/>
        <v>-117075.67910674184</v>
      </c>
      <c r="E374" s="62">
        <f t="shared" si="139"/>
        <v>-116961.52188344915</v>
      </c>
      <c r="F374" s="62">
        <f t="shared" si="139"/>
        <v>-116798.36602132194</v>
      </c>
      <c r="G374" s="62">
        <f t="shared" si="139"/>
        <v>-116565.50734662244</v>
      </c>
      <c r="H374" s="62">
        <f t="shared" si="139"/>
        <v>-116233.85946736432</v>
      </c>
      <c r="I374" s="62">
        <f t="shared" si="139"/>
        <v>-115762.96702113429</v>
      </c>
      <c r="J374" s="62">
        <f t="shared" si="139"/>
        <v>-115097.40579826315</v>
      </c>
      <c r="K374" s="62">
        <f t="shared" si="139"/>
        <v>-114162.96984907117</v>
      </c>
      <c r="L374" s="62">
        <f t="shared" si="139"/>
        <v>-112863.76466894078</v>
      </c>
      <c r="M374" s="62">
        <f t="shared" si="139"/>
        <v>-111082.60297034449</v>
      </c>
      <c r="N374" s="62">
        <f t="shared" si="139"/>
        <v>-108688.91250900239</v>
      </c>
      <c r="O374" s="62">
        <f t="shared" si="139"/>
        <v>-105559.89664903973</v>
      </c>
      <c r="P374" s="62">
        <f t="shared" si="139"/>
        <v>-101619.43004574107</v>
      </c>
      <c r="Q374" s="62">
        <f t="shared" si="139"/>
        <v>-96890.983232894243</v>
      </c>
      <c r="R374" s="62">
        <f t="shared" si="139"/>
        <v>-91544.180152521745</v>
      </c>
      <c r="S374" s="62">
        <f t="shared" si="139"/>
        <v>-85899.582077953528</v>
      </c>
      <c r="T374" s="62">
        <f t="shared" si="139"/>
        <v>-80366.059135568226</v>
      </c>
      <c r="U374" s="62">
        <f t="shared" si="139"/>
        <v>-75328.779301543953</v>
      </c>
      <c r="V374" s="62">
        <f t="shared" si="139"/>
        <v>-71047.808765066002</v>
      </c>
      <c r="W374" s="62">
        <f t="shared" si="139"/>
        <v>-67619.518043732241</v>
      </c>
      <c r="X374" s="62">
        <f t="shared" si="139"/>
        <v>-65003.580064954105</v>
      </c>
      <c r="Y374" s="62">
        <f t="shared" si="139"/>
        <v>-63080.655852023017</v>
      </c>
      <c r="Z374" s="62">
        <f t="shared" si="139"/>
        <v>-61705.792858076449</v>
      </c>
      <c r="AA374" s="62">
        <f t="shared" si="139"/>
        <v>-60742.216938606354</v>
      </c>
      <c r="AB374" s="62">
        <f t="shared" si="139"/>
        <v>-60076.3267522479</v>
      </c>
      <c r="AC374" s="62">
        <f t="shared" si="139"/>
        <v>-59620.624915142049</v>
      </c>
    </row>
    <row r="375" spans="1:29" x14ac:dyDescent="0.25">
      <c r="A375" s="30" t="str">
        <f>A356</f>
        <v>Capex costumization</v>
      </c>
      <c r="B375" s="62">
        <f>((1+B358)^B366)*B358/(((1+B358)^B366)-1)*(B356)</f>
        <v>78226.718212273947</v>
      </c>
      <c r="C375" s="62">
        <f t="shared" ref="C375:AC375" si="140">((1+C358)^C366)*C358/(((1+C358)^C366)-1)*(C356)</f>
        <v>78226.718212273947</v>
      </c>
      <c r="D375" s="62">
        <f t="shared" si="140"/>
        <v>78226.718212273947</v>
      </c>
      <c r="E375" s="62">
        <f t="shared" si="140"/>
        <v>78226.718212273947</v>
      </c>
      <c r="F375" s="62">
        <f t="shared" si="140"/>
        <v>78226.718212273947</v>
      </c>
      <c r="G375" s="62">
        <f t="shared" si="140"/>
        <v>78226.718212273947</v>
      </c>
      <c r="H375" s="62">
        <f t="shared" si="140"/>
        <v>78226.718212273947</v>
      </c>
      <c r="I375" s="62">
        <f t="shared" si="140"/>
        <v>78226.718212273947</v>
      </c>
      <c r="J375" s="62">
        <f t="shared" si="140"/>
        <v>78226.718212273947</v>
      </c>
      <c r="K375" s="62">
        <f t="shared" si="140"/>
        <v>78226.718212273947</v>
      </c>
      <c r="L375" s="62">
        <f t="shared" si="140"/>
        <v>78226.718212273947</v>
      </c>
      <c r="M375" s="62">
        <f t="shared" si="140"/>
        <v>78226.718212273947</v>
      </c>
      <c r="N375" s="62">
        <f t="shared" si="140"/>
        <v>78226.718212273947</v>
      </c>
      <c r="O375" s="62">
        <f t="shared" si="140"/>
        <v>78226.718212273947</v>
      </c>
      <c r="P375" s="62">
        <f t="shared" si="140"/>
        <v>78226.718212273947</v>
      </c>
      <c r="Q375" s="62">
        <f t="shared" si="140"/>
        <v>78226.718212273947</v>
      </c>
      <c r="R375" s="62">
        <f t="shared" si="140"/>
        <v>78226.718212273947</v>
      </c>
      <c r="S375" s="62">
        <f t="shared" si="140"/>
        <v>78226.718212273947</v>
      </c>
      <c r="T375" s="62">
        <f t="shared" si="140"/>
        <v>78226.718212273947</v>
      </c>
      <c r="U375" s="62">
        <f t="shared" si="140"/>
        <v>78226.718212273947</v>
      </c>
      <c r="V375" s="62">
        <f t="shared" si="140"/>
        <v>78226.718212273947</v>
      </c>
      <c r="W375" s="62">
        <f t="shared" si="140"/>
        <v>78226.718212273947</v>
      </c>
      <c r="X375" s="62">
        <f t="shared" si="140"/>
        <v>78226.718212273947</v>
      </c>
      <c r="Y375" s="62">
        <f t="shared" si="140"/>
        <v>78226.718212273947</v>
      </c>
      <c r="Z375" s="62">
        <f t="shared" si="140"/>
        <v>78226.718212273947</v>
      </c>
      <c r="AA375" s="62">
        <f t="shared" si="140"/>
        <v>78226.718212273947</v>
      </c>
      <c r="AB375" s="62">
        <f t="shared" si="140"/>
        <v>78226.718212273947</v>
      </c>
      <c r="AC375" s="62">
        <f t="shared" si="140"/>
        <v>78226.718212273947</v>
      </c>
    </row>
    <row r="376" spans="1:29" x14ac:dyDescent="0.25">
      <c r="A376" s="30" t="str">
        <f>A357</f>
        <v>Residual value (costumization)</v>
      </c>
      <c r="B376" s="62">
        <f>((1+B358)^B366)*B358/(((1+B358)^B366)-1)*(B357)</f>
        <v>-7822.6718212273945</v>
      </c>
      <c r="C376" s="62">
        <f t="shared" ref="C376:AC376" si="141">((1+C358)^C366)*C358/(((1+C358)^C366)-1)*(C357)</f>
        <v>-7822.6718212273945</v>
      </c>
      <c r="D376" s="62">
        <f t="shared" si="141"/>
        <v>-7822.6718212273945</v>
      </c>
      <c r="E376" s="62">
        <f t="shared" si="141"/>
        <v>-7822.6718212273945</v>
      </c>
      <c r="F376" s="62">
        <f t="shared" si="141"/>
        <v>-7822.6718212273945</v>
      </c>
      <c r="G376" s="62">
        <f t="shared" si="141"/>
        <v>-7822.6718212273945</v>
      </c>
      <c r="H376" s="62">
        <f t="shared" si="141"/>
        <v>-7822.6718212273945</v>
      </c>
      <c r="I376" s="62">
        <f t="shared" si="141"/>
        <v>-7822.6718212273945</v>
      </c>
      <c r="J376" s="62">
        <f t="shared" si="141"/>
        <v>-7822.6718212273945</v>
      </c>
      <c r="K376" s="62">
        <f t="shared" si="141"/>
        <v>-7822.6718212273945</v>
      </c>
      <c r="L376" s="62">
        <f t="shared" si="141"/>
        <v>-7822.6718212273945</v>
      </c>
      <c r="M376" s="62">
        <f t="shared" si="141"/>
        <v>-7822.6718212273945</v>
      </c>
      <c r="N376" s="62">
        <f t="shared" si="141"/>
        <v>-7822.6718212273945</v>
      </c>
      <c r="O376" s="62">
        <f t="shared" si="141"/>
        <v>-7822.6718212273945</v>
      </c>
      <c r="P376" s="62">
        <f t="shared" si="141"/>
        <v>-7822.6718212273945</v>
      </c>
      <c r="Q376" s="62">
        <f t="shared" si="141"/>
        <v>-7822.6718212273945</v>
      </c>
      <c r="R376" s="62">
        <f t="shared" si="141"/>
        <v>-7822.6718212273945</v>
      </c>
      <c r="S376" s="62">
        <f t="shared" si="141"/>
        <v>-7822.6718212273945</v>
      </c>
      <c r="T376" s="62">
        <f t="shared" si="141"/>
        <v>-7822.6718212273945</v>
      </c>
      <c r="U376" s="62">
        <f t="shared" si="141"/>
        <v>-7822.6718212273945</v>
      </c>
      <c r="V376" s="62">
        <f t="shared" si="141"/>
        <v>-7822.6718212273945</v>
      </c>
      <c r="W376" s="62">
        <f t="shared" si="141"/>
        <v>-7822.6718212273945</v>
      </c>
      <c r="X376" s="62">
        <f t="shared" si="141"/>
        <v>-7822.6718212273945</v>
      </c>
      <c r="Y376" s="62">
        <f t="shared" si="141"/>
        <v>-7822.6718212273945</v>
      </c>
      <c r="Z376" s="62">
        <f t="shared" si="141"/>
        <v>-7822.6718212273945</v>
      </c>
      <c r="AA376" s="62">
        <f t="shared" si="141"/>
        <v>-7822.6718212273945</v>
      </c>
      <c r="AB376" s="62">
        <f t="shared" si="141"/>
        <v>-7822.6718212273945</v>
      </c>
      <c r="AC376" s="62">
        <f t="shared" si="141"/>
        <v>-7822.6718212273945</v>
      </c>
    </row>
    <row r="377" spans="1:29" x14ac:dyDescent="0.25">
      <c r="A377" s="30" t="str">
        <f t="shared" ref="A377:AC378" si="142">A359</f>
        <v>Opex fix (admin, crew, insurance)</v>
      </c>
      <c r="B377" s="62">
        <f t="shared" si="142"/>
        <v>1208235.294117647</v>
      </c>
      <c r="C377" s="62">
        <f t="shared" si="142"/>
        <v>1208235.294117647</v>
      </c>
      <c r="D377" s="62">
        <f t="shared" si="142"/>
        <v>1208235.294117647</v>
      </c>
      <c r="E377" s="62">
        <f t="shared" si="142"/>
        <v>1208235.294117647</v>
      </c>
      <c r="F377" s="62">
        <f t="shared" si="142"/>
        <v>1208235.294117647</v>
      </c>
      <c r="G377" s="62">
        <f t="shared" si="142"/>
        <v>1208235.294117647</v>
      </c>
      <c r="H377" s="62">
        <f t="shared" si="142"/>
        <v>1208235.294117647</v>
      </c>
      <c r="I377" s="62">
        <f t="shared" si="142"/>
        <v>1208235.294117647</v>
      </c>
      <c r="J377" s="62">
        <f t="shared" si="142"/>
        <v>1208235.294117647</v>
      </c>
      <c r="K377" s="62">
        <f t="shared" si="142"/>
        <v>1208235.294117647</v>
      </c>
      <c r="L377" s="62">
        <f t="shared" si="142"/>
        <v>1208235.294117647</v>
      </c>
      <c r="M377" s="62">
        <f t="shared" si="142"/>
        <v>1208235.294117647</v>
      </c>
      <c r="N377" s="62">
        <f t="shared" si="142"/>
        <v>1208235.294117647</v>
      </c>
      <c r="O377" s="62">
        <f t="shared" si="142"/>
        <v>1208235.294117647</v>
      </c>
      <c r="P377" s="62">
        <f t="shared" si="142"/>
        <v>1208235.294117647</v>
      </c>
      <c r="Q377" s="62">
        <f t="shared" si="142"/>
        <v>1208235.294117647</v>
      </c>
      <c r="R377" s="62">
        <f t="shared" si="142"/>
        <v>1208235.294117647</v>
      </c>
      <c r="S377" s="62">
        <f t="shared" si="142"/>
        <v>1208235.294117647</v>
      </c>
      <c r="T377" s="62">
        <f t="shared" si="142"/>
        <v>1208235.294117647</v>
      </c>
      <c r="U377" s="62">
        <f t="shared" si="142"/>
        <v>1208235.294117647</v>
      </c>
      <c r="V377" s="62">
        <f t="shared" si="142"/>
        <v>1208235.294117647</v>
      </c>
      <c r="W377" s="62">
        <f t="shared" si="142"/>
        <v>1208235.294117647</v>
      </c>
      <c r="X377" s="62">
        <f t="shared" si="142"/>
        <v>1208235.294117647</v>
      </c>
      <c r="Y377" s="62">
        <f t="shared" si="142"/>
        <v>1208235.294117647</v>
      </c>
      <c r="Z377" s="62">
        <f t="shared" si="142"/>
        <v>1208235.294117647</v>
      </c>
      <c r="AA377" s="62">
        <f t="shared" si="142"/>
        <v>1208235.294117647</v>
      </c>
      <c r="AB377" s="62">
        <f t="shared" si="142"/>
        <v>1208235.294117647</v>
      </c>
      <c r="AC377" s="62">
        <f t="shared" si="142"/>
        <v>1208235.294117647</v>
      </c>
    </row>
    <row r="378" spans="1:29" x14ac:dyDescent="0.25">
      <c r="A378" s="30" t="str">
        <f t="shared" si="142"/>
        <v>Opex maintenance &amp; repair</v>
      </c>
      <c r="B378" s="62">
        <f t="shared" si="142"/>
        <v>488235.29411764705</v>
      </c>
      <c r="C378" s="62">
        <f t="shared" si="142"/>
        <v>488235.29411764705</v>
      </c>
      <c r="D378" s="62">
        <f t="shared" si="142"/>
        <v>488235.29411764705</v>
      </c>
      <c r="E378" s="62">
        <f t="shared" si="142"/>
        <v>488235.29411764705</v>
      </c>
      <c r="F378" s="62">
        <f t="shared" si="142"/>
        <v>488235.29411764705</v>
      </c>
      <c r="G378" s="62">
        <f t="shared" si="142"/>
        <v>488235.29411764705</v>
      </c>
      <c r="H378" s="62">
        <f t="shared" si="142"/>
        <v>488235.29411764705</v>
      </c>
      <c r="I378" s="62">
        <f t="shared" si="142"/>
        <v>488235.29411764705</v>
      </c>
      <c r="J378" s="62">
        <f t="shared" si="142"/>
        <v>488235.29411764705</v>
      </c>
      <c r="K378" s="62">
        <f t="shared" si="142"/>
        <v>488235.29411764705</v>
      </c>
      <c r="L378" s="62">
        <f t="shared" si="142"/>
        <v>488235.29411764705</v>
      </c>
      <c r="M378" s="62">
        <f t="shared" si="142"/>
        <v>488235.29411764705</v>
      </c>
      <c r="N378" s="62">
        <f t="shared" si="142"/>
        <v>488235.29411764705</v>
      </c>
      <c r="O378" s="62">
        <f t="shared" si="142"/>
        <v>488235.29411764705</v>
      </c>
      <c r="P378" s="62">
        <f t="shared" si="142"/>
        <v>488235.29411764705</v>
      </c>
      <c r="Q378" s="62">
        <f t="shared" si="142"/>
        <v>488235.29411764705</v>
      </c>
      <c r="R378" s="62">
        <f t="shared" si="142"/>
        <v>488235.29411764705</v>
      </c>
      <c r="S378" s="62">
        <f t="shared" si="142"/>
        <v>488235.29411764705</v>
      </c>
      <c r="T378" s="62">
        <f t="shared" si="142"/>
        <v>488235.29411764705</v>
      </c>
      <c r="U378" s="62">
        <f t="shared" si="142"/>
        <v>488235.29411764705</v>
      </c>
      <c r="V378" s="62">
        <f t="shared" si="142"/>
        <v>488235.29411764705</v>
      </c>
      <c r="W378" s="62">
        <f t="shared" si="142"/>
        <v>488235.29411764705</v>
      </c>
      <c r="X378" s="62">
        <f t="shared" si="142"/>
        <v>488235.29411764705</v>
      </c>
      <c r="Y378" s="62">
        <f t="shared" si="142"/>
        <v>488235.29411764705</v>
      </c>
      <c r="Z378" s="62">
        <f t="shared" si="142"/>
        <v>488235.29411764705</v>
      </c>
      <c r="AA378" s="62">
        <f t="shared" si="142"/>
        <v>488235.29411764705</v>
      </c>
      <c r="AB378" s="62">
        <f t="shared" si="142"/>
        <v>488235.29411764705</v>
      </c>
      <c r="AC378" s="62">
        <f t="shared" si="142"/>
        <v>488235.29411764705</v>
      </c>
    </row>
    <row r="379" spans="1:29" x14ac:dyDescent="0.25">
      <c r="A379" s="30" t="str">
        <f>A361</f>
        <v>Opex var (mode-fees)</v>
      </c>
      <c r="B379" s="62">
        <f>B361*B370</f>
        <v>97536.682916217906</v>
      </c>
      <c r="C379" s="62">
        <f t="shared" ref="C379:AC379" si="143">C361*C370</f>
        <v>97536.682916217906</v>
      </c>
      <c r="D379" s="62">
        <f t="shared" si="143"/>
        <v>97536.682916217906</v>
      </c>
      <c r="E379" s="62">
        <f t="shared" si="143"/>
        <v>97536.682916217906</v>
      </c>
      <c r="F379" s="62">
        <f t="shared" si="143"/>
        <v>97536.682916217906</v>
      </c>
      <c r="G379" s="62">
        <f t="shared" si="143"/>
        <v>97536.682916217906</v>
      </c>
      <c r="H379" s="62">
        <f t="shared" si="143"/>
        <v>97536.682916217906</v>
      </c>
      <c r="I379" s="62">
        <f t="shared" si="143"/>
        <v>97536.682916217906</v>
      </c>
      <c r="J379" s="62">
        <f t="shared" si="143"/>
        <v>97536.682916217906</v>
      </c>
      <c r="K379" s="62">
        <f t="shared" si="143"/>
        <v>97536.682916217906</v>
      </c>
      <c r="L379" s="62">
        <f t="shared" si="143"/>
        <v>97536.682916217906</v>
      </c>
      <c r="M379" s="62">
        <f t="shared" si="143"/>
        <v>97536.682916217906</v>
      </c>
      <c r="N379" s="62">
        <f t="shared" si="143"/>
        <v>97536.682916217906</v>
      </c>
      <c r="O379" s="62">
        <f t="shared" si="143"/>
        <v>97536.682916217906</v>
      </c>
      <c r="P379" s="62">
        <f t="shared" si="143"/>
        <v>97536.682916217906</v>
      </c>
      <c r="Q379" s="62">
        <f t="shared" si="143"/>
        <v>97536.682916217906</v>
      </c>
      <c r="R379" s="62">
        <f t="shared" si="143"/>
        <v>97536.682916217906</v>
      </c>
      <c r="S379" s="62">
        <f t="shared" si="143"/>
        <v>97536.682916217906</v>
      </c>
      <c r="T379" s="62">
        <f t="shared" si="143"/>
        <v>97536.682916217906</v>
      </c>
      <c r="U379" s="62">
        <f t="shared" si="143"/>
        <v>97536.682916217906</v>
      </c>
      <c r="V379" s="62">
        <f t="shared" si="143"/>
        <v>97536.682916217906</v>
      </c>
      <c r="W379" s="62">
        <f t="shared" si="143"/>
        <v>97536.682916217906</v>
      </c>
      <c r="X379" s="62">
        <f t="shared" si="143"/>
        <v>97536.682916217906</v>
      </c>
      <c r="Y379" s="62">
        <f t="shared" si="143"/>
        <v>97536.682916217906</v>
      </c>
      <c r="Z379" s="62">
        <f t="shared" si="143"/>
        <v>97536.682916217906</v>
      </c>
      <c r="AA379" s="62">
        <f t="shared" si="143"/>
        <v>97536.682916217906</v>
      </c>
      <c r="AB379" s="62">
        <f t="shared" si="143"/>
        <v>97536.682916217906</v>
      </c>
      <c r="AC379" s="62">
        <f t="shared" si="143"/>
        <v>97536.682916217906</v>
      </c>
    </row>
    <row r="380" spans="1:29" x14ac:dyDescent="0.25">
      <c r="A380" s="30" t="str">
        <f>A363</f>
        <v>Fuel Cost</v>
      </c>
      <c r="B380" s="62">
        <f>B362*B363*B370</f>
        <v>2437507.052101518</v>
      </c>
      <c r="C380" s="62">
        <f t="shared" ref="C380:AC380" si="144">C362*C363*C370</f>
        <v>2437338.7839329462</v>
      </c>
      <c r="D380" s="62">
        <f t="shared" si="144"/>
        <v>2437097.9117975063</v>
      </c>
      <c r="E380" s="62">
        <f t="shared" si="144"/>
        <v>2436753.3272688738</v>
      </c>
      <c r="F380" s="62">
        <f t="shared" si="144"/>
        <v>2436260.8399411063</v>
      </c>
      <c r="G380" s="62">
        <f t="shared" si="144"/>
        <v>2435557.9540934572</v>
      </c>
      <c r="H380" s="62">
        <f t="shared" si="144"/>
        <v>2434556.8722096309</v>
      </c>
      <c r="I380" s="62">
        <f t="shared" si="144"/>
        <v>2433135.479441477</v>
      </c>
      <c r="J380" s="62">
        <f t="shared" si="144"/>
        <v>2431126.4773508143</v>
      </c>
      <c r="K380" s="62">
        <f t="shared" si="144"/>
        <v>2428305.8746609245</v>
      </c>
      <c r="L380" s="62">
        <f t="shared" si="144"/>
        <v>2424384.2130114948</v>
      </c>
      <c r="M380" s="62">
        <f t="shared" si="144"/>
        <v>2419007.7615997801</v>
      </c>
      <c r="N380" s="62">
        <f t="shared" si="144"/>
        <v>2411782.387019678</v>
      </c>
      <c r="O380" s="62">
        <f t="shared" si="144"/>
        <v>2402337.4266037703</v>
      </c>
      <c r="P380" s="62">
        <f t="shared" si="144"/>
        <v>2390443.0953654484</v>
      </c>
      <c r="Q380" s="62">
        <f t="shared" si="144"/>
        <v>2376170.2393062925</v>
      </c>
      <c r="R380" s="62">
        <f t="shared" si="144"/>
        <v>2360030.8697070694</v>
      </c>
      <c r="S380" s="62">
        <f t="shared" si="144"/>
        <v>2342992.6034393362</v>
      </c>
      <c r="T380" s="62">
        <f t="shared" si="144"/>
        <v>2326289.6183825689</v>
      </c>
      <c r="U380" s="62">
        <f t="shared" si="144"/>
        <v>2311084.5472785905</v>
      </c>
      <c r="V380" s="62">
        <f t="shared" si="144"/>
        <v>2298162.4020839729</v>
      </c>
      <c r="W380" s="62">
        <f t="shared" si="144"/>
        <v>2287814.0780081702</v>
      </c>
      <c r="X380" s="62">
        <f t="shared" si="144"/>
        <v>2279917.8474469348</v>
      </c>
      <c r="Y380" s="62">
        <f t="shared" si="144"/>
        <v>2274113.4847058197</v>
      </c>
      <c r="Z380" s="62">
        <f t="shared" si="144"/>
        <v>2269963.4493156904</v>
      </c>
      <c r="AA380" s="62">
        <f t="shared" si="144"/>
        <v>2267054.887382986</v>
      </c>
      <c r="AB380" s="62">
        <f t="shared" si="144"/>
        <v>2265044.8923132992</v>
      </c>
      <c r="AC380" s="62">
        <f t="shared" si="144"/>
        <v>2263669.3525252165</v>
      </c>
    </row>
    <row r="381" spans="1:29" ht="15.75" thickBot="1" x14ac:dyDescent="0.3">
      <c r="A381" s="59" t="str">
        <f>A344</f>
        <v>Emission Cost</v>
      </c>
      <c r="B381" s="62">
        <f>B364*B370</f>
        <v>2192040.4269286273</v>
      </c>
      <c r="C381" s="62">
        <f t="shared" ref="C381:AC381" si="145">C364*C370</f>
        <v>2196694.8550776178</v>
      </c>
      <c r="D381" s="62">
        <f t="shared" si="145"/>
        <v>2203357.5653038691</v>
      </c>
      <c r="E381" s="62">
        <f t="shared" si="145"/>
        <v>2212889.0408252501</v>
      </c>
      <c r="F381" s="62">
        <f t="shared" si="145"/>
        <v>2226511.622569799</v>
      </c>
      <c r="G381" s="62">
        <f t="shared" si="145"/>
        <v>2245953.9906812669</v>
      </c>
      <c r="H381" s="62">
        <f t="shared" si="145"/>
        <v>2273644.6926069986</v>
      </c>
      <c r="I381" s="62">
        <f t="shared" si="145"/>
        <v>2312961.5198299005</v>
      </c>
      <c r="J381" s="62">
        <f t="shared" si="145"/>
        <v>2368532.0770035987</v>
      </c>
      <c r="K381" s="62">
        <f t="shared" si="145"/>
        <v>2446552.1366995717</v>
      </c>
      <c r="L381" s="62">
        <f t="shared" si="145"/>
        <v>2555028.3418356678</v>
      </c>
      <c r="M381" s="62">
        <f t="shared" si="145"/>
        <v>2703745.1609743489</v>
      </c>
      <c r="N381" s="62">
        <f t="shared" si="145"/>
        <v>2903604.6300466633</v>
      </c>
      <c r="O381" s="62">
        <f t="shared" si="145"/>
        <v>3164859.5661340822</v>
      </c>
      <c r="P381" s="62">
        <f t="shared" si="145"/>
        <v>3493866.0003206055</v>
      </c>
      <c r="Q381" s="62">
        <f t="shared" si="145"/>
        <v>3888664.277213261</v>
      </c>
      <c r="R381" s="62">
        <f t="shared" si="145"/>
        <v>4335091.767373505</v>
      </c>
      <c r="S381" s="62">
        <f t="shared" si="145"/>
        <v>4806383.437089771</v>
      </c>
      <c r="T381" s="62">
        <f t="shared" si="145"/>
        <v>5268400.9682723647</v>
      </c>
      <c r="U381" s="62">
        <f t="shared" si="145"/>
        <v>5688985.0368709024</v>
      </c>
      <c r="V381" s="62">
        <f t="shared" si="145"/>
        <v>6046421.6028565438</v>
      </c>
      <c r="W381" s="62">
        <f t="shared" si="145"/>
        <v>6332664.2789489012</v>
      </c>
      <c r="X381" s="62">
        <f t="shared" si="145"/>
        <v>6551080.1451639356</v>
      </c>
      <c r="Y381" s="62">
        <f t="shared" si="145"/>
        <v>6711633.3238097783</v>
      </c>
      <c r="Z381" s="62">
        <f t="shared" si="145"/>
        <v>6826426.5238726102</v>
      </c>
      <c r="AA381" s="62">
        <f t="shared" si="145"/>
        <v>6906879.6044969875</v>
      </c>
      <c r="AB381" s="62">
        <f t="shared" si="145"/>
        <v>6962477.6282412307</v>
      </c>
      <c r="AC381" s="62">
        <f t="shared" si="145"/>
        <v>7000526.1264452087</v>
      </c>
    </row>
    <row r="382" spans="1:29" ht="15.75" thickBot="1" x14ac:dyDescent="0.3">
      <c r="A382" s="31" t="s">
        <v>209</v>
      </c>
      <c r="B382" s="64">
        <f>B373+B374+B375+B376+B377+B378+B379+B380+B381</f>
        <v>7550148.3467786489</v>
      </c>
      <c r="C382" s="64">
        <f t="shared" ref="C382:AC382" si="146">C373+C374+C375+C376+C377+C378+C379+C380+C381</f>
        <v>7554690.2522301981</v>
      </c>
      <c r="D382" s="64">
        <f t="shared" si="146"/>
        <v>7561191.8887213022</v>
      </c>
      <c r="E382" s="64">
        <f t="shared" si="146"/>
        <v>7570492.9369373433</v>
      </c>
      <c r="F382" s="64">
        <f t="shared" si="146"/>
        <v>7583786.1872162521</v>
      </c>
      <c r="G382" s="64">
        <f t="shared" si="146"/>
        <v>7602758.5281547699</v>
      </c>
      <c r="H382" s="64">
        <f t="shared" si="146"/>
        <v>7629779.7960759327</v>
      </c>
      <c r="I382" s="64">
        <f t="shared" si="146"/>
        <v>7668146.1229769122</v>
      </c>
      <c r="J382" s="64">
        <f t="shared" si="146"/>
        <v>7722373.2392828166</v>
      </c>
      <c r="K382" s="64">
        <f t="shared" si="146"/>
        <v>7798507.1322380938</v>
      </c>
      <c r="L382" s="64">
        <f t="shared" si="146"/>
        <v>7904360.8809048906</v>
      </c>
      <c r="M382" s="64">
        <f t="shared" si="146"/>
        <v>8049482.410330453</v>
      </c>
      <c r="N382" s="64">
        <f t="shared" si="146"/>
        <v>8244510.1952840071</v>
      </c>
      <c r="O382" s="64">
        <f t="shared" si="146"/>
        <v>8499449.1868154816</v>
      </c>
      <c r="P382" s="64">
        <f t="shared" si="146"/>
        <v>8820501.7563669812</v>
      </c>
      <c r="Q382" s="64">
        <f t="shared" si="146"/>
        <v>9205755.6240133271</v>
      </c>
      <c r="R382" s="64">
        <f t="shared" si="146"/>
        <v>9641390.5476547219</v>
      </c>
      <c r="S382" s="64">
        <f t="shared" si="146"/>
        <v>10101288.549177822</v>
      </c>
      <c r="T382" s="64">
        <f t="shared" si="146"/>
        <v>10552136.618246034</v>
      </c>
      <c r="U382" s="64">
        <f t="shared" si="146"/>
        <v>10962552.895574616</v>
      </c>
      <c r="V382" s="64">
        <f t="shared" si="146"/>
        <v>11311348.286902118</v>
      </c>
      <c r="W382" s="64">
        <f t="shared" si="146"/>
        <v>11590670.929640006</v>
      </c>
      <c r="X382" s="64">
        <f t="shared" si="146"/>
        <v>11803806.503272586</v>
      </c>
      <c r="Y382" s="64">
        <f t="shared" si="146"/>
        <v>11960478.243390244</v>
      </c>
      <c r="Z382" s="64">
        <f t="shared" si="146"/>
        <v>12072496.271056892</v>
      </c>
      <c r="AA382" s="64">
        <f t="shared" si="146"/>
        <v>12151004.365668036</v>
      </c>
      <c r="AB382" s="64">
        <f t="shared" si="146"/>
        <v>12205258.28452895</v>
      </c>
      <c r="AC382" s="64">
        <f t="shared" si="146"/>
        <v>12242386.944781952</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147">A373</f>
        <v>Capex vehicle</v>
      </c>
      <c r="B385" s="65">
        <f>((1+B358)^B365)*B358/(((1+B358)^B365)-1)*(B354)/B370</f>
        <v>9.7783397765342439</v>
      </c>
      <c r="C385" s="65">
        <f t="shared" ref="C385:AC385" si="148">((1+C358)^C365)*C358/(((1+C358)^C365)-1)*(C354)/C370</f>
        <v>9.7783397765342439</v>
      </c>
      <c r="D385" s="65">
        <f t="shared" si="148"/>
        <v>9.7783397765342439</v>
      </c>
      <c r="E385" s="65">
        <f t="shared" si="148"/>
        <v>9.7783397765342439</v>
      </c>
      <c r="F385" s="65">
        <f t="shared" si="148"/>
        <v>9.7783397765342439</v>
      </c>
      <c r="G385" s="65">
        <f t="shared" si="148"/>
        <v>9.7783397765342439</v>
      </c>
      <c r="H385" s="65">
        <f t="shared" si="148"/>
        <v>9.7783397765342439</v>
      </c>
      <c r="I385" s="65">
        <f t="shared" si="148"/>
        <v>9.7783397765342439</v>
      </c>
      <c r="J385" s="65">
        <f t="shared" si="148"/>
        <v>9.7783397765342439</v>
      </c>
      <c r="K385" s="65">
        <f t="shared" si="148"/>
        <v>9.7783397765342439</v>
      </c>
      <c r="L385" s="65">
        <f t="shared" si="148"/>
        <v>9.7783397765342439</v>
      </c>
      <c r="M385" s="65">
        <f t="shared" si="148"/>
        <v>9.7783397765342439</v>
      </c>
      <c r="N385" s="65">
        <f t="shared" si="148"/>
        <v>9.7783397765342439</v>
      </c>
      <c r="O385" s="65">
        <f t="shared" si="148"/>
        <v>9.7783397765342439</v>
      </c>
      <c r="P385" s="65">
        <f t="shared" si="148"/>
        <v>9.7783397765342439</v>
      </c>
      <c r="Q385" s="65">
        <f t="shared" si="148"/>
        <v>9.7783397765342439</v>
      </c>
      <c r="R385" s="65">
        <f t="shared" si="148"/>
        <v>9.7783397765342439</v>
      </c>
      <c r="S385" s="65">
        <f t="shared" si="148"/>
        <v>9.7783397765342439</v>
      </c>
      <c r="T385" s="65">
        <f t="shared" si="148"/>
        <v>9.7783397765342439</v>
      </c>
      <c r="U385" s="65">
        <f t="shared" si="148"/>
        <v>9.7783397765342439</v>
      </c>
      <c r="V385" s="65">
        <f t="shared" si="148"/>
        <v>9.7783397765342439</v>
      </c>
      <c r="W385" s="65">
        <f t="shared" si="148"/>
        <v>9.7783397765342439</v>
      </c>
      <c r="X385" s="65">
        <f t="shared" si="148"/>
        <v>9.7783397765342439</v>
      </c>
      <c r="Y385" s="65">
        <f t="shared" si="148"/>
        <v>9.7783397765342439</v>
      </c>
      <c r="Z385" s="65">
        <f t="shared" si="148"/>
        <v>9.7783397765342439</v>
      </c>
      <c r="AA385" s="65">
        <f t="shared" si="148"/>
        <v>9.7783397765342439</v>
      </c>
      <c r="AB385" s="65">
        <f t="shared" si="148"/>
        <v>9.7783397765342439</v>
      </c>
      <c r="AC385" s="65">
        <f t="shared" si="148"/>
        <v>9.7783397765342439</v>
      </c>
    </row>
    <row r="386" spans="1:29" x14ac:dyDescent="0.25">
      <c r="A386" s="30" t="str">
        <f t="shared" si="147"/>
        <v>Residual value (vehicle)</v>
      </c>
      <c r="B386" s="66">
        <f>((1+B358)^B365)*B358/(((1+B358)^B365)-1)*(B355)/B370</f>
        <v>-0.97676019148470272</v>
      </c>
      <c r="C386" s="66">
        <f t="shared" ref="C386:AC386" si="149">((1+C358)^C365)*C358/(((1+C358)^C365)-1)*(C355)/C370</f>
        <v>-0.97629564589195228</v>
      </c>
      <c r="D386" s="66">
        <f t="shared" si="149"/>
        <v>-0.97563065922284864</v>
      </c>
      <c r="E386" s="66">
        <f t="shared" si="149"/>
        <v>-0.97467934902874298</v>
      </c>
      <c r="F386" s="66">
        <f t="shared" si="149"/>
        <v>-0.97331971684434948</v>
      </c>
      <c r="G386" s="66">
        <f t="shared" si="149"/>
        <v>-0.97137922788852038</v>
      </c>
      <c r="H386" s="66">
        <f t="shared" si="149"/>
        <v>-0.96861549556136939</v>
      </c>
      <c r="I386" s="66">
        <f t="shared" si="149"/>
        <v>-0.96469139184278574</v>
      </c>
      <c r="J386" s="66">
        <f t="shared" si="149"/>
        <v>-0.95914504831885961</v>
      </c>
      <c r="K386" s="66">
        <f t="shared" si="149"/>
        <v>-0.95135808207559314</v>
      </c>
      <c r="L386" s="66">
        <f t="shared" si="149"/>
        <v>-0.94053137224117322</v>
      </c>
      <c r="M386" s="66">
        <f t="shared" si="149"/>
        <v>-0.92568835808620409</v>
      </c>
      <c r="N386" s="66">
        <f t="shared" si="149"/>
        <v>-0.90574093757501994</v>
      </c>
      <c r="O386" s="66">
        <f t="shared" si="149"/>
        <v>-0.87966580540866446</v>
      </c>
      <c r="P386" s="66">
        <f t="shared" si="149"/>
        <v>-0.84682858371450898</v>
      </c>
      <c r="Q386" s="66">
        <f t="shared" si="149"/>
        <v>-0.80742486027411864</v>
      </c>
      <c r="R386" s="66">
        <f t="shared" si="149"/>
        <v>-0.7628681679376812</v>
      </c>
      <c r="S386" s="66">
        <f t="shared" si="149"/>
        <v>-0.71582985064961269</v>
      </c>
      <c r="T386" s="66">
        <f t="shared" si="149"/>
        <v>-0.66971715946306853</v>
      </c>
      <c r="U386" s="66">
        <f t="shared" si="149"/>
        <v>-0.62773982751286628</v>
      </c>
      <c r="V386" s="66">
        <f t="shared" si="149"/>
        <v>-0.59206507304221667</v>
      </c>
      <c r="W386" s="66">
        <f t="shared" si="149"/>
        <v>-0.56349598369776865</v>
      </c>
      <c r="X386" s="66">
        <f t="shared" si="149"/>
        <v>-0.54169650054128426</v>
      </c>
      <c r="Y386" s="66">
        <f t="shared" si="149"/>
        <v>-0.52567213210019181</v>
      </c>
      <c r="Z386" s="66">
        <f t="shared" si="149"/>
        <v>-0.51421494048397043</v>
      </c>
      <c r="AA386" s="66">
        <f t="shared" si="149"/>
        <v>-0.50618514115505298</v>
      </c>
      <c r="AB386" s="66">
        <f t="shared" si="149"/>
        <v>-0.50063605626873253</v>
      </c>
      <c r="AC386" s="66">
        <f t="shared" si="149"/>
        <v>-0.49683854095951707</v>
      </c>
    </row>
    <row r="387" spans="1:29" x14ac:dyDescent="0.25">
      <c r="A387" s="30" t="str">
        <f t="shared" si="147"/>
        <v>Capex costumization</v>
      </c>
      <c r="B387" s="66">
        <f>((1+B358)^B366)*B358/(((1+B358)^B366)-1)*(B356)/B370</f>
        <v>0.65188931843561626</v>
      </c>
      <c r="C387" s="66">
        <f t="shared" ref="C387:AC387" si="150">((1+C358)^C366)*C358/(((1+C358)^C366)-1)*(C356)/C370</f>
        <v>0.65188931843561626</v>
      </c>
      <c r="D387" s="66">
        <f t="shared" si="150"/>
        <v>0.65188931843561626</v>
      </c>
      <c r="E387" s="66">
        <f t="shared" si="150"/>
        <v>0.65188931843561626</v>
      </c>
      <c r="F387" s="66">
        <f t="shared" si="150"/>
        <v>0.65188931843561626</v>
      </c>
      <c r="G387" s="66">
        <f t="shared" si="150"/>
        <v>0.65188931843561626</v>
      </c>
      <c r="H387" s="66">
        <f t="shared" si="150"/>
        <v>0.65188931843561626</v>
      </c>
      <c r="I387" s="66">
        <f t="shared" si="150"/>
        <v>0.65188931843561626</v>
      </c>
      <c r="J387" s="66">
        <f t="shared" si="150"/>
        <v>0.65188931843561626</v>
      </c>
      <c r="K387" s="66">
        <f t="shared" si="150"/>
        <v>0.65188931843561626</v>
      </c>
      <c r="L387" s="66">
        <f t="shared" si="150"/>
        <v>0.65188931843561626</v>
      </c>
      <c r="M387" s="66">
        <f t="shared" si="150"/>
        <v>0.65188931843561626</v>
      </c>
      <c r="N387" s="66">
        <f t="shared" si="150"/>
        <v>0.65188931843561626</v>
      </c>
      <c r="O387" s="66">
        <f t="shared" si="150"/>
        <v>0.65188931843561626</v>
      </c>
      <c r="P387" s="66">
        <f t="shared" si="150"/>
        <v>0.65188931843561626</v>
      </c>
      <c r="Q387" s="66">
        <f t="shared" si="150"/>
        <v>0.65188931843561626</v>
      </c>
      <c r="R387" s="66">
        <f t="shared" si="150"/>
        <v>0.65188931843561626</v>
      </c>
      <c r="S387" s="66">
        <f t="shared" si="150"/>
        <v>0.65188931843561626</v>
      </c>
      <c r="T387" s="66">
        <f t="shared" si="150"/>
        <v>0.65188931843561626</v>
      </c>
      <c r="U387" s="66">
        <f t="shared" si="150"/>
        <v>0.65188931843561626</v>
      </c>
      <c r="V387" s="66">
        <f t="shared" si="150"/>
        <v>0.65188931843561626</v>
      </c>
      <c r="W387" s="66">
        <f t="shared" si="150"/>
        <v>0.65188931843561626</v>
      </c>
      <c r="X387" s="66">
        <f t="shared" si="150"/>
        <v>0.65188931843561626</v>
      </c>
      <c r="Y387" s="66">
        <f t="shared" si="150"/>
        <v>0.65188931843561626</v>
      </c>
      <c r="Z387" s="66">
        <f t="shared" si="150"/>
        <v>0.65188931843561626</v>
      </c>
      <c r="AA387" s="66">
        <f t="shared" si="150"/>
        <v>0.65188931843561626</v>
      </c>
      <c r="AB387" s="66">
        <f t="shared" si="150"/>
        <v>0.65188931843561626</v>
      </c>
      <c r="AC387" s="66">
        <f t="shared" si="150"/>
        <v>0.65188931843561626</v>
      </c>
    </row>
    <row r="388" spans="1:29" x14ac:dyDescent="0.25">
      <c r="A388" s="30" t="str">
        <f t="shared" si="147"/>
        <v>Residual value (costumization)</v>
      </c>
      <c r="B388" s="66">
        <f>((1+B358)^B366)*B358/(((1+B358)^B366)-1)*(B357)/B370</f>
        <v>-6.5188931843561615E-2</v>
      </c>
      <c r="C388" s="66">
        <f t="shared" ref="C388:AC388" si="151">((1+C358)^C366)*C358/(((1+C358)^C366)-1)*(C357)/C370</f>
        <v>-6.5188931843561615E-2</v>
      </c>
      <c r="D388" s="66">
        <f t="shared" si="151"/>
        <v>-6.5188931843561615E-2</v>
      </c>
      <c r="E388" s="66">
        <f t="shared" si="151"/>
        <v>-6.5188931843561615E-2</v>
      </c>
      <c r="F388" s="66">
        <f t="shared" si="151"/>
        <v>-6.5188931843561615E-2</v>
      </c>
      <c r="G388" s="66">
        <f t="shared" si="151"/>
        <v>-6.5188931843561615E-2</v>
      </c>
      <c r="H388" s="66">
        <f t="shared" si="151"/>
        <v>-6.5188931843561615E-2</v>
      </c>
      <c r="I388" s="66">
        <f t="shared" si="151"/>
        <v>-6.5188931843561615E-2</v>
      </c>
      <c r="J388" s="66">
        <f t="shared" si="151"/>
        <v>-6.5188931843561615E-2</v>
      </c>
      <c r="K388" s="66">
        <f t="shared" si="151"/>
        <v>-6.5188931843561615E-2</v>
      </c>
      <c r="L388" s="66">
        <f t="shared" si="151"/>
        <v>-6.5188931843561615E-2</v>
      </c>
      <c r="M388" s="66">
        <f t="shared" si="151"/>
        <v>-6.5188931843561615E-2</v>
      </c>
      <c r="N388" s="66">
        <f t="shared" si="151"/>
        <v>-6.5188931843561615E-2</v>
      </c>
      <c r="O388" s="66">
        <f t="shared" si="151"/>
        <v>-6.5188931843561615E-2</v>
      </c>
      <c r="P388" s="66">
        <f t="shared" si="151"/>
        <v>-6.5188931843561615E-2</v>
      </c>
      <c r="Q388" s="66">
        <f t="shared" si="151"/>
        <v>-6.5188931843561615E-2</v>
      </c>
      <c r="R388" s="66">
        <f t="shared" si="151"/>
        <v>-6.5188931843561615E-2</v>
      </c>
      <c r="S388" s="66">
        <f t="shared" si="151"/>
        <v>-6.5188931843561615E-2</v>
      </c>
      <c r="T388" s="66">
        <f t="shared" si="151"/>
        <v>-6.5188931843561615E-2</v>
      </c>
      <c r="U388" s="66">
        <f t="shared" si="151"/>
        <v>-6.5188931843561615E-2</v>
      </c>
      <c r="V388" s="66">
        <f t="shared" si="151"/>
        <v>-6.5188931843561615E-2</v>
      </c>
      <c r="W388" s="66">
        <f t="shared" si="151"/>
        <v>-6.5188931843561615E-2</v>
      </c>
      <c r="X388" s="66">
        <f t="shared" si="151"/>
        <v>-6.5188931843561615E-2</v>
      </c>
      <c r="Y388" s="66">
        <f t="shared" si="151"/>
        <v>-6.5188931843561615E-2</v>
      </c>
      <c r="Z388" s="66">
        <f t="shared" si="151"/>
        <v>-6.5188931843561615E-2</v>
      </c>
      <c r="AA388" s="66">
        <f t="shared" si="151"/>
        <v>-6.5188931843561615E-2</v>
      </c>
      <c r="AB388" s="66">
        <f t="shared" si="151"/>
        <v>-6.5188931843561615E-2</v>
      </c>
      <c r="AC388" s="66">
        <f t="shared" si="151"/>
        <v>-6.5188931843561615E-2</v>
      </c>
    </row>
    <row r="389" spans="1:29" x14ac:dyDescent="0.25">
      <c r="A389" s="30" t="str">
        <f t="shared" si="147"/>
        <v>Opex fix (admin, crew, insurance)</v>
      </c>
      <c r="B389" s="66">
        <f>B359/B370</f>
        <v>10.068627450980392</v>
      </c>
      <c r="C389" s="66">
        <f t="shared" ref="C389:AC389" si="152">C359/C370</f>
        <v>10.068627450980392</v>
      </c>
      <c r="D389" s="66">
        <f t="shared" si="152"/>
        <v>10.068627450980392</v>
      </c>
      <c r="E389" s="66">
        <f t="shared" si="152"/>
        <v>10.068627450980392</v>
      </c>
      <c r="F389" s="66">
        <f t="shared" si="152"/>
        <v>10.068627450980392</v>
      </c>
      <c r="G389" s="66">
        <f t="shared" si="152"/>
        <v>10.068627450980392</v>
      </c>
      <c r="H389" s="66">
        <f t="shared" si="152"/>
        <v>10.068627450980392</v>
      </c>
      <c r="I389" s="66">
        <f t="shared" si="152"/>
        <v>10.068627450980392</v>
      </c>
      <c r="J389" s="66">
        <f t="shared" si="152"/>
        <v>10.068627450980392</v>
      </c>
      <c r="K389" s="66">
        <f t="shared" si="152"/>
        <v>10.068627450980392</v>
      </c>
      <c r="L389" s="66">
        <f t="shared" si="152"/>
        <v>10.068627450980392</v>
      </c>
      <c r="M389" s="66">
        <f t="shared" si="152"/>
        <v>10.068627450980392</v>
      </c>
      <c r="N389" s="66">
        <f t="shared" si="152"/>
        <v>10.068627450980392</v>
      </c>
      <c r="O389" s="66">
        <f t="shared" si="152"/>
        <v>10.068627450980392</v>
      </c>
      <c r="P389" s="66">
        <f t="shared" si="152"/>
        <v>10.068627450980392</v>
      </c>
      <c r="Q389" s="66">
        <f t="shared" si="152"/>
        <v>10.068627450980392</v>
      </c>
      <c r="R389" s="66">
        <f t="shared" si="152"/>
        <v>10.068627450980392</v>
      </c>
      <c r="S389" s="66">
        <f t="shared" si="152"/>
        <v>10.068627450980392</v>
      </c>
      <c r="T389" s="66">
        <f t="shared" si="152"/>
        <v>10.068627450980392</v>
      </c>
      <c r="U389" s="66">
        <f t="shared" si="152"/>
        <v>10.068627450980392</v>
      </c>
      <c r="V389" s="66">
        <f t="shared" si="152"/>
        <v>10.068627450980392</v>
      </c>
      <c r="W389" s="66">
        <f t="shared" si="152"/>
        <v>10.068627450980392</v>
      </c>
      <c r="X389" s="66">
        <f t="shared" si="152"/>
        <v>10.068627450980392</v>
      </c>
      <c r="Y389" s="66">
        <f t="shared" si="152"/>
        <v>10.068627450980392</v>
      </c>
      <c r="Z389" s="66">
        <f t="shared" si="152"/>
        <v>10.068627450980392</v>
      </c>
      <c r="AA389" s="66">
        <f t="shared" si="152"/>
        <v>10.068627450980392</v>
      </c>
      <c r="AB389" s="66">
        <f t="shared" si="152"/>
        <v>10.068627450980392</v>
      </c>
      <c r="AC389" s="66">
        <f t="shared" si="152"/>
        <v>10.068627450980392</v>
      </c>
    </row>
    <row r="390" spans="1:29" x14ac:dyDescent="0.25">
      <c r="A390" s="30" t="str">
        <f t="shared" si="147"/>
        <v>Opex maintenance &amp; repair</v>
      </c>
      <c r="B390" s="66">
        <f>B360/B370</f>
        <v>4.0686274509803919</v>
      </c>
      <c r="C390" s="66">
        <f t="shared" ref="C390:AC390" si="153">C360/C370</f>
        <v>4.0686274509803919</v>
      </c>
      <c r="D390" s="66">
        <f t="shared" si="153"/>
        <v>4.0686274509803919</v>
      </c>
      <c r="E390" s="66">
        <f t="shared" si="153"/>
        <v>4.0686274509803919</v>
      </c>
      <c r="F390" s="66">
        <f t="shared" si="153"/>
        <v>4.0686274509803919</v>
      </c>
      <c r="G390" s="66">
        <f t="shared" si="153"/>
        <v>4.0686274509803919</v>
      </c>
      <c r="H390" s="66">
        <f t="shared" si="153"/>
        <v>4.0686274509803919</v>
      </c>
      <c r="I390" s="66">
        <f t="shared" si="153"/>
        <v>4.0686274509803919</v>
      </c>
      <c r="J390" s="66">
        <f t="shared" si="153"/>
        <v>4.0686274509803919</v>
      </c>
      <c r="K390" s="66">
        <f t="shared" si="153"/>
        <v>4.0686274509803919</v>
      </c>
      <c r="L390" s="66">
        <f t="shared" si="153"/>
        <v>4.0686274509803919</v>
      </c>
      <c r="M390" s="66">
        <f t="shared" si="153"/>
        <v>4.0686274509803919</v>
      </c>
      <c r="N390" s="66">
        <f t="shared" si="153"/>
        <v>4.0686274509803919</v>
      </c>
      <c r="O390" s="66">
        <f t="shared" si="153"/>
        <v>4.0686274509803919</v>
      </c>
      <c r="P390" s="66">
        <f t="shared" si="153"/>
        <v>4.0686274509803919</v>
      </c>
      <c r="Q390" s="66">
        <f t="shared" si="153"/>
        <v>4.0686274509803919</v>
      </c>
      <c r="R390" s="66">
        <f t="shared" si="153"/>
        <v>4.0686274509803919</v>
      </c>
      <c r="S390" s="66">
        <f t="shared" si="153"/>
        <v>4.0686274509803919</v>
      </c>
      <c r="T390" s="66">
        <f t="shared" si="153"/>
        <v>4.0686274509803919</v>
      </c>
      <c r="U390" s="66">
        <f t="shared" si="153"/>
        <v>4.0686274509803919</v>
      </c>
      <c r="V390" s="66">
        <f t="shared" si="153"/>
        <v>4.0686274509803919</v>
      </c>
      <c r="W390" s="66">
        <f t="shared" si="153"/>
        <v>4.0686274509803919</v>
      </c>
      <c r="X390" s="66">
        <f t="shared" si="153"/>
        <v>4.0686274509803919</v>
      </c>
      <c r="Y390" s="66">
        <f t="shared" si="153"/>
        <v>4.0686274509803919</v>
      </c>
      <c r="Z390" s="66">
        <f t="shared" si="153"/>
        <v>4.0686274509803919</v>
      </c>
      <c r="AA390" s="66">
        <f t="shared" si="153"/>
        <v>4.0686274509803919</v>
      </c>
      <c r="AB390" s="66">
        <f t="shared" si="153"/>
        <v>4.0686274509803919</v>
      </c>
      <c r="AC390" s="66">
        <f t="shared" si="153"/>
        <v>4.0686274509803919</v>
      </c>
    </row>
    <row r="391" spans="1:29" x14ac:dyDescent="0.25">
      <c r="A391" s="30" t="str">
        <f t="shared" si="147"/>
        <v>Opex var (mode-fees)</v>
      </c>
      <c r="B391" s="66">
        <f>B361*B370/B370</f>
        <v>0.81280569096848254</v>
      </c>
      <c r="C391" s="66">
        <f t="shared" ref="C391:AC391" si="154">C361*C370/C370</f>
        <v>0.81280569096848254</v>
      </c>
      <c r="D391" s="66">
        <f t="shared" si="154"/>
        <v>0.81280569096848254</v>
      </c>
      <c r="E391" s="66">
        <f t="shared" si="154"/>
        <v>0.81280569096848254</v>
      </c>
      <c r="F391" s="66">
        <f t="shared" si="154"/>
        <v>0.81280569096848254</v>
      </c>
      <c r="G391" s="66">
        <f t="shared" si="154"/>
        <v>0.81280569096848254</v>
      </c>
      <c r="H391" s="66">
        <f t="shared" si="154"/>
        <v>0.81280569096848254</v>
      </c>
      <c r="I391" s="66">
        <f t="shared" si="154"/>
        <v>0.81280569096848254</v>
      </c>
      <c r="J391" s="66">
        <f t="shared" si="154"/>
        <v>0.81280569096848254</v>
      </c>
      <c r="K391" s="66">
        <f t="shared" si="154"/>
        <v>0.81280569096848254</v>
      </c>
      <c r="L391" s="66">
        <f t="shared" si="154"/>
        <v>0.81280569096848254</v>
      </c>
      <c r="M391" s="66">
        <f t="shared" si="154"/>
        <v>0.81280569096848254</v>
      </c>
      <c r="N391" s="66">
        <f t="shared" si="154"/>
        <v>0.81280569096848254</v>
      </c>
      <c r="O391" s="66">
        <f t="shared" si="154"/>
        <v>0.81280569096848254</v>
      </c>
      <c r="P391" s="66">
        <f t="shared" si="154"/>
        <v>0.81280569096848254</v>
      </c>
      <c r="Q391" s="66">
        <f t="shared" si="154"/>
        <v>0.81280569096848254</v>
      </c>
      <c r="R391" s="66">
        <f t="shared" si="154"/>
        <v>0.81280569096848254</v>
      </c>
      <c r="S391" s="66">
        <f t="shared" si="154"/>
        <v>0.81280569096848254</v>
      </c>
      <c r="T391" s="66">
        <f t="shared" si="154"/>
        <v>0.81280569096848254</v>
      </c>
      <c r="U391" s="66">
        <f t="shared" si="154"/>
        <v>0.81280569096848254</v>
      </c>
      <c r="V391" s="66">
        <f t="shared" si="154"/>
        <v>0.81280569096848254</v>
      </c>
      <c r="W391" s="66">
        <f t="shared" si="154"/>
        <v>0.81280569096848254</v>
      </c>
      <c r="X391" s="66">
        <f t="shared" si="154"/>
        <v>0.81280569096848254</v>
      </c>
      <c r="Y391" s="66">
        <f t="shared" si="154"/>
        <v>0.81280569096848254</v>
      </c>
      <c r="Z391" s="66">
        <f t="shared" si="154"/>
        <v>0.81280569096848254</v>
      </c>
      <c r="AA391" s="66">
        <f t="shared" si="154"/>
        <v>0.81280569096848254</v>
      </c>
      <c r="AB391" s="66">
        <f t="shared" si="154"/>
        <v>0.81280569096848254</v>
      </c>
      <c r="AC391" s="66">
        <f t="shared" si="154"/>
        <v>0.81280569096848254</v>
      </c>
    </row>
    <row r="392" spans="1:29" x14ac:dyDescent="0.25">
      <c r="A392" s="30" t="str">
        <f t="shared" si="147"/>
        <v>Fuel Cost</v>
      </c>
      <c r="B392" s="66">
        <f>B362*B363*B370/B370</f>
        <v>20.312558767512652</v>
      </c>
      <c r="C392" s="66">
        <f t="shared" ref="C392:AC392" si="155">C362*C363*C370/C370</f>
        <v>20.31115653277455</v>
      </c>
      <c r="D392" s="66">
        <f t="shared" si="155"/>
        <v>20.309149264979219</v>
      </c>
      <c r="E392" s="66">
        <f t="shared" si="155"/>
        <v>20.306277727240616</v>
      </c>
      <c r="F392" s="66">
        <f t="shared" si="155"/>
        <v>20.302173666175886</v>
      </c>
      <c r="G392" s="66">
        <f t="shared" si="155"/>
        <v>20.296316284112145</v>
      </c>
      <c r="H392" s="66">
        <f t="shared" si="155"/>
        <v>20.287973935080256</v>
      </c>
      <c r="I392" s="66">
        <f t="shared" si="155"/>
        <v>20.276128995345641</v>
      </c>
      <c r="J392" s="66">
        <f t="shared" si="155"/>
        <v>20.259387311256784</v>
      </c>
      <c r="K392" s="66">
        <f t="shared" si="155"/>
        <v>20.235882288841037</v>
      </c>
      <c r="L392" s="66">
        <f t="shared" si="155"/>
        <v>20.203201775095792</v>
      </c>
      <c r="M392" s="66">
        <f t="shared" si="155"/>
        <v>20.158398013331499</v>
      </c>
      <c r="N392" s="66">
        <f t="shared" si="155"/>
        <v>20.098186558497318</v>
      </c>
      <c r="O392" s="66">
        <f t="shared" si="155"/>
        <v>20.019478555031419</v>
      </c>
      <c r="P392" s="66">
        <f t="shared" si="155"/>
        <v>19.920359128045405</v>
      </c>
      <c r="Q392" s="66">
        <f t="shared" si="155"/>
        <v>19.801418660885769</v>
      </c>
      <c r="R392" s="66">
        <f t="shared" si="155"/>
        <v>19.666923914225578</v>
      </c>
      <c r="S392" s="66">
        <f t="shared" si="155"/>
        <v>19.524938361994469</v>
      </c>
      <c r="T392" s="66">
        <f t="shared" si="155"/>
        <v>19.385746819854742</v>
      </c>
      <c r="U392" s="66">
        <f t="shared" si="155"/>
        <v>19.259037893988253</v>
      </c>
      <c r="V392" s="66">
        <f t="shared" si="155"/>
        <v>19.151353350699775</v>
      </c>
      <c r="W392" s="66">
        <f t="shared" si="155"/>
        <v>19.065117316734753</v>
      </c>
      <c r="X392" s="66">
        <f t="shared" si="155"/>
        <v>18.999315395391122</v>
      </c>
      <c r="Y392" s="66">
        <f t="shared" si="155"/>
        <v>18.950945705881832</v>
      </c>
      <c r="Z392" s="66">
        <f t="shared" si="155"/>
        <v>18.916362077630755</v>
      </c>
      <c r="AA392" s="66">
        <f t="shared" si="155"/>
        <v>18.892124061524882</v>
      </c>
      <c r="AB392" s="66">
        <f t="shared" si="155"/>
        <v>18.875374102610827</v>
      </c>
      <c r="AC392" s="66">
        <f t="shared" si="155"/>
        <v>18.86391127104347</v>
      </c>
    </row>
    <row r="393" spans="1:29" ht="15.75" thickBot="1" x14ac:dyDescent="0.3">
      <c r="A393" s="59" t="str">
        <f>A344</f>
        <v>Emission Cost</v>
      </c>
      <c r="B393" s="66">
        <f>B364</f>
        <v>18.267003557738562</v>
      </c>
      <c r="C393" s="66">
        <f t="shared" ref="C393:AC393" si="156">C364</f>
        <v>18.305790458980148</v>
      </c>
      <c r="D393" s="66">
        <f t="shared" si="156"/>
        <v>18.361313044198909</v>
      </c>
      <c r="E393" s="66">
        <f t="shared" si="156"/>
        <v>18.440742006877084</v>
      </c>
      <c r="F393" s="66">
        <f t="shared" si="156"/>
        <v>18.554263521414992</v>
      </c>
      <c r="G393" s="66">
        <f t="shared" si="156"/>
        <v>18.716283255677226</v>
      </c>
      <c r="H393" s="66">
        <f t="shared" si="156"/>
        <v>18.947039105058323</v>
      </c>
      <c r="I393" s="66">
        <f t="shared" si="156"/>
        <v>19.274679331915838</v>
      </c>
      <c r="J393" s="66">
        <f t="shared" si="156"/>
        <v>19.737767308363324</v>
      </c>
      <c r="K393" s="66">
        <f t="shared" si="156"/>
        <v>20.387934472496433</v>
      </c>
      <c r="L393" s="66">
        <f t="shared" si="156"/>
        <v>21.291902848630563</v>
      </c>
      <c r="M393" s="66">
        <f t="shared" si="156"/>
        <v>22.53120967478624</v>
      </c>
      <c r="N393" s="66">
        <f t="shared" si="156"/>
        <v>24.196705250388863</v>
      </c>
      <c r="O393" s="66">
        <f t="shared" si="156"/>
        <v>26.37382971778402</v>
      </c>
      <c r="P393" s="66">
        <f t="shared" si="156"/>
        <v>29.115550002671711</v>
      </c>
      <c r="Q393" s="66">
        <f t="shared" si="156"/>
        <v>32.405535643443841</v>
      </c>
      <c r="R393" s="66">
        <f t="shared" si="156"/>
        <v>36.125764728112543</v>
      </c>
      <c r="S393" s="66">
        <f t="shared" si="156"/>
        <v>40.053195309081424</v>
      </c>
      <c r="T393" s="66">
        <f t="shared" si="156"/>
        <v>43.903341402269703</v>
      </c>
      <c r="U393" s="66">
        <f t="shared" si="156"/>
        <v>47.40820864059085</v>
      </c>
      <c r="V393" s="66">
        <f t="shared" si="156"/>
        <v>50.386846690471195</v>
      </c>
      <c r="W393" s="66">
        <f t="shared" si="156"/>
        <v>52.772202324574174</v>
      </c>
      <c r="X393" s="66">
        <f t="shared" si="156"/>
        <v>54.592334543032798</v>
      </c>
      <c r="Y393" s="66">
        <f t="shared" si="156"/>
        <v>55.93027769841482</v>
      </c>
      <c r="Z393" s="66">
        <f t="shared" si="156"/>
        <v>56.886887698938416</v>
      </c>
      <c r="AA393" s="66">
        <f t="shared" si="156"/>
        <v>57.557330037474898</v>
      </c>
      <c r="AB393" s="66">
        <f t="shared" si="156"/>
        <v>58.020646902010256</v>
      </c>
      <c r="AC393" s="66">
        <f t="shared" si="156"/>
        <v>58.337717720376737</v>
      </c>
    </row>
    <row r="394" spans="1:29" ht="15.75" thickBot="1" x14ac:dyDescent="0.3">
      <c r="A394" s="31" t="s">
        <v>63</v>
      </c>
      <c r="B394" s="76">
        <f>B385+B386+B387-B388+B389+B390+B391+B392+B393</f>
        <v>63.048280753509204</v>
      </c>
      <c r="C394" s="76">
        <f t="shared" ref="C394:AC394" si="157">C385+C386+C387-C388+C389+C390+C391+C392+C393</f>
        <v>63.08612996560543</v>
      </c>
      <c r="D394" s="76">
        <f t="shared" si="157"/>
        <v>63.140310269697963</v>
      </c>
      <c r="E394" s="76">
        <f t="shared" si="157"/>
        <v>63.217819004831654</v>
      </c>
      <c r="F394" s="76">
        <f t="shared" si="157"/>
        <v>63.328596090489214</v>
      </c>
      <c r="G394" s="76">
        <f t="shared" si="157"/>
        <v>63.486698931643538</v>
      </c>
      <c r="H394" s="76">
        <f t="shared" si="157"/>
        <v>63.711876164319904</v>
      </c>
      <c r="I394" s="76">
        <f t="shared" si="157"/>
        <v>64.031595555161374</v>
      </c>
      <c r="J394" s="76">
        <f t="shared" si="157"/>
        <v>64.483488191043932</v>
      </c>
      <c r="K394" s="76">
        <f t="shared" si="157"/>
        <v>65.117937299004552</v>
      </c>
      <c r="L394" s="76">
        <f t="shared" si="157"/>
        <v>66.000051871227868</v>
      </c>
      <c r="M394" s="76">
        <f t="shared" si="157"/>
        <v>67.209397949774228</v>
      </c>
      <c r="N394" s="76">
        <f t="shared" si="157"/>
        <v>68.834629491053846</v>
      </c>
      <c r="O394" s="76">
        <f t="shared" si="157"/>
        <v>70.95912108714947</v>
      </c>
      <c r="P394" s="76">
        <f t="shared" si="157"/>
        <v>73.634559166745305</v>
      </c>
      <c r="Q394" s="76">
        <f t="shared" si="157"/>
        <v>76.845008063798176</v>
      </c>
      <c r="R394" s="76">
        <f t="shared" si="157"/>
        <v>80.475299094143125</v>
      </c>
      <c r="S394" s="76">
        <f t="shared" si="157"/>
        <v>84.307782440168978</v>
      </c>
      <c r="T394" s="76">
        <f t="shared" si="157"/>
        <v>88.064849682404059</v>
      </c>
      <c r="U394" s="76">
        <f t="shared" si="157"/>
        <v>91.484985326808925</v>
      </c>
      <c r="V394" s="76">
        <f t="shared" si="157"/>
        <v>94.391613587871433</v>
      </c>
      <c r="W394" s="76">
        <f t="shared" si="157"/>
        <v>96.719302277353847</v>
      </c>
      <c r="X394" s="76">
        <f t="shared" si="157"/>
        <v>98.495432057625322</v>
      </c>
      <c r="Y394" s="76">
        <f t="shared" si="157"/>
        <v>99.801029891939152</v>
      </c>
      <c r="Z394" s="76">
        <f t="shared" si="157"/>
        <v>100.73451345582788</v>
      </c>
      <c r="AA394" s="76">
        <f t="shared" si="157"/>
        <v>101.38874757758742</v>
      </c>
      <c r="AB394" s="76">
        <f t="shared" si="157"/>
        <v>101.84086356809505</v>
      </c>
      <c r="AC394" s="76">
        <f t="shared" si="157"/>
        <v>102.15026907020338</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158">A373</f>
        <v>Capex vehicle</v>
      </c>
      <c r="B397" s="65">
        <f>((1+B358)^B365)*B358/(((1+B358)^B365)-1)*(B354)/B370/(B367)</f>
        <v>1.0347449498978036E-3</v>
      </c>
      <c r="C397" s="65">
        <f t="shared" ref="C397:AC397" si="159">((1+C358)^C365)*C358/(((1+C358)^C365)-1)*(C354)/C370/(C367)</f>
        <v>1.0347449498978036E-3</v>
      </c>
      <c r="D397" s="65">
        <f t="shared" si="159"/>
        <v>1.0347449498978036E-3</v>
      </c>
      <c r="E397" s="65">
        <f t="shared" si="159"/>
        <v>1.0347449498978036E-3</v>
      </c>
      <c r="F397" s="65">
        <f t="shared" si="159"/>
        <v>1.0347449498978036E-3</v>
      </c>
      <c r="G397" s="65">
        <f t="shared" si="159"/>
        <v>1.0347449498978036E-3</v>
      </c>
      <c r="H397" s="65">
        <f t="shared" si="159"/>
        <v>1.0347449498978036E-3</v>
      </c>
      <c r="I397" s="65">
        <f t="shared" si="159"/>
        <v>1.0347449498978036E-3</v>
      </c>
      <c r="J397" s="65">
        <f t="shared" si="159"/>
        <v>1.0347449498978036E-3</v>
      </c>
      <c r="K397" s="65">
        <f t="shared" si="159"/>
        <v>1.0347449498978036E-3</v>
      </c>
      <c r="L397" s="65">
        <f t="shared" si="159"/>
        <v>1.0347449498978036E-3</v>
      </c>
      <c r="M397" s="65">
        <f t="shared" si="159"/>
        <v>1.0347449498978036E-3</v>
      </c>
      <c r="N397" s="65">
        <f t="shared" si="159"/>
        <v>1.0347449498978036E-3</v>
      </c>
      <c r="O397" s="65">
        <f t="shared" si="159"/>
        <v>1.0347449498978036E-3</v>
      </c>
      <c r="P397" s="65">
        <f t="shared" si="159"/>
        <v>1.0347449498978036E-3</v>
      </c>
      <c r="Q397" s="65">
        <f t="shared" si="159"/>
        <v>1.0347449498978036E-3</v>
      </c>
      <c r="R397" s="65">
        <f t="shared" si="159"/>
        <v>1.0347449498978036E-3</v>
      </c>
      <c r="S397" s="65">
        <f t="shared" si="159"/>
        <v>1.0347449498978036E-3</v>
      </c>
      <c r="T397" s="65">
        <f t="shared" si="159"/>
        <v>1.0347449498978036E-3</v>
      </c>
      <c r="U397" s="65">
        <f t="shared" si="159"/>
        <v>1.0347449498978036E-3</v>
      </c>
      <c r="V397" s="65">
        <f t="shared" si="159"/>
        <v>1.0347449498978036E-3</v>
      </c>
      <c r="W397" s="65">
        <f t="shared" si="159"/>
        <v>1.0347449498978036E-3</v>
      </c>
      <c r="X397" s="65">
        <f t="shared" si="159"/>
        <v>1.0347449498978036E-3</v>
      </c>
      <c r="Y397" s="65">
        <f t="shared" si="159"/>
        <v>1.0347449498978036E-3</v>
      </c>
      <c r="Z397" s="65">
        <f t="shared" si="159"/>
        <v>1.0347449498978036E-3</v>
      </c>
      <c r="AA397" s="65">
        <f t="shared" si="159"/>
        <v>1.0347449498978036E-3</v>
      </c>
      <c r="AB397" s="65">
        <f t="shared" si="159"/>
        <v>1.0347449498978036E-3</v>
      </c>
      <c r="AC397" s="65">
        <f t="shared" si="159"/>
        <v>1.0347449498978036E-3</v>
      </c>
    </row>
    <row r="398" spans="1:29" x14ac:dyDescent="0.25">
      <c r="A398" s="30" t="str">
        <f t="shared" si="158"/>
        <v>Residual value (vehicle)</v>
      </c>
      <c r="B398" s="68">
        <f>((1+B358)^B365)*B358/(((1+B358)^B365)-1)*(B355)/B370/(B367)</f>
        <v>-1.0336086682377807E-4</v>
      </c>
      <c r="C398" s="68">
        <f t="shared" ref="C398:AC398" si="160">((1+C358)^C365)*C358/(((1+C358)^C365)-1)*(C355)/C370/(C367)</f>
        <v>-1.0331170855999495E-4</v>
      </c>
      <c r="D398" s="68">
        <f t="shared" si="160"/>
        <v>-1.0324133960030145E-4</v>
      </c>
      <c r="E398" s="68">
        <f t="shared" si="160"/>
        <v>-1.0314067185489343E-4</v>
      </c>
      <c r="F398" s="68">
        <f t="shared" si="160"/>
        <v>-1.0299679543326449E-4</v>
      </c>
      <c r="G398" s="68">
        <f t="shared" si="160"/>
        <v>-1.0279145268661591E-4</v>
      </c>
      <c r="H398" s="68">
        <f t="shared" si="160"/>
        <v>-1.0249899423929835E-4</v>
      </c>
      <c r="I398" s="68">
        <f t="shared" si="160"/>
        <v>-1.0208374516854875E-4</v>
      </c>
      <c r="J398" s="68">
        <f t="shared" si="160"/>
        <v>-1.0149683050993223E-4</v>
      </c>
      <c r="K398" s="68">
        <f t="shared" si="160"/>
        <v>-1.0067281291805218E-4</v>
      </c>
      <c r="L398" s="68">
        <f t="shared" si="160"/>
        <v>-9.9527129337690295E-5</v>
      </c>
      <c r="M398" s="68">
        <f t="shared" si="160"/>
        <v>-9.7956440009122124E-5</v>
      </c>
      <c r="N398" s="68">
        <f t="shared" si="160"/>
        <v>-9.5845601859790468E-5</v>
      </c>
      <c r="O398" s="68">
        <f t="shared" si="160"/>
        <v>-9.3086328614673487E-5</v>
      </c>
      <c r="P398" s="68">
        <f t="shared" si="160"/>
        <v>-8.9611490340159677E-5</v>
      </c>
      <c r="Q398" s="68">
        <f t="shared" si="160"/>
        <v>-8.5441784155991385E-5</v>
      </c>
      <c r="R398" s="68">
        <f t="shared" si="160"/>
        <v>-8.0726790257955685E-5</v>
      </c>
      <c r="S398" s="68">
        <f t="shared" si="160"/>
        <v>-7.5749190544932557E-5</v>
      </c>
      <c r="T398" s="68">
        <f t="shared" si="160"/>
        <v>-7.086954068392259E-5</v>
      </c>
      <c r="U398" s="68">
        <f t="shared" si="160"/>
        <v>-6.6427494974906487E-5</v>
      </c>
      <c r="V398" s="68">
        <f t="shared" si="160"/>
        <v>-6.2652388681716054E-5</v>
      </c>
      <c r="W398" s="68">
        <f t="shared" si="160"/>
        <v>-5.9629204624102501E-5</v>
      </c>
      <c r="X398" s="68">
        <f t="shared" si="160"/>
        <v>-5.7322381009659713E-5</v>
      </c>
      <c r="Y398" s="68">
        <f t="shared" si="160"/>
        <v>-5.5626680645522941E-5</v>
      </c>
      <c r="Z398" s="68">
        <f t="shared" si="160"/>
        <v>-5.4414279416293167E-5</v>
      </c>
      <c r="AA398" s="68">
        <f t="shared" si="160"/>
        <v>-5.3564565201592909E-5</v>
      </c>
      <c r="AB398" s="68">
        <f t="shared" si="160"/>
        <v>-5.2977360451717727E-5</v>
      </c>
      <c r="AC398" s="68">
        <f t="shared" si="160"/>
        <v>-5.2575506979843073E-5</v>
      </c>
    </row>
    <row r="399" spans="1:29" x14ac:dyDescent="0.25">
      <c r="A399" s="30" t="str">
        <f t="shared" si="158"/>
        <v>Capex costumization</v>
      </c>
      <c r="B399" s="66">
        <f>((1+B358)^B366)*B358/(((1+B358)^B366)-1)*(B356)/B370/(B367)</f>
        <v>6.8982996659853576E-5</v>
      </c>
      <c r="C399" s="66">
        <f t="shared" ref="C399:AC399" si="161">((1+C358)^C366)*C358/(((1+C358)^C366)-1)*(C356)/C370/(C367)</f>
        <v>6.8982996659853576E-5</v>
      </c>
      <c r="D399" s="66">
        <f t="shared" si="161"/>
        <v>6.8982996659853576E-5</v>
      </c>
      <c r="E399" s="66">
        <f t="shared" si="161"/>
        <v>6.8982996659853576E-5</v>
      </c>
      <c r="F399" s="66">
        <f t="shared" si="161"/>
        <v>6.8982996659853576E-5</v>
      </c>
      <c r="G399" s="66">
        <f t="shared" si="161"/>
        <v>6.8982996659853576E-5</v>
      </c>
      <c r="H399" s="66">
        <f t="shared" si="161"/>
        <v>6.8982996659853576E-5</v>
      </c>
      <c r="I399" s="66">
        <f t="shared" si="161"/>
        <v>6.8982996659853576E-5</v>
      </c>
      <c r="J399" s="66">
        <f t="shared" si="161"/>
        <v>6.8982996659853576E-5</v>
      </c>
      <c r="K399" s="66">
        <f t="shared" si="161"/>
        <v>6.8982996659853576E-5</v>
      </c>
      <c r="L399" s="66">
        <f t="shared" si="161"/>
        <v>6.8982996659853576E-5</v>
      </c>
      <c r="M399" s="66">
        <f t="shared" si="161"/>
        <v>6.8982996659853576E-5</v>
      </c>
      <c r="N399" s="66">
        <f t="shared" si="161"/>
        <v>6.8982996659853576E-5</v>
      </c>
      <c r="O399" s="66">
        <f t="shared" si="161"/>
        <v>6.8982996659853576E-5</v>
      </c>
      <c r="P399" s="66">
        <f t="shared" si="161"/>
        <v>6.8982996659853576E-5</v>
      </c>
      <c r="Q399" s="66">
        <f t="shared" si="161"/>
        <v>6.8982996659853576E-5</v>
      </c>
      <c r="R399" s="66">
        <f t="shared" si="161"/>
        <v>6.8982996659853576E-5</v>
      </c>
      <c r="S399" s="66">
        <f t="shared" si="161"/>
        <v>6.8982996659853576E-5</v>
      </c>
      <c r="T399" s="66">
        <f t="shared" si="161"/>
        <v>6.8982996659853576E-5</v>
      </c>
      <c r="U399" s="66">
        <f t="shared" si="161"/>
        <v>6.8982996659853576E-5</v>
      </c>
      <c r="V399" s="66">
        <f t="shared" si="161"/>
        <v>6.8982996659853576E-5</v>
      </c>
      <c r="W399" s="66">
        <f t="shared" si="161"/>
        <v>6.8982996659853576E-5</v>
      </c>
      <c r="X399" s="66">
        <f t="shared" si="161"/>
        <v>6.8982996659853576E-5</v>
      </c>
      <c r="Y399" s="66">
        <f t="shared" si="161"/>
        <v>6.8982996659853576E-5</v>
      </c>
      <c r="Z399" s="66">
        <f t="shared" si="161"/>
        <v>6.8982996659853576E-5</v>
      </c>
      <c r="AA399" s="66">
        <f t="shared" si="161"/>
        <v>6.8982996659853576E-5</v>
      </c>
      <c r="AB399" s="66">
        <f t="shared" si="161"/>
        <v>6.8982996659853576E-5</v>
      </c>
      <c r="AC399" s="66">
        <f t="shared" si="161"/>
        <v>6.8982996659853576E-5</v>
      </c>
    </row>
    <row r="400" spans="1:29" x14ac:dyDescent="0.25">
      <c r="A400" s="30" t="str">
        <f t="shared" si="158"/>
        <v>Residual value (costumization)</v>
      </c>
      <c r="B400" s="69">
        <f>((1+B358)^B366)*B358/(((1+B358)^B366)-1)*(B357)/B370/(B367)</f>
        <v>-6.8982996659853564E-6</v>
      </c>
      <c r="C400" s="69">
        <f t="shared" ref="C400:AC400" si="162">((1+C358)^C366)*C358/(((1+C358)^C366)-1)*(C357)/C370/(C367)</f>
        <v>-6.8982996659853564E-6</v>
      </c>
      <c r="D400" s="69">
        <f t="shared" si="162"/>
        <v>-6.8982996659853564E-6</v>
      </c>
      <c r="E400" s="69">
        <f t="shared" si="162"/>
        <v>-6.8982996659853564E-6</v>
      </c>
      <c r="F400" s="69">
        <f t="shared" si="162"/>
        <v>-6.8982996659853564E-6</v>
      </c>
      <c r="G400" s="69">
        <f t="shared" si="162"/>
        <v>-6.8982996659853564E-6</v>
      </c>
      <c r="H400" s="69">
        <f t="shared" si="162"/>
        <v>-6.8982996659853564E-6</v>
      </c>
      <c r="I400" s="69">
        <f t="shared" si="162"/>
        <v>-6.8982996659853564E-6</v>
      </c>
      <c r="J400" s="69">
        <f t="shared" si="162"/>
        <v>-6.8982996659853564E-6</v>
      </c>
      <c r="K400" s="69">
        <f t="shared" si="162"/>
        <v>-6.8982996659853564E-6</v>
      </c>
      <c r="L400" s="69">
        <f t="shared" si="162"/>
        <v>-6.8982996659853564E-6</v>
      </c>
      <c r="M400" s="69">
        <f t="shared" si="162"/>
        <v>-6.8982996659853564E-6</v>
      </c>
      <c r="N400" s="69">
        <f t="shared" si="162"/>
        <v>-6.8982996659853564E-6</v>
      </c>
      <c r="O400" s="69">
        <f t="shared" si="162"/>
        <v>-6.8982996659853564E-6</v>
      </c>
      <c r="P400" s="69">
        <f t="shared" si="162"/>
        <v>-6.8982996659853564E-6</v>
      </c>
      <c r="Q400" s="69">
        <f t="shared" si="162"/>
        <v>-6.8982996659853564E-6</v>
      </c>
      <c r="R400" s="69">
        <f t="shared" si="162"/>
        <v>-6.8982996659853564E-6</v>
      </c>
      <c r="S400" s="69">
        <f t="shared" si="162"/>
        <v>-6.8982996659853564E-6</v>
      </c>
      <c r="T400" s="69">
        <f t="shared" si="162"/>
        <v>-6.8982996659853564E-6</v>
      </c>
      <c r="U400" s="69">
        <f t="shared" si="162"/>
        <v>-6.8982996659853564E-6</v>
      </c>
      <c r="V400" s="69">
        <f t="shared" si="162"/>
        <v>-6.8982996659853564E-6</v>
      </c>
      <c r="W400" s="69">
        <f t="shared" si="162"/>
        <v>-6.8982996659853564E-6</v>
      </c>
      <c r="X400" s="69">
        <f t="shared" si="162"/>
        <v>-6.8982996659853564E-6</v>
      </c>
      <c r="Y400" s="69">
        <f t="shared" si="162"/>
        <v>-6.8982996659853564E-6</v>
      </c>
      <c r="Z400" s="69">
        <f t="shared" si="162"/>
        <v>-6.8982996659853564E-6</v>
      </c>
      <c r="AA400" s="69">
        <f t="shared" si="162"/>
        <v>-6.8982996659853564E-6</v>
      </c>
      <c r="AB400" s="69">
        <f t="shared" si="162"/>
        <v>-6.8982996659853564E-6</v>
      </c>
      <c r="AC400" s="69">
        <f t="shared" si="162"/>
        <v>-6.8982996659853564E-6</v>
      </c>
    </row>
    <row r="401" spans="1:29" x14ac:dyDescent="0.25">
      <c r="A401" s="30" t="str">
        <f t="shared" si="158"/>
        <v>Opex fix (admin, crew, insurance)</v>
      </c>
      <c r="B401" s="66">
        <f>B359/B370/(B367)</f>
        <v>1.0654632223259673E-3</v>
      </c>
      <c r="C401" s="66">
        <f t="shared" ref="C401:AC401" si="163">C359/C370/(C367)</f>
        <v>1.0654632223259673E-3</v>
      </c>
      <c r="D401" s="66">
        <f t="shared" si="163"/>
        <v>1.0654632223259673E-3</v>
      </c>
      <c r="E401" s="66">
        <f t="shared" si="163"/>
        <v>1.0654632223259673E-3</v>
      </c>
      <c r="F401" s="66">
        <f t="shared" si="163"/>
        <v>1.0654632223259673E-3</v>
      </c>
      <c r="G401" s="66">
        <f t="shared" si="163"/>
        <v>1.0654632223259673E-3</v>
      </c>
      <c r="H401" s="66">
        <f t="shared" si="163"/>
        <v>1.0654632223259673E-3</v>
      </c>
      <c r="I401" s="66">
        <f t="shared" si="163"/>
        <v>1.0654632223259673E-3</v>
      </c>
      <c r="J401" s="66">
        <f t="shared" si="163"/>
        <v>1.0654632223259673E-3</v>
      </c>
      <c r="K401" s="66">
        <f t="shared" si="163"/>
        <v>1.0654632223259673E-3</v>
      </c>
      <c r="L401" s="66">
        <f t="shared" si="163"/>
        <v>1.0654632223259673E-3</v>
      </c>
      <c r="M401" s="66">
        <f t="shared" si="163"/>
        <v>1.0654632223259673E-3</v>
      </c>
      <c r="N401" s="66">
        <f t="shared" si="163"/>
        <v>1.0654632223259673E-3</v>
      </c>
      <c r="O401" s="66">
        <f t="shared" si="163"/>
        <v>1.0654632223259673E-3</v>
      </c>
      <c r="P401" s="66">
        <f t="shared" si="163"/>
        <v>1.0654632223259673E-3</v>
      </c>
      <c r="Q401" s="66">
        <f t="shared" si="163"/>
        <v>1.0654632223259673E-3</v>
      </c>
      <c r="R401" s="66">
        <f t="shared" si="163"/>
        <v>1.0654632223259673E-3</v>
      </c>
      <c r="S401" s="66">
        <f t="shared" si="163"/>
        <v>1.0654632223259673E-3</v>
      </c>
      <c r="T401" s="66">
        <f t="shared" si="163"/>
        <v>1.0654632223259673E-3</v>
      </c>
      <c r="U401" s="66">
        <f t="shared" si="163"/>
        <v>1.0654632223259673E-3</v>
      </c>
      <c r="V401" s="66">
        <f t="shared" si="163"/>
        <v>1.0654632223259673E-3</v>
      </c>
      <c r="W401" s="66">
        <f t="shared" si="163"/>
        <v>1.0654632223259673E-3</v>
      </c>
      <c r="X401" s="66">
        <f t="shared" si="163"/>
        <v>1.0654632223259673E-3</v>
      </c>
      <c r="Y401" s="66">
        <f t="shared" si="163"/>
        <v>1.0654632223259673E-3</v>
      </c>
      <c r="Z401" s="66">
        <f t="shared" si="163"/>
        <v>1.0654632223259673E-3</v>
      </c>
      <c r="AA401" s="66">
        <f t="shared" si="163"/>
        <v>1.0654632223259673E-3</v>
      </c>
      <c r="AB401" s="66">
        <f t="shared" si="163"/>
        <v>1.0654632223259673E-3</v>
      </c>
      <c r="AC401" s="66">
        <f t="shared" si="163"/>
        <v>1.0654632223259673E-3</v>
      </c>
    </row>
    <row r="402" spans="1:29" x14ac:dyDescent="0.25">
      <c r="A402" s="30" t="str">
        <f t="shared" si="158"/>
        <v>Opex maintenance &amp; repair</v>
      </c>
      <c r="B402" s="66">
        <f>B360/B370/(B367)</f>
        <v>4.305425874053325E-4</v>
      </c>
      <c r="C402" s="66">
        <f t="shared" ref="C402:AC402" si="164">C360/C370/(C367)</f>
        <v>4.305425874053325E-4</v>
      </c>
      <c r="D402" s="66">
        <f t="shared" si="164"/>
        <v>4.305425874053325E-4</v>
      </c>
      <c r="E402" s="66">
        <f t="shared" si="164"/>
        <v>4.305425874053325E-4</v>
      </c>
      <c r="F402" s="66">
        <f t="shared" si="164"/>
        <v>4.305425874053325E-4</v>
      </c>
      <c r="G402" s="66">
        <f t="shared" si="164"/>
        <v>4.305425874053325E-4</v>
      </c>
      <c r="H402" s="66">
        <f t="shared" si="164"/>
        <v>4.305425874053325E-4</v>
      </c>
      <c r="I402" s="66">
        <f t="shared" si="164"/>
        <v>4.305425874053325E-4</v>
      </c>
      <c r="J402" s="66">
        <f t="shared" si="164"/>
        <v>4.305425874053325E-4</v>
      </c>
      <c r="K402" s="66">
        <f t="shared" si="164"/>
        <v>4.305425874053325E-4</v>
      </c>
      <c r="L402" s="66">
        <f t="shared" si="164"/>
        <v>4.305425874053325E-4</v>
      </c>
      <c r="M402" s="66">
        <f t="shared" si="164"/>
        <v>4.305425874053325E-4</v>
      </c>
      <c r="N402" s="66">
        <f t="shared" si="164"/>
        <v>4.305425874053325E-4</v>
      </c>
      <c r="O402" s="66">
        <f t="shared" si="164"/>
        <v>4.305425874053325E-4</v>
      </c>
      <c r="P402" s="66">
        <f t="shared" si="164"/>
        <v>4.305425874053325E-4</v>
      </c>
      <c r="Q402" s="66">
        <f t="shared" si="164"/>
        <v>4.305425874053325E-4</v>
      </c>
      <c r="R402" s="66">
        <f t="shared" si="164"/>
        <v>4.305425874053325E-4</v>
      </c>
      <c r="S402" s="66">
        <f t="shared" si="164"/>
        <v>4.305425874053325E-4</v>
      </c>
      <c r="T402" s="66">
        <f t="shared" si="164"/>
        <v>4.305425874053325E-4</v>
      </c>
      <c r="U402" s="66">
        <f t="shared" si="164"/>
        <v>4.305425874053325E-4</v>
      </c>
      <c r="V402" s="66">
        <f t="shared" si="164"/>
        <v>4.305425874053325E-4</v>
      </c>
      <c r="W402" s="66">
        <f t="shared" si="164"/>
        <v>4.305425874053325E-4</v>
      </c>
      <c r="X402" s="66">
        <f t="shared" si="164"/>
        <v>4.305425874053325E-4</v>
      </c>
      <c r="Y402" s="66">
        <f t="shared" si="164"/>
        <v>4.305425874053325E-4</v>
      </c>
      <c r="Z402" s="66">
        <f t="shared" si="164"/>
        <v>4.305425874053325E-4</v>
      </c>
      <c r="AA402" s="66">
        <f t="shared" si="164"/>
        <v>4.305425874053325E-4</v>
      </c>
      <c r="AB402" s="66">
        <f t="shared" si="164"/>
        <v>4.305425874053325E-4</v>
      </c>
      <c r="AC402" s="66">
        <f t="shared" si="164"/>
        <v>4.305425874053325E-4</v>
      </c>
    </row>
    <row r="403" spans="1:29" x14ac:dyDescent="0.25">
      <c r="A403" s="30" t="str">
        <f t="shared" si="158"/>
        <v>Opex var (mode-fees)</v>
      </c>
      <c r="B403" s="66">
        <f>B361*B370/B370/(B367)</f>
        <v>8.6011184229469056E-5</v>
      </c>
      <c r="C403" s="66">
        <f t="shared" ref="C403:AC403" si="165">C361*C370/C370/(C367)</f>
        <v>8.6011184229469056E-5</v>
      </c>
      <c r="D403" s="66">
        <f t="shared" si="165"/>
        <v>8.6011184229469056E-5</v>
      </c>
      <c r="E403" s="66">
        <f t="shared" si="165"/>
        <v>8.6011184229469056E-5</v>
      </c>
      <c r="F403" s="66">
        <f t="shared" si="165"/>
        <v>8.6011184229469056E-5</v>
      </c>
      <c r="G403" s="66">
        <f t="shared" si="165"/>
        <v>8.6011184229469056E-5</v>
      </c>
      <c r="H403" s="66">
        <f t="shared" si="165"/>
        <v>8.6011184229469056E-5</v>
      </c>
      <c r="I403" s="66">
        <f t="shared" si="165"/>
        <v>8.6011184229469056E-5</v>
      </c>
      <c r="J403" s="66">
        <f t="shared" si="165"/>
        <v>8.6011184229469056E-5</v>
      </c>
      <c r="K403" s="66">
        <f t="shared" si="165"/>
        <v>8.6011184229469056E-5</v>
      </c>
      <c r="L403" s="66">
        <f t="shared" si="165"/>
        <v>8.6011184229469056E-5</v>
      </c>
      <c r="M403" s="66">
        <f t="shared" si="165"/>
        <v>8.6011184229469056E-5</v>
      </c>
      <c r="N403" s="66">
        <f t="shared" si="165"/>
        <v>8.6011184229469056E-5</v>
      </c>
      <c r="O403" s="66">
        <f t="shared" si="165"/>
        <v>8.6011184229469056E-5</v>
      </c>
      <c r="P403" s="66">
        <f t="shared" si="165"/>
        <v>8.6011184229469056E-5</v>
      </c>
      <c r="Q403" s="66">
        <f t="shared" si="165"/>
        <v>8.6011184229469056E-5</v>
      </c>
      <c r="R403" s="66">
        <f t="shared" si="165"/>
        <v>8.6011184229469056E-5</v>
      </c>
      <c r="S403" s="66">
        <f t="shared" si="165"/>
        <v>8.6011184229469056E-5</v>
      </c>
      <c r="T403" s="66">
        <f t="shared" si="165"/>
        <v>8.6011184229469056E-5</v>
      </c>
      <c r="U403" s="66">
        <f t="shared" si="165"/>
        <v>8.6011184229469056E-5</v>
      </c>
      <c r="V403" s="66">
        <f t="shared" si="165"/>
        <v>8.6011184229469056E-5</v>
      </c>
      <c r="W403" s="66">
        <f t="shared" si="165"/>
        <v>8.6011184229469056E-5</v>
      </c>
      <c r="X403" s="66">
        <f t="shared" si="165"/>
        <v>8.6011184229469056E-5</v>
      </c>
      <c r="Y403" s="66">
        <f t="shared" si="165"/>
        <v>8.6011184229469056E-5</v>
      </c>
      <c r="Z403" s="66">
        <f t="shared" si="165"/>
        <v>8.6011184229469056E-5</v>
      </c>
      <c r="AA403" s="66">
        <f t="shared" si="165"/>
        <v>8.6011184229469056E-5</v>
      </c>
      <c r="AB403" s="66">
        <f t="shared" si="165"/>
        <v>8.6011184229469056E-5</v>
      </c>
      <c r="AC403" s="66">
        <f t="shared" si="165"/>
        <v>8.6011184229469056E-5</v>
      </c>
    </row>
    <row r="404" spans="1:29" x14ac:dyDescent="0.25">
      <c r="A404" s="30" t="str">
        <f t="shared" si="158"/>
        <v>Fuel Cost</v>
      </c>
      <c r="B404" s="66">
        <f>B362*B363*B370/B370/(B367)</f>
        <v>2.1494771182553069E-3</v>
      </c>
      <c r="C404" s="66">
        <f t="shared" ref="C404:AC404" si="166">C362*C363*C370/C370/(C367)</f>
        <v>2.1493287336269364E-3</v>
      </c>
      <c r="D404" s="66">
        <f t="shared" si="166"/>
        <v>2.1491163243364253E-3</v>
      </c>
      <c r="E404" s="66">
        <f t="shared" si="166"/>
        <v>2.14881245790906E-3</v>
      </c>
      <c r="F404" s="66">
        <f t="shared" si="166"/>
        <v>2.1483781657328982E-3</v>
      </c>
      <c r="G404" s="66">
        <f t="shared" si="166"/>
        <v>2.1477583369430842E-3</v>
      </c>
      <c r="H404" s="66">
        <f t="shared" si="166"/>
        <v>2.1468755486857413E-3</v>
      </c>
      <c r="I404" s="66">
        <f t="shared" si="166"/>
        <v>2.1456221159095916E-3</v>
      </c>
      <c r="J404" s="66">
        <f t="shared" si="166"/>
        <v>2.1438505091277019E-3</v>
      </c>
      <c r="K404" s="66">
        <f t="shared" si="166"/>
        <v>2.1413632051683635E-3</v>
      </c>
      <c r="L404" s="66">
        <f t="shared" si="166"/>
        <v>2.1379049497455864E-3</v>
      </c>
      <c r="M404" s="66">
        <f t="shared" si="166"/>
        <v>2.1331638109345504E-3</v>
      </c>
      <c r="N404" s="66">
        <f t="shared" si="166"/>
        <v>2.1267922284124146E-3</v>
      </c>
      <c r="O404" s="66">
        <f t="shared" si="166"/>
        <v>2.118463339156764E-3</v>
      </c>
      <c r="P404" s="66">
        <f t="shared" si="166"/>
        <v>2.1079745109042758E-3</v>
      </c>
      <c r="Q404" s="66">
        <f t="shared" si="166"/>
        <v>2.0953882180831502E-3</v>
      </c>
      <c r="R404" s="66">
        <f t="shared" si="166"/>
        <v>2.0811559697593205E-3</v>
      </c>
      <c r="S404" s="66">
        <f t="shared" si="166"/>
        <v>2.0661310435972982E-3</v>
      </c>
      <c r="T404" s="66">
        <f t="shared" si="166"/>
        <v>2.0514017798788087E-3</v>
      </c>
      <c r="U404" s="66">
        <f t="shared" si="166"/>
        <v>2.037993427935265E-3</v>
      </c>
      <c r="V404" s="66">
        <f t="shared" si="166"/>
        <v>2.0265982381692882E-3</v>
      </c>
      <c r="W404" s="66">
        <f t="shared" si="166"/>
        <v>2.0174727319296035E-3</v>
      </c>
      <c r="X404" s="66">
        <f t="shared" si="166"/>
        <v>2.0105095656498539E-3</v>
      </c>
      <c r="Y404" s="66">
        <f t="shared" si="166"/>
        <v>2.0053910799874954E-3</v>
      </c>
      <c r="Z404" s="66">
        <f t="shared" si="166"/>
        <v>2.0017314367863233E-3</v>
      </c>
      <c r="AA404" s="66">
        <f t="shared" si="166"/>
        <v>1.9991665673571302E-3</v>
      </c>
      <c r="AB404" s="66">
        <f t="shared" si="166"/>
        <v>1.9973940849323628E-3</v>
      </c>
      <c r="AC404" s="66">
        <f t="shared" si="166"/>
        <v>1.9961810868829068E-3</v>
      </c>
    </row>
    <row r="405" spans="1:29" x14ac:dyDescent="0.25">
      <c r="A405" s="59" t="str">
        <f>A368</f>
        <v>Market failure (av. utilization)</v>
      </c>
      <c r="B405" s="66">
        <f t="shared" ref="B405:AC405" si="167">B394/B368-B394/B367</f>
        <v>3.1396591722880384E-3</v>
      </c>
      <c r="C405" s="66">
        <f t="shared" si="167"/>
        <v>3.1415439758782637E-3</v>
      </c>
      <c r="D405" s="66">
        <f t="shared" si="167"/>
        <v>3.1442420302370579E-3</v>
      </c>
      <c r="E405" s="66">
        <f t="shared" si="167"/>
        <v>3.1481017867329795E-3</v>
      </c>
      <c r="F405" s="66">
        <f t="shared" si="167"/>
        <v>3.1536182304632019E-3</v>
      </c>
      <c r="G405" s="66">
        <f t="shared" si="167"/>
        <v>3.1614913878191594E-3</v>
      </c>
      <c r="H405" s="66">
        <f t="shared" si="167"/>
        <v>3.1727046953909672E-3</v>
      </c>
      <c r="I405" s="66">
        <f t="shared" si="167"/>
        <v>3.1886259846952425E-3</v>
      </c>
      <c r="J405" s="66">
        <f t="shared" si="167"/>
        <v>3.2111291971886162E-3</v>
      </c>
      <c r="K405" s="66">
        <f t="shared" si="167"/>
        <v>3.2427233015377283E-3</v>
      </c>
      <c r="L405" s="66">
        <f t="shared" si="167"/>
        <v>3.2866505755980244E-3</v>
      </c>
      <c r="M405" s="66">
        <f t="shared" si="167"/>
        <v>3.3468732250120977E-3</v>
      </c>
      <c r="N405" s="66">
        <f t="shared" si="167"/>
        <v>3.4278060126263958E-3</v>
      </c>
      <c r="O405" s="66">
        <f t="shared" si="167"/>
        <v>3.53360080110299E-3</v>
      </c>
      <c r="P405" s="66">
        <f t="shared" si="167"/>
        <v>3.6668314555490956E-3</v>
      </c>
      <c r="Q405" s="66">
        <f t="shared" si="167"/>
        <v>3.826704416497885E-3</v>
      </c>
      <c r="R405" s="66">
        <f t="shared" si="167"/>
        <v>4.0074845487279472E-3</v>
      </c>
      <c r="S405" s="66">
        <f t="shared" si="167"/>
        <v>4.1983333926010058E-3</v>
      </c>
      <c r="T405" s="66">
        <f t="shared" si="167"/>
        <v>4.3854266881993911E-3</v>
      </c>
      <c r="U405" s="66">
        <f t="shared" si="167"/>
        <v>4.5557415662276449E-3</v>
      </c>
      <c r="V405" s="66">
        <f t="shared" si="167"/>
        <v>4.7004849592466296E-3</v>
      </c>
      <c r="W405" s="66">
        <f t="shared" si="167"/>
        <v>4.8163984949818259E-3</v>
      </c>
      <c r="X405" s="66">
        <f t="shared" si="167"/>
        <v>4.9048456673576237E-3</v>
      </c>
      <c r="Y405" s="66">
        <f t="shared" si="167"/>
        <v>4.9698614325273133E-3</v>
      </c>
      <c r="Z405" s="66">
        <f t="shared" si="167"/>
        <v>5.0163467640623859E-3</v>
      </c>
      <c r="AA405" s="66">
        <f t="shared" si="167"/>
        <v>5.0489261165309607E-3</v>
      </c>
      <c r="AB405" s="66">
        <f t="shared" si="167"/>
        <v>5.0714404515702447E-3</v>
      </c>
      <c r="AC405" s="66">
        <f t="shared" si="167"/>
        <v>5.0868481329699768E-3</v>
      </c>
    </row>
    <row r="406" spans="1:29" x14ac:dyDescent="0.25">
      <c r="A406" s="59" t="str">
        <f>A369</f>
        <v>Payload loss (fuel)</v>
      </c>
      <c r="B406" s="66">
        <f>B394/(B367-B369)-B394/B367</f>
        <v>0</v>
      </c>
      <c r="C406" s="66">
        <f t="shared" ref="C406:AC406" si="168">C394/(C367-C369)-C394/C367</f>
        <v>0</v>
      </c>
      <c r="D406" s="66">
        <f t="shared" si="168"/>
        <v>0</v>
      </c>
      <c r="E406" s="66">
        <f t="shared" si="168"/>
        <v>0</v>
      </c>
      <c r="F406" s="66">
        <f t="shared" si="168"/>
        <v>0</v>
      </c>
      <c r="G406" s="66">
        <f t="shared" si="168"/>
        <v>0</v>
      </c>
      <c r="H406" s="66">
        <f t="shared" si="168"/>
        <v>0</v>
      </c>
      <c r="I406" s="66">
        <f t="shared" si="168"/>
        <v>0</v>
      </c>
      <c r="J406" s="66">
        <f t="shared" si="168"/>
        <v>0</v>
      </c>
      <c r="K406" s="66">
        <f t="shared" si="168"/>
        <v>0</v>
      </c>
      <c r="L406" s="66">
        <f t="shared" si="168"/>
        <v>0</v>
      </c>
      <c r="M406" s="66">
        <f t="shared" si="168"/>
        <v>0</v>
      </c>
      <c r="N406" s="66">
        <f t="shared" si="168"/>
        <v>0</v>
      </c>
      <c r="O406" s="66">
        <f t="shared" si="168"/>
        <v>0</v>
      </c>
      <c r="P406" s="66">
        <f t="shared" si="168"/>
        <v>0</v>
      </c>
      <c r="Q406" s="66">
        <f t="shared" si="168"/>
        <v>0</v>
      </c>
      <c r="R406" s="66">
        <f t="shared" si="168"/>
        <v>0</v>
      </c>
      <c r="S406" s="66">
        <f t="shared" si="168"/>
        <v>0</v>
      </c>
      <c r="T406" s="66">
        <f t="shared" si="168"/>
        <v>0</v>
      </c>
      <c r="U406" s="66">
        <f t="shared" si="168"/>
        <v>0</v>
      </c>
      <c r="V406" s="66">
        <f t="shared" si="168"/>
        <v>0</v>
      </c>
      <c r="W406" s="66">
        <f t="shared" si="168"/>
        <v>0</v>
      </c>
      <c r="X406" s="66">
        <f t="shared" si="168"/>
        <v>0</v>
      </c>
      <c r="Y406" s="66">
        <f t="shared" si="168"/>
        <v>0</v>
      </c>
      <c r="Z406" s="66">
        <f t="shared" si="168"/>
        <v>0</v>
      </c>
      <c r="AA406" s="66">
        <f t="shared" si="168"/>
        <v>0</v>
      </c>
      <c r="AB406" s="66">
        <f t="shared" si="168"/>
        <v>0</v>
      </c>
      <c r="AC406" s="66">
        <f t="shared" si="168"/>
        <v>0</v>
      </c>
    </row>
    <row r="407" spans="1:29" ht="15.75" thickBot="1" x14ac:dyDescent="0.3">
      <c r="A407" s="59" t="str">
        <f>A344</f>
        <v>Emission Cost</v>
      </c>
      <c r="B407" s="68">
        <f>B364*B370/B370/(B367)</f>
        <v>1.9330162494961441E-3</v>
      </c>
      <c r="C407" s="68">
        <f t="shared" ref="C407:AC407" si="169">C364*C370/C370/(C367)</f>
        <v>1.9371206834899628E-3</v>
      </c>
      <c r="D407" s="68">
        <f t="shared" si="169"/>
        <v>1.9429960893332179E-3</v>
      </c>
      <c r="E407" s="68">
        <f t="shared" si="169"/>
        <v>1.9514012705690036E-3</v>
      </c>
      <c r="F407" s="68">
        <f t="shared" si="169"/>
        <v>1.9634141292502638E-3</v>
      </c>
      <c r="G407" s="68">
        <f t="shared" si="169"/>
        <v>1.9805590746748382E-3</v>
      </c>
      <c r="H407" s="68">
        <f t="shared" si="169"/>
        <v>2.0049776830749549E-3</v>
      </c>
      <c r="I407" s="68">
        <f t="shared" si="169"/>
        <v>2.0396486065519404E-3</v>
      </c>
      <c r="J407" s="68">
        <f t="shared" si="169"/>
        <v>2.0886526252236323E-3</v>
      </c>
      <c r="K407" s="68">
        <f t="shared" si="169"/>
        <v>2.1574533833329558E-3</v>
      </c>
      <c r="L407" s="68">
        <f t="shared" si="169"/>
        <v>2.2531114125534991E-3</v>
      </c>
      <c r="M407" s="68">
        <f t="shared" si="169"/>
        <v>2.3842549920408719E-3</v>
      </c>
      <c r="N407" s="68">
        <f t="shared" si="169"/>
        <v>2.5604979100940593E-3</v>
      </c>
      <c r="O407" s="68">
        <f t="shared" si="169"/>
        <v>2.7908814516173566E-3</v>
      </c>
      <c r="P407" s="68">
        <f t="shared" si="169"/>
        <v>3.0810105822933029E-3</v>
      </c>
      <c r="Q407" s="68">
        <f t="shared" si="169"/>
        <v>3.4291572109464382E-3</v>
      </c>
      <c r="R407" s="68">
        <f t="shared" si="169"/>
        <v>3.8228322463611155E-3</v>
      </c>
      <c r="S407" s="68">
        <f t="shared" si="169"/>
        <v>4.2384333660403627E-3</v>
      </c>
      <c r="T407" s="68">
        <f t="shared" si="169"/>
        <v>4.6458562330444131E-3</v>
      </c>
      <c r="U407" s="68">
        <f t="shared" si="169"/>
        <v>5.0167416550889786E-3</v>
      </c>
      <c r="V407" s="68">
        <f t="shared" si="169"/>
        <v>5.3319414487271117E-3</v>
      </c>
      <c r="W407" s="68">
        <f t="shared" si="169"/>
        <v>5.5843600343464736E-3</v>
      </c>
      <c r="X407" s="68">
        <f t="shared" si="169"/>
        <v>5.7769666183103488E-3</v>
      </c>
      <c r="Y407" s="68">
        <f t="shared" si="169"/>
        <v>5.9185479045941606E-3</v>
      </c>
      <c r="Z407" s="68">
        <f t="shared" si="169"/>
        <v>6.0197764760781397E-3</v>
      </c>
      <c r="AA407" s="68">
        <f t="shared" si="169"/>
        <v>6.090722755288349E-3</v>
      </c>
      <c r="AB407" s="68">
        <f t="shared" si="169"/>
        <v>6.1397509949217199E-3</v>
      </c>
      <c r="AC407" s="68">
        <f t="shared" si="169"/>
        <v>6.1733034624737292E-3</v>
      </c>
    </row>
    <row r="408" spans="1:29" ht="15.75" thickBot="1" x14ac:dyDescent="0.3">
      <c r="A408" s="31" t="s">
        <v>210</v>
      </c>
      <c r="B408" s="76">
        <f>B397+B398+B399+B400+B401+B402+B403+B404+B405+B406+B407</f>
        <v>9.7976383140681526E-3</v>
      </c>
      <c r="C408" s="67">
        <f t="shared" ref="C408:AC408" si="170">C397+C398+C399+C400+C401+C402+C403+C404+C405+C406+C407</f>
        <v>9.8035283252876082E-3</v>
      </c>
      <c r="D408" s="67">
        <f t="shared" si="170"/>
        <v>9.8119597451588412E-3</v>
      </c>
      <c r="E408" s="67">
        <f t="shared" si="170"/>
        <v>9.8240214842085904E-3</v>
      </c>
      <c r="F408" s="67">
        <f t="shared" si="170"/>
        <v>9.8412603708655406E-3</v>
      </c>
      <c r="G408" s="67">
        <f t="shared" si="170"/>
        <v>9.8658639876029082E-3</v>
      </c>
      <c r="H408" s="67">
        <f t="shared" si="170"/>
        <v>9.9009055737648045E-3</v>
      </c>
      <c r="I408" s="67">
        <f t="shared" si="170"/>
        <v>9.9506596028406669E-3</v>
      </c>
      <c r="J408" s="67">
        <f t="shared" si="170"/>
        <v>1.0020982141882458E-2</v>
      </c>
      <c r="K408" s="67">
        <f t="shared" si="170"/>
        <v>1.0119713717973437E-2</v>
      </c>
      <c r="L408" s="67">
        <f t="shared" si="170"/>
        <v>1.0256986449411859E-2</v>
      </c>
      <c r="M408" s="67">
        <f t="shared" si="170"/>
        <v>1.0445182228830839E-2</v>
      </c>
      <c r="N408" s="67">
        <f t="shared" si="170"/>
        <v>1.069809719012552E-2</v>
      </c>
      <c r="O408" s="67">
        <f t="shared" si="170"/>
        <v>1.1028705904114876E-2</v>
      </c>
      <c r="P408" s="67">
        <f t="shared" si="170"/>
        <v>1.1445051699258954E-2</v>
      </c>
      <c r="Q408" s="67">
        <f t="shared" si="170"/>
        <v>1.1944654702223922E-2</v>
      </c>
      <c r="R408" s="67">
        <f t="shared" si="170"/>
        <v>1.2509592615442868E-2</v>
      </c>
      <c r="S408" s="67">
        <f t="shared" si="170"/>
        <v>1.3105995252546175E-2</v>
      </c>
      <c r="T408" s="67">
        <f t="shared" si="170"/>
        <v>1.369066180129113E-2</v>
      </c>
      <c r="U408" s="67">
        <f t="shared" si="170"/>
        <v>1.4222895795129423E-2</v>
      </c>
      <c r="V408" s="67">
        <f t="shared" si="170"/>
        <v>1.4675218898313754E-2</v>
      </c>
      <c r="W408" s="67">
        <f t="shared" si="170"/>
        <v>1.5037448697486241E-2</v>
      </c>
      <c r="X408" s="67">
        <f t="shared" si="170"/>
        <v>1.5313846111160608E-2</v>
      </c>
      <c r="Y408" s="67">
        <f t="shared" si="170"/>
        <v>1.5517020377315886E-2</v>
      </c>
      <c r="Z408" s="67">
        <f t="shared" si="170"/>
        <v>1.5662287038362997E-2</v>
      </c>
      <c r="AA408" s="67">
        <f t="shared" si="170"/>
        <v>1.576409751482729E-2</v>
      </c>
      <c r="AB408" s="67">
        <f t="shared" si="170"/>
        <v>1.5834454811825049E-2</v>
      </c>
      <c r="AC408" s="67">
        <f t="shared" si="170"/>
        <v>1.5882603816199208E-2</v>
      </c>
    </row>
    <row r="410" spans="1:29" x14ac:dyDescent="0.25">
      <c r="B410" s="40"/>
    </row>
  </sheetData>
  <conditionalFormatting sqref="Q11:AR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117:AR133">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225:AR241">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334:AR350">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51069-B129-4F0E-816D-8F0D4D8E4B10}">
  <sheetPr codeName="Sheet12">
    <tabColor theme="5"/>
  </sheetPr>
  <dimension ref="A1:AR410"/>
  <sheetViews>
    <sheetView topLeftCell="A217" zoomScale="80" zoomScaleNormal="80" workbookViewId="0">
      <selection activeCell="M288" sqref="M288"/>
    </sheetView>
  </sheetViews>
  <sheetFormatPr defaultColWidth="9.140625" defaultRowHeight="15" x14ac:dyDescent="0.25"/>
  <cols>
    <col min="1" max="1" width="38.5703125" style="4" customWidth="1"/>
    <col min="2" max="2" width="21.42578125" style="4" bestFit="1" customWidth="1"/>
    <col min="3" max="4" width="14.85546875" style="4" bestFit="1" customWidth="1"/>
    <col min="5" max="5" width="28" style="4" bestFit="1" customWidth="1"/>
    <col min="6" max="11" width="14.85546875" style="4" bestFit="1" customWidth="1"/>
    <col min="12" max="12" width="24.42578125" style="4" bestFit="1" customWidth="1"/>
    <col min="13" max="29" width="14.85546875" style="4" bestFit="1" customWidth="1"/>
    <col min="30" max="44" width="13.5703125" style="4" bestFit="1" customWidth="1"/>
    <col min="45" max="16384" width="9.140625" style="4"/>
  </cols>
  <sheetData>
    <row r="1" spans="1:44" s="3" customFormat="1" ht="21" x14ac:dyDescent="0.35">
      <c r="A1" s="2" t="str">
        <f>'Parameter Input'!A155</f>
        <v>Short-sea: Dry bulk</v>
      </c>
    </row>
    <row r="2" spans="1:44" s="3" customFormat="1" ht="21" x14ac:dyDescent="0.35">
      <c r="A2" s="2" t="s">
        <v>289</v>
      </c>
    </row>
    <row r="3" spans="1:44" x14ac:dyDescent="0.25">
      <c r="A3" s="33" t="s">
        <v>195</v>
      </c>
    </row>
    <row r="4" spans="1:44" x14ac:dyDescent="0.25">
      <c r="A4" s="33" t="s">
        <v>196</v>
      </c>
    </row>
    <row r="5" spans="1:44" ht="15.75" thickBot="1" x14ac:dyDescent="0.3">
      <c r="A5" s="34" t="s">
        <v>197</v>
      </c>
      <c r="B5" s="34"/>
    </row>
    <row r="6" spans="1:44" ht="15.75" thickBot="1" x14ac:dyDescent="0.3">
      <c r="A6" s="39" t="s">
        <v>198</v>
      </c>
      <c r="B6" s="35"/>
    </row>
    <row r="7" spans="1:44" ht="15.75" thickBot="1" x14ac:dyDescent="0.3">
      <c r="A7" s="38" t="s">
        <v>199</v>
      </c>
      <c r="B7" s="36"/>
    </row>
    <row r="8" spans="1:44" ht="15.75" thickBot="1" x14ac:dyDescent="0.3"/>
    <row r="9" spans="1:44"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18</v>
      </c>
      <c r="B11" s="41">
        <f>'Parameter Input'!$L$156</f>
        <v>15000000</v>
      </c>
      <c r="C11" s="42">
        <f>'Parameter Input'!$M$156</f>
        <v>15000000</v>
      </c>
      <c r="D11" s="1" t="s">
        <v>15</v>
      </c>
      <c r="L11" s="51">
        <f>'Parameter Input'!$O$156</f>
        <v>17</v>
      </c>
      <c r="M11" s="52">
        <v>0</v>
      </c>
      <c r="N11" s="52">
        <v>1</v>
      </c>
      <c r="O11" s="52">
        <f>'Parameter Input'!$P$156</f>
        <v>0.9</v>
      </c>
      <c r="P11" s="53">
        <f>'Parameter Input'!$Q$156</f>
        <v>0.4</v>
      </c>
      <c r="Q11" s="4">
        <f t="shared" ref="Q11:AR20" si="0">$N11+($M11-$N11)*((1/(1+EXP(-$P11*(Q$9-$L11)))^$O11))</f>
        <v>0.99780374543478534</v>
      </c>
      <c r="R11" s="4">
        <f t="shared" si="0"/>
        <v>0.99685359315256394</v>
      </c>
      <c r="S11" s="4">
        <f t="shared" si="0"/>
        <v>0.99549347132349975</v>
      </c>
      <c r="T11" s="4">
        <f t="shared" si="0"/>
        <v>0.99354772139898062</v>
      </c>
      <c r="U11" s="4">
        <f t="shared" si="0"/>
        <v>0.99076681540580536</v>
      </c>
      <c r="V11" s="4">
        <f t="shared" si="0"/>
        <v>0.9867978615748374</v>
      </c>
      <c r="W11" s="4">
        <f t="shared" si="0"/>
        <v>0.98114509762858249</v>
      </c>
      <c r="X11" s="4">
        <f t="shared" si="0"/>
        <v>0.97311898315872036</v>
      </c>
      <c r="Y11" s="4">
        <f t="shared" si="0"/>
        <v>0.96177484161592774</v>
      </c>
      <c r="Z11" s="4">
        <f t="shared" si="0"/>
        <v>0.94584787155511363</v>
      </c>
      <c r="AA11" s="4">
        <f t="shared" si="0"/>
        <v>0.92370360150141495</v>
      </c>
      <c r="AB11" s="4">
        <f t="shared" si="0"/>
        <v>0.89334463567658451</v>
      </c>
      <c r="AC11" s="4">
        <f t="shared" si="0"/>
        <v>0.85254543874327005</v>
      </c>
      <c r="AD11" s="4">
        <f t="shared" si="0"/>
        <v>0.79921300652623883</v>
      </c>
      <c r="AE11" s="4">
        <f t="shared" si="0"/>
        <v>0.73204982249993378</v>
      </c>
      <c r="AF11" s="4">
        <f t="shared" si="0"/>
        <v>0.65145592958786691</v>
      </c>
      <c r="AG11" s="4">
        <f t="shared" si="0"/>
        <v>0.56032247880849573</v>
      </c>
      <c r="AH11" s="4">
        <f t="shared" si="0"/>
        <v>0.46411326873185343</v>
      </c>
      <c r="AI11" s="4">
        <f t="shared" si="0"/>
        <v>0.36979727595523937</v>
      </c>
      <c r="AJ11" s="4">
        <f t="shared" si="0"/>
        <v>0.28393948637231203</v>
      </c>
      <c r="AK11" s="4">
        <f t="shared" si="0"/>
        <v>0.21097259161117732</v>
      </c>
      <c r="AL11" s="4">
        <f t="shared" si="0"/>
        <v>0.15253917653798199</v>
      </c>
      <c r="AM11" s="4">
        <f t="shared" si="0"/>
        <v>0.10795188737709993</v>
      </c>
      <c r="AN11" s="4">
        <f t="shared" si="0"/>
        <v>7.5176653938091809E-2</v>
      </c>
      <c r="AO11" s="4">
        <f t="shared" si="0"/>
        <v>5.1742836177502194E-2</v>
      </c>
      <c r="AP11" s="4">
        <f t="shared" si="0"/>
        <v>3.5319190625345942E-2</v>
      </c>
      <c r="AQ11" s="4">
        <f t="shared" si="0"/>
        <v>2.3969442072658165E-2</v>
      </c>
      <c r="AR11" s="4">
        <f t="shared" si="0"/>
        <v>1.6202243558389728E-2</v>
      </c>
    </row>
    <row r="12" spans="1:44" x14ac:dyDescent="0.25">
      <c r="A12" s="24" t="s">
        <v>28</v>
      </c>
      <c r="B12" s="60">
        <f>'Parameter Input'!$L$157</f>
        <v>-1500000</v>
      </c>
      <c r="C12" s="61">
        <f>'Parameter Input'!$M$157</f>
        <v>-750000</v>
      </c>
      <c r="D12" s="1" t="s">
        <v>15</v>
      </c>
      <c r="L12" s="54">
        <f>'Parameter Input'!$O$157</f>
        <v>17</v>
      </c>
      <c r="M12" s="37">
        <v>0</v>
      </c>
      <c r="N12" s="37">
        <v>1</v>
      </c>
      <c r="O12" s="37">
        <f>'Parameter Input'!$P$157</f>
        <v>0.9</v>
      </c>
      <c r="P12" s="55">
        <f>'Parameter Input'!$Q$157</f>
        <v>0.4</v>
      </c>
      <c r="Q12" s="4">
        <f t="shared" si="0"/>
        <v>0.99780374543478534</v>
      </c>
      <c r="R12" s="4">
        <f t="shared" si="0"/>
        <v>0.99685359315256394</v>
      </c>
      <c r="S12" s="4">
        <f t="shared" si="0"/>
        <v>0.99549347132349975</v>
      </c>
      <c r="T12" s="4">
        <f t="shared" si="0"/>
        <v>0.99354772139898062</v>
      </c>
      <c r="U12" s="4">
        <f t="shared" si="0"/>
        <v>0.99076681540580536</v>
      </c>
      <c r="V12" s="4">
        <f t="shared" si="0"/>
        <v>0.9867978615748374</v>
      </c>
      <c r="W12" s="4">
        <f t="shared" si="0"/>
        <v>0.98114509762858249</v>
      </c>
      <c r="X12" s="4">
        <f t="shared" si="0"/>
        <v>0.97311898315872036</v>
      </c>
      <c r="Y12" s="4">
        <f t="shared" si="0"/>
        <v>0.96177484161592774</v>
      </c>
      <c r="Z12" s="4">
        <f t="shared" si="0"/>
        <v>0.94584787155511363</v>
      </c>
      <c r="AA12" s="4">
        <f t="shared" si="0"/>
        <v>0.92370360150141495</v>
      </c>
      <c r="AB12" s="4">
        <f t="shared" si="0"/>
        <v>0.89334463567658451</v>
      </c>
      <c r="AC12" s="4">
        <f t="shared" si="0"/>
        <v>0.85254543874327005</v>
      </c>
      <c r="AD12" s="4">
        <f t="shared" si="0"/>
        <v>0.79921300652623883</v>
      </c>
      <c r="AE12" s="4">
        <f t="shared" si="0"/>
        <v>0.73204982249993378</v>
      </c>
      <c r="AF12" s="4">
        <f t="shared" si="0"/>
        <v>0.65145592958786691</v>
      </c>
      <c r="AG12" s="4">
        <f t="shared" si="0"/>
        <v>0.56032247880849573</v>
      </c>
      <c r="AH12" s="4">
        <f t="shared" si="0"/>
        <v>0.46411326873185343</v>
      </c>
      <c r="AI12" s="4">
        <f t="shared" si="0"/>
        <v>0.36979727595523937</v>
      </c>
      <c r="AJ12" s="4">
        <f t="shared" si="0"/>
        <v>0.28393948637231203</v>
      </c>
      <c r="AK12" s="4">
        <f t="shared" si="0"/>
        <v>0.21097259161117732</v>
      </c>
      <c r="AL12" s="4">
        <f t="shared" si="0"/>
        <v>0.15253917653798199</v>
      </c>
      <c r="AM12" s="4">
        <f t="shared" si="0"/>
        <v>0.10795188737709993</v>
      </c>
      <c r="AN12" s="4">
        <f t="shared" si="0"/>
        <v>7.5176653938091809E-2</v>
      </c>
      <c r="AO12" s="4">
        <f t="shared" si="0"/>
        <v>5.1742836177502194E-2</v>
      </c>
      <c r="AP12" s="4">
        <f t="shared" si="0"/>
        <v>3.5319190625345942E-2</v>
      </c>
      <c r="AQ12" s="4">
        <f t="shared" si="0"/>
        <v>2.3969442072658165E-2</v>
      </c>
      <c r="AR12" s="4">
        <f t="shared" si="0"/>
        <v>1.6202243558389728E-2</v>
      </c>
    </row>
    <row r="13" spans="1:44" x14ac:dyDescent="0.25">
      <c r="A13" s="24" t="s">
        <v>14</v>
      </c>
      <c r="B13" s="60">
        <f>'Parameter Input'!B156</f>
        <v>1000000</v>
      </c>
      <c r="C13" s="61">
        <f>'Parameter Input'!C156</f>
        <v>1000000</v>
      </c>
      <c r="D13" s="1" t="s">
        <v>15</v>
      </c>
      <c r="L13" s="54">
        <f>'Parameter Input'!E156</f>
        <v>17</v>
      </c>
      <c r="M13" s="37">
        <v>0</v>
      </c>
      <c r="N13" s="37">
        <v>1</v>
      </c>
      <c r="O13" s="37">
        <f>'Parameter Input'!F156</f>
        <v>0.9</v>
      </c>
      <c r="P13" s="55">
        <f>'Parameter Input'!G156</f>
        <v>0.4</v>
      </c>
      <c r="Q13" s="4">
        <f t="shared" si="0"/>
        <v>0.99780374543478534</v>
      </c>
      <c r="R13" s="4">
        <f t="shared" si="0"/>
        <v>0.99685359315256394</v>
      </c>
      <c r="S13" s="4">
        <f t="shared" si="0"/>
        <v>0.99549347132349975</v>
      </c>
      <c r="T13" s="4">
        <f t="shared" si="0"/>
        <v>0.99354772139898062</v>
      </c>
      <c r="U13" s="4">
        <f t="shared" si="0"/>
        <v>0.99076681540580536</v>
      </c>
      <c r="V13" s="4">
        <f t="shared" si="0"/>
        <v>0.9867978615748374</v>
      </c>
      <c r="W13" s="4">
        <f t="shared" si="0"/>
        <v>0.98114509762858249</v>
      </c>
      <c r="X13" s="4">
        <f t="shared" si="0"/>
        <v>0.97311898315872036</v>
      </c>
      <c r="Y13" s="4">
        <f t="shared" si="0"/>
        <v>0.96177484161592774</v>
      </c>
      <c r="Z13" s="4">
        <f t="shared" si="0"/>
        <v>0.94584787155511363</v>
      </c>
      <c r="AA13" s="4">
        <f t="shared" si="0"/>
        <v>0.92370360150141495</v>
      </c>
      <c r="AB13" s="4">
        <f t="shared" si="0"/>
        <v>0.89334463567658451</v>
      </c>
      <c r="AC13" s="4">
        <f t="shared" si="0"/>
        <v>0.85254543874327005</v>
      </c>
      <c r="AD13" s="4">
        <f t="shared" si="0"/>
        <v>0.79921300652623883</v>
      </c>
      <c r="AE13" s="4">
        <f t="shared" si="0"/>
        <v>0.73204982249993378</v>
      </c>
      <c r="AF13" s="4">
        <f t="shared" si="0"/>
        <v>0.65145592958786691</v>
      </c>
      <c r="AG13" s="4">
        <f t="shared" si="0"/>
        <v>0.56032247880849573</v>
      </c>
      <c r="AH13" s="4">
        <f t="shared" si="0"/>
        <v>0.46411326873185343</v>
      </c>
      <c r="AI13" s="4">
        <f t="shared" si="0"/>
        <v>0.36979727595523937</v>
      </c>
      <c r="AJ13" s="4">
        <f t="shared" si="0"/>
        <v>0.28393948637231203</v>
      </c>
      <c r="AK13" s="4">
        <f t="shared" si="0"/>
        <v>0.21097259161117732</v>
      </c>
      <c r="AL13" s="4">
        <f t="shared" si="0"/>
        <v>0.15253917653798199</v>
      </c>
      <c r="AM13" s="4">
        <f t="shared" si="0"/>
        <v>0.10795188737709993</v>
      </c>
      <c r="AN13" s="4">
        <f t="shared" si="0"/>
        <v>7.5176653938091809E-2</v>
      </c>
      <c r="AO13" s="4">
        <f t="shared" si="0"/>
        <v>5.1742836177502194E-2</v>
      </c>
      <c r="AP13" s="4">
        <f t="shared" si="0"/>
        <v>3.5319190625345942E-2</v>
      </c>
      <c r="AQ13" s="4">
        <f t="shared" si="0"/>
        <v>2.3969442072658165E-2</v>
      </c>
      <c r="AR13" s="4">
        <f t="shared" si="0"/>
        <v>1.6202243558389728E-2</v>
      </c>
    </row>
    <row r="14" spans="1:44" x14ac:dyDescent="0.25">
      <c r="A14" s="24" t="s">
        <v>25</v>
      </c>
      <c r="B14" s="60">
        <f>'Parameter Input'!B157</f>
        <v>-100000</v>
      </c>
      <c r="C14" s="61">
        <f>'Parameter Input'!C157</f>
        <v>-100000</v>
      </c>
      <c r="D14" s="1" t="s">
        <v>15</v>
      </c>
      <c r="L14" s="54">
        <f>'Parameter Input'!E157</f>
        <v>17</v>
      </c>
      <c r="M14" s="37">
        <v>0</v>
      </c>
      <c r="N14" s="37">
        <v>1</v>
      </c>
      <c r="O14" s="37">
        <f>'Parameter Input'!F157</f>
        <v>0.9</v>
      </c>
      <c r="P14" s="55">
        <f>'Parameter Input'!G157</f>
        <v>0.4</v>
      </c>
      <c r="Q14" s="4">
        <f t="shared" si="0"/>
        <v>0.99780374543478534</v>
      </c>
      <c r="R14" s="4">
        <f t="shared" si="0"/>
        <v>0.99685359315256394</v>
      </c>
      <c r="S14" s="4">
        <f t="shared" si="0"/>
        <v>0.99549347132349975</v>
      </c>
      <c r="T14" s="4">
        <f t="shared" si="0"/>
        <v>0.99354772139898062</v>
      </c>
      <c r="U14" s="4">
        <f t="shared" si="0"/>
        <v>0.99076681540580536</v>
      </c>
      <c r="V14" s="4">
        <f t="shared" si="0"/>
        <v>0.9867978615748374</v>
      </c>
      <c r="W14" s="4">
        <f t="shared" si="0"/>
        <v>0.98114509762858249</v>
      </c>
      <c r="X14" s="4">
        <f t="shared" si="0"/>
        <v>0.97311898315872036</v>
      </c>
      <c r="Y14" s="4">
        <f t="shared" si="0"/>
        <v>0.96177484161592774</v>
      </c>
      <c r="Z14" s="4">
        <f t="shared" si="0"/>
        <v>0.94584787155511363</v>
      </c>
      <c r="AA14" s="4">
        <f t="shared" si="0"/>
        <v>0.92370360150141495</v>
      </c>
      <c r="AB14" s="4">
        <f t="shared" si="0"/>
        <v>0.89334463567658451</v>
      </c>
      <c r="AC14" s="4">
        <f t="shared" si="0"/>
        <v>0.85254543874327005</v>
      </c>
      <c r="AD14" s="4">
        <f t="shared" si="0"/>
        <v>0.79921300652623883</v>
      </c>
      <c r="AE14" s="4">
        <f t="shared" si="0"/>
        <v>0.73204982249993378</v>
      </c>
      <c r="AF14" s="4">
        <f t="shared" si="0"/>
        <v>0.65145592958786691</v>
      </c>
      <c r="AG14" s="4">
        <f t="shared" si="0"/>
        <v>0.56032247880849573</v>
      </c>
      <c r="AH14" s="4">
        <f t="shared" si="0"/>
        <v>0.46411326873185343</v>
      </c>
      <c r="AI14" s="4">
        <f t="shared" si="0"/>
        <v>0.36979727595523937</v>
      </c>
      <c r="AJ14" s="4">
        <f t="shared" si="0"/>
        <v>0.28393948637231203</v>
      </c>
      <c r="AK14" s="4">
        <f t="shared" si="0"/>
        <v>0.21097259161117732</v>
      </c>
      <c r="AL14" s="4">
        <f t="shared" si="0"/>
        <v>0.15253917653798199</v>
      </c>
      <c r="AM14" s="4">
        <f t="shared" si="0"/>
        <v>0.10795188737709993</v>
      </c>
      <c r="AN14" s="4">
        <f t="shared" si="0"/>
        <v>7.5176653938091809E-2</v>
      </c>
      <c r="AO14" s="4">
        <f t="shared" si="0"/>
        <v>5.1742836177502194E-2</v>
      </c>
      <c r="AP14" s="4">
        <f t="shared" si="0"/>
        <v>3.5319190625345942E-2</v>
      </c>
      <c r="AQ14" s="4">
        <f t="shared" si="0"/>
        <v>2.3969442072658165E-2</v>
      </c>
      <c r="AR14" s="4">
        <f t="shared" si="0"/>
        <v>1.6202243558389728E-2</v>
      </c>
    </row>
    <row r="15" spans="1:44" x14ac:dyDescent="0.25">
      <c r="A15" s="24" t="s">
        <v>79</v>
      </c>
      <c r="B15" s="92">
        <f>'Parameter Input'!$L$163</f>
        <v>0.06</v>
      </c>
      <c r="C15" s="91">
        <f>'Parameter Input'!$M$163</f>
        <v>0.06</v>
      </c>
      <c r="D15" s="1" t="s">
        <v>57</v>
      </c>
      <c r="L15" s="54">
        <f>'Parameter Input'!$O$163</f>
        <v>17</v>
      </c>
      <c r="M15" s="37">
        <v>0</v>
      </c>
      <c r="N15" s="37">
        <v>1</v>
      </c>
      <c r="O15" s="37">
        <f>'Parameter Input'!$P$163</f>
        <v>0.9</v>
      </c>
      <c r="P15" s="55">
        <f>'Parameter Input'!$Q$163</f>
        <v>0.4</v>
      </c>
      <c r="Q15" s="4">
        <f t="shared" si="0"/>
        <v>0.99780374543478534</v>
      </c>
      <c r="R15" s="4">
        <f t="shared" si="0"/>
        <v>0.99685359315256394</v>
      </c>
      <c r="S15" s="4">
        <f t="shared" si="0"/>
        <v>0.99549347132349975</v>
      </c>
      <c r="T15" s="4">
        <f t="shared" si="0"/>
        <v>0.99354772139898062</v>
      </c>
      <c r="U15" s="4">
        <f t="shared" si="0"/>
        <v>0.99076681540580536</v>
      </c>
      <c r="V15" s="4">
        <f t="shared" si="0"/>
        <v>0.9867978615748374</v>
      </c>
      <c r="W15" s="4">
        <f t="shared" si="0"/>
        <v>0.98114509762858249</v>
      </c>
      <c r="X15" s="4">
        <f t="shared" si="0"/>
        <v>0.97311898315872036</v>
      </c>
      <c r="Y15" s="4">
        <f t="shared" si="0"/>
        <v>0.96177484161592774</v>
      </c>
      <c r="Z15" s="4">
        <f t="shared" si="0"/>
        <v>0.94584787155511363</v>
      </c>
      <c r="AA15" s="4">
        <f t="shared" si="0"/>
        <v>0.92370360150141495</v>
      </c>
      <c r="AB15" s="4">
        <f t="shared" si="0"/>
        <v>0.89334463567658451</v>
      </c>
      <c r="AC15" s="4">
        <f t="shared" si="0"/>
        <v>0.85254543874327005</v>
      </c>
      <c r="AD15" s="4">
        <f t="shared" si="0"/>
        <v>0.79921300652623883</v>
      </c>
      <c r="AE15" s="4">
        <f t="shared" si="0"/>
        <v>0.73204982249993378</v>
      </c>
      <c r="AF15" s="4">
        <f t="shared" si="0"/>
        <v>0.65145592958786691</v>
      </c>
      <c r="AG15" s="4">
        <f t="shared" si="0"/>
        <v>0.56032247880849573</v>
      </c>
      <c r="AH15" s="4">
        <f t="shared" si="0"/>
        <v>0.46411326873185343</v>
      </c>
      <c r="AI15" s="4">
        <f t="shared" si="0"/>
        <v>0.36979727595523937</v>
      </c>
      <c r="AJ15" s="4">
        <f t="shared" si="0"/>
        <v>0.28393948637231203</v>
      </c>
      <c r="AK15" s="4">
        <f t="shared" si="0"/>
        <v>0.21097259161117732</v>
      </c>
      <c r="AL15" s="4">
        <f t="shared" si="0"/>
        <v>0.15253917653798199</v>
      </c>
      <c r="AM15" s="4">
        <f t="shared" si="0"/>
        <v>0.10795188737709993</v>
      </c>
      <c r="AN15" s="4">
        <f t="shared" si="0"/>
        <v>7.5176653938091809E-2</v>
      </c>
      <c r="AO15" s="4">
        <f t="shared" si="0"/>
        <v>5.1742836177502194E-2</v>
      </c>
      <c r="AP15" s="4">
        <f t="shared" si="0"/>
        <v>3.5319190625345942E-2</v>
      </c>
      <c r="AQ15" s="4">
        <f t="shared" si="0"/>
        <v>2.3969442072658165E-2</v>
      </c>
      <c r="AR15" s="4">
        <f t="shared" si="0"/>
        <v>1.6202243558389728E-2</v>
      </c>
    </row>
    <row r="16" spans="1:44" x14ac:dyDescent="0.25">
      <c r="A16" s="24" t="s">
        <v>37</v>
      </c>
      <c r="B16" s="60">
        <f>'Parameter Input'!B158</f>
        <v>1208235.294117647</v>
      </c>
      <c r="C16" s="61">
        <f>'Parameter Input'!C158</f>
        <v>1208235.294117647</v>
      </c>
      <c r="D16" s="1" t="s">
        <v>38</v>
      </c>
      <c r="L16" s="54">
        <f>'Parameter Input'!E158</f>
        <v>17</v>
      </c>
      <c r="M16" s="37">
        <v>0</v>
      </c>
      <c r="N16" s="37">
        <v>1</v>
      </c>
      <c r="O16" s="37">
        <f>'Parameter Input'!F158</f>
        <v>0.9</v>
      </c>
      <c r="P16" s="55">
        <f>'Parameter Input'!G158</f>
        <v>0.4</v>
      </c>
      <c r="Q16" s="4">
        <f t="shared" si="0"/>
        <v>0.99780374543478534</v>
      </c>
      <c r="R16" s="4">
        <f t="shared" si="0"/>
        <v>0.99685359315256394</v>
      </c>
      <c r="S16" s="4">
        <f t="shared" si="0"/>
        <v>0.99549347132349975</v>
      </c>
      <c r="T16" s="4">
        <f t="shared" si="0"/>
        <v>0.99354772139898062</v>
      </c>
      <c r="U16" s="4">
        <f t="shared" si="0"/>
        <v>0.99076681540580536</v>
      </c>
      <c r="V16" s="4">
        <f t="shared" si="0"/>
        <v>0.9867978615748374</v>
      </c>
      <c r="W16" s="4">
        <f t="shared" si="0"/>
        <v>0.98114509762858249</v>
      </c>
      <c r="X16" s="4">
        <f t="shared" si="0"/>
        <v>0.97311898315872036</v>
      </c>
      <c r="Y16" s="4">
        <f t="shared" si="0"/>
        <v>0.96177484161592774</v>
      </c>
      <c r="Z16" s="4">
        <f t="shared" si="0"/>
        <v>0.94584787155511363</v>
      </c>
      <c r="AA16" s="4">
        <f t="shared" si="0"/>
        <v>0.92370360150141495</v>
      </c>
      <c r="AB16" s="4">
        <f t="shared" si="0"/>
        <v>0.89334463567658451</v>
      </c>
      <c r="AC16" s="4">
        <f t="shared" si="0"/>
        <v>0.85254543874327005</v>
      </c>
      <c r="AD16" s="4">
        <f t="shared" si="0"/>
        <v>0.79921300652623883</v>
      </c>
      <c r="AE16" s="4">
        <f t="shared" si="0"/>
        <v>0.73204982249993378</v>
      </c>
      <c r="AF16" s="4">
        <f t="shared" si="0"/>
        <v>0.65145592958786691</v>
      </c>
      <c r="AG16" s="4">
        <f t="shared" si="0"/>
        <v>0.56032247880849573</v>
      </c>
      <c r="AH16" s="4">
        <f t="shared" si="0"/>
        <v>0.46411326873185343</v>
      </c>
      <c r="AI16" s="4">
        <f t="shared" si="0"/>
        <v>0.36979727595523937</v>
      </c>
      <c r="AJ16" s="4">
        <f t="shared" si="0"/>
        <v>0.28393948637231203</v>
      </c>
      <c r="AK16" s="4">
        <f t="shared" si="0"/>
        <v>0.21097259161117732</v>
      </c>
      <c r="AL16" s="4">
        <f t="shared" si="0"/>
        <v>0.15253917653798199</v>
      </c>
      <c r="AM16" s="4">
        <f t="shared" si="0"/>
        <v>0.10795188737709993</v>
      </c>
      <c r="AN16" s="4">
        <f t="shared" si="0"/>
        <v>7.5176653938091809E-2</v>
      </c>
      <c r="AO16" s="4">
        <f t="shared" si="0"/>
        <v>5.1742836177502194E-2</v>
      </c>
      <c r="AP16" s="4">
        <f t="shared" si="0"/>
        <v>3.5319190625345942E-2</v>
      </c>
      <c r="AQ16" s="4">
        <f t="shared" si="0"/>
        <v>2.3969442072658165E-2</v>
      </c>
      <c r="AR16" s="4">
        <f t="shared" si="0"/>
        <v>1.6202243558389728E-2</v>
      </c>
    </row>
    <row r="17" spans="1:44" x14ac:dyDescent="0.25">
      <c r="A17" s="24" t="s">
        <v>52</v>
      </c>
      <c r="B17" s="60">
        <f>'Parameter Input'!$L$159</f>
        <v>488235.29411764705</v>
      </c>
      <c r="C17" s="61">
        <f>'Parameter Input'!$M$159</f>
        <v>488235.29411764705</v>
      </c>
      <c r="D17" s="1" t="s">
        <v>38</v>
      </c>
      <c r="L17" s="54">
        <f>'Parameter Input'!$O$159</f>
        <v>17</v>
      </c>
      <c r="M17" s="37">
        <v>0</v>
      </c>
      <c r="N17" s="37">
        <v>1</v>
      </c>
      <c r="O17" s="37">
        <f>'Parameter Input'!$P$159</f>
        <v>0.9</v>
      </c>
      <c r="P17" s="55">
        <f>'Parameter Input'!$Q$159</f>
        <v>0.4</v>
      </c>
      <c r="Q17" s="4">
        <f t="shared" si="0"/>
        <v>0.99780374543478534</v>
      </c>
      <c r="R17" s="4">
        <f t="shared" si="0"/>
        <v>0.99685359315256394</v>
      </c>
      <c r="S17" s="4">
        <f t="shared" si="0"/>
        <v>0.99549347132349975</v>
      </c>
      <c r="T17" s="4">
        <f t="shared" si="0"/>
        <v>0.99354772139898062</v>
      </c>
      <c r="U17" s="4">
        <f t="shared" si="0"/>
        <v>0.99076681540580536</v>
      </c>
      <c r="V17" s="4">
        <f t="shared" si="0"/>
        <v>0.9867978615748374</v>
      </c>
      <c r="W17" s="4">
        <f t="shared" si="0"/>
        <v>0.98114509762858249</v>
      </c>
      <c r="X17" s="4">
        <f t="shared" si="0"/>
        <v>0.97311898315872036</v>
      </c>
      <c r="Y17" s="4">
        <f t="shared" si="0"/>
        <v>0.96177484161592774</v>
      </c>
      <c r="Z17" s="4">
        <f t="shared" si="0"/>
        <v>0.94584787155511363</v>
      </c>
      <c r="AA17" s="4">
        <f t="shared" si="0"/>
        <v>0.92370360150141495</v>
      </c>
      <c r="AB17" s="4">
        <f t="shared" si="0"/>
        <v>0.89334463567658451</v>
      </c>
      <c r="AC17" s="4">
        <f t="shared" si="0"/>
        <v>0.85254543874327005</v>
      </c>
      <c r="AD17" s="4">
        <f t="shared" si="0"/>
        <v>0.79921300652623883</v>
      </c>
      <c r="AE17" s="4">
        <f t="shared" si="0"/>
        <v>0.73204982249993378</v>
      </c>
      <c r="AF17" s="4">
        <f t="shared" si="0"/>
        <v>0.65145592958786691</v>
      </c>
      <c r="AG17" s="4">
        <f t="shared" si="0"/>
        <v>0.56032247880849573</v>
      </c>
      <c r="AH17" s="4">
        <f t="shared" si="0"/>
        <v>0.46411326873185343</v>
      </c>
      <c r="AI17" s="4">
        <f t="shared" si="0"/>
        <v>0.36979727595523937</v>
      </c>
      <c r="AJ17" s="4">
        <f t="shared" si="0"/>
        <v>0.28393948637231203</v>
      </c>
      <c r="AK17" s="4">
        <f t="shared" si="0"/>
        <v>0.21097259161117732</v>
      </c>
      <c r="AL17" s="4">
        <f t="shared" si="0"/>
        <v>0.15253917653798199</v>
      </c>
      <c r="AM17" s="4">
        <f t="shared" si="0"/>
        <v>0.10795188737709993</v>
      </c>
      <c r="AN17" s="4">
        <f t="shared" si="0"/>
        <v>7.5176653938091809E-2</v>
      </c>
      <c r="AO17" s="4">
        <f t="shared" si="0"/>
        <v>5.1742836177502194E-2</v>
      </c>
      <c r="AP17" s="4">
        <f t="shared" si="0"/>
        <v>3.5319190625345942E-2</v>
      </c>
      <c r="AQ17" s="4">
        <f t="shared" si="0"/>
        <v>2.3969442072658165E-2</v>
      </c>
      <c r="AR17" s="4">
        <f t="shared" si="0"/>
        <v>1.6202243558389728E-2</v>
      </c>
    </row>
    <row r="18" spans="1:44" x14ac:dyDescent="0.25">
      <c r="A18" s="24" t="s">
        <v>272</v>
      </c>
      <c r="B18" s="92">
        <f>'Parameter Input'!B163</f>
        <v>0.8458018624557011</v>
      </c>
      <c r="C18" s="61">
        <f>'Parameter Input'!C163</f>
        <v>0.8458018624557011</v>
      </c>
      <c r="D18" s="1" t="s">
        <v>76</v>
      </c>
      <c r="L18" s="54">
        <f>'Parameter Input'!E163</f>
        <v>17</v>
      </c>
      <c r="M18" s="37">
        <v>0</v>
      </c>
      <c r="N18" s="37">
        <v>1</v>
      </c>
      <c r="O18" s="37">
        <f>'Parameter Input'!F163</f>
        <v>0.9</v>
      </c>
      <c r="P18" s="55">
        <f>'Parameter Input'!G163</f>
        <v>0.4</v>
      </c>
      <c r="Q18" s="4">
        <f t="shared" si="0"/>
        <v>0.99780374543478534</v>
      </c>
      <c r="R18" s="4">
        <f t="shared" si="0"/>
        <v>0.99685359315256394</v>
      </c>
      <c r="S18" s="4">
        <f t="shared" si="0"/>
        <v>0.99549347132349975</v>
      </c>
      <c r="T18" s="4">
        <f t="shared" si="0"/>
        <v>0.99354772139898062</v>
      </c>
      <c r="U18" s="4">
        <f t="shared" si="0"/>
        <v>0.99076681540580536</v>
      </c>
      <c r="V18" s="4">
        <f t="shared" si="0"/>
        <v>0.9867978615748374</v>
      </c>
      <c r="W18" s="4">
        <f t="shared" si="0"/>
        <v>0.98114509762858249</v>
      </c>
      <c r="X18" s="4">
        <f t="shared" si="0"/>
        <v>0.97311898315872036</v>
      </c>
      <c r="Y18" s="4">
        <f t="shared" si="0"/>
        <v>0.96177484161592774</v>
      </c>
      <c r="Z18" s="4">
        <f t="shared" si="0"/>
        <v>0.94584787155511363</v>
      </c>
      <c r="AA18" s="4">
        <f t="shared" si="0"/>
        <v>0.92370360150141495</v>
      </c>
      <c r="AB18" s="4">
        <f t="shared" si="0"/>
        <v>0.89334463567658451</v>
      </c>
      <c r="AC18" s="4">
        <f t="shared" si="0"/>
        <v>0.85254543874327005</v>
      </c>
      <c r="AD18" s="4">
        <f t="shared" si="0"/>
        <v>0.79921300652623883</v>
      </c>
      <c r="AE18" s="4">
        <f t="shared" si="0"/>
        <v>0.73204982249993378</v>
      </c>
      <c r="AF18" s="4">
        <f t="shared" si="0"/>
        <v>0.65145592958786691</v>
      </c>
      <c r="AG18" s="4">
        <f t="shared" si="0"/>
        <v>0.56032247880849573</v>
      </c>
      <c r="AH18" s="4">
        <f t="shared" si="0"/>
        <v>0.46411326873185343</v>
      </c>
      <c r="AI18" s="4">
        <f t="shared" si="0"/>
        <v>0.36979727595523937</v>
      </c>
      <c r="AJ18" s="4">
        <f t="shared" si="0"/>
        <v>0.28393948637231203</v>
      </c>
      <c r="AK18" s="4">
        <f t="shared" si="0"/>
        <v>0.21097259161117732</v>
      </c>
      <c r="AL18" s="4">
        <f t="shared" si="0"/>
        <v>0.15253917653798199</v>
      </c>
      <c r="AM18" s="4">
        <f t="shared" si="0"/>
        <v>0.10795188737709993</v>
      </c>
      <c r="AN18" s="4">
        <f t="shared" si="0"/>
        <v>7.5176653938091809E-2</v>
      </c>
      <c r="AO18" s="4">
        <f t="shared" si="0"/>
        <v>5.1742836177502194E-2</v>
      </c>
      <c r="AP18" s="4">
        <f t="shared" si="0"/>
        <v>3.5319190625345942E-2</v>
      </c>
      <c r="AQ18" s="4">
        <f t="shared" si="0"/>
        <v>2.3969442072658165E-2</v>
      </c>
      <c r="AR18" s="4">
        <f t="shared" si="0"/>
        <v>1.6202243558389728E-2</v>
      </c>
    </row>
    <row r="19" spans="1:44" x14ac:dyDescent="0.25">
      <c r="A19" s="24" t="s">
        <v>59</v>
      </c>
      <c r="B19" s="60">
        <f>'Parameter Input'!$L$160</f>
        <v>647</v>
      </c>
      <c r="C19" s="61">
        <f>'Parameter Input'!$M$160</f>
        <v>600</v>
      </c>
      <c r="D19" s="1" t="s">
        <v>60</v>
      </c>
      <c r="L19" s="54">
        <f>'Parameter Input'!$O$160</f>
        <v>17</v>
      </c>
      <c r="M19" s="37">
        <v>0</v>
      </c>
      <c r="N19" s="37">
        <v>1</v>
      </c>
      <c r="O19" s="37">
        <f>'Parameter Input'!$P$160</f>
        <v>0.9</v>
      </c>
      <c r="P19" s="55">
        <f>'Parameter Input'!$Q$160</f>
        <v>0.4</v>
      </c>
      <c r="Q19" s="4">
        <f t="shared" si="0"/>
        <v>0.99780374543478534</v>
      </c>
      <c r="R19" s="4">
        <f t="shared" si="0"/>
        <v>0.99685359315256394</v>
      </c>
      <c r="S19" s="4">
        <f t="shared" si="0"/>
        <v>0.99549347132349975</v>
      </c>
      <c r="T19" s="4">
        <f t="shared" si="0"/>
        <v>0.99354772139898062</v>
      </c>
      <c r="U19" s="4">
        <f t="shared" si="0"/>
        <v>0.99076681540580536</v>
      </c>
      <c r="V19" s="4">
        <f t="shared" si="0"/>
        <v>0.9867978615748374</v>
      </c>
      <c r="W19" s="4">
        <f t="shared" si="0"/>
        <v>0.98114509762858249</v>
      </c>
      <c r="X19" s="4">
        <f t="shared" si="0"/>
        <v>0.97311898315872036</v>
      </c>
      <c r="Y19" s="4">
        <f t="shared" si="0"/>
        <v>0.96177484161592774</v>
      </c>
      <c r="Z19" s="4">
        <f t="shared" si="0"/>
        <v>0.94584787155511363</v>
      </c>
      <c r="AA19" s="4">
        <f t="shared" si="0"/>
        <v>0.92370360150141495</v>
      </c>
      <c r="AB19" s="4">
        <f t="shared" si="0"/>
        <v>0.89334463567658451</v>
      </c>
      <c r="AC19" s="4">
        <f t="shared" si="0"/>
        <v>0.85254543874327005</v>
      </c>
      <c r="AD19" s="4">
        <f t="shared" si="0"/>
        <v>0.79921300652623883</v>
      </c>
      <c r="AE19" s="4">
        <f t="shared" si="0"/>
        <v>0.73204982249993378</v>
      </c>
      <c r="AF19" s="4">
        <f t="shared" si="0"/>
        <v>0.65145592958786691</v>
      </c>
      <c r="AG19" s="4">
        <f t="shared" si="0"/>
        <v>0.56032247880849573</v>
      </c>
      <c r="AH19" s="4">
        <f t="shared" si="0"/>
        <v>0.46411326873185343</v>
      </c>
      <c r="AI19" s="4">
        <f t="shared" si="0"/>
        <v>0.36979727595523937</v>
      </c>
      <c r="AJ19" s="4">
        <f t="shared" si="0"/>
        <v>0.28393948637231203</v>
      </c>
      <c r="AK19" s="4">
        <f t="shared" si="0"/>
        <v>0.21097259161117732</v>
      </c>
      <c r="AL19" s="4">
        <f t="shared" si="0"/>
        <v>0.15253917653798199</v>
      </c>
      <c r="AM19" s="4">
        <f t="shared" si="0"/>
        <v>0.10795188737709993</v>
      </c>
      <c r="AN19" s="4">
        <f t="shared" si="0"/>
        <v>7.5176653938091809E-2</v>
      </c>
      <c r="AO19" s="4">
        <f t="shared" si="0"/>
        <v>5.1742836177502194E-2</v>
      </c>
      <c r="AP19" s="4">
        <f t="shared" si="0"/>
        <v>3.5319190625345942E-2</v>
      </c>
      <c r="AQ19" s="4">
        <f t="shared" si="0"/>
        <v>2.3969442072658165E-2</v>
      </c>
      <c r="AR19" s="4">
        <f t="shared" si="0"/>
        <v>1.6202243558389728E-2</v>
      </c>
    </row>
    <row r="20" spans="1:44" x14ac:dyDescent="0.25">
      <c r="A20" s="24" t="s">
        <v>67</v>
      </c>
      <c r="B20" s="78">
        <f>'Parameter Input'!$L$161</f>
        <v>0.06</v>
      </c>
      <c r="C20" s="61">
        <f>'Parameter Input'!$M$161</f>
        <v>0.06</v>
      </c>
      <c r="D20" s="1" t="s">
        <v>68</v>
      </c>
      <c r="L20" s="54">
        <f>'Parameter Input'!$O$161</f>
        <v>17</v>
      </c>
      <c r="M20" s="37">
        <v>0</v>
      </c>
      <c r="N20" s="37">
        <v>1</v>
      </c>
      <c r="O20" s="37">
        <f>'Parameter Input'!$P$161</f>
        <v>0.9</v>
      </c>
      <c r="P20" s="55">
        <f>'Parameter Input'!$Q$161</f>
        <v>0.4</v>
      </c>
      <c r="Q20" s="4">
        <f t="shared" si="0"/>
        <v>0.99780374543478534</v>
      </c>
      <c r="R20" s="4">
        <f t="shared" si="0"/>
        <v>0.99685359315256394</v>
      </c>
      <c r="S20" s="4">
        <f t="shared" si="0"/>
        <v>0.99549347132349975</v>
      </c>
      <c r="T20" s="4">
        <f t="shared" ref="T20:AR27" si="1">$N20+($M20-$N20)*((1/(1+EXP(-$P20*(T$9-$L20)))^$O20))</f>
        <v>0.99354772139898062</v>
      </c>
      <c r="U20" s="4">
        <f t="shared" si="1"/>
        <v>0.99076681540580536</v>
      </c>
      <c r="V20" s="4">
        <f t="shared" si="1"/>
        <v>0.9867978615748374</v>
      </c>
      <c r="W20" s="4">
        <f t="shared" si="1"/>
        <v>0.98114509762858249</v>
      </c>
      <c r="X20" s="4">
        <f t="shared" si="1"/>
        <v>0.97311898315872036</v>
      </c>
      <c r="Y20" s="4">
        <f t="shared" si="1"/>
        <v>0.96177484161592774</v>
      </c>
      <c r="Z20" s="4">
        <f t="shared" si="1"/>
        <v>0.94584787155511363</v>
      </c>
      <c r="AA20" s="4">
        <f t="shared" si="1"/>
        <v>0.92370360150141495</v>
      </c>
      <c r="AB20" s="4">
        <f t="shared" si="1"/>
        <v>0.89334463567658451</v>
      </c>
      <c r="AC20" s="4">
        <f t="shared" si="1"/>
        <v>0.85254543874327005</v>
      </c>
      <c r="AD20" s="4">
        <f t="shared" si="1"/>
        <v>0.79921300652623883</v>
      </c>
      <c r="AE20" s="4">
        <f t="shared" si="1"/>
        <v>0.73204982249993378</v>
      </c>
      <c r="AF20" s="4">
        <f t="shared" si="1"/>
        <v>0.65145592958786691</v>
      </c>
      <c r="AG20" s="4">
        <f t="shared" si="1"/>
        <v>0.56032247880849573</v>
      </c>
      <c r="AH20" s="4">
        <f t="shared" si="1"/>
        <v>0.46411326873185343</v>
      </c>
      <c r="AI20" s="4">
        <f t="shared" si="1"/>
        <v>0.36979727595523937</v>
      </c>
      <c r="AJ20" s="4">
        <f t="shared" si="1"/>
        <v>0.28393948637231203</v>
      </c>
      <c r="AK20" s="4">
        <f t="shared" si="1"/>
        <v>0.21097259161117732</v>
      </c>
      <c r="AL20" s="4">
        <f t="shared" si="1"/>
        <v>0.15253917653798199</v>
      </c>
      <c r="AM20" s="4">
        <f t="shared" si="1"/>
        <v>0.10795188737709993</v>
      </c>
      <c r="AN20" s="4">
        <f t="shared" si="1"/>
        <v>7.5176653938091809E-2</v>
      </c>
      <c r="AO20" s="4">
        <f t="shared" si="1"/>
        <v>5.1742836177502194E-2</v>
      </c>
      <c r="AP20" s="4">
        <f t="shared" si="1"/>
        <v>3.5319190625345942E-2</v>
      </c>
      <c r="AQ20" s="4">
        <f t="shared" si="1"/>
        <v>2.3969442072658165E-2</v>
      </c>
      <c r="AR20" s="4">
        <f t="shared" si="1"/>
        <v>1.6202243558389728E-2</v>
      </c>
    </row>
    <row r="21" spans="1:44" x14ac:dyDescent="0.25">
      <c r="A21" s="24" t="s">
        <v>206</v>
      </c>
      <c r="B21" s="78">
        <f>'Parameter Input'!L164</f>
        <v>17.249705634987386</v>
      </c>
      <c r="C21" s="61">
        <f>'Parameter Input'!M164</f>
        <v>55.988225399495377</v>
      </c>
      <c r="D21" s="1"/>
      <c r="L21" s="54">
        <f>'Parameter Input'!O164</f>
        <v>17</v>
      </c>
      <c r="M21" s="37">
        <v>0</v>
      </c>
      <c r="N21" s="37">
        <v>1</v>
      </c>
      <c r="O21" s="37">
        <f>'Parameter Input'!P164</f>
        <v>0.9</v>
      </c>
      <c r="P21" s="55">
        <f>'Parameter Input'!Q164</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41</v>
      </c>
      <c r="B22" s="60">
        <f>'Parameter Input'!$L$158</f>
        <v>25</v>
      </c>
      <c r="C22" s="61">
        <f>'Parameter Input'!$M$158</f>
        <v>25</v>
      </c>
      <c r="D22" s="1" t="s">
        <v>42</v>
      </c>
      <c r="L22" s="54">
        <f>'Parameter Input'!$O$158</f>
        <v>17</v>
      </c>
      <c r="M22" s="37">
        <v>0</v>
      </c>
      <c r="N22" s="37">
        <v>1</v>
      </c>
      <c r="O22" s="37">
        <f>'Parameter Input'!$P$158</f>
        <v>0.9</v>
      </c>
      <c r="P22" s="55">
        <f>'Parameter Input'!$Q$158</f>
        <v>0.4</v>
      </c>
      <c r="Q22" s="4">
        <f t="shared" ref="Q22:AF27" si="3">$N22+($M22-$N22)*((1/(1+EXP(-$P22*(Q$9-$L22)))^$O22))</f>
        <v>0.99780374543478534</v>
      </c>
      <c r="R22" s="4">
        <f t="shared" si="3"/>
        <v>0.99685359315256394</v>
      </c>
      <c r="S22" s="4">
        <f t="shared" si="3"/>
        <v>0.99549347132349975</v>
      </c>
      <c r="T22" s="4">
        <f t="shared" si="3"/>
        <v>0.99354772139898062</v>
      </c>
      <c r="U22" s="4">
        <f t="shared" si="3"/>
        <v>0.99076681540580536</v>
      </c>
      <c r="V22" s="4">
        <f t="shared" si="3"/>
        <v>0.9867978615748374</v>
      </c>
      <c r="W22" s="4">
        <f t="shared" si="3"/>
        <v>0.98114509762858249</v>
      </c>
      <c r="X22" s="4">
        <f t="shared" si="3"/>
        <v>0.97311898315872036</v>
      </c>
      <c r="Y22" s="4">
        <f t="shared" si="3"/>
        <v>0.96177484161592774</v>
      </c>
      <c r="Z22" s="4">
        <f t="shared" si="3"/>
        <v>0.94584787155511363</v>
      </c>
      <c r="AA22" s="4">
        <f t="shared" si="3"/>
        <v>0.92370360150141495</v>
      </c>
      <c r="AB22" s="4">
        <f t="shared" si="3"/>
        <v>0.89334463567658451</v>
      </c>
      <c r="AC22" s="4">
        <f t="shared" si="3"/>
        <v>0.85254543874327005</v>
      </c>
      <c r="AD22" s="4">
        <f t="shared" si="3"/>
        <v>0.79921300652623883</v>
      </c>
      <c r="AE22" s="4">
        <f t="shared" si="3"/>
        <v>0.73204982249993378</v>
      </c>
      <c r="AF22" s="4">
        <f t="shared" si="3"/>
        <v>0.65145592958786691</v>
      </c>
      <c r="AG22" s="4">
        <f t="shared" si="1"/>
        <v>0.56032247880849573</v>
      </c>
      <c r="AH22" s="4">
        <f t="shared" si="1"/>
        <v>0.46411326873185343</v>
      </c>
      <c r="AI22" s="4">
        <f t="shared" si="1"/>
        <v>0.36979727595523937</v>
      </c>
      <c r="AJ22" s="4">
        <f t="shared" si="1"/>
        <v>0.28393948637231203</v>
      </c>
      <c r="AK22" s="4">
        <f t="shared" si="1"/>
        <v>0.21097259161117732</v>
      </c>
      <c r="AL22" s="4">
        <f t="shared" si="1"/>
        <v>0.15253917653798199</v>
      </c>
      <c r="AM22" s="4">
        <f t="shared" si="1"/>
        <v>0.10795188737709993</v>
      </c>
      <c r="AN22" s="4">
        <f t="shared" si="1"/>
        <v>7.5176653938091809E-2</v>
      </c>
      <c r="AO22" s="4">
        <f t="shared" si="1"/>
        <v>5.1742836177502194E-2</v>
      </c>
      <c r="AP22" s="4">
        <f t="shared" si="1"/>
        <v>3.5319190625345942E-2</v>
      </c>
      <c r="AQ22" s="4">
        <f t="shared" si="1"/>
        <v>2.3969442072658165E-2</v>
      </c>
      <c r="AR22" s="4">
        <f t="shared" si="1"/>
        <v>1.6202243558389728E-2</v>
      </c>
    </row>
    <row r="23" spans="1:44" x14ac:dyDescent="0.25">
      <c r="A23" s="24" t="s">
        <v>70</v>
      </c>
      <c r="B23" s="60">
        <f>'Parameter Input'!B162</f>
        <v>25</v>
      </c>
      <c r="C23" s="61">
        <f>'Parameter Input'!C162</f>
        <v>25</v>
      </c>
      <c r="D23" s="1" t="s">
        <v>42</v>
      </c>
      <c r="L23" s="54">
        <f>'Parameter Input'!E162</f>
        <v>17</v>
      </c>
      <c r="M23" s="37">
        <v>0</v>
      </c>
      <c r="N23" s="37">
        <v>1</v>
      </c>
      <c r="O23" s="37">
        <f>'Parameter Input'!F162</f>
        <v>0.9</v>
      </c>
      <c r="P23" s="55">
        <f>'Parameter Input'!G162</f>
        <v>0.4</v>
      </c>
      <c r="Q23" s="4">
        <f t="shared" si="3"/>
        <v>0.99780374543478534</v>
      </c>
      <c r="R23" s="4">
        <f t="shared" si="3"/>
        <v>0.99685359315256394</v>
      </c>
      <c r="S23" s="4">
        <f t="shared" si="3"/>
        <v>0.99549347132349975</v>
      </c>
      <c r="T23" s="4">
        <f t="shared" si="3"/>
        <v>0.99354772139898062</v>
      </c>
      <c r="U23" s="4">
        <f t="shared" si="3"/>
        <v>0.99076681540580536</v>
      </c>
      <c r="V23" s="4">
        <f t="shared" si="3"/>
        <v>0.9867978615748374</v>
      </c>
      <c r="W23" s="4">
        <f t="shared" si="3"/>
        <v>0.98114509762858249</v>
      </c>
      <c r="X23" s="4">
        <f t="shared" si="3"/>
        <v>0.97311898315872036</v>
      </c>
      <c r="Y23" s="4">
        <f t="shared" si="3"/>
        <v>0.96177484161592774</v>
      </c>
      <c r="Z23" s="4">
        <f t="shared" si="3"/>
        <v>0.94584787155511363</v>
      </c>
      <c r="AA23" s="4">
        <f t="shared" si="3"/>
        <v>0.92370360150141495</v>
      </c>
      <c r="AB23" s="4">
        <f t="shared" si="3"/>
        <v>0.89334463567658451</v>
      </c>
      <c r="AC23" s="4">
        <f t="shared" si="3"/>
        <v>0.85254543874327005</v>
      </c>
      <c r="AD23" s="4">
        <f t="shared" si="3"/>
        <v>0.79921300652623883</v>
      </c>
      <c r="AE23" s="4">
        <f t="shared" si="3"/>
        <v>0.73204982249993378</v>
      </c>
      <c r="AF23" s="4">
        <f t="shared" si="3"/>
        <v>0.65145592958786691</v>
      </c>
      <c r="AG23" s="4">
        <f t="shared" si="1"/>
        <v>0.56032247880849573</v>
      </c>
      <c r="AH23" s="4">
        <f t="shared" si="1"/>
        <v>0.46411326873185343</v>
      </c>
      <c r="AI23" s="4">
        <f t="shared" si="1"/>
        <v>0.36979727595523937</v>
      </c>
      <c r="AJ23" s="4">
        <f t="shared" si="1"/>
        <v>0.28393948637231203</v>
      </c>
      <c r="AK23" s="4">
        <f t="shared" si="1"/>
        <v>0.21097259161117732</v>
      </c>
      <c r="AL23" s="4">
        <f t="shared" si="1"/>
        <v>0.15253917653798199</v>
      </c>
      <c r="AM23" s="4">
        <f t="shared" si="1"/>
        <v>0.10795188737709993</v>
      </c>
      <c r="AN23" s="4">
        <f t="shared" si="1"/>
        <v>7.5176653938091809E-2</v>
      </c>
      <c r="AO23" s="4">
        <f t="shared" si="1"/>
        <v>5.1742836177502194E-2</v>
      </c>
      <c r="AP23" s="4">
        <f t="shared" si="1"/>
        <v>3.5319190625345942E-2</v>
      </c>
      <c r="AQ23" s="4">
        <f t="shared" si="1"/>
        <v>2.3969442072658165E-2</v>
      </c>
      <c r="AR23" s="4">
        <f t="shared" si="1"/>
        <v>1.6202243558389728E-2</v>
      </c>
    </row>
    <row r="24" spans="1:44" x14ac:dyDescent="0.25">
      <c r="A24" s="24" t="s">
        <v>207</v>
      </c>
      <c r="B24" s="43">
        <f>'Parameter Input'!B159</f>
        <v>9450</v>
      </c>
      <c r="C24" s="44">
        <f>'Parameter Input'!C159</f>
        <v>9450</v>
      </c>
      <c r="D24" s="1" t="s">
        <v>49</v>
      </c>
      <c r="L24" s="54">
        <f>'Parameter Input'!E159</f>
        <v>17</v>
      </c>
      <c r="M24" s="37">
        <v>0</v>
      </c>
      <c r="N24" s="37">
        <v>1</v>
      </c>
      <c r="O24" s="37">
        <f>'Parameter Input'!F159</f>
        <v>0.9</v>
      </c>
      <c r="P24" s="55">
        <f>'Parameter Input'!G159</f>
        <v>0.4</v>
      </c>
      <c r="Q24" s="4">
        <f t="shared" si="3"/>
        <v>0.99780374543478534</v>
      </c>
      <c r="R24" s="4">
        <f t="shared" si="3"/>
        <v>0.99685359315256394</v>
      </c>
      <c r="S24" s="4">
        <f t="shared" si="3"/>
        <v>0.99549347132349975</v>
      </c>
      <c r="T24" s="4">
        <f t="shared" si="3"/>
        <v>0.99354772139898062</v>
      </c>
      <c r="U24" s="4">
        <f t="shared" si="3"/>
        <v>0.99076681540580536</v>
      </c>
      <c r="V24" s="4">
        <f t="shared" si="3"/>
        <v>0.9867978615748374</v>
      </c>
      <c r="W24" s="4">
        <f t="shared" si="3"/>
        <v>0.98114509762858249</v>
      </c>
      <c r="X24" s="4">
        <f t="shared" si="3"/>
        <v>0.97311898315872036</v>
      </c>
      <c r="Y24" s="4">
        <f t="shared" si="3"/>
        <v>0.96177484161592774</v>
      </c>
      <c r="Z24" s="4">
        <f t="shared" si="3"/>
        <v>0.94584787155511363</v>
      </c>
      <c r="AA24" s="4">
        <f t="shared" si="3"/>
        <v>0.92370360150141495</v>
      </c>
      <c r="AB24" s="4">
        <f t="shared" si="3"/>
        <v>0.89334463567658451</v>
      </c>
      <c r="AC24" s="4">
        <f t="shared" si="3"/>
        <v>0.85254543874327005</v>
      </c>
      <c r="AD24" s="4">
        <f t="shared" si="3"/>
        <v>0.79921300652623883</v>
      </c>
      <c r="AE24" s="4">
        <f t="shared" si="3"/>
        <v>0.73204982249993378</v>
      </c>
      <c r="AF24" s="4">
        <f t="shared" si="3"/>
        <v>0.65145592958786691</v>
      </c>
      <c r="AG24" s="4">
        <f t="shared" si="1"/>
        <v>0.56032247880849573</v>
      </c>
      <c r="AH24" s="4">
        <f t="shared" si="1"/>
        <v>0.46411326873185343</v>
      </c>
      <c r="AI24" s="4">
        <f t="shared" si="1"/>
        <v>0.36979727595523937</v>
      </c>
      <c r="AJ24" s="4">
        <f t="shared" si="1"/>
        <v>0.28393948637231203</v>
      </c>
      <c r="AK24" s="4">
        <f t="shared" si="1"/>
        <v>0.21097259161117732</v>
      </c>
      <c r="AL24" s="4">
        <f t="shared" si="1"/>
        <v>0.15253917653798199</v>
      </c>
      <c r="AM24" s="4">
        <f t="shared" si="1"/>
        <v>0.10795188737709993</v>
      </c>
      <c r="AN24" s="4">
        <f t="shared" si="1"/>
        <v>7.5176653938091809E-2</v>
      </c>
      <c r="AO24" s="4">
        <f t="shared" si="1"/>
        <v>5.1742836177502194E-2</v>
      </c>
      <c r="AP24" s="4">
        <f t="shared" si="1"/>
        <v>3.5319190625345942E-2</v>
      </c>
      <c r="AQ24" s="4">
        <f t="shared" si="1"/>
        <v>2.3969442072658165E-2</v>
      </c>
      <c r="AR24" s="4">
        <f t="shared" si="1"/>
        <v>1.6202243558389728E-2</v>
      </c>
    </row>
    <row r="25" spans="1:44" x14ac:dyDescent="0.25">
      <c r="A25" s="24" t="s">
        <v>56</v>
      </c>
      <c r="B25" s="45">
        <f>'Parameter Input'!B160</f>
        <v>0.68</v>
      </c>
      <c r="C25" s="46">
        <f>'Parameter Input'!C160</f>
        <v>0.68</v>
      </c>
      <c r="D25" s="1" t="s">
        <v>57</v>
      </c>
      <c r="L25" s="54">
        <f>'Parameter Input'!E160</f>
        <v>17</v>
      </c>
      <c r="M25" s="37">
        <v>0</v>
      </c>
      <c r="N25" s="37">
        <v>1</v>
      </c>
      <c r="O25" s="37">
        <f>'Parameter Input'!F160</f>
        <v>0.9</v>
      </c>
      <c r="P25" s="55">
        <f>'Parameter Input'!G160</f>
        <v>0.4</v>
      </c>
      <c r="Q25" s="4">
        <f t="shared" si="3"/>
        <v>0.99780374543478534</v>
      </c>
      <c r="R25" s="4">
        <f t="shared" si="3"/>
        <v>0.99685359315256394</v>
      </c>
      <c r="S25" s="4">
        <f t="shared" si="3"/>
        <v>0.99549347132349975</v>
      </c>
      <c r="T25" s="4">
        <f t="shared" si="3"/>
        <v>0.99354772139898062</v>
      </c>
      <c r="U25" s="4">
        <f t="shared" si="3"/>
        <v>0.99076681540580536</v>
      </c>
      <c r="V25" s="4">
        <f t="shared" si="3"/>
        <v>0.9867978615748374</v>
      </c>
      <c r="W25" s="4">
        <f t="shared" si="3"/>
        <v>0.98114509762858249</v>
      </c>
      <c r="X25" s="4">
        <f t="shared" si="3"/>
        <v>0.97311898315872036</v>
      </c>
      <c r="Y25" s="4">
        <f t="shared" si="3"/>
        <v>0.96177484161592774</v>
      </c>
      <c r="Z25" s="4">
        <f t="shared" si="3"/>
        <v>0.94584787155511363</v>
      </c>
      <c r="AA25" s="4">
        <f t="shared" si="3"/>
        <v>0.92370360150141495</v>
      </c>
      <c r="AB25" s="4">
        <f t="shared" si="3"/>
        <v>0.89334463567658451</v>
      </c>
      <c r="AC25" s="4">
        <f t="shared" si="3"/>
        <v>0.85254543874327005</v>
      </c>
      <c r="AD25" s="4">
        <f t="shared" si="3"/>
        <v>0.79921300652623883</v>
      </c>
      <c r="AE25" s="4">
        <f t="shared" si="3"/>
        <v>0.73204982249993378</v>
      </c>
      <c r="AF25" s="4">
        <f t="shared" si="3"/>
        <v>0.65145592958786691</v>
      </c>
      <c r="AG25" s="4">
        <f t="shared" si="1"/>
        <v>0.56032247880849573</v>
      </c>
      <c r="AH25" s="4">
        <f t="shared" si="1"/>
        <v>0.46411326873185343</v>
      </c>
      <c r="AI25" s="4">
        <f t="shared" si="1"/>
        <v>0.36979727595523937</v>
      </c>
      <c r="AJ25" s="4">
        <f t="shared" si="1"/>
        <v>0.28393948637231203</v>
      </c>
      <c r="AK25" s="4">
        <f t="shared" si="1"/>
        <v>0.21097259161117732</v>
      </c>
      <c r="AL25" s="4">
        <f t="shared" si="1"/>
        <v>0.15253917653798199</v>
      </c>
      <c r="AM25" s="4">
        <f t="shared" si="1"/>
        <v>0.10795188737709993</v>
      </c>
      <c r="AN25" s="4">
        <f t="shared" si="1"/>
        <v>7.5176653938091809E-2</v>
      </c>
      <c r="AO25" s="4">
        <f t="shared" si="1"/>
        <v>5.1742836177502194E-2</v>
      </c>
      <c r="AP25" s="4">
        <f t="shared" si="1"/>
        <v>3.5319190625345942E-2</v>
      </c>
      <c r="AQ25" s="4">
        <f t="shared" si="1"/>
        <v>2.3969442072658165E-2</v>
      </c>
      <c r="AR25" s="4">
        <f t="shared" si="1"/>
        <v>1.6202243558389728E-2</v>
      </c>
    </row>
    <row r="26" spans="1:44" x14ac:dyDescent="0.25">
      <c r="A26" s="24" t="s">
        <v>73</v>
      </c>
      <c r="B26" s="45">
        <f>'Parameter Input'!$L$162</f>
        <v>0</v>
      </c>
      <c r="C26" s="46">
        <f>'Parameter Input'!$M$162</f>
        <v>0</v>
      </c>
      <c r="D26" s="1" t="s">
        <v>57</v>
      </c>
      <c r="L26" s="54">
        <f>'Parameter Input'!$O$162</f>
        <v>17</v>
      </c>
      <c r="M26" s="37">
        <v>0</v>
      </c>
      <c r="N26" s="37">
        <v>1</v>
      </c>
      <c r="O26" s="37">
        <f>'Parameter Input'!$P$162</f>
        <v>0.9</v>
      </c>
      <c r="P26" s="55">
        <f>'Parameter Input'!$Q$162</f>
        <v>0.4</v>
      </c>
      <c r="Q26" s="4">
        <f t="shared" si="3"/>
        <v>0.99780374543478534</v>
      </c>
      <c r="R26" s="4">
        <f t="shared" si="3"/>
        <v>0.99685359315256394</v>
      </c>
      <c r="S26" s="4">
        <f t="shared" si="3"/>
        <v>0.99549347132349975</v>
      </c>
      <c r="T26" s="4">
        <f t="shared" si="3"/>
        <v>0.99354772139898062</v>
      </c>
      <c r="U26" s="4">
        <f t="shared" si="3"/>
        <v>0.99076681540580536</v>
      </c>
      <c r="V26" s="4">
        <f t="shared" si="3"/>
        <v>0.9867978615748374</v>
      </c>
      <c r="W26" s="4">
        <f t="shared" si="3"/>
        <v>0.98114509762858249</v>
      </c>
      <c r="X26" s="4">
        <f t="shared" si="3"/>
        <v>0.97311898315872036</v>
      </c>
      <c r="Y26" s="4">
        <f t="shared" si="3"/>
        <v>0.96177484161592774</v>
      </c>
      <c r="Z26" s="4">
        <f t="shared" si="3"/>
        <v>0.94584787155511363</v>
      </c>
      <c r="AA26" s="4">
        <f t="shared" si="3"/>
        <v>0.92370360150141495</v>
      </c>
      <c r="AB26" s="4">
        <f t="shared" si="3"/>
        <v>0.89334463567658451</v>
      </c>
      <c r="AC26" s="4">
        <f t="shared" si="3"/>
        <v>0.85254543874327005</v>
      </c>
      <c r="AD26" s="4">
        <f t="shared" si="3"/>
        <v>0.79921300652623883</v>
      </c>
      <c r="AE26" s="4">
        <f t="shared" si="3"/>
        <v>0.73204982249993378</v>
      </c>
      <c r="AF26" s="4">
        <f t="shared" si="3"/>
        <v>0.65145592958786691</v>
      </c>
      <c r="AG26" s="4">
        <f t="shared" si="1"/>
        <v>0.56032247880849573</v>
      </c>
      <c r="AH26" s="4">
        <f t="shared" si="1"/>
        <v>0.46411326873185343</v>
      </c>
      <c r="AI26" s="4">
        <f t="shared" si="1"/>
        <v>0.36979727595523937</v>
      </c>
      <c r="AJ26" s="4">
        <f t="shared" si="1"/>
        <v>0.28393948637231203</v>
      </c>
      <c r="AK26" s="4">
        <f t="shared" si="1"/>
        <v>0.21097259161117732</v>
      </c>
      <c r="AL26" s="4">
        <f t="shared" si="1"/>
        <v>0.15253917653798199</v>
      </c>
      <c r="AM26" s="4">
        <f t="shared" si="1"/>
        <v>0.10795188737709993</v>
      </c>
      <c r="AN26" s="4">
        <f t="shared" si="1"/>
        <v>7.5176653938091809E-2</v>
      </c>
      <c r="AO26" s="4">
        <f t="shared" si="1"/>
        <v>5.1742836177502194E-2</v>
      </c>
      <c r="AP26" s="4">
        <f t="shared" si="1"/>
        <v>3.5319190625345942E-2</v>
      </c>
      <c r="AQ26" s="4">
        <f t="shared" si="1"/>
        <v>2.3969442072658165E-2</v>
      </c>
      <c r="AR26" s="4">
        <f t="shared" si="1"/>
        <v>1.6202243558389728E-2</v>
      </c>
    </row>
    <row r="27" spans="1:44" ht="15.75" thickBot="1" x14ac:dyDescent="0.3">
      <c r="A27" s="24" t="s">
        <v>64</v>
      </c>
      <c r="B27" s="49">
        <f>'Parameter Input'!B161</f>
        <v>120000</v>
      </c>
      <c r="C27" s="50">
        <f>'Parameter Input'!C161</f>
        <v>120000</v>
      </c>
      <c r="D27" s="1" t="s">
        <v>65</v>
      </c>
      <c r="L27" s="56">
        <f>'Parameter Input'!E161</f>
        <v>17</v>
      </c>
      <c r="M27" s="57">
        <v>0</v>
      </c>
      <c r="N27" s="57">
        <v>1</v>
      </c>
      <c r="O27" s="57">
        <f>'Parameter Input'!F161</f>
        <v>0.9</v>
      </c>
      <c r="P27" s="58">
        <f>'Parameter Input'!G161</f>
        <v>0.4</v>
      </c>
      <c r="Q27" s="4">
        <f t="shared" si="3"/>
        <v>0.99780374543478534</v>
      </c>
      <c r="R27" s="4">
        <f t="shared" si="3"/>
        <v>0.99685359315256394</v>
      </c>
      <c r="S27" s="4">
        <f t="shared" si="3"/>
        <v>0.99549347132349975</v>
      </c>
      <c r="T27" s="4">
        <f t="shared" si="3"/>
        <v>0.99354772139898062</v>
      </c>
      <c r="U27" s="4">
        <f t="shared" si="3"/>
        <v>0.99076681540580536</v>
      </c>
      <c r="V27" s="4">
        <f t="shared" si="3"/>
        <v>0.9867978615748374</v>
      </c>
      <c r="W27" s="4">
        <f t="shared" si="3"/>
        <v>0.98114509762858249</v>
      </c>
      <c r="X27" s="4">
        <f t="shared" si="3"/>
        <v>0.97311898315872036</v>
      </c>
      <c r="Y27" s="4">
        <f t="shared" si="3"/>
        <v>0.96177484161592774</v>
      </c>
      <c r="Z27" s="4">
        <f t="shared" si="3"/>
        <v>0.94584787155511363</v>
      </c>
      <c r="AA27" s="4">
        <f t="shared" si="3"/>
        <v>0.92370360150141495</v>
      </c>
      <c r="AB27" s="4">
        <f t="shared" si="3"/>
        <v>0.89334463567658451</v>
      </c>
      <c r="AC27" s="4">
        <f t="shared" si="3"/>
        <v>0.85254543874327005</v>
      </c>
      <c r="AD27" s="4">
        <f t="shared" si="3"/>
        <v>0.79921300652623883</v>
      </c>
      <c r="AE27" s="4">
        <f t="shared" si="3"/>
        <v>0.73204982249993378</v>
      </c>
      <c r="AF27" s="4">
        <f t="shared" si="3"/>
        <v>0.65145592958786691</v>
      </c>
      <c r="AG27" s="4">
        <f t="shared" si="1"/>
        <v>0.56032247880849573</v>
      </c>
      <c r="AH27" s="4">
        <f t="shared" si="1"/>
        <v>0.46411326873185343</v>
      </c>
      <c r="AI27" s="4">
        <f t="shared" si="1"/>
        <v>0.36979727595523937</v>
      </c>
      <c r="AJ27" s="4">
        <f t="shared" si="1"/>
        <v>0.28393948637231203</v>
      </c>
      <c r="AK27" s="4">
        <f t="shared" si="1"/>
        <v>0.21097259161117732</v>
      </c>
      <c r="AL27" s="4">
        <f t="shared" si="1"/>
        <v>0.15253917653798199</v>
      </c>
      <c r="AM27" s="4">
        <f t="shared" si="1"/>
        <v>0.10795188737709993</v>
      </c>
      <c r="AN27" s="4">
        <f t="shared" si="1"/>
        <v>7.5176653938091809E-2</v>
      </c>
      <c r="AO27" s="4">
        <f t="shared" si="1"/>
        <v>5.1742836177502194E-2</v>
      </c>
      <c r="AP27" s="4">
        <f t="shared" si="1"/>
        <v>3.5319190625345942E-2</v>
      </c>
      <c r="AQ27" s="4">
        <f t="shared" si="1"/>
        <v>2.3969442072658165E-2</v>
      </c>
      <c r="AR27" s="4">
        <f t="shared" si="1"/>
        <v>1.6202243558389728E-2</v>
      </c>
    </row>
    <row r="28" spans="1:44" x14ac:dyDescent="0.25">
      <c r="A28" s="25"/>
      <c r="B28" s="40"/>
    </row>
    <row r="29" spans="1:44" ht="15.75" thickBot="1" x14ac:dyDescent="0.3"/>
    <row r="30" spans="1:44"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5" si="4">A11</f>
        <v>Capex vehicle</v>
      </c>
      <c r="B31" s="62">
        <f t="shared" ref="B31:B39" si="5">$B11+($C11-$B11)*(1-Q11)</f>
        <v>15000000</v>
      </c>
      <c r="C31" s="62">
        <f t="shared" ref="C31:C39" si="6">$B11+($C11-$B11)*(1-R11)</f>
        <v>15000000</v>
      </c>
      <c r="D31" s="62">
        <f t="shared" ref="D31:D39" si="7">$B11+($C11-$B11)*(1-S11)</f>
        <v>15000000</v>
      </c>
      <c r="E31" s="62">
        <f t="shared" ref="E31:E39" si="8">$B11+($C11-$B11)*(1-T11)</f>
        <v>15000000</v>
      </c>
      <c r="F31" s="62">
        <f t="shared" ref="F31:F39" si="9">$B11+($C11-$B11)*(1-U11)</f>
        <v>15000000</v>
      </c>
      <c r="G31" s="62">
        <f t="shared" ref="G31:G39" si="10">$B11+($C11-$B11)*(1-V11)</f>
        <v>15000000</v>
      </c>
      <c r="H31" s="62">
        <f t="shared" ref="H31:H39" si="11">$B11+($C11-$B11)*(1-W11)</f>
        <v>15000000</v>
      </c>
      <c r="I31" s="62">
        <f t="shared" ref="I31:I39" si="12">$B11+($C11-$B11)*(1-X11)</f>
        <v>15000000</v>
      </c>
      <c r="J31" s="62">
        <f t="shared" ref="J31:J39" si="13">$B11+($C11-$B11)*(1-Y11)</f>
        <v>15000000</v>
      </c>
      <c r="K31" s="62">
        <f t="shared" ref="K31:K39" si="14">$B11+($C11-$B11)*(1-Z11)</f>
        <v>15000000</v>
      </c>
      <c r="L31" s="62">
        <f t="shared" ref="L31:L39" si="15">$B11+($C11-$B11)*(1-AA11)</f>
        <v>15000000</v>
      </c>
      <c r="M31" s="62">
        <f t="shared" ref="M31:M39" si="16">$B11+($C11-$B11)*(1-AB11)</f>
        <v>15000000</v>
      </c>
      <c r="N31" s="62">
        <f t="shared" ref="N31:N39" si="17">$B11+($C11-$B11)*(1-AC11)</f>
        <v>15000000</v>
      </c>
      <c r="O31" s="62">
        <f t="shared" ref="O31:O39" si="18">$B11+($C11-$B11)*(1-AD11)</f>
        <v>15000000</v>
      </c>
      <c r="P31" s="62">
        <f t="shared" ref="P31:P39" si="19">$B11+($C11-$B11)*(1-AE11)</f>
        <v>15000000</v>
      </c>
      <c r="Q31" s="62">
        <f t="shared" ref="Q31:Q39" si="20">$B11+($C11-$B11)*(1-AF11)</f>
        <v>15000000</v>
      </c>
      <c r="R31" s="62">
        <f t="shared" ref="R31:R39" si="21">$B11+($C11-$B11)*(1-AG11)</f>
        <v>15000000</v>
      </c>
      <c r="S31" s="62">
        <f t="shared" ref="S31:S39" si="22">$B11+($C11-$B11)*(1-AH11)</f>
        <v>15000000</v>
      </c>
      <c r="T31" s="62">
        <f t="shared" ref="T31:T39" si="23">$B11+($C11-$B11)*(1-AI11)</f>
        <v>15000000</v>
      </c>
      <c r="U31" s="62">
        <f t="shared" ref="U31:U39" si="24">$B11+($C11-$B11)*(1-AJ11)</f>
        <v>15000000</v>
      </c>
      <c r="V31" s="62">
        <f t="shared" ref="V31:V39" si="25">$B11+($C11-$B11)*(1-AK11)</f>
        <v>15000000</v>
      </c>
      <c r="W31" s="62">
        <f t="shared" ref="W31:W39" si="26">$B11+($C11-$B11)*(1-AL11)</f>
        <v>15000000</v>
      </c>
      <c r="X31" s="62">
        <f t="shared" ref="X31:X39" si="27">$B11+($C11-$B11)*(1-AM11)</f>
        <v>15000000</v>
      </c>
      <c r="Y31" s="62">
        <f t="shared" ref="Y31:Y39" si="28">$B11+($C11-$B11)*(1-AN11)</f>
        <v>15000000</v>
      </c>
      <c r="Z31" s="62">
        <f t="shared" ref="Z31:Z39" si="29">$B11+($C11-$B11)*(1-AO11)</f>
        <v>15000000</v>
      </c>
      <c r="AA31" s="62">
        <f t="shared" ref="AA31:AA39" si="30">$B11+($C11-$B11)*(1-AP11)</f>
        <v>15000000</v>
      </c>
      <c r="AB31" s="62">
        <f t="shared" ref="AB31:AB39" si="31">$B11+($C11-$B11)*(1-AQ11)</f>
        <v>15000000</v>
      </c>
      <c r="AC31" s="62">
        <f t="shared" ref="AC31:AC39" si="32">$B11+($C11-$B11)*(1-AR11)</f>
        <v>15000000</v>
      </c>
    </row>
    <row r="32" spans="1:44" x14ac:dyDescent="0.25">
      <c r="A32" s="30" t="str">
        <f t="shared" si="4"/>
        <v>Residual value (vehicle)</v>
      </c>
      <c r="B32" s="62">
        <f t="shared" si="5"/>
        <v>-1498352.8090760889</v>
      </c>
      <c r="C32" s="62">
        <f t="shared" si="6"/>
        <v>-1497640.194864423</v>
      </c>
      <c r="D32" s="62">
        <f t="shared" si="7"/>
        <v>-1496620.1034926248</v>
      </c>
      <c r="E32" s="62">
        <f t="shared" si="8"/>
        <v>-1495160.7910492355</v>
      </c>
      <c r="F32" s="62">
        <f t="shared" si="9"/>
        <v>-1493075.111554354</v>
      </c>
      <c r="G32" s="62">
        <f t="shared" si="10"/>
        <v>-1490098.396181128</v>
      </c>
      <c r="H32" s="62">
        <f t="shared" si="11"/>
        <v>-1485858.8232214369</v>
      </c>
      <c r="I32" s="62">
        <f t="shared" si="12"/>
        <v>-1479839.2373690403</v>
      </c>
      <c r="J32" s="62">
        <f t="shared" si="13"/>
        <v>-1471331.1312119458</v>
      </c>
      <c r="K32" s="62">
        <f t="shared" si="14"/>
        <v>-1459385.9036663352</v>
      </c>
      <c r="L32" s="62">
        <f t="shared" si="15"/>
        <v>-1442777.7011260611</v>
      </c>
      <c r="M32" s="62">
        <f t="shared" si="16"/>
        <v>-1420008.4767574384</v>
      </c>
      <c r="N32" s="62">
        <f t="shared" si="17"/>
        <v>-1389409.0790574525</v>
      </c>
      <c r="O32" s="62">
        <f t="shared" si="18"/>
        <v>-1349409.7548946792</v>
      </c>
      <c r="P32" s="62">
        <f t="shared" si="19"/>
        <v>-1299037.3668749502</v>
      </c>
      <c r="Q32" s="62">
        <f t="shared" si="20"/>
        <v>-1238591.9471909001</v>
      </c>
      <c r="R32" s="62">
        <f t="shared" si="21"/>
        <v>-1170241.8591063719</v>
      </c>
      <c r="S32" s="62">
        <f t="shared" si="22"/>
        <v>-1098084.9515488902</v>
      </c>
      <c r="T32" s="62">
        <f t="shared" si="23"/>
        <v>-1027347.9569664295</v>
      </c>
      <c r="U32" s="62">
        <f t="shared" si="24"/>
        <v>-962954.61477923405</v>
      </c>
      <c r="V32" s="62">
        <f t="shared" si="25"/>
        <v>-908229.44370838301</v>
      </c>
      <c r="W32" s="62">
        <f t="shared" si="26"/>
        <v>-864404.38240348652</v>
      </c>
      <c r="X32" s="62">
        <f t="shared" si="27"/>
        <v>-830963.91553282493</v>
      </c>
      <c r="Y32" s="62">
        <f t="shared" si="28"/>
        <v>-806382.49045356887</v>
      </c>
      <c r="Z32" s="62">
        <f t="shared" si="29"/>
        <v>-788807.1271331266</v>
      </c>
      <c r="AA32" s="62">
        <f t="shared" si="30"/>
        <v>-776489.39296900947</v>
      </c>
      <c r="AB32" s="62">
        <f t="shared" si="31"/>
        <v>-767977.08155449363</v>
      </c>
      <c r="AC32" s="62">
        <f t="shared" si="32"/>
        <v>-762151.68266879232</v>
      </c>
    </row>
    <row r="33" spans="1:29" x14ac:dyDescent="0.25">
      <c r="A33" s="30" t="str">
        <f t="shared" si="4"/>
        <v>Capex costumization</v>
      </c>
      <c r="B33" s="62">
        <f t="shared" si="5"/>
        <v>1000000</v>
      </c>
      <c r="C33" s="62">
        <f t="shared" si="6"/>
        <v>1000000</v>
      </c>
      <c r="D33" s="62">
        <f t="shared" si="7"/>
        <v>1000000</v>
      </c>
      <c r="E33" s="62">
        <f t="shared" si="8"/>
        <v>1000000</v>
      </c>
      <c r="F33" s="62">
        <f t="shared" si="9"/>
        <v>1000000</v>
      </c>
      <c r="G33" s="62">
        <f t="shared" si="10"/>
        <v>1000000</v>
      </c>
      <c r="H33" s="62">
        <f t="shared" si="11"/>
        <v>1000000</v>
      </c>
      <c r="I33" s="62">
        <f t="shared" si="12"/>
        <v>1000000</v>
      </c>
      <c r="J33" s="62">
        <f t="shared" si="13"/>
        <v>1000000</v>
      </c>
      <c r="K33" s="62">
        <f t="shared" si="14"/>
        <v>1000000</v>
      </c>
      <c r="L33" s="62">
        <f t="shared" si="15"/>
        <v>1000000</v>
      </c>
      <c r="M33" s="62">
        <f t="shared" si="16"/>
        <v>1000000</v>
      </c>
      <c r="N33" s="62">
        <f t="shared" si="17"/>
        <v>1000000</v>
      </c>
      <c r="O33" s="62">
        <f t="shared" si="18"/>
        <v>1000000</v>
      </c>
      <c r="P33" s="62">
        <f t="shared" si="19"/>
        <v>1000000</v>
      </c>
      <c r="Q33" s="62">
        <f t="shared" si="20"/>
        <v>1000000</v>
      </c>
      <c r="R33" s="62">
        <f t="shared" si="21"/>
        <v>1000000</v>
      </c>
      <c r="S33" s="62">
        <f t="shared" si="22"/>
        <v>1000000</v>
      </c>
      <c r="T33" s="62">
        <f t="shared" si="23"/>
        <v>1000000</v>
      </c>
      <c r="U33" s="62">
        <f t="shared" si="24"/>
        <v>1000000</v>
      </c>
      <c r="V33" s="62">
        <f t="shared" si="25"/>
        <v>1000000</v>
      </c>
      <c r="W33" s="62">
        <f t="shared" si="26"/>
        <v>1000000</v>
      </c>
      <c r="X33" s="62">
        <f t="shared" si="27"/>
        <v>1000000</v>
      </c>
      <c r="Y33" s="62">
        <f t="shared" si="28"/>
        <v>1000000</v>
      </c>
      <c r="Z33" s="62">
        <f t="shared" si="29"/>
        <v>1000000</v>
      </c>
      <c r="AA33" s="62">
        <f t="shared" si="30"/>
        <v>1000000</v>
      </c>
      <c r="AB33" s="62">
        <f t="shared" si="31"/>
        <v>1000000</v>
      </c>
      <c r="AC33" s="62">
        <f t="shared" si="32"/>
        <v>1000000</v>
      </c>
    </row>
    <row r="34" spans="1:29" x14ac:dyDescent="0.25">
      <c r="A34" s="30" t="str">
        <f t="shared" si="4"/>
        <v>Residual value (costumization)</v>
      </c>
      <c r="B34" s="62">
        <f t="shared" si="5"/>
        <v>-100000</v>
      </c>
      <c r="C34" s="62">
        <f t="shared" si="6"/>
        <v>-100000</v>
      </c>
      <c r="D34" s="62">
        <f t="shared" si="7"/>
        <v>-100000</v>
      </c>
      <c r="E34" s="62">
        <f t="shared" si="8"/>
        <v>-100000</v>
      </c>
      <c r="F34" s="62">
        <f t="shared" si="9"/>
        <v>-100000</v>
      </c>
      <c r="G34" s="62">
        <f t="shared" si="10"/>
        <v>-100000</v>
      </c>
      <c r="H34" s="62">
        <f t="shared" si="11"/>
        <v>-100000</v>
      </c>
      <c r="I34" s="62">
        <f t="shared" si="12"/>
        <v>-100000</v>
      </c>
      <c r="J34" s="62">
        <f t="shared" si="13"/>
        <v>-100000</v>
      </c>
      <c r="K34" s="62">
        <f t="shared" si="14"/>
        <v>-100000</v>
      </c>
      <c r="L34" s="62">
        <f t="shared" si="15"/>
        <v>-100000</v>
      </c>
      <c r="M34" s="62">
        <f t="shared" si="16"/>
        <v>-100000</v>
      </c>
      <c r="N34" s="62">
        <f t="shared" si="17"/>
        <v>-100000</v>
      </c>
      <c r="O34" s="62">
        <f t="shared" si="18"/>
        <v>-100000</v>
      </c>
      <c r="P34" s="62">
        <f t="shared" si="19"/>
        <v>-100000</v>
      </c>
      <c r="Q34" s="62">
        <f t="shared" si="20"/>
        <v>-100000</v>
      </c>
      <c r="R34" s="62">
        <f t="shared" si="21"/>
        <v>-100000</v>
      </c>
      <c r="S34" s="62">
        <f t="shared" si="22"/>
        <v>-100000</v>
      </c>
      <c r="T34" s="62">
        <f t="shared" si="23"/>
        <v>-100000</v>
      </c>
      <c r="U34" s="62">
        <f t="shared" si="24"/>
        <v>-100000</v>
      </c>
      <c r="V34" s="62">
        <f t="shared" si="25"/>
        <v>-100000</v>
      </c>
      <c r="W34" s="62">
        <f t="shared" si="26"/>
        <v>-100000</v>
      </c>
      <c r="X34" s="62">
        <f t="shared" si="27"/>
        <v>-100000</v>
      </c>
      <c r="Y34" s="62">
        <f t="shared" si="28"/>
        <v>-100000</v>
      </c>
      <c r="Z34" s="62">
        <f t="shared" si="29"/>
        <v>-100000</v>
      </c>
      <c r="AA34" s="62">
        <f t="shared" si="30"/>
        <v>-100000</v>
      </c>
      <c r="AB34" s="62">
        <f t="shared" si="31"/>
        <v>-100000</v>
      </c>
      <c r="AC34" s="62">
        <f t="shared" si="32"/>
        <v>-100000</v>
      </c>
    </row>
    <row r="35" spans="1:29" x14ac:dyDescent="0.25">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25">
      <c r="A36" s="30" t="str">
        <f t="shared" si="4"/>
        <v>Opex fix (admin, crew, insurance)</v>
      </c>
      <c r="B36" s="62">
        <f t="shared" si="5"/>
        <v>1208235.294117647</v>
      </c>
      <c r="C36" s="62">
        <f t="shared" si="6"/>
        <v>1208235.294117647</v>
      </c>
      <c r="D36" s="62">
        <f t="shared" si="7"/>
        <v>1208235.294117647</v>
      </c>
      <c r="E36" s="62">
        <f t="shared" si="8"/>
        <v>1208235.294117647</v>
      </c>
      <c r="F36" s="62">
        <f t="shared" si="9"/>
        <v>1208235.294117647</v>
      </c>
      <c r="G36" s="62">
        <f t="shared" si="10"/>
        <v>1208235.294117647</v>
      </c>
      <c r="H36" s="62">
        <f t="shared" si="11"/>
        <v>1208235.294117647</v>
      </c>
      <c r="I36" s="62">
        <f t="shared" si="12"/>
        <v>1208235.294117647</v>
      </c>
      <c r="J36" s="62">
        <f t="shared" si="13"/>
        <v>1208235.294117647</v>
      </c>
      <c r="K36" s="62">
        <f t="shared" si="14"/>
        <v>1208235.294117647</v>
      </c>
      <c r="L36" s="62">
        <f t="shared" si="15"/>
        <v>1208235.294117647</v>
      </c>
      <c r="M36" s="62">
        <f t="shared" si="16"/>
        <v>1208235.294117647</v>
      </c>
      <c r="N36" s="62">
        <f t="shared" si="17"/>
        <v>1208235.294117647</v>
      </c>
      <c r="O36" s="62">
        <f t="shared" si="18"/>
        <v>1208235.294117647</v>
      </c>
      <c r="P36" s="62">
        <f t="shared" si="19"/>
        <v>1208235.294117647</v>
      </c>
      <c r="Q36" s="62">
        <f t="shared" si="20"/>
        <v>1208235.294117647</v>
      </c>
      <c r="R36" s="62">
        <f t="shared" si="21"/>
        <v>1208235.294117647</v>
      </c>
      <c r="S36" s="62">
        <f t="shared" si="22"/>
        <v>1208235.294117647</v>
      </c>
      <c r="T36" s="62">
        <f t="shared" si="23"/>
        <v>1208235.294117647</v>
      </c>
      <c r="U36" s="62">
        <f t="shared" si="24"/>
        <v>1208235.294117647</v>
      </c>
      <c r="V36" s="62">
        <f t="shared" si="25"/>
        <v>1208235.294117647</v>
      </c>
      <c r="W36" s="62">
        <f t="shared" si="26"/>
        <v>1208235.294117647</v>
      </c>
      <c r="X36" s="62">
        <f t="shared" si="27"/>
        <v>1208235.294117647</v>
      </c>
      <c r="Y36" s="62">
        <f t="shared" si="28"/>
        <v>1208235.294117647</v>
      </c>
      <c r="Z36" s="62">
        <f t="shared" si="29"/>
        <v>1208235.294117647</v>
      </c>
      <c r="AA36" s="62">
        <f t="shared" si="30"/>
        <v>1208235.294117647</v>
      </c>
      <c r="AB36" s="62">
        <f t="shared" si="31"/>
        <v>1208235.294117647</v>
      </c>
      <c r="AC36" s="62">
        <f t="shared" si="32"/>
        <v>1208235.294117647</v>
      </c>
    </row>
    <row r="37" spans="1:29" x14ac:dyDescent="0.25">
      <c r="A37" s="30" t="str">
        <f t="shared" si="4"/>
        <v>Opex maintenance &amp; repair</v>
      </c>
      <c r="B37" s="62">
        <f t="shared" si="5"/>
        <v>488235.29411764705</v>
      </c>
      <c r="C37" s="62">
        <f t="shared" si="6"/>
        <v>488235.29411764705</v>
      </c>
      <c r="D37" s="62">
        <f t="shared" si="7"/>
        <v>488235.29411764705</v>
      </c>
      <c r="E37" s="62">
        <f t="shared" si="8"/>
        <v>488235.29411764705</v>
      </c>
      <c r="F37" s="62">
        <f t="shared" si="9"/>
        <v>488235.29411764705</v>
      </c>
      <c r="G37" s="62">
        <f t="shared" si="10"/>
        <v>488235.29411764705</v>
      </c>
      <c r="H37" s="62">
        <f t="shared" si="11"/>
        <v>488235.29411764705</v>
      </c>
      <c r="I37" s="62">
        <f t="shared" si="12"/>
        <v>488235.29411764705</v>
      </c>
      <c r="J37" s="62">
        <f t="shared" si="13"/>
        <v>488235.29411764705</v>
      </c>
      <c r="K37" s="62">
        <f t="shared" si="14"/>
        <v>488235.29411764705</v>
      </c>
      <c r="L37" s="62">
        <f t="shared" si="15"/>
        <v>488235.29411764705</v>
      </c>
      <c r="M37" s="62">
        <f t="shared" si="16"/>
        <v>488235.29411764705</v>
      </c>
      <c r="N37" s="62">
        <f t="shared" si="17"/>
        <v>488235.29411764705</v>
      </c>
      <c r="O37" s="62">
        <f t="shared" si="18"/>
        <v>488235.29411764705</v>
      </c>
      <c r="P37" s="62">
        <f t="shared" si="19"/>
        <v>488235.29411764705</v>
      </c>
      <c r="Q37" s="62">
        <f t="shared" si="20"/>
        <v>488235.29411764705</v>
      </c>
      <c r="R37" s="62">
        <f t="shared" si="21"/>
        <v>488235.29411764705</v>
      </c>
      <c r="S37" s="62">
        <f t="shared" si="22"/>
        <v>488235.29411764705</v>
      </c>
      <c r="T37" s="62">
        <f t="shared" si="23"/>
        <v>488235.29411764705</v>
      </c>
      <c r="U37" s="62">
        <f t="shared" si="24"/>
        <v>488235.29411764705</v>
      </c>
      <c r="V37" s="62">
        <f t="shared" si="25"/>
        <v>488235.29411764705</v>
      </c>
      <c r="W37" s="62">
        <f t="shared" si="26"/>
        <v>488235.29411764705</v>
      </c>
      <c r="X37" s="62">
        <f t="shared" si="27"/>
        <v>488235.29411764705</v>
      </c>
      <c r="Y37" s="62">
        <f t="shared" si="28"/>
        <v>488235.29411764705</v>
      </c>
      <c r="Z37" s="62">
        <f t="shared" si="29"/>
        <v>488235.29411764705</v>
      </c>
      <c r="AA37" s="62">
        <f t="shared" si="30"/>
        <v>488235.29411764705</v>
      </c>
      <c r="AB37" s="62">
        <f t="shared" si="31"/>
        <v>488235.29411764705</v>
      </c>
      <c r="AC37" s="62">
        <f t="shared" si="32"/>
        <v>488235.29411764705</v>
      </c>
    </row>
    <row r="38" spans="1:29" x14ac:dyDescent="0.25">
      <c r="A38" s="30" t="str">
        <f t="shared" si="4"/>
        <v>Opex var (mode-fees)</v>
      </c>
      <c r="B38" s="62">
        <f t="shared" si="5"/>
        <v>0.8458018624557011</v>
      </c>
      <c r="C38" s="62">
        <f t="shared" si="6"/>
        <v>0.8458018624557011</v>
      </c>
      <c r="D38" s="62">
        <f t="shared" si="7"/>
        <v>0.8458018624557011</v>
      </c>
      <c r="E38" s="62">
        <f t="shared" si="8"/>
        <v>0.8458018624557011</v>
      </c>
      <c r="F38" s="62">
        <f t="shared" si="9"/>
        <v>0.8458018624557011</v>
      </c>
      <c r="G38" s="62">
        <f t="shared" si="10"/>
        <v>0.8458018624557011</v>
      </c>
      <c r="H38" s="62">
        <f t="shared" si="11"/>
        <v>0.8458018624557011</v>
      </c>
      <c r="I38" s="62">
        <f t="shared" si="12"/>
        <v>0.8458018624557011</v>
      </c>
      <c r="J38" s="62">
        <f t="shared" si="13"/>
        <v>0.8458018624557011</v>
      </c>
      <c r="K38" s="62">
        <f t="shared" si="14"/>
        <v>0.8458018624557011</v>
      </c>
      <c r="L38" s="62">
        <f t="shared" si="15"/>
        <v>0.8458018624557011</v>
      </c>
      <c r="M38" s="62">
        <f t="shared" si="16"/>
        <v>0.8458018624557011</v>
      </c>
      <c r="N38" s="62">
        <f t="shared" si="17"/>
        <v>0.8458018624557011</v>
      </c>
      <c r="O38" s="62">
        <f t="shared" si="18"/>
        <v>0.8458018624557011</v>
      </c>
      <c r="P38" s="62">
        <f t="shared" si="19"/>
        <v>0.8458018624557011</v>
      </c>
      <c r="Q38" s="62">
        <f t="shared" si="20"/>
        <v>0.8458018624557011</v>
      </c>
      <c r="R38" s="62">
        <f t="shared" si="21"/>
        <v>0.8458018624557011</v>
      </c>
      <c r="S38" s="62">
        <f t="shared" si="22"/>
        <v>0.8458018624557011</v>
      </c>
      <c r="T38" s="62">
        <f t="shared" si="23"/>
        <v>0.8458018624557011</v>
      </c>
      <c r="U38" s="62">
        <f t="shared" si="24"/>
        <v>0.8458018624557011</v>
      </c>
      <c r="V38" s="62">
        <f t="shared" si="25"/>
        <v>0.8458018624557011</v>
      </c>
      <c r="W38" s="62">
        <f t="shared" si="26"/>
        <v>0.8458018624557011</v>
      </c>
      <c r="X38" s="62">
        <f t="shared" si="27"/>
        <v>0.8458018624557011</v>
      </c>
      <c r="Y38" s="62">
        <f t="shared" si="28"/>
        <v>0.8458018624557011</v>
      </c>
      <c r="Z38" s="62">
        <f t="shared" si="29"/>
        <v>0.8458018624557011</v>
      </c>
      <c r="AA38" s="62">
        <f t="shared" si="30"/>
        <v>0.8458018624557011</v>
      </c>
      <c r="AB38" s="62">
        <f t="shared" si="31"/>
        <v>0.8458018624557011</v>
      </c>
      <c r="AC38" s="62">
        <f t="shared" si="32"/>
        <v>0.8458018624557011</v>
      </c>
    </row>
    <row r="39" spans="1:29" x14ac:dyDescent="0.25">
      <c r="A39" s="30" t="str">
        <f t="shared" si="4"/>
        <v>Fuel Economy</v>
      </c>
      <c r="B39" s="62">
        <f t="shared" si="5"/>
        <v>646.89677603543487</v>
      </c>
      <c r="C39" s="62">
        <f t="shared" si="6"/>
        <v>646.85211887817047</v>
      </c>
      <c r="D39" s="62">
        <f t="shared" si="7"/>
        <v>646.78819315220449</v>
      </c>
      <c r="E39" s="62">
        <f t="shared" si="8"/>
        <v>646.6967429057521</v>
      </c>
      <c r="F39" s="62">
        <f t="shared" si="9"/>
        <v>646.5660403240729</v>
      </c>
      <c r="G39" s="62">
        <f t="shared" si="10"/>
        <v>646.37949949401741</v>
      </c>
      <c r="H39" s="62">
        <f t="shared" si="11"/>
        <v>646.11381958854338</v>
      </c>
      <c r="I39" s="62">
        <f t="shared" si="12"/>
        <v>645.73659220845991</v>
      </c>
      <c r="J39" s="62">
        <f t="shared" si="13"/>
        <v>645.20341755594859</v>
      </c>
      <c r="K39" s="62">
        <f t="shared" si="14"/>
        <v>644.4548499630904</v>
      </c>
      <c r="L39" s="62">
        <f t="shared" si="15"/>
        <v>643.41406927056653</v>
      </c>
      <c r="M39" s="62">
        <f t="shared" si="16"/>
        <v>641.98719787679943</v>
      </c>
      <c r="N39" s="62">
        <f t="shared" si="17"/>
        <v>640.0696356209337</v>
      </c>
      <c r="O39" s="62">
        <f t="shared" si="18"/>
        <v>637.56301130673319</v>
      </c>
      <c r="P39" s="62">
        <f t="shared" si="19"/>
        <v>634.40634165749691</v>
      </c>
      <c r="Q39" s="62">
        <f t="shared" si="20"/>
        <v>630.6184286906298</v>
      </c>
      <c r="R39" s="62">
        <f t="shared" si="21"/>
        <v>626.33515650399931</v>
      </c>
      <c r="S39" s="62">
        <f t="shared" si="22"/>
        <v>621.81332363039712</v>
      </c>
      <c r="T39" s="62">
        <f t="shared" si="23"/>
        <v>617.38047196989623</v>
      </c>
      <c r="U39" s="62">
        <f t="shared" si="24"/>
        <v>613.34515585949862</v>
      </c>
      <c r="V39" s="62">
        <f t="shared" si="25"/>
        <v>609.91571180572532</v>
      </c>
      <c r="W39" s="62">
        <f t="shared" si="26"/>
        <v>607.1693412972852</v>
      </c>
      <c r="X39" s="62">
        <f t="shared" si="27"/>
        <v>605.0737387067237</v>
      </c>
      <c r="Y39" s="62">
        <f t="shared" si="28"/>
        <v>603.53330273509027</v>
      </c>
      <c r="Z39" s="62">
        <f t="shared" si="29"/>
        <v>602.43191330034256</v>
      </c>
      <c r="AA39" s="62">
        <f t="shared" si="30"/>
        <v>601.66000195939125</v>
      </c>
      <c r="AB39" s="62">
        <f t="shared" si="31"/>
        <v>601.12656377741496</v>
      </c>
      <c r="AC39" s="62">
        <f t="shared" si="32"/>
        <v>600.7615054472443</v>
      </c>
    </row>
    <row r="40" spans="1:29" x14ac:dyDescent="0.25">
      <c r="A40" s="30" t="str">
        <f t="shared" si="4"/>
        <v>Fuel Cost</v>
      </c>
      <c r="B40" s="62">
        <f>$B20+($C20-$B20)*(1-Q20)</f>
        <v>0.06</v>
      </c>
      <c r="C40" s="62">
        <f>$B20+($C20-$B20)*(1-R20)</f>
        <v>0.06</v>
      </c>
      <c r="D40" s="62">
        <f>$B20+($C20-$B20)*(1-S20)</f>
        <v>0.06</v>
      </c>
      <c r="E40" s="62">
        <f t="shared" ref="E40:AC40" si="33">$B20+($C20-$B20)*(1-T20)</f>
        <v>0.06</v>
      </c>
      <c r="F40" s="62">
        <f t="shared" si="33"/>
        <v>0.06</v>
      </c>
      <c r="G40" s="62">
        <f t="shared" si="33"/>
        <v>0.06</v>
      </c>
      <c r="H40" s="62">
        <f t="shared" si="33"/>
        <v>0.06</v>
      </c>
      <c r="I40" s="62">
        <f t="shared" si="33"/>
        <v>0.06</v>
      </c>
      <c r="J40" s="62">
        <f t="shared" si="33"/>
        <v>0.06</v>
      </c>
      <c r="K40" s="62">
        <f t="shared" si="33"/>
        <v>0.06</v>
      </c>
      <c r="L40" s="62">
        <f t="shared" si="33"/>
        <v>0.06</v>
      </c>
      <c r="M40" s="62">
        <f t="shared" si="33"/>
        <v>0.06</v>
      </c>
      <c r="N40" s="62">
        <f t="shared" si="33"/>
        <v>0.06</v>
      </c>
      <c r="O40" s="62">
        <f t="shared" si="33"/>
        <v>0.06</v>
      </c>
      <c r="P40" s="62">
        <f t="shared" si="33"/>
        <v>0.06</v>
      </c>
      <c r="Q40" s="62">
        <f t="shared" si="33"/>
        <v>0.06</v>
      </c>
      <c r="R40" s="62">
        <f t="shared" si="33"/>
        <v>0.06</v>
      </c>
      <c r="S40" s="62">
        <f t="shared" si="33"/>
        <v>0.06</v>
      </c>
      <c r="T40" s="62">
        <f t="shared" si="33"/>
        <v>0.06</v>
      </c>
      <c r="U40" s="62">
        <f t="shared" si="33"/>
        <v>0.06</v>
      </c>
      <c r="V40" s="62">
        <f t="shared" si="33"/>
        <v>0.06</v>
      </c>
      <c r="W40" s="62">
        <f t="shared" si="33"/>
        <v>0.06</v>
      </c>
      <c r="X40" s="62">
        <f t="shared" si="33"/>
        <v>0.06</v>
      </c>
      <c r="Y40" s="62">
        <f t="shared" si="33"/>
        <v>0.06</v>
      </c>
      <c r="Z40" s="62">
        <f t="shared" si="33"/>
        <v>0.06</v>
      </c>
      <c r="AA40" s="62">
        <f t="shared" si="33"/>
        <v>0.06</v>
      </c>
      <c r="AB40" s="62">
        <f t="shared" si="33"/>
        <v>0.06</v>
      </c>
      <c r="AC40" s="62">
        <f t="shared" si="33"/>
        <v>0.06</v>
      </c>
    </row>
    <row r="41" spans="1:29" x14ac:dyDescent="0.25">
      <c r="A41" s="30" t="str">
        <f t="shared" si="4"/>
        <v>Emission Cost</v>
      </c>
      <c r="B41" s="62">
        <f>$B21+($C21-$B21)*(1-Q21)</f>
        <v>17.334785285869845</v>
      </c>
      <c r="C41" s="62">
        <f t="shared" ref="C41:AC41" si="34">$B21+($C21-$B21)*(1-R21)</f>
        <v>17.371592778833971</v>
      </c>
      <c r="D41" s="62">
        <f t="shared" si="34"/>
        <v>17.424281885191313</v>
      </c>
      <c r="E41" s="62">
        <f t="shared" si="34"/>
        <v>17.499657357099085</v>
      </c>
      <c r="F41" s="62">
        <f t="shared" si="34"/>
        <v>17.607385538878944</v>
      </c>
      <c r="G41" s="62">
        <f t="shared" si="34"/>
        <v>17.761136935304318</v>
      </c>
      <c r="H41" s="62">
        <f t="shared" si="34"/>
        <v>17.980116643160411</v>
      </c>
      <c r="I41" s="62">
        <f t="shared" si="34"/>
        <v>18.291036437183369</v>
      </c>
      <c r="J41" s="62">
        <f t="shared" si="34"/>
        <v>18.730491688550217</v>
      </c>
      <c r="K41" s="62">
        <f t="shared" si="34"/>
        <v>19.347478933039792</v>
      </c>
      <c r="L41" s="62">
        <f t="shared" si="34"/>
        <v>20.2053151761856</v>
      </c>
      <c r="M41" s="62">
        <f t="shared" si="34"/>
        <v>21.381376573820816</v>
      </c>
      <c r="N41" s="62">
        <f t="shared" si="34"/>
        <v>22.961877070598074</v>
      </c>
      <c r="O41" s="62">
        <f t="shared" si="34"/>
        <v>25.027896550126819</v>
      </c>
      <c r="P41" s="62">
        <f t="shared" si="34"/>
        <v>27.629698881977127</v>
      </c>
      <c r="Q41" s="62">
        <f t="shared" si="34"/>
        <v>30.751786995449869</v>
      </c>
      <c r="R41" s="62">
        <f t="shared" si="34"/>
        <v>34.282161979674356</v>
      </c>
      <c r="S41" s="62">
        <f t="shared" si="34"/>
        <v>38.009164365756064</v>
      </c>
      <c r="T41" s="62">
        <f t="shared" si="34"/>
        <v>41.662826316042121</v>
      </c>
      <c r="U41" s="62">
        <f t="shared" si="34"/>
        <v>44.988829994737316</v>
      </c>
      <c r="V41" s="62">
        <f t="shared" si="34"/>
        <v>47.815459489596307</v>
      </c>
      <c r="W41" s="62">
        <f t="shared" si="34"/>
        <v>50.07908349431699</v>
      </c>
      <c r="X41" s="62">
        <f t="shared" si="34"/>
        <v>51.806329076721653</v>
      </c>
      <c r="Y41" s="62">
        <f t="shared" si="34"/>
        <v>53.075993105085033</v>
      </c>
      <c r="Z41" s="62">
        <f t="shared" si="34"/>
        <v>53.98378451756151</v>
      </c>
      <c r="AA41" s="62">
        <f t="shared" si="34"/>
        <v>54.620012235388991</v>
      </c>
      <c r="AB41" s="62">
        <f t="shared" si="34"/>
        <v>55.059684694019481</v>
      </c>
      <c r="AC41" s="62">
        <f t="shared" si="34"/>
        <v>55.360574467179326</v>
      </c>
    </row>
    <row r="42" spans="1:29" x14ac:dyDescent="0.25">
      <c r="A42" s="30" t="str">
        <f t="shared" si="4"/>
        <v>Lifetime vehicle</v>
      </c>
      <c r="B42" s="62">
        <f>$B22+($C22-$B22)*(1-Q22)</f>
        <v>25</v>
      </c>
      <c r="C42" s="62">
        <f t="shared" ref="C42:L44" si="35">$B22+($C22-$B22)*(1-R22)</f>
        <v>25</v>
      </c>
      <c r="D42" s="62">
        <f t="shared" si="35"/>
        <v>25</v>
      </c>
      <c r="E42" s="62">
        <f t="shared" si="35"/>
        <v>25</v>
      </c>
      <c r="F42" s="62">
        <f t="shared" si="35"/>
        <v>25</v>
      </c>
      <c r="G42" s="62">
        <f t="shared" si="35"/>
        <v>25</v>
      </c>
      <c r="H42" s="62">
        <f t="shared" si="35"/>
        <v>25</v>
      </c>
      <c r="I42" s="62">
        <f t="shared" si="35"/>
        <v>25</v>
      </c>
      <c r="J42" s="62">
        <f t="shared" si="35"/>
        <v>25</v>
      </c>
      <c r="K42" s="62">
        <f t="shared" si="35"/>
        <v>25</v>
      </c>
      <c r="L42" s="62">
        <f t="shared" si="35"/>
        <v>25</v>
      </c>
      <c r="M42" s="62">
        <f t="shared" ref="M42:V44" si="36">$B22+($C22-$B22)*(1-AB22)</f>
        <v>25</v>
      </c>
      <c r="N42" s="62">
        <f t="shared" si="36"/>
        <v>25</v>
      </c>
      <c r="O42" s="62">
        <f t="shared" si="36"/>
        <v>25</v>
      </c>
      <c r="P42" s="62">
        <f t="shared" si="36"/>
        <v>25</v>
      </c>
      <c r="Q42" s="62">
        <f t="shared" si="36"/>
        <v>25</v>
      </c>
      <c r="R42" s="62">
        <f t="shared" si="36"/>
        <v>25</v>
      </c>
      <c r="S42" s="62">
        <f t="shared" si="36"/>
        <v>25</v>
      </c>
      <c r="T42" s="62">
        <f t="shared" si="36"/>
        <v>25</v>
      </c>
      <c r="U42" s="62">
        <f t="shared" si="36"/>
        <v>25</v>
      </c>
      <c r="V42" s="62">
        <f t="shared" si="36"/>
        <v>25</v>
      </c>
      <c r="W42" s="62">
        <f t="shared" ref="W42:AC44" si="37">$B22+($C22-$B22)*(1-AL22)</f>
        <v>25</v>
      </c>
      <c r="X42" s="62">
        <f t="shared" si="37"/>
        <v>25</v>
      </c>
      <c r="Y42" s="62">
        <f t="shared" si="37"/>
        <v>25</v>
      </c>
      <c r="Z42" s="62">
        <f t="shared" si="37"/>
        <v>25</v>
      </c>
      <c r="AA42" s="62">
        <f t="shared" si="37"/>
        <v>25</v>
      </c>
      <c r="AB42" s="62">
        <f t="shared" si="37"/>
        <v>25</v>
      </c>
      <c r="AC42" s="62">
        <f t="shared" si="37"/>
        <v>25</v>
      </c>
    </row>
    <row r="43" spans="1:29" x14ac:dyDescent="0.25">
      <c r="A43" s="30" t="str">
        <f t="shared" si="4"/>
        <v>Lifetime costumization</v>
      </c>
      <c r="B43" s="62">
        <f>$B23+($C23-$B23)*(1-Q23)</f>
        <v>25</v>
      </c>
      <c r="C43" s="62">
        <f t="shared" si="35"/>
        <v>25</v>
      </c>
      <c r="D43" s="62">
        <f t="shared" si="35"/>
        <v>25</v>
      </c>
      <c r="E43" s="62">
        <f t="shared" si="35"/>
        <v>25</v>
      </c>
      <c r="F43" s="62">
        <f t="shared" si="35"/>
        <v>25</v>
      </c>
      <c r="G43" s="62">
        <f t="shared" si="35"/>
        <v>25</v>
      </c>
      <c r="H43" s="62">
        <f t="shared" si="35"/>
        <v>25</v>
      </c>
      <c r="I43" s="62">
        <f t="shared" si="35"/>
        <v>25</v>
      </c>
      <c r="J43" s="62">
        <f t="shared" si="35"/>
        <v>25</v>
      </c>
      <c r="K43" s="62">
        <f t="shared" si="35"/>
        <v>25</v>
      </c>
      <c r="L43" s="62">
        <f t="shared" si="35"/>
        <v>25</v>
      </c>
      <c r="M43" s="62">
        <f t="shared" si="36"/>
        <v>25</v>
      </c>
      <c r="N43" s="62">
        <f t="shared" si="36"/>
        <v>25</v>
      </c>
      <c r="O43" s="62">
        <f t="shared" si="36"/>
        <v>25</v>
      </c>
      <c r="P43" s="62">
        <f t="shared" si="36"/>
        <v>25</v>
      </c>
      <c r="Q43" s="62">
        <f t="shared" si="36"/>
        <v>25</v>
      </c>
      <c r="R43" s="62">
        <f t="shared" si="36"/>
        <v>25</v>
      </c>
      <c r="S43" s="62">
        <f t="shared" si="36"/>
        <v>25</v>
      </c>
      <c r="T43" s="62">
        <f t="shared" si="36"/>
        <v>25</v>
      </c>
      <c r="U43" s="62">
        <f t="shared" si="36"/>
        <v>25</v>
      </c>
      <c r="V43" s="62">
        <f t="shared" si="36"/>
        <v>25</v>
      </c>
      <c r="W43" s="62">
        <f t="shared" si="37"/>
        <v>25</v>
      </c>
      <c r="X43" s="62">
        <f t="shared" si="37"/>
        <v>25</v>
      </c>
      <c r="Y43" s="62">
        <f t="shared" si="37"/>
        <v>25</v>
      </c>
      <c r="Z43" s="62">
        <f t="shared" si="37"/>
        <v>25</v>
      </c>
      <c r="AA43" s="62">
        <f t="shared" si="37"/>
        <v>25</v>
      </c>
      <c r="AB43" s="62">
        <f t="shared" si="37"/>
        <v>25</v>
      </c>
      <c r="AC43" s="62">
        <f t="shared" si="37"/>
        <v>25</v>
      </c>
    </row>
    <row r="44" spans="1:29" x14ac:dyDescent="0.25">
      <c r="A44" s="30" t="str">
        <f t="shared" si="4"/>
        <v>Tonnage .</v>
      </c>
      <c r="B44" s="62">
        <f>$B24+($C24-$B24)*(1-Q24)</f>
        <v>9450</v>
      </c>
      <c r="C44" s="62">
        <f t="shared" si="35"/>
        <v>9450</v>
      </c>
      <c r="D44" s="62">
        <f t="shared" si="35"/>
        <v>9450</v>
      </c>
      <c r="E44" s="62">
        <f t="shared" si="35"/>
        <v>9450</v>
      </c>
      <c r="F44" s="62">
        <f t="shared" si="35"/>
        <v>9450</v>
      </c>
      <c r="G44" s="62">
        <f t="shared" si="35"/>
        <v>9450</v>
      </c>
      <c r="H44" s="62">
        <f t="shared" si="35"/>
        <v>9450</v>
      </c>
      <c r="I44" s="62">
        <f t="shared" si="35"/>
        <v>9450</v>
      </c>
      <c r="J44" s="62">
        <f t="shared" si="35"/>
        <v>9450</v>
      </c>
      <c r="K44" s="62">
        <f t="shared" si="35"/>
        <v>9450</v>
      </c>
      <c r="L44" s="62">
        <f t="shared" si="35"/>
        <v>9450</v>
      </c>
      <c r="M44" s="62">
        <f t="shared" si="36"/>
        <v>9450</v>
      </c>
      <c r="N44" s="62">
        <f t="shared" si="36"/>
        <v>9450</v>
      </c>
      <c r="O44" s="62">
        <f t="shared" si="36"/>
        <v>9450</v>
      </c>
      <c r="P44" s="62">
        <f t="shared" si="36"/>
        <v>9450</v>
      </c>
      <c r="Q44" s="62">
        <f t="shared" si="36"/>
        <v>9450</v>
      </c>
      <c r="R44" s="62">
        <f t="shared" si="36"/>
        <v>9450</v>
      </c>
      <c r="S44" s="62">
        <f t="shared" si="36"/>
        <v>9450</v>
      </c>
      <c r="T44" s="62">
        <f t="shared" si="36"/>
        <v>9450</v>
      </c>
      <c r="U44" s="62">
        <f t="shared" si="36"/>
        <v>9450</v>
      </c>
      <c r="V44" s="62">
        <f t="shared" si="36"/>
        <v>9450</v>
      </c>
      <c r="W44" s="62">
        <f t="shared" si="37"/>
        <v>9450</v>
      </c>
      <c r="X44" s="62">
        <f t="shared" si="37"/>
        <v>9450</v>
      </c>
      <c r="Y44" s="62">
        <f t="shared" si="37"/>
        <v>9450</v>
      </c>
      <c r="Z44" s="62">
        <f t="shared" si="37"/>
        <v>9450</v>
      </c>
      <c r="AA44" s="62">
        <f t="shared" si="37"/>
        <v>9450</v>
      </c>
      <c r="AB44" s="62">
        <f t="shared" si="37"/>
        <v>9450</v>
      </c>
      <c r="AC44" s="62">
        <f t="shared" si="37"/>
        <v>9450</v>
      </c>
    </row>
    <row r="45" spans="1:29" x14ac:dyDescent="0.25">
      <c r="A45" s="30" t="str">
        <f t="shared" si="4"/>
        <v>Market failure (av. utilization)</v>
      </c>
      <c r="B45" s="62">
        <f t="shared" ref="B45:K46" si="38">($B25+($C25-$B25)*(1-Q25))*B$44</f>
        <v>6426.0000000000009</v>
      </c>
      <c r="C45" s="62">
        <f t="shared" si="38"/>
        <v>6426.0000000000009</v>
      </c>
      <c r="D45" s="62">
        <f t="shared" si="38"/>
        <v>6426.0000000000009</v>
      </c>
      <c r="E45" s="62">
        <f t="shared" si="38"/>
        <v>6426.0000000000009</v>
      </c>
      <c r="F45" s="62">
        <f t="shared" si="38"/>
        <v>6426.0000000000009</v>
      </c>
      <c r="G45" s="62">
        <f t="shared" si="38"/>
        <v>6426.0000000000009</v>
      </c>
      <c r="H45" s="62">
        <f t="shared" si="38"/>
        <v>6426.0000000000009</v>
      </c>
      <c r="I45" s="62">
        <f t="shared" si="38"/>
        <v>6426.0000000000009</v>
      </c>
      <c r="J45" s="62">
        <f t="shared" si="38"/>
        <v>6426.0000000000009</v>
      </c>
      <c r="K45" s="62">
        <f t="shared" si="38"/>
        <v>6426.0000000000009</v>
      </c>
      <c r="L45" s="62">
        <f t="shared" ref="L45:U46" si="39">($B25+($C25-$B25)*(1-AA25))*L$44</f>
        <v>6426.0000000000009</v>
      </c>
      <c r="M45" s="62">
        <f t="shared" si="39"/>
        <v>6426.0000000000009</v>
      </c>
      <c r="N45" s="62">
        <f t="shared" si="39"/>
        <v>6426.0000000000009</v>
      </c>
      <c r="O45" s="62">
        <f t="shared" si="39"/>
        <v>6426.0000000000009</v>
      </c>
      <c r="P45" s="62">
        <f t="shared" si="39"/>
        <v>6426.0000000000009</v>
      </c>
      <c r="Q45" s="62">
        <f t="shared" si="39"/>
        <v>6426.0000000000009</v>
      </c>
      <c r="R45" s="62">
        <f t="shared" si="39"/>
        <v>6426.0000000000009</v>
      </c>
      <c r="S45" s="62">
        <f t="shared" si="39"/>
        <v>6426.0000000000009</v>
      </c>
      <c r="T45" s="62">
        <f t="shared" si="39"/>
        <v>6426.0000000000009</v>
      </c>
      <c r="U45" s="62">
        <f t="shared" si="39"/>
        <v>6426.0000000000009</v>
      </c>
      <c r="V45" s="62">
        <f t="shared" ref="V45:AC46" si="40">($B25+($C25-$B25)*(1-AK25))*V$44</f>
        <v>6426.0000000000009</v>
      </c>
      <c r="W45" s="62">
        <f t="shared" si="40"/>
        <v>6426.0000000000009</v>
      </c>
      <c r="X45" s="62">
        <f t="shared" si="40"/>
        <v>6426.0000000000009</v>
      </c>
      <c r="Y45" s="62">
        <f t="shared" si="40"/>
        <v>6426.0000000000009</v>
      </c>
      <c r="Z45" s="62">
        <f t="shared" si="40"/>
        <v>6426.0000000000009</v>
      </c>
      <c r="AA45" s="62">
        <f t="shared" si="40"/>
        <v>6426.0000000000009</v>
      </c>
      <c r="AB45" s="62">
        <f t="shared" si="40"/>
        <v>6426.0000000000009</v>
      </c>
      <c r="AC45" s="62">
        <f t="shared" si="40"/>
        <v>6426.0000000000009</v>
      </c>
    </row>
    <row r="46" spans="1:29" x14ac:dyDescent="0.25">
      <c r="A46" s="30" t="s">
        <v>73</v>
      </c>
      <c r="B46" s="62">
        <f t="shared" si="38"/>
        <v>0</v>
      </c>
      <c r="C46" s="62">
        <f t="shared" si="38"/>
        <v>0</v>
      </c>
      <c r="D46" s="62">
        <f t="shared" si="38"/>
        <v>0</v>
      </c>
      <c r="E46" s="62">
        <f t="shared" si="38"/>
        <v>0</v>
      </c>
      <c r="F46" s="62">
        <f t="shared" si="38"/>
        <v>0</v>
      </c>
      <c r="G46" s="62">
        <f t="shared" si="38"/>
        <v>0</v>
      </c>
      <c r="H46" s="62">
        <f t="shared" si="38"/>
        <v>0</v>
      </c>
      <c r="I46" s="62">
        <f t="shared" si="38"/>
        <v>0</v>
      </c>
      <c r="J46" s="62">
        <f t="shared" si="38"/>
        <v>0</v>
      </c>
      <c r="K46" s="62">
        <f t="shared" si="38"/>
        <v>0</v>
      </c>
      <c r="L46" s="62">
        <f t="shared" si="39"/>
        <v>0</v>
      </c>
      <c r="M46" s="62">
        <f t="shared" si="39"/>
        <v>0</v>
      </c>
      <c r="N46" s="62">
        <f t="shared" si="39"/>
        <v>0</v>
      </c>
      <c r="O46" s="62">
        <f t="shared" si="39"/>
        <v>0</v>
      </c>
      <c r="P46" s="62">
        <f t="shared" si="39"/>
        <v>0</v>
      </c>
      <c r="Q46" s="62">
        <f t="shared" si="39"/>
        <v>0</v>
      </c>
      <c r="R46" s="62">
        <f t="shared" si="39"/>
        <v>0</v>
      </c>
      <c r="S46" s="62">
        <f t="shared" si="39"/>
        <v>0</v>
      </c>
      <c r="T46" s="62">
        <f t="shared" si="39"/>
        <v>0</v>
      </c>
      <c r="U46" s="62">
        <f t="shared" si="39"/>
        <v>0</v>
      </c>
      <c r="V46" s="62">
        <f t="shared" si="40"/>
        <v>0</v>
      </c>
      <c r="W46" s="62">
        <f t="shared" si="40"/>
        <v>0</v>
      </c>
      <c r="X46" s="62">
        <f t="shared" si="40"/>
        <v>0</v>
      </c>
      <c r="Y46" s="62">
        <f t="shared" si="40"/>
        <v>0</v>
      </c>
      <c r="Z46" s="62">
        <f t="shared" si="40"/>
        <v>0</v>
      </c>
      <c r="AA46" s="62">
        <f t="shared" si="40"/>
        <v>0</v>
      </c>
      <c r="AB46" s="62">
        <f t="shared" si="40"/>
        <v>0</v>
      </c>
      <c r="AC46" s="62">
        <f t="shared" si="40"/>
        <v>0</v>
      </c>
    </row>
    <row r="47" spans="1:29" x14ac:dyDescent="0.25">
      <c r="A47" s="30" t="str">
        <f>A27</f>
        <v>Annual Mileage</v>
      </c>
      <c r="B47" s="62">
        <f t="shared" ref="B47:AC47" si="41">$B27+($C27-$B27)*(1-Q27)</f>
        <v>120000</v>
      </c>
      <c r="C47" s="62">
        <f t="shared" si="41"/>
        <v>120000</v>
      </c>
      <c r="D47" s="62">
        <f t="shared" si="41"/>
        <v>120000</v>
      </c>
      <c r="E47" s="62">
        <f t="shared" si="41"/>
        <v>120000</v>
      </c>
      <c r="F47" s="62">
        <f t="shared" si="41"/>
        <v>120000</v>
      </c>
      <c r="G47" s="62">
        <f t="shared" si="41"/>
        <v>120000</v>
      </c>
      <c r="H47" s="62">
        <f t="shared" si="41"/>
        <v>120000</v>
      </c>
      <c r="I47" s="62">
        <f t="shared" si="41"/>
        <v>120000</v>
      </c>
      <c r="J47" s="62">
        <f t="shared" si="41"/>
        <v>120000</v>
      </c>
      <c r="K47" s="62">
        <f t="shared" si="41"/>
        <v>120000</v>
      </c>
      <c r="L47" s="62">
        <f t="shared" si="41"/>
        <v>120000</v>
      </c>
      <c r="M47" s="62">
        <f t="shared" si="41"/>
        <v>120000</v>
      </c>
      <c r="N47" s="62">
        <f t="shared" si="41"/>
        <v>120000</v>
      </c>
      <c r="O47" s="62">
        <f t="shared" si="41"/>
        <v>120000</v>
      </c>
      <c r="P47" s="62">
        <f t="shared" si="41"/>
        <v>120000</v>
      </c>
      <c r="Q47" s="62">
        <f t="shared" si="41"/>
        <v>120000</v>
      </c>
      <c r="R47" s="62">
        <f t="shared" si="41"/>
        <v>120000</v>
      </c>
      <c r="S47" s="62">
        <f t="shared" si="41"/>
        <v>120000</v>
      </c>
      <c r="T47" s="62">
        <f t="shared" si="41"/>
        <v>120000</v>
      </c>
      <c r="U47" s="62">
        <f t="shared" si="41"/>
        <v>120000</v>
      </c>
      <c r="V47" s="62">
        <f t="shared" si="41"/>
        <v>120000</v>
      </c>
      <c r="W47" s="62">
        <f t="shared" si="41"/>
        <v>120000</v>
      </c>
      <c r="X47" s="62">
        <f t="shared" si="41"/>
        <v>120000</v>
      </c>
      <c r="Y47" s="62">
        <f t="shared" si="41"/>
        <v>120000</v>
      </c>
      <c r="Z47" s="62">
        <f t="shared" si="41"/>
        <v>120000</v>
      </c>
      <c r="AA47" s="62">
        <f t="shared" si="41"/>
        <v>120000</v>
      </c>
      <c r="AB47" s="62">
        <f t="shared" si="41"/>
        <v>120000</v>
      </c>
      <c r="AC47" s="62">
        <f t="shared" si="41"/>
        <v>120000</v>
      </c>
    </row>
    <row r="48" spans="1:29"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1173400.7731841092</v>
      </c>
      <c r="C50" s="63">
        <f t="shared" ref="C50:AC50" si="42">((1+C35)^C42)*C35/(((1+C35)^C42)-1)*(C31)</f>
        <v>1173400.7731841092</v>
      </c>
      <c r="D50" s="63">
        <f t="shared" si="42"/>
        <v>1173400.7731841092</v>
      </c>
      <c r="E50" s="63">
        <f t="shared" si="42"/>
        <v>1173400.7731841092</v>
      </c>
      <c r="F50" s="63">
        <f t="shared" si="42"/>
        <v>1173400.7731841092</v>
      </c>
      <c r="G50" s="63">
        <f t="shared" si="42"/>
        <v>1173400.7731841092</v>
      </c>
      <c r="H50" s="63">
        <f t="shared" si="42"/>
        <v>1173400.7731841092</v>
      </c>
      <c r="I50" s="63">
        <f t="shared" si="42"/>
        <v>1173400.7731841092</v>
      </c>
      <c r="J50" s="63">
        <f t="shared" si="42"/>
        <v>1173400.7731841092</v>
      </c>
      <c r="K50" s="63">
        <f t="shared" si="42"/>
        <v>1173400.7731841092</v>
      </c>
      <c r="L50" s="63">
        <f t="shared" si="42"/>
        <v>1173400.7731841092</v>
      </c>
      <c r="M50" s="63">
        <f t="shared" si="42"/>
        <v>1173400.7731841092</v>
      </c>
      <c r="N50" s="63">
        <f t="shared" si="42"/>
        <v>1173400.7731841092</v>
      </c>
      <c r="O50" s="63">
        <f t="shared" si="42"/>
        <v>1173400.7731841092</v>
      </c>
      <c r="P50" s="63">
        <f t="shared" si="42"/>
        <v>1173400.7731841092</v>
      </c>
      <c r="Q50" s="63">
        <f t="shared" si="42"/>
        <v>1173400.7731841092</v>
      </c>
      <c r="R50" s="63">
        <f t="shared" si="42"/>
        <v>1173400.7731841092</v>
      </c>
      <c r="S50" s="63">
        <f t="shared" si="42"/>
        <v>1173400.7731841092</v>
      </c>
      <c r="T50" s="63">
        <f t="shared" si="42"/>
        <v>1173400.7731841092</v>
      </c>
      <c r="U50" s="63">
        <f t="shared" si="42"/>
        <v>1173400.7731841092</v>
      </c>
      <c r="V50" s="63">
        <f t="shared" si="42"/>
        <v>1173400.7731841092</v>
      </c>
      <c r="W50" s="63">
        <f t="shared" si="42"/>
        <v>1173400.7731841092</v>
      </c>
      <c r="X50" s="63">
        <f t="shared" si="42"/>
        <v>1173400.7731841092</v>
      </c>
      <c r="Y50" s="63">
        <f t="shared" si="42"/>
        <v>1173400.7731841092</v>
      </c>
      <c r="Z50" s="63">
        <f t="shared" si="42"/>
        <v>1173400.7731841092</v>
      </c>
      <c r="AA50" s="63">
        <f t="shared" si="42"/>
        <v>1173400.7731841092</v>
      </c>
      <c r="AB50" s="63">
        <f t="shared" si="42"/>
        <v>1173400.7731841092</v>
      </c>
      <c r="AC50" s="63">
        <f t="shared" si="42"/>
        <v>1173400.7731841092</v>
      </c>
    </row>
    <row r="51" spans="1:29" x14ac:dyDescent="0.25">
      <c r="A51" s="30" t="str">
        <f>A32</f>
        <v>Residual value (vehicle)</v>
      </c>
      <c r="B51" s="62">
        <f>((1+B35)^B42)*B35/(((1+B35)^B42)-1)*(B32)</f>
        <v>-117211.22297816433</v>
      </c>
      <c r="C51" s="62">
        <f t="shared" ref="C51:AC51" si="43">((1+C35)^C42)*C35/(((1+C35)^C42)-1)*(C32)</f>
        <v>-117155.47750703427</v>
      </c>
      <c r="D51" s="62">
        <f t="shared" si="43"/>
        <v>-117075.67910674184</v>
      </c>
      <c r="E51" s="62">
        <f t="shared" si="43"/>
        <v>-116961.52188344915</v>
      </c>
      <c r="F51" s="62">
        <f t="shared" si="43"/>
        <v>-116798.36602132194</v>
      </c>
      <c r="G51" s="62">
        <f t="shared" si="43"/>
        <v>-116565.50734662244</v>
      </c>
      <c r="H51" s="62">
        <f t="shared" si="43"/>
        <v>-116233.85946736432</v>
      </c>
      <c r="I51" s="62">
        <f t="shared" si="43"/>
        <v>-115762.96702113429</v>
      </c>
      <c r="J51" s="62">
        <f t="shared" si="43"/>
        <v>-115097.40579826315</v>
      </c>
      <c r="K51" s="62">
        <f t="shared" si="43"/>
        <v>-114162.96984907117</v>
      </c>
      <c r="L51" s="62">
        <f t="shared" si="43"/>
        <v>-112863.76466894078</v>
      </c>
      <c r="M51" s="62">
        <f t="shared" si="43"/>
        <v>-111082.60297034449</v>
      </c>
      <c r="N51" s="62">
        <f t="shared" si="43"/>
        <v>-108688.91250900239</v>
      </c>
      <c r="O51" s="62">
        <f t="shared" si="43"/>
        <v>-105559.89664903973</v>
      </c>
      <c r="P51" s="62">
        <f t="shared" si="43"/>
        <v>-101619.43004574107</v>
      </c>
      <c r="Q51" s="62">
        <f t="shared" si="43"/>
        <v>-96890.983232894243</v>
      </c>
      <c r="R51" s="62">
        <f t="shared" si="43"/>
        <v>-91544.180152521745</v>
      </c>
      <c r="S51" s="62">
        <f t="shared" si="43"/>
        <v>-85899.582077953528</v>
      </c>
      <c r="T51" s="62">
        <f t="shared" si="43"/>
        <v>-80366.059135568226</v>
      </c>
      <c r="U51" s="62">
        <f t="shared" si="43"/>
        <v>-75328.779301543953</v>
      </c>
      <c r="V51" s="62">
        <f t="shared" si="43"/>
        <v>-71047.808765066002</v>
      </c>
      <c r="W51" s="62">
        <f t="shared" si="43"/>
        <v>-67619.518043732241</v>
      </c>
      <c r="X51" s="62">
        <f t="shared" si="43"/>
        <v>-65003.580064954105</v>
      </c>
      <c r="Y51" s="62">
        <f t="shared" si="43"/>
        <v>-63080.655852023017</v>
      </c>
      <c r="Z51" s="62">
        <f t="shared" si="43"/>
        <v>-61705.792858076449</v>
      </c>
      <c r="AA51" s="62">
        <f t="shared" si="43"/>
        <v>-60742.216938606354</v>
      </c>
      <c r="AB51" s="62">
        <f t="shared" si="43"/>
        <v>-60076.3267522479</v>
      </c>
      <c r="AC51" s="62">
        <f t="shared" si="43"/>
        <v>-59620.624915142049</v>
      </c>
    </row>
    <row r="52" spans="1:29" x14ac:dyDescent="0.25">
      <c r="A52" s="30" t="str">
        <f>A33</f>
        <v>Capex costumization</v>
      </c>
      <c r="B52" s="62">
        <f>((1+B35)^B43)*B35/(((1+B35)^B43)-1)*(B33)</f>
        <v>78226.718212273947</v>
      </c>
      <c r="C52" s="62">
        <f t="shared" ref="C52:AC52" si="44">((1+C35)^C43)*C35/(((1+C35)^C43)-1)*(C33)</f>
        <v>78226.718212273947</v>
      </c>
      <c r="D52" s="62">
        <f t="shared" si="44"/>
        <v>78226.718212273947</v>
      </c>
      <c r="E52" s="62">
        <f t="shared" si="44"/>
        <v>78226.718212273947</v>
      </c>
      <c r="F52" s="62">
        <f t="shared" si="44"/>
        <v>78226.718212273947</v>
      </c>
      <c r="G52" s="62">
        <f t="shared" si="44"/>
        <v>78226.718212273947</v>
      </c>
      <c r="H52" s="62">
        <f t="shared" si="44"/>
        <v>78226.718212273947</v>
      </c>
      <c r="I52" s="62">
        <f t="shared" si="44"/>
        <v>78226.718212273947</v>
      </c>
      <c r="J52" s="62">
        <f t="shared" si="44"/>
        <v>78226.718212273947</v>
      </c>
      <c r="K52" s="62">
        <f t="shared" si="44"/>
        <v>78226.718212273947</v>
      </c>
      <c r="L52" s="62">
        <f t="shared" si="44"/>
        <v>78226.718212273947</v>
      </c>
      <c r="M52" s="62">
        <f t="shared" si="44"/>
        <v>78226.718212273947</v>
      </c>
      <c r="N52" s="62">
        <f t="shared" si="44"/>
        <v>78226.718212273947</v>
      </c>
      <c r="O52" s="62">
        <f t="shared" si="44"/>
        <v>78226.718212273947</v>
      </c>
      <c r="P52" s="62">
        <f t="shared" si="44"/>
        <v>78226.718212273947</v>
      </c>
      <c r="Q52" s="62">
        <f t="shared" si="44"/>
        <v>78226.718212273947</v>
      </c>
      <c r="R52" s="62">
        <f t="shared" si="44"/>
        <v>78226.718212273947</v>
      </c>
      <c r="S52" s="62">
        <f t="shared" si="44"/>
        <v>78226.718212273947</v>
      </c>
      <c r="T52" s="62">
        <f t="shared" si="44"/>
        <v>78226.718212273947</v>
      </c>
      <c r="U52" s="62">
        <f t="shared" si="44"/>
        <v>78226.718212273947</v>
      </c>
      <c r="V52" s="62">
        <f t="shared" si="44"/>
        <v>78226.718212273947</v>
      </c>
      <c r="W52" s="62">
        <f t="shared" si="44"/>
        <v>78226.718212273947</v>
      </c>
      <c r="X52" s="62">
        <f t="shared" si="44"/>
        <v>78226.718212273947</v>
      </c>
      <c r="Y52" s="62">
        <f t="shared" si="44"/>
        <v>78226.718212273947</v>
      </c>
      <c r="Z52" s="62">
        <f t="shared" si="44"/>
        <v>78226.718212273947</v>
      </c>
      <c r="AA52" s="62">
        <f t="shared" si="44"/>
        <v>78226.718212273947</v>
      </c>
      <c r="AB52" s="62">
        <f t="shared" si="44"/>
        <v>78226.718212273947</v>
      </c>
      <c r="AC52" s="62">
        <f t="shared" si="44"/>
        <v>78226.718212273947</v>
      </c>
    </row>
    <row r="53" spans="1:29" x14ac:dyDescent="0.25">
      <c r="A53" s="30" t="str">
        <f>A34</f>
        <v>Residual value (costumization)</v>
      </c>
      <c r="B53" s="62">
        <f>((1+B35)^B43)*B35/(((1+B35)^B43)-1)*(B34)</f>
        <v>-7822.6718212273945</v>
      </c>
      <c r="C53" s="62">
        <f t="shared" ref="C53:AC53" si="45">((1+C35)^C43)*C35/(((1+C35)^C43)-1)*(C34)</f>
        <v>-7822.6718212273945</v>
      </c>
      <c r="D53" s="62">
        <f t="shared" si="45"/>
        <v>-7822.6718212273945</v>
      </c>
      <c r="E53" s="62">
        <f t="shared" si="45"/>
        <v>-7822.6718212273945</v>
      </c>
      <c r="F53" s="62">
        <f t="shared" si="45"/>
        <v>-7822.6718212273945</v>
      </c>
      <c r="G53" s="62">
        <f t="shared" si="45"/>
        <v>-7822.6718212273945</v>
      </c>
      <c r="H53" s="62">
        <f t="shared" si="45"/>
        <v>-7822.6718212273945</v>
      </c>
      <c r="I53" s="62">
        <f t="shared" si="45"/>
        <v>-7822.6718212273945</v>
      </c>
      <c r="J53" s="62">
        <f t="shared" si="45"/>
        <v>-7822.6718212273945</v>
      </c>
      <c r="K53" s="62">
        <f t="shared" si="45"/>
        <v>-7822.6718212273945</v>
      </c>
      <c r="L53" s="62">
        <f t="shared" si="45"/>
        <v>-7822.6718212273945</v>
      </c>
      <c r="M53" s="62">
        <f t="shared" si="45"/>
        <v>-7822.6718212273945</v>
      </c>
      <c r="N53" s="62">
        <f t="shared" si="45"/>
        <v>-7822.6718212273945</v>
      </c>
      <c r="O53" s="62">
        <f t="shared" si="45"/>
        <v>-7822.6718212273945</v>
      </c>
      <c r="P53" s="62">
        <f t="shared" si="45"/>
        <v>-7822.6718212273945</v>
      </c>
      <c r="Q53" s="62">
        <f t="shared" si="45"/>
        <v>-7822.6718212273945</v>
      </c>
      <c r="R53" s="62">
        <f t="shared" si="45"/>
        <v>-7822.6718212273945</v>
      </c>
      <c r="S53" s="62">
        <f t="shared" si="45"/>
        <v>-7822.6718212273945</v>
      </c>
      <c r="T53" s="62">
        <f t="shared" si="45"/>
        <v>-7822.6718212273945</v>
      </c>
      <c r="U53" s="62">
        <f t="shared" si="45"/>
        <v>-7822.6718212273945</v>
      </c>
      <c r="V53" s="62">
        <f t="shared" si="45"/>
        <v>-7822.6718212273945</v>
      </c>
      <c r="W53" s="62">
        <f t="shared" si="45"/>
        <v>-7822.6718212273945</v>
      </c>
      <c r="X53" s="62">
        <f t="shared" si="45"/>
        <v>-7822.6718212273945</v>
      </c>
      <c r="Y53" s="62">
        <f t="shared" si="45"/>
        <v>-7822.6718212273945</v>
      </c>
      <c r="Z53" s="62">
        <f t="shared" si="45"/>
        <v>-7822.6718212273945</v>
      </c>
      <c r="AA53" s="62">
        <f t="shared" si="45"/>
        <v>-7822.6718212273945</v>
      </c>
      <c r="AB53" s="62">
        <f t="shared" si="45"/>
        <v>-7822.6718212273945</v>
      </c>
      <c r="AC53" s="62">
        <f t="shared" si="45"/>
        <v>-7822.6718212273945</v>
      </c>
    </row>
    <row r="54" spans="1:29" x14ac:dyDescent="0.25">
      <c r="A54" s="30" t="str">
        <f t="shared" ref="A54:AC54" si="46">A36</f>
        <v>Opex fix (admin, crew, insurance)</v>
      </c>
      <c r="B54" s="62">
        <f t="shared" si="46"/>
        <v>1208235.294117647</v>
      </c>
      <c r="C54" s="62">
        <f t="shared" si="46"/>
        <v>1208235.294117647</v>
      </c>
      <c r="D54" s="62">
        <f t="shared" si="46"/>
        <v>1208235.294117647</v>
      </c>
      <c r="E54" s="62">
        <f t="shared" si="46"/>
        <v>1208235.294117647</v>
      </c>
      <c r="F54" s="62">
        <f t="shared" si="46"/>
        <v>1208235.294117647</v>
      </c>
      <c r="G54" s="62">
        <f t="shared" si="46"/>
        <v>1208235.294117647</v>
      </c>
      <c r="H54" s="62">
        <f t="shared" si="46"/>
        <v>1208235.294117647</v>
      </c>
      <c r="I54" s="62">
        <f t="shared" si="46"/>
        <v>1208235.294117647</v>
      </c>
      <c r="J54" s="62">
        <f t="shared" si="46"/>
        <v>1208235.294117647</v>
      </c>
      <c r="K54" s="62">
        <f t="shared" si="46"/>
        <v>1208235.294117647</v>
      </c>
      <c r="L54" s="62">
        <f t="shared" si="46"/>
        <v>1208235.294117647</v>
      </c>
      <c r="M54" s="62">
        <f t="shared" si="46"/>
        <v>1208235.294117647</v>
      </c>
      <c r="N54" s="62">
        <f t="shared" si="46"/>
        <v>1208235.294117647</v>
      </c>
      <c r="O54" s="62">
        <f t="shared" si="46"/>
        <v>1208235.294117647</v>
      </c>
      <c r="P54" s="62">
        <f t="shared" si="46"/>
        <v>1208235.294117647</v>
      </c>
      <c r="Q54" s="62">
        <f t="shared" si="46"/>
        <v>1208235.294117647</v>
      </c>
      <c r="R54" s="62">
        <f t="shared" si="46"/>
        <v>1208235.294117647</v>
      </c>
      <c r="S54" s="62">
        <f t="shared" si="46"/>
        <v>1208235.294117647</v>
      </c>
      <c r="T54" s="62">
        <f t="shared" si="46"/>
        <v>1208235.294117647</v>
      </c>
      <c r="U54" s="62">
        <f t="shared" si="46"/>
        <v>1208235.294117647</v>
      </c>
      <c r="V54" s="62">
        <f t="shared" si="46"/>
        <v>1208235.294117647</v>
      </c>
      <c r="W54" s="62">
        <f t="shared" si="46"/>
        <v>1208235.294117647</v>
      </c>
      <c r="X54" s="62">
        <f t="shared" si="46"/>
        <v>1208235.294117647</v>
      </c>
      <c r="Y54" s="62">
        <f t="shared" si="46"/>
        <v>1208235.294117647</v>
      </c>
      <c r="Z54" s="62">
        <f t="shared" si="46"/>
        <v>1208235.294117647</v>
      </c>
      <c r="AA54" s="62">
        <f t="shared" si="46"/>
        <v>1208235.294117647</v>
      </c>
      <c r="AB54" s="62">
        <f t="shared" si="46"/>
        <v>1208235.294117647</v>
      </c>
      <c r="AC54" s="62">
        <f t="shared" si="46"/>
        <v>1208235.294117647</v>
      </c>
    </row>
    <row r="55" spans="1:29" x14ac:dyDescent="0.25">
      <c r="A55" s="30" t="str">
        <f t="shared" ref="A55:AC55" si="47">A37</f>
        <v>Opex maintenance &amp; repair</v>
      </c>
      <c r="B55" s="62">
        <f t="shared" si="47"/>
        <v>488235.29411764705</v>
      </c>
      <c r="C55" s="62">
        <f t="shared" si="47"/>
        <v>488235.29411764705</v>
      </c>
      <c r="D55" s="62">
        <f t="shared" si="47"/>
        <v>488235.29411764705</v>
      </c>
      <c r="E55" s="62">
        <f t="shared" si="47"/>
        <v>488235.29411764705</v>
      </c>
      <c r="F55" s="62">
        <f t="shared" si="47"/>
        <v>488235.29411764705</v>
      </c>
      <c r="G55" s="62">
        <f t="shared" si="47"/>
        <v>488235.29411764705</v>
      </c>
      <c r="H55" s="62">
        <f t="shared" si="47"/>
        <v>488235.29411764705</v>
      </c>
      <c r="I55" s="62">
        <f t="shared" si="47"/>
        <v>488235.29411764705</v>
      </c>
      <c r="J55" s="62">
        <f t="shared" si="47"/>
        <v>488235.29411764705</v>
      </c>
      <c r="K55" s="62">
        <f t="shared" si="47"/>
        <v>488235.29411764705</v>
      </c>
      <c r="L55" s="62">
        <f t="shared" si="47"/>
        <v>488235.29411764705</v>
      </c>
      <c r="M55" s="62">
        <f t="shared" si="47"/>
        <v>488235.29411764705</v>
      </c>
      <c r="N55" s="62">
        <f t="shared" si="47"/>
        <v>488235.29411764705</v>
      </c>
      <c r="O55" s="62">
        <f t="shared" si="47"/>
        <v>488235.29411764705</v>
      </c>
      <c r="P55" s="62">
        <f t="shared" si="47"/>
        <v>488235.29411764705</v>
      </c>
      <c r="Q55" s="62">
        <f t="shared" si="47"/>
        <v>488235.29411764705</v>
      </c>
      <c r="R55" s="62">
        <f t="shared" si="47"/>
        <v>488235.29411764705</v>
      </c>
      <c r="S55" s="62">
        <f t="shared" si="47"/>
        <v>488235.29411764705</v>
      </c>
      <c r="T55" s="62">
        <f t="shared" si="47"/>
        <v>488235.29411764705</v>
      </c>
      <c r="U55" s="62">
        <f t="shared" si="47"/>
        <v>488235.29411764705</v>
      </c>
      <c r="V55" s="62">
        <f t="shared" si="47"/>
        <v>488235.29411764705</v>
      </c>
      <c r="W55" s="62">
        <f t="shared" si="47"/>
        <v>488235.29411764705</v>
      </c>
      <c r="X55" s="62">
        <f t="shared" si="47"/>
        <v>488235.29411764705</v>
      </c>
      <c r="Y55" s="62">
        <f t="shared" si="47"/>
        <v>488235.29411764705</v>
      </c>
      <c r="Z55" s="62">
        <f t="shared" si="47"/>
        <v>488235.29411764705</v>
      </c>
      <c r="AA55" s="62">
        <f t="shared" si="47"/>
        <v>488235.29411764705</v>
      </c>
      <c r="AB55" s="62">
        <f t="shared" si="47"/>
        <v>488235.29411764705</v>
      </c>
      <c r="AC55" s="62">
        <f t="shared" si="47"/>
        <v>488235.29411764705</v>
      </c>
    </row>
    <row r="56" spans="1:29" x14ac:dyDescent="0.25">
      <c r="A56" s="30" t="str">
        <f>A38</f>
        <v>Opex var (mode-fees)</v>
      </c>
      <c r="B56" s="62">
        <f>B38*B47</f>
        <v>101496.22349468413</v>
      </c>
      <c r="C56" s="62">
        <f t="shared" ref="C56:AC56" si="48">C38*C47</f>
        <v>101496.22349468413</v>
      </c>
      <c r="D56" s="62">
        <f t="shared" si="48"/>
        <v>101496.22349468413</v>
      </c>
      <c r="E56" s="62">
        <f t="shared" si="48"/>
        <v>101496.22349468413</v>
      </c>
      <c r="F56" s="62">
        <f t="shared" si="48"/>
        <v>101496.22349468413</v>
      </c>
      <c r="G56" s="62">
        <f t="shared" si="48"/>
        <v>101496.22349468413</v>
      </c>
      <c r="H56" s="62">
        <f t="shared" si="48"/>
        <v>101496.22349468413</v>
      </c>
      <c r="I56" s="62">
        <f t="shared" si="48"/>
        <v>101496.22349468413</v>
      </c>
      <c r="J56" s="62">
        <f t="shared" si="48"/>
        <v>101496.22349468413</v>
      </c>
      <c r="K56" s="62">
        <f t="shared" si="48"/>
        <v>101496.22349468413</v>
      </c>
      <c r="L56" s="62">
        <f t="shared" si="48"/>
        <v>101496.22349468413</v>
      </c>
      <c r="M56" s="62">
        <f t="shared" si="48"/>
        <v>101496.22349468413</v>
      </c>
      <c r="N56" s="62">
        <f t="shared" si="48"/>
        <v>101496.22349468413</v>
      </c>
      <c r="O56" s="62">
        <f t="shared" si="48"/>
        <v>101496.22349468413</v>
      </c>
      <c r="P56" s="62">
        <f t="shared" si="48"/>
        <v>101496.22349468413</v>
      </c>
      <c r="Q56" s="62">
        <f t="shared" si="48"/>
        <v>101496.22349468413</v>
      </c>
      <c r="R56" s="62">
        <f t="shared" si="48"/>
        <v>101496.22349468413</v>
      </c>
      <c r="S56" s="62">
        <f t="shared" si="48"/>
        <v>101496.22349468413</v>
      </c>
      <c r="T56" s="62">
        <f t="shared" si="48"/>
        <v>101496.22349468413</v>
      </c>
      <c r="U56" s="62">
        <f t="shared" si="48"/>
        <v>101496.22349468413</v>
      </c>
      <c r="V56" s="62">
        <f t="shared" si="48"/>
        <v>101496.22349468413</v>
      </c>
      <c r="W56" s="62">
        <f t="shared" si="48"/>
        <v>101496.22349468413</v>
      </c>
      <c r="X56" s="62">
        <f t="shared" si="48"/>
        <v>101496.22349468413</v>
      </c>
      <c r="Y56" s="62">
        <f t="shared" si="48"/>
        <v>101496.22349468413</v>
      </c>
      <c r="Z56" s="62">
        <f t="shared" si="48"/>
        <v>101496.22349468413</v>
      </c>
      <c r="AA56" s="62">
        <f t="shared" si="48"/>
        <v>101496.22349468413</v>
      </c>
      <c r="AB56" s="62">
        <f t="shared" si="48"/>
        <v>101496.22349468413</v>
      </c>
      <c r="AC56" s="62">
        <f t="shared" si="48"/>
        <v>101496.22349468413</v>
      </c>
    </row>
    <row r="57" spans="1:29" x14ac:dyDescent="0.25">
      <c r="A57" s="30" t="str">
        <f>A40</f>
        <v>Fuel Cost</v>
      </c>
      <c r="B57" s="62">
        <f>B39*B40*B47</f>
        <v>4657656.7874551304</v>
      </c>
      <c r="C57" s="62">
        <f t="shared" ref="C57:AC57" si="49">C39*C40*C47</f>
        <v>4657335.2559228269</v>
      </c>
      <c r="D57" s="62">
        <f t="shared" si="49"/>
        <v>4656874.9906958723</v>
      </c>
      <c r="E57" s="62">
        <f t="shared" si="49"/>
        <v>4656216.5489214156</v>
      </c>
      <c r="F57" s="62">
        <f t="shared" si="49"/>
        <v>4655275.4903333243</v>
      </c>
      <c r="G57" s="62">
        <f t="shared" si="49"/>
        <v>4653932.3963569254</v>
      </c>
      <c r="H57" s="62">
        <f t="shared" si="49"/>
        <v>4652019.501037512</v>
      </c>
      <c r="I57" s="62">
        <f t="shared" si="49"/>
        <v>4649303.4639009116</v>
      </c>
      <c r="J57" s="62">
        <f t="shared" si="49"/>
        <v>4645464.6064028293</v>
      </c>
      <c r="K57" s="62">
        <f t="shared" si="49"/>
        <v>4640074.9197342508</v>
      </c>
      <c r="L57" s="62">
        <f t="shared" si="49"/>
        <v>4632581.2987480788</v>
      </c>
      <c r="M57" s="62">
        <f t="shared" si="49"/>
        <v>4622307.8247129563</v>
      </c>
      <c r="N57" s="62">
        <f t="shared" si="49"/>
        <v>4608501.3764707223</v>
      </c>
      <c r="O57" s="62">
        <f t="shared" si="49"/>
        <v>4590453.6814084789</v>
      </c>
      <c r="P57" s="62">
        <f t="shared" si="49"/>
        <v>4567725.6599339778</v>
      </c>
      <c r="Q57" s="62">
        <f t="shared" si="49"/>
        <v>4540452.686572534</v>
      </c>
      <c r="R57" s="62">
        <f t="shared" si="49"/>
        <v>4509613.1268287944</v>
      </c>
      <c r="S57" s="62">
        <f t="shared" si="49"/>
        <v>4477055.930138859</v>
      </c>
      <c r="T57" s="62">
        <f t="shared" si="49"/>
        <v>4445139.3981832527</v>
      </c>
      <c r="U57" s="62">
        <f t="shared" si="49"/>
        <v>4416085.1221883893</v>
      </c>
      <c r="V57" s="62">
        <f t="shared" si="49"/>
        <v>4391393.1250012219</v>
      </c>
      <c r="W57" s="62">
        <f t="shared" si="49"/>
        <v>4371619.2573404536</v>
      </c>
      <c r="X57" s="62">
        <f t="shared" si="49"/>
        <v>4356530.9186884109</v>
      </c>
      <c r="Y57" s="62">
        <f t="shared" si="49"/>
        <v>4345439.7796926498</v>
      </c>
      <c r="Z57" s="62">
        <f t="shared" si="49"/>
        <v>4337509.7757624658</v>
      </c>
      <c r="AA57" s="62">
        <f t="shared" si="49"/>
        <v>4331952.0141076175</v>
      </c>
      <c r="AB57" s="62">
        <f t="shared" si="49"/>
        <v>4328111.2591973878</v>
      </c>
      <c r="AC57" s="62">
        <f t="shared" si="49"/>
        <v>4325482.8392201588</v>
      </c>
    </row>
    <row r="58" spans="1:29" ht="15.75" thickBot="1" x14ac:dyDescent="0.3">
      <c r="A58" s="59" t="str">
        <f>A21</f>
        <v>Emission Cost</v>
      </c>
      <c r="B58" s="62">
        <f>B41*B47</f>
        <v>2080174.2343043815</v>
      </c>
      <c r="C58" s="62">
        <f t="shared" ref="C58:AC58" si="50">C41*C47</f>
        <v>2084591.1334600765</v>
      </c>
      <c r="D58" s="62">
        <f t="shared" si="50"/>
        <v>2090913.8262229576</v>
      </c>
      <c r="E58" s="62">
        <f t="shared" si="50"/>
        <v>2099958.8828518903</v>
      </c>
      <c r="F58" s="62">
        <f t="shared" si="50"/>
        <v>2112886.2646654733</v>
      </c>
      <c r="G58" s="62">
        <f t="shared" si="50"/>
        <v>2131336.4322365182</v>
      </c>
      <c r="H58" s="62">
        <f t="shared" si="50"/>
        <v>2157613.9971792493</v>
      </c>
      <c r="I58" s="62">
        <f t="shared" si="50"/>
        <v>2194924.3724620044</v>
      </c>
      <c r="J58" s="62">
        <f t="shared" si="50"/>
        <v>2247659.002626026</v>
      </c>
      <c r="K58" s="62">
        <f t="shared" si="50"/>
        <v>2321697.4719647751</v>
      </c>
      <c r="L58" s="62">
        <f t="shared" si="50"/>
        <v>2424637.8211422721</v>
      </c>
      <c r="M58" s="62">
        <f t="shared" si="50"/>
        <v>2565765.1888584979</v>
      </c>
      <c r="N58" s="62">
        <f t="shared" si="50"/>
        <v>2755425.248471769</v>
      </c>
      <c r="O58" s="62">
        <f t="shared" si="50"/>
        <v>3003347.5860152184</v>
      </c>
      <c r="P58" s="62">
        <f t="shared" si="50"/>
        <v>3315563.8658372555</v>
      </c>
      <c r="Q58" s="62">
        <f t="shared" si="50"/>
        <v>3690214.4394539841</v>
      </c>
      <c r="R58" s="62">
        <f t="shared" si="50"/>
        <v>4113859.4375609229</v>
      </c>
      <c r="S58" s="62">
        <f t="shared" si="50"/>
        <v>4561099.7238907274</v>
      </c>
      <c r="T58" s="62">
        <f t="shared" si="50"/>
        <v>4999539.1579250544</v>
      </c>
      <c r="U58" s="62">
        <f t="shared" si="50"/>
        <v>5398659.5993684782</v>
      </c>
      <c r="V58" s="62">
        <f t="shared" si="50"/>
        <v>5737855.1387515571</v>
      </c>
      <c r="W58" s="62">
        <f t="shared" si="50"/>
        <v>6009490.0193180386</v>
      </c>
      <c r="X58" s="62">
        <f t="shared" si="50"/>
        <v>6216759.4892065981</v>
      </c>
      <c r="Y58" s="62">
        <f t="shared" si="50"/>
        <v>6369119.1726102037</v>
      </c>
      <c r="Z58" s="62">
        <f t="shared" si="50"/>
        <v>6478054.1421073815</v>
      </c>
      <c r="AA58" s="62">
        <f t="shared" si="50"/>
        <v>6554401.4682466788</v>
      </c>
      <c r="AB58" s="62">
        <f t="shared" si="50"/>
        <v>6607162.1632823376</v>
      </c>
      <c r="AC58" s="62">
        <f t="shared" si="50"/>
        <v>6643268.9360615192</v>
      </c>
    </row>
    <row r="59" spans="1:29" ht="15.75" thickBot="1" x14ac:dyDescent="0.3">
      <c r="A59" s="31" t="s">
        <v>209</v>
      </c>
      <c r="B59" s="64">
        <f>B50+B51+B52+B53+B54+B55+B56+B57+B58</f>
        <v>9662391.4300864823</v>
      </c>
      <c r="C59" s="64">
        <f t="shared" ref="C59:AC59" si="51">C50+C51+C52+C53+C54+C55+C56+C57+C58</f>
        <v>9666542.543181004</v>
      </c>
      <c r="D59" s="64">
        <f t="shared" si="51"/>
        <v>9672484.7691172231</v>
      </c>
      <c r="E59" s="64">
        <f t="shared" si="51"/>
        <v>9680985.5411949903</v>
      </c>
      <c r="F59" s="64">
        <f t="shared" si="51"/>
        <v>9693135.0202826113</v>
      </c>
      <c r="G59" s="64">
        <f t="shared" si="51"/>
        <v>9710474.9525519554</v>
      </c>
      <c r="H59" s="64">
        <f t="shared" si="51"/>
        <v>9735171.2700545304</v>
      </c>
      <c r="I59" s="64">
        <f t="shared" si="51"/>
        <v>9770236.5006469153</v>
      </c>
      <c r="J59" s="64">
        <f t="shared" si="51"/>
        <v>9819797.8345357254</v>
      </c>
      <c r="K59" s="64">
        <f t="shared" si="51"/>
        <v>9889381.0531550888</v>
      </c>
      <c r="L59" s="64">
        <f t="shared" si="51"/>
        <v>9986126.9865265451</v>
      </c>
      <c r="M59" s="64">
        <f t="shared" si="51"/>
        <v>10118762.041906245</v>
      </c>
      <c r="N59" s="64">
        <f t="shared" si="51"/>
        <v>10297009.343738623</v>
      </c>
      <c r="O59" s="64">
        <f t="shared" si="51"/>
        <v>10530013.002079792</v>
      </c>
      <c r="P59" s="64">
        <f t="shared" si="51"/>
        <v>10823441.727030627</v>
      </c>
      <c r="Q59" s="64">
        <f t="shared" si="51"/>
        <v>11175547.774098758</v>
      </c>
      <c r="R59" s="64">
        <f t="shared" si="51"/>
        <v>11573700.01554233</v>
      </c>
      <c r="S59" s="64">
        <f t="shared" si="51"/>
        <v>11994027.703256767</v>
      </c>
      <c r="T59" s="64">
        <f t="shared" si="51"/>
        <v>12406084.128277874</v>
      </c>
      <c r="U59" s="64">
        <f t="shared" si="51"/>
        <v>12781187.573560458</v>
      </c>
      <c r="V59" s="64">
        <f t="shared" si="51"/>
        <v>13099972.086292848</v>
      </c>
      <c r="W59" s="64">
        <f t="shared" si="51"/>
        <v>13355261.389919894</v>
      </c>
      <c r="X59" s="64">
        <f t="shared" si="51"/>
        <v>13550058.45913519</v>
      </c>
      <c r="Y59" s="64">
        <f t="shared" si="51"/>
        <v>13693249.927755965</v>
      </c>
      <c r="Z59" s="64">
        <f t="shared" si="51"/>
        <v>13795629.756316904</v>
      </c>
      <c r="AA59" s="64">
        <f t="shared" si="51"/>
        <v>13867382.896720823</v>
      </c>
      <c r="AB59" s="64">
        <f t="shared" si="51"/>
        <v>13916968.727032613</v>
      </c>
      <c r="AC59" s="64">
        <f t="shared" si="51"/>
        <v>13950902.781671669</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52">A50</f>
        <v>Capex vehicle</v>
      </c>
      <c r="B62" s="65">
        <f>((1+B35)^B42)*B35/(((1+B35)^B42)-1)*(B31)/B47</f>
        <v>9.7783397765342439</v>
      </c>
      <c r="C62" s="65">
        <f t="shared" ref="C62:AC62" si="53">((1+C35)^C42)*C35/(((1+C35)^C42)-1)*(C31)/C47</f>
        <v>9.7783397765342439</v>
      </c>
      <c r="D62" s="65">
        <f t="shared" si="53"/>
        <v>9.7783397765342439</v>
      </c>
      <c r="E62" s="65">
        <f t="shared" si="53"/>
        <v>9.7783397765342439</v>
      </c>
      <c r="F62" s="65">
        <f t="shared" si="53"/>
        <v>9.7783397765342439</v>
      </c>
      <c r="G62" s="65">
        <f t="shared" si="53"/>
        <v>9.7783397765342439</v>
      </c>
      <c r="H62" s="65">
        <f t="shared" si="53"/>
        <v>9.7783397765342439</v>
      </c>
      <c r="I62" s="65">
        <f t="shared" si="53"/>
        <v>9.7783397765342439</v>
      </c>
      <c r="J62" s="65">
        <f t="shared" si="53"/>
        <v>9.7783397765342439</v>
      </c>
      <c r="K62" s="65">
        <f t="shared" si="53"/>
        <v>9.7783397765342439</v>
      </c>
      <c r="L62" s="65">
        <f t="shared" si="53"/>
        <v>9.7783397765342439</v>
      </c>
      <c r="M62" s="65">
        <f t="shared" si="53"/>
        <v>9.7783397765342439</v>
      </c>
      <c r="N62" s="65">
        <f t="shared" si="53"/>
        <v>9.7783397765342439</v>
      </c>
      <c r="O62" s="65">
        <f t="shared" si="53"/>
        <v>9.7783397765342439</v>
      </c>
      <c r="P62" s="65">
        <f t="shared" si="53"/>
        <v>9.7783397765342439</v>
      </c>
      <c r="Q62" s="65">
        <f t="shared" si="53"/>
        <v>9.7783397765342439</v>
      </c>
      <c r="R62" s="65">
        <f t="shared" si="53"/>
        <v>9.7783397765342439</v>
      </c>
      <c r="S62" s="65">
        <f t="shared" si="53"/>
        <v>9.7783397765342439</v>
      </c>
      <c r="T62" s="65">
        <f t="shared" si="53"/>
        <v>9.7783397765342439</v>
      </c>
      <c r="U62" s="65">
        <f t="shared" si="53"/>
        <v>9.7783397765342439</v>
      </c>
      <c r="V62" s="65">
        <f t="shared" si="53"/>
        <v>9.7783397765342439</v>
      </c>
      <c r="W62" s="65">
        <f t="shared" si="53"/>
        <v>9.7783397765342439</v>
      </c>
      <c r="X62" s="65">
        <f t="shared" si="53"/>
        <v>9.7783397765342439</v>
      </c>
      <c r="Y62" s="65">
        <f t="shared" si="53"/>
        <v>9.7783397765342439</v>
      </c>
      <c r="Z62" s="65">
        <f t="shared" si="53"/>
        <v>9.7783397765342439</v>
      </c>
      <c r="AA62" s="65">
        <f t="shared" si="53"/>
        <v>9.7783397765342439</v>
      </c>
      <c r="AB62" s="65">
        <f t="shared" si="53"/>
        <v>9.7783397765342439</v>
      </c>
      <c r="AC62" s="65">
        <f t="shared" si="53"/>
        <v>9.7783397765342439</v>
      </c>
    </row>
    <row r="63" spans="1:29" x14ac:dyDescent="0.25">
      <c r="A63" s="30" t="str">
        <f t="shared" si="52"/>
        <v>Residual value (vehicle)</v>
      </c>
      <c r="B63" s="66">
        <f>((1+B35)^B42)*B35/(((1+B35)^B42)-1)*(B32)/B47</f>
        <v>-0.97676019148470272</v>
      </c>
      <c r="C63" s="66">
        <f t="shared" ref="C63:AC63" si="54">((1+C35)^C42)*C35/(((1+C35)^C42)-1)*(C32)/C47</f>
        <v>-0.97629564589195228</v>
      </c>
      <c r="D63" s="66">
        <f t="shared" si="54"/>
        <v>-0.97563065922284864</v>
      </c>
      <c r="E63" s="66">
        <f t="shared" si="54"/>
        <v>-0.97467934902874298</v>
      </c>
      <c r="F63" s="66">
        <f t="shared" si="54"/>
        <v>-0.97331971684434948</v>
      </c>
      <c r="G63" s="66">
        <f t="shared" si="54"/>
        <v>-0.97137922788852038</v>
      </c>
      <c r="H63" s="66">
        <f t="shared" si="54"/>
        <v>-0.96861549556136939</v>
      </c>
      <c r="I63" s="66">
        <f t="shared" si="54"/>
        <v>-0.96469139184278574</v>
      </c>
      <c r="J63" s="66">
        <f t="shared" si="54"/>
        <v>-0.95914504831885961</v>
      </c>
      <c r="K63" s="66">
        <f t="shared" si="54"/>
        <v>-0.95135808207559314</v>
      </c>
      <c r="L63" s="66">
        <f t="shared" si="54"/>
        <v>-0.94053137224117322</v>
      </c>
      <c r="M63" s="66">
        <f t="shared" si="54"/>
        <v>-0.92568835808620409</v>
      </c>
      <c r="N63" s="66">
        <f t="shared" si="54"/>
        <v>-0.90574093757501994</v>
      </c>
      <c r="O63" s="66">
        <f t="shared" si="54"/>
        <v>-0.87966580540866446</v>
      </c>
      <c r="P63" s="66">
        <f t="shared" si="54"/>
        <v>-0.84682858371450898</v>
      </c>
      <c r="Q63" s="66">
        <f t="shared" si="54"/>
        <v>-0.80742486027411864</v>
      </c>
      <c r="R63" s="66">
        <f t="shared" si="54"/>
        <v>-0.7628681679376812</v>
      </c>
      <c r="S63" s="66">
        <f t="shared" si="54"/>
        <v>-0.71582985064961269</v>
      </c>
      <c r="T63" s="66">
        <f t="shared" si="54"/>
        <v>-0.66971715946306853</v>
      </c>
      <c r="U63" s="66">
        <f t="shared" si="54"/>
        <v>-0.62773982751286628</v>
      </c>
      <c r="V63" s="66">
        <f t="shared" si="54"/>
        <v>-0.59206507304221667</v>
      </c>
      <c r="W63" s="66">
        <f t="shared" si="54"/>
        <v>-0.56349598369776865</v>
      </c>
      <c r="X63" s="66">
        <f t="shared" si="54"/>
        <v>-0.54169650054128426</v>
      </c>
      <c r="Y63" s="66">
        <f t="shared" si="54"/>
        <v>-0.52567213210019181</v>
      </c>
      <c r="Z63" s="66">
        <f t="shared" si="54"/>
        <v>-0.51421494048397043</v>
      </c>
      <c r="AA63" s="66">
        <f t="shared" si="54"/>
        <v>-0.50618514115505298</v>
      </c>
      <c r="AB63" s="66">
        <f t="shared" si="54"/>
        <v>-0.50063605626873253</v>
      </c>
      <c r="AC63" s="66">
        <f t="shared" si="54"/>
        <v>-0.49683854095951707</v>
      </c>
    </row>
    <row r="64" spans="1:29" x14ac:dyDescent="0.25">
      <c r="A64" s="30" t="str">
        <f t="shared" si="52"/>
        <v>Capex costumization</v>
      </c>
      <c r="B64" s="66">
        <f>((1+B35)^B43)*B35/(((1+B35)^B43)-1)*(B33)/B47</f>
        <v>0.65188931843561626</v>
      </c>
      <c r="C64" s="66">
        <f t="shared" ref="C64:AC64" si="55">((1+C35)^C43)*C35/(((1+C35)^C43)-1)*(C33)/C47</f>
        <v>0.65188931843561626</v>
      </c>
      <c r="D64" s="66">
        <f t="shared" si="55"/>
        <v>0.65188931843561626</v>
      </c>
      <c r="E64" s="66">
        <f t="shared" si="55"/>
        <v>0.65188931843561626</v>
      </c>
      <c r="F64" s="66">
        <f t="shared" si="55"/>
        <v>0.65188931843561626</v>
      </c>
      <c r="G64" s="66">
        <f t="shared" si="55"/>
        <v>0.65188931843561626</v>
      </c>
      <c r="H64" s="66">
        <f t="shared" si="55"/>
        <v>0.65188931843561626</v>
      </c>
      <c r="I64" s="66">
        <f t="shared" si="55"/>
        <v>0.65188931843561626</v>
      </c>
      <c r="J64" s="66">
        <f t="shared" si="55"/>
        <v>0.65188931843561626</v>
      </c>
      <c r="K64" s="66">
        <f t="shared" si="55"/>
        <v>0.65188931843561626</v>
      </c>
      <c r="L64" s="66">
        <f t="shared" si="55"/>
        <v>0.65188931843561626</v>
      </c>
      <c r="M64" s="66">
        <f t="shared" si="55"/>
        <v>0.65188931843561626</v>
      </c>
      <c r="N64" s="66">
        <f t="shared" si="55"/>
        <v>0.65188931843561626</v>
      </c>
      <c r="O64" s="66">
        <f t="shared" si="55"/>
        <v>0.65188931843561626</v>
      </c>
      <c r="P64" s="66">
        <f t="shared" si="55"/>
        <v>0.65188931843561626</v>
      </c>
      <c r="Q64" s="66">
        <f t="shared" si="55"/>
        <v>0.65188931843561626</v>
      </c>
      <c r="R64" s="66">
        <f t="shared" si="55"/>
        <v>0.65188931843561626</v>
      </c>
      <c r="S64" s="66">
        <f t="shared" si="55"/>
        <v>0.65188931843561626</v>
      </c>
      <c r="T64" s="66">
        <f t="shared" si="55"/>
        <v>0.65188931843561626</v>
      </c>
      <c r="U64" s="66">
        <f t="shared" si="55"/>
        <v>0.65188931843561626</v>
      </c>
      <c r="V64" s="66">
        <f t="shared" si="55"/>
        <v>0.65188931843561626</v>
      </c>
      <c r="W64" s="66">
        <f t="shared" si="55"/>
        <v>0.65188931843561626</v>
      </c>
      <c r="X64" s="66">
        <f t="shared" si="55"/>
        <v>0.65188931843561626</v>
      </c>
      <c r="Y64" s="66">
        <f t="shared" si="55"/>
        <v>0.65188931843561626</v>
      </c>
      <c r="Z64" s="66">
        <f t="shared" si="55"/>
        <v>0.65188931843561626</v>
      </c>
      <c r="AA64" s="66">
        <f t="shared" si="55"/>
        <v>0.65188931843561626</v>
      </c>
      <c r="AB64" s="66">
        <f t="shared" si="55"/>
        <v>0.65188931843561626</v>
      </c>
      <c r="AC64" s="66">
        <f t="shared" si="55"/>
        <v>0.65188931843561626</v>
      </c>
    </row>
    <row r="65" spans="1:29" x14ac:dyDescent="0.25">
      <c r="A65" s="30" t="str">
        <f t="shared" si="52"/>
        <v>Residual value (costumization)</v>
      </c>
      <c r="B65" s="66">
        <f>((1+B35)^B43)*B35/(((1+B35)^B43)-1)*(B34)/B47</f>
        <v>-6.5188931843561615E-2</v>
      </c>
      <c r="C65" s="66">
        <f t="shared" ref="C65:AC65" si="56">((1+C35)^C43)*C35/(((1+C35)^C43)-1)*(C34)/C47</f>
        <v>-6.5188931843561615E-2</v>
      </c>
      <c r="D65" s="66">
        <f t="shared" si="56"/>
        <v>-6.5188931843561615E-2</v>
      </c>
      <c r="E65" s="66">
        <f t="shared" si="56"/>
        <v>-6.5188931843561615E-2</v>
      </c>
      <c r="F65" s="66">
        <f t="shared" si="56"/>
        <v>-6.5188931843561615E-2</v>
      </c>
      <c r="G65" s="66">
        <f t="shared" si="56"/>
        <v>-6.5188931843561615E-2</v>
      </c>
      <c r="H65" s="66">
        <f t="shared" si="56"/>
        <v>-6.5188931843561615E-2</v>
      </c>
      <c r="I65" s="66">
        <f t="shared" si="56"/>
        <v>-6.5188931843561615E-2</v>
      </c>
      <c r="J65" s="66">
        <f t="shared" si="56"/>
        <v>-6.5188931843561615E-2</v>
      </c>
      <c r="K65" s="66">
        <f t="shared" si="56"/>
        <v>-6.5188931843561615E-2</v>
      </c>
      <c r="L65" s="66">
        <f t="shared" si="56"/>
        <v>-6.5188931843561615E-2</v>
      </c>
      <c r="M65" s="66">
        <f t="shared" si="56"/>
        <v>-6.5188931843561615E-2</v>
      </c>
      <c r="N65" s="66">
        <f t="shared" si="56"/>
        <v>-6.5188931843561615E-2</v>
      </c>
      <c r="O65" s="66">
        <f t="shared" si="56"/>
        <v>-6.5188931843561615E-2</v>
      </c>
      <c r="P65" s="66">
        <f t="shared" si="56"/>
        <v>-6.5188931843561615E-2</v>
      </c>
      <c r="Q65" s="66">
        <f t="shared" si="56"/>
        <v>-6.5188931843561615E-2</v>
      </c>
      <c r="R65" s="66">
        <f t="shared" si="56"/>
        <v>-6.5188931843561615E-2</v>
      </c>
      <c r="S65" s="66">
        <f t="shared" si="56"/>
        <v>-6.5188931843561615E-2</v>
      </c>
      <c r="T65" s="66">
        <f t="shared" si="56"/>
        <v>-6.5188931843561615E-2</v>
      </c>
      <c r="U65" s="66">
        <f t="shared" si="56"/>
        <v>-6.5188931843561615E-2</v>
      </c>
      <c r="V65" s="66">
        <f t="shared" si="56"/>
        <v>-6.5188931843561615E-2</v>
      </c>
      <c r="W65" s="66">
        <f t="shared" si="56"/>
        <v>-6.5188931843561615E-2</v>
      </c>
      <c r="X65" s="66">
        <f t="shared" si="56"/>
        <v>-6.5188931843561615E-2</v>
      </c>
      <c r="Y65" s="66">
        <f t="shared" si="56"/>
        <v>-6.5188931843561615E-2</v>
      </c>
      <c r="Z65" s="66">
        <f t="shared" si="56"/>
        <v>-6.5188931843561615E-2</v>
      </c>
      <c r="AA65" s="66">
        <f t="shared" si="56"/>
        <v>-6.5188931843561615E-2</v>
      </c>
      <c r="AB65" s="66">
        <f t="shared" si="56"/>
        <v>-6.5188931843561615E-2</v>
      </c>
      <c r="AC65" s="66">
        <f t="shared" si="56"/>
        <v>-6.5188931843561615E-2</v>
      </c>
    </row>
    <row r="66" spans="1:29" x14ac:dyDescent="0.25">
      <c r="A66" s="30" t="str">
        <f t="shared" si="52"/>
        <v>Opex fix (admin, crew, insurance)</v>
      </c>
      <c r="B66" s="66">
        <f>B36/B47</f>
        <v>10.068627450980392</v>
      </c>
      <c r="C66" s="66">
        <f t="shared" ref="C66:AC66" si="57">C36/C47</f>
        <v>10.068627450980392</v>
      </c>
      <c r="D66" s="66">
        <f t="shared" si="57"/>
        <v>10.068627450980392</v>
      </c>
      <c r="E66" s="66">
        <f t="shared" si="57"/>
        <v>10.068627450980392</v>
      </c>
      <c r="F66" s="66">
        <f t="shared" si="57"/>
        <v>10.068627450980392</v>
      </c>
      <c r="G66" s="66">
        <f t="shared" si="57"/>
        <v>10.068627450980392</v>
      </c>
      <c r="H66" s="66">
        <f t="shared" si="57"/>
        <v>10.068627450980392</v>
      </c>
      <c r="I66" s="66">
        <f t="shared" si="57"/>
        <v>10.068627450980392</v>
      </c>
      <c r="J66" s="66">
        <f t="shared" si="57"/>
        <v>10.068627450980392</v>
      </c>
      <c r="K66" s="66">
        <f t="shared" si="57"/>
        <v>10.068627450980392</v>
      </c>
      <c r="L66" s="66">
        <f t="shared" si="57"/>
        <v>10.068627450980392</v>
      </c>
      <c r="M66" s="66">
        <f t="shared" si="57"/>
        <v>10.068627450980392</v>
      </c>
      <c r="N66" s="66">
        <f t="shared" si="57"/>
        <v>10.068627450980392</v>
      </c>
      <c r="O66" s="66">
        <f t="shared" si="57"/>
        <v>10.068627450980392</v>
      </c>
      <c r="P66" s="66">
        <f t="shared" si="57"/>
        <v>10.068627450980392</v>
      </c>
      <c r="Q66" s="66">
        <f t="shared" si="57"/>
        <v>10.068627450980392</v>
      </c>
      <c r="R66" s="66">
        <f t="shared" si="57"/>
        <v>10.068627450980392</v>
      </c>
      <c r="S66" s="66">
        <f t="shared" si="57"/>
        <v>10.068627450980392</v>
      </c>
      <c r="T66" s="66">
        <f t="shared" si="57"/>
        <v>10.068627450980392</v>
      </c>
      <c r="U66" s="66">
        <f t="shared" si="57"/>
        <v>10.068627450980392</v>
      </c>
      <c r="V66" s="66">
        <f t="shared" si="57"/>
        <v>10.068627450980392</v>
      </c>
      <c r="W66" s="66">
        <f t="shared" si="57"/>
        <v>10.068627450980392</v>
      </c>
      <c r="X66" s="66">
        <f t="shared" si="57"/>
        <v>10.068627450980392</v>
      </c>
      <c r="Y66" s="66">
        <f t="shared" si="57"/>
        <v>10.068627450980392</v>
      </c>
      <c r="Z66" s="66">
        <f t="shared" si="57"/>
        <v>10.068627450980392</v>
      </c>
      <c r="AA66" s="66">
        <f t="shared" si="57"/>
        <v>10.068627450980392</v>
      </c>
      <c r="AB66" s="66">
        <f t="shared" si="57"/>
        <v>10.068627450980392</v>
      </c>
      <c r="AC66" s="66">
        <f t="shared" si="57"/>
        <v>10.068627450980392</v>
      </c>
    </row>
    <row r="67" spans="1:29" x14ac:dyDescent="0.25">
      <c r="A67" s="30" t="str">
        <f t="shared" si="52"/>
        <v>Opex maintenance &amp; repair</v>
      </c>
      <c r="B67" s="66">
        <f>B37/B47</f>
        <v>4.0686274509803919</v>
      </c>
      <c r="C67" s="66">
        <f t="shared" ref="C67:AC67" si="58">C37/C47</f>
        <v>4.0686274509803919</v>
      </c>
      <c r="D67" s="66">
        <f t="shared" si="58"/>
        <v>4.0686274509803919</v>
      </c>
      <c r="E67" s="66">
        <f t="shared" si="58"/>
        <v>4.0686274509803919</v>
      </c>
      <c r="F67" s="66">
        <f t="shared" si="58"/>
        <v>4.0686274509803919</v>
      </c>
      <c r="G67" s="66">
        <f t="shared" si="58"/>
        <v>4.0686274509803919</v>
      </c>
      <c r="H67" s="66">
        <f t="shared" si="58"/>
        <v>4.0686274509803919</v>
      </c>
      <c r="I67" s="66">
        <f t="shared" si="58"/>
        <v>4.0686274509803919</v>
      </c>
      <c r="J67" s="66">
        <f t="shared" si="58"/>
        <v>4.0686274509803919</v>
      </c>
      <c r="K67" s="66">
        <f t="shared" si="58"/>
        <v>4.0686274509803919</v>
      </c>
      <c r="L67" s="66">
        <f t="shared" si="58"/>
        <v>4.0686274509803919</v>
      </c>
      <c r="M67" s="66">
        <f t="shared" si="58"/>
        <v>4.0686274509803919</v>
      </c>
      <c r="N67" s="66">
        <f t="shared" si="58"/>
        <v>4.0686274509803919</v>
      </c>
      <c r="O67" s="66">
        <f t="shared" si="58"/>
        <v>4.0686274509803919</v>
      </c>
      <c r="P67" s="66">
        <f t="shared" si="58"/>
        <v>4.0686274509803919</v>
      </c>
      <c r="Q67" s="66">
        <f t="shared" si="58"/>
        <v>4.0686274509803919</v>
      </c>
      <c r="R67" s="66">
        <f t="shared" si="58"/>
        <v>4.0686274509803919</v>
      </c>
      <c r="S67" s="66">
        <f t="shared" si="58"/>
        <v>4.0686274509803919</v>
      </c>
      <c r="T67" s="66">
        <f t="shared" si="58"/>
        <v>4.0686274509803919</v>
      </c>
      <c r="U67" s="66">
        <f t="shared" si="58"/>
        <v>4.0686274509803919</v>
      </c>
      <c r="V67" s="66">
        <f t="shared" si="58"/>
        <v>4.0686274509803919</v>
      </c>
      <c r="W67" s="66">
        <f t="shared" si="58"/>
        <v>4.0686274509803919</v>
      </c>
      <c r="X67" s="66">
        <f t="shared" si="58"/>
        <v>4.0686274509803919</v>
      </c>
      <c r="Y67" s="66">
        <f t="shared" si="58"/>
        <v>4.0686274509803919</v>
      </c>
      <c r="Z67" s="66">
        <f t="shared" si="58"/>
        <v>4.0686274509803919</v>
      </c>
      <c r="AA67" s="66">
        <f t="shared" si="58"/>
        <v>4.0686274509803919</v>
      </c>
      <c r="AB67" s="66">
        <f t="shared" si="58"/>
        <v>4.0686274509803919</v>
      </c>
      <c r="AC67" s="66">
        <f t="shared" si="58"/>
        <v>4.0686274509803919</v>
      </c>
    </row>
    <row r="68" spans="1:29" x14ac:dyDescent="0.25">
      <c r="A68" s="30" t="str">
        <f t="shared" si="52"/>
        <v>Opex var (mode-fees)</v>
      </c>
      <c r="B68" s="66">
        <f>B38*B47/B47</f>
        <v>0.8458018624557011</v>
      </c>
      <c r="C68" s="66">
        <f t="shared" ref="C68:AC68" si="59">C38*C47/C47</f>
        <v>0.8458018624557011</v>
      </c>
      <c r="D68" s="66">
        <f t="shared" si="59"/>
        <v>0.8458018624557011</v>
      </c>
      <c r="E68" s="66">
        <f t="shared" si="59"/>
        <v>0.8458018624557011</v>
      </c>
      <c r="F68" s="66">
        <f t="shared" si="59"/>
        <v>0.8458018624557011</v>
      </c>
      <c r="G68" s="66">
        <f t="shared" si="59"/>
        <v>0.8458018624557011</v>
      </c>
      <c r="H68" s="66">
        <f t="shared" si="59"/>
        <v>0.8458018624557011</v>
      </c>
      <c r="I68" s="66">
        <f t="shared" si="59"/>
        <v>0.8458018624557011</v>
      </c>
      <c r="J68" s="66">
        <f t="shared" si="59"/>
        <v>0.8458018624557011</v>
      </c>
      <c r="K68" s="66">
        <f t="shared" si="59"/>
        <v>0.8458018624557011</v>
      </c>
      <c r="L68" s="66">
        <f t="shared" si="59"/>
        <v>0.8458018624557011</v>
      </c>
      <c r="M68" s="66">
        <f t="shared" si="59"/>
        <v>0.8458018624557011</v>
      </c>
      <c r="N68" s="66">
        <f t="shared" si="59"/>
        <v>0.8458018624557011</v>
      </c>
      <c r="O68" s="66">
        <f t="shared" si="59"/>
        <v>0.8458018624557011</v>
      </c>
      <c r="P68" s="66">
        <f t="shared" si="59"/>
        <v>0.8458018624557011</v>
      </c>
      <c r="Q68" s="66">
        <f t="shared" si="59"/>
        <v>0.8458018624557011</v>
      </c>
      <c r="R68" s="66">
        <f t="shared" si="59"/>
        <v>0.8458018624557011</v>
      </c>
      <c r="S68" s="66">
        <f t="shared" si="59"/>
        <v>0.8458018624557011</v>
      </c>
      <c r="T68" s="66">
        <f t="shared" si="59"/>
        <v>0.8458018624557011</v>
      </c>
      <c r="U68" s="66">
        <f t="shared" si="59"/>
        <v>0.8458018624557011</v>
      </c>
      <c r="V68" s="66">
        <f t="shared" si="59"/>
        <v>0.8458018624557011</v>
      </c>
      <c r="W68" s="66">
        <f t="shared" si="59"/>
        <v>0.8458018624557011</v>
      </c>
      <c r="X68" s="66">
        <f t="shared" si="59"/>
        <v>0.8458018624557011</v>
      </c>
      <c r="Y68" s="66">
        <f t="shared" si="59"/>
        <v>0.8458018624557011</v>
      </c>
      <c r="Z68" s="66">
        <f t="shared" si="59"/>
        <v>0.8458018624557011</v>
      </c>
      <c r="AA68" s="66">
        <f t="shared" si="59"/>
        <v>0.8458018624557011</v>
      </c>
      <c r="AB68" s="66">
        <f t="shared" si="59"/>
        <v>0.8458018624557011</v>
      </c>
      <c r="AC68" s="66">
        <f t="shared" si="59"/>
        <v>0.8458018624557011</v>
      </c>
    </row>
    <row r="69" spans="1:29" x14ac:dyDescent="0.25">
      <c r="A69" s="30" t="str">
        <f t="shared" si="52"/>
        <v>Fuel Cost</v>
      </c>
      <c r="B69" s="66">
        <f>B39*B40*B47/B47</f>
        <v>38.813806562126089</v>
      </c>
      <c r="C69" s="66">
        <f t="shared" ref="C69:AC69" si="60">C39*C40*C47/C47</f>
        <v>38.811127132690224</v>
      </c>
      <c r="D69" s="66">
        <f t="shared" si="60"/>
        <v>38.807291589132269</v>
      </c>
      <c r="E69" s="66">
        <f t="shared" si="60"/>
        <v>38.801804574345127</v>
      </c>
      <c r="F69" s="66">
        <f t="shared" si="60"/>
        <v>38.79396241944437</v>
      </c>
      <c r="G69" s="66">
        <f t="shared" si="60"/>
        <v>38.782769969641045</v>
      </c>
      <c r="H69" s="66">
        <f t="shared" si="60"/>
        <v>38.766829175312601</v>
      </c>
      <c r="I69" s="66">
        <f t="shared" si="60"/>
        <v>38.744195532507597</v>
      </c>
      <c r="J69" s="66">
        <f t="shared" si="60"/>
        <v>38.712205053356911</v>
      </c>
      <c r="K69" s="66">
        <f t="shared" si="60"/>
        <v>38.667290997785422</v>
      </c>
      <c r="L69" s="66">
        <f t="shared" si="60"/>
        <v>38.604844156233987</v>
      </c>
      <c r="M69" s="66">
        <f t="shared" si="60"/>
        <v>38.519231872607968</v>
      </c>
      <c r="N69" s="66">
        <f t="shared" si="60"/>
        <v>38.404178137256018</v>
      </c>
      <c r="O69" s="66">
        <f t="shared" si="60"/>
        <v>38.253780678403992</v>
      </c>
      <c r="P69" s="66">
        <f t="shared" si="60"/>
        <v>38.064380499449811</v>
      </c>
      <c r="Q69" s="66">
        <f t="shared" si="60"/>
        <v>37.837105721437787</v>
      </c>
      <c r="R69" s="66">
        <f t="shared" si="60"/>
        <v>37.580109390239954</v>
      </c>
      <c r="S69" s="66">
        <f t="shared" si="60"/>
        <v>37.308799417823828</v>
      </c>
      <c r="T69" s="66">
        <f t="shared" si="60"/>
        <v>37.04282831819377</v>
      </c>
      <c r="U69" s="66">
        <f t="shared" si="60"/>
        <v>36.800709351569914</v>
      </c>
      <c r="V69" s="66">
        <f t="shared" si="60"/>
        <v>36.594942708343517</v>
      </c>
      <c r="W69" s="66">
        <f t="shared" si="60"/>
        <v>36.430160477837113</v>
      </c>
      <c r="X69" s="66">
        <f t="shared" si="60"/>
        <v>36.304424322403428</v>
      </c>
      <c r="Y69" s="66">
        <f t="shared" si="60"/>
        <v>36.211998164105417</v>
      </c>
      <c r="Z69" s="66">
        <f t="shared" si="60"/>
        <v>36.145914798020549</v>
      </c>
      <c r="AA69" s="66">
        <f t="shared" si="60"/>
        <v>36.099600117563483</v>
      </c>
      <c r="AB69" s="66">
        <f t="shared" si="60"/>
        <v>36.067593826644895</v>
      </c>
      <c r="AC69" s="66">
        <f t="shared" si="60"/>
        <v>36.045690326834659</v>
      </c>
    </row>
    <row r="70" spans="1:29" ht="15.75" thickBot="1" x14ac:dyDescent="0.3">
      <c r="A70" s="59" t="str">
        <f>A21</f>
        <v>Emission Cost</v>
      </c>
      <c r="B70" s="66">
        <f>B41</f>
        <v>17.334785285869845</v>
      </c>
      <c r="C70" s="66">
        <f t="shared" ref="C70:AC70" si="61">C41</f>
        <v>17.371592778833971</v>
      </c>
      <c r="D70" s="66">
        <f t="shared" si="61"/>
        <v>17.424281885191313</v>
      </c>
      <c r="E70" s="66">
        <f t="shared" si="61"/>
        <v>17.499657357099085</v>
      </c>
      <c r="F70" s="66">
        <f t="shared" si="61"/>
        <v>17.607385538878944</v>
      </c>
      <c r="G70" s="66">
        <f t="shared" si="61"/>
        <v>17.761136935304318</v>
      </c>
      <c r="H70" s="66">
        <f t="shared" si="61"/>
        <v>17.980116643160411</v>
      </c>
      <c r="I70" s="66">
        <f t="shared" si="61"/>
        <v>18.291036437183369</v>
      </c>
      <c r="J70" s="66">
        <f t="shared" si="61"/>
        <v>18.730491688550217</v>
      </c>
      <c r="K70" s="66">
        <f t="shared" si="61"/>
        <v>19.347478933039792</v>
      </c>
      <c r="L70" s="66">
        <f t="shared" si="61"/>
        <v>20.2053151761856</v>
      </c>
      <c r="M70" s="66">
        <f t="shared" si="61"/>
        <v>21.381376573820816</v>
      </c>
      <c r="N70" s="66">
        <f t="shared" si="61"/>
        <v>22.961877070598074</v>
      </c>
      <c r="O70" s="66">
        <f t="shared" si="61"/>
        <v>25.027896550126819</v>
      </c>
      <c r="P70" s="66">
        <f t="shared" si="61"/>
        <v>27.629698881977127</v>
      </c>
      <c r="Q70" s="66">
        <f t="shared" si="61"/>
        <v>30.751786995449869</v>
      </c>
      <c r="R70" s="66">
        <f t="shared" si="61"/>
        <v>34.282161979674356</v>
      </c>
      <c r="S70" s="66">
        <f t="shared" si="61"/>
        <v>38.009164365756064</v>
      </c>
      <c r="T70" s="66">
        <f t="shared" si="61"/>
        <v>41.662826316042121</v>
      </c>
      <c r="U70" s="66">
        <f t="shared" si="61"/>
        <v>44.988829994737316</v>
      </c>
      <c r="V70" s="66">
        <f t="shared" si="61"/>
        <v>47.815459489596307</v>
      </c>
      <c r="W70" s="66">
        <f t="shared" si="61"/>
        <v>50.07908349431699</v>
      </c>
      <c r="X70" s="66">
        <f t="shared" si="61"/>
        <v>51.806329076721653</v>
      </c>
      <c r="Y70" s="66">
        <f t="shared" si="61"/>
        <v>53.075993105085033</v>
      </c>
      <c r="Z70" s="66">
        <f t="shared" si="61"/>
        <v>53.98378451756151</v>
      </c>
      <c r="AA70" s="66">
        <f t="shared" si="61"/>
        <v>54.620012235388991</v>
      </c>
      <c r="AB70" s="66">
        <f t="shared" si="61"/>
        <v>55.059684694019481</v>
      </c>
      <c r="AC70" s="66">
        <f t="shared" si="61"/>
        <v>55.360574467179326</v>
      </c>
    </row>
    <row r="71" spans="1:29" ht="15.75" thickBot="1" x14ac:dyDescent="0.3">
      <c r="A71" s="31" t="s">
        <v>63</v>
      </c>
      <c r="B71" s="76">
        <f>B62+B63+B64-B65+B66+B67+B68+B69+B70</f>
        <v>80.650306447741144</v>
      </c>
      <c r="C71" s="76">
        <f t="shared" ref="C71:AC71" si="62">C62+C63+C64-C65+C66+C67+C68+C69+C70</f>
        <v>80.68489905686215</v>
      </c>
      <c r="D71" s="76">
        <f t="shared" si="62"/>
        <v>80.734417606330638</v>
      </c>
      <c r="E71" s="76">
        <f t="shared" si="62"/>
        <v>80.805257373645375</v>
      </c>
      <c r="F71" s="76">
        <f t="shared" si="62"/>
        <v>80.906503032708869</v>
      </c>
      <c r="G71" s="76">
        <f t="shared" si="62"/>
        <v>81.051002468286754</v>
      </c>
      <c r="H71" s="76">
        <f t="shared" si="62"/>
        <v>81.256805114141557</v>
      </c>
      <c r="I71" s="76">
        <f t="shared" si="62"/>
        <v>81.549015369078091</v>
      </c>
      <c r="J71" s="76">
        <f t="shared" si="62"/>
        <v>81.962026484818182</v>
      </c>
      <c r="K71" s="76">
        <f t="shared" si="62"/>
        <v>82.541886639979523</v>
      </c>
      <c r="L71" s="76">
        <f t="shared" si="62"/>
        <v>83.348102751408319</v>
      </c>
      <c r="M71" s="76">
        <f t="shared" si="62"/>
        <v>84.453394879572485</v>
      </c>
      <c r="N71" s="76">
        <f t="shared" si="62"/>
        <v>85.938789061508984</v>
      </c>
      <c r="O71" s="76">
        <f t="shared" si="62"/>
        <v>87.880486214352061</v>
      </c>
      <c r="P71" s="76">
        <f t="shared" si="62"/>
        <v>90.325725588942333</v>
      </c>
      <c r="Q71" s="76">
        <f t="shared" si="62"/>
        <v>93.259942647843445</v>
      </c>
      <c r="R71" s="76">
        <f t="shared" si="62"/>
        <v>96.577877993206528</v>
      </c>
      <c r="S71" s="76">
        <f t="shared" si="62"/>
        <v>100.08060872416019</v>
      </c>
      <c r="T71" s="76">
        <f t="shared" si="62"/>
        <v>103.51441226600272</v>
      </c>
      <c r="U71" s="76">
        <f t="shared" si="62"/>
        <v>106.64027431002427</v>
      </c>
      <c r="V71" s="76">
        <f t="shared" si="62"/>
        <v>109.29681191612752</v>
      </c>
      <c r="W71" s="76">
        <f t="shared" si="62"/>
        <v>111.42422277968623</v>
      </c>
      <c r="X71" s="76">
        <f t="shared" si="62"/>
        <v>113.0475316898137</v>
      </c>
      <c r="Y71" s="76">
        <f t="shared" si="62"/>
        <v>114.24079392832016</v>
      </c>
      <c r="Z71" s="76">
        <f t="shared" si="62"/>
        <v>115.09395916632801</v>
      </c>
      <c r="AA71" s="76">
        <f t="shared" si="62"/>
        <v>115.69190200302734</v>
      </c>
      <c r="AB71" s="76">
        <f t="shared" si="62"/>
        <v>116.10511725562554</v>
      </c>
      <c r="AC71" s="76">
        <f t="shared" si="62"/>
        <v>116.38790104428438</v>
      </c>
    </row>
    <row r="72" spans="1:29" ht="15.75" thickBot="1" x14ac:dyDescent="0.3"/>
    <row r="73" spans="1:29" ht="15.75" thickBot="1" x14ac:dyDescent="0.3">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3">A50</f>
        <v>Capex vehicle</v>
      </c>
      <c r="B74" s="65">
        <f>((1+B35)^B42)*B35/(((1+B35)^B42)-1)*(B31)/B47/(B44)</f>
        <v>1.0347449498978036E-3</v>
      </c>
      <c r="C74" s="65">
        <f t="shared" ref="C74:AC74" si="64">((1+C35)^C42)*C35/(((1+C35)^C42)-1)*(C31)/C47/(C44)</f>
        <v>1.0347449498978036E-3</v>
      </c>
      <c r="D74" s="65">
        <f t="shared" si="64"/>
        <v>1.0347449498978036E-3</v>
      </c>
      <c r="E74" s="65">
        <f t="shared" si="64"/>
        <v>1.0347449498978036E-3</v>
      </c>
      <c r="F74" s="65">
        <f t="shared" si="64"/>
        <v>1.0347449498978036E-3</v>
      </c>
      <c r="G74" s="65">
        <f t="shared" si="64"/>
        <v>1.0347449498978036E-3</v>
      </c>
      <c r="H74" s="65">
        <f t="shared" si="64"/>
        <v>1.0347449498978036E-3</v>
      </c>
      <c r="I74" s="65">
        <f t="shared" si="64"/>
        <v>1.0347449498978036E-3</v>
      </c>
      <c r="J74" s="65">
        <f t="shared" si="64"/>
        <v>1.0347449498978036E-3</v>
      </c>
      <c r="K74" s="65">
        <f t="shared" si="64"/>
        <v>1.0347449498978036E-3</v>
      </c>
      <c r="L74" s="65">
        <f t="shared" si="64"/>
        <v>1.0347449498978036E-3</v>
      </c>
      <c r="M74" s="65">
        <f t="shared" si="64"/>
        <v>1.0347449498978036E-3</v>
      </c>
      <c r="N74" s="65">
        <f t="shared" si="64"/>
        <v>1.0347449498978036E-3</v>
      </c>
      <c r="O74" s="65">
        <f t="shared" si="64"/>
        <v>1.0347449498978036E-3</v>
      </c>
      <c r="P74" s="65">
        <f t="shared" si="64"/>
        <v>1.0347449498978036E-3</v>
      </c>
      <c r="Q74" s="65">
        <f t="shared" si="64"/>
        <v>1.0347449498978036E-3</v>
      </c>
      <c r="R74" s="65">
        <f t="shared" si="64"/>
        <v>1.0347449498978036E-3</v>
      </c>
      <c r="S74" s="65">
        <f t="shared" si="64"/>
        <v>1.0347449498978036E-3</v>
      </c>
      <c r="T74" s="65">
        <f t="shared" si="64"/>
        <v>1.0347449498978036E-3</v>
      </c>
      <c r="U74" s="65">
        <f t="shared" si="64"/>
        <v>1.0347449498978036E-3</v>
      </c>
      <c r="V74" s="65">
        <f t="shared" si="64"/>
        <v>1.0347449498978036E-3</v>
      </c>
      <c r="W74" s="65">
        <f t="shared" si="64"/>
        <v>1.0347449498978036E-3</v>
      </c>
      <c r="X74" s="65">
        <f t="shared" si="64"/>
        <v>1.0347449498978036E-3</v>
      </c>
      <c r="Y74" s="65">
        <f t="shared" si="64"/>
        <v>1.0347449498978036E-3</v>
      </c>
      <c r="Z74" s="65">
        <f t="shared" si="64"/>
        <v>1.0347449498978036E-3</v>
      </c>
      <c r="AA74" s="65">
        <f t="shared" si="64"/>
        <v>1.0347449498978036E-3</v>
      </c>
      <c r="AB74" s="65">
        <f t="shared" si="64"/>
        <v>1.0347449498978036E-3</v>
      </c>
      <c r="AC74" s="65">
        <f t="shared" si="64"/>
        <v>1.0347449498978036E-3</v>
      </c>
    </row>
    <row r="75" spans="1:29" x14ac:dyDescent="0.25">
      <c r="A75" s="30" t="str">
        <f t="shared" si="63"/>
        <v>Residual value (vehicle)</v>
      </c>
      <c r="B75" s="68">
        <f>((1+B35)^B42)*B35/(((1+B35)^B42)-1)*(B32)/B47/(B44)</f>
        <v>-1.0336086682377807E-4</v>
      </c>
      <c r="C75" s="68">
        <f t="shared" ref="C75:AC75" si="65">((1+C35)^C42)*C35/(((1+C35)^C42)-1)*(C32)/C47/(C44)</f>
        <v>-1.0331170855999495E-4</v>
      </c>
      <c r="D75" s="68">
        <f t="shared" si="65"/>
        <v>-1.0324133960030145E-4</v>
      </c>
      <c r="E75" s="68">
        <f t="shared" si="65"/>
        <v>-1.0314067185489343E-4</v>
      </c>
      <c r="F75" s="68">
        <f t="shared" si="65"/>
        <v>-1.0299679543326449E-4</v>
      </c>
      <c r="G75" s="68">
        <f t="shared" si="65"/>
        <v>-1.0279145268661591E-4</v>
      </c>
      <c r="H75" s="68">
        <f t="shared" si="65"/>
        <v>-1.0249899423929835E-4</v>
      </c>
      <c r="I75" s="68">
        <f t="shared" si="65"/>
        <v>-1.0208374516854875E-4</v>
      </c>
      <c r="J75" s="68">
        <f t="shared" si="65"/>
        <v>-1.0149683050993223E-4</v>
      </c>
      <c r="K75" s="68">
        <f t="shared" si="65"/>
        <v>-1.0067281291805218E-4</v>
      </c>
      <c r="L75" s="68">
        <f t="shared" si="65"/>
        <v>-9.9527129337690295E-5</v>
      </c>
      <c r="M75" s="68">
        <f t="shared" si="65"/>
        <v>-9.7956440009122124E-5</v>
      </c>
      <c r="N75" s="68">
        <f t="shared" si="65"/>
        <v>-9.5845601859790468E-5</v>
      </c>
      <c r="O75" s="68">
        <f t="shared" si="65"/>
        <v>-9.3086328614673487E-5</v>
      </c>
      <c r="P75" s="68">
        <f t="shared" si="65"/>
        <v>-8.9611490340159677E-5</v>
      </c>
      <c r="Q75" s="68">
        <f t="shared" si="65"/>
        <v>-8.5441784155991385E-5</v>
      </c>
      <c r="R75" s="68">
        <f t="shared" si="65"/>
        <v>-8.0726790257955685E-5</v>
      </c>
      <c r="S75" s="68">
        <f t="shared" si="65"/>
        <v>-7.5749190544932557E-5</v>
      </c>
      <c r="T75" s="68">
        <f t="shared" si="65"/>
        <v>-7.086954068392259E-5</v>
      </c>
      <c r="U75" s="68">
        <f t="shared" si="65"/>
        <v>-6.6427494974906487E-5</v>
      </c>
      <c r="V75" s="68">
        <f t="shared" si="65"/>
        <v>-6.2652388681716054E-5</v>
      </c>
      <c r="W75" s="68">
        <f t="shared" si="65"/>
        <v>-5.9629204624102501E-5</v>
      </c>
      <c r="X75" s="68">
        <f t="shared" si="65"/>
        <v>-5.7322381009659713E-5</v>
      </c>
      <c r="Y75" s="68">
        <f t="shared" si="65"/>
        <v>-5.5626680645522941E-5</v>
      </c>
      <c r="Z75" s="68">
        <f t="shared" si="65"/>
        <v>-5.4414279416293167E-5</v>
      </c>
      <c r="AA75" s="68">
        <f t="shared" si="65"/>
        <v>-5.3564565201592909E-5</v>
      </c>
      <c r="AB75" s="68">
        <f t="shared" si="65"/>
        <v>-5.2977360451717727E-5</v>
      </c>
      <c r="AC75" s="68">
        <f t="shared" si="65"/>
        <v>-5.2575506979843073E-5</v>
      </c>
    </row>
    <row r="76" spans="1:29" x14ac:dyDescent="0.25">
      <c r="A76" s="30" t="str">
        <f t="shared" si="63"/>
        <v>Capex costumization</v>
      </c>
      <c r="B76" s="66">
        <f>((1+B35)^B43)*B35/(((1+B35)^B43)-1)*(B33)/B47/(B44)</f>
        <v>6.8982996659853576E-5</v>
      </c>
      <c r="C76" s="66">
        <f t="shared" ref="C76:AC76" si="66">((1+C35)^C43)*C35/(((1+C35)^C43)-1)*(C33)/C47/(C44)</f>
        <v>6.8982996659853576E-5</v>
      </c>
      <c r="D76" s="66">
        <f t="shared" si="66"/>
        <v>6.8982996659853576E-5</v>
      </c>
      <c r="E76" s="66">
        <f t="shared" si="66"/>
        <v>6.8982996659853576E-5</v>
      </c>
      <c r="F76" s="66">
        <f t="shared" si="66"/>
        <v>6.8982996659853576E-5</v>
      </c>
      <c r="G76" s="66">
        <f t="shared" si="66"/>
        <v>6.8982996659853576E-5</v>
      </c>
      <c r="H76" s="66">
        <f t="shared" si="66"/>
        <v>6.8982996659853576E-5</v>
      </c>
      <c r="I76" s="66">
        <f t="shared" si="66"/>
        <v>6.8982996659853576E-5</v>
      </c>
      <c r="J76" s="66">
        <f t="shared" si="66"/>
        <v>6.8982996659853576E-5</v>
      </c>
      <c r="K76" s="66">
        <f t="shared" si="66"/>
        <v>6.8982996659853576E-5</v>
      </c>
      <c r="L76" s="66">
        <f t="shared" si="66"/>
        <v>6.8982996659853576E-5</v>
      </c>
      <c r="M76" s="66">
        <f t="shared" si="66"/>
        <v>6.8982996659853576E-5</v>
      </c>
      <c r="N76" s="66">
        <f t="shared" si="66"/>
        <v>6.8982996659853576E-5</v>
      </c>
      <c r="O76" s="66">
        <f t="shared" si="66"/>
        <v>6.8982996659853576E-5</v>
      </c>
      <c r="P76" s="66">
        <f t="shared" si="66"/>
        <v>6.8982996659853576E-5</v>
      </c>
      <c r="Q76" s="66">
        <f t="shared" si="66"/>
        <v>6.8982996659853576E-5</v>
      </c>
      <c r="R76" s="66">
        <f t="shared" si="66"/>
        <v>6.8982996659853576E-5</v>
      </c>
      <c r="S76" s="66">
        <f t="shared" si="66"/>
        <v>6.8982996659853576E-5</v>
      </c>
      <c r="T76" s="66">
        <f t="shared" si="66"/>
        <v>6.8982996659853576E-5</v>
      </c>
      <c r="U76" s="66">
        <f t="shared" si="66"/>
        <v>6.8982996659853576E-5</v>
      </c>
      <c r="V76" s="66">
        <f t="shared" si="66"/>
        <v>6.8982996659853576E-5</v>
      </c>
      <c r="W76" s="66">
        <f t="shared" si="66"/>
        <v>6.8982996659853576E-5</v>
      </c>
      <c r="X76" s="66">
        <f t="shared" si="66"/>
        <v>6.8982996659853576E-5</v>
      </c>
      <c r="Y76" s="66">
        <f t="shared" si="66"/>
        <v>6.8982996659853576E-5</v>
      </c>
      <c r="Z76" s="66">
        <f t="shared" si="66"/>
        <v>6.8982996659853576E-5</v>
      </c>
      <c r="AA76" s="66">
        <f t="shared" si="66"/>
        <v>6.8982996659853576E-5</v>
      </c>
      <c r="AB76" s="66">
        <f t="shared" si="66"/>
        <v>6.8982996659853576E-5</v>
      </c>
      <c r="AC76" s="66">
        <f t="shared" si="66"/>
        <v>6.8982996659853576E-5</v>
      </c>
    </row>
    <row r="77" spans="1:29" x14ac:dyDescent="0.25">
      <c r="A77" s="30" t="str">
        <f t="shared" si="63"/>
        <v>Residual value (costumization)</v>
      </c>
      <c r="B77" s="69">
        <f>((1+B35)^B43)*B35/(((1+B35)^B43)-1)*(B34)/B47/(B44)</f>
        <v>-6.8982996659853564E-6</v>
      </c>
      <c r="C77" s="69">
        <f t="shared" ref="C77:AC77" si="67">((1+C35)^C43)*C35/(((1+C35)^C43)-1)*(C34)/C47/(C44)</f>
        <v>-6.8982996659853564E-6</v>
      </c>
      <c r="D77" s="69">
        <f t="shared" si="67"/>
        <v>-6.8982996659853564E-6</v>
      </c>
      <c r="E77" s="69">
        <f t="shared" si="67"/>
        <v>-6.8982996659853564E-6</v>
      </c>
      <c r="F77" s="69">
        <f t="shared" si="67"/>
        <v>-6.8982996659853564E-6</v>
      </c>
      <c r="G77" s="69">
        <f t="shared" si="67"/>
        <v>-6.8982996659853564E-6</v>
      </c>
      <c r="H77" s="69">
        <f t="shared" si="67"/>
        <v>-6.8982996659853564E-6</v>
      </c>
      <c r="I77" s="69">
        <f t="shared" si="67"/>
        <v>-6.8982996659853564E-6</v>
      </c>
      <c r="J77" s="69">
        <f t="shared" si="67"/>
        <v>-6.8982996659853564E-6</v>
      </c>
      <c r="K77" s="69">
        <f t="shared" si="67"/>
        <v>-6.8982996659853564E-6</v>
      </c>
      <c r="L77" s="69">
        <f t="shared" si="67"/>
        <v>-6.8982996659853564E-6</v>
      </c>
      <c r="M77" s="69">
        <f t="shared" si="67"/>
        <v>-6.8982996659853564E-6</v>
      </c>
      <c r="N77" s="69">
        <f t="shared" si="67"/>
        <v>-6.8982996659853564E-6</v>
      </c>
      <c r="O77" s="69">
        <f t="shared" si="67"/>
        <v>-6.8982996659853564E-6</v>
      </c>
      <c r="P77" s="69">
        <f t="shared" si="67"/>
        <v>-6.8982996659853564E-6</v>
      </c>
      <c r="Q77" s="69">
        <f t="shared" si="67"/>
        <v>-6.8982996659853564E-6</v>
      </c>
      <c r="R77" s="69">
        <f t="shared" si="67"/>
        <v>-6.8982996659853564E-6</v>
      </c>
      <c r="S77" s="69">
        <f t="shared" si="67"/>
        <v>-6.8982996659853564E-6</v>
      </c>
      <c r="T77" s="69">
        <f t="shared" si="67"/>
        <v>-6.8982996659853564E-6</v>
      </c>
      <c r="U77" s="69">
        <f t="shared" si="67"/>
        <v>-6.8982996659853564E-6</v>
      </c>
      <c r="V77" s="69">
        <f t="shared" si="67"/>
        <v>-6.8982996659853564E-6</v>
      </c>
      <c r="W77" s="69">
        <f t="shared" si="67"/>
        <v>-6.8982996659853564E-6</v>
      </c>
      <c r="X77" s="69">
        <f t="shared" si="67"/>
        <v>-6.8982996659853564E-6</v>
      </c>
      <c r="Y77" s="69">
        <f t="shared" si="67"/>
        <v>-6.8982996659853564E-6</v>
      </c>
      <c r="Z77" s="69">
        <f t="shared" si="67"/>
        <v>-6.8982996659853564E-6</v>
      </c>
      <c r="AA77" s="69">
        <f t="shared" si="67"/>
        <v>-6.8982996659853564E-6</v>
      </c>
      <c r="AB77" s="69">
        <f t="shared" si="67"/>
        <v>-6.8982996659853564E-6</v>
      </c>
      <c r="AC77" s="69">
        <f t="shared" si="67"/>
        <v>-6.8982996659853564E-6</v>
      </c>
    </row>
    <row r="78" spans="1:29" x14ac:dyDescent="0.25">
      <c r="A78" s="30" t="str">
        <f t="shared" si="63"/>
        <v>Opex fix (admin, crew, insurance)</v>
      </c>
      <c r="B78" s="66">
        <f>B36/B47/(B44)</f>
        <v>1.0654632223259673E-3</v>
      </c>
      <c r="C78" s="66">
        <f t="shared" ref="C78:AC78" si="68">C36/C47/(C44)</f>
        <v>1.0654632223259673E-3</v>
      </c>
      <c r="D78" s="66">
        <f t="shared" si="68"/>
        <v>1.0654632223259673E-3</v>
      </c>
      <c r="E78" s="66">
        <f t="shared" si="68"/>
        <v>1.0654632223259673E-3</v>
      </c>
      <c r="F78" s="66">
        <f t="shared" si="68"/>
        <v>1.0654632223259673E-3</v>
      </c>
      <c r="G78" s="66">
        <f t="shared" si="68"/>
        <v>1.0654632223259673E-3</v>
      </c>
      <c r="H78" s="66">
        <f t="shared" si="68"/>
        <v>1.0654632223259673E-3</v>
      </c>
      <c r="I78" s="66">
        <f t="shared" si="68"/>
        <v>1.0654632223259673E-3</v>
      </c>
      <c r="J78" s="66">
        <f t="shared" si="68"/>
        <v>1.0654632223259673E-3</v>
      </c>
      <c r="K78" s="66">
        <f t="shared" si="68"/>
        <v>1.0654632223259673E-3</v>
      </c>
      <c r="L78" s="66">
        <f t="shared" si="68"/>
        <v>1.0654632223259673E-3</v>
      </c>
      <c r="M78" s="66">
        <f t="shared" si="68"/>
        <v>1.0654632223259673E-3</v>
      </c>
      <c r="N78" s="66">
        <f t="shared" si="68"/>
        <v>1.0654632223259673E-3</v>
      </c>
      <c r="O78" s="66">
        <f t="shared" si="68"/>
        <v>1.0654632223259673E-3</v>
      </c>
      <c r="P78" s="66">
        <f t="shared" si="68"/>
        <v>1.0654632223259673E-3</v>
      </c>
      <c r="Q78" s="66">
        <f t="shared" si="68"/>
        <v>1.0654632223259673E-3</v>
      </c>
      <c r="R78" s="66">
        <f t="shared" si="68"/>
        <v>1.0654632223259673E-3</v>
      </c>
      <c r="S78" s="66">
        <f t="shared" si="68"/>
        <v>1.0654632223259673E-3</v>
      </c>
      <c r="T78" s="66">
        <f t="shared" si="68"/>
        <v>1.0654632223259673E-3</v>
      </c>
      <c r="U78" s="66">
        <f t="shared" si="68"/>
        <v>1.0654632223259673E-3</v>
      </c>
      <c r="V78" s="66">
        <f t="shared" si="68"/>
        <v>1.0654632223259673E-3</v>
      </c>
      <c r="W78" s="66">
        <f t="shared" si="68"/>
        <v>1.0654632223259673E-3</v>
      </c>
      <c r="X78" s="66">
        <f t="shared" si="68"/>
        <v>1.0654632223259673E-3</v>
      </c>
      <c r="Y78" s="66">
        <f t="shared" si="68"/>
        <v>1.0654632223259673E-3</v>
      </c>
      <c r="Z78" s="66">
        <f t="shared" si="68"/>
        <v>1.0654632223259673E-3</v>
      </c>
      <c r="AA78" s="66">
        <f t="shared" si="68"/>
        <v>1.0654632223259673E-3</v>
      </c>
      <c r="AB78" s="66">
        <f t="shared" si="68"/>
        <v>1.0654632223259673E-3</v>
      </c>
      <c r="AC78" s="66">
        <f t="shared" si="68"/>
        <v>1.0654632223259673E-3</v>
      </c>
    </row>
    <row r="79" spans="1:29" x14ac:dyDescent="0.25">
      <c r="A79" s="30" t="str">
        <f t="shared" si="63"/>
        <v>Opex maintenance &amp; repair</v>
      </c>
      <c r="B79" s="66">
        <f>B37/B47/(B44)</f>
        <v>4.305425874053325E-4</v>
      </c>
      <c r="C79" s="66">
        <f t="shared" ref="C79:AC79" si="69">C37/C47/(C44)</f>
        <v>4.305425874053325E-4</v>
      </c>
      <c r="D79" s="66">
        <f t="shared" si="69"/>
        <v>4.305425874053325E-4</v>
      </c>
      <c r="E79" s="66">
        <f t="shared" si="69"/>
        <v>4.305425874053325E-4</v>
      </c>
      <c r="F79" s="66">
        <f t="shared" si="69"/>
        <v>4.305425874053325E-4</v>
      </c>
      <c r="G79" s="66">
        <f t="shared" si="69"/>
        <v>4.305425874053325E-4</v>
      </c>
      <c r="H79" s="66">
        <f t="shared" si="69"/>
        <v>4.305425874053325E-4</v>
      </c>
      <c r="I79" s="66">
        <f t="shared" si="69"/>
        <v>4.305425874053325E-4</v>
      </c>
      <c r="J79" s="66">
        <f t="shared" si="69"/>
        <v>4.305425874053325E-4</v>
      </c>
      <c r="K79" s="66">
        <f t="shared" si="69"/>
        <v>4.305425874053325E-4</v>
      </c>
      <c r="L79" s="66">
        <f t="shared" si="69"/>
        <v>4.305425874053325E-4</v>
      </c>
      <c r="M79" s="66">
        <f t="shared" si="69"/>
        <v>4.305425874053325E-4</v>
      </c>
      <c r="N79" s="66">
        <f t="shared" si="69"/>
        <v>4.305425874053325E-4</v>
      </c>
      <c r="O79" s="66">
        <f t="shared" si="69"/>
        <v>4.305425874053325E-4</v>
      </c>
      <c r="P79" s="66">
        <f t="shared" si="69"/>
        <v>4.305425874053325E-4</v>
      </c>
      <c r="Q79" s="66">
        <f t="shared" si="69"/>
        <v>4.305425874053325E-4</v>
      </c>
      <c r="R79" s="66">
        <f t="shared" si="69"/>
        <v>4.305425874053325E-4</v>
      </c>
      <c r="S79" s="66">
        <f t="shared" si="69"/>
        <v>4.305425874053325E-4</v>
      </c>
      <c r="T79" s="66">
        <f t="shared" si="69"/>
        <v>4.305425874053325E-4</v>
      </c>
      <c r="U79" s="66">
        <f t="shared" si="69"/>
        <v>4.305425874053325E-4</v>
      </c>
      <c r="V79" s="66">
        <f t="shared" si="69"/>
        <v>4.305425874053325E-4</v>
      </c>
      <c r="W79" s="66">
        <f t="shared" si="69"/>
        <v>4.305425874053325E-4</v>
      </c>
      <c r="X79" s="66">
        <f t="shared" si="69"/>
        <v>4.305425874053325E-4</v>
      </c>
      <c r="Y79" s="66">
        <f t="shared" si="69"/>
        <v>4.305425874053325E-4</v>
      </c>
      <c r="Z79" s="66">
        <f t="shared" si="69"/>
        <v>4.305425874053325E-4</v>
      </c>
      <c r="AA79" s="66">
        <f t="shared" si="69"/>
        <v>4.305425874053325E-4</v>
      </c>
      <c r="AB79" s="66">
        <f t="shared" si="69"/>
        <v>4.305425874053325E-4</v>
      </c>
      <c r="AC79" s="66">
        <f t="shared" si="69"/>
        <v>4.305425874053325E-4</v>
      </c>
    </row>
    <row r="80" spans="1:29" x14ac:dyDescent="0.25">
      <c r="A80" s="30" t="str">
        <f t="shared" si="63"/>
        <v>Opex var (mode-fees)</v>
      </c>
      <c r="B80" s="66">
        <f>B38*B47/B47/(B44)</f>
        <v>8.9502842587904882E-5</v>
      </c>
      <c r="C80" s="66">
        <f t="shared" ref="C80:AC80" si="70">C38*C47/C47/(C44)</f>
        <v>8.9502842587904882E-5</v>
      </c>
      <c r="D80" s="66">
        <f t="shared" si="70"/>
        <v>8.9502842587904882E-5</v>
      </c>
      <c r="E80" s="66">
        <f t="shared" si="70"/>
        <v>8.9502842587904882E-5</v>
      </c>
      <c r="F80" s="66">
        <f t="shared" si="70"/>
        <v>8.9502842587904882E-5</v>
      </c>
      <c r="G80" s="66">
        <f t="shared" si="70"/>
        <v>8.9502842587904882E-5</v>
      </c>
      <c r="H80" s="66">
        <f t="shared" si="70"/>
        <v>8.9502842587904882E-5</v>
      </c>
      <c r="I80" s="66">
        <f t="shared" si="70"/>
        <v>8.9502842587904882E-5</v>
      </c>
      <c r="J80" s="66">
        <f t="shared" si="70"/>
        <v>8.9502842587904882E-5</v>
      </c>
      <c r="K80" s="66">
        <f t="shared" si="70"/>
        <v>8.9502842587904882E-5</v>
      </c>
      <c r="L80" s="66">
        <f t="shared" si="70"/>
        <v>8.9502842587904882E-5</v>
      </c>
      <c r="M80" s="66">
        <f t="shared" si="70"/>
        <v>8.9502842587904882E-5</v>
      </c>
      <c r="N80" s="66">
        <f t="shared" si="70"/>
        <v>8.9502842587904882E-5</v>
      </c>
      <c r="O80" s="66">
        <f t="shared" si="70"/>
        <v>8.9502842587904882E-5</v>
      </c>
      <c r="P80" s="66">
        <f t="shared" si="70"/>
        <v>8.9502842587904882E-5</v>
      </c>
      <c r="Q80" s="66">
        <f t="shared" si="70"/>
        <v>8.9502842587904882E-5</v>
      </c>
      <c r="R80" s="66">
        <f t="shared" si="70"/>
        <v>8.9502842587904882E-5</v>
      </c>
      <c r="S80" s="66">
        <f t="shared" si="70"/>
        <v>8.9502842587904882E-5</v>
      </c>
      <c r="T80" s="66">
        <f t="shared" si="70"/>
        <v>8.9502842587904882E-5</v>
      </c>
      <c r="U80" s="66">
        <f t="shared" si="70"/>
        <v>8.9502842587904882E-5</v>
      </c>
      <c r="V80" s="66">
        <f t="shared" si="70"/>
        <v>8.9502842587904882E-5</v>
      </c>
      <c r="W80" s="66">
        <f t="shared" si="70"/>
        <v>8.9502842587904882E-5</v>
      </c>
      <c r="X80" s="66">
        <f t="shared" si="70"/>
        <v>8.9502842587904882E-5</v>
      </c>
      <c r="Y80" s="66">
        <f t="shared" si="70"/>
        <v>8.9502842587904882E-5</v>
      </c>
      <c r="Z80" s="66">
        <f t="shared" si="70"/>
        <v>8.9502842587904882E-5</v>
      </c>
      <c r="AA80" s="66">
        <f t="shared" si="70"/>
        <v>8.9502842587904882E-5</v>
      </c>
      <c r="AB80" s="66">
        <f t="shared" si="70"/>
        <v>8.9502842587904882E-5</v>
      </c>
      <c r="AC80" s="66">
        <f t="shared" si="70"/>
        <v>8.9502842587904882E-5</v>
      </c>
    </row>
    <row r="81" spans="1:29" x14ac:dyDescent="0.25">
      <c r="A81" s="30" t="str">
        <f t="shared" si="63"/>
        <v>Fuel Cost</v>
      </c>
      <c r="B81" s="66">
        <f>B39*B40*B47/B47/(B44)</f>
        <v>4.1072811176853007E-3</v>
      </c>
      <c r="C81" s="66">
        <f t="shared" ref="C81:AC81" si="71">C39*C40*C47/C47/(C44)</f>
        <v>4.1069975801788601E-3</v>
      </c>
      <c r="D81" s="66">
        <f t="shared" si="71"/>
        <v>4.106591702553679E-3</v>
      </c>
      <c r="E81" s="66">
        <f t="shared" si="71"/>
        <v>4.1060110660682677E-3</v>
      </c>
      <c r="F81" s="66">
        <f t="shared" si="71"/>
        <v>4.1051812084068112E-3</v>
      </c>
      <c r="G81" s="66">
        <f t="shared" si="71"/>
        <v>4.1039968221842377E-3</v>
      </c>
      <c r="H81" s="66">
        <f t="shared" si="71"/>
        <v>4.1023099656415452E-3</v>
      </c>
      <c r="I81" s="66">
        <f t="shared" si="71"/>
        <v>4.0999148711648248E-3</v>
      </c>
      <c r="J81" s="66">
        <f t="shared" si="71"/>
        <v>4.0965296352758638E-3</v>
      </c>
      <c r="K81" s="66">
        <f t="shared" si="71"/>
        <v>4.0917768251624784E-3</v>
      </c>
      <c r="L81" s="66">
        <f t="shared" si="71"/>
        <v>4.0851686937813745E-3</v>
      </c>
      <c r="M81" s="66">
        <f t="shared" si="71"/>
        <v>4.076109192868568E-3</v>
      </c>
      <c r="N81" s="66">
        <f t="shared" si="71"/>
        <v>4.0639341944186261E-3</v>
      </c>
      <c r="O81" s="66">
        <f t="shared" si="71"/>
        <v>4.0480191194078299E-3</v>
      </c>
      <c r="P81" s="66">
        <f t="shared" si="71"/>
        <v>4.0279767724285516E-3</v>
      </c>
      <c r="Q81" s="66">
        <f t="shared" si="71"/>
        <v>4.0039265313690777E-3</v>
      </c>
      <c r="R81" s="66">
        <f t="shared" si="71"/>
        <v>3.9767311524063443E-3</v>
      </c>
      <c r="S81" s="66">
        <f t="shared" si="71"/>
        <v>3.9480211024152199E-3</v>
      </c>
      <c r="T81" s="66">
        <f t="shared" si="71"/>
        <v>3.9198760125072774E-3</v>
      </c>
      <c r="U81" s="66">
        <f t="shared" si="71"/>
        <v>3.894254957838086E-3</v>
      </c>
      <c r="V81" s="66">
        <f t="shared" si="71"/>
        <v>3.8724807098776209E-3</v>
      </c>
      <c r="W81" s="66">
        <f t="shared" si="71"/>
        <v>3.8550434368081602E-3</v>
      </c>
      <c r="X81" s="66">
        <f t="shared" si="71"/>
        <v>3.8417380235347544E-3</v>
      </c>
      <c r="Y81" s="66">
        <f t="shared" si="71"/>
        <v>3.8319574776831127E-3</v>
      </c>
      <c r="Z81" s="66">
        <f t="shared" si="71"/>
        <v>3.8249645288910635E-3</v>
      </c>
      <c r="AA81" s="66">
        <f t="shared" si="71"/>
        <v>3.8200635045040725E-3</v>
      </c>
      <c r="AB81" s="66">
        <f t="shared" si="71"/>
        <v>3.8166765954121581E-3</v>
      </c>
      <c r="AC81" s="66">
        <f t="shared" si="71"/>
        <v>3.8143587647444083E-3</v>
      </c>
    </row>
    <row r="82" spans="1:29" x14ac:dyDescent="0.25">
      <c r="A82" s="59" t="str">
        <f>A45</f>
        <v>Market failure (av. utilization)</v>
      </c>
      <c r="B82" s="66">
        <f t="shared" ref="B82:AC82" si="72">B71/B45-B71/B44</f>
        <v>4.0161995118700826E-3</v>
      </c>
      <c r="C82" s="66">
        <f t="shared" si="72"/>
        <v>4.0179221441325672E-3</v>
      </c>
      <c r="D82" s="66">
        <f t="shared" si="72"/>
        <v>4.0203880538477732E-3</v>
      </c>
      <c r="E82" s="66">
        <f t="shared" si="72"/>
        <v>4.0239157111058993E-3</v>
      </c>
      <c r="F82" s="66">
        <f t="shared" si="72"/>
        <v>4.0289575117439819E-3</v>
      </c>
      <c r="G82" s="66">
        <f t="shared" si="72"/>
        <v>4.0361532508328274E-3</v>
      </c>
      <c r="H82" s="66">
        <f t="shared" si="72"/>
        <v>4.0464017486033753E-3</v>
      </c>
      <c r="I82" s="66">
        <f t="shared" si="72"/>
        <v>4.0609531462970708E-3</v>
      </c>
      <c r="J82" s="66">
        <f t="shared" si="72"/>
        <v>4.0815201486370696E-3</v>
      </c>
      <c r="K82" s="66">
        <f t="shared" si="72"/>
        <v>4.1103958488629688E-3</v>
      </c>
      <c r="L82" s="66">
        <f t="shared" si="72"/>
        <v>4.1505435543807423E-3</v>
      </c>
      <c r="M82" s="66">
        <f t="shared" si="72"/>
        <v>4.205584556716959E-3</v>
      </c>
      <c r="N82" s="66">
        <f t="shared" si="72"/>
        <v>4.2795537659014726E-3</v>
      </c>
      <c r="O82" s="66">
        <f t="shared" si="72"/>
        <v>4.3762458121059215E-3</v>
      </c>
      <c r="P82" s="66">
        <f t="shared" si="72"/>
        <v>4.4980131012233946E-3</v>
      </c>
      <c r="Q82" s="66">
        <f t="shared" si="72"/>
        <v>4.6441303528337845E-3</v>
      </c>
      <c r="R82" s="66">
        <f t="shared" si="72"/>
        <v>4.8093558913517073E-3</v>
      </c>
      <c r="S82" s="66">
        <f t="shared" si="72"/>
        <v>4.9837838144617553E-3</v>
      </c>
      <c r="T82" s="66">
        <f t="shared" si="72"/>
        <v>5.154779322303276E-3</v>
      </c>
      <c r="U82" s="66">
        <f t="shared" si="72"/>
        <v>5.3104400527867659E-3</v>
      </c>
      <c r="V82" s="66">
        <f t="shared" si="72"/>
        <v>5.4427295071834397E-3</v>
      </c>
      <c r="W82" s="66">
        <f t="shared" si="72"/>
        <v>5.5486696684562062E-3</v>
      </c>
      <c r="X82" s="66">
        <f t="shared" si="72"/>
        <v>5.6295067134672239E-3</v>
      </c>
      <c r="Y82" s="66">
        <f t="shared" si="72"/>
        <v>5.6889284246907004E-3</v>
      </c>
      <c r="Z82" s="66">
        <f t="shared" si="72"/>
        <v>5.7314140885815351E-3</v>
      </c>
      <c r="AA82" s="66">
        <f t="shared" si="72"/>
        <v>5.7611902647010174E-3</v>
      </c>
      <c r="AB82" s="66">
        <f t="shared" si="72"/>
        <v>5.7817674325863939E-3</v>
      </c>
      <c r="AC82" s="66">
        <f t="shared" si="72"/>
        <v>5.7958494139699612E-3</v>
      </c>
    </row>
    <row r="83" spans="1:29" x14ac:dyDescent="0.25">
      <c r="A83" s="59" t="str">
        <f>A46</f>
        <v>Payload loss (fuel)</v>
      </c>
      <c r="B83" s="66">
        <f>B71/(B44-B46)-B71/B44</f>
        <v>0</v>
      </c>
      <c r="C83" s="66">
        <f t="shared" ref="C83:AC83" si="73">C71/(C44-C46)-C71/C44</f>
        <v>0</v>
      </c>
      <c r="D83" s="66">
        <f t="shared" si="73"/>
        <v>0</v>
      </c>
      <c r="E83" s="66">
        <f t="shared" si="73"/>
        <v>0</v>
      </c>
      <c r="F83" s="66">
        <f t="shared" si="73"/>
        <v>0</v>
      </c>
      <c r="G83" s="66">
        <f t="shared" si="73"/>
        <v>0</v>
      </c>
      <c r="H83" s="66">
        <f t="shared" si="73"/>
        <v>0</v>
      </c>
      <c r="I83" s="66">
        <f t="shared" si="73"/>
        <v>0</v>
      </c>
      <c r="J83" s="66">
        <f t="shared" si="73"/>
        <v>0</v>
      </c>
      <c r="K83" s="66">
        <f t="shared" si="73"/>
        <v>0</v>
      </c>
      <c r="L83" s="66">
        <f t="shared" si="73"/>
        <v>0</v>
      </c>
      <c r="M83" s="66">
        <f t="shared" si="73"/>
        <v>0</v>
      </c>
      <c r="N83" s="66">
        <f t="shared" si="73"/>
        <v>0</v>
      </c>
      <c r="O83" s="66">
        <f t="shared" si="73"/>
        <v>0</v>
      </c>
      <c r="P83" s="66">
        <f t="shared" si="73"/>
        <v>0</v>
      </c>
      <c r="Q83" s="66">
        <f t="shared" si="73"/>
        <v>0</v>
      </c>
      <c r="R83" s="66">
        <f t="shared" si="73"/>
        <v>0</v>
      </c>
      <c r="S83" s="66">
        <f t="shared" si="73"/>
        <v>0</v>
      </c>
      <c r="T83" s="66">
        <f t="shared" si="73"/>
        <v>0</v>
      </c>
      <c r="U83" s="66">
        <f t="shared" si="73"/>
        <v>0</v>
      </c>
      <c r="V83" s="66">
        <f t="shared" si="73"/>
        <v>0</v>
      </c>
      <c r="W83" s="66">
        <f t="shared" si="73"/>
        <v>0</v>
      </c>
      <c r="X83" s="66">
        <f t="shared" si="73"/>
        <v>0</v>
      </c>
      <c r="Y83" s="66">
        <f t="shared" si="73"/>
        <v>0</v>
      </c>
      <c r="Z83" s="66">
        <f t="shared" si="73"/>
        <v>0</v>
      </c>
      <c r="AA83" s="66">
        <f t="shared" si="73"/>
        <v>0</v>
      </c>
      <c r="AB83" s="66">
        <f t="shared" si="73"/>
        <v>0</v>
      </c>
      <c r="AC83" s="66">
        <f t="shared" si="73"/>
        <v>0</v>
      </c>
    </row>
    <row r="84" spans="1:29" ht="15.75" thickBot="1" x14ac:dyDescent="0.3">
      <c r="A84" s="59" t="str">
        <f>A21</f>
        <v>Emission Cost</v>
      </c>
      <c r="B84" s="68">
        <f>B41*B47/B47/(B44)</f>
        <v>1.8343688133195604E-3</v>
      </c>
      <c r="C84" s="68">
        <f t="shared" ref="C84:AC84" si="74">C41*C47/C47/(C44)</f>
        <v>1.8382637861199969E-3</v>
      </c>
      <c r="D84" s="68">
        <f t="shared" si="74"/>
        <v>1.8438393529302977E-3</v>
      </c>
      <c r="E84" s="68">
        <f t="shared" si="74"/>
        <v>1.8518155933438187E-3</v>
      </c>
      <c r="F84" s="68">
        <f t="shared" si="74"/>
        <v>1.8632154009395707E-3</v>
      </c>
      <c r="G84" s="68">
        <f t="shared" si="74"/>
        <v>1.879485389979293E-3</v>
      </c>
      <c r="H84" s="68">
        <f t="shared" si="74"/>
        <v>1.9026578458370806E-3</v>
      </c>
      <c r="I84" s="68">
        <f t="shared" si="74"/>
        <v>1.9355594113421553E-3</v>
      </c>
      <c r="J84" s="68">
        <f t="shared" si="74"/>
        <v>1.9820626125449966E-3</v>
      </c>
      <c r="K84" s="68">
        <f t="shared" si="74"/>
        <v>2.0473522680465386E-3</v>
      </c>
      <c r="L84" s="68">
        <f t="shared" si="74"/>
        <v>2.1381285900725503E-3</v>
      </c>
      <c r="M84" s="68">
        <f t="shared" si="74"/>
        <v>2.2625795316212503E-3</v>
      </c>
      <c r="N84" s="68">
        <f t="shared" si="74"/>
        <v>2.4298282614389497E-3</v>
      </c>
      <c r="O84" s="68">
        <f t="shared" si="74"/>
        <v>2.6484546613890813E-3</v>
      </c>
      <c r="P84" s="68">
        <f t="shared" si="74"/>
        <v>2.9237776594684796E-3</v>
      </c>
      <c r="Q84" s="68">
        <f t="shared" si="74"/>
        <v>3.2541573540158593E-3</v>
      </c>
      <c r="R84" s="68">
        <f t="shared" si="74"/>
        <v>3.6277420084311488E-3</v>
      </c>
      <c r="S84" s="68">
        <f t="shared" si="74"/>
        <v>4.022133795318102E-3</v>
      </c>
      <c r="T84" s="68">
        <f t="shared" si="74"/>
        <v>4.4087646895282669E-3</v>
      </c>
      <c r="U84" s="68">
        <f t="shared" si="74"/>
        <v>4.7607227507658533E-3</v>
      </c>
      <c r="V84" s="68">
        <f t="shared" si="74"/>
        <v>5.059836983026064E-3</v>
      </c>
      <c r="W84" s="68">
        <f t="shared" si="74"/>
        <v>5.2993739147425382E-3</v>
      </c>
      <c r="X84" s="68">
        <f t="shared" si="74"/>
        <v>5.4821512250499103E-3</v>
      </c>
      <c r="Y84" s="68">
        <f t="shared" si="74"/>
        <v>5.6165072068873048E-3</v>
      </c>
      <c r="Z84" s="68">
        <f t="shared" si="74"/>
        <v>5.7125697902181494E-3</v>
      </c>
      <c r="AA84" s="68">
        <f t="shared" si="74"/>
        <v>5.7798954746443379E-3</v>
      </c>
      <c r="AB84" s="68">
        <f t="shared" si="74"/>
        <v>5.8264216607428025E-3</v>
      </c>
      <c r="AC84" s="68">
        <f t="shared" si="74"/>
        <v>5.8582618483787648E-3</v>
      </c>
    </row>
    <row r="85" spans="1:29" ht="15.75" thickBot="1" x14ac:dyDescent="0.3">
      <c r="A85" s="31" t="s">
        <v>210</v>
      </c>
      <c r="B85" s="77">
        <f>B74+B75+B76+B77+B78+B79+B80+B81+B82+B83+B84</f>
        <v>1.2536826875262043E-2</v>
      </c>
      <c r="C85" s="77">
        <f t="shared" ref="C85:AC85" si="75">C74+C75+C76+C77+C78+C79+C80+C81+C82+C83+C84</f>
        <v>1.2542210101082306E-2</v>
      </c>
      <c r="D85" s="77">
        <f t="shared" si="75"/>
        <v>1.2549916068942325E-2</v>
      </c>
      <c r="E85" s="77">
        <f t="shared" si="75"/>
        <v>1.2560939997873968E-2</v>
      </c>
      <c r="F85" s="77">
        <f t="shared" si="75"/>
        <v>1.2576695624867976E-2</v>
      </c>
      <c r="G85" s="77">
        <f t="shared" si="75"/>
        <v>1.2599182309520618E-2</v>
      </c>
      <c r="H85" s="77">
        <f t="shared" si="75"/>
        <v>1.2631208865053581E-2</v>
      </c>
      <c r="I85" s="77">
        <f t="shared" si="75"/>
        <v>1.2676681982846378E-2</v>
      </c>
      <c r="J85" s="77">
        <f t="shared" si="75"/>
        <v>1.2740953865158874E-2</v>
      </c>
      <c r="K85" s="77">
        <f t="shared" si="75"/>
        <v>1.283119042836481E-2</v>
      </c>
      <c r="L85" s="77">
        <f t="shared" si="75"/>
        <v>1.2956652008107854E-2</v>
      </c>
      <c r="M85" s="77">
        <f t="shared" si="75"/>
        <v>1.3128655140408532E-2</v>
      </c>
      <c r="N85" s="77">
        <f t="shared" si="75"/>
        <v>1.3359808919110133E-2</v>
      </c>
      <c r="O85" s="77">
        <f t="shared" si="75"/>
        <v>1.3661971563499034E-2</v>
      </c>
      <c r="P85" s="77">
        <f t="shared" si="75"/>
        <v>1.4042494341991143E-2</v>
      </c>
      <c r="Q85" s="77">
        <f t="shared" si="75"/>
        <v>1.4499110753273606E-2</v>
      </c>
      <c r="R85" s="77">
        <f t="shared" si="75"/>
        <v>1.501544056114212E-2</v>
      </c>
      <c r="S85" s="77">
        <f t="shared" si="75"/>
        <v>1.5560527820861021E-2</v>
      </c>
      <c r="T85" s="77">
        <f t="shared" si="75"/>
        <v>1.6094888782865774E-2</v>
      </c>
      <c r="U85" s="77">
        <f t="shared" si="75"/>
        <v>1.6581328565626677E-2</v>
      </c>
      <c r="V85" s="77">
        <f t="shared" si="75"/>
        <v>1.6994733110616285E-2</v>
      </c>
      <c r="W85" s="77">
        <f t="shared" si="75"/>
        <v>1.7325796114593679E-2</v>
      </c>
      <c r="X85" s="77">
        <f t="shared" si="75"/>
        <v>1.7578411880253105E-2</v>
      </c>
      <c r="Y85" s="77">
        <f t="shared" si="75"/>
        <v>1.7764104727826472E-2</v>
      </c>
      <c r="Z85" s="77">
        <f t="shared" si="75"/>
        <v>1.7896872427485333E-2</v>
      </c>
      <c r="AA85" s="77">
        <f t="shared" si="75"/>
        <v>1.7989922977858713E-2</v>
      </c>
      <c r="AB85" s="77">
        <f t="shared" si="75"/>
        <v>1.8054226627500513E-2</v>
      </c>
      <c r="AC85" s="77">
        <f t="shared" si="75"/>
        <v>1.809823281932417E-2</v>
      </c>
    </row>
    <row r="87" spans="1:29" x14ac:dyDescent="0.25">
      <c r="B87" s="40"/>
    </row>
    <row r="107" spans="1:2" s="3" customFormat="1" ht="21" x14ac:dyDescent="0.35">
      <c r="A107" s="2" t="str">
        <f>'Parameter Input'!A167</f>
        <v>Short-sea: Container</v>
      </c>
    </row>
    <row r="108" spans="1:2" s="3" customFormat="1" ht="21" x14ac:dyDescent="0.35">
      <c r="A108" s="2" t="s">
        <v>289</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Input'!$L$156</f>
        <v>15000000</v>
      </c>
      <c r="C117" s="42">
        <f>'Parameter Input'!$M$156</f>
        <v>15000000</v>
      </c>
      <c r="D117" s="1" t="s">
        <v>15</v>
      </c>
      <c r="L117" s="51">
        <f>'Parameter Input'!$O$156</f>
        <v>17</v>
      </c>
      <c r="M117" s="52">
        <v>0</v>
      </c>
      <c r="N117" s="52">
        <v>1</v>
      </c>
      <c r="O117" s="52">
        <f>'Parameter Input'!$P$156</f>
        <v>0.9</v>
      </c>
      <c r="P117" s="53">
        <f>'Parameter Input'!$Q$156</f>
        <v>0.4</v>
      </c>
      <c r="Q117" s="4">
        <f t="shared" ref="Q117:AR126" si="76">$N117+($M117-$N117)*((1/(1+EXP(-$P117*(Q$9-$L117)))^$O117))</f>
        <v>0.99780374543478534</v>
      </c>
      <c r="R117" s="4">
        <f t="shared" si="76"/>
        <v>0.99685359315256394</v>
      </c>
      <c r="S117" s="4">
        <f t="shared" si="76"/>
        <v>0.99549347132349975</v>
      </c>
      <c r="T117" s="4">
        <f t="shared" si="76"/>
        <v>0.99354772139898062</v>
      </c>
      <c r="U117" s="4">
        <f t="shared" si="76"/>
        <v>0.99076681540580536</v>
      </c>
      <c r="V117" s="4">
        <f t="shared" si="76"/>
        <v>0.9867978615748374</v>
      </c>
      <c r="W117" s="4">
        <f t="shared" si="76"/>
        <v>0.98114509762858249</v>
      </c>
      <c r="X117" s="4">
        <f t="shared" si="76"/>
        <v>0.97311898315872036</v>
      </c>
      <c r="Y117" s="4">
        <f t="shared" si="76"/>
        <v>0.96177484161592774</v>
      </c>
      <c r="Z117" s="4">
        <f t="shared" si="76"/>
        <v>0.94584787155511363</v>
      </c>
      <c r="AA117" s="4">
        <f t="shared" si="76"/>
        <v>0.92370360150141495</v>
      </c>
      <c r="AB117" s="4">
        <f t="shared" si="76"/>
        <v>0.89334463567658451</v>
      </c>
      <c r="AC117" s="4">
        <f t="shared" si="76"/>
        <v>0.85254543874327005</v>
      </c>
      <c r="AD117" s="4">
        <f t="shared" si="76"/>
        <v>0.79921300652623883</v>
      </c>
      <c r="AE117" s="4">
        <f t="shared" si="76"/>
        <v>0.73204982249993378</v>
      </c>
      <c r="AF117" s="4">
        <f t="shared" si="76"/>
        <v>0.65145592958786691</v>
      </c>
      <c r="AG117" s="4">
        <f t="shared" si="76"/>
        <v>0.56032247880849573</v>
      </c>
      <c r="AH117" s="4">
        <f t="shared" si="76"/>
        <v>0.46411326873185343</v>
      </c>
      <c r="AI117" s="4">
        <f t="shared" si="76"/>
        <v>0.36979727595523937</v>
      </c>
      <c r="AJ117" s="4">
        <f t="shared" si="76"/>
        <v>0.28393948637231203</v>
      </c>
      <c r="AK117" s="4">
        <f t="shared" si="76"/>
        <v>0.21097259161117732</v>
      </c>
      <c r="AL117" s="4">
        <f t="shared" si="76"/>
        <v>0.15253917653798199</v>
      </c>
      <c r="AM117" s="4">
        <f t="shared" si="76"/>
        <v>0.10795188737709993</v>
      </c>
      <c r="AN117" s="4">
        <f t="shared" si="76"/>
        <v>7.5176653938091809E-2</v>
      </c>
      <c r="AO117" s="4">
        <f t="shared" si="76"/>
        <v>5.1742836177502194E-2</v>
      </c>
      <c r="AP117" s="4">
        <f t="shared" si="76"/>
        <v>3.5319190625345942E-2</v>
      </c>
      <c r="AQ117" s="4">
        <f t="shared" si="76"/>
        <v>2.3969442072658165E-2</v>
      </c>
      <c r="AR117" s="4">
        <f t="shared" si="76"/>
        <v>1.6202243558389728E-2</v>
      </c>
    </row>
    <row r="118" spans="1:44" x14ac:dyDescent="0.25">
      <c r="A118" s="24" t="s">
        <v>28</v>
      </c>
      <c r="B118" s="60">
        <f>'Parameter Input'!$L$157</f>
        <v>-1500000</v>
      </c>
      <c r="C118" s="61">
        <f>'Parameter Input'!$M$157</f>
        <v>-750000</v>
      </c>
      <c r="D118" s="1" t="s">
        <v>15</v>
      </c>
      <c r="L118" s="54">
        <f>'Parameter Input'!$O$157</f>
        <v>17</v>
      </c>
      <c r="M118" s="37">
        <v>0</v>
      </c>
      <c r="N118" s="37">
        <v>1</v>
      </c>
      <c r="O118" s="37">
        <f>'Parameter Input'!$P$157</f>
        <v>0.9</v>
      </c>
      <c r="P118" s="55">
        <f>'Parameter Input'!$Q$157</f>
        <v>0.4</v>
      </c>
      <c r="Q118" s="4">
        <f t="shared" si="76"/>
        <v>0.99780374543478534</v>
      </c>
      <c r="R118" s="4">
        <f t="shared" si="76"/>
        <v>0.99685359315256394</v>
      </c>
      <c r="S118" s="4">
        <f t="shared" si="76"/>
        <v>0.99549347132349975</v>
      </c>
      <c r="T118" s="4">
        <f t="shared" si="76"/>
        <v>0.99354772139898062</v>
      </c>
      <c r="U118" s="4">
        <f t="shared" si="76"/>
        <v>0.99076681540580536</v>
      </c>
      <c r="V118" s="4">
        <f t="shared" si="76"/>
        <v>0.9867978615748374</v>
      </c>
      <c r="W118" s="4">
        <f t="shared" si="76"/>
        <v>0.98114509762858249</v>
      </c>
      <c r="X118" s="4">
        <f t="shared" si="76"/>
        <v>0.97311898315872036</v>
      </c>
      <c r="Y118" s="4">
        <f t="shared" si="76"/>
        <v>0.96177484161592774</v>
      </c>
      <c r="Z118" s="4">
        <f t="shared" si="76"/>
        <v>0.94584787155511363</v>
      </c>
      <c r="AA118" s="4">
        <f t="shared" si="76"/>
        <v>0.92370360150141495</v>
      </c>
      <c r="AB118" s="4">
        <f t="shared" si="76"/>
        <v>0.89334463567658451</v>
      </c>
      <c r="AC118" s="4">
        <f t="shared" si="76"/>
        <v>0.85254543874327005</v>
      </c>
      <c r="AD118" s="4">
        <f t="shared" si="76"/>
        <v>0.79921300652623883</v>
      </c>
      <c r="AE118" s="4">
        <f t="shared" si="76"/>
        <v>0.73204982249993378</v>
      </c>
      <c r="AF118" s="4">
        <f t="shared" si="76"/>
        <v>0.65145592958786691</v>
      </c>
      <c r="AG118" s="4">
        <f t="shared" si="76"/>
        <v>0.56032247880849573</v>
      </c>
      <c r="AH118" s="4">
        <f t="shared" si="76"/>
        <v>0.46411326873185343</v>
      </c>
      <c r="AI118" s="4">
        <f t="shared" si="76"/>
        <v>0.36979727595523937</v>
      </c>
      <c r="AJ118" s="4">
        <f t="shared" si="76"/>
        <v>0.28393948637231203</v>
      </c>
      <c r="AK118" s="4">
        <f t="shared" si="76"/>
        <v>0.21097259161117732</v>
      </c>
      <c r="AL118" s="4">
        <f t="shared" si="76"/>
        <v>0.15253917653798199</v>
      </c>
      <c r="AM118" s="4">
        <f t="shared" si="76"/>
        <v>0.10795188737709993</v>
      </c>
      <c r="AN118" s="4">
        <f t="shared" si="76"/>
        <v>7.5176653938091809E-2</v>
      </c>
      <c r="AO118" s="4">
        <f t="shared" si="76"/>
        <v>5.1742836177502194E-2</v>
      </c>
      <c r="AP118" s="4">
        <f t="shared" si="76"/>
        <v>3.5319190625345942E-2</v>
      </c>
      <c r="AQ118" s="4">
        <f t="shared" si="76"/>
        <v>2.3969442072658165E-2</v>
      </c>
      <c r="AR118" s="4">
        <f t="shared" si="76"/>
        <v>1.6202243558389728E-2</v>
      </c>
    </row>
    <row r="119" spans="1:44" x14ac:dyDescent="0.25">
      <c r="A119" s="24" t="s">
        <v>14</v>
      </c>
      <c r="B119" s="60">
        <f>'Parameter Input'!B168</f>
        <v>5000000</v>
      </c>
      <c r="C119" s="61">
        <f>'Parameter Input'!C168</f>
        <v>5000000</v>
      </c>
      <c r="D119" s="1" t="s">
        <v>15</v>
      </c>
      <c r="L119" s="54">
        <f>'Parameter Input'!E168</f>
        <v>17</v>
      </c>
      <c r="M119" s="37">
        <v>0</v>
      </c>
      <c r="N119" s="37">
        <v>1</v>
      </c>
      <c r="O119" s="37">
        <f>'Parameter Input'!F168</f>
        <v>0.9</v>
      </c>
      <c r="P119" s="55">
        <f>'Parameter Input'!G168</f>
        <v>0.4</v>
      </c>
      <c r="Q119" s="4">
        <f t="shared" si="76"/>
        <v>0.99780374543478534</v>
      </c>
      <c r="R119" s="4">
        <f t="shared" si="76"/>
        <v>0.99685359315256394</v>
      </c>
      <c r="S119" s="4">
        <f t="shared" si="76"/>
        <v>0.99549347132349975</v>
      </c>
      <c r="T119" s="4">
        <f t="shared" si="76"/>
        <v>0.99354772139898062</v>
      </c>
      <c r="U119" s="4">
        <f t="shared" si="76"/>
        <v>0.99076681540580536</v>
      </c>
      <c r="V119" s="4">
        <f t="shared" si="76"/>
        <v>0.9867978615748374</v>
      </c>
      <c r="W119" s="4">
        <f t="shared" si="76"/>
        <v>0.98114509762858249</v>
      </c>
      <c r="X119" s="4">
        <f t="shared" si="76"/>
        <v>0.97311898315872036</v>
      </c>
      <c r="Y119" s="4">
        <f t="shared" si="76"/>
        <v>0.96177484161592774</v>
      </c>
      <c r="Z119" s="4">
        <f t="shared" si="76"/>
        <v>0.94584787155511363</v>
      </c>
      <c r="AA119" s="4">
        <f t="shared" si="76"/>
        <v>0.92370360150141495</v>
      </c>
      <c r="AB119" s="4">
        <f t="shared" si="76"/>
        <v>0.89334463567658451</v>
      </c>
      <c r="AC119" s="4">
        <f t="shared" si="76"/>
        <v>0.85254543874327005</v>
      </c>
      <c r="AD119" s="4">
        <f t="shared" si="76"/>
        <v>0.79921300652623883</v>
      </c>
      <c r="AE119" s="4">
        <f t="shared" si="76"/>
        <v>0.73204982249993378</v>
      </c>
      <c r="AF119" s="4">
        <f t="shared" si="76"/>
        <v>0.65145592958786691</v>
      </c>
      <c r="AG119" s="4">
        <f t="shared" si="76"/>
        <v>0.56032247880849573</v>
      </c>
      <c r="AH119" s="4">
        <f t="shared" si="76"/>
        <v>0.46411326873185343</v>
      </c>
      <c r="AI119" s="4">
        <f t="shared" si="76"/>
        <v>0.36979727595523937</v>
      </c>
      <c r="AJ119" s="4">
        <f t="shared" si="76"/>
        <v>0.28393948637231203</v>
      </c>
      <c r="AK119" s="4">
        <f t="shared" si="76"/>
        <v>0.21097259161117732</v>
      </c>
      <c r="AL119" s="4">
        <f t="shared" si="76"/>
        <v>0.15253917653798199</v>
      </c>
      <c r="AM119" s="4">
        <f t="shared" si="76"/>
        <v>0.10795188737709993</v>
      </c>
      <c r="AN119" s="4">
        <f t="shared" si="76"/>
        <v>7.5176653938091809E-2</v>
      </c>
      <c r="AO119" s="4">
        <f t="shared" si="76"/>
        <v>5.1742836177502194E-2</v>
      </c>
      <c r="AP119" s="4">
        <f t="shared" si="76"/>
        <v>3.5319190625345942E-2</v>
      </c>
      <c r="AQ119" s="4">
        <f t="shared" si="76"/>
        <v>2.3969442072658165E-2</v>
      </c>
      <c r="AR119" s="4">
        <f t="shared" si="76"/>
        <v>1.6202243558389728E-2</v>
      </c>
    </row>
    <row r="120" spans="1:44" x14ac:dyDescent="0.25">
      <c r="A120" s="24" t="s">
        <v>25</v>
      </c>
      <c r="B120" s="60">
        <f>'Parameter Input'!B169</f>
        <v>-500000</v>
      </c>
      <c r="C120" s="61">
        <f>'Parameter Input'!C169</f>
        <v>-500000</v>
      </c>
      <c r="D120" s="1" t="s">
        <v>15</v>
      </c>
      <c r="L120" s="54">
        <f>'Parameter Input'!E169</f>
        <v>17</v>
      </c>
      <c r="M120" s="37">
        <v>0</v>
      </c>
      <c r="N120" s="37">
        <v>1</v>
      </c>
      <c r="O120" s="37">
        <f>'Parameter Input'!F169</f>
        <v>0.9</v>
      </c>
      <c r="P120" s="55">
        <f>'Parameter Input'!G169</f>
        <v>0.4</v>
      </c>
      <c r="Q120" s="4">
        <f t="shared" si="76"/>
        <v>0.99780374543478534</v>
      </c>
      <c r="R120" s="4">
        <f t="shared" si="76"/>
        <v>0.99685359315256394</v>
      </c>
      <c r="S120" s="4">
        <f t="shared" si="76"/>
        <v>0.99549347132349975</v>
      </c>
      <c r="T120" s="4">
        <f t="shared" si="76"/>
        <v>0.99354772139898062</v>
      </c>
      <c r="U120" s="4">
        <f t="shared" si="76"/>
        <v>0.99076681540580536</v>
      </c>
      <c r="V120" s="4">
        <f t="shared" si="76"/>
        <v>0.9867978615748374</v>
      </c>
      <c r="W120" s="4">
        <f t="shared" si="76"/>
        <v>0.98114509762858249</v>
      </c>
      <c r="X120" s="4">
        <f t="shared" si="76"/>
        <v>0.97311898315872036</v>
      </c>
      <c r="Y120" s="4">
        <f t="shared" si="76"/>
        <v>0.96177484161592774</v>
      </c>
      <c r="Z120" s="4">
        <f t="shared" si="76"/>
        <v>0.94584787155511363</v>
      </c>
      <c r="AA120" s="4">
        <f t="shared" si="76"/>
        <v>0.92370360150141495</v>
      </c>
      <c r="AB120" s="4">
        <f t="shared" si="76"/>
        <v>0.89334463567658451</v>
      </c>
      <c r="AC120" s="4">
        <f t="shared" si="76"/>
        <v>0.85254543874327005</v>
      </c>
      <c r="AD120" s="4">
        <f t="shared" si="76"/>
        <v>0.79921300652623883</v>
      </c>
      <c r="AE120" s="4">
        <f t="shared" si="76"/>
        <v>0.73204982249993378</v>
      </c>
      <c r="AF120" s="4">
        <f t="shared" si="76"/>
        <v>0.65145592958786691</v>
      </c>
      <c r="AG120" s="4">
        <f t="shared" si="76"/>
        <v>0.56032247880849573</v>
      </c>
      <c r="AH120" s="4">
        <f t="shared" si="76"/>
        <v>0.46411326873185343</v>
      </c>
      <c r="AI120" s="4">
        <f t="shared" si="76"/>
        <v>0.36979727595523937</v>
      </c>
      <c r="AJ120" s="4">
        <f t="shared" si="76"/>
        <v>0.28393948637231203</v>
      </c>
      <c r="AK120" s="4">
        <f t="shared" si="76"/>
        <v>0.21097259161117732</v>
      </c>
      <c r="AL120" s="4">
        <f t="shared" si="76"/>
        <v>0.15253917653798199</v>
      </c>
      <c r="AM120" s="4">
        <f t="shared" si="76"/>
        <v>0.10795188737709993</v>
      </c>
      <c r="AN120" s="4">
        <f t="shared" si="76"/>
        <v>7.5176653938091809E-2</v>
      </c>
      <c r="AO120" s="4">
        <f t="shared" si="76"/>
        <v>5.1742836177502194E-2</v>
      </c>
      <c r="AP120" s="4">
        <f t="shared" si="76"/>
        <v>3.5319190625345942E-2</v>
      </c>
      <c r="AQ120" s="4">
        <f t="shared" si="76"/>
        <v>2.3969442072658165E-2</v>
      </c>
      <c r="AR120" s="4">
        <f t="shared" si="76"/>
        <v>1.6202243558389728E-2</v>
      </c>
    </row>
    <row r="121" spans="1:44" x14ac:dyDescent="0.25">
      <c r="A121" s="24" t="s">
        <v>79</v>
      </c>
      <c r="B121" s="92">
        <f>'Parameter Input'!$L$163</f>
        <v>0.06</v>
      </c>
      <c r="C121" s="91">
        <f>'Parameter Input'!$M$163</f>
        <v>0.06</v>
      </c>
      <c r="D121" s="1" t="s">
        <v>57</v>
      </c>
      <c r="L121" s="54">
        <f>'Parameter Input'!$O$163</f>
        <v>17</v>
      </c>
      <c r="M121" s="37">
        <v>0</v>
      </c>
      <c r="N121" s="37">
        <v>1</v>
      </c>
      <c r="O121" s="37">
        <f>'Parameter Input'!$P$163</f>
        <v>0.9</v>
      </c>
      <c r="P121" s="55">
        <f>'Parameter Input'!$Q$163</f>
        <v>0.4</v>
      </c>
      <c r="Q121" s="4">
        <f t="shared" si="76"/>
        <v>0.99780374543478534</v>
      </c>
      <c r="R121" s="4">
        <f t="shared" si="76"/>
        <v>0.99685359315256394</v>
      </c>
      <c r="S121" s="4">
        <f t="shared" si="76"/>
        <v>0.99549347132349975</v>
      </c>
      <c r="T121" s="4">
        <f t="shared" si="76"/>
        <v>0.99354772139898062</v>
      </c>
      <c r="U121" s="4">
        <f t="shared" si="76"/>
        <v>0.99076681540580536</v>
      </c>
      <c r="V121" s="4">
        <f t="shared" si="76"/>
        <v>0.9867978615748374</v>
      </c>
      <c r="W121" s="4">
        <f t="shared" si="76"/>
        <v>0.98114509762858249</v>
      </c>
      <c r="X121" s="4">
        <f t="shared" si="76"/>
        <v>0.97311898315872036</v>
      </c>
      <c r="Y121" s="4">
        <f t="shared" si="76"/>
        <v>0.96177484161592774</v>
      </c>
      <c r="Z121" s="4">
        <f t="shared" si="76"/>
        <v>0.94584787155511363</v>
      </c>
      <c r="AA121" s="4">
        <f t="shared" si="76"/>
        <v>0.92370360150141495</v>
      </c>
      <c r="AB121" s="4">
        <f t="shared" si="76"/>
        <v>0.89334463567658451</v>
      </c>
      <c r="AC121" s="4">
        <f t="shared" si="76"/>
        <v>0.85254543874327005</v>
      </c>
      <c r="AD121" s="4">
        <f t="shared" si="76"/>
        <v>0.79921300652623883</v>
      </c>
      <c r="AE121" s="4">
        <f t="shared" si="76"/>
        <v>0.73204982249993378</v>
      </c>
      <c r="AF121" s="4">
        <f t="shared" si="76"/>
        <v>0.65145592958786691</v>
      </c>
      <c r="AG121" s="4">
        <f t="shared" si="76"/>
        <v>0.56032247880849573</v>
      </c>
      <c r="AH121" s="4">
        <f t="shared" si="76"/>
        <v>0.46411326873185343</v>
      </c>
      <c r="AI121" s="4">
        <f t="shared" si="76"/>
        <v>0.36979727595523937</v>
      </c>
      <c r="AJ121" s="4">
        <f t="shared" si="76"/>
        <v>0.28393948637231203</v>
      </c>
      <c r="AK121" s="4">
        <f t="shared" si="76"/>
        <v>0.21097259161117732</v>
      </c>
      <c r="AL121" s="4">
        <f t="shared" si="76"/>
        <v>0.15253917653798199</v>
      </c>
      <c r="AM121" s="4">
        <f t="shared" si="76"/>
        <v>0.10795188737709993</v>
      </c>
      <c r="AN121" s="4">
        <f t="shared" si="76"/>
        <v>7.5176653938091809E-2</v>
      </c>
      <c r="AO121" s="4">
        <f t="shared" si="76"/>
        <v>5.1742836177502194E-2</v>
      </c>
      <c r="AP121" s="4">
        <f t="shared" si="76"/>
        <v>3.5319190625345942E-2</v>
      </c>
      <c r="AQ121" s="4">
        <f t="shared" si="76"/>
        <v>2.3969442072658165E-2</v>
      </c>
      <c r="AR121" s="4">
        <f t="shared" si="76"/>
        <v>1.6202243558389728E-2</v>
      </c>
    </row>
    <row r="122" spans="1:44" x14ac:dyDescent="0.25">
      <c r="A122" s="24" t="s">
        <v>37</v>
      </c>
      <c r="B122" s="60">
        <f>'Parameter Input'!B170</f>
        <v>1208235.294117647</v>
      </c>
      <c r="C122" s="61">
        <f>'Parameter Input'!C170</f>
        <v>1208235.294117647</v>
      </c>
      <c r="D122" s="1" t="s">
        <v>38</v>
      </c>
      <c r="L122" s="54">
        <f>'Parameter Input'!E170</f>
        <v>17</v>
      </c>
      <c r="M122" s="37">
        <v>0</v>
      </c>
      <c r="N122" s="37">
        <v>1</v>
      </c>
      <c r="O122" s="37">
        <f>'Parameter Input'!F170</f>
        <v>0.9</v>
      </c>
      <c r="P122" s="55">
        <f>'Parameter Input'!G170</f>
        <v>0.4</v>
      </c>
      <c r="Q122" s="4">
        <f t="shared" si="76"/>
        <v>0.99780374543478534</v>
      </c>
      <c r="R122" s="4">
        <f t="shared" si="76"/>
        <v>0.99685359315256394</v>
      </c>
      <c r="S122" s="4">
        <f t="shared" si="76"/>
        <v>0.99549347132349975</v>
      </c>
      <c r="T122" s="4">
        <f t="shared" si="76"/>
        <v>0.99354772139898062</v>
      </c>
      <c r="U122" s="4">
        <f t="shared" si="76"/>
        <v>0.99076681540580536</v>
      </c>
      <c r="V122" s="4">
        <f t="shared" si="76"/>
        <v>0.9867978615748374</v>
      </c>
      <c r="W122" s="4">
        <f t="shared" si="76"/>
        <v>0.98114509762858249</v>
      </c>
      <c r="X122" s="4">
        <f t="shared" si="76"/>
        <v>0.97311898315872036</v>
      </c>
      <c r="Y122" s="4">
        <f t="shared" si="76"/>
        <v>0.96177484161592774</v>
      </c>
      <c r="Z122" s="4">
        <f t="shared" si="76"/>
        <v>0.94584787155511363</v>
      </c>
      <c r="AA122" s="4">
        <f t="shared" si="76"/>
        <v>0.92370360150141495</v>
      </c>
      <c r="AB122" s="4">
        <f t="shared" si="76"/>
        <v>0.89334463567658451</v>
      </c>
      <c r="AC122" s="4">
        <f t="shared" si="76"/>
        <v>0.85254543874327005</v>
      </c>
      <c r="AD122" s="4">
        <f t="shared" si="76"/>
        <v>0.79921300652623883</v>
      </c>
      <c r="AE122" s="4">
        <f t="shared" si="76"/>
        <v>0.73204982249993378</v>
      </c>
      <c r="AF122" s="4">
        <f t="shared" si="76"/>
        <v>0.65145592958786691</v>
      </c>
      <c r="AG122" s="4">
        <f t="shared" si="76"/>
        <v>0.56032247880849573</v>
      </c>
      <c r="AH122" s="4">
        <f t="shared" si="76"/>
        <v>0.46411326873185343</v>
      </c>
      <c r="AI122" s="4">
        <f t="shared" si="76"/>
        <v>0.36979727595523937</v>
      </c>
      <c r="AJ122" s="4">
        <f t="shared" si="76"/>
        <v>0.28393948637231203</v>
      </c>
      <c r="AK122" s="4">
        <f t="shared" si="76"/>
        <v>0.21097259161117732</v>
      </c>
      <c r="AL122" s="4">
        <f t="shared" si="76"/>
        <v>0.15253917653798199</v>
      </c>
      <c r="AM122" s="4">
        <f t="shared" si="76"/>
        <v>0.10795188737709993</v>
      </c>
      <c r="AN122" s="4">
        <f t="shared" si="76"/>
        <v>7.5176653938091809E-2</v>
      </c>
      <c r="AO122" s="4">
        <f t="shared" si="76"/>
        <v>5.1742836177502194E-2</v>
      </c>
      <c r="AP122" s="4">
        <f t="shared" si="76"/>
        <v>3.5319190625345942E-2</v>
      </c>
      <c r="AQ122" s="4">
        <f t="shared" si="76"/>
        <v>2.3969442072658165E-2</v>
      </c>
      <c r="AR122" s="4">
        <f t="shared" si="76"/>
        <v>1.6202243558389728E-2</v>
      </c>
    </row>
    <row r="123" spans="1:44" x14ac:dyDescent="0.25">
      <c r="A123" s="24" t="s">
        <v>52</v>
      </c>
      <c r="B123" s="60">
        <f>'Parameter Input'!$L$159</f>
        <v>488235.29411764705</v>
      </c>
      <c r="C123" s="61">
        <f>'Parameter Input'!$M$159</f>
        <v>488235.29411764705</v>
      </c>
      <c r="D123" s="1" t="s">
        <v>38</v>
      </c>
      <c r="L123" s="54">
        <f>'Parameter Input'!$O$159</f>
        <v>17</v>
      </c>
      <c r="M123" s="37">
        <v>0</v>
      </c>
      <c r="N123" s="37">
        <v>1</v>
      </c>
      <c r="O123" s="37">
        <f>'Parameter Input'!$P$159</f>
        <v>0.9</v>
      </c>
      <c r="P123" s="55">
        <f>'Parameter Input'!$Q$159</f>
        <v>0.4</v>
      </c>
      <c r="Q123" s="4">
        <f t="shared" si="76"/>
        <v>0.99780374543478534</v>
      </c>
      <c r="R123" s="4">
        <f t="shared" si="76"/>
        <v>0.99685359315256394</v>
      </c>
      <c r="S123" s="4">
        <f t="shared" si="76"/>
        <v>0.99549347132349975</v>
      </c>
      <c r="T123" s="4">
        <f t="shared" si="76"/>
        <v>0.99354772139898062</v>
      </c>
      <c r="U123" s="4">
        <f t="shared" si="76"/>
        <v>0.99076681540580536</v>
      </c>
      <c r="V123" s="4">
        <f t="shared" si="76"/>
        <v>0.9867978615748374</v>
      </c>
      <c r="W123" s="4">
        <f t="shared" si="76"/>
        <v>0.98114509762858249</v>
      </c>
      <c r="X123" s="4">
        <f t="shared" si="76"/>
        <v>0.97311898315872036</v>
      </c>
      <c r="Y123" s="4">
        <f t="shared" si="76"/>
        <v>0.96177484161592774</v>
      </c>
      <c r="Z123" s="4">
        <f t="shared" si="76"/>
        <v>0.94584787155511363</v>
      </c>
      <c r="AA123" s="4">
        <f t="shared" si="76"/>
        <v>0.92370360150141495</v>
      </c>
      <c r="AB123" s="4">
        <f t="shared" si="76"/>
        <v>0.89334463567658451</v>
      </c>
      <c r="AC123" s="4">
        <f t="shared" si="76"/>
        <v>0.85254543874327005</v>
      </c>
      <c r="AD123" s="4">
        <f t="shared" si="76"/>
        <v>0.79921300652623883</v>
      </c>
      <c r="AE123" s="4">
        <f t="shared" si="76"/>
        <v>0.73204982249993378</v>
      </c>
      <c r="AF123" s="4">
        <f t="shared" si="76"/>
        <v>0.65145592958786691</v>
      </c>
      <c r="AG123" s="4">
        <f t="shared" si="76"/>
        <v>0.56032247880849573</v>
      </c>
      <c r="AH123" s="4">
        <f t="shared" si="76"/>
        <v>0.46411326873185343</v>
      </c>
      <c r="AI123" s="4">
        <f t="shared" si="76"/>
        <v>0.36979727595523937</v>
      </c>
      <c r="AJ123" s="4">
        <f t="shared" si="76"/>
        <v>0.28393948637231203</v>
      </c>
      <c r="AK123" s="4">
        <f t="shared" si="76"/>
        <v>0.21097259161117732</v>
      </c>
      <c r="AL123" s="4">
        <f t="shared" si="76"/>
        <v>0.15253917653798199</v>
      </c>
      <c r="AM123" s="4">
        <f t="shared" si="76"/>
        <v>0.10795188737709993</v>
      </c>
      <c r="AN123" s="4">
        <f t="shared" si="76"/>
        <v>7.5176653938091809E-2</v>
      </c>
      <c r="AO123" s="4">
        <f t="shared" si="76"/>
        <v>5.1742836177502194E-2</v>
      </c>
      <c r="AP123" s="4">
        <f t="shared" si="76"/>
        <v>3.5319190625345942E-2</v>
      </c>
      <c r="AQ123" s="4">
        <f t="shared" si="76"/>
        <v>2.3969442072658165E-2</v>
      </c>
      <c r="AR123" s="4">
        <f t="shared" si="76"/>
        <v>1.6202243558389728E-2</v>
      </c>
    </row>
    <row r="124" spans="1:44" x14ac:dyDescent="0.25">
      <c r="A124" s="24" t="s">
        <v>272</v>
      </c>
      <c r="B124" s="92">
        <f>'Parameter Input'!B175</f>
        <v>1.6886890630966982</v>
      </c>
      <c r="C124" s="61">
        <f>'Parameter Input'!C175</f>
        <v>1.6886890630966982</v>
      </c>
      <c r="D124" s="1" t="s">
        <v>76</v>
      </c>
      <c r="L124" s="54">
        <f>'Parameter Input'!E175</f>
        <v>17</v>
      </c>
      <c r="M124" s="37">
        <v>0</v>
      </c>
      <c r="N124" s="37">
        <v>1</v>
      </c>
      <c r="O124" s="37">
        <f>'Parameter Input'!F175</f>
        <v>0.9</v>
      </c>
      <c r="P124" s="55">
        <f>'Parameter Input'!G175</f>
        <v>0.4</v>
      </c>
      <c r="Q124" s="4">
        <f t="shared" si="76"/>
        <v>0.99780374543478534</v>
      </c>
      <c r="R124" s="4">
        <f t="shared" si="76"/>
        <v>0.99685359315256394</v>
      </c>
      <c r="S124" s="4">
        <f t="shared" si="76"/>
        <v>0.99549347132349975</v>
      </c>
      <c r="T124" s="4">
        <f t="shared" si="76"/>
        <v>0.99354772139898062</v>
      </c>
      <c r="U124" s="4">
        <f t="shared" si="76"/>
        <v>0.99076681540580536</v>
      </c>
      <c r="V124" s="4">
        <f t="shared" si="76"/>
        <v>0.9867978615748374</v>
      </c>
      <c r="W124" s="4">
        <f t="shared" si="76"/>
        <v>0.98114509762858249</v>
      </c>
      <c r="X124" s="4">
        <f t="shared" si="76"/>
        <v>0.97311898315872036</v>
      </c>
      <c r="Y124" s="4">
        <f t="shared" si="76"/>
        <v>0.96177484161592774</v>
      </c>
      <c r="Z124" s="4">
        <f t="shared" si="76"/>
        <v>0.94584787155511363</v>
      </c>
      <c r="AA124" s="4">
        <f t="shared" si="76"/>
        <v>0.92370360150141495</v>
      </c>
      <c r="AB124" s="4">
        <f t="shared" si="76"/>
        <v>0.89334463567658451</v>
      </c>
      <c r="AC124" s="4">
        <f t="shared" si="76"/>
        <v>0.85254543874327005</v>
      </c>
      <c r="AD124" s="4">
        <f t="shared" si="76"/>
        <v>0.79921300652623883</v>
      </c>
      <c r="AE124" s="4">
        <f t="shared" si="76"/>
        <v>0.73204982249993378</v>
      </c>
      <c r="AF124" s="4">
        <f t="shared" si="76"/>
        <v>0.65145592958786691</v>
      </c>
      <c r="AG124" s="4">
        <f t="shared" si="76"/>
        <v>0.56032247880849573</v>
      </c>
      <c r="AH124" s="4">
        <f t="shared" si="76"/>
        <v>0.46411326873185343</v>
      </c>
      <c r="AI124" s="4">
        <f t="shared" si="76"/>
        <v>0.36979727595523937</v>
      </c>
      <c r="AJ124" s="4">
        <f t="shared" si="76"/>
        <v>0.28393948637231203</v>
      </c>
      <c r="AK124" s="4">
        <f t="shared" si="76"/>
        <v>0.21097259161117732</v>
      </c>
      <c r="AL124" s="4">
        <f t="shared" si="76"/>
        <v>0.15253917653798199</v>
      </c>
      <c r="AM124" s="4">
        <f t="shared" si="76"/>
        <v>0.10795188737709993</v>
      </c>
      <c r="AN124" s="4">
        <f t="shared" si="76"/>
        <v>7.5176653938091809E-2</v>
      </c>
      <c r="AO124" s="4">
        <f t="shared" si="76"/>
        <v>5.1742836177502194E-2</v>
      </c>
      <c r="AP124" s="4">
        <f t="shared" si="76"/>
        <v>3.5319190625345942E-2</v>
      </c>
      <c r="AQ124" s="4">
        <f t="shared" si="76"/>
        <v>2.3969442072658165E-2</v>
      </c>
      <c r="AR124" s="4">
        <f t="shared" si="76"/>
        <v>1.6202243558389728E-2</v>
      </c>
    </row>
    <row r="125" spans="1:44" x14ac:dyDescent="0.25">
      <c r="A125" s="24" t="s">
        <v>59</v>
      </c>
      <c r="B125" s="60">
        <f>'Parameter Input'!$L$160</f>
        <v>647</v>
      </c>
      <c r="C125" s="61">
        <f>'Parameter Input'!$M$160</f>
        <v>600</v>
      </c>
      <c r="D125" s="1" t="s">
        <v>60</v>
      </c>
      <c r="L125" s="54">
        <f>'Parameter Input'!$O$160</f>
        <v>17</v>
      </c>
      <c r="M125" s="37">
        <v>0</v>
      </c>
      <c r="N125" s="37">
        <v>1</v>
      </c>
      <c r="O125" s="37">
        <f>'Parameter Input'!$P$160</f>
        <v>0.9</v>
      </c>
      <c r="P125" s="55">
        <f>'Parameter Input'!$Q$160</f>
        <v>0.4</v>
      </c>
      <c r="Q125" s="4">
        <f t="shared" si="76"/>
        <v>0.99780374543478534</v>
      </c>
      <c r="R125" s="4">
        <f t="shared" si="76"/>
        <v>0.99685359315256394</v>
      </c>
      <c r="S125" s="4">
        <f t="shared" si="76"/>
        <v>0.99549347132349975</v>
      </c>
      <c r="T125" s="4">
        <f t="shared" si="76"/>
        <v>0.99354772139898062</v>
      </c>
      <c r="U125" s="4">
        <f t="shared" si="76"/>
        <v>0.99076681540580536</v>
      </c>
      <c r="V125" s="4">
        <f t="shared" si="76"/>
        <v>0.9867978615748374</v>
      </c>
      <c r="W125" s="4">
        <f t="shared" si="76"/>
        <v>0.98114509762858249</v>
      </c>
      <c r="X125" s="4">
        <f t="shared" si="76"/>
        <v>0.97311898315872036</v>
      </c>
      <c r="Y125" s="4">
        <f t="shared" si="76"/>
        <v>0.96177484161592774</v>
      </c>
      <c r="Z125" s="4">
        <f t="shared" si="76"/>
        <v>0.94584787155511363</v>
      </c>
      <c r="AA125" s="4">
        <f t="shared" si="76"/>
        <v>0.92370360150141495</v>
      </c>
      <c r="AB125" s="4">
        <f t="shared" si="76"/>
        <v>0.89334463567658451</v>
      </c>
      <c r="AC125" s="4">
        <f t="shared" si="76"/>
        <v>0.85254543874327005</v>
      </c>
      <c r="AD125" s="4">
        <f t="shared" si="76"/>
        <v>0.79921300652623883</v>
      </c>
      <c r="AE125" s="4">
        <f t="shared" si="76"/>
        <v>0.73204982249993378</v>
      </c>
      <c r="AF125" s="4">
        <f t="shared" si="76"/>
        <v>0.65145592958786691</v>
      </c>
      <c r="AG125" s="4">
        <f t="shared" si="76"/>
        <v>0.56032247880849573</v>
      </c>
      <c r="AH125" s="4">
        <f t="shared" si="76"/>
        <v>0.46411326873185343</v>
      </c>
      <c r="AI125" s="4">
        <f t="shared" si="76"/>
        <v>0.36979727595523937</v>
      </c>
      <c r="AJ125" s="4">
        <f t="shared" si="76"/>
        <v>0.28393948637231203</v>
      </c>
      <c r="AK125" s="4">
        <f t="shared" si="76"/>
        <v>0.21097259161117732</v>
      </c>
      <c r="AL125" s="4">
        <f t="shared" si="76"/>
        <v>0.15253917653798199</v>
      </c>
      <c r="AM125" s="4">
        <f t="shared" si="76"/>
        <v>0.10795188737709993</v>
      </c>
      <c r="AN125" s="4">
        <f t="shared" si="76"/>
        <v>7.5176653938091809E-2</v>
      </c>
      <c r="AO125" s="4">
        <f t="shared" si="76"/>
        <v>5.1742836177502194E-2</v>
      </c>
      <c r="AP125" s="4">
        <f t="shared" si="76"/>
        <v>3.5319190625345942E-2</v>
      </c>
      <c r="AQ125" s="4">
        <f t="shared" si="76"/>
        <v>2.3969442072658165E-2</v>
      </c>
      <c r="AR125" s="4">
        <f t="shared" si="76"/>
        <v>1.6202243558389728E-2</v>
      </c>
    </row>
    <row r="126" spans="1:44" x14ac:dyDescent="0.25">
      <c r="A126" s="24" t="s">
        <v>67</v>
      </c>
      <c r="B126" s="78">
        <f>'Parameter Input'!$L$161</f>
        <v>0.06</v>
      </c>
      <c r="C126" s="61">
        <f>'Parameter Input'!$M$161</f>
        <v>0.06</v>
      </c>
      <c r="D126" s="1" t="s">
        <v>68</v>
      </c>
      <c r="L126" s="54">
        <f>'Parameter Input'!$O$161</f>
        <v>17</v>
      </c>
      <c r="M126" s="37">
        <v>0</v>
      </c>
      <c r="N126" s="37">
        <v>1</v>
      </c>
      <c r="O126" s="37">
        <f>'Parameter Input'!$P$161</f>
        <v>0.9</v>
      </c>
      <c r="P126" s="55">
        <f>'Parameter Input'!$Q$161</f>
        <v>0.4</v>
      </c>
      <c r="Q126" s="4">
        <f t="shared" si="76"/>
        <v>0.99780374543478534</v>
      </c>
      <c r="R126" s="4">
        <f t="shared" si="76"/>
        <v>0.99685359315256394</v>
      </c>
      <c r="S126" s="4">
        <f t="shared" si="76"/>
        <v>0.99549347132349975</v>
      </c>
      <c r="T126" s="4">
        <f t="shared" ref="T126:AI133" si="77">$N126+($M126-$N126)*((1/(1+EXP(-$P126*(T$9-$L126)))^$O126))</f>
        <v>0.99354772139898062</v>
      </c>
      <c r="U126" s="4">
        <f t="shared" si="77"/>
        <v>0.99076681540580536</v>
      </c>
      <c r="V126" s="4">
        <f t="shared" si="77"/>
        <v>0.9867978615748374</v>
      </c>
      <c r="W126" s="4">
        <f t="shared" si="77"/>
        <v>0.98114509762858249</v>
      </c>
      <c r="X126" s="4">
        <f t="shared" si="77"/>
        <v>0.97311898315872036</v>
      </c>
      <c r="Y126" s="4">
        <f t="shared" si="77"/>
        <v>0.96177484161592774</v>
      </c>
      <c r="Z126" s="4">
        <f t="shared" si="77"/>
        <v>0.94584787155511363</v>
      </c>
      <c r="AA126" s="4">
        <f t="shared" si="77"/>
        <v>0.92370360150141495</v>
      </c>
      <c r="AB126" s="4">
        <f t="shared" si="77"/>
        <v>0.89334463567658451</v>
      </c>
      <c r="AC126" s="4">
        <f t="shared" si="77"/>
        <v>0.85254543874327005</v>
      </c>
      <c r="AD126" s="4">
        <f t="shared" si="77"/>
        <v>0.79921300652623883</v>
      </c>
      <c r="AE126" s="4">
        <f t="shared" si="77"/>
        <v>0.73204982249993378</v>
      </c>
      <c r="AF126" s="4">
        <f t="shared" si="77"/>
        <v>0.65145592958786691</v>
      </c>
      <c r="AG126" s="4">
        <f t="shared" si="77"/>
        <v>0.56032247880849573</v>
      </c>
      <c r="AH126" s="4">
        <f t="shared" si="77"/>
        <v>0.46411326873185343</v>
      </c>
      <c r="AI126" s="4">
        <f t="shared" si="77"/>
        <v>0.36979727595523937</v>
      </c>
      <c r="AJ126" s="4">
        <f t="shared" ref="AJ126:AR133" si="78">$N126+($M126-$N126)*((1/(1+EXP(-$P126*(AJ$9-$L126)))^$O126))</f>
        <v>0.28393948637231203</v>
      </c>
      <c r="AK126" s="4">
        <f t="shared" si="78"/>
        <v>0.21097259161117732</v>
      </c>
      <c r="AL126" s="4">
        <f t="shared" si="78"/>
        <v>0.15253917653798199</v>
      </c>
      <c r="AM126" s="4">
        <f t="shared" si="78"/>
        <v>0.10795188737709993</v>
      </c>
      <c r="AN126" s="4">
        <f t="shared" si="78"/>
        <v>7.5176653938091809E-2</v>
      </c>
      <c r="AO126" s="4">
        <f t="shared" si="78"/>
        <v>5.1742836177502194E-2</v>
      </c>
      <c r="AP126" s="4">
        <f t="shared" si="78"/>
        <v>3.5319190625345942E-2</v>
      </c>
      <c r="AQ126" s="4">
        <f t="shared" si="78"/>
        <v>2.3969442072658165E-2</v>
      </c>
      <c r="AR126" s="4">
        <f t="shared" si="78"/>
        <v>1.6202243558389728E-2</v>
      </c>
    </row>
    <row r="127" spans="1:44" x14ac:dyDescent="0.25">
      <c r="A127" s="24" t="s">
        <v>206</v>
      </c>
      <c r="B127" s="78">
        <f>'Parameter Input'!L164</f>
        <v>17.249705634987386</v>
      </c>
      <c r="C127" s="61">
        <f>'Parameter Input'!M164</f>
        <v>55.988225399495377</v>
      </c>
      <c r="D127" s="1"/>
      <c r="L127" s="54">
        <f>'Parameter Input'!O164</f>
        <v>17</v>
      </c>
      <c r="M127" s="37">
        <v>0</v>
      </c>
      <c r="N127" s="37">
        <v>1</v>
      </c>
      <c r="O127" s="37">
        <f>'Parameter Input'!P164</f>
        <v>0.9</v>
      </c>
      <c r="P127" s="55">
        <f>'Parameter Input'!Q164</f>
        <v>0.4</v>
      </c>
      <c r="Q127" s="4">
        <f t="shared" ref="Q127:AR127" si="79">$N127+($M127-$N127)*((1/(1+EXP(-$P127*(Q$9-$L127)))^$O127))</f>
        <v>0.99780374543478534</v>
      </c>
      <c r="R127" s="4">
        <f t="shared" si="79"/>
        <v>0.99685359315256394</v>
      </c>
      <c r="S127" s="4">
        <f t="shared" si="79"/>
        <v>0.99549347132349975</v>
      </c>
      <c r="T127" s="4">
        <f t="shared" si="79"/>
        <v>0.99354772139898062</v>
      </c>
      <c r="U127" s="4">
        <f t="shared" si="79"/>
        <v>0.99076681540580536</v>
      </c>
      <c r="V127" s="4">
        <f t="shared" si="79"/>
        <v>0.9867978615748374</v>
      </c>
      <c r="W127" s="4">
        <f t="shared" si="79"/>
        <v>0.98114509762858249</v>
      </c>
      <c r="X127" s="4">
        <f t="shared" si="79"/>
        <v>0.97311898315872036</v>
      </c>
      <c r="Y127" s="4">
        <f t="shared" si="79"/>
        <v>0.96177484161592774</v>
      </c>
      <c r="Z127" s="4">
        <f t="shared" si="79"/>
        <v>0.94584787155511363</v>
      </c>
      <c r="AA127" s="4">
        <f t="shared" si="79"/>
        <v>0.92370360150141495</v>
      </c>
      <c r="AB127" s="4">
        <f t="shared" si="79"/>
        <v>0.89334463567658451</v>
      </c>
      <c r="AC127" s="4">
        <f t="shared" si="79"/>
        <v>0.85254543874327005</v>
      </c>
      <c r="AD127" s="4">
        <f t="shared" si="79"/>
        <v>0.79921300652623883</v>
      </c>
      <c r="AE127" s="4">
        <f t="shared" si="79"/>
        <v>0.73204982249993378</v>
      </c>
      <c r="AF127" s="4">
        <f t="shared" si="79"/>
        <v>0.65145592958786691</v>
      </c>
      <c r="AG127" s="4">
        <f t="shared" si="79"/>
        <v>0.56032247880849573</v>
      </c>
      <c r="AH127" s="4">
        <f t="shared" si="79"/>
        <v>0.46411326873185343</v>
      </c>
      <c r="AI127" s="4">
        <f t="shared" si="79"/>
        <v>0.36979727595523937</v>
      </c>
      <c r="AJ127" s="4">
        <f t="shared" si="79"/>
        <v>0.28393948637231203</v>
      </c>
      <c r="AK127" s="4">
        <f t="shared" si="79"/>
        <v>0.21097259161117732</v>
      </c>
      <c r="AL127" s="4">
        <f t="shared" si="79"/>
        <v>0.15253917653798199</v>
      </c>
      <c r="AM127" s="4">
        <f t="shared" si="79"/>
        <v>0.10795188737709993</v>
      </c>
      <c r="AN127" s="4">
        <f t="shared" si="79"/>
        <v>7.5176653938091809E-2</v>
      </c>
      <c r="AO127" s="4">
        <f t="shared" si="79"/>
        <v>5.1742836177502194E-2</v>
      </c>
      <c r="AP127" s="4">
        <f t="shared" si="79"/>
        <v>3.5319190625345942E-2</v>
      </c>
      <c r="AQ127" s="4">
        <f t="shared" si="79"/>
        <v>2.3969442072658165E-2</v>
      </c>
      <c r="AR127" s="4">
        <f t="shared" si="79"/>
        <v>1.6202243558389728E-2</v>
      </c>
    </row>
    <row r="128" spans="1:44" x14ac:dyDescent="0.25">
      <c r="A128" s="24" t="s">
        <v>41</v>
      </c>
      <c r="B128" s="60">
        <f>'Parameter Input'!$L$158</f>
        <v>25</v>
      </c>
      <c r="C128" s="61">
        <f>'Parameter Input'!$M$158</f>
        <v>25</v>
      </c>
      <c r="D128" s="1" t="s">
        <v>42</v>
      </c>
      <c r="L128" s="54">
        <f>'Parameter Input'!$O$158</f>
        <v>17</v>
      </c>
      <c r="M128" s="37">
        <v>0</v>
      </c>
      <c r="N128" s="37">
        <v>1</v>
      </c>
      <c r="O128" s="37">
        <f>'Parameter Input'!$P$158</f>
        <v>0.9</v>
      </c>
      <c r="P128" s="55">
        <f>'Parameter Input'!$Q$158</f>
        <v>0.4</v>
      </c>
      <c r="Q128" s="4">
        <f t="shared" ref="Q128:AF133" si="80">$N128+($M128-$N128)*((1/(1+EXP(-$P128*(Q$9-$L128)))^$O128))</f>
        <v>0.99780374543478534</v>
      </c>
      <c r="R128" s="4">
        <f t="shared" si="80"/>
        <v>0.99685359315256394</v>
      </c>
      <c r="S128" s="4">
        <f t="shared" si="80"/>
        <v>0.99549347132349975</v>
      </c>
      <c r="T128" s="4">
        <f t="shared" si="80"/>
        <v>0.99354772139898062</v>
      </c>
      <c r="U128" s="4">
        <f t="shared" si="80"/>
        <v>0.99076681540580536</v>
      </c>
      <c r="V128" s="4">
        <f t="shared" si="80"/>
        <v>0.9867978615748374</v>
      </c>
      <c r="W128" s="4">
        <f t="shared" si="80"/>
        <v>0.98114509762858249</v>
      </c>
      <c r="X128" s="4">
        <f t="shared" si="80"/>
        <v>0.97311898315872036</v>
      </c>
      <c r="Y128" s="4">
        <f t="shared" si="80"/>
        <v>0.96177484161592774</v>
      </c>
      <c r="Z128" s="4">
        <f t="shared" si="80"/>
        <v>0.94584787155511363</v>
      </c>
      <c r="AA128" s="4">
        <f t="shared" si="80"/>
        <v>0.92370360150141495</v>
      </c>
      <c r="AB128" s="4">
        <f t="shared" si="80"/>
        <v>0.89334463567658451</v>
      </c>
      <c r="AC128" s="4">
        <f t="shared" si="80"/>
        <v>0.85254543874327005</v>
      </c>
      <c r="AD128" s="4">
        <f t="shared" si="80"/>
        <v>0.79921300652623883</v>
      </c>
      <c r="AE128" s="4">
        <f t="shared" si="80"/>
        <v>0.73204982249993378</v>
      </c>
      <c r="AF128" s="4">
        <f t="shared" si="80"/>
        <v>0.65145592958786691</v>
      </c>
      <c r="AG128" s="4">
        <f t="shared" si="77"/>
        <v>0.56032247880849573</v>
      </c>
      <c r="AH128" s="4">
        <f t="shared" si="77"/>
        <v>0.46411326873185343</v>
      </c>
      <c r="AI128" s="4">
        <f t="shared" si="77"/>
        <v>0.36979727595523937</v>
      </c>
      <c r="AJ128" s="4">
        <f t="shared" si="78"/>
        <v>0.28393948637231203</v>
      </c>
      <c r="AK128" s="4">
        <f t="shared" si="78"/>
        <v>0.21097259161117732</v>
      </c>
      <c r="AL128" s="4">
        <f t="shared" si="78"/>
        <v>0.15253917653798199</v>
      </c>
      <c r="AM128" s="4">
        <f t="shared" si="78"/>
        <v>0.10795188737709993</v>
      </c>
      <c r="AN128" s="4">
        <f t="shared" si="78"/>
        <v>7.5176653938091809E-2</v>
      </c>
      <c r="AO128" s="4">
        <f t="shared" si="78"/>
        <v>5.1742836177502194E-2</v>
      </c>
      <c r="AP128" s="4">
        <f t="shared" si="78"/>
        <v>3.5319190625345942E-2</v>
      </c>
      <c r="AQ128" s="4">
        <f t="shared" si="78"/>
        <v>2.3969442072658165E-2</v>
      </c>
      <c r="AR128" s="4">
        <f t="shared" si="78"/>
        <v>1.6202243558389728E-2</v>
      </c>
    </row>
    <row r="129" spans="1:44" x14ac:dyDescent="0.25">
      <c r="A129" s="24" t="s">
        <v>70</v>
      </c>
      <c r="B129" s="60">
        <f>'Parameter Input'!B174</f>
        <v>25</v>
      </c>
      <c r="C129" s="61">
        <f>'Parameter Input'!C174</f>
        <v>25</v>
      </c>
      <c r="D129" s="1" t="s">
        <v>42</v>
      </c>
      <c r="L129" s="54">
        <f>'Parameter Input'!E174</f>
        <v>17</v>
      </c>
      <c r="M129" s="37">
        <v>0</v>
      </c>
      <c r="N129" s="37">
        <v>1</v>
      </c>
      <c r="O129" s="37">
        <f>'Parameter Input'!F174</f>
        <v>0.9</v>
      </c>
      <c r="P129" s="55">
        <f>'Parameter Input'!G174</f>
        <v>0.4</v>
      </c>
      <c r="Q129" s="4">
        <f t="shared" si="80"/>
        <v>0.99780374543478534</v>
      </c>
      <c r="R129" s="4">
        <f t="shared" si="80"/>
        <v>0.99685359315256394</v>
      </c>
      <c r="S129" s="4">
        <f t="shared" si="80"/>
        <v>0.99549347132349975</v>
      </c>
      <c r="T129" s="4">
        <f t="shared" si="80"/>
        <v>0.99354772139898062</v>
      </c>
      <c r="U129" s="4">
        <f t="shared" si="80"/>
        <v>0.99076681540580536</v>
      </c>
      <c r="V129" s="4">
        <f t="shared" si="80"/>
        <v>0.9867978615748374</v>
      </c>
      <c r="W129" s="4">
        <f t="shared" si="80"/>
        <v>0.98114509762858249</v>
      </c>
      <c r="X129" s="4">
        <f t="shared" si="80"/>
        <v>0.97311898315872036</v>
      </c>
      <c r="Y129" s="4">
        <f t="shared" si="80"/>
        <v>0.96177484161592774</v>
      </c>
      <c r="Z129" s="4">
        <f t="shared" si="80"/>
        <v>0.94584787155511363</v>
      </c>
      <c r="AA129" s="4">
        <f t="shared" si="80"/>
        <v>0.92370360150141495</v>
      </c>
      <c r="AB129" s="4">
        <f t="shared" si="80"/>
        <v>0.89334463567658451</v>
      </c>
      <c r="AC129" s="4">
        <f t="shared" si="80"/>
        <v>0.85254543874327005</v>
      </c>
      <c r="AD129" s="4">
        <f t="shared" si="80"/>
        <v>0.79921300652623883</v>
      </c>
      <c r="AE129" s="4">
        <f t="shared" si="80"/>
        <v>0.73204982249993378</v>
      </c>
      <c r="AF129" s="4">
        <f t="shared" si="80"/>
        <v>0.65145592958786691</v>
      </c>
      <c r="AG129" s="4">
        <f t="shared" si="77"/>
        <v>0.56032247880849573</v>
      </c>
      <c r="AH129" s="4">
        <f t="shared" si="77"/>
        <v>0.46411326873185343</v>
      </c>
      <c r="AI129" s="4">
        <f t="shared" si="77"/>
        <v>0.36979727595523937</v>
      </c>
      <c r="AJ129" s="4">
        <f t="shared" si="78"/>
        <v>0.28393948637231203</v>
      </c>
      <c r="AK129" s="4">
        <f t="shared" si="78"/>
        <v>0.21097259161117732</v>
      </c>
      <c r="AL129" s="4">
        <f t="shared" si="78"/>
        <v>0.15253917653798199</v>
      </c>
      <c r="AM129" s="4">
        <f t="shared" si="78"/>
        <v>0.10795188737709993</v>
      </c>
      <c r="AN129" s="4">
        <f t="shared" si="78"/>
        <v>7.5176653938091809E-2</v>
      </c>
      <c r="AO129" s="4">
        <f t="shared" si="78"/>
        <v>5.1742836177502194E-2</v>
      </c>
      <c r="AP129" s="4">
        <f t="shared" si="78"/>
        <v>3.5319190625345942E-2</v>
      </c>
      <c r="AQ129" s="4">
        <f t="shared" si="78"/>
        <v>2.3969442072658165E-2</v>
      </c>
      <c r="AR129" s="4">
        <f t="shared" si="78"/>
        <v>1.6202243558389728E-2</v>
      </c>
    </row>
    <row r="130" spans="1:44" x14ac:dyDescent="0.25">
      <c r="A130" s="24" t="s">
        <v>207</v>
      </c>
      <c r="B130" s="43">
        <f>'Parameter Input'!B171</f>
        <v>9450</v>
      </c>
      <c r="C130" s="44">
        <f>'Parameter Input'!C171</f>
        <v>9450</v>
      </c>
      <c r="D130" s="1" t="s">
        <v>49</v>
      </c>
      <c r="L130" s="54">
        <f>'Parameter Input'!E171</f>
        <v>17</v>
      </c>
      <c r="M130" s="37">
        <v>0</v>
      </c>
      <c r="N130" s="37">
        <v>1</v>
      </c>
      <c r="O130" s="37">
        <f>'Parameter Input'!F171</f>
        <v>0.9</v>
      </c>
      <c r="P130" s="55">
        <f>'Parameter Input'!G171</f>
        <v>0.4</v>
      </c>
      <c r="Q130" s="4">
        <f t="shared" si="80"/>
        <v>0.99780374543478534</v>
      </c>
      <c r="R130" s="4">
        <f t="shared" si="80"/>
        <v>0.99685359315256394</v>
      </c>
      <c r="S130" s="4">
        <f t="shared" si="80"/>
        <v>0.99549347132349975</v>
      </c>
      <c r="T130" s="4">
        <f t="shared" si="80"/>
        <v>0.99354772139898062</v>
      </c>
      <c r="U130" s="4">
        <f t="shared" si="80"/>
        <v>0.99076681540580536</v>
      </c>
      <c r="V130" s="4">
        <f t="shared" si="80"/>
        <v>0.9867978615748374</v>
      </c>
      <c r="W130" s="4">
        <f t="shared" si="80"/>
        <v>0.98114509762858249</v>
      </c>
      <c r="X130" s="4">
        <f t="shared" si="80"/>
        <v>0.97311898315872036</v>
      </c>
      <c r="Y130" s="4">
        <f t="shared" si="80"/>
        <v>0.96177484161592774</v>
      </c>
      <c r="Z130" s="4">
        <f t="shared" si="80"/>
        <v>0.94584787155511363</v>
      </c>
      <c r="AA130" s="4">
        <f t="shared" si="80"/>
        <v>0.92370360150141495</v>
      </c>
      <c r="AB130" s="4">
        <f t="shared" si="80"/>
        <v>0.89334463567658451</v>
      </c>
      <c r="AC130" s="4">
        <f t="shared" si="80"/>
        <v>0.85254543874327005</v>
      </c>
      <c r="AD130" s="4">
        <f t="shared" si="80"/>
        <v>0.79921300652623883</v>
      </c>
      <c r="AE130" s="4">
        <f t="shared" si="80"/>
        <v>0.73204982249993378</v>
      </c>
      <c r="AF130" s="4">
        <f t="shared" si="80"/>
        <v>0.65145592958786691</v>
      </c>
      <c r="AG130" s="4">
        <f t="shared" si="77"/>
        <v>0.56032247880849573</v>
      </c>
      <c r="AH130" s="4">
        <f t="shared" si="77"/>
        <v>0.46411326873185343</v>
      </c>
      <c r="AI130" s="4">
        <f t="shared" si="77"/>
        <v>0.36979727595523937</v>
      </c>
      <c r="AJ130" s="4">
        <f t="shared" si="78"/>
        <v>0.28393948637231203</v>
      </c>
      <c r="AK130" s="4">
        <f t="shared" si="78"/>
        <v>0.21097259161117732</v>
      </c>
      <c r="AL130" s="4">
        <f t="shared" si="78"/>
        <v>0.15253917653798199</v>
      </c>
      <c r="AM130" s="4">
        <f t="shared" si="78"/>
        <v>0.10795188737709993</v>
      </c>
      <c r="AN130" s="4">
        <f t="shared" si="78"/>
        <v>7.5176653938091809E-2</v>
      </c>
      <c r="AO130" s="4">
        <f t="shared" si="78"/>
        <v>5.1742836177502194E-2</v>
      </c>
      <c r="AP130" s="4">
        <f t="shared" si="78"/>
        <v>3.5319190625345942E-2</v>
      </c>
      <c r="AQ130" s="4">
        <f t="shared" si="78"/>
        <v>2.3969442072658165E-2</v>
      </c>
      <c r="AR130" s="4">
        <f t="shared" si="78"/>
        <v>1.6202243558389728E-2</v>
      </c>
    </row>
    <row r="131" spans="1:44" x14ac:dyDescent="0.25">
      <c r="A131" s="24" t="s">
        <v>56</v>
      </c>
      <c r="B131" s="45">
        <f>'Parameter Input'!B172</f>
        <v>0.57333333333333336</v>
      </c>
      <c r="C131" s="46">
        <f>'Parameter Input'!C172</f>
        <v>0.57333333333333336</v>
      </c>
      <c r="D131" s="1" t="s">
        <v>57</v>
      </c>
      <c r="L131" s="54">
        <f>'Parameter Input'!E172</f>
        <v>17</v>
      </c>
      <c r="M131" s="37">
        <v>0</v>
      </c>
      <c r="N131" s="37">
        <v>1</v>
      </c>
      <c r="O131" s="37">
        <f>'Parameter Input'!F172</f>
        <v>0.9</v>
      </c>
      <c r="P131" s="55">
        <f>'Parameter Input'!G172</f>
        <v>0.4</v>
      </c>
      <c r="Q131" s="4">
        <f t="shared" si="80"/>
        <v>0.99780374543478534</v>
      </c>
      <c r="R131" s="4">
        <f t="shared" si="80"/>
        <v>0.99685359315256394</v>
      </c>
      <c r="S131" s="4">
        <f t="shared" si="80"/>
        <v>0.99549347132349975</v>
      </c>
      <c r="T131" s="4">
        <f t="shared" si="80"/>
        <v>0.99354772139898062</v>
      </c>
      <c r="U131" s="4">
        <f t="shared" si="80"/>
        <v>0.99076681540580536</v>
      </c>
      <c r="V131" s="4">
        <f t="shared" si="80"/>
        <v>0.9867978615748374</v>
      </c>
      <c r="W131" s="4">
        <f t="shared" si="80"/>
        <v>0.98114509762858249</v>
      </c>
      <c r="X131" s="4">
        <f t="shared" si="80"/>
        <v>0.97311898315872036</v>
      </c>
      <c r="Y131" s="4">
        <f t="shared" si="80"/>
        <v>0.96177484161592774</v>
      </c>
      <c r="Z131" s="4">
        <f t="shared" si="80"/>
        <v>0.94584787155511363</v>
      </c>
      <c r="AA131" s="4">
        <f t="shared" si="80"/>
        <v>0.92370360150141495</v>
      </c>
      <c r="AB131" s="4">
        <f t="shared" si="80"/>
        <v>0.89334463567658451</v>
      </c>
      <c r="AC131" s="4">
        <f t="shared" si="80"/>
        <v>0.85254543874327005</v>
      </c>
      <c r="AD131" s="4">
        <f t="shared" si="80"/>
        <v>0.79921300652623883</v>
      </c>
      <c r="AE131" s="4">
        <f t="shared" si="80"/>
        <v>0.73204982249993378</v>
      </c>
      <c r="AF131" s="4">
        <f t="shared" si="80"/>
        <v>0.65145592958786691</v>
      </c>
      <c r="AG131" s="4">
        <f t="shared" si="77"/>
        <v>0.56032247880849573</v>
      </c>
      <c r="AH131" s="4">
        <f t="shared" si="77"/>
        <v>0.46411326873185343</v>
      </c>
      <c r="AI131" s="4">
        <f t="shared" si="77"/>
        <v>0.36979727595523937</v>
      </c>
      <c r="AJ131" s="4">
        <f t="shared" si="78"/>
        <v>0.28393948637231203</v>
      </c>
      <c r="AK131" s="4">
        <f t="shared" si="78"/>
        <v>0.21097259161117732</v>
      </c>
      <c r="AL131" s="4">
        <f t="shared" si="78"/>
        <v>0.15253917653798199</v>
      </c>
      <c r="AM131" s="4">
        <f t="shared" si="78"/>
        <v>0.10795188737709993</v>
      </c>
      <c r="AN131" s="4">
        <f t="shared" si="78"/>
        <v>7.5176653938091809E-2</v>
      </c>
      <c r="AO131" s="4">
        <f t="shared" si="78"/>
        <v>5.1742836177502194E-2</v>
      </c>
      <c r="AP131" s="4">
        <f t="shared" si="78"/>
        <v>3.5319190625345942E-2</v>
      </c>
      <c r="AQ131" s="4">
        <f t="shared" si="78"/>
        <v>2.3969442072658165E-2</v>
      </c>
      <c r="AR131" s="4">
        <f t="shared" si="78"/>
        <v>1.6202243558389728E-2</v>
      </c>
    </row>
    <row r="132" spans="1:44" x14ac:dyDescent="0.25">
      <c r="A132" s="24" t="s">
        <v>73</v>
      </c>
      <c r="B132" s="45">
        <f>'Parameter Input'!$L$162</f>
        <v>0</v>
      </c>
      <c r="C132" s="46">
        <f>'Parameter Input'!$M$162</f>
        <v>0</v>
      </c>
      <c r="D132" s="1" t="s">
        <v>57</v>
      </c>
      <c r="L132" s="54">
        <f>'Parameter Input'!$O$162</f>
        <v>17</v>
      </c>
      <c r="M132" s="37">
        <v>0</v>
      </c>
      <c r="N132" s="37">
        <v>1</v>
      </c>
      <c r="O132" s="37">
        <f>'Parameter Input'!$P$162</f>
        <v>0.9</v>
      </c>
      <c r="P132" s="55">
        <f>'Parameter Input'!$Q$162</f>
        <v>0.4</v>
      </c>
      <c r="Q132" s="4">
        <f t="shared" si="80"/>
        <v>0.99780374543478534</v>
      </c>
      <c r="R132" s="4">
        <f t="shared" si="80"/>
        <v>0.99685359315256394</v>
      </c>
      <c r="S132" s="4">
        <f t="shared" si="80"/>
        <v>0.99549347132349975</v>
      </c>
      <c r="T132" s="4">
        <f t="shared" si="80"/>
        <v>0.99354772139898062</v>
      </c>
      <c r="U132" s="4">
        <f t="shared" si="80"/>
        <v>0.99076681540580536</v>
      </c>
      <c r="V132" s="4">
        <f t="shared" si="80"/>
        <v>0.9867978615748374</v>
      </c>
      <c r="W132" s="4">
        <f t="shared" si="80"/>
        <v>0.98114509762858249</v>
      </c>
      <c r="X132" s="4">
        <f t="shared" si="80"/>
        <v>0.97311898315872036</v>
      </c>
      <c r="Y132" s="4">
        <f t="shared" si="80"/>
        <v>0.96177484161592774</v>
      </c>
      <c r="Z132" s="4">
        <f t="shared" si="80"/>
        <v>0.94584787155511363</v>
      </c>
      <c r="AA132" s="4">
        <f t="shared" si="80"/>
        <v>0.92370360150141495</v>
      </c>
      <c r="AB132" s="4">
        <f t="shared" si="80"/>
        <v>0.89334463567658451</v>
      </c>
      <c r="AC132" s="4">
        <f t="shared" si="80"/>
        <v>0.85254543874327005</v>
      </c>
      <c r="AD132" s="4">
        <f t="shared" si="80"/>
        <v>0.79921300652623883</v>
      </c>
      <c r="AE132" s="4">
        <f t="shared" si="80"/>
        <v>0.73204982249993378</v>
      </c>
      <c r="AF132" s="4">
        <f t="shared" si="80"/>
        <v>0.65145592958786691</v>
      </c>
      <c r="AG132" s="4">
        <f t="shared" si="77"/>
        <v>0.56032247880849573</v>
      </c>
      <c r="AH132" s="4">
        <f t="shared" si="77"/>
        <v>0.46411326873185343</v>
      </c>
      <c r="AI132" s="4">
        <f t="shared" si="77"/>
        <v>0.36979727595523937</v>
      </c>
      <c r="AJ132" s="4">
        <f t="shared" si="78"/>
        <v>0.28393948637231203</v>
      </c>
      <c r="AK132" s="4">
        <f t="shared" si="78"/>
        <v>0.21097259161117732</v>
      </c>
      <c r="AL132" s="4">
        <f t="shared" si="78"/>
        <v>0.15253917653798199</v>
      </c>
      <c r="AM132" s="4">
        <f t="shared" si="78"/>
        <v>0.10795188737709993</v>
      </c>
      <c r="AN132" s="4">
        <f t="shared" si="78"/>
        <v>7.5176653938091809E-2</v>
      </c>
      <c r="AO132" s="4">
        <f t="shared" si="78"/>
        <v>5.1742836177502194E-2</v>
      </c>
      <c r="AP132" s="4">
        <f t="shared" si="78"/>
        <v>3.5319190625345942E-2</v>
      </c>
      <c r="AQ132" s="4">
        <f t="shared" si="78"/>
        <v>2.3969442072658165E-2</v>
      </c>
      <c r="AR132" s="4">
        <f t="shared" si="78"/>
        <v>1.6202243558389728E-2</v>
      </c>
    </row>
    <row r="133" spans="1:44" ht="15.75" thickBot="1" x14ac:dyDescent="0.3">
      <c r="A133" s="24" t="s">
        <v>64</v>
      </c>
      <c r="B133" s="49">
        <f>'Parameter Input'!B173</f>
        <v>120000</v>
      </c>
      <c r="C133" s="50">
        <f>'Parameter Input'!C173</f>
        <v>120000</v>
      </c>
      <c r="D133" s="1" t="s">
        <v>65</v>
      </c>
      <c r="L133" s="56">
        <f>'Parameter Input'!E173</f>
        <v>17</v>
      </c>
      <c r="M133" s="57">
        <v>0</v>
      </c>
      <c r="N133" s="57">
        <v>1</v>
      </c>
      <c r="O133" s="57">
        <f>'Parameter Input'!F173</f>
        <v>0.9</v>
      </c>
      <c r="P133" s="58">
        <f>'Parameter Input'!G173</f>
        <v>0.4</v>
      </c>
      <c r="Q133" s="4">
        <f t="shared" si="80"/>
        <v>0.99780374543478534</v>
      </c>
      <c r="R133" s="4">
        <f t="shared" si="80"/>
        <v>0.99685359315256394</v>
      </c>
      <c r="S133" s="4">
        <f t="shared" si="80"/>
        <v>0.99549347132349975</v>
      </c>
      <c r="T133" s="4">
        <f t="shared" si="80"/>
        <v>0.99354772139898062</v>
      </c>
      <c r="U133" s="4">
        <f t="shared" si="80"/>
        <v>0.99076681540580536</v>
      </c>
      <c r="V133" s="4">
        <f t="shared" si="80"/>
        <v>0.9867978615748374</v>
      </c>
      <c r="W133" s="4">
        <f t="shared" si="80"/>
        <v>0.98114509762858249</v>
      </c>
      <c r="X133" s="4">
        <f t="shared" si="80"/>
        <v>0.97311898315872036</v>
      </c>
      <c r="Y133" s="4">
        <f t="shared" si="80"/>
        <v>0.96177484161592774</v>
      </c>
      <c r="Z133" s="4">
        <f t="shared" si="80"/>
        <v>0.94584787155511363</v>
      </c>
      <c r="AA133" s="4">
        <f t="shared" si="80"/>
        <v>0.92370360150141495</v>
      </c>
      <c r="AB133" s="4">
        <f t="shared" si="80"/>
        <v>0.89334463567658451</v>
      </c>
      <c r="AC133" s="4">
        <f t="shared" si="80"/>
        <v>0.85254543874327005</v>
      </c>
      <c r="AD133" s="4">
        <f t="shared" si="80"/>
        <v>0.79921300652623883</v>
      </c>
      <c r="AE133" s="4">
        <f t="shared" si="80"/>
        <v>0.73204982249993378</v>
      </c>
      <c r="AF133" s="4">
        <f t="shared" si="80"/>
        <v>0.65145592958786691</v>
      </c>
      <c r="AG133" s="4">
        <f t="shared" si="77"/>
        <v>0.56032247880849573</v>
      </c>
      <c r="AH133" s="4">
        <f t="shared" si="77"/>
        <v>0.46411326873185343</v>
      </c>
      <c r="AI133" s="4">
        <f t="shared" si="77"/>
        <v>0.36979727595523937</v>
      </c>
      <c r="AJ133" s="4">
        <f t="shared" si="78"/>
        <v>0.28393948637231203</v>
      </c>
      <c r="AK133" s="4">
        <f t="shared" si="78"/>
        <v>0.21097259161117732</v>
      </c>
      <c r="AL133" s="4">
        <f t="shared" si="78"/>
        <v>0.15253917653798199</v>
      </c>
      <c r="AM133" s="4">
        <f t="shared" si="78"/>
        <v>0.10795188737709993</v>
      </c>
      <c r="AN133" s="4">
        <f t="shared" si="78"/>
        <v>7.5176653938091809E-2</v>
      </c>
      <c r="AO133" s="4">
        <f t="shared" si="78"/>
        <v>5.1742836177502194E-2</v>
      </c>
      <c r="AP133" s="4">
        <f t="shared" si="78"/>
        <v>3.5319190625345942E-2</v>
      </c>
      <c r="AQ133" s="4">
        <f t="shared" si="78"/>
        <v>2.3969442072658165E-2</v>
      </c>
      <c r="AR133" s="4">
        <f t="shared" si="78"/>
        <v>1.6202243558389728E-2</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51" si="81">A117</f>
        <v>Capex vehicle</v>
      </c>
      <c r="B137" s="62">
        <f t="shared" ref="B137:B146" si="82">$B117+($C117-$B117)*(1-Q117)</f>
        <v>15000000</v>
      </c>
      <c r="C137" s="62">
        <f t="shared" ref="C137:C146" si="83">$B117+($C117-$B117)*(1-R117)</f>
        <v>15000000</v>
      </c>
      <c r="D137" s="62">
        <f t="shared" ref="D137:D146" si="84">$B117+($C117-$B117)*(1-S117)</f>
        <v>15000000</v>
      </c>
      <c r="E137" s="62">
        <f t="shared" ref="E137:E146" si="85">$B117+($C117-$B117)*(1-T117)</f>
        <v>15000000</v>
      </c>
      <c r="F137" s="62">
        <f t="shared" ref="F137:F146" si="86">$B117+($C117-$B117)*(1-U117)</f>
        <v>15000000</v>
      </c>
      <c r="G137" s="62">
        <f t="shared" ref="G137:G146" si="87">$B117+($C117-$B117)*(1-V117)</f>
        <v>15000000</v>
      </c>
      <c r="H137" s="62">
        <f t="shared" ref="H137:H146" si="88">$B117+($C117-$B117)*(1-W117)</f>
        <v>15000000</v>
      </c>
      <c r="I137" s="62">
        <f t="shared" ref="I137:I146" si="89">$B117+($C117-$B117)*(1-X117)</f>
        <v>15000000</v>
      </c>
      <c r="J137" s="62">
        <f t="shared" ref="J137:J146" si="90">$B117+($C117-$B117)*(1-Y117)</f>
        <v>15000000</v>
      </c>
      <c r="K137" s="62">
        <f t="shared" ref="K137:K146" si="91">$B117+($C117-$B117)*(1-Z117)</f>
        <v>15000000</v>
      </c>
      <c r="L137" s="62">
        <f t="shared" ref="L137:L146" si="92">$B117+($C117-$B117)*(1-AA117)</f>
        <v>15000000</v>
      </c>
      <c r="M137" s="62">
        <f t="shared" ref="M137:M146" si="93">$B117+($C117-$B117)*(1-AB117)</f>
        <v>15000000</v>
      </c>
      <c r="N137" s="62">
        <f t="shared" ref="N137:N146" si="94">$B117+($C117-$B117)*(1-AC117)</f>
        <v>15000000</v>
      </c>
      <c r="O137" s="62">
        <f t="shared" ref="O137:O146" si="95">$B117+($C117-$B117)*(1-AD117)</f>
        <v>15000000</v>
      </c>
      <c r="P137" s="62">
        <f t="shared" ref="P137:P146" si="96">$B117+($C117-$B117)*(1-AE117)</f>
        <v>15000000</v>
      </c>
      <c r="Q137" s="62">
        <f t="shared" ref="Q137:Q146" si="97">$B117+($C117-$B117)*(1-AF117)</f>
        <v>15000000</v>
      </c>
      <c r="R137" s="62">
        <f t="shared" ref="R137:R146" si="98">$B117+($C117-$B117)*(1-AG117)</f>
        <v>15000000</v>
      </c>
      <c r="S137" s="62">
        <f t="shared" ref="S137:S146" si="99">$B117+($C117-$B117)*(1-AH117)</f>
        <v>15000000</v>
      </c>
      <c r="T137" s="62">
        <f t="shared" ref="T137:T146" si="100">$B117+($C117-$B117)*(1-AI117)</f>
        <v>15000000</v>
      </c>
      <c r="U137" s="62">
        <f t="shared" ref="U137:U146" si="101">$B117+($C117-$B117)*(1-AJ117)</f>
        <v>15000000</v>
      </c>
      <c r="V137" s="62">
        <f t="shared" ref="V137:V146" si="102">$B117+($C117-$B117)*(1-AK117)</f>
        <v>15000000</v>
      </c>
      <c r="W137" s="62">
        <f t="shared" ref="W137:W146" si="103">$B117+($C117-$B117)*(1-AL117)</f>
        <v>15000000</v>
      </c>
      <c r="X137" s="62">
        <f t="shared" ref="X137:X146" si="104">$B117+($C117-$B117)*(1-AM117)</f>
        <v>15000000</v>
      </c>
      <c r="Y137" s="62">
        <f t="shared" ref="Y137:Y146" si="105">$B117+($C117-$B117)*(1-AN117)</f>
        <v>15000000</v>
      </c>
      <c r="Z137" s="62">
        <f t="shared" ref="Z137:Z146" si="106">$B117+($C117-$B117)*(1-AO117)</f>
        <v>15000000</v>
      </c>
      <c r="AA137" s="62">
        <f t="shared" ref="AA137:AA146" si="107">$B117+($C117-$B117)*(1-AP117)</f>
        <v>15000000</v>
      </c>
      <c r="AB137" s="62">
        <f t="shared" ref="AB137:AB146" si="108">$B117+($C117-$B117)*(1-AQ117)</f>
        <v>15000000</v>
      </c>
      <c r="AC137" s="62">
        <f t="shared" ref="AC137:AC146" si="109">$B117+($C117-$B117)*(1-AR117)</f>
        <v>15000000</v>
      </c>
    </row>
    <row r="138" spans="1:44" x14ac:dyDescent="0.25">
      <c r="A138" s="30" t="str">
        <f t="shared" si="81"/>
        <v>Residual value (vehicle)</v>
      </c>
      <c r="B138" s="62">
        <f t="shared" si="82"/>
        <v>-1498352.8090760889</v>
      </c>
      <c r="C138" s="62">
        <f t="shared" si="83"/>
        <v>-1497640.194864423</v>
      </c>
      <c r="D138" s="62">
        <f t="shared" si="84"/>
        <v>-1496620.1034926248</v>
      </c>
      <c r="E138" s="62">
        <f t="shared" si="85"/>
        <v>-1495160.7910492355</v>
      </c>
      <c r="F138" s="62">
        <f t="shared" si="86"/>
        <v>-1493075.111554354</v>
      </c>
      <c r="G138" s="62">
        <f t="shared" si="87"/>
        <v>-1490098.396181128</v>
      </c>
      <c r="H138" s="62">
        <f t="shared" si="88"/>
        <v>-1485858.8232214369</v>
      </c>
      <c r="I138" s="62">
        <f t="shared" si="89"/>
        <v>-1479839.2373690403</v>
      </c>
      <c r="J138" s="62">
        <f t="shared" si="90"/>
        <v>-1471331.1312119458</v>
      </c>
      <c r="K138" s="62">
        <f t="shared" si="91"/>
        <v>-1459385.9036663352</v>
      </c>
      <c r="L138" s="62">
        <f t="shared" si="92"/>
        <v>-1442777.7011260611</v>
      </c>
      <c r="M138" s="62">
        <f t="shared" si="93"/>
        <v>-1420008.4767574384</v>
      </c>
      <c r="N138" s="62">
        <f t="shared" si="94"/>
        <v>-1389409.0790574525</v>
      </c>
      <c r="O138" s="62">
        <f t="shared" si="95"/>
        <v>-1349409.7548946792</v>
      </c>
      <c r="P138" s="62">
        <f t="shared" si="96"/>
        <v>-1299037.3668749502</v>
      </c>
      <c r="Q138" s="62">
        <f t="shared" si="97"/>
        <v>-1238591.9471909001</v>
      </c>
      <c r="R138" s="62">
        <f t="shared" si="98"/>
        <v>-1170241.8591063719</v>
      </c>
      <c r="S138" s="62">
        <f t="shared" si="99"/>
        <v>-1098084.9515488902</v>
      </c>
      <c r="T138" s="62">
        <f t="shared" si="100"/>
        <v>-1027347.9569664295</v>
      </c>
      <c r="U138" s="62">
        <f t="shared" si="101"/>
        <v>-962954.61477923405</v>
      </c>
      <c r="V138" s="62">
        <f t="shared" si="102"/>
        <v>-908229.44370838301</v>
      </c>
      <c r="W138" s="62">
        <f t="shared" si="103"/>
        <v>-864404.38240348652</v>
      </c>
      <c r="X138" s="62">
        <f t="shared" si="104"/>
        <v>-830963.91553282493</v>
      </c>
      <c r="Y138" s="62">
        <f t="shared" si="105"/>
        <v>-806382.49045356887</v>
      </c>
      <c r="Z138" s="62">
        <f t="shared" si="106"/>
        <v>-788807.1271331266</v>
      </c>
      <c r="AA138" s="62">
        <f t="shared" si="107"/>
        <v>-776489.39296900947</v>
      </c>
      <c r="AB138" s="62">
        <f t="shared" si="108"/>
        <v>-767977.08155449363</v>
      </c>
      <c r="AC138" s="62">
        <f t="shared" si="109"/>
        <v>-762151.68266879232</v>
      </c>
    </row>
    <row r="139" spans="1:44" x14ac:dyDescent="0.25">
      <c r="A139" s="30" t="str">
        <f t="shared" si="81"/>
        <v>Capex costumization</v>
      </c>
      <c r="B139" s="62">
        <f t="shared" si="82"/>
        <v>5000000</v>
      </c>
      <c r="C139" s="62">
        <f t="shared" si="83"/>
        <v>5000000</v>
      </c>
      <c r="D139" s="62">
        <f t="shared" si="84"/>
        <v>5000000</v>
      </c>
      <c r="E139" s="62">
        <f t="shared" si="85"/>
        <v>5000000</v>
      </c>
      <c r="F139" s="62">
        <f t="shared" si="86"/>
        <v>5000000</v>
      </c>
      <c r="G139" s="62">
        <f t="shared" si="87"/>
        <v>5000000</v>
      </c>
      <c r="H139" s="62">
        <f t="shared" si="88"/>
        <v>5000000</v>
      </c>
      <c r="I139" s="62">
        <f t="shared" si="89"/>
        <v>5000000</v>
      </c>
      <c r="J139" s="62">
        <f t="shared" si="90"/>
        <v>5000000</v>
      </c>
      <c r="K139" s="62">
        <f t="shared" si="91"/>
        <v>5000000</v>
      </c>
      <c r="L139" s="62">
        <f t="shared" si="92"/>
        <v>5000000</v>
      </c>
      <c r="M139" s="62">
        <f t="shared" si="93"/>
        <v>5000000</v>
      </c>
      <c r="N139" s="62">
        <f t="shared" si="94"/>
        <v>5000000</v>
      </c>
      <c r="O139" s="62">
        <f t="shared" si="95"/>
        <v>5000000</v>
      </c>
      <c r="P139" s="62">
        <f t="shared" si="96"/>
        <v>5000000</v>
      </c>
      <c r="Q139" s="62">
        <f t="shared" si="97"/>
        <v>5000000</v>
      </c>
      <c r="R139" s="62">
        <f t="shared" si="98"/>
        <v>5000000</v>
      </c>
      <c r="S139" s="62">
        <f t="shared" si="99"/>
        <v>5000000</v>
      </c>
      <c r="T139" s="62">
        <f t="shared" si="100"/>
        <v>5000000</v>
      </c>
      <c r="U139" s="62">
        <f t="shared" si="101"/>
        <v>5000000</v>
      </c>
      <c r="V139" s="62">
        <f t="shared" si="102"/>
        <v>5000000</v>
      </c>
      <c r="W139" s="62">
        <f t="shared" si="103"/>
        <v>5000000</v>
      </c>
      <c r="X139" s="62">
        <f t="shared" si="104"/>
        <v>5000000</v>
      </c>
      <c r="Y139" s="62">
        <f t="shared" si="105"/>
        <v>5000000</v>
      </c>
      <c r="Z139" s="62">
        <f t="shared" si="106"/>
        <v>5000000</v>
      </c>
      <c r="AA139" s="62">
        <f t="shared" si="107"/>
        <v>5000000</v>
      </c>
      <c r="AB139" s="62">
        <f t="shared" si="108"/>
        <v>5000000</v>
      </c>
      <c r="AC139" s="62">
        <f t="shared" si="109"/>
        <v>5000000</v>
      </c>
    </row>
    <row r="140" spans="1:44" x14ac:dyDescent="0.25">
      <c r="A140" s="30" t="str">
        <f t="shared" si="81"/>
        <v>Residual value (costumization)</v>
      </c>
      <c r="B140" s="62">
        <f t="shared" si="82"/>
        <v>-500000</v>
      </c>
      <c r="C140" s="62">
        <f t="shared" si="83"/>
        <v>-500000</v>
      </c>
      <c r="D140" s="62">
        <f t="shared" si="84"/>
        <v>-500000</v>
      </c>
      <c r="E140" s="62">
        <f t="shared" si="85"/>
        <v>-500000</v>
      </c>
      <c r="F140" s="62">
        <f t="shared" si="86"/>
        <v>-500000</v>
      </c>
      <c r="G140" s="62">
        <f t="shared" si="87"/>
        <v>-500000</v>
      </c>
      <c r="H140" s="62">
        <f t="shared" si="88"/>
        <v>-500000</v>
      </c>
      <c r="I140" s="62">
        <f t="shared" si="89"/>
        <v>-500000</v>
      </c>
      <c r="J140" s="62">
        <f t="shared" si="90"/>
        <v>-500000</v>
      </c>
      <c r="K140" s="62">
        <f t="shared" si="91"/>
        <v>-500000</v>
      </c>
      <c r="L140" s="62">
        <f t="shared" si="92"/>
        <v>-500000</v>
      </c>
      <c r="M140" s="62">
        <f t="shared" si="93"/>
        <v>-500000</v>
      </c>
      <c r="N140" s="62">
        <f t="shared" si="94"/>
        <v>-500000</v>
      </c>
      <c r="O140" s="62">
        <f t="shared" si="95"/>
        <v>-500000</v>
      </c>
      <c r="P140" s="62">
        <f t="shared" si="96"/>
        <v>-500000</v>
      </c>
      <c r="Q140" s="62">
        <f t="shared" si="97"/>
        <v>-500000</v>
      </c>
      <c r="R140" s="62">
        <f t="shared" si="98"/>
        <v>-500000</v>
      </c>
      <c r="S140" s="62">
        <f t="shared" si="99"/>
        <v>-500000</v>
      </c>
      <c r="T140" s="62">
        <f t="shared" si="100"/>
        <v>-500000</v>
      </c>
      <c r="U140" s="62">
        <f t="shared" si="101"/>
        <v>-500000</v>
      </c>
      <c r="V140" s="62">
        <f t="shared" si="102"/>
        <v>-500000</v>
      </c>
      <c r="W140" s="62">
        <f t="shared" si="103"/>
        <v>-500000</v>
      </c>
      <c r="X140" s="62">
        <f t="shared" si="104"/>
        <v>-500000</v>
      </c>
      <c r="Y140" s="62">
        <f t="shared" si="105"/>
        <v>-500000</v>
      </c>
      <c r="Z140" s="62">
        <f t="shared" si="106"/>
        <v>-500000</v>
      </c>
      <c r="AA140" s="62">
        <f t="shared" si="107"/>
        <v>-500000</v>
      </c>
      <c r="AB140" s="62">
        <f t="shared" si="108"/>
        <v>-500000</v>
      </c>
      <c r="AC140" s="62">
        <f t="shared" si="109"/>
        <v>-500000</v>
      </c>
    </row>
    <row r="141" spans="1:44" x14ac:dyDescent="0.25">
      <c r="A141" s="30" t="str">
        <f t="shared" si="81"/>
        <v>WACC</v>
      </c>
      <c r="B141" s="62">
        <f t="shared" si="82"/>
        <v>0.06</v>
      </c>
      <c r="C141" s="62">
        <f t="shared" si="83"/>
        <v>0.06</v>
      </c>
      <c r="D141" s="62">
        <f t="shared" si="84"/>
        <v>0.06</v>
      </c>
      <c r="E141" s="62">
        <f t="shared" si="85"/>
        <v>0.06</v>
      </c>
      <c r="F141" s="62">
        <f t="shared" si="86"/>
        <v>0.06</v>
      </c>
      <c r="G141" s="62">
        <f t="shared" si="87"/>
        <v>0.06</v>
      </c>
      <c r="H141" s="62">
        <f t="shared" si="88"/>
        <v>0.06</v>
      </c>
      <c r="I141" s="62">
        <f t="shared" si="89"/>
        <v>0.06</v>
      </c>
      <c r="J141" s="62">
        <f t="shared" si="90"/>
        <v>0.06</v>
      </c>
      <c r="K141" s="62">
        <f t="shared" si="91"/>
        <v>0.06</v>
      </c>
      <c r="L141" s="62">
        <f t="shared" si="92"/>
        <v>0.06</v>
      </c>
      <c r="M141" s="62">
        <f t="shared" si="93"/>
        <v>0.06</v>
      </c>
      <c r="N141" s="62">
        <f t="shared" si="94"/>
        <v>0.06</v>
      </c>
      <c r="O141" s="62">
        <f t="shared" si="95"/>
        <v>0.06</v>
      </c>
      <c r="P141" s="62">
        <f t="shared" si="96"/>
        <v>0.06</v>
      </c>
      <c r="Q141" s="62">
        <f t="shared" si="97"/>
        <v>0.06</v>
      </c>
      <c r="R141" s="62">
        <f t="shared" si="98"/>
        <v>0.06</v>
      </c>
      <c r="S141" s="62">
        <f t="shared" si="99"/>
        <v>0.06</v>
      </c>
      <c r="T141" s="62">
        <f t="shared" si="100"/>
        <v>0.06</v>
      </c>
      <c r="U141" s="62">
        <f t="shared" si="101"/>
        <v>0.06</v>
      </c>
      <c r="V141" s="62">
        <f t="shared" si="102"/>
        <v>0.06</v>
      </c>
      <c r="W141" s="62">
        <f t="shared" si="103"/>
        <v>0.06</v>
      </c>
      <c r="X141" s="62">
        <f t="shared" si="104"/>
        <v>0.06</v>
      </c>
      <c r="Y141" s="62">
        <f t="shared" si="105"/>
        <v>0.06</v>
      </c>
      <c r="Z141" s="62">
        <f t="shared" si="106"/>
        <v>0.06</v>
      </c>
      <c r="AA141" s="62">
        <f t="shared" si="107"/>
        <v>0.06</v>
      </c>
      <c r="AB141" s="62">
        <f t="shared" si="108"/>
        <v>0.06</v>
      </c>
      <c r="AC141" s="62">
        <f t="shared" si="109"/>
        <v>0.06</v>
      </c>
    </row>
    <row r="142" spans="1:44" x14ac:dyDescent="0.25">
      <c r="A142" s="30" t="str">
        <f t="shared" si="81"/>
        <v>Opex fix (admin, crew, insurance)</v>
      </c>
      <c r="B142" s="62">
        <f t="shared" si="82"/>
        <v>1208235.294117647</v>
      </c>
      <c r="C142" s="62">
        <f t="shared" si="83"/>
        <v>1208235.294117647</v>
      </c>
      <c r="D142" s="62">
        <f t="shared" si="84"/>
        <v>1208235.294117647</v>
      </c>
      <c r="E142" s="62">
        <f t="shared" si="85"/>
        <v>1208235.294117647</v>
      </c>
      <c r="F142" s="62">
        <f t="shared" si="86"/>
        <v>1208235.294117647</v>
      </c>
      <c r="G142" s="62">
        <f t="shared" si="87"/>
        <v>1208235.294117647</v>
      </c>
      <c r="H142" s="62">
        <f t="shared" si="88"/>
        <v>1208235.294117647</v>
      </c>
      <c r="I142" s="62">
        <f t="shared" si="89"/>
        <v>1208235.294117647</v>
      </c>
      <c r="J142" s="62">
        <f t="shared" si="90"/>
        <v>1208235.294117647</v>
      </c>
      <c r="K142" s="62">
        <f t="shared" si="91"/>
        <v>1208235.294117647</v>
      </c>
      <c r="L142" s="62">
        <f t="shared" si="92"/>
        <v>1208235.294117647</v>
      </c>
      <c r="M142" s="62">
        <f t="shared" si="93"/>
        <v>1208235.294117647</v>
      </c>
      <c r="N142" s="62">
        <f t="shared" si="94"/>
        <v>1208235.294117647</v>
      </c>
      <c r="O142" s="62">
        <f t="shared" si="95"/>
        <v>1208235.294117647</v>
      </c>
      <c r="P142" s="62">
        <f t="shared" si="96"/>
        <v>1208235.294117647</v>
      </c>
      <c r="Q142" s="62">
        <f t="shared" si="97"/>
        <v>1208235.294117647</v>
      </c>
      <c r="R142" s="62">
        <f t="shared" si="98"/>
        <v>1208235.294117647</v>
      </c>
      <c r="S142" s="62">
        <f t="shared" si="99"/>
        <v>1208235.294117647</v>
      </c>
      <c r="T142" s="62">
        <f t="shared" si="100"/>
        <v>1208235.294117647</v>
      </c>
      <c r="U142" s="62">
        <f t="shared" si="101"/>
        <v>1208235.294117647</v>
      </c>
      <c r="V142" s="62">
        <f t="shared" si="102"/>
        <v>1208235.294117647</v>
      </c>
      <c r="W142" s="62">
        <f t="shared" si="103"/>
        <v>1208235.294117647</v>
      </c>
      <c r="X142" s="62">
        <f t="shared" si="104"/>
        <v>1208235.294117647</v>
      </c>
      <c r="Y142" s="62">
        <f t="shared" si="105"/>
        <v>1208235.294117647</v>
      </c>
      <c r="Z142" s="62">
        <f t="shared" si="106"/>
        <v>1208235.294117647</v>
      </c>
      <c r="AA142" s="62">
        <f t="shared" si="107"/>
        <v>1208235.294117647</v>
      </c>
      <c r="AB142" s="62">
        <f t="shared" si="108"/>
        <v>1208235.294117647</v>
      </c>
      <c r="AC142" s="62">
        <f t="shared" si="109"/>
        <v>1208235.294117647</v>
      </c>
    </row>
    <row r="143" spans="1:44" x14ac:dyDescent="0.25">
      <c r="A143" s="30" t="str">
        <f t="shared" si="81"/>
        <v>Opex maintenance &amp; repair</v>
      </c>
      <c r="B143" s="62">
        <f t="shared" si="82"/>
        <v>488235.29411764705</v>
      </c>
      <c r="C143" s="62">
        <f t="shared" si="83"/>
        <v>488235.29411764705</v>
      </c>
      <c r="D143" s="62">
        <f t="shared" si="84"/>
        <v>488235.29411764705</v>
      </c>
      <c r="E143" s="62">
        <f t="shared" si="85"/>
        <v>488235.29411764705</v>
      </c>
      <c r="F143" s="62">
        <f t="shared" si="86"/>
        <v>488235.29411764705</v>
      </c>
      <c r="G143" s="62">
        <f t="shared" si="87"/>
        <v>488235.29411764705</v>
      </c>
      <c r="H143" s="62">
        <f t="shared" si="88"/>
        <v>488235.29411764705</v>
      </c>
      <c r="I143" s="62">
        <f t="shared" si="89"/>
        <v>488235.29411764705</v>
      </c>
      <c r="J143" s="62">
        <f t="shared" si="90"/>
        <v>488235.29411764705</v>
      </c>
      <c r="K143" s="62">
        <f t="shared" si="91"/>
        <v>488235.29411764705</v>
      </c>
      <c r="L143" s="62">
        <f t="shared" si="92"/>
        <v>488235.29411764705</v>
      </c>
      <c r="M143" s="62">
        <f t="shared" si="93"/>
        <v>488235.29411764705</v>
      </c>
      <c r="N143" s="62">
        <f t="shared" si="94"/>
        <v>488235.29411764705</v>
      </c>
      <c r="O143" s="62">
        <f t="shared" si="95"/>
        <v>488235.29411764705</v>
      </c>
      <c r="P143" s="62">
        <f t="shared" si="96"/>
        <v>488235.29411764705</v>
      </c>
      <c r="Q143" s="62">
        <f t="shared" si="97"/>
        <v>488235.29411764705</v>
      </c>
      <c r="R143" s="62">
        <f t="shared" si="98"/>
        <v>488235.29411764705</v>
      </c>
      <c r="S143" s="62">
        <f t="shared" si="99"/>
        <v>488235.29411764705</v>
      </c>
      <c r="T143" s="62">
        <f t="shared" si="100"/>
        <v>488235.29411764705</v>
      </c>
      <c r="U143" s="62">
        <f t="shared" si="101"/>
        <v>488235.29411764705</v>
      </c>
      <c r="V143" s="62">
        <f t="shared" si="102"/>
        <v>488235.29411764705</v>
      </c>
      <c r="W143" s="62">
        <f t="shared" si="103"/>
        <v>488235.29411764705</v>
      </c>
      <c r="X143" s="62">
        <f t="shared" si="104"/>
        <v>488235.29411764705</v>
      </c>
      <c r="Y143" s="62">
        <f t="shared" si="105"/>
        <v>488235.29411764705</v>
      </c>
      <c r="Z143" s="62">
        <f t="shared" si="106"/>
        <v>488235.29411764705</v>
      </c>
      <c r="AA143" s="62">
        <f t="shared" si="107"/>
        <v>488235.29411764705</v>
      </c>
      <c r="AB143" s="62">
        <f t="shared" si="108"/>
        <v>488235.29411764705</v>
      </c>
      <c r="AC143" s="62">
        <f t="shared" si="109"/>
        <v>488235.29411764705</v>
      </c>
    </row>
    <row r="144" spans="1:44" x14ac:dyDescent="0.25">
      <c r="A144" s="30" t="str">
        <f t="shared" si="81"/>
        <v>Opex var (mode-fees)</v>
      </c>
      <c r="B144" s="62">
        <f t="shared" si="82"/>
        <v>1.6886890630966982</v>
      </c>
      <c r="C144" s="62">
        <f t="shared" si="83"/>
        <v>1.6886890630966982</v>
      </c>
      <c r="D144" s="62">
        <f t="shared" si="84"/>
        <v>1.6886890630966982</v>
      </c>
      <c r="E144" s="62">
        <f t="shared" si="85"/>
        <v>1.6886890630966982</v>
      </c>
      <c r="F144" s="62">
        <f t="shared" si="86"/>
        <v>1.6886890630966982</v>
      </c>
      <c r="G144" s="62">
        <f t="shared" si="87"/>
        <v>1.6886890630966982</v>
      </c>
      <c r="H144" s="62">
        <f t="shared" si="88"/>
        <v>1.6886890630966982</v>
      </c>
      <c r="I144" s="62">
        <f t="shared" si="89"/>
        <v>1.6886890630966982</v>
      </c>
      <c r="J144" s="62">
        <f t="shared" si="90"/>
        <v>1.6886890630966982</v>
      </c>
      <c r="K144" s="62">
        <f t="shared" si="91"/>
        <v>1.6886890630966982</v>
      </c>
      <c r="L144" s="62">
        <f t="shared" si="92"/>
        <v>1.6886890630966982</v>
      </c>
      <c r="M144" s="62">
        <f t="shared" si="93"/>
        <v>1.6886890630966982</v>
      </c>
      <c r="N144" s="62">
        <f t="shared" si="94"/>
        <v>1.6886890630966982</v>
      </c>
      <c r="O144" s="62">
        <f t="shared" si="95"/>
        <v>1.6886890630966982</v>
      </c>
      <c r="P144" s="62">
        <f t="shared" si="96"/>
        <v>1.6886890630966982</v>
      </c>
      <c r="Q144" s="62">
        <f t="shared" si="97"/>
        <v>1.6886890630966982</v>
      </c>
      <c r="R144" s="62">
        <f t="shared" si="98"/>
        <v>1.6886890630966982</v>
      </c>
      <c r="S144" s="62">
        <f t="shared" si="99"/>
        <v>1.6886890630966982</v>
      </c>
      <c r="T144" s="62">
        <f t="shared" si="100"/>
        <v>1.6886890630966982</v>
      </c>
      <c r="U144" s="62">
        <f t="shared" si="101"/>
        <v>1.6886890630966982</v>
      </c>
      <c r="V144" s="62">
        <f t="shared" si="102"/>
        <v>1.6886890630966982</v>
      </c>
      <c r="W144" s="62">
        <f t="shared" si="103"/>
        <v>1.6886890630966982</v>
      </c>
      <c r="X144" s="62">
        <f t="shared" si="104"/>
        <v>1.6886890630966982</v>
      </c>
      <c r="Y144" s="62">
        <f t="shared" si="105"/>
        <v>1.6886890630966982</v>
      </c>
      <c r="Z144" s="62">
        <f t="shared" si="106"/>
        <v>1.6886890630966982</v>
      </c>
      <c r="AA144" s="62">
        <f t="shared" si="107"/>
        <v>1.6886890630966982</v>
      </c>
      <c r="AB144" s="62">
        <f t="shared" si="108"/>
        <v>1.6886890630966982</v>
      </c>
      <c r="AC144" s="62">
        <f t="shared" si="109"/>
        <v>1.6886890630966982</v>
      </c>
    </row>
    <row r="145" spans="1:29" x14ac:dyDescent="0.25">
      <c r="A145" s="30" t="str">
        <f t="shared" si="81"/>
        <v>Fuel Economy</v>
      </c>
      <c r="B145" s="62">
        <f t="shared" si="82"/>
        <v>646.89677603543487</v>
      </c>
      <c r="C145" s="62">
        <f t="shared" si="83"/>
        <v>646.85211887817047</v>
      </c>
      <c r="D145" s="62">
        <f t="shared" si="84"/>
        <v>646.78819315220449</v>
      </c>
      <c r="E145" s="62">
        <f t="shared" si="85"/>
        <v>646.6967429057521</v>
      </c>
      <c r="F145" s="62">
        <f t="shared" si="86"/>
        <v>646.5660403240729</v>
      </c>
      <c r="G145" s="62">
        <f t="shared" si="87"/>
        <v>646.37949949401741</v>
      </c>
      <c r="H145" s="62">
        <f t="shared" si="88"/>
        <v>646.11381958854338</v>
      </c>
      <c r="I145" s="62">
        <f t="shared" si="89"/>
        <v>645.73659220845991</v>
      </c>
      <c r="J145" s="62">
        <f t="shared" si="90"/>
        <v>645.20341755594859</v>
      </c>
      <c r="K145" s="62">
        <f t="shared" si="91"/>
        <v>644.4548499630904</v>
      </c>
      <c r="L145" s="62">
        <f t="shared" si="92"/>
        <v>643.41406927056653</v>
      </c>
      <c r="M145" s="62">
        <f t="shared" si="93"/>
        <v>641.98719787679943</v>
      </c>
      <c r="N145" s="62">
        <f t="shared" si="94"/>
        <v>640.0696356209337</v>
      </c>
      <c r="O145" s="62">
        <f t="shared" si="95"/>
        <v>637.56301130673319</v>
      </c>
      <c r="P145" s="62">
        <f t="shared" si="96"/>
        <v>634.40634165749691</v>
      </c>
      <c r="Q145" s="62">
        <f t="shared" si="97"/>
        <v>630.6184286906298</v>
      </c>
      <c r="R145" s="62">
        <f t="shared" si="98"/>
        <v>626.33515650399931</v>
      </c>
      <c r="S145" s="62">
        <f t="shared" si="99"/>
        <v>621.81332363039712</v>
      </c>
      <c r="T145" s="62">
        <f t="shared" si="100"/>
        <v>617.38047196989623</v>
      </c>
      <c r="U145" s="62">
        <f t="shared" si="101"/>
        <v>613.34515585949862</v>
      </c>
      <c r="V145" s="62">
        <f t="shared" si="102"/>
        <v>609.91571180572532</v>
      </c>
      <c r="W145" s="62">
        <f t="shared" si="103"/>
        <v>607.1693412972852</v>
      </c>
      <c r="X145" s="62">
        <f t="shared" si="104"/>
        <v>605.0737387067237</v>
      </c>
      <c r="Y145" s="62">
        <f t="shared" si="105"/>
        <v>603.53330273509027</v>
      </c>
      <c r="Z145" s="62">
        <f t="shared" si="106"/>
        <v>602.43191330034256</v>
      </c>
      <c r="AA145" s="62">
        <f t="shared" si="107"/>
        <v>601.66000195939125</v>
      </c>
      <c r="AB145" s="62">
        <f t="shared" si="108"/>
        <v>601.12656377741496</v>
      </c>
      <c r="AC145" s="62">
        <f t="shared" si="109"/>
        <v>600.7615054472443</v>
      </c>
    </row>
    <row r="146" spans="1:29" x14ac:dyDescent="0.25">
      <c r="A146" s="30" t="str">
        <f t="shared" si="81"/>
        <v>Fuel Cost</v>
      </c>
      <c r="B146" s="62">
        <f t="shared" si="82"/>
        <v>0.06</v>
      </c>
      <c r="C146" s="62">
        <f t="shared" si="83"/>
        <v>0.06</v>
      </c>
      <c r="D146" s="62">
        <f t="shared" si="84"/>
        <v>0.06</v>
      </c>
      <c r="E146" s="62">
        <f t="shared" si="85"/>
        <v>0.06</v>
      </c>
      <c r="F146" s="62">
        <f t="shared" si="86"/>
        <v>0.06</v>
      </c>
      <c r="G146" s="62">
        <f t="shared" si="87"/>
        <v>0.06</v>
      </c>
      <c r="H146" s="62">
        <f t="shared" si="88"/>
        <v>0.06</v>
      </c>
      <c r="I146" s="62">
        <f t="shared" si="89"/>
        <v>0.06</v>
      </c>
      <c r="J146" s="62">
        <f t="shared" si="90"/>
        <v>0.06</v>
      </c>
      <c r="K146" s="62">
        <f t="shared" si="91"/>
        <v>0.06</v>
      </c>
      <c r="L146" s="62">
        <f t="shared" si="92"/>
        <v>0.06</v>
      </c>
      <c r="M146" s="62">
        <f t="shared" si="93"/>
        <v>0.06</v>
      </c>
      <c r="N146" s="62">
        <f t="shared" si="94"/>
        <v>0.06</v>
      </c>
      <c r="O146" s="62">
        <f t="shared" si="95"/>
        <v>0.06</v>
      </c>
      <c r="P146" s="62">
        <f t="shared" si="96"/>
        <v>0.06</v>
      </c>
      <c r="Q146" s="62">
        <f t="shared" si="97"/>
        <v>0.06</v>
      </c>
      <c r="R146" s="62">
        <f t="shared" si="98"/>
        <v>0.06</v>
      </c>
      <c r="S146" s="62">
        <f t="shared" si="99"/>
        <v>0.06</v>
      </c>
      <c r="T146" s="62">
        <f t="shared" si="100"/>
        <v>0.06</v>
      </c>
      <c r="U146" s="62">
        <f t="shared" si="101"/>
        <v>0.06</v>
      </c>
      <c r="V146" s="62">
        <f t="shared" si="102"/>
        <v>0.06</v>
      </c>
      <c r="W146" s="62">
        <f t="shared" si="103"/>
        <v>0.06</v>
      </c>
      <c r="X146" s="62">
        <f t="shared" si="104"/>
        <v>0.06</v>
      </c>
      <c r="Y146" s="62">
        <f t="shared" si="105"/>
        <v>0.06</v>
      </c>
      <c r="Z146" s="62">
        <f t="shared" si="106"/>
        <v>0.06</v>
      </c>
      <c r="AA146" s="62">
        <f t="shared" si="107"/>
        <v>0.06</v>
      </c>
      <c r="AB146" s="62">
        <f t="shared" si="108"/>
        <v>0.06</v>
      </c>
      <c r="AC146" s="62">
        <f t="shared" si="109"/>
        <v>0.06</v>
      </c>
    </row>
    <row r="147" spans="1:29" x14ac:dyDescent="0.25">
      <c r="A147" s="30" t="str">
        <f t="shared" si="81"/>
        <v>Emission Cost</v>
      </c>
      <c r="B147" s="98">
        <f>$B127+($C127-$B127)*(1-Q127)</f>
        <v>17.334785285869845</v>
      </c>
      <c r="C147" s="98">
        <f t="shared" ref="C147:AC147" si="110">$B127+($C127-$B127)*(1-R127)</f>
        <v>17.371592778833971</v>
      </c>
      <c r="D147" s="98">
        <f t="shared" si="110"/>
        <v>17.424281885191313</v>
      </c>
      <c r="E147" s="98">
        <f t="shared" si="110"/>
        <v>17.499657357099085</v>
      </c>
      <c r="F147" s="98">
        <f t="shared" si="110"/>
        <v>17.607385538878944</v>
      </c>
      <c r="G147" s="98">
        <f t="shared" si="110"/>
        <v>17.761136935304318</v>
      </c>
      <c r="H147" s="98">
        <f t="shared" si="110"/>
        <v>17.980116643160411</v>
      </c>
      <c r="I147" s="98">
        <f t="shared" si="110"/>
        <v>18.291036437183369</v>
      </c>
      <c r="J147" s="98">
        <f t="shared" si="110"/>
        <v>18.730491688550217</v>
      </c>
      <c r="K147" s="98">
        <f t="shared" si="110"/>
        <v>19.347478933039792</v>
      </c>
      <c r="L147" s="98">
        <f t="shared" si="110"/>
        <v>20.2053151761856</v>
      </c>
      <c r="M147" s="98">
        <f t="shared" si="110"/>
        <v>21.381376573820816</v>
      </c>
      <c r="N147" s="98">
        <f t="shared" si="110"/>
        <v>22.961877070598074</v>
      </c>
      <c r="O147" s="98">
        <f t="shared" si="110"/>
        <v>25.027896550126819</v>
      </c>
      <c r="P147" s="98">
        <f t="shared" si="110"/>
        <v>27.629698881977127</v>
      </c>
      <c r="Q147" s="98">
        <f t="shared" si="110"/>
        <v>30.751786995449869</v>
      </c>
      <c r="R147" s="98">
        <f t="shared" si="110"/>
        <v>34.282161979674356</v>
      </c>
      <c r="S147" s="98">
        <f t="shared" si="110"/>
        <v>38.009164365756064</v>
      </c>
      <c r="T147" s="98">
        <f t="shared" si="110"/>
        <v>41.662826316042121</v>
      </c>
      <c r="U147" s="98">
        <f t="shared" si="110"/>
        <v>44.988829994737316</v>
      </c>
      <c r="V147" s="98">
        <f t="shared" si="110"/>
        <v>47.815459489596307</v>
      </c>
      <c r="W147" s="98">
        <f t="shared" si="110"/>
        <v>50.07908349431699</v>
      </c>
      <c r="X147" s="98">
        <f t="shared" si="110"/>
        <v>51.806329076721653</v>
      </c>
      <c r="Y147" s="98">
        <f t="shared" si="110"/>
        <v>53.075993105085033</v>
      </c>
      <c r="Z147" s="98">
        <f t="shared" si="110"/>
        <v>53.98378451756151</v>
      </c>
      <c r="AA147" s="98">
        <f t="shared" si="110"/>
        <v>54.620012235388991</v>
      </c>
      <c r="AB147" s="98">
        <f t="shared" si="110"/>
        <v>55.059684694019481</v>
      </c>
      <c r="AC147" s="98">
        <f t="shared" si="110"/>
        <v>55.360574467179326</v>
      </c>
    </row>
    <row r="148" spans="1:29" x14ac:dyDescent="0.25">
      <c r="A148" s="30" t="str">
        <f t="shared" si="81"/>
        <v>Lifetime vehicle</v>
      </c>
      <c r="B148" s="62">
        <f>$B128+($C128-$B128)*(1-Q128)</f>
        <v>25</v>
      </c>
      <c r="C148" s="62">
        <f t="shared" ref="C148:L150" si="111">$B128+($C128-$B128)*(1-R128)</f>
        <v>25</v>
      </c>
      <c r="D148" s="62">
        <f t="shared" si="111"/>
        <v>25</v>
      </c>
      <c r="E148" s="62">
        <f t="shared" si="111"/>
        <v>25</v>
      </c>
      <c r="F148" s="62">
        <f t="shared" si="111"/>
        <v>25</v>
      </c>
      <c r="G148" s="62">
        <f t="shared" si="111"/>
        <v>25</v>
      </c>
      <c r="H148" s="62">
        <f t="shared" si="111"/>
        <v>25</v>
      </c>
      <c r="I148" s="62">
        <f t="shared" si="111"/>
        <v>25</v>
      </c>
      <c r="J148" s="62">
        <f t="shared" si="111"/>
        <v>25</v>
      </c>
      <c r="K148" s="62">
        <f t="shared" si="111"/>
        <v>25</v>
      </c>
      <c r="L148" s="62">
        <f t="shared" si="111"/>
        <v>25</v>
      </c>
      <c r="M148" s="62">
        <f t="shared" ref="M148:V150" si="112">$B128+($C128-$B128)*(1-AB128)</f>
        <v>25</v>
      </c>
      <c r="N148" s="62">
        <f t="shared" si="112"/>
        <v>25</v>
      </c>
      <c r="O148" s="62">
        <f t="shared" si="112"/>
        <v>25</v>
      </c>
      <c r="P148" s="62">
        <f t="shared" si="112"/>
        <v>25</v>
      </c>
      <c r="Q148" s="62">
        <f t="shared" si="112"/>
        <v>25</v>
      </c>
      <c r="R148" s="62">
        <f t="shared" si="112"/>
        <v>25</v>
      </c>
      <c r="S148" s="62">
        <f t="shared" si="112"/>
        <v>25</v>
      </c>
      <c r="T148" s="62">
        <f t="shared" si="112"/>
        <v>25</v>
      </c>
      <c r="U148" s="62">
        <f t="shared" si="112"/>
        <v>25</v>
      </c>
      <c r="V148" s="62">
        <f t="shared" si="112"/>
        <v>25</v>
      </c>
      <c r="W148" s="62">
        <f t="shared" ref="W148:AC150" si="113">$B128+($C128-$B128)*(1-AL128)</f>
        <v>25</v>
      </c>
      <c r="X148" s="62">
        <f t="shared" si="113"/>
        <v>25</v>
      </c>
      <c r="Y148" s="62">
        <f t="shared" si="113"/>
        <v>25</v>
      </c>
      <c r="Z148" s="62">
        <f t="shared" si="113"/>
        <v>25</v>
      </c>
      <c r="AA148" s="62">
        <f t="shared" si="113"/>
        <v>25</v>
      </c>
      <c r="AB148" s="62">
        <f t="shared" si="113"/>
        <v>25</v>
      </c>
      <c r="AC148" s="62">
        <f t="shared" si="113"/>
        <v>25</v>
      </c>
    </row>
    <row r="149" spans="1:29" x14ac:dyDescent="0.25">
      <c r="A149" s="30" t="str">
        <f t="shared" si="81"/>
        <v>Lifetime costumization</v>
      </c>
      <c r="B149" s="62">
        <f>$B129+($C129-$B129)*(1-Q129)</f>
        <v>25</v>
      </c>
      <c r="C149" s="62">
        <f t="shared" si="111"/>
        <v>25</v>
      </c>
      <c r="D149" s="62">
        <f t="shared" si="111"/>
        <v>25</v>
      </c>
      <c r="E149" s="62">
        <f t="shared" si="111"/>
        <v>25</v>
      </c>
      <c r="F149" s="62">
        <f t="shared" si="111"/>
        <v>25</v>
      </c>
      <c r="G149" s="62">
        <f t="shared" si="111"/>
        <v>25</v>
      </c>
      <c r="H149" s="62">
        <f t="shared" si="111"/>
        <v>25</v>
      </c>
      <c r="I149" s="62">
        <f t="shared" si="111"/>
        <v>25</v>
      </c>
      <c r="J149" s="62">
        <f t="shared" si="111"/>
        <v>25</v>
      </c>
      <c r="K149" s="62">
        <f t="shared" si="111"/>
        <v>25</v>
      </c>
      <c r="L149" s="62">
        <f t="shared" si="111"/>
        <v>25</v>
      </c>
      <c r="M149" s="62">
        <f t="shared" si="112"/>
        <v>25</v>
      </c>
      <c r="N149" s="62">
        <f t="shared" si="112"/>
        <v>25</v>
      </c>
      <c r="O149" s="62">
        <f t="shared" si="112"/>
        <v>25</v>
      </c>
      <c r="P149" s="62">
        <f t="shared" si="112"/>
        <v>25</v>
      </c>
      <c r="Q149" s="62">
        <f t="shared" si="112"/>
        <v>25</v>
      </c>
      <c r="R149" s="62">
        <f t="shared" si="112"/>
        <v>25</v>
      </c>
      <c r="S149" s="62">
        <f t="shared" si="112"/>
        <v>25</v>
      </c>
      <c r="T149" s="62">
        <f t="shared" si="112"/>
        <v>25</v>
      </c>
      <c r="U149" s="62">
        <f t="shared" si="112"/>
        <v>25</v>
      </c>
      <c r="V149" s="62">
        <f t="shared" si="112"/>
        <v>25</v>
      </c>
      <c r="W149" s="62">
        <f t="shared" si="113"/>
        <v>25</v>
      </c>
      <c r="X149" s="62">
        <f t="shared" si="113"/>
        <v>25</v>
      </c>
      <c r="Y149" s="62">
        <f t="shared" si="113"/>
        <v>25</v>
      </c>
      <c r="Z149" s="62">
        <f t="shared" si="113"/>
        <v>25</v>
      </c>
      <c r="AA149" s="62">
        <f t="shared" si="113"/>
        <v>25</v>
      </c>
      <c r="AB149" s="62">
        <f t="shared" si="113"/>
        <v>25</v>
      </c>
      <c r="AC149" s="62">
        <f t="shared" si="113"/>
        <v>25</v>
      </c>
    </row>
    <row r="150" spans="1:29" x14ac:dyDescent="0.25">
      <c r="A150" s="30" t="str">
        <f t="shared" si="81"/>
        <v>Tonnage .</v>
      </c>
      <c r="B150" s="62">
        <f>$B130+($C130-$B130)*(1-Q130)</f>
        <v>9450</v>
      </c>
      <c r="C150" s="62">
        <f t="shared" si="111"/>
        <v>9450</v>
      </c>
      <c r="D150" s="62">
        <f t="shared" si="111"/>
        <v>9450</v>
      </c>
      <c r="E150" s="62">
        <f t="shared" si="111"/>
        <v>9450</v>
      </c>
      <c r="F150" s="62">
        <f t="shared" si="111"/>
        <v>9450</v>
      </c>
      <c r="G150" s="62">
        <f t="shared" si="111"/>
        <v>9450</v>
      </c>
      <c r="H150" s="62">
        <f t="shared" si="111"/>
        <v>9450</v>
      </c>
      <c r="I150" s="62">
        <f t="shared" si="111"/>
        <v>9450</v>
      </c>
      <c r="J150" s="62">
        <f t="shared" si="111"/>
        <v>9450</v>
      </c>
      <c r="K150" s="62">
        <f t="shared" si="111"/>
        <v>9450</v>
      </c>
      <c r="L150" s="62">
        <f t="shared" si="111"/>
        <v>9450</v>
      </c>
      <c r="M150" s="62">
        <f t="shared" si="112"/>
        <v>9450</v>
      </c>
      <c r="N150" s="62">
        <f t="shared" si="112"/>
        <v>9450</v>
      </c>
      <c r="O150" s="62">
        <f t="shared" si="112"/>
        <v>9450</v>
      </c>
      <c r="P150" s="62">
        <f t="shared" si="112"/>
        <v>9450</v>
      </c>
      <c r="Q150" s="62">
        <f t="shared" si="112"/>
        <v>9450</v>
      </c>
      <c r="R150" s="62">
        <f t="shared" si="112"/>
        <v>9450</v>
      </c>
      <c r="S150" s="62">
        <f t="shared" si="112"/>
        <v>9450</v>
      </c>
      <c r="T150" s="62">
        <f t="shared" si="112"/>
        <v>9450</v>
      </c>
      <c r="U150" s="62">
        <f t="shared" si="112"/>
        <v>9450</v>
      </c>
      <c r="V150" s="62">
        <f t="shared" si="112"/>
        <v>9450</v>
      </c>
      <c r="W150" s="62">
        <f t="shared" si="113"/>
        <v>9450</v>
      </c>
      <c r="X150" s="62">
        <f t="shared" si="113"/>
        <v>9450</v>
      </c>
      <c r="Y150" s="62">
        <f t="shared" si="113"/>
        <v>9450</v>
      </c>
      <c r="Z150" s="62">
        <f t="shared" si="113"/>
        <v>9450</v>
      </c>
      <c r="AA150" s="62">
        <f t="shared" si="113"/>
        <v>9450</v>
      </c>
      <c r="AB150" s="62">
        <f t="shared" si="113"/>
        <v>9450</v>
      </c>
      <c r="AC150" s="62">
        <f t="shared" si="113"/>
        <v>9450</v>
      </c>
    </row>
    <row r="151" spans="1:29" x14ac:dyDescent="0.25">
      <c r="A151" s="30" t="str">
        <f t="shared" si="81"/>
        <v>Market failure (av. utilization)</v>
      </c>
      <c r="B151" s="62">
        <f t="shared" ref="B151:K152" si="114">($B131+($C131-$B131)*(1-Q131))*B$44</f>
        <v>5418</v>
      </c>
      <c r="C151" s="62">
        <f t="shared" si="114"/>
        <v>5418</v>
      </c>
      <c r="D151" s="62">
        <f t="shared" si="114"/>
        <v>5418</v>
      </c>
      <c r="E151" s="62">
        <f t="shared" si="114"/>
        <v>5418</v>
      </c>
      <c r="F151" s="62">
        <f t="shared" si="114"/>
        <v>5418</v>
      </c>
      <c r="G151" s="62">
        <f t="shared" si="114"/>
        <v>5418</v>
      </c>
      <c r="H151" s="62">
        <f t="shared" si="114"/>
        <v>5418</v>
      </c>
      <c r="I151" s="62">
        <f t="shared" si="114"/>
        <v>5418</v>
      </c>
      <c r="J151" s="62">
        <f t="shared" si="114"/>
        <v>5418</v>
      </c>
      <c r="K151" s="62">
        <f t="shared" si="114"/>
        <v>5418</v>
      </c>
      <c r="L151" s="62">
        <f t="shared" ref="L151:U152" si="115">($B131+($C131-$B131)*(1-AA131))*L$44</f>
        <v>5418</v>
      </c>
      <c r="M151" s="62">
        <f t="shared" si="115"/>
        <v>5418</v>
      </c>
      <c r="N151" s="62">
        <f t="shared" si="115"/>
        <v>5418</v>
      </c>
      <c r="O151" s="62">
        <f t="shared" si="115"/>
        <v>5418</v>
      </c>
      <c r="P151" s="62">
        <f t="shared" si="115"/>
        <v>5418</v>
      </c>
      <c r="Q151" s="62">
        <f t="shared" si="115"/>
        <v>5418</v>
      </c>
      <c r="R151" s="62">
        <f t="shared" si="115"/>
        <v>5418</v>
      </c>
      <c r="S151" s="62">
        <f t="shared" si="115"/>
        <v>5418</v>
      </c>
      <c r="T151" s="62">
        <f t="shared" si="115"/>
        <v>5418</v>
      </c>
      <c r="U151" s="62">
        <f t="shared" si="115"/>
        <v>5418</v>
      </c>
      <c r="V151" s="62">
        <f t="shared" ref="V151:AC152" si="116">($B131+($C131-$B131)*(1-AK131))*V$44</f>
        <v>5418</v>
      </c>
      <c r="W151" s="62">
        <f t="shared" si="116"/>
        <v>5418</v>
      </c>
      <c r="X151" s="62">
        <f t="shared" si="116"/>
        <v>5418</v>
      </c>
      <c r="Y151" s="62">
        <f t="shared" si="116"/>
        <v>5418</v>
      </c>
      <c r="Z151" s="62">
        <f t="shared" si="116"/>
        <v>5418</v>
      </c>
      <c r="AA151" s="62">
        <f t="shared" si="116"/>
        <v>5418</v>
      </c>
      <c r="AB151" s="62">
        <f t="shared" si="116"/>
        <v>5418</v>
      </c>
      <c r="AC151" s="62">
        <f t="shared" si="116"/>
        <v>5418</v>
      </c>
    </row>
    <row r="152" spans="1:29" x14ac:dyDescent="0.25">
      <c r="A152" s="30" t="s">
        <v>73</v>
      </c>
      <c r="B152" s="62">
        <f t="shared" si="114"/>
        <v>0</v>
      </c>
      <c r="C152" s="62">
        <f t="shared" si="114"/>
        <v>0</v>
      </c>
      <c r="D152" s="62">
        <f t="shared" si="114"/>
        <v>0</v>
      </c>
      <c r="E152" s="62">
        <f t="shared" si="114"/>
        <v>0</v>
      </c>
      <c r="F152" s="62">
        <f t="shared" si="114"/>
        <v>0</v>
      </c>
      <c r="G152" s="62">
        <f t="shared" si="114"/>
        <v>0</v>
      </c>
      <c r="H152" s="62">
        <f t="shared" si="114"/>
        <v>0</v>
      </c>
      <c r="I152" s="62">
        <f t="shared" si="114"/>
        <v>0</v>
      </c>
      <c r="J152" s="62">
        <f t="shared" si="114"/>
        <v>0</v>
      </c>
      <c r="K152" s="62">
        <f t="shared" si="114"/>
        <v>0</v>
      </c>
      <c r="L152" s="62">
        <f t="shared" si="115"/>
        <v>0</v>
      </c>
      <c r="M152" s="62">
        <f t="shared" si="115"/>
        <v>0</v>
      </c>
      <c r="N152" s="62">
        <f t="shared" si="115"/>
        <v>0</v>
      </c>
      <c r="O152" s="62">
        <f t="shared" si="115"/>
        <v>0</v>
      </c>
      <c r="P152" s="62">
        <f t="shared" si="115"/>
        <v>0</v>
      </c>
      <c r="Q152" s="62">
        <f t="shared" si="115"/>
        <v>0</v>
      </c>
      <c r="R152" s="62">
        <f t="shared" si="115"/>
        <v>0</v>
      </c>
      <c r="S152" s="62">
        <f t="shared" si="115"/>
        <v>0</v>
      </c>
      <c r="T152" s="62">
        <f t="shared" si="115"/>
        <v>0</v>
      </c>
      <c r="U152" s="62">
        <f t="shared" si="115"/>
        <v>0</v>
      </c>
      <c r="V152" s="62">
        <f t="shared" si="116"/>
        <v>0</v>
      </c>
      <c r="W152" s="62">
        <f t="shared" si="116"/>
        <v>0</v>
      </c>
      <c r="X152" s="62">
        <f t="shared" si="116"/>
        <v>0</v>
      </c>
      <c r="Y152" s="62">
        <f t="shared" si="116"/>
        <v>0</v>
      </c>
      <c r="Z152" s="62">
        <f t="shared" si="116"/>
        <v>0</v>
      </c>
      <c r="AA152" s="62">
        <f t="shared" si="116"/>
        <v>0</v>
      </c>
      <c r="AB152" s="62">
        <f t="shared" si="116"/>
        <v>0</v>
      </c>
      <c r="AC152" s="62">
        <f t="shared" si="116"/>
        <v>0</v>
      </c>
    </row>
    <row r="153" spans="1:29" x14ac:dyDescent="0.25">
      <c r="A153" s="30" t="str">
        <f>A133</f>
        <v>Annual Mileage</v>
      </c>
      <c r="B153" s="62">
        <f t="shared" ref="B153:AC153" si="117">$B133+($C133-$B133)*(1-Q133)</f>
        <v>120000</v>
      </c>
      <c r="C153" s="62">
        <f t="shared" si="117"/>
        <v>120000</v>
      </c>
      <c r="D153" s="62">
        <f t="shared" si="117"/>
        <v>120000</v>
      </c>
      <c r="E153" s="62">
        <f t="shared" si="117"/>
        <v>120000</v>
      </c>
      <c r="F153" s="62">
        <f t="shared" si="117"/>
        <v>120000</v>
      </c>
      <c r="G153" s="62">
        <f t="shared" si="117"/>
        <v>120000</v>
      </c>
      <c r="H153" s="62">
        <f t="shared" si="117"/>
        <v>120000</v>
      </c>
      <c r="I153" s="62">
        <f t="shared" si="117"/>
        <v>120000</v>
      </c>
      <c r="J153" s="62">
        <f t="shared" si="117"/>
        <v>120000</v>
      </c>
      <c r="K153" s="62">
        <f t="shared" si="117"/>
        <v>120000</v>
      </c>
      <c r="L153" s="62">
        <f t="shared" si="117"/>
        <v>120000</v>
      </c>
      <c r="M153" s="62">
        <f t="shared" si="117"/>
        <v>120000</v>
      </c>
      <c r="N153" s="62">
        <f t="shared" si="117"/>
        <v>120000</v>
      </c>
      <c r="O153" s="62">
        <f t="shared" si="117"/>
        <v>120000</v>
      </c>
      <c r="P153" s="62">
        <f t="shared" si="117"/>
        <v>120000</v>
      </c>
      <c r="Q153" s="62">
        <f t="shared" si="117"/>
        <v>120000</v>
      </c>
      <c r="R153" s="62">
        <f t="shared" si="117"/>
        <v>120000</v>
      </c>
      <c r="S153" s="62">
        <f t="shared" si="117"/>
        <v>120000</v>
      </c>
      <c r="T153" s="62">
        <f t="shared" si="117"/>
        <v>120000</v>
      </c>
      <c r="U153" s="62">
        <f t="shared" si="117"/>
        <v>120000</v>
      </c>
      <c r="V153" s="62">
        <f t="shared" si="117"/>
        <v>120000</v>
      </c>
      <c r="W153" s="62">
        <f t="shared" si="117"/>
        <v>120000</v>
      </c>
      <c r="X153" s="62">
        <f t="shared" si="117"/>
        <v>120000</v>
      </c>
      <c r="Y153" s="62">
        <f t="shared" si="117"/>
        <v>120000</v>
      </c>
      <c r="Z153" s="62">
        <f t="shared" si="117"/>
        <v>120000</v>
      </c>
      <c r="AA153" s="62">
        <f t="shared" si="117"/>
        <v>120000</v>
      </c>
      <c r="AB153" s="62">
        <f t="shared" si="117"/>
        <v>120000</v>
      </c>
      <c r="AC153" s="62">
        <f t="shared" si="117"/>
        <v>120000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1173400.7731841092</v>
      </c>
      <c r="C156" s="63">
        <f t="shared" ref="C156:AC156" si="118">((1+C141)^C148)*C141/(((1+C141)^C148)-1)*(C137)</f>
        <v>1173400.7731841092</v>
      </c>
      <c r="D156" s="63">
        <f t="shared" si="118"/>
        <v>1173400.7731841092</v>
      </c>
      <c r="E156" s="63">
        <f t="shared" si="118"/>
        <v>1173400.7731841092</v>
      </c>
      <c r="F156" s="63">
        <f t="shared" si="118"/>
        <v>1173400.7731841092</v>
      </c>
      <c r="G156" s="63">
        <f t="shared" si="118"/>
        <v>1173400.7731841092</v>
      </c>
      <c r="H156" s="63">
        <f t="shared" si="118"/>
        <v>1173400.7731841092</v>
      </c>
      <c r="I156" s="63">
        <f t="shared" si="118"/>
        <v>1173400.7731841092</v>
      </c>
      <c r="J156" s="63">
        <f t="shared" si="118"/>
        <v>1173400.7731841092</v>
      </c>
      <c r="K156" s="63">
        <f t="shared" si="118"/>
        <v>1173400.7731841092</v>
      </c>
      <c r="L156" s="63">
        <f t="shared" si="118"/>
        <v>1173400.7731841092</v>
      </c>
      <c r="M156" s="63">
        <f t="shared" si="118"/>
        <v>1173400.7731841092</v>
      </c>
      <c r="N156" s="63">
        <f t="shared" si="118"/>
        <v>1173400.7731841092</v>
      </c>
      <c r="O156" s="63">
        <f t="shared" si="118"/>
        <v>1173400.7731841092</v>
      </c>
      <c r="P156" s="63">
        <f t="shared" si="118"/>
        <v>1173400.7731841092</v>
      </c>
      <c r="Q156" s="63">
        <f t="shared" si="118"/>
        <v>1173400.7731841092</v>
      </c>
      <c r="R156" s="63">
        <f t="shared" si="118"/>
        <v>1173400.7731841092</v>
      </c>
      <c r="S156" s="63">
        <f t="shared" si="118"/>
        <v>1173400.7731841092</v>
      </c>
      <c r="T156" s="63">
        <f t="shared" si="118"/>
        <v>1173400.7731841092</v>
      </c>
      <c r="U156" s="63">
        <f t="shared" si="118"/>
        <v>1173400.7731841092</v>
      </c>
      <c r="V156" s="63">
        <f t="shared" si="118"/>
        <v>1173400.7731841092</v>
      </c>
      <c r="W156" s="63">
        <f t="shared" si="118"/>
        <v>1173400.7731841092</v>
      </c>
      <c r="X156" s="63">
        <f t="shared" si="118"/>
        <v>1173400.7731841092</v>
      </c>
      <c r="Y156" s="63">
        <f t="shared" si="118"/>
        <v>1173400.7731841092</v>
      </c>
      <c r="Z156" s="63">
        <f t="shared" si="118"/>
        <v>1173400.7731841092</v>
      </c>
      <c r="AA156" s="63">
        <f t="shared" si="118"/>
        <v>1173400.7731841092</v>
      </c>
      <c r="AB156" s="63">
        <f t="shared" si="118"/>
        <v>1173400.7731841092</v>
      </c>
      <c r="AC156" s="63">
        <f t="shared" si="118"/>
        <v>1173400.7731841092</v>
      </c>
    </row>
    <row r="157" spans="1:29" x14ac:dyDescent="0.25">
      <c r="A157" s="30" t="str">
        <f>A138</f>
        <v>Residual value (vehicle)</v>
      </c>
      <c r="B157" s="62">
        <f>((1+B141)^B148)*B141/(((1+B141)^B148)-1)*(B138)</f>
        <v>-117211.22297816433</v>
      </c>
      <c r="C157" s="62">
        <f t="shared" ref="C157:AC157" si="119">((1+C141)^C148)*C141/(((1+C141)^C148)-1)*(C138)</f>
        <v>-117155.47750703427</v>
      </c>
      <c r="D157" s="62">
        <f t="shared" si="119"/>
        <v>-117075.67910674184</v>
      </c>
      <c r="E157" s="62">
        <f t="shared" si="119"/>
        <v>-116961.52188344915</v>
      </c>
      <c r="F157" s="62">
        <f t="shared" si="119"/>
        <v>-116798.36602132194</v>
      </c>
      <c r="G157" s="62">
        <f t="shared" si="119"/>
        <v>-116565.50734662244</v>
      </c>
      <c r="H157" s="62">
        <f t="shared" si="119"/>
        <v>-116233.85946736432</v>
      </c>
      <c r="I157" s="62">
        <f t="shared" si="119"/>
        <v>-115762.96702113429</v>
      </c>
      <c r="J157" s="62">
        <f t="shared" si="119"/>
        <v>-115097.40579826315</v>
      </c>
      <c r="K157" s="62">
        <f t="shared" si="119"/>
        <v>-114162.96984907117</v>
      </c>
      <c r="L157" s="62">
        <f t="shared" si="119"/>
        <v>-112863.76466894078</v>
      </c>
      <c r="M157" s="62">
        <f t="shared" si="119"/>
        <v>-111082.60297034449</v>
      </c>
      <c r="N157" s="62">
        <f t="shared" si="119"/>
        <v>-108688.91250900239</v>
      </c>
      <c r="O157" s="62">
        <f t="shared" si="119"/>
        <v>-105559.89664903973</v>
      </c>
      <c r="P157" s="62">
        <f t="shared" si="119"/>
        <v>-101619.43004574107</v>
      </c>
      <c r="Q157" s="62">
        <f t="shared" si="119"/>
        <v>-96890.983232894243</v>
      </c>
      <c r="R157" s="62">
        <f t="shared" si="119"/>
        <v>-91544.180152521745</v>
      </c>
      <c r="S157" s="62">
        <f t="shared" si="119"/>
        <v>-85899.582077953528</v>
      </c>
      <c r="T157" s="62">
        <f t="shared" si="119"/>
        <v>-80366.059135568226</v>
      </c>
      <c r="U157" s="62">
        <f t="shared" si="119"/>
        <v>-75328.779301543953</v>
      </c>
      <c r="V157" s="62">
        <f t="shared" si="119"/>
        <v>-71047.808765066002</v>
      </c>
      <c r="W157" s="62">
        <f t="shared" si="119"/>
        <v>-67619.518043732241</v>
      </c>
      <c r="X157" s="62">
        <f t="shared" si="119"/>
        <v>-65003.580064954105</v>
      </c>
      <c r="Y157" s="62">
        <f t="shared" si="119"/>
        <v>-63080.655852023017</v>
      </c>
      <c r="Z157" s="62">
        <f t="shared" si="119"/>
        <v>-61705.792858076449</v>
      </c>
      <c r="AA157" s="62">
        <f t="shared" si="119"/>
        <v>-60742.216938606354</v>
      </c>
      <c r="AB157" s="62">
        <f t="shared" si="119"/>
        <v>-60076.3267522479</v>
      </c>
      <c r="AC157" s="62">
        <f t="shared" si="119"/>
        <v>-59620.624915142049</v>
      </c>
    </row>
    <row r="158" spans="1:29" x14ac:dyDescent="0.25">
      <c r="A158" s="30" t="str">
        <f>A139</f>
        <v>Capex costumization</v>
      </c>
      <c r="B158" s="62">
        <f>((1+B141)^B149)*B141/(((1+B141)^B149)-1)*(B139)</f>
        <v>391133.59106136975</v>
      </c>
      <c r="C158" s="62">
        <f t="shared" ref="C158:AC158" si="120">((1+C141)^C149)*C141/(((1+C141)^C149)-1)*(C139)</f>
        <v>391133.59106136975</v>
      </c>
      <c r="D158" s="62">
        <f t="shared" si="120"/>
        <v>391133.59106136975</v>
      </c>
      <c r="E158" s="62">
        <f t="shared" si="120"/>
        <v>391133.59106136975</v>
      </c>
      <c r="F158" s="62">
        <f t="shared" si="120"/>
        <v>391133.59106136975</v>
      </c>
      <c r="G158" s="62">
        <f t="shared" si="120"/>
        <v>391133.59106136975</v>
      </c>
      <c r="H158" s="62">
        <f t="shared" si="120"/>
        <v>391133.59106136975</v>
      </c>
      <c r="I158" s="62">
        <f t="shared" si="120"/>
        <v>391133.59106136975</v>
      </c>
      <c r="J158" s="62">
        <f t="shared" si="120"/>
        <v>391133.59106136975</v>
      </c>
      <c r="K158" s="62">
        <f t="shared" si="120"/>
        <v>391133.59106136975</v>
      </c>
      <c r="L158" s="62">
        <f t="shared" si="120"/>
        <v>391133.59106136975</v>
      </c>
      <c r="M158" s="62">
        <f t="shared" si="120"/>
        <v>391133.59106136975</v>
      </c>
      <c r="N158" s="62">
        <f t="shared" si="120"/>
        <v>391133.59106136975</v>
      </c>
      <c r="O158" s="62">
        <f t="shared" si="120"/>
        <v>391133.59106136975</v>
      </c>
      <c r="P158" s="62">
        <f t="shared" si="120"/>
        <v>391133.59106136975</v>
      </c>
      <c r="Q158" s="62">
        <f t="shared" si="120"/>
        <v>391133.59106136975</v>
      </c>
      <c r="R158" s="62">
        <f t="shared" si="120"/>
        <v>391133.59106136975</v>
      </c>
      <c r="S158" s="62">
        <f t="shared" si="120"/>
        <v>391133.59106136975</v>
      </c>
      <c r="T158" s="62">
        <f t="shared" si="120"/>
        <v>391133.59106136975</v>
      </c>
      <c r="U158" s="62">
        <f t="shared" si="120"/>
        <v>391133.59106136975</v>
      </c>
      <c r="V158" s="62">
        <f t="shared" si="120"/>
        <v>391133.59106136975</v>
      </c>
      <c r="W158" s="62">
        <f t="shared" si="120"/>
        <v>391133.59106136975</v>
      </c>
      <c r="X158" s="62">
        <f t="shared" si="120"/>
        <v>391133.59106136975</v>
      </c>
      <c r="Y158" s="62">
        <f t="shared" si="120"/>
        <v>391133.59106136975</v>
      </c>
      <c r="Z158" s="62">
        <f t="shared" si="120"/>
        <v>391133.59106136975</v>
      </c>
      <c r="AA158" s="62">
        <f t="shared" si="120"/>
        <v>391133.59106136975</v>
      </c>
      <c r="AB158" s="62">
        <f t="shared" si="120"/>
        <v>391133.59106136975</v>
      </c>
      <c r="AC158" s="62">
        <f t="shared" si="120"/>
        <v>391133.59106136975</v>
      </c>
    </row>
    <row r="159" spans="1:29" x14ac:dyDescent="0.25">
      <c r="A159" s="30" t="str">
        <f>A140</f>
        <v>Residual value (costumization)</v>
      </c>
      <c r="B159" s="62">
        <f>((1+B141)^B149)*B141/(((1+B141)^B149)-1)*(B140)</f>
        <v>-39113.359106136973</v>
      </c>
      <c r="C159" s="62">
        <f t="shared" ref="C159:AC159" si="121">((1+C141)^C149)*C141/(((1+C141)^C149)-1)*(C140)</f>
        <v>-39113.359106136973</v>
      </c>
      <c r="D159" s="62">
        <f t="shared" si="121"/>
        <v>-39113.359106136973</v>
      </c>
      <c r="E159" s="62">
        <f t="shared" si="121"/>
        <v>-39113.359106136973</v>
      </c>
      <c r="F159" s="62">
        <f t="shared" si="121"/>
        <v>-39113.359106136973</v>
      </c>
      <c r="G159" s="62">
        <f t="shared" si="121"/>
        <v>-39113.359106136973</v>
      </c>
      <c r="H159" s="62">
        <f t="shared" si="121"/>
        <v>-39113.359106136973</v>
      </c>
      <c r="I159" s="62">
        <f t="shared" si="121"/>
        <v>-39113.359106136973</v>
      </c>
      <c r="J159" s="62">
        <f t="shared" si="121"/>
        <v>-39113.359106136973</v>
      </c>
      <c r="K159" s="62">
        <f t="shared" si="121"/>
        <v>-39113.359106136973</v>
      </c>
      <c r="L159" s="62">
        <f t="shared" si="121"/>
        <v>-39113.359106136973</v>
      </c>
      <c r="M159" s="62">
        <f t="shared" si="121"/>
        <v>-39113.359106136973</v>
      </c>
      <c r="N159" s="62">
        <f t="shared" si="121"/>
        <v>-39113.359106136973</v>
      </c>
      <c r="O159" s="62">
        <f t="shared" si="121"/>
        <v>-39113.359106136973</v>
      </c>
      <c r="P159" s="62">
        <f t="shared" si="121"/>
        <v>-39113.359106136973</v>
      </c>
      <c r="Q159" s="62">
        <f t="shared" si="121"/>
        <v>-39113.359106136973</v>
      </c>
      <c r="R159" s="62">
        <f t="shared" si="121"/>
        <v>-39113.359106136973</v>
      </c>
      <c r="S159" s="62">
        <f t="shared" si="121"/>
        <v>-39113.359106136973</v>
      </c>
      <c r="T159" s="62">
        <f t="shared" si="121"/>
        <v>-39113.359106136973</v>
      </c>
      <c r="U159" s="62">
        <f t="shared" si="121"/>
        <v>-39113.359106136973</v>
      </c>
      <c r="V159" s="62">
        <f t="shared" si="121"/>
        <v>-39113.359106136973</v>
      </c>
      <c r="W159" s="62">
        <f t="shared" si="121"/>
        <v>-39113.359106136973</v>
      </c>
      <c r="X159" s="62">
        <f t="shared" si="121"/>
        <v>-39113.359106136973</v>
      </c>
      <c r="Y159" s="62">
        <f t="shared" si="121"/>
        <v>-39113.359106136973</v>
      </c>
      <c r="Z159" s="62">
        <f t="shared" si="121"/>
        <v>-39113.359106136973</v>
      </c>
      <c r="AA159" s="62">
        <f t="shared" si="121"/>
        <v>-39113.359106136973</v>
      </c>
      <c r="AB159" s="62">
        <f t="shared" si="121"/>
        <v>-39113.359106136973</v>
      </c>
      <c r="AC159" s="62">
        <f t="shared" si="121"/>
        <v>-39113.359106136973</v>
      </c>
    </row>
    <row r="160" spans="1:29" x14ac:dyDescent="0.25">
      <c r="A160" s="30" t="str">
        <f t="shared" ref="A160:AC160" si="122">A142</f>
        <v>Opex fix (admin, crew, insurance)</v>
      </c>
      <c r="B160" s="159">
        <f t="shared" si="122"/>
        <v>1208235.294117647</v>
      </c>
      <c r="C160" s="62">
        <f t="shared" si="122"/>
        <v>1208235.294117647</v>
      </c>
      <c r="D160" s="62">
        <f t="shared" si="122"/>
        <v>1208235.294117647</v>
      </c>
      <c r="E160" s="62">
        <f t="shared" si="122"/>
        <v>1208235.294117647</v>
      </c>
      <c r="F160" s="62">
        <f t="shared" si="122"/>
        <v>1208235.294117647</v>
      </c>
      <c r="G160" s="62">
        <f t="shared" si="122"/>
        <v>1208235.294117647</v>
      </c>
      <c r="H160" s="62">
        <f t="shared" si="122"/>
        <v>1208235.294117647</v>
      </c>
      <c r="I160" s="62">
        <f t="shared" si="122"/>
        <v>1208235.294117647</v>
      </c>
      <c r="J160" s="62">
        <f t="shared" si="122"/>
        <v>1208235.294117647</v>
      </c>
      <c r="K160" s="62">
        <f t="shared" si="122"/>
        <v>1208235.294117647</v>
      </c>
      <c r="L160" s="62">
        <f t="shared" si="122"/>
        <v>1208235.294117647</v>
      </c>
      <c r="M160" s="62">
        <f t="shared" si="122"/>
        <v>1208235.294117647</v>
      </c>
      <c r="N160" s="62">
        <f t="shared" si="122"/>
        <v>1208235.294117647</v>
      </c>
      <c r="O160" s="62">
        <f t="shared" si="122"/>
        <v>1208235.294117647</v>
      </c>
      <c r="P160" s="62">
        <f t="shared" si="122"/>
        <v>1208235.294117647</v>
      </c>
      <c r="Q160" s="62">
        <f t="shared" si="122"/>
        <v>1208235.294117647</v>
      </c>
      <c r="R160" s="62">
        <f t="shared" si="122"/>
        <v>1208235.294117647</v>
      </c>
      <c r="S160" s="62">
        <f t="shared" si="122"/>
        <v>1208235.294117647</v>
      </c>
      <c r="T160" s="62">
        <f t="shared" si="122"/>
        <v>1208235.294117647</v>
      </c>
      <c r="U160" s="62">
        <f t="shared" si="122"/>
        <v>1208235.294117647</v>
      </c>
      <c r="V160" s="62">
        <f t="shared" si="122"/>
        <v>1208235.294117647</v>
      </c>
      <c r="W160" s="62">
        <f t="shared" si="122"/>
        <v>1208235.294117647</v>
      </c>
      <c r="X160" s="62">
        <f t="shared" si="122"/>
        <v>1208235.294117647</v>
      </c>
      <c r="Y160" s="62">
        <f t="shared" si="122"/>
        <v>1208235.294117647</v>
      </c>
      <c r="Z160" s="62">
        <f t="shared" si="122"/>
        <v>1208235.294117647</v>
      </c>
      <c r="AA160" s="62">
        <f t="shared" si="122"/>
        <v>1208235.294117647</v>
      </c>
      <c r="AB160" s="62">
        <f t="shared" si="122"/>
        <v>1208235.294117647</v>
      </c>
      <c r="AC160" s="62">
        <f t="shared" si="122"/>
        <v>1208235.294117647</v>
      </c>
    </row>
    <row r="161" spans="1:29" x14ac:dyDescent="0.25">
      <c r="A161" s="30" t="str">
        <f t="shared" ref="A161:AC161" si="123">A143</f>
        <v>Opex maintenance &amp; repair</v>
      </c>
      <c r="B161" s="62">
        <f t="shared" si="123"/>
        <v>488235.29411764705</v>
      </c>
      <c r="C161" s="62">
        <f t="shared" si="123"/>
        <v>488235.29411764705</v>
      </c>
      <c r="D161" s="62">
        <f t="shared" si="123"/>
        <v>488235.29411764705</v>
      </c>
      <c r="E161" s="62">
        <f t="shared" si="123"/>
        <v>488235.29411764705</v>
      </c>
      <c r="F161" s="62">
        <f t="shared" si="123"/>
        <v>488235.29411764705</v>
      </c>
      <c r="G161" s="62">
        <f t="shared" si="123"/>
        <v>488235.29411764705</v>
      </c>
      <c r="H161" s="62">
        <f t="shared" si="123"/>
        <v>488235.29411764705</v>
      </c>
      <c r="I161" s="62">
        <f t="shared" si="123"/>
        <v>488235.29411764705</v>
      </c>
      <c r="J161" s="62">
        <f t="shared" si="123"/>
        <v>488235.29411764705</v>
      </c>
      <c r="K161" s="62">
        <f t="shared" si="123"/>
        <v>488235.29411764705</v>
      </c>
      <c r="L161" s="62">
        <f t="shared" si="123"/>
        <v>488235.29411764705</v>
      </c>
      <c r="M161" s="62">
        <f t="shared" si="123"/>
        <v>488235.29411764705</v>
      </c>
      <c r="N161" s="62">
        <f t="shared" si="123"/>
        <v>488235.29411764705</v>
      </c>
      <c r="O161" s="62">
        <f t="shared" si="123"/>
        <v>488235.29411764705</v>
      </c>
      <c r="P161" s="62">
        <f t="shared" si="123"/>
        <v>488235.29411764705</v>
      </c>
      <c r="Q161" s="62">
        <f t="shared" si="123"/>
        <v>488235.29411764705</v>
      </c>
      <c r="R161" s="62">
        <f t="shared" si="123"/>
        <v>488235.29411764705</v>
      </c>
      <c r="S161" s="62">
        <f t="shared" si="123"/>
        <v>488235.29411764705</v>
      </c>
      <c r="T161" s="62">
        <f t="shared" si="123"/>
        <v>488235.29411764705</v>
      </c>
      <c r="U161" s="62">
        <f t="shared" si="123"/>
        <v>488235.29411764705</v>
      </c>
      <c r="V161" s="62">
        <f t="shared" si="123"/>
        <v>488235.29411764705</v>
      </c>
      <c r="W161" s="62">
        <f t="shared" si="123"/>
        <v>488235.29411764705</v>
      </c>
      <c r="X161" s="62">
        <f t="shared" si="123"/>
        <v>488235.29411764705</v>
      </c>
      <c r="Y161" s="62">
        <f t="shared" si="123"/>
        <v>488235.29411764705</v>
      </c>
      <c r="Z161" s="62">
        <f t="shared" si="123"/>
        <v>488235.29411764705</v>
      </c>
      <c r="AA161" s="62">
        <f t="shared" si="123"/>
        <v>488235.29411764705</v>
      </c>
      <c r="AB161" s="62">
        <f t="shared" si="123"/>
        <v>488235.29411764705</v>
      </c>
      <c r="AC161" s="62">
        <f t="shared" si="123"/>
        <v>488235.29411764705</v>
      </c>
    </row>
    <row r="162" spans="1:29" x14ac:dyDescent="0.25">
      <c r="A162" s="30" t="str">
        <f>A144</f>
        <v>Opex var (mode-fees)</v>
      </c>
      <c r="B162" s="62">
        <f>B144*B153</f>
        <v>202642.68757160378</v>
      </c>
      <c r="C162" s="62">
        <f t="shared" ref="C162:AC162" si="124">C144*C153</f>
        <v>202642.68757160378</v>
      </c>
      <c r="D162" s="62">
        <f t="shared" si="124"/>
        <v>202642.68757160378</v>
      </c>
      <c r="E162" s="62">
        <f t="shared" si="124"/>
        <v>202642.68757160378</v>
      </c>
      <c r="F162" s="62">
        <f t="shared" si="124"/>
        <v>202642.68757160378</v>
      </c>
      <c r="G162" s="62">
        <f t="shared" si="124"/>
        <v>202642.68757160378</v>
      </c>
      <c r="H162" s="62">
        <f t="shared" si="124"/>
        <v>202642.68757160378</v>
      </c>
      <c r="I162" s="62">
        <f t="shared" si="124"/>
        <v>202642.68757160378</v>
      </c>
      <c r="J162" s="62">
        <f t="shared" si="124"/>
        <v>202642.68757160378</v>
      </c>
      <c r="K162" s="62">
        <f t="shared" si="124"/>
        <v>202642.68757160378</v>
      </c>
      <c r="L162" s="62">
        <f t="shared" si="124"/>
        <v>202642.68757160378</v>
      </c>
      <c r="M162" s="62">
        <f t="shared" si="124"/>
        <v>202642.68757160378</v>
      </c>
      <c r="N162" s="62">
        <f t="shared" si="124"/>
        <v>202642.68757160378</v>
      </c>
      <c r="O162" s="62">
        <f t="shared" si="124"/>
        <v>202642.68757160378</v>
      </c>
      <c r="P162" s="62">
        <f t="shared" si="124"/>
        <v>202642.68757160378</v>
      </c>
      <c r="Q162" s="62">
        <f t="shared" si="124"/>
        <v>202642.68757160378</v>
      </c>
      <c r="R162" s="62">
        <f t="shared" si="124"/>
        <v>202642.68757160378</v>
      </c>
      <c r="S162" s="62">
        <f t="shared" si="124"/>
        <v>202642.68757160378</v>
      </c>
      <c r="T162" s="62">
        <f t="shared" si="124"/>
        <v>202642.68757160378</v>
      </c>
      <c r="U162" s="62">
        <f t="shared" si="124"/>
        <v>202642.68757160378</v>
      </c>
      <c r="V162" s="62">
        <f t="shared" si="124"/>
        <v>202642.68757160378</v>
      </c>
      <c r="W162" s="62">
        <f t="shared" si="124"/>
        <v>202642.68757160378</v>
      </c>
      <c r="X162" s="62">
        <f t="shared" si="124"/>
        <v>202642.68757160378</v>
      </c>
      <c r="Y162" s="62">
        <f t="shared" si="124"/>
        <v>202642.68757160378</v>
      </c>
      <c r="Z162" s="62">
        <f t="shared" si="124"/>
        <v>202642.68757160378</v>
      </c>
      <c r="AA162" s="62">
        <f t="shared" si="124"/>
        <v>202642.68757160378</v>
      </c>
      <c r="AB162" s="62">
        <f t="shared" si="124"/>
        <v>202642.68757160378</v>
      </c>
      <c r="AC162" s="62">
        <f t="shared" si="124"/>
        <v>202642.68757160378</v>
      </c>
    </row>
    <row r="163" spans="1:29" x14ac:dyDescent="0.25">
      <c r="A163" s="30" t="str">
        <f>A146</f>
        <v>Fuel Cost</v>
      </c>
      <c r="B163" s="62">
        <f>B145*B146*B153</f>
        <v>4657656.7874551304</v>
      </c>
      <c r="C163" s="62">
        <f t="shared" ref="C163:AC163" si="125">C145*C146*C153</f>
        <v>4657335.2559228269</v>
      </c>
      <c r="D163" s="62">
        <f t="shared" si="125"/>
        <v>4656874.9906958723</v>
      </c>
      <c r="E163" s="62">
        <f t="shared" si="125"/>
        <v>4656216.5489214156</v>
      </c>
      <c r="F163" s="62">
        <f t="shared" si="125"/>
        <v>4655275.4903333243</v>
      </c>
      <c r="G163" s="62">
        <f t="shared" si="125"/>
        <v>4653932.3963569254</v>
      </c>
      <c r="H163" s="62">
        <f t="shared" si="125"/>
        <v>4652019.501037512</v>
      </c>
      <c r="I163" s="62">
        <f t="shared" si="125"/>
        <v>4649303.4639009116</v>
      </c>
      <c r="J163" s="62">
        <f t="shared" si="125"/>
        <v>4645464.6064028293</v>
      </c>
      <c r="K163" s="62">
        <f t="shared" si="125"/>
        <v>4640074.9197342508</v>
      </c>
      <c r="L163" s="62">
        <f t="shared" si="125"/>
        <v>4632581.2987480788</v>
      </c>
      <c r="M163" s="62">
        <f t="shared" si="125"/>
        <v>4622307.8247129563</v>
      </c>
      <c r="N163" s="62">
        <f t="shared" si="125"/>
        <v>4608501.3764707223</v>
      </c>
      <c r="O163" s="62">
        <f t="shared" si="125"/>
        <v>4590453.6814084789</v>
      </c>
      <c r="P163" s="62">
        <f t="shared" si="125"/>
        <v>4567725.6599339778</v>
      </c>
      <c r="Q163" s="62">
        <f t="shared" si="125"/>
        <v>4540452.686572534</v>
      </c>
      <c r="R163" s="62">
        <f t="shared" si="125"/>
        <v>4509613.1268287944</v>
      </c>
      <c r="S163" s="62">
        <f t="shared" si="125"/>
        <v>4477055.930138859</v>
      </c>
      <c r="T163" s="62">
        <f t="shared" si="125"/>
        <v>4445139.3981832527</v>
      </c>
      <c r="U163" s="62">
        <f t="shared" si="125"/>
        <v>4416085.1221883893</v>
      </c>
      <c r="V163" s="62">
        <f t="shared" si="125"/>
        <v>4391393.1250012219</v>
      </c>
      <c r="W163" s="62">
        <f t="shared" si="125"/>
        <v>4371619.2573404536</v>
      </c>
      <c r="X163" s="62">
        <f t="shared" si="125"/>
        <v>4356530.9186884109</v>
      </c>
      <c r="Y163" s="62">
        <f t="shared" si="125"/>
        <v>4345439.7796926498</v>
      </c>
      <c r="Z163" s="62">
        <f t="shared" si="125"/>
        <v>4337509.7757624658</v>
      </c>
      <c r="AA163" s="62">
        <f t="shared" si="125"/>
        <v>4331952.0141076175</v>
      </c>
      <c r="AB163" s="62">
        <f t="shared" si="125"/>
        <v>4328111.2591973878</v>
      </c>
      <c r="AC163" s="62">
        <f t="shared" si="125"/>
        <v>4325482.8392201588</v>
      </c>
    </row>
    <row r="164" spans="1:29" ht="15.75" thickBot="1" x14ac:dyDescent="0.3">
      <c r="A164" s="59" t="str">
        <f>A127</f>
        <v>Emission Cost</v>
      </c>
      <c r="B164" s="62">
        <f>B147*B153</f>
        <v>2080174.2343043815</v>
      </c>
      <c r="C164" s="62">
        <f t="shared" ref="C164:AC164" si="126">C147*C153</f>
        <v>2084591.1334600765</v>
      </c>
      <c r="D164" s="62">
        <f t="shared" si="126"/>
        <v>2090913.8262229576</v>
      </c>
      <c r="E164" s="62">
        <f t="shared" si="126"/>
        <v>2099958.8828518903</v>
      </c>
      <c r="F164" s="62">
        <f t="shared" si="126"/>
        <v>2112886.2646654733</v>
      </c>
      <c r="G164" s="62">
        <f t="shared" si="126"/>
        <v>2131336.4322365182</v>
      </c>
      <c r="H164" s="62">
        <f t="shared" si="126"/>
        <v>2157613.9971792493</v>
      </c>
      <c r="I164" s="62">
        <f t="shared" si="126"/>
        <v>2194924.3724620044</v>
      </c>
      <c r="J164" s="62">
        <f t="shared" si="126"/>
        <v>2247659.002626026</v>
      </c>
      <c r="K164" s="62">
        <f t="shared" si="126"/>
        <v>2321697.4719647751</v>
      </c>
      <c r="L164" s="62">
        <f t="shared" si="126"/>
        <v>2424637.8211422721</v>
      </c>
      <c r="M164" s="62">
        <f t="shared" si="126"/>
        <v>2565765.1888584979</v>
      </c>
      <c r="N164" s="62">
        <f t="shared" si="126"/>
        <v>2755425.248471769</v>
      </c>
      <c r="O164" s="62">
        <f t="shared" si="126"/>
        <v>3003347.5860152184</v>
      </c>
      <c r="P164" s="62">
        <f t="shared" si="126"/>
        <v>3315563.8658372555</v>
      </c>
      <c r="Q164" s="62">
        <f t="shared" si="126"/>
        <v>3690214.4394539841</v>
      </c>
      <c r="R164" s="62">
        <f t="shared" si="126"/>
        <v>4113859.4375609229</v>
      </c>
      <c r="S164" s="62">
        <f t="shared" si="126"/>
        <v>4561099.7238907274</v>
      </c>
      <c r="T164" s="62">
        <f t="shared" si="126"/>
        <v>4999539.1579250544</v>
      </c>
      <c r="U164" s="62">
        <f t="shared" si="126"/>
        <v>5398659.5993684782</v>
      </c>
      <c r="V164" s="62">
        <f t="shared" si="126"/>
        <v>5737855.1387515571</v>
      </c>
      <c r="W164" s="62">
        <f t="shared" si="126"/>
        <v>6009490.0193180386</v>
      </c>
      <c r="X164" s="62">
        <f t="shared" si="126"/>
        <v>6216759.4892065981</v>
      </c>
      <c r="Y164" s="62">
        <f t="shared" si="126"/>
        <v>6369119.1726102037</v>
      </c>
      <c r="Z164" s="62">
        <f t="shared" si="126"/>
        <v>6478054.1421073815</v>
      </c>
      <c r="AA164" s="62">
        <f t="shared" si="126"/>
        <v>6554401.4682466788</v>
      </c>
      <c r="AB164" s="62">
        <f t="shared" si="126"/>
        <v>6607162.1632823376</v>
      </c>
      <c r="AC164" s="62">
        <f t="shared" si="126"/>
        <v>6643268.9360615192</v>
      </c>
    </row>
    <row r="165" spans="1:29" ht="15.75" thickBot="1" x14ac:dyDescent="0.3">
      <c r="A165" s="31" t="s">
        <v>209</v>
      </c>
      <c r="B165" s="64">
        <f>B156+B157+B158+B159+B160+B161+B162+B163+B164</f>
        <v>10045154.079727588</v>
      </c>
      <c r="C165" s="64">
        <f t="shared" ref="C165:AC165" si="127">C156+C157+C158+C159+C160+C161+C162+C163+C164</f>
        <v>10049305.19282211</v>
      </c>
      <c r="D165" s="64">
        <f t="shared" si="127"/>
        <v>10055247.418758329</v>
      </c>
      <c r="E165" s="64">
        <f t="shared" si="127"/>
        <v>10063748.190836098</v>
      </c>
      <c r="F165" s="64">
        <f t="shared" si="127"/>
        <v>10075897.669923715</v>
      </c>
      <c r="G165" s="64">
        <f t="shared" si="127"/>
        <v>10093237.602193061</v>
      </c>
      <c r="H165" s="64">
        <f t="shared" si="127"/>
        <v>10117933.919695638</v>
      </c>
      <c r="I165" s="64">
        <f t="shared" si="127"/>
        <v>10152999.150288023</v>
      </c>
      <c r="J165" s="64">
        <f t="shared" si="127"/>
        <v>10202560.484176833</v>
      </c>
      <c r="K165" s="64">
        <f t="shared" si="127"/>
        <v>10272143.702796195</v>
      </c>
      <c r="L165" s="64">
        <f t="shared" si="127"/>
        <v>10368889.636167649</v>
      </c>
      <c r="M165" s="64">
        <f t="shared" si="127"/>
        <v>10501524.691547349</v>
      </c>
      <c r="N165" s="64">
        <f t="shared" si="127"/>
        <v>10679771.993379729</v>
      </c>
      <c r="O165" s="64">
        <f t="shared" si="127"/>
        <v>10912775.651720898</v>
      </c>
      <c r="P165" s="64">
        <f t="shared" si="127"/>
        <v>11206204.376671731</v>
      </c>
      <c r="Q165" s="64">
        <f t="shared" si="127"/>
        <v>11558310.423739864</v>
      </c>
      <c r="R165" s="64">
        <f t="shared" si="127"/>
        <v>11956462.665183436</v>
      </c>
      <c r="S165" s="64">
        <f t="shared" si="127"/>
        <v>12376790.352897873</v>
      </c>
      <c r="T165" s="64">
        <f t="shared" si="127"/>
        <v>12788846.77791898</v>
      </c>
      <c r="U165" s="64">
        <f t="shared" si="127"/>
        <v>13163950.223201564</v>
      </c>
      <c r="V165" s="64">
        <f t="shared" si="127"/>
        <v>13482734.735933952</v>
      </c>
      <c r="W165" s="64">
        <f t="shared" si="127"/>
        <v>13738024.039561</v>
      </c>
      <c r="X165" s="64">
        <f t="shared" si="127"/>
        <v>13932821.108776294</v>
      </c>
      <c r="Y165" s="64">
        <f t="shared" si="127"/>
        <v>14076012.577397071</v>
      </c>
      <c r="Z165" s="64">
        <f t="shared" si="127"/>
        <v>14178392.405958012</v>
      </c>
      <c r="AA165" s="64">
        <f t="shared" si="127"/>
        <v>14250145.546361931</v>
      </c>
      <c r="AB165" s="64">
        <f t="shared" si="127"/>
        <v>14299731.376673717</v>
      </c>
      <c r="AC165" s="64">
        <f t="shared" si="127"/>
        <v>14333665.431312777</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28">A156</f>
        <v>Capex vehicle</v>
      </c>
      <c r="B168" s="65">
        <f>((1+B141)^B148)*B141/(((1+B141)^B148)-1)*(B137)/B153</f>
        <v>9.7783397765342439</v>
      </c>
      <c r="C168" s="65">
        <f t="shared" ref="C168:AC168" si="129">((1+C141)^C148)*C141/(((1+C141)^C148)-1)*(C137)/C153</f>
        <v>9.7783397765342439</v>
      </c>
      <c r="D168" s="65">
        <f t="shared" si="129"/>
        <v>9.7783397765342439</v>
      </c>
      <c r="E168" s="65">
        <f t="shared" si="129"/>
        <v>9.7783397765342439</v>
      </c>
      <c r="F168" s="65">
        <f t="shared" si="129"/>
        <v>9.7783397765342439</v>
      </c>
      <c r="G168" s="65">
        <f t="shared" si="129"/>
        <v>9.7783397765342439</v>
      </c>
      <c r="H168" s="65">
        <f t="shared" si="129"/>
        <v>9.7783397765342439</v>
      </c>
      <c r="I168" s="65">
        <f t="shared" si="129"/>
        <v>9.7783397765342439</v>
      </c>
      <c r="J168" s="65">
        <f t="shared" si="129"/>
        <v>9.7783397765342439</v>
      </c>
      <c r="K168" s="65">
        <f t="shared" si="129"/>
        <v>9.7783397765342439</v>
      </c>
      <c r="L168" s="65">
        <f t="shared" si="129"/>
        <v>9.7783397765342439</v>
      </c>
      <c r="M168" s="65">
        <f t="shared" si="129"/>
        <v>9.7783397765342439</v>
      </c>
      <c r="N168" s="65">
        <f t="shared" si="129"/>
        <v>9.7783397765342439</v>
      </c>
      <c r="O168" s="65">
        <f t="shared" si="129"/>
        <v>9.7783397765342439</v>
      </c>
      <c r="P168" s="65">
        <f t="shared" si="129"/>
        <v>9.7783397765342439</v>
      </c>
      <c r="Q168" s="65">
        <f t="shared" si="129"/>
        <v>9.7783397765342439</v>
      </c>
      <c r="R168" s="65">
        <f t="shared" si="129"/>
        <v>9.7783397765342439</v>
      </c>
      <c r="S168" s="65">
        <f t="shared" si="129"/>
        <v>9.7783397765342439</v>
      </c>
      <c r="T168" s="65">
        <f t="shared" si="129"/>
        <v>9.7783397765342439</v>
      </c>
      <c r="U168" s="65">
        <f t="shared" si="129"/>
        <v>9.7783397765342439</v>
      </c>
      <c r="V168" s="65">
        <f t="shared" si="129"/>
        <v>9.7783397765342439</v>
      </c>
      <c r="W168" s="65">
        <f t="shared" si="129"/>
        <v>9.7783397765342439</v>
      </c>
      <c r="X168" s="65">
        <f t="shared" si="129"/>
        <v>9.7783397765342439</v>
      </c>
      <c r="Y168" s="65">
        <f t="shared" si="129"/>
        <v>9.7783397765342439</v>
      </c>
      <c r="Z168" s="65">
        <f t="shared" si="129"/>
        <v>9.7783397765342439</v>
      </c>
      <c r="AA168" s="65">
        <f t="shared" si="129"/>
        <v>9.7783397765342439</v>
      </c>
      <c r="AB168" s="65">
        <f t="shared" si="129"/>
        <v>9.7783397765342439</v>
      </c>
      <c r="AC168" s="65">
        <f t="shared" si="129"/>
        <v>9.7783397765342439</v>
      </c>
    </row>
    <row r="169" spans="1:29" x14ac:dyDescent="0.25">
      <c r="A169" s="30" t="str">
        <f t="shared" si="128"/>
        <v>Residual value (vehicle)</v>
      </c>
      <c r="B169" s="66">
        <f>((1+B141)^B148)*B141/(((1+B141)^B148)-1)*(B138)/B153</f>
        <v>-0.97676019148470272</v>
      </c>
      <c r="C169" s="66">
        <f t="shared" ref="C169:AC169" si="130">((1+C141)^C148)*C141/(((1+C141)^C148)-1)*(C138)/C153</f>
        <v>-0.97629564589195228</v>
      </c>
      <c r="D169" s="66">
        <f t="shared" si="130"/>
        <v>-0.97563065922284864</v>
      </c>
      <c r="E169" s="66">
        <f t="shared" si="130"/>
        <v>-0.97467934902874298</v>
      </c>
      <c r="F169" s="66">
        <f t="shared" si="130"/>
        <v>-0.97331971684434948</v>
      </c>
      <c r="G169" s="66">
        <f t="shared" si="130"/>
        <v>-0.97137922788852038</v>
      </c>
      <c r="H169" s="66">
        <f t="shared" si="130"/>
        <v>-0.96861549556136939</v>
      </c>
      <c r="I169" s="66">
        <f t="shared" si="130"/>
        <v>-0.96469139184278574</v>
      </c>
      <c r="J169" s="66">
        <f t="shared" si="130"/>
        <v>-0.95914504831885961</v>
      </c>
      <c r="K169" s="66">
        <f t="shared" si="130"/>
        <v>-0.95135808207559314</v>
      </c>
      <c r="L169" s="66">
        <f t="shared" si="130"/>
        <v>-0.94053137224117322</v>
      </c>
      <c r="M169" s="66">
        <f t="shared" si="130"/>
        <v>-0.92568835808620409</v>
      </c>
      <c r="N169" s="66">
        <f t="shared" si="130"/>
        <v>-0.90574093757501994</v>
      </c>
      <c r="O169" s="66">
        <f t="shared" si="130"/>
        <v>-0.87966580540866446</v>
      </c>
      <c r="P169" s="66">
        <f t="shared" si="130"/>
        <v>-0.84682858371450898</v>
      </c>
      <c r="Q169" s="66">
        <f t="shared" si="130"/>
        <v>-0.80742486027411864</v>
      </c>
      <c r="R169" s="66">
        <f t="shared" si="130"/>
        <v>-0.7628681679376812</v>
      </c>
      <c r="S169" s="66">
        <f t="shared" si="130"/>
        <v>-0.71582985064961269</v>
      </c>
      <c r="T169" s="66">
        <f t="shared" si="130"/>
        <v>-0.66971715946306853</v>
      </c>
      <c r="U169" s="66">
        <f t="shared" si="130"/>
        <v>-0.62773982751286628</v>
      </c>
      <c r="V169" s="66">
        <f t="shared" si="130"/>
        <v>-0.59206507304221667</v>
      </c>
      <c r="W169" s="66">
        <f t="shared" si="130"/>
        <v>-0.56349598369776865</v>
      </c>
      <c r="X169" s="66">
        <f t="shared" si="130"/>
        <v>-0.54169650054128426</v>
      </c>
      <c r="Y169" s="66">
        <f t="shared" si="130"/>
        <v>-0.52567213210019181</v>
      </c>
      <c r="Z169" s="66">
        <f t="shared" si="130"/>
        <v>-0.51421494048397043</v>
      </c>
      <c r="AA169" s="66">
        <f t="shared" si="130"/>
        <v>-0.50618514115505298</v>
      </c>
      <c r="AB169" s="66">
        <f t="shared" si="130"/>
        <v>-0.50063605626873253</v>
      </c>
      <c r="AC169" s="66">
        <f t="shared" si="130"/>
        <v>-0.49683854095951707</v>
      </c>
    </row>
    <row r="170" spans="1:29" x14ac:dyDescent="0.25">
      <c r="A170" s="30" t="str">
        <f t="shared" si="128"/>
        <v>Capex costumization</v>
      </c>
      <c r="B170" s="66">
        <f>((1+B141)^B149)*B141/(((1+B141)^B149)-1)*(B139)/B153</f>
        <v>3.2594465921780813</v>
      </c>
      <c r="C170" s="66">
        <f t="shared" ref="C170:AC170" si="131">((1+C141)^C149)*C141/(((1+C141)^C149)-1)*(C139)/C153</f>
        <v>3.2594465921780813</v>
      </c>
      <c r="D170" s="66">
        <f t="shared" si="131"/>
        <v>3.2594465921780813</v>
      </c>
      <c r="E170" s="66">
        <f t="shared" si="131"/>
        <v>3.2594465921780813</v>
      </c>
      <c r="F170" s="66">
        <f t="shared" si="131"/>
        <v>3.2594465921780813</v>
      </c>
      <c r="G170" s="66">
        <f t="shared" si="131"/>
        <v>3.2594465921780813</v>
      </c>
      <c r="H170" s="66">
        <f t="shared" si="131"/>
        <v>3.2594465921780813</v>
      </c>
      <c r="I170" s="66">
        <f t="shared" si="131"/>
        <v>3.2594465921780813</v>
      </c>
      <c r="J170" s="66">
        <f t="shared" si="131"/>
        <v>3.2594465921780813</v>
      </c>
      <c r="K170" s="66">
        <f t="shared" si="131"/>
        <v>3.2594465921780813</v>
      </c>
      <c r="L170" s="66">
        <f t="shared" si="131"/>
        <v>3.2594465921780813</v>
      </c>
      <c r="M170" s="66">
        <f t="shared" si="131"/>
        <v>3.2594465921780813</v>
      </c>
      <c r="N170" s="66">
        <f t="shared" si="131"/>
        <v>3.2594465921780813</v>
      </c>
      <c r="O170" s="66">
        <f t="shared" si="131"/>
        <v>3.2594465921780813</v>
      </c>
      <c r="P170" s="66">
        <f t="shared" si="131"/>
        <v>3.2594465921780813</v>
      </c>
      <c r="Q170" s="66">
        <f t="shared" si="131"/>
        <v>3.2594465921780813</v>
      </c>
      <c r="R170" s="66">
        <f t="shared" si="131"/>
        <v>3.2594465921780813</v>
      </c>
      <c r="S170" s="66">
        <f t="shared" si="131"/>
        <v>3.2594465921780813</v>
      </c>
      <c r="T170" s="66">
        <f t="shared" si="131"/>
        <v>3.2594465921780813</v>
      </c>
      <c r="U170" s="66">
        <f t="shared" si="131"/>
        <v>3.2594465921780813</v>
      </c>
      <c r="V170" s="66">
        <f t="shared" si="131"/>
        <v>3.2594465921780813</v>
      </c>
      <c r="W170" s="66">
        <f t="shared" si="131"/>
        <v>3.2594465921780813</v>
      </c>
      <c r="X170" s="66">
        <f t="shared" si="131"/>
        <v>3.2594465921780813</v>
      </c>
      <c r="Y170" s="66">
        <f t="shared" si="131"/>
        <v>3.2594465921780813</v>
      </c>
      <c r="Z170" s="66">
        <f t="shared" si="131"/>
        <v>3.2594465921780813</v>
      </c>
      <c r="AA170" s="66">
        <f t="shared" si="131"/>
        <v>3.2594465921780813</v>
      </c>
      <c r="AB170" s="66">
        <f t="shared" si="131"/>
        <v>3.2594465921780813</v>
      </c>
      <c r="AC170" s="66">
        <f t="shared" si="131"/>
        <v>3.2594465921780813</v>
      </c>
    </row>
    <row r="171" spans="1:29" x14ac:dyDescent="0.25">
      <c r="A171" s="30" t="str">
        <f t="shared" si="128"/>
        <v>Residual value (costumization)</v>
      </c>
      <c r="B171" s="66">
        <f>((1+B141)^B149)*B141/(((1+B141)^B149)-1)*(B140)/B153</f>
        <v>-0.32594465921780813</v>
      </c>
      <c r="C171" s="66">
        <f t="shared" ref="C171:AC171" si="132">((1+C141)^C149)*C141/(((1+C141)^C149)-1)*(C140)/C153</f>
        <v>-0.32594465921780813</v>
      </c>
      <c r="D171" s="66">
        <f t="shared" si="132"/>
        <v>-0.32594465921780813</v>
      </c>
      <c r="E171" s="66">
        <f t="shared" si="132"/>
        <v>-0.32594465921780813</v>
      </c>
      <c r="F171" s="66">
        <f t="shared" si="132"/>
        <v>-0.32594465921780813</v>
      </c>
      <c r="G171" s="66">
        <f t="shared" si="132"/>
        <v>-0.32594465921780813</v>
      </c>
      <c r="H171" s="66">
        <f t="shared" si="132"/>
        <v>-0.32594465921780813</v>
      </c>
      <c r="I171" s="66">
        <f t="shared" si="132"/>
        <v>-0.32594465921780813</v>
      </c>
      <c r="J171" s="66">
        <f t="shared" si="132"/>
        <v>-0.32594465921780813</v>
      </c>
      <c r="K171" s="66">
        <f t="shared" si="132"/>
        <v>-0.32594465921780813</v>
      </c>
      <c r="L171" s="66">
        <f t="shared" si="132"/>
        <v>-0.32594465921780813</v>
      </c>
      <c r="M171" s="66">
        <f t="shared" si="132"/>
        <v>-0.32594465921780813</v>
      </c>
      <c r="N171" s="66">
        <f t="shared" si="132"/>
        <v>-0.32594465921780813</v>
      </c>
      <c r="O171" s="66">
        <f t="shared" si="132"/>
        <v>-0.32594465921780813</v>
      </c>
      <c r="P171" s="66">
        <f t="shared" si="132"/>
        <v>-0.32594465921780813</v>
      </c>
      <c r="Q171" s="66">
        <f t="shared" si="132"/>
        <v>-0.32594465921780813</v>
      </c>
      <c r="R171" s="66">
        <f t="shared" si="132"/>
        <v>-0.32594465921780813</v>
      </c>
      <c r="S171" s="66">
        <f t="shared" si="132"/>
        <v>-0.32594465921780813</v>
      </c>
      <c r="T171" s="66">
        <f t="shared" si="132"/>
        <v>-0.32594465921780813</v>
      </c>
      <c r="U171" s="66">
        <f t="shared" si="132"/>
        <v>-0.32594465921780813</v>
      </c>
      <c r="V171" s="66">
        <f t="shared" si="132"/>
        <v>-0.32594465921780813</v>
      </c>
      <c r="W171" s="66">
        <f t="shared" si="132"/>
        <v>-0.32594465921780813</v>
      </c>
      <c r="X171" s="66">
        <f t="shared" si="132"/>
        <v>-0.32594465921780813</v>
      </c>
      <c r="Y171" s="66">
        <f t="shared" si="132"/>
        <v>-0.32594465921780813</v>
      </c>
      <c r="Z171" s="66">
        <f t="shared" si="132"/>
        <v>-0.32594465921780813</v>
      </c>
      <c r="AA171" s="66">
        <f t="shared" si="132"/>
        <v>-0.32594465921780813</v>
      </c>
      <c r="AB171" s="66">
        <f t="shared" si="132"/>
        <v>-0.32594465921780813</v>
      </c>
      <c r="AC171" s="66">
        <f t="shared" si="132"/>
        <v>-0.32594465921780813</v>
      </c>
    </row>
    <row r="172" spans="1:29" x14ac:dyDescent="0.25">
      <c r="A172" s="30" t="str">
        <f t="shared" si="128"/>
        <v>Opex fix (admin, crew, insurance)</v>
      </c>
      <c r="B172" s="66">
        <f>B142/B153</f>
        <v>10.068627450980392</v>
      </c>
      <c r="C172" s="66">
        <f t="shared" ref="C172:AC172" si="133">C142/C153</f>
        <v>10.068627450980392</v>
      </c>
      <c r="D172" s="66">
        <f t="shared" si="133"/>
        <v>10.068627450980392</v>
      </c>
      <c r="E172" s="66">
        <f t="shared" si="133"/>
        <v>10.068627450980392</v>
      </c>
      <c r="F172" s="66">
        <f t="shared" si="133"/>
        <v>10.068627450980392</v>
      </c>
      <c r="G172" s="66">
        <f t="shared" si="133"/>
        <v>10.068627450980392</v>
      </c>
      <c r="H172" s="66">
        <f t="shared" si="133"/>
        <v>10.068627450980392</v>
      </c>
      <c r="I172" s="66">
        <f t="shared" si="133"/>
        <v>10.068627450980392</v>
      </c>
      <c r="J172" s="66">
        <f t="shared" si="133"/>
        <v>10.068627450980392</v>
      </c>
      <c r="K172" s="66">
        <f t="shared" si="133"/>
        <v>10.068627450980392</v>
      </c>
      <c r="L172" s="66">
        <f t="shared" si="133"/>
        <v>10.068627450980392</v>
      </c>
      <c r="M172" s="66">
        <f t="shared" si="133"/>
        <v>10.068627450980392</v>
      </c>
      <c r="N172" s="66">
        <f t="shared" si="133"/>
        <v>10.068627450980392</v>
      </c>
      <c r="O172" s="66">
        <f t="shared" si="133"/>
        <v>10.068627450980392</v>
      </c>
      <c r="P172" s="66">
        <f t="shared" si="133"/>
        <v>10.068627450980392</v>
      </c>
      <c r="Q172" s="66">
        <f t="shared" si="133"/>
        <v>10.068627450980392</v>
      </c>
      <c r="R172" s="66">
        <f t="shared" si="133"/>
        <v>10.068627450980392</v>
      </c>
      <c r="S172" s="66">
        <f t="shared" si="133"/>
        <v>10.068627450980392</v>
      </c>
      <c r="T172" s="66">
        <f t="shared" si="133"/>
        <v>10.068627450980392</v>
      </c>
      <c r="U172" s="66">
        <f t="shared" si="133"/>
        <v>10.068627450980392</v>
      </c>
      <c r="V172" s="66">
        <f t="shared" si="133"/>
        <v>10.068627450980392</v>
      </c>
      <c r="W172" s="66">
        <f t="shared" si="133"/>
        <v>10.068627450980392</v>
      </c>
      <c r="X172" s="66">
        <f t="shared" si="133"/>
        <v>10.068627450980392</v>
      </c>
      <c r="Y172" s="66">
        <f t="shared" si="133"/>
        <v>10.068627450980392</v>
      </c>
      <c r="Z172" s="66">
        <f t="shared" si="133"/>
        <v>10.068627450980392</v>
      </c>
      <c r="AA172" s="66">
        <f t="shared" si="133"/>
        <v>10.068627450980392</v>
      </c>
      <c r="AB172" s="66">
        <f t="shared" si="133"/>
        <v>10.068627450980392</v>
      </c>
      <c r="AC172" s="66">
        <f t="shared" si="133"/>
        <v>10.068627450980392</v>
      </c>
    </row>
    <row r="173" spans="1:29" x14ac:dyDescent="0.25">
      <c r="A173" s="30" t="str">
        <f t="shared" si="128"/>
        <v>Opex maintenance &amp; repair</v>
      </c>
      <c r="B173" s="66">
        <f>B143/B153</f>
        <v>4.0686274509803919</v>
      </c>
      <c r="C173" s="66">
        <f t="shared" ref="C173:AC173" si="134">C143/C153</f>
        <v>4.0686274509803919</v>
      </c>
      <c r="D173" s="66">
        <f t="shared" si="134"/>
        <v>4.0686274509803919</v>
      </c>
      <c r="E173" s="66">
        <f t="shared" si="134"/>
        <v>4.0686274509803919</v>
      </c>
      <c r="F173" s="66">
        <f t="shared" si="134"/>
        <v>4.0686274509803919</v>
      </c>
      <c r="G173" s="66">
        <f t="shared" si="134"/>
        <v>4.0686274509803919</v>
      </c>
      <c r="H173" s="66">
        <f t="shared" si="134"/>
        <v>4.0686274509803919</v>
      </c>
      <c r="I173" s="66">
        <f t="shared" si="134"/>
        <v>4.0686274509803919</v>
      </c>
      <c r="J173" s="66">
        <f t="shared" si="134"/>
        <v>4.0686274509803919</v>
      </c>
      <c r="K173" s="66">
        <f t="shared" si="134"/>
        <v>4.0686274509803919</v>
      </c>
      <c r="L173" s="66">
        <f t="shared" si="134"/>
        <v>4.0686274509803919</v>
      </c>
      <c r="M173" s="66">
        <f t="shared" si="134"/>
        <v>4.0686274509803919</v>
      </c>
      <c r="N173" s="66">
        <f t="shared" si="134"/>
        <v>4.0686274509803919</v>
      </c>
      <c r="O173" s="66">
        <f t="shared" si="134"/>
        <v>4.0686274509803919</v>
      </c>
      <c r="P173" s="66">
        <f t="shared" si="134"/>
        <v>4.0686274509803919</v>
      </c>
      <c r="Q173" s="66">
        <f t="shared" si="134"/>
        <v>4.0686274509803919</v>
      </c>
      <c r="R173" s="66">
        <f t="shared" si="134"/>
        <v>4.0686274509803919</v>
      </c>
      <c r="S173" s="66">
        <f t="shared" si="134"/>
        <v>4.0686274509803919</v>
      </c>
      <c r="T173" s="66">
        <f t="shared" si="134"/>
        <v>4.0686274509803919</v>
      </c>
      <c r="U173" s="66">
        <f t="shared" si="134"/>
        <v>4.0686274509803919</v>
      </c>
      <c r="V173" s="66">
        <f t="shared" si="134"/>
        <v>4.0686274509803919</v>
      </c>
      <c r="W173" s="66">
        <f t="shared" si="134"/>
        <v>4.0686274509803919</v>
      </c>
      <c r="X173" s="66">
        <f t="shared" si="134"/>
        <v>4.0686274509803919</v>
      </c>
      <c r="Y173" s="66">
        <f t="shared" si="134"/>
        <v>4.0686274509803919</v>
      </c>
      <c r="Z173" s="66">
        <f t="shared" si="134"/>
        <v>4.0686274509803919</v>
      </c>
      <c r="AA173" s="66">
        <f t="shared" si="134"/>
        <v>4.0686274509803919</v>
      </c>
      <c r="AB173" s="66">
        <f t="shared" si="134"/>
        <v>4.0686274509803919</v>
      </c>
      <c r="AC173" s="66">
        <f t="shared" si="134"/>
        <v>4.0686274509803919</v>
      </c>
    </row>
    <row r="174" spans="1:29" x14ac:dyDescent="0.25">
      <c r="A174" s="30" t="str">
        <f t="shared" si="128"/>
        <v>Opex var (mode-fees)</v>
      </c>
      <c r="B174" s="66">
        <f>B144*B153/B153</f>
        <v>1.6886890630966982</v>
      </c>
      <c r="C174" s="66">
        <f t="shared" ref="C174:AC174" si="135">C144*C153/C153</f>
        <v>1.6886890630966982</v>
      </c>
      <c r="D174" s="66">
        <f t="shared" si="135"/>
        <v>1.6886890630966982</v>
      </c>
      <c r="E174" s="66">
        <f t="shared" si="135"/>
        <v>1.6886890630966982</v>
      </c>
      <c r="F174" s="66">
        <f t="shared" si="135"/>
        <v>1.6886890630966982</v>
      </c>
      <c r="G174" s="66">
        <f t="shared" si="135"/>
        <v>1.6886890630966982</v>
      </c>
      <c r="H174" s="66">
        <f t="shared" si="135"/>
        <v>1.6886890630966982</v>
      </c>
      <c r="I174" s="66">
        <f t="shared" si="135"/>
        <v>1.6886890630966982</v>
      </c>
      <c r="J174" s="66">
        <f t="shared" si="135"/>
        <v>1.6886890630966982</v>
      </c>
      <c r="K174" s="66">
        <f t="shared" si="135"/>
        <v>1.6886890630966982</v>
      </c>
      <c r="L174" s="66">
        <f t="shared" si="135"/>
        <v>1.6886890630966982</v>
      </c>
      <c r="M174" s="66">
        <f t="shared" si="135"/>
        <v>1.6886890630966982</v>
      </c>
      <c r="N174" s="66">
        <f t="shared" si="135"/>
        <v>1.6886890630966982</v>
      </c>
      <c r="O174" s="66">
        <f t="shared" si="135"/>
        <v>1.6886890630966982</v>
      </c>
      <c r="P174" s="66">
        <f t="shared" si="135"/>
        <v>1.6886890630966982</v>
      </c>
      <c r="Q174" s="66">
        <f t="shared" si="135"/>
        <v>1.6886890630966982</v>
      </c>
      <c r="R174" s="66">
        <f t="shared" si="135"/>
        <v>1.6886890630966982</v>
      </c>
      <c r="S174" s="66">
        <f t="shared" si="135"/>
        <v>1.6886890630966982</v>
      </c>
      <c r="T174" s="66">
        <f t="shared" si="135"/>
        <v>1.6886890630966982</v>
      </c>
      <c r="U174" s="66">
        <f t="shared" si="135"/>
        <v>1.6886890630966982</v>
      </c>
      <c r="V174" s="66">
        <f t="shared" si="135"/>
        <v>1.6886890630966982</v>
      </c>
      <c r="W174" s="66">
        <f t="shared" si="135"/>
        <v>1.6886890630966982</v>
      </c>
      <c r="X174" s="66">
        <f t="shared" si="135"/>
        <v>1.6886890630966982</v>
      </c>
      <c r="Y174" s="66">
        <f t="shared" si="135"/>
        <v>1.6886890630966982</v>
      </c>
      <c r="Z174" s="66">
        <f t="shared" si="135"/>
        <v>1.6886890630966982</v>
      </c>
      <c r="AA174" s="66">
        <f t="shared" si="135"/>
        <v>1.6886890630966982</v>
      </c>
      <c r="AB174" s="66">
        <f t="shared" si="135"/>
        <v>1.6886890630966982</v>
      </c>
      <c r="AC174" s="66">
        <f t="shared" si="135"/>
        <v>1.6886890630966982</v>
      </c>
    </row>
    <row r="175" spans="1:29" x14ac:dyDescent="0.25">
      <c r="A175" s="30" t="str">
        <f t="shared" si="128"/>
        <v>Fuel Cost</v>
      </c>
      <c r="B175" s="66">
        <f>B145*B146*B153/B153</f>
        <v>38.813806562126089</v>
      </c>
      <c r="C175" s="66">
        <f t="shared" ref="C175:AC175" si="136">C145*C146*C153/C153</f>
        <v>38.811127132690224</v>
      </c>
      <c r="D175" s="66">
        <f t="shared" si="136"/>
        <v>38.807291589132269</v>
      </c>
      <c r="E175" s="66">
        <f t="shared" si="136"/>
        <v>38.801804574345127</v>
      </c>
      <c r="F175" s="66">
        <f t="shared" si="136"/>
        <v>38.79396241944437</v>
      </c>
      <c r="G175" s="66">
        <f t="shared" si="136"/>
        <v>38.782769969641045</v>
      </c>
      <c r="H175" s="66">
        <f t="shared" si="136"/>
        <v>38.766829175312601</v>
      </c>
      <c r="I175" s="66">
        <f t="shared" si="136"/>
        <v>38.744195532507597</v>
      </c>
      <c r="J175" s="66">
        <f t="shared" si="136"/>
        <v>38.712205053356911</v>
      </c>
      <c r="K175" s="66">
        <f t="shared" si="136"/>
        <v>38.667290997785422</v>
      </c>
      <c r="L175" s="66">
        <f t="shared" si="136"/>
        <v>38.604844156233987</v>
      </c>
      <c r="M175" s="66">
        <f t="shared" si="136"/>
        <v>38.519231872607968</v>
      </c>
      <c r="N175" s="66">
        <f t="shared" si="136"/>
        <v>38.404178137256018</v>
      </c>
      <c r="O175" s="66">
        <f t="shared" si="136"/>
        <v>38.253780678403992</v>
      </c>
      <c r="P175" s="66">
        <f t="shared" si="136"/>
        <v>38.064380499449811</v>
      </c>
      <c r="Q175" s="66">
        <f t="shared" si="136"/>
        <v>37.837105721437787</v>
      </c>
      <c r="R175" s="66">
        <f t="shared" si="136"/>
        <v>37.580109390239954</v>
      </c>
      <c r="S175" s="66">
        <f t="shared" si="136"/>
        <v>37.308799417823828</v>
      </c>
      <c r="T175" s="66">
        <f t="shared" si="136"/>
        <v>37.04282831819377</v>
      </c>
      <c r="U175" s="66">
        <f t="shared" si="136"/>
        <v>36.800709351569914</v>
      </c>
      <c r="V175" s="66">
        <f t="shared" si="136"/>
        <v>36.594942708343517</v>
      </c>
      <c r="W175" s="66">
        <f t="shared" si="136"/>
        <v>36.430160477837113</v>
      </c>
      <c r="X175" s="66">
        <f t="shared" si="136"/>
        <v>36.304424322403428</v>
      </c>
      <c r="Y175" s="66">
        <f t="shared" si="136"/>
        <v>36.211998164105417</v>
      </c>
      <c r="Z175" s="66">
        <f t="shared" si="136"/>
        <v>36.145914798020549</v>
      </c>
      <c r="AA175" s="66">
        <f t="shared" si="136"/>
        <v>36.099600117563483</v>
      </c>
      <c r="AB175" s="66">
        <f t="shared" si="136"/>
        <v>36.067593826644895</v>
      </c>
      <c r="AC175" s="66">
        <f t="shared" si="136"/>
        <v>36.045690326834659</v>
      </c>
    </row>
    <row r="176" spans="1:29" ht="15.75" thickBot="1" x14ac:dyDescent="0.3">
      <c r="A176" s="59" t="str">
        <f>A127</f>
        <v>Emission Cost</v>
      </c>
      <c r="B176" s="66">
        <f>B147</f>
        <v>17.334785285869845</v>
      </c>
      <c r="C176" s="66">
        <f t="shared" ref="C176:AC176" si="137">C147</f>
        <v>17.371592778833971</v>
      </c>
      <c r="D176" s="66">
        <f t="shared" si="137"/>
        <v>17.424281885191313</v>
      </c>
      <c r="E176" s="66">
        <f t="shared" si="137"/>
        <v>17.499657357099085</v>
      </c>
      <c r="F176" s="66">
        <f t="shared" si="137"/>
        <v>17.607385538878944</v>
      </c>
      <c r="G176" s="66">
        <f t="shared" si="137"/>
        <v>17.761136935304318</v>
      </c>
      <c r="H176" s="66">
        <f t="shared" si="137"/>
        <v>17.980116643160411</v>
      </c>
      <c r="I176" s="66">
        <f t="shared" si="137"/>
        <v>18.291036437183369</v>
      </c>
      <c r="J176" s="66">
        <f t="shared" si="137"/>
        <v>18.730491688550217</v>
      </c>
      <c r="K176" s="66">
        <f t="shared" si="137"/>
        <v>19.347478933039792</v>
      </c>
      <c r="L176" s="66">
        <f t="shared" si="137"/>
        <v>20.2053151761856</v>
      </c>
      <c r="M176" s="66">
        <f t="shared" si="137"/>
        <v>21.381376573820816</v>
      </c>
      <c r="N176" s="66">
        <f t="shared" si="137"/>
        <v>22.961877070598074</v>
      </c>
      <c r="O176" s="66">
        <f t="shared" si="137"/>
        <v>25.027896550126819</v>
      </c>
      <c r="P176" s="66">
        <f t="shared" si="137"/>
        <v>27.629698881977127</v>
      </c>
      <c r="Q176" s="66">
        <f t="shared" si="137"/>
        <v>30.751786995449869</v>
      </c>
      <c r="R176" s="66">
        <f t="shared" si="137"/>
        <v>34.282161979674356</v>
      </c>
      <c r="S176" s="66">
        <f t="shared" si="137"/>
        <v>38.009164365756064</v>
      </c>
      <c r="T176" s="66">
        <f t="shared" si="137"/>
        <v>41.662826316042121</v>
      </c>
      <c r="U176" s="66">
        <f t="shared" si="137"/>
        <v>44.988829994737316</v>
      </c>
      <c r="V176" s="66">
        <f t="shared" si="137"/>
        <v>47.815459489596307</v>
      </c>
      <c r="W176" s="66">
        <f t="shared" si="137"/>
        <v>50.07908349431699</v>
      </c>
      <c r="X176" s="66">
        <f t="shared" si="137"/>
        <v>51.806329076721653</v>
      </c>
      <c r="Y176" s="66">
        <f t="shared" si="137"/>
        <v>53.075993105085033</v>
      </c>
      <c r="Z176" s="66">
        <f t="shared" si="137"/>
        <v>53.98378451756151</v>
      </c>
      <c r="AA176" s="66">
        <f t="shared" si="137"/>
        <v>54.620012235388991</v>
      </c>
      <c r="AB176" s="66">
        <f t="shared" si="137"/>
        <v>55.059684694019481</v>
      </c>
      <c r="AC176" s="66">
        <f t="shared" si="137"/>
        <v>55.360574467179326</v>
      </c>
    </row>
    <row r="177" spans="1:29" ht="15.75" thickBot="1" x14ac:dyDescent="0.3">
      <c r="A177" s="31" t="s">
        <v>63</v>
      </c>
      <c r="B177" s="76">
        <f>B168+B169+B170-B171+B172+B173+B174+B175+B176</f>
        <v>84.36150664949885</v>
      </c>
      <c r="C177" s="76">
        <f t="shared" ref="C177:AC177" si="138">C168+C169+C170-C171+C172+C173+C174+C175+C176</f>
        <v>84.396099258619856</v>
      </c>
      <c r="D177" s="76">
        <f t="shared" si="138"/>
        <v>84.445617808088343</v>
      </c>
      <c r="E177" s="76">
        <f t="shared" si="138"/>
        <v>84.516457575403081</v>
      </c>
      <c r="F177" s="76">
        <f t="shared" si="138"/>
        <v>84.617703234466589</v>
      </c>
      <c r="G177" s="76">
        <f t="shared" si="138"/>
        <v>84.762202670044459</v>
      </c>
      <c r="H177" s="76">
        <f t="shared" si="138"/>
        <v>84.968005315899262</v>
      </c>
      <c r="I177" s="76">
        <f t="shared" si="138"/>
        <v>85.260215570835797</v>
      </c>
      <c r="J177" s="76">
        <f t="shared" si="138"/>
        <v>85.673226686575887</v>
      </c>
      <c r="K177" s="76">
        <f t="shared" si="138"/>
        <v>86.253086841737243</v>
      </c>
      <c r="L177" s="76">
        <f t="shared" si="138"/>
        <v>87.059302953166025</v>
      </c>
      <c r="M177" s="76">
        <f t="shared" si="138"/>
        <v>88.164595081330205</v>
      </c>
      <c r="N177" s="76">
        <f t="shared" si="138"/>
        <v>89.64998926326669</v>
      </c>
      <c r="O177" s="76">
        <f t="shared" si="138"/>
        <v>91.591686416109752</v>
      </c>
      <c r="P177" s="76">
        <f t="shared" si="138"/>
        <v>94.036925790700053</v>
      </c>
      <c r="Q177" s="76">
        <f t="shared" si="138"/>
        <v>96.971142849601165</v>
      </c>
      <c r="R177" s="76">
        <f t="shared" si="138"/>
        <v>100.28907819496425</v>
      </c>
      <c r="S177" s="76">
        <f t="shared" si="138"/>
        <v>103.79180892591789</v>
      </c>
      <c r="T177" s="76">
        <f t="shared" si="138"/>
        <v>107.22561246776044</v>
      </c>
      <c r="U177" s="76">
        <f t="shared" si="138"/>
        <v>110.35147451178199</v>
      </c>
      <c r="V177" s="76">
        <f t="shared" si="138"/>
        <v>113.00801211788523</v>
      </c>
      <c r="W177" s="76">
        <f t="shared" si="138"/>
        <v>115.13542298144395</v>
      </c>
      <c r="X177" s="76">
        <f t="shared" si="138"/>
        <v>116.75873189157141</v>
      </c>
      <c r="Y177" s="76">
        <f t="shared" si="138"/>
        <v>117.95199413007788</v>
      </c>
      <c r="Z177" s="76">
        <f t="shared" si="138"/>
        <v>118.8051593680857</v>
      </c>
      <c r="AA177" s="76">
        <f t="shared" si="138"/>
        <v>119.40310220478503</v>
      </c>
      <c r="AB177" s="76">
        <f t="shared" si="138"/>
        <v>119.81631745738326</v>
      </c>
      <c r="AC177" s="76">
        <f t="shared" si="138"/>
        <v>120.0991012460421</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39">A156</f>
        <v>Capex vehicle</v>
      </c>
      <c r="B180" s="65">
        <f>((1+B141)^B148)*B141/(((1+B141)^B148)-1)*(B137)/B153/(B150)</f>
        <v>1.0347449498978036E-3</v>
      </c>
      <c r="C180" s="65">
        <f t="shared" ref="C180:AC180" si="140">((1+C141)^C148)*C141/(((1+C141)^C148)-1)*(C137)/C153/(C150)</f>
        <v>1.0347449498978036E-3</v>
      </c>
      <c r="D180" s="65">
        <f t="shared" si="140"/>
        <v>1.0347449498978036E-3</v>
      </c>
      <c r="E180" s="65">
        <f t="shared" si="140"/>
        <v>1.0347449498978036E-3</v>
      </c>
      <c r="F180" s="65">
        <f t="shared" si="140"/>
        <v>1.0347449498978036E-3</v>
      </c>
      <c r="G180" s="65">
        <f t="shared" si="140"/>
        <v>1.0347449498978036E-3</v>
      </c>
      <c r="H180" s="65">
        <f t="shared" si="140"/>
        <v>1.0347449498978036E-3</v>
      </c>
      <c r="I180" s="65">
        <f t="shared" si="140"/>
        <v>1.0347449498978036E-3</v>
      </c>
      <c r="J180" s="65">
        <f t="shared" si="140"/>
        <v>1.0347449498978036E-3</v>
      </c>
      <c r="K180" s="65">
        <f t="shared" si="140"/>
        <v>1.0347449498978036E-3</v>
      </c>
      <c r="L180" s="65">
        <f t="shared" si="140"/>
        <v>1.0347449498978036E-3</v>
      </c>
      <c r="M180" s="65">
        <f t="shared" si="140"/>
        <v>1.0347449498978036E-3</v>
      </c>
      <c r="N180" s="65">
        <f t="shared" si="140"/>
        <v>1.0347449498978036E-3</v>
      </c>
      <c r="O180" s="65">
        <f t="shared" si="140"/>
        <v>1.0347449498978036E-3</v>
      </c>
      <c r="P180" s="65">
        <f t="shared" si="140"/>
        <v>1.0347449498978036E-3</v>
      </c>
      <c r="Q180" s="65">
        <f t="shared" si="140"/>
        <v>1.0347449498978036E-3</v>
      </c>
      <c r="R180" s="65">
        <f t="shared" si="140"/>
        <v>1.0347449498978036E-3</v>
      </c>
      <c r="S180" s="65">
        <f t="shared" si="140"/>
        <v>1.0347449498978036E-3</v>
      </c>
      <c r="T180" s="65">
        <f t="shared" si="140"/>
        <v>1.0347449498978036E-3</v>
      </c>
      <c r="U180" s="65">
        <f t="shared" si="140"/>
        <v>1.0347449498978036E-3</v>
      </c>
      <c r="V180" s="65">
        <f t="shared" si="140"/>
        <v>1.0347449498978036E-3</v>
      </c>
      <c r="W180" s="65">
        <f t="shared" si="140"/>
        <v>1.0347449498978036E-3</v>
      </c>
      <c r="X180" s="65">
        <f t="shared" si="140"/>
        <v>1.0347449498978036E-3</v>
      </c>
      <c r="Y180" s="65">
        <f t="shared" si="140"/>
        <v>1.0347449498978036E-3</v>
      </c>
      <c r="Z180" s="65">
        <f t="shared" si="140"/>
        <v>1.0347449498978036E-3</v>
      </c>
      <c r="AA180" s="65">
        <f t="shared" si="140"/>
        <v>1.0347449498978036E-3</v>
      </c>
      <c r="AB180" s="65">
        <f t="shared" si="140"/>
        <v>1.0347449498978036E-3</v>
      </c>
      <c r="AC180" s="65">
        <f t="shared" si="140"/>
        <v>1.0347449498978036E-3</v>
      </c>
    </row>
    <row r="181" spans="1:29" x14ac:dyDescent="0.25">
      <c r="A181" s="30" t="str">
        <f t="shared" si="139"/>
        <v>Residual value (vehicle)</v>
      </c>
      <c r="B181" s="68">
        <f>((1+B141)^B148)*B141/(((1+B141)^B148)-1)*(B138)/B153/(B150)</f>
        <v>-1.0336086682377807E-4</v>
      </c>
      <c r="C181" s="68">
        <f t="shared" ref="C181:AC181" si="141">((1+C141)^C148)*C141/(((1+C141)^C148)-1)*(C138)/C153/(C150)</f>
        <v>-1.0331170855999495E-4</v>
      </c>
      <c r="D181" s="68">
        <f t="shared" si="141"/>
        <v>-1.0324133960030145E-4</v>
      </c>
      <c r="E181" s="68">
        <f t="shared" si="141"/>
        <v>-1.0314067185489343E-4</v>
      </c>
      <c r="F181" s="68">
        <f t="shared" si="141"/>
        <v>-1.0299679543326449E-4</v>
      </c>
      <c r="G181" s="68">
        <f t="shared" si="141"/>
        <v>-1.0279145268661591E-4</v>
      </c>
      <c r="H181" s="68">
        <f t="shared" si="141"/>
        <v>-1.0249899423929835E-4</v>
      </c>
      <c r="I181" s="68">
        <f t="shared" si="141"/>
        <v>-1.0208374516854875E-4</v>
      </c>
      <c r="J181" s="68">
        <f t="shared" si="141"/>
        <v>-1.0149683050993223E-4</v>
      </c>
      <c r="K181" s="68">
        <f t="shared" si="141"/>
        <v>-1.0067281291805218E-4</v>
      </c>
      <c r="L181" s="68">
        <f t="shared" si="141"/>
        <v>-9.9527129337690295E-5</v>
      </c>
      <c r="M181" s="68">
        <f t="shared" si="141"/>
        <v>-9.7956440009122124E-5</v>
      </c>
      <c r="N181" s="68">
        <f t="shared" si="141"/>
        <v>-9.5845601859790468E-5</v>
      </c>
      <c r="O181" s="68">
        <f t="shared" si="141"/>
        <v>-9.3086328614673487E-5</v>
      </c>
      <c r="P181" s="68">
        <f t="shared" si="141"/>
        <v>-8.9611490340159677E-5</v>
      </c>
      <c r="Q181" s="68">
        <f t="shared" si="141"/>
        <v>-8.5441784155991385E-5</v>
      </c>
      <c r="R181" s="68">
        <f t="shared" si="141"/>
        <v>-8.0726790257955685E-5</v>
      </c>
      <c r="S181" s="68">
        <f t="shared" si="141"/>
        <v>-7.5749190544932557E-5</v>
      </c>
      <c r="T181" s="68">
        <f t="shared" si="141"/>
        <v>-7.086954068392259E-5</v>
      </c>
      <c r="U181" s="68">
        <f t="shared" si="141"/>
        <v>-6.6427494974906487E-5</v>
      </c>
      <c r="V181" s="68">
        <f t="shared" si="141"/>
        <v>-6.2652388681716054E-5</v>
      </c>
      <c r="W181" s="68">
        <f t="shared" si="141"/>
        <v>-5.9629204624102501E-5</v>
      </c>
      <c r="X181" s="68">
        <f t="shared" si="141"/>
        <v>-5.7322381009659713E-5</v>
      </c>
      <c r="Y181" s="68">
        <f t="shared" si="141"/>
        <v>-5.5626680645522941E-5</v>
      </c>
      <c r="Z181" s="68">
        <f t="shared" si="141"/>
        <v>-5.4414279416293167E-5</v>
      </c>
      <c r="AA181" s="68">
        <f t="shared" si="141"/>
        <v>-5.3564565201592909E-5</v>
      </c>
      <c r="AB181" s="68">
        <f t="shared" si="141"/>
        <v>-5.2977360451717727E-5</v>
      </c>
      <c r="AC181" s="68">
        <f t="shared" si="141"/>
        <v>-5.2575506979843073E-5</v>
      </c>
    </row>
    <row r="182" spans="1:29" x14ac:dyDescent="0.25">
      <c r="A182" s="30" t="str">
        <f t="shared" si="139"/>
        <v>Capex costumization</v>
      </c>
      <c r="B182" s="66">
        <f>((1+B141)^B149)*B141/(((1+B141)^B149)-1)*(B139)/B153/(B150)</f>
        <v>3.4491498329926784E-4</v>
      </c>
      <c r="C182" s="66">
        <f t="shared" ref="C182:AC182" si="142">((1+C141)^C149)*C141/(((1+C141)^C149)-1)*(C139)/C153/(C150)</f>
        <v>3.4491498329926784E-4</v>
      </c>
      <c r="D182" s="66">
        <f t="shared" si="142"/>
        <v>3.4491498329926784E-4</v>
      </c>
      <c r="E182" s="66">
        <f t="shared" si="142"/>
        <v>3.4491498329926784E-4</v>
      </c>
      <c r="F182" s="66">
        <f t="shared" si="142"/>
        <v>3.4491498329926784E-4</v>
      </c>
      <c r="G182" s="66">
        <f t="shared" si="142"/>
        <v>3.4491498329926784E-4</v>
      </c>
      <c r="H182" s="66">
        <f t="shared" si="142"/>
        <v>3.4491498329926784E-4</v>
      </c>
      <c r="I182" s="66">
        <f t="shared" si="142"/>
        <v>3.4491498329926784E-4</v>
      </c>
      <c r="J182" s="66">
        <f t="shared" si="142"/>
        <v>3.4491498329926784E-4</v>
      </c>
      <c r="K182" s="66">
        <f t="shared" si="142"/>
        <v>3.4491498329926784E-4</v>
      </c>
      <c r="L182" s="66">
        <f t="shared" si="142"/>
        <v>3.4491498329926784E-4</v>
      </c>
      <c r="M182" s="66">
        <f t="shared" si="142"/>
        <v>3.4491498329926784E-4</v>
      </c>
      <c r="N182" s="66">
        <f t="shared" si="142"/>
        <v>3.4491498329926784E-4</v>
      </c>
      <c r="O182" s="66">
        <f t="shared" si="142"/>
        <v>3.4491498329926784E-4</v>
      </c>
      <c r="P182" s="66">
        <f t="shared" si="142"/>
        <v>3.4491498329926784E-4</v>
      </c>
      <c r="Q182" s="66">
        <f t="shared" si="142"/>
        <v>3.4491498329926784E-4</v>
      </c>
      <c r="R182" s="66">
        <f t="shared" si="142"/>
        <v>3.4491498329926784E-4</v>
      </c>
      <c r="S182" s="66">
        <f t="shared" si="142"/>
        <v>3.4491498329926784E-4</v>
      </c>
      <c r="T182" s="66">
        <f t="shared" si="142"/>
        <v>3.4491498329926784E-4</v>
      </c>
      <c r="U182" s="66">
        <f t="shared" si="142"/>
        <v>3.4491498329926784E-4</v>
      </c>
      <c r="V182" s="66">
        <f t="shared" si="142"/>
        <v>3.4491498329926784E-4</v>
      </c>
      <c r="W182" s="66">
        <f t="shared" si="142"/>
        <v>3.4491498329926784E-4</v>
      </c>
      <c r="X182" s="66">
        <f t="shared" si="142"/>
        <v>3.4491498329926784E-4</v>
      </c>
      <c r="Y182" s="66">
        <f t="shared" si="142"/>
        <v>3.4491498329926784E-4</v>
      </c>
      <c r="Z182" s="66">
        <f t="shared" si="142"/>
        <v>3.4491498329926784E-4</v>
      </c>
      <c r="AA182" s="66">
        <f t="shared" si="142"/>
        <v>3.4491498329926784E-4</v>
      </c>
      <c r="AB182" s="66">
        <f t="shared" si="142"/>
        <v>3.4491498329926784E-4</v>
      </c>
      <c r="AC182" s="66">
        <f t="shared" si="142"/>
        <v>3.4491498329926784E-4</v>
      </c>
    </row>
    <row r="183" spans="1:29" x14ac:dyDescent="0.25">
      <c r="A183" s="30" t="str">
        <f t="shared" si="139"/>
        <v>Residual value (costumization)</v>
      </c>
      <c r="B183" s="69">
        <f>((1+B141)^B149)*B141/(((1+B141)^B149)-1)*(B140)/B153/(B150)</f>
        <v>-3.4491498329926788E-5</v>
      </c>
      <c r="C183" s="69">
        <f t="shared" ref="C183:AC183" si="143">((1+C141)^C149)*C141/(((1+C141)^C149)-1)*(C140)/C153/(C150)</f>
        <v>-3.4491498329926788E-5</v>
      </c>
      <c r="D183" s="69">
        <f t="shared" si="143"/>
        <v>-3.4491498329926788E-5</v>
      </c>
      <c r="E183" s="69">
        <f t="shared" si="143"/>
        <v>-3.4491498329926788E-5</v>
      </c>
      <c r="F183" s="69">
        <f t="shared" si="143"/>
        <v>-3.4491498329926788E-5</v>
      </c>
      <c r="G183" s="69">
        <f t="shared" si="143"/>
        <v>-3.4491498329926788E-5</v>
      </c>
      <c r="H183" s="69">
        <f t="shared" si="143"/>
        <v>-3.4491498329926788E-5</v>
      </c>
      <c r="I183" s="69">
        <f t="shared" si="143"/>
        <v>-3.4491498329926788E-5</v>
      </c>
      <c r="J183" s="69">
        <f t="shared" si="143"/>
        <v>-3.4491498329926788E-5</v>
      </c>
      <c r="K183" s="69">
        <f t="shared" si="143"/>
        <v>-3.4491498329926788E-5</v>
      </c>
      <c r="L183" s="69">
        <f t="shared" si="143"/>
        <v>-3.4491498329926788E-5</v>
      </c>
      <c r="M183" s="69">
        <f t="shared" si="143"/>
        <v>-3.4491498329926788E-5</v>
      </c>
      <c r="N183" s="69">
        <f t="shared" si="143"/>
        <v>-3.4491498329926788E-5</v>
      </c>
      <c r="O183" s="69">
        <f t="shared" si="143"/>
        <v>-3.4491498329926788E-5</v>
      </c>
      <c r="P183" s="69">
        <f t="shared" si="143"/>
        <v>-3.4491498329926788E-5</v>
      </c>
      <c r="Q183" s="69">
        <f t="shared" si="143"/>
        <v>-3.4491498329926788E-5</v>
      </c>
      <c r="R183" s="69">
        <f t="shared" si="143"/>
        <v>-3.4491498329926788E-5</v>
      </c>
      <c r="S183" s="69">
        <f t="shared" si="143"/>
        <v>-3.4491498329926788E-5</v>
      </c>
      <c r="T183" s="69">
        <f t="shared" si="143"/>
        <v>-3.4491498329926788E-5</v>
      </c>
      <c r="U183" s="69">
        <f t="shared" si="143"/>
        <v>-3.4491498329926788E-5</v>
      </c>
      <c r="V183" s="69">
        <f t="shared" si="143"/>
        <v>-3.4491498329926788E-5</v>
      </c>
      <c r="W183" s="69">
        <f t="shared" si="143"/>
        <v>-3.4491498329926788E-5</v>
      </c>
      <c r="X183" s="69">
        <f t="shared" si="143"/>
        <v>-3.4491498329926788E-5</v>
      </c>
      <c r="Y183" s="69">
        <f t="shared" si="143"/>
        <v>-3.4491498329926788E-5</v>
      </c>
      <c r="Z183" s="69">
        <f t="shared" si="143"/>
        <v>-3.4491498329926788E-5</v>
      </c>
      <c r="AA183" s="69">
        <f t="shared" si="143"/>
        <v>-3.4491498329926788E-5</v>
      </c>
      <c r="AB183" s="69">
        <f t="shared" si="143"/>
        <v>-3.4491498329926788E-5</v>
      </c>
      <c r="AC183" s="69">
        <f t="shared" si="143"/>
        <v>-3.4491498329926788E-5</v>
      </c>
    </row>
    <row r="184" spans="1:29" x14ac:dyDescent="0.25">
      <c r="A184" s="30" t="str">
        <f t="shared" si="139"/>
        <v>Opex fix (admin, crew, insurance)</v>
      </c>
      <c r="B184" s="66">
        <f>B142/B153/(B150)</f>
        <v>1.0654632223259673E-3</v>
      </c>
      <c r="C184" s="66">
        <f t="shared" ref="C184:AC184" si="144">C142/C153/(C150)</f>
        <v>1.0654632223259673E-3</v>
      </c>
      <c r="D184" s="66">
        <f t="shared" si="144"/>
        <v>1.0654632223259673E-3</v>
      </c>
      <c r="E184" s="66">
        <f t="shared" si="144"/>
        <v>1.0654632223259673E-3</v>
      </c>
      <c r="F184" s="66">
        <f t="shared" si="144"/>
        <v>1.0654632223259673E-3</v>
      </c>
      <c r="G184" s="66">
        <f t="shared" si="144"/>
        <v>1.0654632223259673E-3</v>
      </c>
      <c r="H184" s="66">
        <f t="shared" si="144"/>
        <v>1.0654632223259673E-3</v>
      </c>
      <c r="I184" s="66">
        <f t="shared" si="144"/>
        <v>1.0654632223259673E-3</v>
      </c>
      <c r="J184" s="66">
        <f t="shared" si="144"/>
        <v>1.0654632223259673E-3</v>
      </c>
      <c r="K184" s="66">
        <f t="shared" si="144"/>
        <v>1.0654632223259673E-3</v>
      </c>
      <c r="L184" s="66">
        <f t="shared" si="144"/>
        <v>1.0654632223259673E-3</v>
      </c>
      <c r="M184" s="66">
        <f t="shared" si="144"/>
        <v>1.0654632223259673E-3</v>
      </c>
      <c r="N184" s="66">
        <f t="shared" si="144"/>
        <v>1.0654632223259673E-3</v>
      </c>
      <c r="O184" s="66">
        <f t="shared" si="144"/>
        <v>1.0654632223259673E-3</v>
      </c>
      <c r="P184" s="66">
        <f t="shared" si="144"/>
        <v>1.0654632223259673E-3</v>
      </c>
      <c r="Q184" s="66">
        <f t="shared" si="144"/>
        <v>1.0654632223259673E-3</v>
      </c>
      <c r="R184" s="66">
        <f t="shared" si="144"/>
        <v>1.0654632223259673E-3</v>
      </c>
      <c r="S184" s="66">
        <f t="shared" si="144"/>
        <v>1.0654632223259673E-3</v>
      </c>
      <c r="T184" s="66">
        <f t="shared" si="144"/>
        <v>1.0654632223259673E-3</v>
      </c>
      <c r="U184" s="66">
        <f t="shared" si="144"/>
        <v>1.0654632223259673E-3</v>
      </c>
      <c r="V184" s="66">
        <f t="shared" si="144"/>
        <v>1.0654632223259673E-3</v>
      </c>
      <c r="W184" s="66">
        <f t="shared" si="144"/>
        <v>1.0654632223259673E-3</v>
      </c>
      <c r="X184" s="66">
        <f t="shared" si="144"/>
        <v>1.0654632223259673E-3</v>
      </c>
      <c r="Y184" s="66">
        <f t="shared" si="144"/>
        <v>1.0654632223259673E-3</v>
      </c>
      <c r="Z184" s="66">
        <f t="shared" si="144"/>
        <v>1.0654632223259673E-3</v>
      </c>
      <c r="AA184" s="66">
        <f t="shared" si="144"/>
        <v>1.0654632223259673E-3</v>
      </c>
      <c r="AB184" s="66">
        <f t="shared" si="144"/>
        <v>1.0654632223259673E-3</v>
      </c>
      <c r="AC184" s="66">
        <f t="shared" si="144"/>
        <v>1.0654632223259673E-3</v>
      </c>
    </row>
    <row r="185" spans="1:29" x14ac:dyDescent="0.25">
      <c r="A185" s="30" t="str">
        <f t="shared" si="139"/>
        <v>Opex maintenance &amp; repair</v>
      </c>
      <c r="B185" s="66">
        <f>B143/B153/(B150)</f>
        <v>4.305425874053325E-4</v>
      </c>
      <c r="C185" s="66">
        <f t="shared" ref="C185:AC185" si="145">C143/C153/(C150)</f>
        <v>4.305425874053325E-4</v>
      </c>
      <c r="D185" s="66">
        <f t="shared" si="145"/>
        <v>4.305425874053325E-4</v>
      </c>
      <c r="E185" s="66">
        <f t="shared" si="145"/>
        <v>4.305425874053325E-4</v>
      </c>
      <c r="F185" s="66">
        <f t="shared" si="145"/>
        <v>4.305425874053325E-4</v>
      </c>
      <c r="G185" s="66">
        <f t="shared" si="145"/>
        <v>4.305425874053325E-4</v>
      </c>
      <c r="H185" s="66">
        <f t="shared" si="145"/>
        <v>4.305425874053325E-4</v>
      </c>
      <c r="I185" s="66">
        <f t="shared" si="145"/>
        <v>4.305425874053325E-4</v>
      </c>
      <c r="J185" s="66">
        <f t="shared" si="145"/>
        <v>4.305425874053325E-4</v>
      </c>
      <c r="K185" s="66">
        <f t="shared" si="145"/>
        <v>4.305425874053325E-4</v>
      </c>
      <c r="L185" s="66">
        <f t="shared" si="145"/>
        <v>4.305425874053325E-4</v>
      </c>
      <c r="M185" s="66">
        <f t="shared" si="145"/>
        <v>4.305425874053325E-4</v>
      </c>
      <c r="N185" s="66">
        <f t="shared" si="145"/>
        <v>4.305425874053325E-4</v>
      </c>
      <c r="O185" s="66">
        <f t="shared" si="145"/>
        <v>4.305425874053325E-4</v>
      </c>
      <c r="P185" s="66">
        <f t="shared" si="145"/>
        <v>4.305425874053325E-4</v>
      </c>
      <c r="Q185" s="66">
        <f t="shared" si="145"/>
        <v>4.305425874053325E-4</v>
      </c>
      <c r="R185" s="66">
        <f t="shared" si="145"/>
        <v>4.305425874053325E-4</v>
      </c>
      <c r="S185" s="66">
        <f t="shared" si="145"/>
        <v>4.305425874053325E-4</v>
      </c>
      <c r="T185" s="66">
        <f t="shared" si="145"/>
        <v>4.305425874053325E-4</v>
      </c>
      <c r="U185" s="66">
        <f t="shared" si="145"/>
        <v>4.305425874053325E-4</v>
      </c>
      <c r="V185" s="66">
        <f t="shared" si="145"/>
        <v>4.305425874053325E-4</v>
      </c>
      <c r="W185" s="66">
        <f t="shared" si="145"/>
        <v>4.305425874053325E-4</v>
      </c>
      <c r="X185" s="66">
        <f t="shared" si="145"/>
        <v>4.305425874053325E-4</v>
      </c>
      <c r="Y185" s="66">
        <f t="shared" si="145"/>
        <v>4.305425874053325E-4</v>
      </c>
      <c r="Z185" s="66">
        <f t="shared" si="145"/>
        <v>4.305425874053325E-4</v>
      </c>
      <c r="AA185" s="66">
        <f t="shared" si="145"/>
        <v>4.305425874053325E-4</v>
      </c>
      <c r="AB185" s="66">
        <f t="shared" si="145"/>
        <v>4.305425874053325E-4</v>
      </c>
      <c r="AC185" s="66">
        <f t="shared" si="145"/>
        <v>4.305425874053325E-4</v>
      </c>
    </row>
    <row r="186" spans="1:29" x14ac:dyDescent="0.25">
      <c r="A186" s="30" t="str">
        <f t="shared" si="139"/>
        <v>Opex var (mode-fees)</v>
      </c>
      <c r="B186" s="66">
        <f>B144*B153/B153/(B150)</f>
        <v>1.7869725535414797E-4</v>
      </c>
      <c r="C186" s="66">
        <f t="shared" ref="C186:AC186" si="146">C144*C153/C153/(C150)</f>
        <v>1.7869725535414797E-4</v>
      </c>
      <c r="D186" s="66">
        <f t="shared" si="146"/>
        <v>1.7869725535414797E-4</v>
      </c>
      <c r="E186" s="66">
        <f t="shared" si="146"/>
        <v>1.7869725535414797E-4</v>
      </c>
      <c r="F186" s="66">
        <f t="shared" si="146"/>
        <v>1.7869725535414797E-4</v>
      </c>
      <c r="G186" s="66">
        <f t="shared" si="146"/>
        <v>1.7869725535414797E-4</v>
      </c>
      <c r="H186" s="66">
        <f t="shared" si="146"/>
        <v>1.7869725535414797E-4</v>
      </c>
      <c r="I186" s="66">
        <f t="shared" si="146"/>
        <v>1.7869725535414797E-4</v>
      </c>
      <c r="J186" s="66">
        <f t="shared" si="146"/>
        <v>1.7869725535414797E-4</v>
      </c>
      <c r="K186" s="66">
        <f t="shared" si="146"/>
        <v>1.7869725535414797E-4</v>
      </c>
      <c r="L186" s="66">
        <f t="shared" si="146"/>
        <v>1.7869725535414797E-4</v>
      </c>
      <c r="M186" s="66">
        <f t="shared" si="146"/>
        <v>1.7869725535414797E-4</v>
      </c>
      <c r="N186" s="66">
        <f t="shared" si="146"/>
        <v>1.7869725535414797E-4</v>
      </c>
      <c r="O186" s="66">
        <f t="shared" si="146"/>
        <v>1.7869725535414797E-4</v>
      </c>
      <c r="P186" s="66">
        <f t="shared" si="146"/>
        <v>1.7869725535414797E-4</v>
      </c>
      <c r="Q186" s="66">
        <f t="shared" si="146"/>
        <v>1.7869725535414797E-4</v>
      </c>
      <c r="R186" s="66">
        <f t="shared" si="146"/>
        <v>1.7869725535414797E-4</v>
      </c>
      <c r="S186" s="66">
        <f t="shared" si="146"/>
        <v>1.7869725535414797E-4</v>
      </c>
      <c r="T186" s="66">
        <f t="shared" si="146"/>
        <v>1.7869725535414797E-4</v>
      </c>
      <c r="U186" s="66">
        <f t="shared" si="146"/>
        <v>1.7869725535414797E-4</v>
      </c>
      <c r="V186" s="66">
        <f t="shared" si="146"/>
        <v>1.7869725535414797E-4</v>
      </c>
      <c r="W186" s="66">
        <f t="shared" si="146"/>
        <v>1.7869725535414797E-4</v>
      </c>
      <c r="X186" s="66">
        <f t="shared" si="146"/>
        <v>1.7869725535414797E-4</v>
      </c>
      <c r="Y186" s="66">
        <f t="shared" si="146"/>
        <v>1.7869725535414797E-4</v>
      </c>
      <c r="Z186" s="66">
        <f t="shared" si="146"/>
        <v>1.7869725535414797E-4</v>
      </c>
      <c r="AA186" s="66">
        <f t="shared" si="146"/>
        <v>1.7869725535414797E-4</v>
      </c>
      <c r="AB186" s="66">
        <f t="shared" si="146"/>
        <v>1.7869725535414797E-4</v>
      </c>
      <c r="AC186" s="66">
        <f t="shared" si="146"/>
        <v>1.7869725535414797E-4</v>
      </c>
    </row>
    <row r="187" spans="1:29" x14ac:dyDescent="0.25">
      <c r="A187" s="30" t="str">
        <f t="shared" si="139"/>
        <v>Fuel Cost</v>
      </c>
      <c r="B187" s="66">
        <f>B145*B146*B153/B153/(B150)</f>
        <v>4.1072811176853007E-3</v>
      </c>
      <c r="C187" s="66">
        <f t="shared" ref="C187:AC187" si="147">C145*C146*C153/C153/(C150)</f>
        <v>4.1069975801788601E-3</v>
      </c>
      <c r="D187" s="66">
        <f t="shared" si="147"/>
        <v>4.106591702553679E-3</v>
      </c>
      <c r="E187" s="66">
        <f t="shared" si="147"/>
        <v>4.1060110660682677E-3</v>
      </c>
      <c r="F187" s="66">
        <f t="shared" si="147"/>
        <v>4.1051812084068112E-3</v>
      </c>
      <c r="G187" s="66">
        <f t="shared" si="147"/>
        <v>4.1039968221842377E-3</v>
      </c>
      <c r="H187" s="66">
        <f t="shared" si="147"/>
        <v>4.1023099656415452E-3</v>
      </c>
      <c r="I187" s="66">
        <f t="shared" si="147"/>
        <v>4.0999148711648248E-3</v>
      </c>
      <c r="J187" s="66">
        <f t="shared" si="147"/>
        <v>4.0965296352758638E-3</v>
      </c>
      <c r="K187" s="66">
        <f t="shared" si="147"/>
        <v>4.0917768251624784E-3</v>
      </c>
      <c r="L187" s="66">
        <f t="shared" si="147"/>
        <v>4.0851686937813745E-3</v>
      </c>
      <c r="M187" s="66">
        <f t="shared" si="147"/>
        <v>4.076109192868568E-3</v>
      </c>
      <c r="N187" s="66">
        <f t="shared" si="147"/>
        <v>4.0639341944186261E-3</v>
      </c>
      <c r="O187" s="66">
        <f t="shared" si="147"/>
        <v>4.0480191194078299E-3</v>
      </c>
      <c r="P187" s="66">
        <f t="shared" si="147"/>
        <v>4.0279767724285516E-3</v>
      </c>
      <c r="Q187" s="66">
        <f t="shared" si="147"/>
        <v>4.0039265313690777E-3</v>
      </c>
      <c r="R187" s="66">
        <f t="shared" si="147"/>
        <v>3.9767311524063443E-3</v>
      </c>
      <c r="S187" s="66">
        <f t="shared" si="147"/>
        <v>3.9480211024152199E-3</v>
      </c>
      <c r="T187" s="66">
        <f t="shared" si="147"/>
        <v>3.9198760125072774E-3</v>
      </c>
      <c r="U187" s="66">
        <f t="shared" si="147"/>
        <v>3.894254957838086E-3</v>
      </c>
      <c r="V187" s="66">
        <f t="shared" si="147"/>
        <v>3.8724807098776209E-3</v>
      </c>
      <c r="W187" s="66">
        <f t="shared" si="147"/>
        <v>3.8550434368081602E-3</v>
      </c>
      <c r="X187" s="66">
        <f t="shared" si="147"/>
        <v>3.8417380235347544E-3</v>
      </c>
      <c r="Y187" s="66">
        <f t="shared" si="147"/>
        <v>3.8319574776831127E-3</v>
      </c>
      <c r="Z187" s="66">
        <f t="shared" si="147"/>
        <v>3.8249645288910635E-3</v>
      </c>
      <c r="AA187" s="66">
        <f t="shared" si="147"/>
        <v>3.8200635045040725E-3</v>
      </c>
      <c r="AB187" s="66">
        <f t="shared" si="147"/>
        <v>3.8166765954121581E-3</v>
      </c>
      <c r="AC187" s="66">
        <f t="shared" si="147"/>
        <v>3.8143587647444083E-3</v>
      </c>
    </row>
    <row r="188" spans="1:29" x14ac:dyDescent="0.25">
      <c r="A188" s="59" t="str">
        <f>A151</f>
        <v>Market failure (av. utilization)</v>
      </c>
      <c r="B188" s="66">
        <f t="shared" ref="B188:AC188" si="148">B177/B151-B177/B150</f>
        <v>6.6434556731486717E-3</v>
      </c>
      <c r="C188" s="66">
        <f t="shared" si="148"/>
        <v>6.6461798357963214E-3</v>
      </c>
      <c r="D188" s="66">
        <f t="shared" si="148"/>
        <v>6.6500794139506027E-3</v>
      </c>
      <c r="E188" s="66">
        <f t="shared" si="148"/>
        <v>6.6556580347308936E-3</v>
      </c>
      <c r="F188" s="66">
        <f t="shared" si="148"/>
        <v>6.6636311148097222E-3</v>
      </c>
      <c r="G188" s="66">
        <f t="shared" si="148"/>
        <v>6.6750104231362677E-3</v>
      </c>
      <c r="H188" s="66">
        <f t="shared" si="148"/>
        <v>6.6912173498431815E-3</v>
      </c>
      <c r="I188" s="66">
        <f t="shared" si="148"/>
        <v>6.7142288624750732E-3</v>
      </c>
      <c r="J188" s="66">
        <f t="shared" si="148"/>
        <v>6.7467534243150704E-3</v>
      </c>
      <c r="K188" s="66">
        <f t="shared" si="148"/>
        <v>6.7924173223467242E-3</v>
      </c>
      <c r="L188" s="66">
        <f t="shared" si="148"/>
        <v>6.8559067171190171E-3</v>
      </c>
      <c r="M188" s="66">
        <f t="shared" si="148"/>
        <v>6.9429483022088508E-3</v>
      </c>
      <c r="N188" s="66">
        <f t="shared" si="148"/>
        <v>7.059922865570405E-3</v>
      </c>
      <c r="O188" s="66">
        <f t="shared" si="148"/>
        <v>7.2128312177076707E-3</v>
      </c>
      <c r="P188" s="66">
        <f t="shared" si="148"/>
        <v>7.4053934423585609E-3</v>
      </c>
      <c r="Q188" s="66">
        <f t="shared" si="148"/>
        <v>7.6364625844401075E-3</v>
      </c>
      <c r="R188" s="66">
        <f t="shared" si="148"/>
        <v>7.8977494825614759E-3</v>
      </c>
      <c r="S188" s="66">
        <f t="shared" si="148"/>
        <v>8.1735889888750399E-3</v>
      </c>
      <c r="T188" s="66">
        <f t="shared" si="148"/>
        <v>8.4440004896476802E-3</v>
      </c>
      <c r="U188" s="66">
        <f t="shared" si="148"/>
        <v>8.6901616448308693E-3</v>
      </c>
      <c r="V188" s="66">
        <f t="shared" si="148"/>
        <v>8.899363572713986E-3</v>
      </c>
      <c r="W188" s="66">
        <f t="shared" si="148"/>
        <v>9.0668968510057985E-3</v>
      </c>
      <c r="X188" s="66">
        <f t="shared" si="148"/>
        <v>9.1947321779999643E-3</v>
      </c>
      <c r="Y188" s="66">
        <f t="shared" si="148"/>
        <v>9.2887013957487202E-3</v>
      </c>
      <c r="Z188" s="66">
        <f t="shared" si="148"/>
        <v>9.3558880270179466E-3</v>
      </c>
      <c r="AA188" s="66">
        <f t="shared" si="148"/>
        <v>9.4029759334394517E-3</v>
      </c>
      <c r="AB188" s="66">
        <f t="shared" si="148"/>
        <v>9.435516571025631E-3</v>
      </c>
      <c r="AC188" s="66">
        <f t="shared" si="148"/>
        <v>9.45778575088802E-3</v>
      </c>
    </row>
    <row r="189" spans="1:29" x14ac:dyDescent="0.25">
      <c r="A189" s="59" t="str">
        <f>A152</f>
        <v>Payload loss (fuel)</v>
      </c>
      <c r="B189" s="66">
        <f>B177/(B150-B152)-B177/B150</f>
        <v>0</v>
      </c>
      <c r="C189" s="66">
        <f t="shared" ref="C189:AC189" si="149">C177/(C150-C152)-C177/C150</f>
        <v>0</v>
      </c>
      <c r="D189" s="66">
        <f t="shared" si="149"/>
        <v>0</v>
      </c>
      <c r="E189" s="66">
        <f t="shared" si="149"/>
        <v>0</v>
      </c>
      <c r="F189" s="66">
        <f t="shared" si="149"/>
        <v>0</v>
      </c>
      <c r="G189" s="66">
        <f t="shared" si="149"/>
        <v>0</v>
      </c>
      <c r="H189" s="66">
        <f t="shared" si="149"/>
        <v>0</v>
      </c>
      <c r="I189" s="66">
        <f t="shared" si="149"/>
        <v>0</v>
      </c>
      <c r="J189" s="66">
        <f t="shared" si="149"/>
        <v>0</v>
      </c>
      <c r="K189" s="66">
        <f t="shared" si="149"/>
        <v>0</v>
      </c>
      <c r="L189" s="66">
        <f t="shared" si="149"/>
        <v>0</v>
      </c>
      <c r="M189" s="66">
        <f t="shared" si="149"/>
        <v>0</v>
      </c>
      <c r="N189" s="66">
        <f t="shared" si="149"/>
        <v>0</v>
      </c>
      <c r="O189" s="66">
        <f t="shared" si="149"/>
        <v>0</v>
      </c>
      <c r="P189" s="66">
        <f t="shared" si="149"/>
        <v>0</v>
      </c>
      <c r="Q189" s="66">
        <f t="shared" si="149"/>
        <v>0</v>
      </c>
      <c r="R189" s="66">
        <f t="shared" si="149"/>
        <v>0</v>
      </c>
      <c r="S189" s="66">
        <f t="shared" si="149"/>
        <v>0</v>
      </c>
      <c r="T189" s="66">
        <f t="shared" si="149"/>
        <v>0</v>
      </c>
      <c r="U189" s="66">
        <f t="shared" si="149"/>
        <v>0</v>
      </c>
      <c r="V189" s="66">
        <f t="shared" si="149"/>
        <v>0</v>
      </c>
      <c r="W189" s="66">
        <f t="shared" si="149"/>
        <v>0</v>
      </c>
      <c r="X189" s="66">
        <f t="shared" si="149"/>
        <v>0</v>
      </c>
      <c r="Y189" s="66">
        <f t="shared" si="149"/>
        <v>0</v>
      </c>
      <c r="Z189" s="66">
        <f t="shared" si="149"/>
        <v>0</v>
      </c>
      <c r="AA189" s="66">
        <f t="shared" si="149"/>
        <v>0</v>
      </c>
      <c r="AB189" s="66">
        <f t="shared" si="149"/>
        <v>0</v>
      </c>
      <c r="AC189" s="66">
        <f t="shared" si="149"/>
        <v>0</v>
      </c>
    </row>
    <row r="190" spans="1:29" ht="15.75" thickBot="1" x14ac:dyDescent="0.3">
      <c r="A190" s="59" t="str">
        <f>A127</f>
        <v>Emission Cost</v>
      </c>
      <c r="B190" s="68">
        <f>B147*B153/B153/(B150)</f>
        <v>1.8343688133195604E-3</v>
      </c>
      <c r="C190" s="68">
        <f t="shared" ref="C190:AC190" si="150">C147*C153/C153/(C150)</f>
        <v>1.8382637861199969E-3</v>
      </c>
      <c r="D190" s="68">
        <f t="shared" si="150"/>
        <v>1.8438393529302977E-3</v>
      </c>
      <c r="E190" s="68">
        <f t="shared" si="150"/>
        <v>1.8518155933438187E-3</v>
      </c>
      <c r="F190" s="68">
        <f t="shared" si="150"/>
        <v>1.8632154009395707E-3</v>
      </c>
      <c r="G190" s="68">
        <f t="shared" si="150"/>
        <v>1.879485389979293E-3</v>
      </c>
      <c r="H190" s="68">
        <f t="shared" si="150"/>
        <v>1.9026578458370806E-3</v>
      </c>
      <c r="I190" s="68">
        <f t="shared" si="150"/>
        <v>1.9355594113421553E-3</v>
      </c>
      <c r="J190" s="68">
        <f t="shared" si="150"/>
        <v>1.9820626125449966E-3</v>
      </c>
      <c r="K190" s="68">
        <f t="shared" si="150"/>
        <v>2.0473522680465386E-3</v>
      </c>
      <c r="L190" s="68">
        <f t="shared" si="150"/>
        <v>2.1381285900725503E-3</v>
      </c>
      <c r="M190" s="68">
        <f t="shared" si="150"/>
        <v>2.2625795316212503E-3</v>
      </c>
      <c r="N190" s="68">
        <f t="shared" si="150"/>
        <v>2.4298282614389497E-3</v>
      </c>
      <c r="O190" s="68">
        <f t="shared" si="150"/>
        <v>2.6484546613890813E-3</v>
      </c>
      <c r="P190" s="68">
        <f t="shared" si="150"/>
        <v>2.9237776594684796E-3</v>
      </c>
      <c r="Q190" s="68">
        <f t="shared" si="150"/>
        <v>3.2541573540158593E-3</v>
      </c>
      <c r="R190" s="68">
        <f t="shared" si="150"/>
        <v>3.6277420084311488E-3</v>
      </c>
      <c r="S190" s="68">
        <f t="shared" si="150"/>
        <v>4.022133795318102E-3</v>
      </c>
      <c r="T190" s="68">
        <f t="shared" si="150"/>
        <v>4.4087646895282669E-3</v>
      </c>
      <c r="U190" s="68">
        <f t="shared" si="150"/>
        <v>4.7607227507658533E-3</v>
      </c>
      <c r="V190" s="68">
        <f t="shared" si="150"/>
        <v>5.059836983026064E-3</v>
      </c>
      <c r="W190" s="68">
        <f t="shared" si="150"/>
        <v>5.2993739147425382E-3</v>
      </c>
      <c r="X190" s="68">
        <f t="shared" si="150"/>
        <v>5.4821512250499103E-3</v>
      </c>
      <c r="Y190" s="68">
        <f t="shared" si="150"/>
        <v>5.6165072068873048E-3</v>
      </c>
      <c r="Z190" s="68">
        <f t="shared" si="150"/>
        <v>5.7125697902181494E-3</v>
      </c>
      <c r="AA190" s="68">
        <f t="shared" si="150"/>
        <v>5.7798954746443379E-3</v>
      </c>
      <c r="AB190" s="68">
        <f t="shared" si="150"/>
        <v>5.8264216607428025E-3</v>
      </c>
      <c r="AC190" s="68">
        <f t="shared" si="150"/>
        <v>5.8582618483787648E-3</v>
      </c>
    </row>
    <row r="191" spans="1:29" ht="15.75" thickBot="1" x14ac:dyDescent="0.3">
      <c r="A191" s="31" t="s">
        <v>210</v>
      </c>
      <c r="B191" s="76">
        <f>B180+B181+B182+B183+B184+B185+B186+B187+B188+B189+B190</f>
        <v>1.5501616237282348E-2</v>
      </c>
      <c r="C191" s="67">
        <f t="shared" ref="C191:AC191" si="151">C180+C181+C182+C183+C184+C185+C186+C187+C188+C189+C190</f>
        <v>1.5508000993487776E-2</v>
      </c>
      <c r="D191" s="67">
        <f t="shared" si="151"/>
        <v>1.5517140629786871E-2</v>
      </c>
      <c r="E191" s="67">
        <f t="shared" si="151"/>
        <v>1.5530215522240678E-2</v>
      </c>
      <c r="F191" s="67">
        <f t="shared" si="151"/>
        <v>1.5548902428675432E-2</v>
      </c>
      <c r="G191" s="67">
        <f t="shared" si="151"/>
        <v>1.5575572682565774E-2</v>
      </c>
      <c r="H191" s="67">
        <f t="shared" si="151"/>
        <v>1.5613557667035103E-2</v>
      </c>
      <c r="I191" s="67">
        <f t="shared" si="151"/>
        <v>1.5667490899766098E-2</v>
      </c>
      <c r="J191" s="67">
        <f t="shared" si="151"/>
        <v>1.5743720341578591E-2</v>
      </c>
      <c r="K191" s="67">
        <f t="shared" si="151"/>
        <v>1.5850745102590283E-2</v>
      </c>
      <c r="L191" s="67">
        <f t="shared" si="151"/>
        <v>1.5999548371587843E-2</v>
      </c>
      <c r="M191" s="67">
        <f t="shared" si="151"/>
        <v>1.6203552086642141E-2</v>
      </c>
      <c r="N191" s="67">
        <f t="shared" si="151"/>
        <v>1.6477711219520783E-2</v>
      </c>
      <c r="O191" s="67">
        <f t="shared" si="151"/>
        <v>1.6836090169842499E-2</v>
      </c>
      <c r="P191" s="67">
        <f t="shared" si="151"/>
        <v>1.7287407883868025E-2</v>
      </c>
      <c r="Q191" s="67">
        <f t="shared" si="151"/>
        <v>1.7828976185621646E-2</v>
      </c>
      <c r="R191" s="67">
        <f t="shared" si="151"/>
        <v>1.8441367353093607E-2</v>
      </c>
      <c r="S191" s="67">
        <f t="shared" si="151"/>
        <v>1.9087866196016021E-2</v>
      </c>
      <c r="T191" s="67">
        <f t="shared" si="151"/>
        <v>1.9721643150951894E-2</v>
      </c>
      <c r="U191" s="67">
        <f t="shared" si="151"/>
        <v>2.0298583358412496E-2</v>
      </c>
      <c r="V191" s="67">
        <f t="shared" si="151"/>
        <v>2.0788900376888547E-2</v>
      </c>
      <c r="W191" s="67">
        <f t="shared" si="151"/>
        <v>2.1181556497884987E-2</v>
      </c>
      <c r="X191" s="67">
        <f t="shared" si="151"/>
        <v>2.1481170545527561E-2</v>
      </c>
      <c r="Y191" s="67">
        <f t="shared" si="151"/>
        <v>2.1701410899626208E-2</v>
      </c>
      <c r="Z191" s="67">
        <f t="shared" si="151"/>
        <v>2.1858879566663457E-2</v>
      </c>
      <c r="AA191" s="67">
        <f t="shared" si="151"/>
        <v>2.1969241847338859E-2</v>
      </c>
      <c r="AB191" s="67">
        <f t="shared" si="151"/>
        <v>2.2045508966681466E-2</v>
      </c>
      <c r="AC191" s="67">
        <f t="shared" si="151"/>
        <v>2.2097702356983946E-2</v>
      </c>
    </row>
    <row r="193" spans="2:2" x14ac:dyDescent="0.25">
      <c r="B193" s="40"/>
    </row>
    <row r="215" spans="1:44" s="3" customFormat="1" ht="21" x14ac:dyDescent="0.35">
      <c r="A215" s="2" t="str">
        <f>'Parameter Input'!A179</f>
        <v>Short-sea: Break bulk</v>
      </c>
    </row>
    <row r="216" spans="1:44" s="3" customFormat="1" ht="21" x14ac:dyDescent="0.35">
      <c r="A216" s="2" t="s">
        <v>289</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Input'!$L$156</f>
        <v>15000000</v>
      </c>
      <c r="C225" s="42">
        <f>'Parameter Input'!$M$156</f>
        <v>15000000</v>
      </c>
      <c r="D225" s="1" t="s">
        <v>15</v>
      </c>
      <c r="L225" s="51">
        <f>'Parameter Input'!$O$156</f>
        <v>17</v>
      </c>
      <c r="M225" s="52">
        <v>0</v>
      </c>
      <c r="N225" s="52">
        <v>1</v>
      </c>
      <c r="O225" s="52">
        <f>'Parameter Input'!$P$156</f>
        <v>0.9</v>
      </c>
      <c r="P225" s="53">
        <f>'Parameter Input'!$Q$156</f>
        <v>0.4</v>
      </c>
      <c r="Q225" s="4">
        <f t="shared" ref="Q225:AR234" si="152">$N225+($M225-$N225)*((1/(1+EXP(-$P225*(Q$9-$L225)))^$O225))</f>
        <v>0.99780374543478534</v>
      </c>
      <c r="R225" s="4">
        <f t="shared" si="152"/>
        <v>0.99685359315256394</v>
      </c>
      <c r="S225" s="4">
        <f t="shared" si="152"/>
        <v>0.99549347132349975</v>
      </c>
      <c r="T225" s="4">
        <f t="shared" si="152"/>
        <v>0.99354772139898062</v>
      </c>
      <c r="U225" s="4">
        <f t="shared" si="152"/>
        <v>0.99076681540580536</v>
      </c>
      <c r="V225" s="4">
        <f t="shared" si="152"/>
        <v>0.9867978615748374</v>
      </c>
      <c r="W225" s="4">
        <f t="shared" si="152"/>
        <v>0.98114509762858249</v>
      </c>
      <c r="X225" s="4">
        <f t="shared" si="152"/>
        <v>0.97311898315872036</v>
      </c>
      <c r="Y225" s="4">
        <f t="shared" si="152"/>
        <v>0.96177484161592774</v>
      </c>
      <c r="Z225" s="4">
        <f t="shared" si="152"/>
        <v>0.94584787155511363</v>
      </c>
      <c r="AA225" s="4">
        <f t="shared" si="152"/>
        <v>0.92370360150141495</v>
      </c>
      <c r="AB225" s="4">
        <f t="shared" si="152"/>
        <v>0.89334463567658451</v>
      </c>
      <c r="AC225" s="4">
        <f t="shared" si="152"/>
        <v>0.85254543874327005</v>
      </c>
      <c r="AD225" s="4">
        <f t="shared" si="152"/>
        <v>0.79921300652623883</v>
      </c>
      <c r="AE225" s="4">
        <f t="shared" si="152"/>
        <v>0.73204982249993378</v>
      </c>
      <c r="AF225" s="4">
        <f t="shared" si="152"/>
        <v>0.65145592958786691</v>
      </c>
      <c r="AG225" s="4">
        <f t="shared" si="152"/>
        <v>0.56032247880849573</v>
      </c>
      <c r="AH225" s="4">
        <f t="shared" si="152"/>
        <v>0.46411326873185343</v>
      </c>
      <c r="AI225" s="4">
        <f t="shared" si="152"/>
        <v>0.36979727595523937</v>
      </c>
      <c r="AJ225" s="4">
        <f t="shared" si="152"/>
        <v>0.28393948637231203</v>
      </c>
      <c r="AK225" s="4">
        <f t="shared" si="152"/>
        <v>0.21097259161117732</v>
      </c>
      <c r="AL225" s="4">
        <f t="shared" si="152"/>
        <v>0.15253917653798199</v>
      </c>
      <c r="AM225" s="4">
        <f t="shared" si="152"/>
        <v>0.10795188737709993</v>
      </c>
      <c r="AN225" s="4">
        <f t="shared" si="152"/>
        <v>7.5176653938091809E-2</v>
      </c>
      <c r="AO225" s="4">
        <f t="shared" si="152"/>
        <v>5.1742836177502194E-2</v>
      </c>
      <c r="AP225" s="4">
        <f t="shared" si="152"/>
        <v>3.5319190625345942E-2</v>
      </c>
      <c r="AQ225" s="4">
        <f t="shared" si="152"/>
        <v>2.3969442072658165E-2</v>
      </c>
      <c r="AR225" s="4">
        <f t="shared" si="152"/>
        <v>1.6202243558389728E-2</v>
      </c>
    </row>
    <row r="226" spans="1:44" x14ac:dyDescent="0.25">
      <c r="A226" s="24" t="s">
        <v>28</v>
      </c>
      <c r="B226" s="60">
        <f>'Parameter Input'!$L$157</f>
        <v>-1500000</v>
      </c>
      <c r="C226" s="61">
        <f>'Parameter Input'!$M$157</f>
        <v>-750000</v>
      </c>
      <c r="D226" s="1" t="s">
        <v>15</v>
      </c>
      <c r="L226" s="54">
        <f>'Parameter Input'!$O$157</f>
        <v>17</v>
      </c>
      <c r="M226" s="37">
        <v>0</v>
      </c>
      <c r="N226" s="37">
        <v>1</v>
      </c>
      <c r="O226" s="37">
        <f>'Parameter Input'!$P$157</f>
        <v>0.9</v>
      </c>
      <c r="P226" s="55">
        <f>'Parameter Input'!$Q$157</f>
        <v>0.4</v>
      </c>
      <c r="Q226" s="4">
        <f t="shared" si="152"/>
        <v>0.99780374543478534</v>
      </c>
      <c r="R226" s="4">
        <f t="shared" si="152"/>
        <v>0.99685359315256394</v>
      </c>
      <c r="S226" s="4">
        <f t="shared" si="152"/>
        <v>0.99549347132349975</v>
      </c>
      <c r="T226" s="4">
        <f t="shared" si="152"/>
        <v>0.99354772139898062</v>
      </c>
      <c r="U226" s="4">
        <f t="shared" si="152"/>
        <v>0.99076681540580536</v>
      </c>
      <c r="V226" s="4">
        <f t="shared" si="152"/>
        <v>0.9867978615748374</v>
      </c>
      <c r="W226" s="4">
        <f t="shared" si="152"/>
        <v>0.98114509762858249</v>
      </c>
      <c r="X226" s="4">
        <f t="shared" si="152"/>
        <v>0.97311898315872036</v>
      </c>
      <c r="Y226" s="4">
        <f t="shared" si="152"/>
        <v>0.96177484161592774</v>
      </c>
      <c r="Z226" s="4">
        <f t="shared" si="152"/>
        <v>0.94584787155511363</v>
      </c>
      <c r="AA226" s="4">
        <f t="shared" si="152"/>
        <v>0.92370360150141495</v>
      </c>
      <c r="AB226" s="4">
        <f t="shared" si="152"/>
        <v>0.89334463567658451</v>
      </c>
      <c r="AC226" s="4">
        <f t="shared" si="152"/>
        <v>0.85254543874327005</v>
      </c>
      <c r="AD226" s="4">
        <f t="shared" si="152"/>
        <v>0.79921300652623883</v>
      </c>
      <c r="AE226" s="4">
        <f t="shared" si="152"/>
        <v>0.73204982249993378</v>
      </c>
      <c r="AF226" s="4">
        <f t="shared" si="152"/>
        <v>0.65145592958786691</v>
      </c>
      <c r="AG226" s="4">
        <f t="shared" si="152"/>
        <v>0.56032247880849573</v>
      </c>
      <c r="AH226" s="4">
        <f t="shared" si="152"/>
        <v>0.46411326873185343</v>
      </c>
      <c r="AI226" s="4">
        <f t="shared" si="152"/>
        <v>0.36979727595523937</v>
      </c>
      <c r="AJ226" s="4">
        <f t="shared" si="152"/>
        <v>0.28393948637231203</v>
      </c>
      <c r="AK226" s="4">
        <f t="shared" si="152"/>
        <v>0.21097259161117732</v>
      </c>
      <c r="AL226" s="4">
        <f t="shared" si="152"/>
        <v>0.15253917653798199</v>
      </c>
      <c r="AM226" s="4">
        <f t="shared" si="152"/>
        <v>0.10795188737709993</v>
      </c>
      <c r="AN226" s="4">
        <f t="shared" si="152"/>
        <v>7.5176653938091809E-2</v>
      </c>
      <c r="AO226" s="4">
        <f t="shared" si="152"/>
        <v>5.1742836177502194E-2</v>
      </c>
      <c r="AP226" s="4">
        <f t="shared" si="152"/>
        <v>3.5319190625345942E-2</v>
      </c>
      <c r="AQ226" s="4">
        <f t="shared" si="152"/>
        <v>2.3969442072658165E-2</v>
      </c>
      <c r="AR226" s="4">
        <f t="shared" si="152"/>
        <v>1.6202243558389728E-2</v>
      </c>
    </row>
    <row r="227" spans="1:44" x14ac:dyDescent="0.25">
      <c r="A227" s="24" t="s">
        <v>14</v>
      </c>
      <c r="B227" s="60">
        <f>'Parameter Input'!B180</f>
        <v>1000000</v>
      </c>
      <c r="C227" s="61">
        <f>'Parameter Input'!C180</f>
        <v>1000000</v>
      </c>
      <c r="D227" s="1" t="s">
        <v>15</v>
      </c>
      <c r="L227" s="54">
        <f>'Parameter Input'!E180</f>
        <v>17</v>
      </c>
      <c r="M227" s="37">
        <v>0</v>
      </c>
      <c r="N227" s="37">
        <v>1</v>
      </c>
      <c r="O227" s="37">
        <f>'Parameter Input'!F180</f>
        <v>0.9</v>
      </c>
      <c r="P227" s="55">
        <f>'Parameter Input'!G180</f>
        <v>0.4</v>
      </c>
      <c r="Q227" s="4">
        <f t="shared" si="152"/>
        <v>0.99780374543478534</v>
      </c>
      <c r="R227" s="4">
        <f t="shared" si="152"/>
        <v>0.99685359315256394</v>
      </c>
      <c r="S227" s="4">
        <f t="shared" si="152"/>
        <v>0.99549347132349975</v>
      </c>
      <c r="T227" s="4">
        <f t="shared" si="152"/>
        <v>0.99354772139898062</v>
      </c>
      <c r="U227" s="4">
        <f t="shared" si="152"/>
        <v>0.99076681540580536</v>
      </c>
      <c r="V227" s="4">
        <f t="shared" si="152"/>
        <v>0.9867978615748374</v>
      </c>
      <c r="W227" s="4">
        <f t="shared" si="152"/>
        <v>0.98114509762858249</v>
      </c>
      <c r="X227" s="4">
        <f t="shared" si="152"/>
        <v>0.97311898315872036</v>
      </c>
      <c r="Y227" s="4">
        <f t="shared" si="152"/>
        <v>0.96177484161592774</v>
      </c>
      <c r="Z227" s="4">
        <f t="shared" si="152"/>
        <v>0.94584787155511363</v>
      </c>
      <c r="AA227" s="4">
        <f t="shared" si="152"/>
        <v>0.92370360150141495</v>
      </c>
      <c r="AB227" s="4">
        <f t="shared" si="152"/>
        <v>0.89334463567658451</v>
      </c>
      <c r="AC227" s="4">
        <f t="shared" si="152"/>
        <v>0.85254543874327005</v>
      </c>
      <c r="AD227" s="4">
        <f t="shared" si="152"/>
        <v>0.79921300652623883</v>
      </c>
      <c r="AE227" s="4">
        <f t="shared" si="152"/>
        <v>0.73204982249993378</v>
      </c>
      <c r="AF227" s="4">
        <f t="shared" si="152"/>
        <v>0.65145592958786691</v>
      </c>
      <c r="AG227" s="4">
        <f t="shared" si="152"/>
        <v>0.56032247880849573</v>
      </c>
      <c r="AH227" s="4">
        <f t="shared" si="152"/>
        <v>0.46411326873185343</v>
      </c>
      <c r="AI227" s="4">
        <f t="shared" si="152"/>
        <v>0.36979727595523937</v>
      </c>
      <c r="AJ227" s="4">
        <f t="shared" si="152"/>
        <v>0.28393948637231203</v>
      </c>
      <c r="AK227" s="4">
        <f t="shared" si="152"/>
        <v>0.21097259161117732</v>
      </c>
      <c r="AL227" s="4">
        <f t="shared" si="152"/>
        <v>0.15253917653798199</v>
      </c>
      <c r="AM227" s="4">
        <f t="shared" si="152"/>
        <v>0.10795188737709993</v>
      </c>
      <c r="AN227" s="4">
        <f t="shared" si="152"/>
        <v>7.5176653938091809E-2</v>
      </c>
      <c r="AO227" s="4">
        <f t="shared" si="152"/>
        <v>5.1742836177502194E-2</v>
      </c>
      <c r="AP227" s="4">
        <f t="shared" si="152"/>
        <v>3.5319190625345942E-2</v>
      </c>
      <c r="AQ227" s="4">
        <f t="shared" si="152"/>
        <v>2.3969442072658165E-2</v>
      </c>
      <c r="AR227" s="4">
        <f t="shared" si="152"/>
        <v>1.6202243558389728E-2</v>
      </c>
    </row>
    <row r="228" spans="1:44" x14ac:dyDescent="0.25">
      <c r="A228" s="24" t="s">
        <v>25</v>
      </c>
      <c r="B228" s="60">
        <f>'Parameter Input'!B181</f>
        <v>-100000</v>
      </c>
      <c r="C228" s="61">
        <f>'Parameter Input'!C181</f>
        <v>-100000</v>
      </c>
      <c r="D228" s="1" t="s">
        <v>15</v>
      </c>
      <c r="L228" s="54">
        <f>'Parameter Input'!E181</f>
        <v>17</v>
      </c>
      <c r="M228" s="37">
        <v>0</v>
      </c>
      <c r="N228" s="37">
        <v>1</v>
      </c>
      <c r="O228" s="37">
        <f>'Parameter Input'!F181</f>
        <v>0.9</v>
      </c>
      <c r="P228" s="55">
        <f>'Parameter Input'!G181</f>
        <v>0.4</v>
      </c>
      <c r="Q228" s="4">
        <f t="shared" si="152"/>
        <v>0.99780374543478534</v>
      </c>
      <c r="R228" s="4">
        <f t="shared" si="152"/>
        <v>0.99685359315256394</v>
      </c>
      <c r="S228" s="4">
        <f t="shared" si="152"/>
        <v>0.99549347132349975</v>
      </c>
      <c r="T228" s="4">
        <f t="shared" si="152"/>
        <v>0.99354772139898062</v>
      </c>
      <c r="U228" s="4">
        <f t="shared" si="152"/>
        <v>0.99076681540580536</v>
      </c>
      <c r="V228" s="4">
        <f t="shared" si="152"/>
        <v>0.9867978615748374</v>
      </c>
      <c r="W228" s="4">
        <f t="shared" si="152"/>
        <v>0.98114509762858249</v>
      </c>
      <c r="X228" s="4">
        <f t="shared" si="152"/>
        <v>0.97311898315872036</v>
      </c>
      <c r="Y228" s="4">
        <f t="shared" si="152"/>
        <v>0.96177484161592774</v>
      </c>
      <c r="Z228" s="4">
        <f t="shared" si="152"/>
        <v>0.94584787155511363</v>
      </c>
      <c r="AA228" s="4">
        <f t="shared" si="152"/>
        <v>0.92370360150141495</v>
      </c>
      <c r="AB228" s="4">
        <f t="shared" si="152"/>
        <v>0.89334463567658451</v>
      </c>
      <c r="AC228" s="4">
        <f t="shared" si="152"/>
        <v>0.85254543874327005</v>
      </c>
      <c r="AD228" s="4">
        <f t="shared" si="152"/>
        <v>0.79921300652623883</v>
      </c>
      <c r="AE228" s="4">
        <f t="shared" si="152"/>
        <v>0.73204982249993378</v>
      </c>
      <c r="AF228" s="4">
        <f t="shared" si="152"/>
        <v>0.65145592958786691</v>
      </c>
      <c r="AG228" s="4">
        <f t="shared" si="152"/>
        <v>0.56032247880849573</v>
      </c>
      <c r="AH228" s="4">
        <f t="shared" si="152"/>
        <v>0.46411326873185343</v>
      </c>
      <c r="AI228" s="4">
        <f t="shared" si="152"/>
        <v>0.36979727595523937</v>
      </c>
      <c r="AJ228" s="4">
        <f t="shared" si="152"/>
        <v>0.28393948637231203</v>
      </c>
      <c r="AK228" s="4">
        <f t="shared" si="152"/>
        <v>0.21097259161117732</v>
      </c>
      <c r="AL228" s="4">
        <f t="shared" si="152"/>
        <v>0.15253917653798199</v>
      </c>
      <c r="AM228" s="4">
        <f t="shared" si="152"/>
        <v>0.10795188737709993</v>
      </c>
      <c r="AN228" s="4">
        <f t="shared" si="152"/>
        <v>7.5176653938091809E-2</v>
      </c>
      <c r="AO228" s="4">
        <f t="shared" si="152"/>
        <v>5.1742836177502194E-2</v>
      </c>
      <c r="AP228" s="4">
        <f t="shared" si="152"/>
        <v>3.5319190625345942E-2</v>
      </c>
      <c r="AQ228" s="4">
        <f t="shared" si="152"/>
        <v>2.3969442072658165E-2</v>
      </c>
      <c r="AR228" s="4">
        <f t="shared" si="152"/>
        <v>1.6202243558389728E-2</v>
      </c>
    </row>
    <row r="229" spans="1:44" x14ac:dyDescent="0.25">
      <c r="A229" s="24" t="s">
        <v>79</v>
      </c>
      <c r="B229" s="92">
        <f>'Parameter Input'!$L$163</f>
        <v>0.06</v>
      </c>
      <c r="C229" s="91">
        <f>'Parameter Input'!$M$163</f>
        <v>0.06</v>
      </c>
      <c r="D229" s="1" t="s">
        <v>57</v>
      </c>
      <c r="L229" s="54">
        <f>'Parameter Input'!$O$163</f>
        <v>17</v>
      </c>
      <c r="M229" s="37">
        <v>0</v>
      </c>
      <c r="N229" s="37">
        <v>1</v>
      </c>
      <c r="O229" s="37">
        <f>'Parameter Input'!$P$163</f>
        <v>0.9</v>
      </c>
      <c r="P229" s="55">
        <f>'Parameter Input'!$Q$163</f>
        <v>0.4</v>
      </c>
      <c r="Q229" s="4">
        <f t="shared" si="152"/>
        <v>0.99780374543478534</v>
      </c>
      <c r="R229" s="4">
        <f t="shared" si="152"/>
        <v>0.99685359315256394</v>
      </c>
      <c r="S229" s="4">
        <f t="shared" si="152"/>
        <v>0.99549347132349975</v>
      </c>
      <c r="T229" s="4">
        <f t="shared" si="152"/>
        <v>0.99354772139898062</v>
      </c>
      <c r="U229" s="4">
        <f t="shared" si="152"/>
        <v>0.99076681540580536</v>
      </c>
      <c r="V229" s="4">
        <f t="shared" si="152"/>
        <v>0.9867978615748374</v>
      </c>
      <c r="W229" s="4">
        <f t="shared" si="152"/>
        <v>0.98114509762858249</v>
      </c>
      <c r="X229" s="4">
        <f t="shared" si="152"/>
        <v>0.97311898315872036</v>
      </c>
      <c r="Y229" s="4">
        <f t="shared" si="152"/>
        <v>0.96177484161592774</v>
      </c>
      <c r="Z229" s="4">
        <f t="shared" si="152"/>
        <v>0.94584787155511363</v>
      </c>
      <c r="AA229" s="4">
        <f t="shared" si="152"/>
        <v>0.92370360150141495</v>
      </c>
      <c r="AB229" s="4">
        <f t="shared" si="152"/>
        <v>0.89334463567658451</v>
      </c>
      <c r="AC229" s="4">
        <f t="shared" si="152"/>
        <v>0.85254543874327005</v>
      </c>
      <c r="AD229" s="4">
        <f t="shared" si="152"/>
        <v>0.79921300652623883</v>
      </c>
      <c r="AE229" s="4">
        <f t="shared" si="152"/>
        <v>0.73204982249993378</v>
      </c>
      <c r="AF229" s="4">
        <f t="shared" si="152"/>
        <v>0.65145592958786691</v>
      </c>
      <c r="AG229" s="4">
        <f t="shared" si="152"/>
        <v>0.56032247880849573</v>
      </c>
      <c r="AH229" s="4">
        <f t="shared" si="152"/>
        <v>0.46411326873185343</v>
      </c>
      <c r="AI229" s="4">
        <f t="shared" si="152"/>
        <v>0.36979727595523937</v>
      </c>
      <c r="AJ229" s="4">
        <f t="shared" si="152"/>
        <v>0.28393948637231203</v>
      </c>
      <c r="AK229" s="4">
        <f t="shared" si="152"/>
        <v>0.21097259161117732</v>
      </c>
      <c r="AL229" s="4">
        <f t="shared" si="152"/>
        <v>0.15253917653798199</v>
      </c>
      <c r="AM229" s="4">
        <f t="shared" si="152"/>
        <v>0.10795188737709993</v>
      </c>
      <c r="AN229" s="4">
        <f t="shared" si="152"/>
        <v>7.5176653938091809E-2</v>
      </c>
      <c r="AO229" s="4">
        <f t="shared" si="152"/>
        <v>5.1742836177502194E-2</v>
      </c>
      <c r="AP229" s="4">
        <f t="shared" si="152"/>
        <v>3.5319190625345942E-2</v>
      </c>
      <c r="AQ229" s="4">
        <f t="shared" si="152"/>
        <v>2.3969442072658165E-2</v>
      </c>
      <c r="AR229" s="4">
        <f t="shared" si="152"/>
        <v>1.6202243558389728E-2</v>
      </c>
    </row>
    <row r="230" spans="1:44" x14ac:dyDescent="0.25">
      <c r="A230" s="24" t="s">
        <v>37</v>
      </c>
      <c r="B230" s="60">
        <f>'Parameter Input'!B182</f>
        <v>1208235.294117647</v>
      </c>
      <c r="C230" s="61">
        <f>'Parameter Input'!C182</f>
        <v>1208235.294117647</v>
      </c>
      <c r="D230" s="1" t="s">
        <v>38</v>
      </c>
      <c r="L230" s="54">
        <f>'Parameter Input'!E182</f>
        <v>17</v>
      </c>
      <c r="M230" s="37">
        <v>0</v>
      </c>
      <c r="N230" s="37">
        <v>1</v>
      </c>
      <c r="O230" s="37">
        <f>'Parameter Input'!F182</f>
        <v>0.9</v>
      </c>
      <c r="P230" s="55">
        <f>'Parameter Input'!G182</f>
        <v>0.4</v>
      </c>
      <c r="Q230" s="4">
        <f t="shared" si="152"/>
        <v>0.99780374543478534</v>
      </c>
      <c r="R230" s="4">
        <f t="shared" si="152"/>
        <v>0.99685359315256394</v>
      </c>
      <c r="S230" s="4">
        <f t="shared" si="152"/>
        <v>0.99549347132349975</v>
      </c>
      <c r="T230" s="4">
        <f t="shared" si="152"/>
        <v>0.99354772139898062</v>
      </c>
      <c r="U230" s="4">
        <f t="shared" si="152"/>
        <v>0.99076681540580536</v>
      </c>
      <c r="V230" s="4">
        <f t="shared" si="152"/>
        <v>0.9867978615748374</v>
      </c>
      <c r="W230" s="4">
        <f t="shared" si="152"/>
        <v>0.98114509762858249</v>
      </c>
      <c r="X230" s="4">
        <f t="shared" si="152"/>
        <v>0.97311898315872036</v>
      </c>
      <c r="Y230" s="4">
        <f t="shared" si="152"/>
        <v>0.96177484161592774</v>
      </c>
      <c r="Z230" s="4">
        <f t="shared" si="152"/>
        <v>0.94584787155511363</v>
      </c>
      <c r="AA230" s="4">
        <f t="shared" si="152"/>
        <v>0.92370360150141495</v>
      </c>
      <c r="AB230" s="4">
        <f t="shared" si="152"/>
        <v>0.89334463567658451</v>
      </c>
      <c r="AC230" s="4">
        <f t="shared" si="152"/>
        <v>0.85254543874327005</v>
      </c>
      <c r="AD230" s="4">
        <f t="shared" si="152"/>
        <v>0.79921300652623883</v>
      </c>
      <c r="AE230" s="4">
        <f t="shared" si="152"/>
        <v>0.73204982249993378</v>
      </c>
      <c r="AF230" s="4">
        <f t="shared" si="152"/>
        <v>0.65145592958786691</v>
      </c>
      <c r="AG230" s="4">
        <f t="shared" si="152"/>
        <v>0.56032247880849573</v>
      </c>
      <c r="AH230" s="4">
        <f t="shared" si="152"/>
        <v>0.46411326873185343</v>
      </c>
      <c r="AI230" s="4">
        <f t="shared" si="152"/>
        <v>0.36979727595523937</v>
      </c>
      <c r="AJ230" s="4">
        <f t="shared" si="152"/>
        <v>0.28393948637231203</v>
      </c>
      <c r="AK230" s="4">
        <f t="shared" si="152"/>
        <v>0.21097259161117732</v>
      </c>
      <c r="AL230" s="4">
        <f t="shared" si="152"/>
        <v>0.15253917653798199</v>
      </c>
      <c r="AM230" s="4">
        <f t="shared" si="152"/>
        <v>0.10795188737709993</v>
      </c>
      <c r="AN230" s="4">
        <f t="shared" si="152"/>
        <v>7.5176653938091809E-2</v>
      </c>
      <c r="AO230" s="4">
        <f t="shared" si="152"/>
        <v>5.1742836177502194E-2</v>
      </c>
      <c r="AP230" s="4">
        <f t="shared" si="152"/>
        <v>3.5319190625345942E-2</v>
      </c>
      <c r="AQ230" s="4">
        <f t="shared" si="152"/>
        <v>2.3969442072658165E-2</v>
      </c>
      <c r="AR230" s="4">
        <f t="shared" si="152"/>
        <v>1.6202243558389728E-2</v>
      </c>
    </row>
    <row r="231" spans="1:44" x14ac:dyDescent="0.25">
      <c r="A231" s="24" t="s">
        <v>52</v>
      </c>
      <c r="B231" s="60">
        <f>'Parameter Input'!$L$159</f>
        <v>488235.29411764705</v>
      </c>
      <c r="C231" s="61">
        <f>'Parameter Input'!$M$159</f>
        <v>488235.29411764705</v>
      </c>
      <c r="D231" s="1" t="s">
        <v>38</v>
      </c>
      <c r="L231" s="54">
        <f>'Parameter Input'!$O$159</f>
        <v>17</v>
      </c>
      <c r="M231" s="37">
        <v>0</v>
      </c>
      <c r="N231" s="37">
        <v>1</v>
      </c>
      <c r="O231" s="37">
        <f>'Parameter Input'!$P$159</f>
        <v>0.9</v>
      </c>
      <c r="P231" s="55">
        <f>'Parameter Input'!$Q$159</f>
        <v>0.4</v>
      </c>
      <c r="Q231" s="4">
        <f t="shared" si="152"/>
        <v>0.99780374543478534</v>
      </c>
      <c r="R231" s="4">
        <f t="shared" si="152"/>
        <v>0.99685359315256394</v>
      </c>
      <c r="S231" s="4">
        <f t="shared" si="152"/>
        <v>0.99549347132349975</v>
      </c>
      <c r="T231" s="4">
        <f t="shared" si="152"/>
        <v>0.99354772139898062</v>
      </c>
      <c r="U231" s="4">
        <f t="shared" si="152"/>
        <v>0.99076681540580536</v>
      </c>
      <c r="V231" s="4">
        <f t="shared" si="152"/>
        <v>0.9867978615748374</v>
      </c>
      <c r="W231" s="4">
        <f t="shared" si="152"/>
        <v>0.98114509762858249</v>
      </c>
      <c r="X231" s="4">
        <f t="shared" si="152"/>
        <v>0.97311898315872036</v>
      </c>
      <c r="Y231" s="4">
        <f t="shared" si="152"/>
        <v>0.96177484161592774</v>
      </c>
      <c r="Z231" s="4">
        <f t="shared" si="152"/>
        <v>0.94584787155511363</v>
      </c>
      <c r="AA231" s="4">
        <f t="shared" si="152"/>
        <v>0.92370360150141495</v>
      </c>
      <c r="AB231" s="4">
        <f t="shared" si="152"/>
        <v>0.89334463567658451</v>
      </c>
      <c r="AC231" s="4">
        <f t="shared" si="152"/>
        <v>0.85254543874327005</v>
      </c>
      <c r="AD231" s="4">
        <f t="shared" si="152"/>
        <v>0.79921300652623883</v>
      </c>
      <c r="AE231" s="4">
        <f t="shared" si="152"/>
        <v>0.73204982249993378</v>
      </c>
      <c r="AF231" s="4">
        <f t="shared" si="152"/>
        <v>0.65145592958786691</v>
      </c>
      <c r="AG231" s="4">
        <f t="shared" si="152"/>
        <v>0.56032247880849573</v>
      </c>
      <c r="AH231" s="4">
        <f t="shared" si="152"/>
        <v>0.46411326873185343</v>
      </c>
      <c r="AI231" s="4">
        <f t="shared" si="152"/>
        <v>0.36979727595523937</v>
      </c>
      <c r="AJ231" s="4">
        <f t="shared" si="152"/>
        <v>0.28393948637231203</v>
      </c>
      <c r="AK231" s="4">
        <f t="shared" si="152"/>
        <v>0.21097259161117732</v>
      </c>
      <c r="AL231" s="4">
        <f t="shared" si="152"/>
        <v>0.15253917653798199</v>
      </c>
      <c r="AM231" s="4">
        <f t="shared" si="152"/>
        <v>0.10795188737709993</v>
      </c>
      <c r="AN231" s="4">
        <f t="shared" si="152"/>
        <v>7.5176653938091809E-2</v>
      </c>
      <c r="AO231" s="4">
        <f t="shared" si="152"/>
        <v>5.1742836177502194E-2</v>
      </c>
      <c r="AP231" s="4">
        <f t="shared" si="152"/>
        <v>3.5319190625345942E-2</v>
      </c>
      <c r="AQ231" s="4">
        <f t="shared" si="152"/>
        <v>2.3969442072658165E-2</v>
      </c>
      <c r="AR231" s="4">
        <f t="shared" si="152"/>
        <v>1.6202243558389728E-2</v>
      </c>
    </row>
    <row r="232" spans="1:44" x14ac:dyDescent="0.25">
      <c r="A232" s="24" t="s">
        <v>272</v>
      </c>
      <c r="B232" s="92">
        <f>'Parameter Input'!B187</f>
        <v>0.81280569096848254</v>
      </c>
      <c r="C232" s="61">
        <f>'Parameter Input'!C187</f>
        <v>0.81280569096848254</v>
      </c>
      <c r="D232" s="1" t="s">
        <v>76</v>
      </c>
      <c r="L232" s="54">
        <f>'Parameter Input'!E187</f>
        <v>17</v>
      </c>
      <c r="M232" s="37">
        <v>0</v>
      </c>
      <c r="N232" s="37">
        <v>1</v>
      </c>
      <c r="O232" s="37">
        <f>'Parameter Input'!F187</f>
        <v>0.9</v>
      </c>
      <c r="P232" s="55">
        <f>'Parameter Input'!G187</f>
        <v>0.4</v>
      </c>
      <c r="Q232" s="4">
        <f t="shared" si="152"/>
        <v>0.99780374543478534</v>
      </c>
      <c r="R232" s="4">
        <f t="shared" si="152"/>
        <v>0.99685359315256394</v>
      </c>
      <c r="S232" s="4">
        <f t="shared" si="152"/>
        <v>0.99549347132349975</v>
      </c>
      <c r="T232" s="4">
        <f t="shared" si="152"/>
        <v>0.99354772139898062</v>
      </c>
      <c r="U232" s="4">
        <f t="shared" si="152"/>
        <v>0.99076681540580536</v>
      </c>
      <c r="V232" s="4">
        <f t="shared" si="152"/>
        <v>0.9867978615748374</v>
      </c>
      <c r="W232" s="4">
        <f t="shared" si="152"/>
        <v>0.98114509762858249</v>
      </c>
      <c r="X232" s="4">
        <f t="shared" si="152"/>
        <v>0.97311898315872036</v>
      </c>
      <c r="Y232" s="4">
        <f t="shared" si="152"/>
        <v>0.96177484161592774</v>
      </c>
      <c r="Z232" s="4">
        <f t="shared" si="152"/>
        <v>0.94584787155511363</v>
      </c>
      <c r="AA232" s="4">
        <f t="shared" si="152"/>
        <v>0.92370360150141495</v>
      </c>
      <c r="AB232" s="4">
        <f t="shared" si="152"/>
        <v>0.89334463567658451</v>
      </c>
      <c r="AC232" s="4">
        <f t="shared" si="152"/>
        <v>0.85254543874327005</v>
      </c>
      <c r="AD232" s="4">
        <f t="shared" si="152"/>
        <v>0.79921300652623883</v>
      </c>
      <c r="AE232" s="4">
        <f t="shared" si="152"/>
        <v>0.73204982249993378</v>
      </c>
      <c r="AF232" s="4">
        <f t="shared" si="152"/>
        <v>0.65145592958786691</v>
      </c>
      <c r="AG232" s="4">
        <f t="shared" si="152"/>
        <v>0.56032247880849573</v>
      </c>
      <c r="AH232" s="4">
        <f t="shared" si="152"/>
        <v>0.46411326873185343</v>
      </c>
      <c r="AI232" s="4">
        <f t="shared" si="152"/>
        <v>0.36979727595523937</v>
      </c>
      <c r="AJ232" s="4">
        <f t="shared" si="152"/>
        <v>0.28393948637231203</v>
      </c>
      <c r="AK232" s="4">
        <f t="shared" si="152"/>
        <v>0.21097259161117732</v>
      </c>
      <c r="AL232" s="4">
        <f t="shared" si="152"/>
        <v>0.15253917653798199</v>
      </c>
      <c r="AM232" s="4">
        <f t="shared" si="152"/>
        <v>0.10795188737709993</v>
      </c>
      <c r="AN232" s="4">
        <f t="shared" si="152"/>
        <v>7.5176653938091809E-2</v>
      </c>
      <c r="AO232" s="4">
        <f t="shared" si="152"/>
        <v>5.1742836177502194E-2</v>
      </c>
      <c r="AP232" s="4">
        <f t="shared" si="152"/>
        <v>3.5319190625345942E-2</v>
      </c>
      <c r="AQ232" s="4">
        <f t="shared" si="152"/>
        <v>2.3969442072658165E-2</v>
      </c>
      <c r="AR232" s="4">
        <f t="shared" si="152"/>
        <v>1.6202243558389728E-2</v>
      </c>
    </row>
    <row r="233" spans="1:44" x14ac:dyDescent="0.25">
      <c r="A233" s="24" t="s">
        <v>59</v>
      </c>
      <c r="B233" s="60">
        <f>'Parameter Input'!$L$160</f>
        <v>647</v>
      </c>
      <c r="C233" s="61">
        <f>'Parameter Input'!$M$160</f>
        <v>600</v>
      </c>
      <c r="D233" s="1" t="s">
        <v>60</v>
      </c>
      <c r="L233" s="54">
        <f>'Parameter Input'!$O$160</f>
        <v>17</v>
      </c>
      <c r="M233" s="37">
        <v>0</v>
      </c>
      <c r="N233" s="37">
        <v>1</v>
      </c>
      <c r="O233" s="37">
        <f>'Parameter Input'!$P$160</f>
        <v>0.9</v>
      </c>
      <c r="P233" s="55">
        <f>'Parameter Input'!$Q$160</f>
        <v>0.4</v>
      </c>
      <c r="Q233" s="4">
        <f t="shared" si="152"/>
        <v>0.99780374543478534</v>
      </c>
      <c r="R233" s="4">
        <f t="shared" si="152"/>
        <v>0.99685359315256394</v>
      </c>
      <c r="S233" s="4">
        <f t="shared" si="152"/>
        <v>0.99549347132349975</v>
      </c>
      <c r="T233" s="4">
        <f t="shared" si="152"/>
        <v>0.99354772139898062</v>
      </c>
      <c r="U233" s="4">
        <f t="shared" si="152"/>
        <v>0.99076681540580536</v>
      </c>
      <c r="V233" s="4">
        <f t="shared" si="152"/>
        <v>0.9867978615748374</v>
      </c>
      <c r="W233" s="4">
        <f t="shared" si="152"/>
        <v>0.98114509762858249</v>
      </c>
      <c r="X233" s="4">
        <f t="shared" si="152"/>
        <v>0.97311898315872036</v>
      </c>
      <c r="Y233" s="4">
        <f t="shared" si="152"/>
        <v>0.96177484161592774</v>
      </c>
      <c r="Z233" s="4">
        <f t="shared" si="152"/>
        <v>0.94584787155511363</v>
      </c>
      <c r="AA233" s="4">
        <f t="shared" si="152"/>
        <v>0.92370360150141495</v>
      </c>
      <c r="AB233" s="4">
        <f t="shared" si="152"/>
        <v>0.89334463567658451</v>
      </c>
      <c r="AC233" s="4">
        <f t="shared" si="152"/>
        <v>0.85254543874327005</v>
      </c>
      <c r="AD233" s="4">
        <f t="shared" si="152"/>
        <v>0.79921300652623883</v>
      </c>
      <c r="AE233" s="4">
        <f t="shared" si="152"/>
        <v>0.73204982249993378</v>
      </c>
      <c r="AF233" s="4">
        <f t="shared" si="152"/>
        <v>0.65145592958786691</v>
      </c>
      <c r="AG233" s="4">
        <f t="shared" si="152"/>
        <v>0.56032247880849573</v>
      </c>
      <c r="AH233" s="4">
        <f t="shared" si="152"/>
        <v>0.46411326873185343</v>
      </c>
      <c r="AI233" s="4">
        <f t="shared" si="152"/>
        <v>0.36979727595523937</v>
      </c>
      <c r="AJ233" s="4">
        <f t="shared" si="152"/>
        <v>0.28393948637231203</v>
      </c>
      <c r="AK233" s="4">
        <f t="shared" si="152"/>
        <v>0.21097259161117732</v>
      </c>
      <c r="AL233" s="4">
        <f t="shared" si="152"/>
        <v>0.15253917653798199</v>
      </c>
      <c r="AM233" s="4">
        <f t="shared" si="152"/>
        <v>0.10795188737709993</v>
      </c>
      <c r="AN233" s="4">
        <f t="shared" si="152"/>
        <v>7.5176653938091809E-2</v>
      </c>
      <c r="AO233" s="4">
        <f t="shared" si="152"/>
        <v>5.1742836177502194E-2</v>
      </c>
      <c r="AP233" s="4">
        <f t="shared" si="152"/>
        <v>3.5319190625345942E-2</v>
      </c>
      <c r="AQ233" s="4">
        <f t="shared" si="152"/>
        <v>2.3969442072658165E-2</v>
      </c>
      <c r="AR233" s="4">
        <f t="shared" si="152"/>
        <v>1.6202243558389728E-2</v>
      </c>
    </row>
    <row r="234" spans="1:44" x14ac:dyDescent="0.25">
      <c r="A234" s="24" t="s">
        <v>67</v>
      </c>
      <c r="B234" s="78">
        <f>'Parameter Input'!$L$161</f>
        <v>0.06</v>
      </c>
      <c r="C234" s="61">
        <f>'Parameter Input'!$M$161</f>
        <v>0.06</v>
      </c>
      <c r="D234" s="1" t="s">
        <v>68</v>
      </c>
      <c r="L234" s="54">
        <f>'Parameter Input'!$O$161</f>
        <v>17</v>
      </c>
      <c r="M234" s="37">
        <v>0</v>
      </c>
      <c r="N234" s="37">
        <v>1</v>
      </c>
      <c r="O234" s="37">
        <f>'Parameter Input'!$P$161</f>
        <v>0.9</v>
      </c>
      <c r="P234" s="55">
        <f>'Parameter Input'!$Q$161</f>
        <v>0.4</v>
      </c>
      <c r="Q234" s="4">
        <f t="shared" si="152"/>
        <v>0.99780374543478534</v>
      </c>
      <c r="R234" s="4">
        <f t="shared" si="152"/>
        <v>0.99685359315256394</v>
      </c>
      <c r="S234" s="4">
        <f t="shared" si="152"/>
        <v>0.99549347132349975</v>
      </c>
      <c r="T234" s="4">
        <f t="shared" ref="T234:AI241" si="153">$N234+($M234-$N234)*((1/(1+EXP(-$P234*(T$9-$L234)))^$O234))</f>
        <v>0.99354772139898062</v>
      </c>
      <c r="U234" s="4">
        <f t="shared" si="153"/>
        <v>0.99076681540580536</v>
      </c>
      <c r="V234" s="4">
        <f t="shared" si="153"/>
        <v>0.9867978615748374</v>
      </c>
      <c r="W234" s="4">
        <f t="shared" si="153"/>
        <v>0.98114509762858249</v>
      </c>
      <c r="X234" s="4">
        <f t="shared" si="153"/>
        <v>0.97311898315872036</v>
      </c>
      <c r="Y234" s="4">
        <f t="shared" si="153"/>
        <v>0.96177484161592774</v>
      </c>
      <c r="Z234" s="4">
        <f t="shared" si="153"/>
        <v>0.94584787155511363</v>
      </c>
      <c r="AA234" s="4">
        <f t="shared" si="153"/>
        <v>0.92370360150141495</v>
      </c>
      <c r="AB234" s="4">
        <f t="shared" si="153"/>
        <v>0.89334463567658451</v>
      </c>
      <c r="AC234" s="4">
        <f t="shared" si="153"/>
        <v>0.85254543874327005</v>
      </c>
      <c r="AD234" s="4">
        <f t="shared" si="153"/>
        <v>0.79921300652623883</v>
      </c>
      <c r="AE234" s="4">
        <f t="shared" si="153"/>
        <v>0.73204982249993378</v>
      </c>
      <c r="AF234" s="4">
        <f t="shared" si="153"/>
        <v>0.65145592958786691</v>
      </c>
      <c r="AG234" s="4">
        <f t="shared" si="153"/>
        <v>0.56032247880849573</v>
      </c>
      <c r="AH234" s="4">
        <f t="shared" si="153"/>
        <v>0.46411326873185343</v>
      </c>
      <c r="AI234" s="4">
        <f t="shared" si="153"/>
        <v>0.36979727595523937</v>
      </c>
      <c r="AJ234" s="4">
        <f t="shared" ref="AJ234:AR241" si="154">$N234+($M234-$N234)*((1/(1+EXP(-$P234*(AJ$9-$L234)))^$O234))</f>
        <v>0.28393948637231203</v>
      </c>
      <c r="AK234" s="4">
        <f t="shared" si="154"/>
        <v>0.21097259161117732</v>
      </c>
      <c r="AL234" s="4">
        <f t="shared" si="154"/>
        <v>0.15253917653798199</v>
      </c>
      <c r="AM234" s="4">
        <f t="shared" si="154"/>
        <v>0.10795188737709993</v>
      </c>
      <c r="AN234" s="4">
        <f t="shared" si="154"/>
        <v>7.5176653938091809E-2</v>
      </c>
      <c r="AO234" s="4">
        <f t="shared" si="154"/>
        <v>5.1742836177502194E-2</v>
      </c>
      <c r="AP234" s="4">
        <f t="shared" si="154"/>
        <v>3.5319190625345942E-2</v>
      </c>
      <c r="AQ234" s="4">
        <f t="shared" si="154"/>
        <v>2.3969442072658165E-2</v>
      </c>
      <c r="AR234" s="4">
        <f t="shared" si="154"/>
        <v>1.6202243558389728E-2</v>
      </c>
    </row>
    <row r="235" spans="1:44" x14ac:dyDescent="0.25">
      <c r="A235" s="24" t="s">
        <v>206</v>
      </c>
      <c r="B235" s="78">
        <f>'Parameter Input'!L164</f>
        <v>17.249705634987386</v>
      </c>
      <c r="C235" s="61">
        <f>'Parameter Input'!M164</f>
        <v>55.988225399495377</v>
      </c>
      <c r="D235" s="1"/>
      <c r="L235" s="54">
        <f>'Parameter Input'!O164</f>
        <v>17</v>
      </c>
      <c r="M235" s="37">
        <v>0</v>
      </c>
      <c r="N235" s="37">
        <v>1</v>
      </c>
      <c r="O235" s="37">
        <f>'Parameter Input'!P164</f>
        <v>0.9</v>
      </c>
      <c r="P235" s="55">
        <f>'Parameter Input'!Q164</f>
        <v>0.4</v>
      </c>
      <c r="Q235" s="4">
        <f t="shared" ref="Q235:AR235" si="155">$N235+($M235-$N235)*((1/(1+EXP(-$P235*(Q$9-$L235)))^$O235))</f>
        <v>0.99780374543478534</v>
      </c>
      <c r="R235" s="4">
        <f t="shared" si="155"/>
        <v>0.99685359315256394</v>
      </c>
      <c r="S235" s="4">
        <f t="shared" si="155"/>
        <v>0.99549347132349975</v>
      </c>
      <c r="T235" s="4">
        <f t="shared" si="155"/>
        <v>0.99354772139898062</v>
      </c>
      <c r="U235" s="4">
        <f t="shared" si="155"/>
        <v>0.99076681540580536</v>
      </c>
      <c r="V235" s="4">
        <f t="shared" si="155"/>
        <v>0.9867978615748374</v>
      </c>
      <c r="W235" s="4">
        <f t="shared" si="155"/>
        <v>0.98114509762858249</v>
      </c>
      <c r="X235" s="4">
        <f t="shared" si="155"/>
        <v>0.97311898315872036</v>
      </c>
      <c r="Y235" s="4">
        <f t="shared" si="155"/>
        <v>0.96177484161592774</v>
      </c>
      <c r="Z235" s="4">
        <f t="shared" si="155"/>
        <v>0.94584787155511363</v>
      </c>
      <c r="AA235" s="4">
        <f t="shared" si="155"/>
        <v>0.92370360150141495</v>
      </c>
      <c r="AB235" s="4">
        <f t="shared" si="155"/>
        <v>0.89334463567658451</v>
      </c>
      <c r="AC235" s="4">
        <f t="shared" si="155"/>
        <v>0.85254543874327005</v>
      </c>
      <c r="AD235" s="4">
        <f t="shared" si="155"/>
        <v>0.79921300652623883</v>
      </c>
      <c r="AE235" s="4">
        <f t="shared" si="155"/>
        <v>0.73204982249993378</v>
      </c>
      <c r="AF235" s="4">
        <f t="shared" si="155"/>
        <v>0.65145592958786691</v>
      </c>
      <c r="AG235" s="4">
        <f t="shared" si="155"/>
        <v>0.56032247880849573</v>
      </c>
      <c r="AH235" s="4">
        <f t="shared" si="155"/>
        <v>0.46411326873185343</v>
      </c>
      <c r="AI235" s="4">
        <f t="shared" si="155"/>
        <v>0.36979727595523937</v>
      </c>
      <c r="AJ235" s="4">
        <f t="shared" si="155"/>
        <v>0.28393948637231203</v>
      </c>
      <c r="AK235" s="4">
        <f t="shared" si="155"/>
        <v>0.21097259161117732</v>
      </c>
      <c r="AL235" s="4">
        <f t="shared" si="155"/>
        <v>0.15253917653798199</v>
      </c>
      <c r="AM235" s="4">
        <f t="shared" si="155"/>
        <v>0.10795188737709993</v>
      </c>
      <c r="AN235" s="4">
        <f t="shared" si="155"/>
        <v>7.5176653938091809E-2</v>
      </c>
      <c r="AO235" s="4">
        <f t="shared" si="155"/>
        <v>5.1742836177502194E-2</v>
      </c>
      <c r="AP235" s="4">
        <f t="shared" si="155"/>
        <v>3.5319190625345942E-2</v>
      </c>
      <c r="AQ235" s="4">
        <f t="shared" si="155"/>
        <v>2.3969442072658165E-2</v>
      </c>
      <c r="AR235" s="4">
        <f t="shared" si="155"/>
        <v>1.6202243558389728E-2</v>
      </c>
    </row>
    <row r="236" spans="1:44" x14ac:dyDescent="0.25">
      <c r="A236" s="24" t="s">
        <v>41</v>
      </c>
      <c r="B236" s="60">
        <f>'Parameter Input'!$L$158</f>
        <v>25</v>
      </c>
      <c r="C236" s="61">
        <f>'Parameter Input'!$M$158</f>
        <v>25</v>
      </c>
      <c r="D236" s="1" t="s">
        <v>42</v>
      </c>
      <c r="L236" s="54">
        <f>'Parameter Input'!$O$158</f>
        <v>17</v>
      </c>
      <c r="M236" s="37">
        <v>0</v>
      </c>
      <c r="N236" s="37">
        <v>1</v>
      </c>
      <c r="O236" s="37">
        <f>'Parameter Input'!$P$158</f>
        <v>0.9</v>
      </c>
      <c r="P236" s="55">
        <f>'Parameter Input'!$Q$158</f>
        <v>0.4</v>
      </c>
      <c r="Q236" s="4">
        <f t="shared" ref="Q236:AF241" si="156">$N236+($M236-$N236)*((1/(1+EXP(-$P236*(Q$9-$L236)))^$O236))</f>
        <v>0.99780374543478534</v>
      </c>
      <c r="R236" s="4">
        <f t="shared" si="156"/>
        <v>0.99685359315256394</v>
      </c>
      <c r="S236" s="4">
        <f t="shared" si="156"/>
        <v>0.99549347132349975</v>
      </c>
      <c r="T236" s="4">
        <f t="shared" si="156"/>
        <v>0.99354772139898062</v>
      </c>
      <c r="U236" s="4">
        <f t="shared" si="156"/>
        <v>0.99076681540580536</v>
      </c>
      <c r="V236" s="4">
        <f t="shared" si="156"/>
        <v>0.9867978615748374</v>
      </c>
      <c r="W236" s="4">
        <f t="shared" si="156"/>
        <v>0.98114509762858249</v>
      </c>
      <c r="X236" s="4">
        <f t="shared" si="156"/>
        <v>0.97311898315872036</v>
      </c>
      <c r="Y236" s="4">
        <f t="shared" si="156"/>
        <v>0.96177484161592774</v>
      </c>
      <c r="Z236" s="4">
        <f t="shared" si="156"/>
        <v>0.94584787155511363</v>
      </c>
      <c r="AA236" s="4">
        <f t="shared" si="156"/>
        <v>0.92370360150141495</v>
      </c>
      <c r="AB236" s="4">
        <f t="shared" si="156"/>
        <v>0.89334463567658451</v>
      </c>
      <c r="AC236" s="4">
        <f t="shared" si="156"/>
        <v>0.85254543874327005</v>
      </c>
      <c r="AD236" s="4">
        <f t="shared" si="156"/>
        <v>0.79921300652623883</v>
      </c>
      <c r="AE236" s="4">
        <f t="shared" si="156"/>
        <v>0.73204982249993378</v>
      </c>
      <c r="AF236" s="4">
        <f t="shared" si="156"/>
        <v>0.65145592958786691</v>
      </c>
      <c r="AG236" s="4">
        <f t="shared" si="153"/>
        <v>0.56032247880849573</v>
      </c>
      <c r="AH236" s="4">
        <f t="shared" si="153"/>
        <v>0.46411326873185343</v>
      </c>
      <c r="AI236" s="4">
        <f t="shared" si="153"/>
        <v>0.36979727595523937</v>
      </c>
      <c r="AJ236" s="4">
        <f t="shared" si="154"/>
        <v>0.28393948637231203</v>
      </c>
      <c r="AK236" s="4">
        <f t="shared" si="154"/>
        <v>0.21097259161117732</v>
      </c>
      <c r="AL236" s="4">
        <f t="shared" si="154"/>
        <v>0.15253917653798199</v>
      </c>
      <c r="AM236" s="4">
        <f t="shared" si="154"/>
        <v>0.10795188737709993</v>
      </c>
      <c r="AN236" s="4">
        <f t="shared" si="154"/>
        <v>7.5176653938091809E-2</v>
      </c>
      <c r="AO236" s="4">
        <f t="shared" si="154"/>
        <v>5.1742836177502194E-2</v>
      </c>
      <c r="AP236" s="4">
        <f t="shared" si="154"/>
        <v>3.5319190625345942E-2</v>
      </c>
      <c r="AQ236" s="4">
        <f t="shared" si="154"/>
        <v>2.3969442072658165E-2</v>
      </c>
      <c r="AR236" s="4">
        <f t="shared" si="154"/>
        <v>1.6202243558389728E-2</v>
      </c>
    </row>
    <row r="237" spans="1:44" x14ac:dyDescent="0.25">
      <c r="A237" s="24" t="s">
        <v>70</v>
      </c>
      <c r="B237" s="60">
        <f>'Parameter Input'!B186</f>
        <v>25</v>
      </c>
      <c r="C237" s="61">
        <f>'Parameter Input'!C186</f>
        <v>25</v>
      </c>
      <c r="D237" s="1" t="s">
        <v>42</v>
      </c>
      <c r="L237" s="54">
        <f>'Parameter Input'!E186</f>
        <v>17</v>
      </c>
      <c r="M237" s="37">
        <v>0</v>
      </c>
      <c r="N237" s="37">
        <v>1</v>
      </c>
      <c r="O237" s="37">
        <f>'Parameter Input'!F186</f>
        <v>0.9</v>
      </c>
      <c r="P237" s="55">
        <f>'Parameter Input'!G186</f>
        <v>0.4</v>
      </c>
      <c r="Q237" s="4">
        <f t="shared" si="156"/>
        <v>0.99780374543478534</v>
      </c>
      <c r="R237" s="4">
        <f t="shared" si="156"/>
        <v>0.99685359315256394</v>
      </c>
      <c r="S237" s="4">
        <f t="shared" si="156"/>
        <v>0.99549347132349975</v>
      </c>
      <c r="T237" s="4">
        <f t="shared" si="156"/>
        <v>0.99354772139898062</v>
      </c>
      <c r="U237" s="4">
        <f t="shared" si="156"/>
        <v>0.99076681540580536</v>
      </c>
      <c r="V237" s="4">
        <f t="shared" si="156"/>
        <v>0.9867978615748374</v>
      </c>
      <c r="W237" s="4">
        <f t="shared" si="156"/>
        <v>0.98114509762858249</v>
      </c>
      <c r="X237" s="4">
        <f t="shared" si="156"/>
        <v>0.97311898315872036</v>
      </c>
      <c r="Y237" s="4">
        <f t="shared" si="156"/>
        <v>0.96177484161592774</v>
      </c>
      <c r="Z237" s="4">
        <f t="shared" si="156"/>
        <v>0.94584787155511363</v>
      </c>
      <c r="AA237" s="4">
        <f t="shared" si="156"/>
        <v>0.92370360150141495</v>
      </c>
      <c r="AB237" s="4">
        <f t="shared" si="156"/>
        <v>0.89334463567658451</v>
      </c>
      <c r="AC237" s="4">
        <f t="shared" si="156"/>
        <v>0.85254543874327005</v>
      </c>
      <c r="AD237" s="4">
        <f t="shared" si="156"/>
        <v>0.79921300652623883</v>
      </c>
      <c r="AE237" s="4">
        <f t="shared" si="156"/>
        <v>0.73204982249993378</v>
      </c>
      <c r="AF237" s="4">
        <f t="shared" si="156"/>
        <v>0.65145592958786691</v>
      </c>
      <c r="AG237" s="4">
        <f t="shared" si="153"/>
        <v>0.56032247880849573</v>
      </c>
      <c r="AH237" s="4">
        <f t="shared" si="153"/>
        <v>0.46411326873185343</v>
      </c>
      <c r="AI237" s="4">
        <f t="shared" si="153"/>
        <v>0.36979727595523937</v>
      </c>
      <c r="AJ237" s="4">
        <f t="shared" si="154"/>
        <v>0.28393948637231203</v>
      </c>
      <c r="AK237" s="4">
        <f t="shared" si="154"/>
        <v>0.21097259161117732</v>
      </c>
      <c r="AL237" s="4">
        <f t="shared" si="154"/>
        <v>0.15253917653798199</v>
      </c>
      <c r="AM237" s="4">
        <f t="shared" si="154"/>
        <v>0.10795188737709993</v>
      </c>
      <c r="AN237" s="4">
        <f t="shared" si="154"/>
        <v>7.5176653938091809E-2</v>
      </c>
      <c r="AO237" s="4">
        <f t="shared" si="154"/>
        <v>5.1742836177502194E-2</v>
      </c>
      <c r="AP237" s="4">
        <f t="shared" si="154"/>
        <v>3.5319190625345942E-2</v>
      </c>
      <c r="AQ237" s="4">
        <f t="shared" si="154"/>
        <v>2.3969442072658165E-2</v>
      </c>
      <c r="AR237" s="4">
        <f t="shared" si="154"/>
        <v>1.6202243558389728E-2</v>
      </c>
    </row>
    <row r="238" spans="1:44" x14ac:dyDescent="0.25">
      <c r="A238" s="24" t="s">
        <v>207</v>
      </c>
      <c r="B238" s="43">
        <f>'Parameter Input'!B183</f>
        <v>9450</v>
      </c>
      <c r="C238" s="44">
        <f>'Parameter Input'!C183</f>
        <v>9450</v>
      </c>
      <c r="D238" s="1" t="s">
        <v>49</v>
      </c>
      <c r="L238" s="54">
        <f>'Parameter Input'!E183</f>
        <v>17</v>
      </c>
      <c r="M238" s="37">
        <v>0</v>
      </c>
      <c r="N238" s="37">
        <v>1</v>
      </c>
      <c r="O238" s="37">
        <f>'Parameter Input'!F183</f>
        <v>0.9</v>
      </c>
      <c r="P238" s="55">
        <f>'Parameter Input'!G183</f>
        <v>0.4</v>
      </c>
      <c r="Q238" s="4">
        <f t="shared" si="156"/>
        <v>0.99780374543478534</v>
      </c>
      <c r="R238" s="4">
        <f t="shared" si="156"/>
        <v>0.99685359315256394</v>
      </c>
      <c r="S238" s="4">
        <f t="shared" si="156"/>
        <v>0.99549347132349975</v>
      </c>
      <c r="T238" s="4">
        <f t="shared" si="156"/>
        <v>0.99354772139898062</v>
      </c>
      <c r="U238" s="4">
        <f t="shared" si="156"/>
        <v>0.99076681540580536</v>
      </c>
      <c r="V238" s="4">
        <f t="shared" si="156"/>
        <v>0.9867978615748374</v>
      </c>
      <c r="W238" s="4">
        <f t="shared" si="156"/>
        <v>0.98114509762858249</v>
      </c>
      <c r="X238" s="4">
        <f t="shared" si="156"/>
        <v>0.97311898315872036</v>
      </c>
      <c r="Y238" s="4">
        <f t="shared" si="156"/>
        <v>0.96177484161592774</v>
      </c>
      <c r="Z238" s="4">
        <f t="shared" si="156"/>
        <v>0.94584787155511363</v>
      </c>
      <c r="AA238" s="4">
        <f t="shared" si="156"/>
        <v>0.92370360150141495</v>
      </c>
      <c r="AB238" s="4">
        <f t="shared" si="156"/>
        <v>0.89334463567658451</v>
      </c>
      <c r="AC238" s="4">
        <f t="shared" si="156"/>
        <v>0.85254543874327005</v>
      </c>
      <c r="AD238" s="4">
        <f t="shared" si="156"/>
        <v>0.79921300652623883</v>
      </c>
      <c r="AE238" s="4">
        <f t="shared" si="156"/>
        <v>0.73204982249993378</v>
      </c>
      <c r="AF238" s="4">
        <f t="shared" si="156"/>
        <v>0.65145592958786691</v>
      </c>
      <c r="AG238" s="4">
        <f t="shared" si="153"/>
        <v>0.56032247880849573</v>
      </c>
      <c r="AH238" s="4">
        <f t="shared" si="153"/>
        <v>0.46411326873185343</v>
      </c>
      <c r="AI238" s="4">
        <f t="shared" si="153"/>
        <v>0.36979727595523937</v>
      </c>
      <c r="AJ238" s="4">
        <f t="shared" si="154"/>
        <v>0.28393948637231203</v>
      </c>
      <c r="AK238" s="4">
        <f t="shared" si="154"/>
        <v>0.21097259161117732</v>
      </c>
      <c r="AL238" s="4">
        <f t="shared" si="154"/>
        <v>0.15253917653798199</v>
      </c>
      <c r="AM238" s="4">
        <f t="shared" si="154"/>
        <v>0.10795188737709993</v>
      </c>
      <c r="AN238" s="4">
        <f t="shared" si="154"/>
        <v>7.5176653938091809E-2</v>
      </c>
      <c r="AO238" s="4">
        <f t="shared" si="154"/>
        <v>5.1742836177502194E-2</v>
      </c>
      <c r="AP238" s="4">
        <f t="shared" si="154"/>
        <v>3.5319190625345942E-2</v>
      </c>
      <c r="AQ238" s="4">
        <f t="shared" si="154"/>
        <v>2.3969442072658165E-2</v>
      </c>
      <c r="AR238" s="4">
        <f t="shared" si="154"/>
        <v>1.6202243558389728E-2</v>
      </c>
    </row>
    <row r="239" spans="1:44" x14ac:dyDescent="0.25">
      <c r="A239" s="24" t="s">
        <v>56</v>
      </c>
      <c r="B239" s="45">
        <f>'Parameter Input'!B184</f>
        <v>0.52</v>
      </c>
      <c r="C239" s="46">
        <f>'Parameter Input'!C184</f>
        <v>0.52</v>
      </c>
      <c r="D239" s="1" t="s">
        <v>57</v>
      </c>
      <c r="L239" s="54">
        <f>'Parameter Input'!E184</f>
        <v>17</v>
      </c>
      <c r="M239" s="37">
        <v>0</v>
      </c>
      <c r="N239" s="37">
        <v>1</v>
      </c>
      <c r="O239" s="37">
        <f>'Parameter Input'!F184</f>
        <v>0.9</v>
      </c>
      <c r="P239" s="55">
        <f>'Parameter Input'!G184</f>
        <v>0.4</v>
      </c>
      <c r="Q239" s="4">
        <f t="shared" si="156"/>
        <v>0.99780374543478534</v>
      </c>
      <c r="R239" s="4">
        <f t="shared" si="156"/>
        <v>0.99685359315256394</v>
      </c>
      <c r="S239" s="4">
        <f t="shared" si="156"/>
        <v>0.99549347132349975</v>
      </c>
      <c r="T239" s="4">
        <f t="shared" si="156"/>
        <v>0.99354772139898062</v>
      </c>
      <c r="U239" s="4">
        <f t="shared" si="156"/>
        <v>0.99076681540580536</v>
      </c>
      <c r="V239" s="4">
        <f t="shared" si="156"/>
        <v>0.9867978615748374</v>
      </c>
      <c r="W239" s="4">
        <f t="shared" si="156"/>
        <v>0.98114509762858249</v>
      </c>
      <c r="X239" s="4">
        <f t="shared" si="156"/>
        <v>0.97311898315872036</v>
      </c>
      <c r="Y239" s="4">
        <f t="shared" si="156"/>
        <v>0.96177484161592774</v>
      </c>
      <c r="Z239" s="4">
        <f t="shared" si="156"/>
        <v>0.94584787155511363</v>
      </c>
      <c r="AA239" s="4">
        <f t="shared" si="156"/>
        <v>0.92370360150141495</v>
      </c>
      <c r="AB239" s="4">
        <f t="shared" si="156"/>
        <v>0.89334463567658451</v>
      </c>
      <c r="AC239" s="4">
        <f t="shared" si="156"/>
        <v>0.85254543874327005</v>
      </c>
      <c r="AD239" s="4">
        <f t="shared" si="156"/>
        <v>0.79921300652623883</v>
      </c>
      <c r="AE239" s="4">
        <f t="shared" si="156"/>
        <v>0.73204982249993378</v>
      </c>
      <c r="AF239" s="4">
        <f t="shared" si="156"/>
        <v>0.65145592958786691</v>
      </c>
      <c r="AG239" s="4">
        <f t="shared" si="153"/>
        <v>0.56032247880849573</v>
      </c>
      <c r="AH239" s="4">
        <f t="shared" si="153"/>
        <v>0.46411326873185343</v>
      </c>
      <c r="AI239" s="4">
        <f t="shared" si="153"/>
        <v>0.36979727595523937</v>
      </c>
      <c r="AJ239" s="4">
        <f t="shared" si="154"/>
        <v>0.28393948637231203</v>
      </c>
      <c r="AK239" s="4">
        <f t="shared" si="154"/>
        <v>0.21097259161117732</v>
      </c>
      <c r="AL239" s="4">
        <f t="shared" si="154"/>
        <v>0.15253917653798199</v>
      </c>
      <c r="AM239" s="4">
        <f t="shared" si="154"/>
        <v>0.10795188737709993</v>
      </c>
      <c r="AN239" s="4">
        <f t="shared" si="154"/>
        <v>7.5176653938091809E-2</v>
      </c>
      <c r="AO239" s="4">
        <f t="shared" si="154"/>
        <v>5.1742836177502194E-2</v>
      </c>
      <c r="AP239" s="4">
        <f t="shared" si="154"/>
        <v>3.5319190625345942E-2</v>
      </c>
      <c r="AQ239" s="4">
        <f t="shared" si="154"/>
        <v>2.3969442072658165E-2</v>
      </c>
      <c r="AR239" s="4">
        <f t="shared" si="154"/>
        <v>1.6202243558389728E-2</v>
      </c>
    </row>
    <row r="240" spans="1:44" x14ac:dyDescent="0.25">
      <c r="A240" s="24" t="s">
        <v>73</v>
      </c>
      <c r="B240" s="45">
        <f>'Parameter Input'!$L$162</f>
        <v>0</v>
      </c>
      <c r="C240" s="46">
        <f>'Parameter Input'!$M$162</f>
        <v>0</v>
      </c>
      <c r="D240" s="1" t="s">
        <v>57</v>
      </c>
      <c r="L240" s="54">
        <f>'Parameter Input'!$O$162</f>
        <v>17</v>
      </c>
      <c r="M240" s="37">
        <v>0</v>
      </c>
      <c r="N240" s="37">
        <v>1</v>
      </c>
      <c r="O240" s="37">
        <f>'Parameter Input'!$P$162</f>
        <v>0.9</v>
      </c>
      <c r="P240" s="55">
        <f>'Parameter Input'!$Q$162</f>
        <v>0.4</v>
      </c>
      <c r="Q240" s="4">
        <f t="shared" si="156"/>
        <v>0.99780374543478534</v>
      </c>
      <c r="R240" s="4">
        <f t="shared" si="156"/>
        <v>0.99685359315256394</v>
      </c>
      <c r="S240" s="4">
        <f t="shared" si="156"/>
        <v>0.99549347132349975</v>
      </c>
      <c r="T240" s="4">
        <f t="shared" si="156"/>
        <v>0.99354772139898062</v>
      </c>
      <c r="U240" s="4">
        <f t="shared" si="156"/>
        <v>0.99076681540580536</v>
      </c>
      <c r="V240" s="4">
        <f t="shared" si="156"/>
        <v>0.9867978615748374</v>
      </c>
      <c r="W240" s="4">
        <f t="shared" si="156"/>
        <v>0.98114509762858249</v>
      </c>
      <c r="X240" s="4">
        <f t="shared" si="156"/>
        <v>0.97311898315872036</v>
      </c>
      <c r="Y240" s="4">
        <f t="shared" si="156"/>
        <v>0.96177484161592774</v>
      </c>
      <c r="Z240" s="4">
        <f t="shared" si="156"/>
        <v>0.94584787155511363</v>
      </c>
      <c r="AA240" s="4">
        <f t="shared" si="156"/>
        <v>0.92370360150141495</v>
      </c>
      <c r="AB240" s="4">
        <f t="shared" si="156"/>
        <v>0.89334463567658451</v>
      </c>
      <c r="AC240" s="4">
        <f t="shared" si="156"/>
        <v>0.85254543874327005</v>
      </c>
      <c r="AD240" s="4">
        <f t="shared" si="156"/>
        <v>0.79921300652623883</v>
      </c>
      <c r="AE240" s="4">
        <f t="shared" si="156"/>
        <v>0.73204982249993378</v>
      </c>
      <c r="AF240" s="4">
        <f t="shared" si="156"/>
        <v>0.65145592958786691</v>
      </c>
      <c r="AG240" s="4">
        <f t="shared" si="153"/>
        <v>0.56032247880849573</v>
      </c>
      <c r="AH240" s="4">
        <f t="shared" si="153"/>
        <v>0.46411326873185343</v>
      </c>
      <c r="AI240" s="4">
        <f t="shared" si="153"/>
        <v>0.36979727595523937</v>
      </c>
      <c r="AJ240" s="4">
        <f t="shared" si="154"/>
        <v>0.28393948637231203</v>
      </c>
      <c r="AK240" s="4">
        <f t="shared" si="154"/>
        <v>0.21097259161117732</v>
      </c>
      <c r="AL240" s="4">
        <f t="shared" si="154"/>
        <v>0.15253917653798199</v>
      </c>
      <c r="AM240" s="4">
        <f t="shared" si="154"/>
        <v>0.10795188737709993</v>
      </c>
      <c r="AN240" s="4">
        <f t="shared" si="154"/>
        <v>7.5176653938091809E-2</v>
      </c>
      <c r="AO240" s="4">
        <f t="shared" si="154"/>
        <v>5.1742836177502194E-2</v>
      </c>
      <c r="AP240" s="4">
        <f t="shared" si="154"/>
        <v>3.5319190625345942E-2</v>
      </c>
      <c r="AQ240" s="4">
        <f t="shared" si="154"/>
        <v>2.3969442072658165E-2</v>
      </c>
      <c r="AR240" s="4">
        <f t="shared" si="154"/>
        <v>1.6202243558389728E-2</v>
      </c>
    </row>
    <row r="241" spans="1:44" ht="15.75" thickBot="1" x14ac:dyDescent="0.3">
      <c r="A241" s="24" t="s">
        <v>64</v>
      </c>
      <c r="B241" s="49">
        <f>'Parameter Input'!B185</f>
        <v>120000</v>
      </c>
      <c r="C241" s="50">
        <f>'Parameter Input'!C185</f>
        <v>120000</v>
      </c>
      <c r="D241" s="1" t="s">
        <v>65</v>
      </c>
      <c r="L241" s="56">
        <f>'Parameter Input'!E185</f>
        <v>17</v>
      </c>
      <c r="M241" s="57">
        <v>0</v>
      </c>
      <c r="N241" s="57">
        <v>1</v>
      </c>
      <c r="O241" s="57">
        <f>'Parameter Input'!F185</f>
        <v>0.9</v>
      </c>
      <c r="P241" s="58">
        <f>'Parameter Input'!G185</f>
        <v>0.4</v>
      </c>
      <c r="Q241" s="4">
        <f t="shared" si="156"/>
        <v>0.99780374543478534</v>
      </c>
      <c r="R241" s="4">
        <f t="shared" si="156"/>
        <v>0.99685359315256394</v>
      </c>
      <c r="S241" s="4">
        <f t="shared" si="156"/>
        <v>0.99549347132349975</v>
      </c>
      <c r="T241" s="4">
        <f t="shared" si="156"/>
        <v>0.99354772139898062</v>
      </c>
      <c r="U241" s="4">
        <f t="shared" si="156"/>
        <v>0.99076681540580536</v>
      </c>
      <c r="V241" s="4">
        <f t="shared" si="156"/>
        <v>0.9867978615748374</v>
      </c>
      <c r="W241" s="4">
        <f t="shared" si="156"/>
        <v>0.98114509762858249</v>
      </c>
      <c r="X241" s="4">
        <f t="shared" si="156"/>
        <v>0.97311898315872036</v>
      </c>
      <c r="Y241" s="4">
        <f t="shared" si="156"/>
        <v>0.96177484161592774</v>
      </c>
      <c r="Z241" s="4">
        <f t="shared" si="156"/>
        <v>0.94584787155511363</v>
      </c>
      <c r="AA241" s="4">
        <f t="shared" si="156"/>
        <v>0.92370360150141495</v>
      </c>
      <c r="AB241" s="4">
        <f t="shared" si="156"/>
        <v>0.89334463567658451</v>
      </c>
      <c r="AC241" s="4">
        <f t="shared" si="156"/>
        <v>0.85254543874327005</v>
      </c>
      <c r="AD241" s="4">
        <f t="shared" si="156"/>
        <v>0.79921300652623883</v>
      </c>
      <c r="AE241" s="4">
        <f t="shared" si="156"/>
        <v>0.73204982249993378</v>
      </c>
      <c r="AF241" s="4">
        <f t="shared" si="156"/>
        <v>0.65145592958786691</v>
      </c>
      <c r="AG241" s="4">
        <f t="shared" si="153"/>
        <v>0.56032247880849573</v>
      </c>
      <c r="AH241" s="4">
        <f t="shared" si="153"/>
        <v>0.46411326873185343</v>
      </c>
      <c r="AI241" s="4">
        <f t="shared" si="153"/>
        <v>0.36979727595523937</v>
      </c>
      <c r="AJ241" s="4">
        <f t="shared" si="154"/>
        <v>0.28393948637231203</v>
      </c>
      <c r="AK241" s="4">
        <f t="shared" si="154"/>
        <v>0.21097259161117732</v>
      </c>
      <c r="AL241" s="4">
        <f t="shared" si="154"/>
        <v>0.15253917653798199</v>
      </c>
      <c r="AM241" s="4">
        <f t="shared" si="154"/>
        <v>0.10795188737709993</v>
      </c>
      <c r="AN241" s="4">
        <f t="shared" si="154"/>
        <v>7.5176653938091809E-2</v>
      </c>
      <c r="AO241" s="4">
        <f t="shared" si="154"/>
        <v>5.1742836177502194E-2</v>
      </c>
      <c r="AP241" s="4">
        <f t="shared" si="154"/>
        <v>3.5319190625345942E-2</v>
      </c>
      <c r="AQ241" s="4">
        <f t="shared" si="154"/>
        <v>2.3969442072658165E-2</v>
      </c>
      <c r="AR241" s="4">
        <f t="shared" si="154"/>
        <v>1.6202243558389728E-2</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9" si="157">A225</f>
        <v>Capex vehicle</v>
      </c>
      <c r="B245" s="62">
        <f t="shared" ref="B245:B254" si="158">$B225+($C225-$B225)*(1-Q225)</f>
        <v>15000000</v>
      </c>
      <c r="C245" s="62">
        <f t="shared" ref="C245:C254" si="159">$B225+($C225-$B225)*(1-R225)</f>
        <v>15000000</v>
      </c>
      <c r="D245" s="62">
        <f t="shared" ref="D245:D254" si="160">$B225+($C225-$B225)*(1-S225)</f>
        <v>15000000</v>
      </c>
      <c r="E245" s="62">
        <f t="shared" ref="E245:E254" si="161">$B225+($C225-$B225)*(1-T225)</f>
        <v>15000000</v>
      </c>
      <c r="F245" s="62">
        <f t="shared" ref="F245:F254" si="162">$B225+($C225-$B225)*(1-U225)</f>
        <v>15000000</v>
      </c>
      <c r="G245" s="62">
        <f t="shared" ref="G245:G254" si="163">$B225+($C225-$B225)*(1-V225)</f>
        <v>15000000</v>
      </c>
      <c r="H245" s="62">
        <f t="shared" ref="H245:H254" si="164">$B225+($C225-$B225)*(1-W225)</f>
        <v>15000000</v>
      </c>
      <c r="I245" s="62">
        <f t="shared" ref="I245:I254" si="165">$B225+($C225-$B225)*(1-X225)</f>
        <v>15000000</v>
      </c>
      <c r="J245" s="62">
        <f t="shared" ref="J245:J254" si="166">$B225+($C225-$B225)*(1-Y225)</f>
        <v>15000000</v>
      </c>
      <c r="K245" s="62">
        <f t="shared" ref="K245:K254" si="167">$B225+($C225-$B225)*(1-Z225)</f>
        <v>15000000</v>
      </c>
      <c r="L245" s="62">
        <f t="shared" ref="L245:L254" si="168">$B225+($C225-$B225)*(1-AA225)</f>
        <v>15000000</v>
      </c>
      <c r="M245" s="62">
        <f t="shared" ref="M245:M254" si="169">$B225+($C225-$B225)*(1-AB225)</f>
        <v>15000000</v>
      </c>
      <c r="N245" s="62">
        <f t="shared" ref="N245:N254" si="170">$B225+($C225-$B225)*(1-AC225)</f>
        <v>15000000</v>
      </c>
      <c r="O245" s="62">
        <f t="shared" ref="O245:O254" si="171">$B225+($C225-$B225)*(1-AD225)</f>
        <v>15000000</v>
      </c>
      <c r="P245" s="62">
        <f t="shared" ref="P245:P254" si="172">$B225+($C225-$B225)*(1-AE225)</f>
        <v>15000000</v>
      </c>
      <c r="Q245" s="62">
        <f t="shared" ref="Q245:Q254" si="173">$B225+($C225-$B225)*(1-AF225)</f>
        <v>15000000</v>
      </c>
      <c r="R245" s="62">
        <f t="shared" ref="R245:R254" si="174">$B225+($C225-$B225)*(1-AG225)</f>
        <v>15000000</v>
      </c>
      <c r="S245" s="62">
        <f t="shared" ref="S245:S254" si="175">$B225+($C225-$B225)*(1-AH225)</f>
        <v>15000000</v>
      </c>
      <c r="T245" s="62">
        <f t="shared" ref="T245:T254" si="176">$B225+($C225-$B225)*(1-AI225)</f>
        <v>15000000</v>
      </c>
      <c r="U245" s="62">
        <f t="shared" ref="U245:U254" si="177">$B225+($C225-$B225)*(1-AJ225)</f>
        <v>15000000</v>
      </c>
      <c r="V245" s="62">
        <f t="shared" ref="V245:V254" si="178">$B225+($C225-$B225)*(1-AK225)</f>
        <v>15000000</v>
      </c>
      <c r="W245" s="62">
        <f t="shared" ref="W245:W254" si="179">$B225+($C225-$B225)*(1-AL225)</f>
        <v>15000000</v>
      </c>
      <c r="X245" s="62">
        <f t="shared" ref="X245:X254" si="180">$B225+($C225-$B225)*(1-AM225)</f>
        <v>15000000</v>
      </c>
      <c r="Y245" s="62">
        <f t="shared" ref="Y245:Y254" si="181">$B225+($C225-$B225)*(1-AN225)</f>
        <v>15000000</v>
      </c>
      <c r="Z245" s="62">
        <f t="shared" ref="Z245:Z254" si="182">$B225+($C225-$B225)*(1-AO225)</f>
        <v>15000000</v>
      </c>
      <c r="AA245" s="62">
        <f t="shared" ref="AA245:AA254" si="183">$B225+($C225-$B225)*(1-AP225)</f>
        <v>15000000</v>
      </c>
      <c r="AB245" s="62">
        <f t="shared" ref="AB245:AB254" si="184">$B225+($C225-$B225)*(1-AQ225)</f>
        <v>15000000</v>
      </c>
      <c r="AC245" s="62">
        <f t="shared" ref="AC245:AC254" si="185">$B225+($C225-$B225)*(1-AR225)</f>
        <v>15000000</v>
      </c>
    </row>
    <row r="246" spans="1:44" x14ac:dyDescent="0.25">
      <c r="A246" s="30" t="str">
        <f t="shared" si="157"/>
        <v>Residual value (vehicle)</v>
      </c>
      <c r="B246" s="62">
        <f t="shared" si="158"/>
        <v>-1498352.8090760889</v>
      </c>
      <c r="C246" s="62">
        <f t="shared" si="159"/>
        <v>-1497640.194864423</v>
      </c>
      <c r="D246" s="62">
        <f t="shared" si="160"/>
        <v>-1496620.1034926248</v>
      </c>
      <c r="E246" s="62">
        <f t="shared" si="161"/>
        <v>-1495160.7910492355</v>
      </c>
      <c r="F246" s="62">
        <f t="shared" si="162"/>
        <v>-1493075.111554354</v>
      </c>
      <c r="G246" s="62">
        <f t="shared" si="163"/>
        <v>-1490098.396181128</v>
      </c>
      <c r="H246" s="62">
        <f t="shared" si="164"/>
        <v>-1485858.8232214369</v>
      </c>
      <c r="I246" s="62">
        <f t="shared" si="165"/>
        <v>-1479839.2373690403</v>
      </c>
      <c r="J246" s="62">
        <f t="shared" si="166"/>
        <v>-1471331.1312119458</v>
      </c>
      <c r="K246" s="62">
        <f t="shared" si="167"/>
        <v>-1459385.9036663352</v>
      </c>
      <c r="L246" s="62">
        <f t="shared" si="168"/>
        <v>-1442777.7011260611</v>
      </c>
      <c r="M246" s="62">
        <f t="shared" si="169"/>
        <v>-1420008.4767574384</v>
      </c>
      <c r="N246" s="62">
        <f t="shared" si="170"/>
        <v>-1389409.0790574525</v>
      </c>
      <c r="O246" s="62">
        <f t="shared" si="171"/>
        <v>-1349409.7548946792</v>
      </c>
      <c r="P246" s="62">
        <f t="shared" si="172"/>
        <v>-1299037.3668749502</v>
      </c>
      <c r="Q246" s="62">
        <f t="shared" si="173"/>
        <v>-1238591.9471909001</v>
      </c>
      <c r="R246" s="62">
        <f t="shared" si="174"/>
        <v>-1170241.8591063719</v>
      </c>
      <c r="S246" s="62">
        <f t="shared" si="175"/>
        <v>-1098084.9515488902</v>
      </c>
      <c r="T246" s="62">
        <f t="shared" si="176"/>
        <v>-1027347.9569664295</v>
      </c>
      <c r="U246" s="62">
        <f t="shared" si="177"/>
        <v>-962954.61477923405</v>
      </c>
      <c r="V246" s="62">
        <f t="shared" si="178"/>
        <v>-908229.44370838301</v>
      </c>
      <c r="W246" s="62">
        <f t="shared" si="179"/>
        <v>-864404.38240348652</v>
      </c>
      <c r="X246" s="62">
        <f t="shared" si="180"/>
        <v>-830963.91553282493</v>
      </c>
      <c r="Y246" s="62">
        <f t="shared" si="181"/>
        <v>-806382.49045356887</v>
      </c>
      <c r="Z246" s="62">
        <f t="shared" si="182"/>
        <v>-788807.1271331266</v>
      </c>
      <c r="AA246" s="62">
        <f t="shared" si="183"/>
        <v>-776489.39296900947</v>
      </c>
      <c r="AB246" s="62">
        <f t="shared" si="184"/>
        <v>-767977.08155449363</v>
      </c>
      <c r="AC246" s="62">
        <f t="shared" si="185"/>
        <v>-762151.68266879232</v>
      </c>
    </row>
    <row r="247" spans="1:44" x14ac:dyDescent="0.25">
      <c r="A247" s="30" t="str">
        <f t="shared" si="157"/>
        <v>Capex costumization</v>
      </c>
      <c r="B247" s="62">
        <f t="shared" si="158"/>
        <v>1000000</v>
      </c>
      <c r="C247" s="62">
        <f t="shared" si="159"/>
        <v>1000000</v>
      </c>
      <c r="D247" s="62">
        <f t="shared" si="160"/>
        <v>1000000</v>
      </c>
      <c r="E247" s="62">
        <f t="shared" si="161"/>
        <v>1000000</v>
      </c>
      <c r="F247" s="62">
        <f t="shared" si="162"/>
        <v>1000000</v>
      </c>
      <c r="G247" s="62">
        <f t="shared" si="163"/>
        <v>1000000</v>
      </c>
      <c r="H247" s="62">
        <f t="shared" si="164"/>
        <v>1000000</v>
      </c>
      <c r="I247" s="62">
        <f t="shared" si="165"/>
        <v>1000000</v>
      </c>
      <c r="J247" s="62">
        <f t="shared" si="166"/>
        <v>1000000</v>
      </c>
      <c r="K247" s="62">
        <f t="shared" si="167"/>
        <v>1000000</v>
      </c>
      <c r="L247" s="62">
        <f t="shared" si="168"/>
        <v>1000000</v>
      </c>
      <c r="M247" s="62">
        <f t="shared" si="169"/>
        <v>1000000</v>
      </c>
      <c r="N247" s="62">
        <f t="shared" si="170"/>
        <v>1000000</v>
      </c>
      <c r="O247" s="62">
        <f t="shared" si="171"/>
        <v>1000000</v>
      </c>
      <c r="P247" s="62">
        <f t="shared" si="172"/>
        <v>1000000</v>
      </c>
      <c r="Q247" s="62">
        <f t="shared" si="173"/>
        <v>1000000</v>
      </c>
      <c r="R247" s="62">
        <f t="shared" si="174"/>
        <v>1000000</v>
      </c>
      <c r="S247" s="62">
        <f t="shared" si="175"/>
        <v>1000000</v>
      </c>
      <c r="T247" s="62">
        <f t="shared" si="176"/>
        <v>1000000</v>
      </c>
      <c r="U247" s="62">
        <f t="shared" si="177"/>
        <v>1000000</v>
      </c>
      <c r="V247" s="62">
        <f t="shared" si="178"/>
        <v>1000000</v>
      </c>
      <c r="W247" s="62">
        <f t="shared" si="179"/>
        <v>1000000</v>
      </c>
      <c r="X247" s="62">
        <f t="shared" si="180"/>
        <v>1000000</v>
      </c>
      <c r="Y247" s="62">
        <f t="shared" si="181"/>
        <v>1000000</v>
      </c>
      <c r="Z247" s="62">
        <f t="shared" si="182"/>
        <v>1000000</v>
      </c>
      <c r="AA247" s="62">
        <f t="shared" si="183"/>
        <v>1000000</v>
      </c>
      <c r="AB247" s="62">
        <f t="shared" si="184"/>
        <v>1000000</v>
      </c>
      <c r="AC247" s="62">
        <f t="shared" si="185"/>
        <v>1000000</v>
      </c>
    </row>
    <row r="248" spans="1:44" x14ac:dyDescent="0.25">
      <c r="A248" s="30" t="str">
        <f t="shared" si="157"/>
        <v>Residual value (costumization)</v>
      </c>
      <c r="B248" s="62">
        <f t="shared" si="158"/>
        <v>-100000</v>
      </c>
      <c r="C248" s="62">
        <f t="shared" si="159"/>
        <v>-100000</v>
      </c>
      <c r="D248" s="62">
        <f t="shared" si="160"/>
        <v>-100000</v>
      </c>
      <c r="E248" s="62">
        <f t="shared" si="161"/>
        <v>-100000</v>
      </c>
      <c r="F248" s="62">
        <f t="shared" si="162"/>
        <v>-100000</v>
      </c>
      <c r="G248" s="62">
        <f t="shared" si="163"/>
        <v>-100000</v>
      </c>
      <c r="H248" s="62">
        <f t="shared" si="164"/>
        <v>-100000</v>
      </c>
      <c r="I248" s="62">
        <f t="shared" si="165"/>
        <v>-100000</v>
      </c>
      <c r="J248" s="62">
        <f t="shared" si="166"/>
        <v>-100000</v>
      </c>
      <c r="K248" s="62">
        <f t="shared" si="167"/>
        <v>-100000</v>
      </c>
      <c r="L248" s="62">
        <f t="shared" si="168"/>
        <v>-100000</v>
      </c>
      <c r="M248" s="62">
        <f t="shared" si="169"/>
        <v>-100000</v>
      </c>
      <c r="N248" s="62">
        <f t="shared" si="170"/>
        <v>-100000</v>
      </c>
      <c r="O248" s="62">
        <f t="shared" si="171"/>
        <v>-100000</v>
      </c>
      <c r="P248" s="62">
        <f t="shared" si="172"/>
        <v>-100000</v>
      </c>
      <c r="Q248" s="62">
        <f t="shared" si="173"/>
        <v>-100000</v>
      </c>
      <c r="R248" s="62">
        <f t="shared" si="174"/>
        <v>-100000</v>
      </c>
      <c r="S248" s="62">
        <f t="shared" si="175"/>
        <v>-100000</v>
      </c>
      <c r="T248" s="62">
        <f t="shared" si="176"/>
        <v>-100000</v>
      </c>
      <c r="U248" s="62">
        <f t="shared" si="177"/>
        <v>-100000</v>
      </c>
      <c r="V248" s="62">
        <f t="shared" si="178"/>
        <v>-100000</v>
      </c>
      <c r="W248" s="62">
        <f t="shared" si="179"/>
        <v>-100000</v>
      </c>
      <c r="X248" s="62">
        <f t="shared" si="180"/>
        <v>-100000</v>
      </c>
      <c r="Y248" s="62">
        <f t="shared" si="181"/>
        <v>-100000</v>
      </c>
      <c r="Z248" s="62">
        <f t="shared" si="182"/>
        <v>-100000</v>
      </c>
      <c r="AA248" s="62">
        <f t="shared" si="183"/>
        <v>-100000</v>
      </c>
      <c r="AB248" s="62">
        <f t="shared" si="184"/>
        <v>-100000</v>
      </c>
      <c r="AC248" s="62">
        <f t="shared" si="185"/>
        <v>-100000</v>
      </c>
    </row>
    <row r="249" spans="1:44" x14ac:dyDescent="0.25">
      <c r="A249" s="30" t="str">
        <f t="shared" si="157"/>
        <v>WACC</v>
      </c>
      <c r="B249" s="62">
        <f t="shared" si="158"/>
        <v>0.06</v>
      </c>
      <c r="C249" s="62">
        <f t="shared" si="159"/>
        <v>0.06</v>
      </c>
      <c r="D249" s="62">
        <f t="shared" si="160"/>
        <v>0.06</v>
      </c>
      <c r="E249" s="62">
        <f t="shared" si="161"/>
        <v>0.06</v>
      </c>
      <c r="F249" s="62">
        <f t="shared" si="162"/>
        <v>0.06</v>
      </c>
      <c r="G249" s="62">
        <f t="shared" si="163"/>
        <v>0.06</v>
      </c>
      <c r="H249" s="62">
        <f t="shared" si="164"/>
        <v>0.06</v>
      </c>
      <c r="I249" s="62">
        <f t="shared" si="165"/>
        <v>0.06</v>
      </c>
      <c r="J249" s="62">
        <f t="shared" si="166"/>
        <v>0.06</v>
      </c>
      <c r="K249" s="62">
        <f t="shared" si="167"/>
        <v>0.06</v>
      </c>
      <c r="L249" s="62">
        <f t="shared" si="168"/>
        <v>0.06</v>
      </c>
      <c r="M249" s="62">
        <f t="shared" si="169"/>
        <v>0.06</v>
      </c>
      <c r="N249" s="62">
        <f t="shared" si="170"/>
        <v>0.06</v>
      </c>
      <c r="O249" s="62">
        <f t="shared" si="171"/>
        <v>0.06</v>
      </c>
      <c r="P249" s="62">
        <f t="shared" si="172"/>
        <v>0.06</v>
      </c>
      <c r="Q249" s="62">
        <f t="shared" si="173"/>
        <v>0.06</v>
      </c>
      <c r="R249" s="62">
        <f t="shared" si="174"/>
        <v>0.06</v>
      </c>
      <c r="S249" s="62">
        <f t="shared" si="175"/>
        <v>0.06</v>
      </c>
      <c r="T249" s="62">
        <f t="shared" si="176"/>
        <v>0.06</v>
      </c>
      <c r="U249" s="62">
        <f t="shared" si="177"/>
        <v>0.06</v>
      </c>
      <c r="V249" s="62">
        <f t="shared" si="178"/>
        <v>0.06</v>
      </c>
      <c r="W249" s="62">
        <f t="shared" si="179"/>
        <v>0.06</v>
      </c>
      <c r="X249" s="62">
        <f t="shared" si="180"/>
        <v>0.06</v>
      </c>
      <c r="Y249" s="62">
        <f t="shared" si="181"/>
        <v>0.06</v>
      </c>
      <c r="Z249" s="62">
        <f t="shared" si="182"/>
        <v>0.06</v>
      </c>
      <c r="AA249" s="62">
        <f t="shared" si="183"/>
        <v>0.06</v>
      </c>
      <c r="AB249" s="62">
        <f t="shared" si="184"/>
        <v>0.06</v>
      </c>
      <c r="AC249" s="62">
        <f t="shared" si="185"/>
        <v>0.06</v>
      </c>
    </row>
    <row r="250" spans="1:44" x14ac:dyDescent="0.25">
      <c r="A250" s="30" t="str">
        <f t="shared" si="157"/>
        <v>Opex fix (admin, crew, insurance)</v>
      </c>
      <c r="B250" s="62">
        <f t="shared" si="158"/>
        <v>1208235.294117647</v>
      </c>
      <c r="C250" s="62">
        <f t="shared" si="159"/>
        <v>1208235.294117647</v>
      </c>
      <c r="D250" s="62">
        <f t="shared" si="160"/>
        <v>1208235.294117647</v>
      </c>
      <c r="E250" s="62">
        <f t="shared" si="161"/>
        <v>1208235.294117647</v>
      </c>
      <c r="F250" s="62">
        <f t="shared" si="162"/>
        <v>1208235.294117647</v>
      </c>
      <c r="G250" s="62">
        <f t="shared" si="163"/>
        <v>1208235.294117647</v>
      </c>
      <c r="H250" s="62">
        <f t="shared" si="164"/>
        <v>1208235.294117647</v>
      </c>
      <c r="I250" s="62">
        <f t="shared" si="165"/>
        <v>1208235.294117647</v>
      </c>
      <c r="J250" s="62">
        <f t="shared" si="166"/>
        <v>1208235.294117647</v>
      </c>
      <c r="K250" s="62">
        <f t="shared" si="167"/>
        <v>1208235.294117647</v>
      </c>
      <c r="L250" s="62">
        <f t="shared" si="168"/>
        <v>1208235.294117647</v>
      </c>
      <c r="M250" s="62">
        <f t="shared" si="169"/>
        <v>1208235.294117647</v>
      </c>
      <c r="N250" s="62">
        <f t="shared" si="170"/>
        <v>1208235.294117647</v>
      </c>
      <c r="O250" s="62">
        <f t="shared" si="171"/>
        <v>1208235.294117647</v>
      </c>
      <c r="P250" s="62">
        <f t="shared" si="172"/>
        <v>1208235.294117647</v>
      </c>
      <c r="Q250" s="62">
        <f t="shared" si="173"/>
        <v>1208235.294117647</v>
      </c>
      <c r="R250" s="62">
        <f t="shared" si="174"/>
        <v>1208235.294117647</v>
      </c>
      <c r="S250" s="62">
        <f t="shared" si="175"/>
        <v>1208235.294117647</v>
      </c>
      <c r="T250" s="62">
        <f t="shared" si="176"/>
        <v>1208235.294117647</v>
      </c>
      <c r="U250" s="62">
        <f t="shared" si="177"/>
        <v>1208235.294117647</v>
      </c>
      <c r="V250" s="62">
        <f t="shared" si="178"/>
        <v>1208235.294117647</v>
      </c>
      <c r="W250" s="62">
        <f t="shared" si="179"/>
        <v>1208235.294117647</v>
      </c>
      <c r="X250" s="62">
        <f t="shared" si="180"/>
        <v>1208235.294117647</v>
      </c>
      <c r="Y250" s="62">
        <f t="shared" si="181"/>
        <v>1208235.294117647</v>
      </c>
      <c r="Z250" s="62">
        <f t="shared" si="182"/>
        <v>1208235.294117647</v>
      </c>
      <c r="AA250" s="62">
        <f t="shared" si="183"/>
        <v>1208235.294117647</v>
      </c>
      <c r="AB250" s="62">
        <f t="shared" si="184"/>
        <v>1208235.294117647</v>
      </c>
      <c r="AC250" s="62">
        <f t="shared" si="185"/>
        <v>1208235.294117647</v>
      </c>
    </row>
    <row r="251" spans="1:44" x14ac:dyDescent="0.25">
      <c r="A251" s="30" t="str">
        <f t="shared" si="157"/>
        <v>Opex maintenance &amp; repair</v>
      </c>
      <c r="B251" s="62">
        <f t="shared" si="158"/>
        <v>488235.29411764705</v>
      </c>
      <c r="C251" s="62">
        <f t="shared" si="159"/>
        <v>488235.29411764705</v>
      </c>
      <c r="D251" s="62">
        <f t="shared" si="160"/>
        <v>488235.29411764705</v>
      </c>
      <c r="E251" s="62">
        <f t="shared" si="161"/>
        <v>488235.29411764705</v>
      </c>
      <c r="F251" s="62">
        <f t="shared" si="162"/>
        <v>488235.29411764705</v>
      </c>
      <c r="G251" s="62">
        <f t="shared" si="163"/>
        <v>488235.29411764705</v>
      </c>
      <c r="H251" s="62">
        <f t="shared" si="164"/>
        <v>488235.29411764705</v>
      </c>
      <c r="I251" s="62">
        <f t="shared" si="165"/>
        <v>488235.29411764705</v>
      </c>
      <c r="J251" s="62">
        <f t="shared" si="166"/>
        <v>488235.29411764705</v>
      </c>
      <c r="K251" s="62">
        <f t="shared" si="167"/>
        <v>488235.29411764705</v>
      </c>
      <c r="L251" s="62">
        <f t="shared" si="168"/>
        <v>488235.29411764705</v>
      </c>
      <c r="M251" s="62">
        <f t="shared" si="169"/>
        <v>488235.29411764705</v>
      </c>
      <c r="N251" s="62">
        <f t="shared" si="170"/>
        <v>488235.29411764705</v>
      </c>
      <c r="O251" s="62">
        <f t="shared" si="171"/>
        <v>488235.29411764705</v>
      </c>
      <c r="P251" s="62">
        <f t="shared" si="172"/>
        <v>488235.29411764705</v>
      </c>
      <c r="Q251" s="62">
        <f t="shared" si="173"/>
        <v>488235.29411764705</v>
      </c>
      <c r="R251" s="62">
        <f t="shared" si="174"/>
        <v>488235.29411764705</v>
      </c>
      <c r="S251" s="62">
        <f t="shared" si="175"/>
        <v>488235.29411764705</v>
      </c>
      <c r="T251" s="62">
        <f t="shared" si="176"/>
        <v>488235.29411764705</v>
      </c>
      <c r="U251" s="62">
        <f t="shared" si="177"/>
        <v>488235.29411764705</v>
      </c>
      <c r="V251" s="62">
        <f t="shared" si="178"/>
        <v>488235.29411764705</v>
      </c>
      <c r="W251" s="62">
        <f t="shared" si="179"/>
        <v>488235.29411764705</v>
      </c>
      <c r="X251" s="62">
        <f t="shared" si="180"/>
        <v>488235.29411764705</v>
      </c>
      <c r="Y251" s="62">
        <f t="shared" si="181"/>
        <v>488235.29411764705</v>
      </c>
      <c r="Z251" s="62">
        <f t="shared" si="182"/>
        <v>488235.29411764705</v>
      </c>
      <c r="AA251" s="62">
        <f t="shared" si="183"/>
        <v>488235.29411764705</v>
      </c>
      <c r="AB251" s="62">
        <f t="shared" si="184"/>
        <v>488235.29411764705</v>
      </c>
      <c r="AC251" s="62">
        <f t="shared" si="185"/>
        <v>488235.29411764705</v>
      </c>
    </row>
    <row r="252" spans="1:44" x14ac:dyDescent="0.25">
      <c r="A252" s="30" t="str">
        <f t="shared" si="157"/>
        <v>Opex var (mode-fees)</v>
      </c>
      <c r="B252" s="62">
        <f t="shared" si="158"/>
        <v>0.81280569096848254</v>
      </c>
      <c r="C252" s="62">
        <f t="shared" si="159"/>
        <v>0.81280569096848254</v>
      </c>
      <c r="D252" s="62">
        <f t="shared" si="160"/>
        <v>0.81280569096848254</v>
      </c>
      <c r="E252" s="62">
        <f t="shared" si="161"/>
        <v>0.81280569096848254</v>
      </c>
      <c r="F252" s="62">
        <f t="shared" si="162"/>
        <v>0.81280569096848254</v>
      </c>
      <c r="G252" s="62">
        <f t="shared" si="163"/>
        <v>0.81280569096848254</v>
      </c>
      <c r="H252" s="62">
        <f t="shared" si="164"/>
        <v>0.81280569096848254</v>
      </c>
      <c r="I252" s="62">
        <f t="shared" si="165"/>
        <v>0.81280569096848254</v>
      </c>
      <c r="J252" s="62">
        <f t="shared" si="166"/>
        <v>0.81280569096848254</v>
      </c>
      <c r="K252" s="62">
        <f t="shared" si="167"/>
        <v>0.81280569096848254</v>
      </c>
      <c r="L252" s="62">
        <f t="shared" si="168"/>
        <v>0.81280569096848254</v>
      </c>
      <c r="M252" s="62">
        <f t="shared" si="169"/>
        <v>0.81280569096848254</v>
      </c>
      <c r="N252" s="62">
        <f t="shared" si="170"/>
        <v>0.81280569096848254</v>
      </c>
      <c r="O252" s="62">
        <f t="shared" si="171"/>
        <v>0.81280569096848254</v>
      </c>
      <c r="P252" s="62">
        <f t="shared" si="172"/>
        <v>0.81280569096848254</v>
      </c>
      <c r="Q252" s="62">
        <f t="shared" si="173"/>
        <v>0.81280569096848254</v>
      </c>
      <c r="R252" s="62">
        <f t="shared" si="174"/>
        <v>0.81280569096848254</v>
      </c>
      <c r="S252" s="62">
        <f t="shared" si="175"/>
        <v>0.81280569096848254</v>
      </c>
      <c r="T252" s="62">
        <f t="shared" si="176"/>
        <v>0.81280569096848254</v>
      </c>
      <c r="U252" s="62">
        <f t="shared" si="177"/>
        <v>0.81280569096848254</v>
      </c>
      <c r="V252" s="62">
        <f t="shared" si="178"/>
        <v>0.81280569096848254</v>
      </c>
      <c r="W252" s="62">
        <f t="shared" si="179"/>
        <v>0.81280569096848254</v>
      </c>
      <c r="X252" s="62">
        <f t="shared" si="180"/>
        <v>0.81280569096848254</v>
      </c>
      <c r="Y252" s="62">
        <f t="shared" si="181"/>
        <v>0.81280569096848254</v>
      </c>
      <c r="Z252" s="62">
        <f t="shared" si="182"/>
        <v>0.81280569096848254</v>
      </c>
      <c r="AA252" s="62">
        <f t="shared" si="183"/>
        <v>0.81280569096848254</v>
      </c>
      <c r="AB252" s="62">
        <f t="shared" si="184"/>
        <v>0.81280569096848254</v>
      </c>
      <c r="AC252" s="62">
        <f t="shared" si="185"/>
        <v>0.81280569096848254</v>
      </c>
    </row>
    <row r="253" spans="1:44" x14ac:dyDescent="0.25">
      <c r="A253" s="30" t="str">
        <f t="shared" si="157"/>
        <v>Fuel Economy</v>
      </c>
      <c r="B253" s="62">
        <f t="shared" si="158"/>
        <v>646.89677603543487</v>
      </c>
      <c r="C253" s="62">
        <f t="shared" si="159"/>
        <v>646.85211887817047</v>
      </c>
      <c r="D253" s="62">
        <f t="shared" si="160"/>
        <v>646.78819315220449</v>
      </c>
      <c r="E253" s="62">
        <f t="shared" si="161"/>
        <v>646.6967429057521</v>
      </c>
      <c r="F253" s="62">
        <f t="shared" si="162"/>
        <v>646.5660403240729</v>
      </c>
      <c r="G253" s="62">
        <f t="shared" si="163"/>
        <v>646.37949949401741</v>
      </c>
      <c r="H253" s="62">
        <f t="shared" si="164"/>
        <v>646.11381958854338</v>
      </c>
      <c r="I253" s="62">
        <f t="shared" si="165"/>
        <v>645.73659220845991</v>
      </c>
      <c r="J253" s="62">
        <f t="shared" si="166"/>
        <v>645.20341755594859</v>
      </c>
      <c r="K253" s="62">
        <f t="shared" si="167"/>
        <v>644.4548499630904</v>
      </c>
      <c r="L253" s="62">
        <f t="shared" si="168"/>
        <v>643.41406927056653</v>
      </c>
      <c r="M253" s="62">
        <f t="shared" si="169"/>
        <v>641.98719787679943</v>
      </c>
      <c r="N253" s="62">
        <f t="shared" si="170"/>
        <v>640.0696356209337</v>
      </c>
      <c r="O253" s="62">
        <f t="shared" si="171"/>
        <v>637.56301130673319</v>
      </c>
      <c r="P253" s="62">
        <f t="shared" si="172"/>
        <v>634.40634165749691</v>
      </c>
      <c r="Q253" s="62">
        <f t="shared" si="173"/>
        <v>630.6184286906298</v>
      </c>
      <c r="R253" s="62">
        <f t="shared" si="174"/>
        <v>626.33515650399931</v>
      </c>
      <c r="S253" s="62">
        <f t="shared" si="175"/>
        <v>621.81332363039712</v>
      </c>
      <c r="T253" s="62">
        <f t="shared" si="176"/>
        <v>617.38047196989623</v>
      </c>
      <c r="U253" s="62">
        <f t="shared" si="177"/>
        <v>613.34515585949862</v>
      </c>
      <c r="V253" s="62">
        <f t="shared" si="178"/>
        <v>609.91571180572532</v>
      </c>
      <c r="W253" s="62">
        <f t="shared" si="179"/>
        <v>607.1693412972852</v>
      </c>
      <c r="X253" s="62">
        <f t="shared" si="180"/>
        <v>605.0737387067237</v>
      </c>
      <c r="Y253" s="62">
        <f t="shared" si="181"/>
        <v>603.53330273509027</v>
      </c>
      <c r="Z253" s="62">
        <f t="shared" si="182"/>
        <v>602.43191330034256</v>
      </c>
      <c r="AA253" s="62">
        <f t="shared" si="183"/>
        <v>601.66000195939125</v>
      </c>
      <c r="AB253" s="62">
        <f t="shared" si="184"/>
        <v>601.12656377741496</v>
      </c>
      <c r="AC253" s="62">
        <f t="shared" si="185"/>
        <v>600.7615054472443</v>
      </c>
    </row>
    <row r="254" spans="1:44" x14ac:dyDescent="0.25">
      <c r="A254" s="30" t="str">
        <f t="shared" si="157"/>
        <v>Fuel Cost</v>
      </c>
      <c r="B254" s="62">
        <f t="shared" si="158"/>
        <v>0.06</v>
      </c>
      <c r="C254" s="62">
        <f t="shared" si="159"/>
        <v>0.06</v>
      </c>
      <c r="D254" s="62">
        <f t="shared" si="160"/>
        <v>0.06</v>
      </c>
      <c r="E254" s="62">
        <f t="shared" si="161"/>
        <v>0.06</v>
      </c>
      <c r="F254" s="62">
        <f t="shared" si="162"/>
        <v>0.06</v>
      </c>
      <c r="G254" s="62">
        <f t="shared" si="163"/>
        <v>0.06</v>
      </c>
      <c r="H254" s="62">
        <f t="shared" si="164"/>
        <v>0.06</v>
      </c>
      <c r="I254" s="62">
        <f t="shared" si="165"/>
        <v>0.06</v>
      </c>
      <c r="J254" s="62">
        <f t="shared" si="166"/>
        <v>0.06</v>
      </c>
      <c r="K254" s="62">
        <f t="shared" si="167"/>
        <v>0.06</v>
      </c>
      <c r="L254" s="62">
        <f t="shared" si="168"/>
        <v>0.06</v>
      </c>
      <c r="M254" s="62">
        <f t="shared" si="169"/>
        <v>0.06</v>
      </c>
      <c r="N254" s="62">
        <f t="shared" si="170"/>
        <v>0.06</v>
      </c>
      <c r="O254" s="62">
        <f t="shared" si="171"/>
        <v>0.06</v>
      </c>
      <c r="P254" s="62">
        <f t="shared" si="172"/>
        <v>0.06</v>
      </c>
      <c r="Q254" s="62">
        <f t="shared" si="173"/>
        <v>0.06</v>
      </c>
      <c r="R254" s="62">
        <f t="shared" si="174"/>
        <v>0.06</v>
      </c>
      <c r="S254" s="62">
        <f t="shared" si="175"/>
        <v>0.06</v>
      </c>
      <c r="T254" s="62">
        <f t="shared" si="176"/>
        <v>0.06</v>
      </c>
      <c r="U254" s="62">
        <f t="shared" si="177"/>
        <v>0.06</v>
      </c>
      <c r="V254" s="62">
        <f t="shared" si="178"/>
        <v>0.06</v>
      </c>
      <c r="W254" s="62">
        <f t="shared" si="179"/>
        <v>0.06</v>
      </c>
      <c r="X254" s="62">
        <f t="shared" si="180"/>
        <v>0.06</v>
      </c>
      <c r="Y254" s="62">
        <f t="shared" si="181"/>
        <v>0.06</v>
      </c>
      <c r="Z254" s="62">
        <f t="shared" si="182"/>
        <v>0.06</v>
      </c>
      <c r="AA254" s="62">
        <f t="shared" si="183"/>
        <v>0.06</v>
      </c>
      <c r="AB254" s="62">
        <f t="shared" si="184"/>
        <v>0.06</v>
      </c>
      <c r="AC254" s="62">
        <f t="shared" si="185"/>
        <v>0.06</v>
      </c>
    </row>
    <row r="255" spans="1:44" x14ac:dyDescent="0.25">
      <c r="A255" s="30" t="str">
        <f t="shared" si="157"/>
        <v>Emission Cost</v>
      </c>
      <c r="B255" s="62">
        <f>$B235+($C235-$B235)*(1-Q235)</f>
        <v>17.334785285869845</v>
      </c>
      <c r="C255" s="62">
        <f t="shared" ref="C255:AC255" si="186">$B235+($C235-$B235)*(1-R235)</f>
        <v>17.371592778833971</v>
      </c>
      <c r="D255" s="62">
        <f t="shared" si="186"/>
        <v>17.424281885191313</v>
      </c>
      <c r="E255" s="62">
        <f t="shared" si="186"/>
        <v>17.499657357099085</v>
      </c>
      <c r="F255" s="62">
        <f t="shared" si="186"/>
        <v>17.607385538878944</v>
      </c>
      <c r="G255" s="62">
        <f t="shared" si="186"/>
        <v>17.761136935304318</v>
      </c>
      <c r="H255" s="62">
        <f t="shared" si="186"/>
        <v>17.980116643160411</v>
      </c>
      <c r="I255" s="62">
        <f t="shared" si="186"/>
        <v>18.291036437183369</v>
      </c>
      <c r="J255" s="62">
        <f t="shared" si="186"/>
        <v>18.730491688550217</v>
      </c>
      <c r="K255" s="62">
        <f t="shared" si="186"/>
        <v>19.347478933039792</v>
      </c>
      <c r="L255" s="62">
        <f t="shared" si="186"/>
        <v>20.2053151761856</v>
      </c>
      <c r="M255" s="62">
        <f t="shared" si="186"/>
        <v>21.381376573820816</v>
      </c>
      <c r="N255" s="62">
        <f t="shared" si="186"/>
        <v>22.961877070598074</v>
      </c>
      <c r="O255" s="62">
        <f t="shared" si="186"/>
        <v>25.027896550126819</v>
      </c>
      <c r="P255" s="62">
        <f t="shared" si="186"/>
        <v>27.629698881977127</v>
      </c>
      <c r="Q255" s="62">
        <f t="shared" si="186"/>
        <v>30.751786995449869</v>
      </c>
      <c r="R255" s="62">
        <f t="shared" si="186"/>
        <v>34.282161979674356</v>
      </c>
      <c r="S255" s="62">
        <f t="shared" si="186"/>
        <v>38.009164365756064</v>
      </c>
      <c r="T255" s="62">
        <f t="shared" si="186"/>
        <v>41.662826316042121</v>
      </c>
      <c r="U255" s="62">
        <f t="shared" si="186"/>
        <v>44.988829994737316</v>
      </c>
      <c r="V255" s="62">
        <f t="shared" si="186"/>
        <v>47.815459489596307</v>
      </c>
      <c r="W255" s="62">
        <f t="shared" si="186"/>
        <v>50.07908349431699</v>
      </c>
      <c r="X255" s="62">
        <f t="shared" si="186"/>
        <v>51.806329076721653</v>
      </c>
      <c r="Y255" s="62">
        <f t="shared" si="186"/>
        <v>53.075993105085033</v>
      </c>
      <c r="Z255" s="62">
        <f t="shared" si="186"/>
        <v>53.98378451756151</v>
      </c>
      <c r="AA255" s="62">
        <f t="shared" si="186"/>
        <v>54.620012235388991</v>
      </c>
      <c r="AB255" s="62">
        <f t="shared" si="186"/>
        <v>55.059684694019481</v>
      </c>
      <c r="AC255" s="62">
        <f t="shared" si="186"/>
        <v>55.360574467179326</v>
      </c>
    </row>
    <row r="256" spans="1:44" x14ac:dyDescent="0.25">
      <c r="A256" s="30" t="str">
        <f t="shared" si="157"/>
        <v>Lifetime vehicle</v>
      </c>
      <c r="B256" s="62">
        <f>$B236+($C236-$B236)*(1-Q236)</f>
        <v>25</v>
      </c>
      <c r="C256" s="62">
        <f t="shared" ref="C256:L258" si="187">$B236+($C236-$B236)*(1-R236)</f>
        <v>25</v>
      </c>
      <c r="D256" s="62">
        <f t="shared" si="187"/>
        <v>25</v>
      </c>
      <c r="E256" s="62">
        <f t="shared" si="187"/>
        <v>25</v>
      </c>
      <c r="F256" s="62">
        <f t="shared" si="187"/>
        <v>25</v>
      </c>
      <c r="G256" s="62">
        <f t="shared" si="187"/>
        <v>25</v>
      </c>
      <c r="H256" s="62">
        <f t="shared" si="187"/>
        <v>25</v>
      </c>
      <c r="I256" s="62">
        <f t="shared" si="187"/>
        <v>25</v>
      </c>
      <c r="J256" s="62">
        <f t="shared" si="187"/>
        <v>25</v>
      </c>
      <c r="K256" s="62">
        <f t="shared" si="187"/>
        <v>25</v>
      </c>
      <c r="L256" s="62">
        <f t="shared" si="187"/>
        <v>25</v>
      </c>
      <c r="M256" s="62">
        <f t="shared" ref="M256:V258" si="188">$B236+($C236-$B236)*(1-AB236)</f>
        <v>25</v>
      </c>
      <c r="N256" s="62">
        <f t="shared" si="188"/>
        <v>25</v>
      </c>
      <c r="O256" s="62">
        <f t="shared" si="188"/>
        <v>25</v>
      </c>
      <c r="P256" s="62">
        <f t="shared" si="188"/>
        <v>25</v>
      </c>
      <c r="Q256" s="62">
        <f t="shared" si="188"/>
        <v>25</v>
      </c>
      <c r="R256" s="62">
        <f t="shared" si="188"/>
        <v>25</v>
      </c>
      <c r="S256" s="62">
        <f t="shared" si="188"/>
        <v>25</v>
      </c>
      <c r="T256" s="62">
        <f t="shared" si="188"/>
        <v>25</v>
      </c>
      <c r="U256" s="62">
        <f t="shared" si="188"/>
        <v>25</v>
      </c>
      <c r="V256" s="62">
        <f t="shared" si="188"/>
        <v>25</v>
      </c>
      <c r="W256" s="62">
        <f t="shared" ref="W256:AC258" si="189">$B236+($C236-$B236)*(1-AL236)</f>
        <v>25</v>
      </c>
      <c r="X256" s="62">
        <f t="shared" si="189"/>
        <v>25</v>
      </c>
      <c r="Y256" s="62">
        <f t="shared" si="189"/>
        <v>25</v>
      </c>
      <c r="Z256" s="62">
        <f t="shared" si="189"/>
        <v>25</v>
      </c>
      <c r="AA256" s="62">
        <f t="shared" si="189"/>
        <v>25</v>
      </c>
      <c r="AB256" s="62">
        <f t="shared" si="189"/>
        <v>25</v>
      </c>
      <c r="AC256" s="62">
        <f t="shared" si="189"/>
        <v>25</v>
      </c>
    </row>
    <row r="257" spans="1:29" x14ac:dyDescent="0.25">
      <c r="A257" s="30" t="str">
        <f t="shared" si="157"/>
        <v>Lifetime costumization</v>
      </c>
      <c r="B257" s="62">
        <f>$B237+($C237-$B237)*(1-Q237)</f>
        <v>25</v>
      </c>
      <c r="C257" s="62">
        <f t="shared" si="187"/>
        <v>25</v>
      </c>
      <c r="D257" s="62">
        <f t="shared" si="187"/>
        <v>25</v>
      </c>
      <c r="E257" s="62">
        <f t="shared" si="187"/>
        <v>25</v>
      </c>
      <c r="F257" s="62">
        <f t="shared" si="187"/>
        <v>25</v>
      </c>
      <c r="G257" s="62">
        <f t="shared" si="187"/>
        <v>25</v>
      </c>
      <c r="H257" s="62">
        <f t="shared" si="187"/>
        <v>25</v>
      </c>
      <c r="I257" s="62">
        <f t="shared" si="187"/>
        <v>25</v>
      </c>
      <c r="J257" s="62">
        <f t="shared" si="187"/>
        <v>25</v>
      </c>
      <c r="K257" s="62">
        <f t="shared" si="187"/>
        <v>25</v>
      </c>
      <c r="L257" s="62">
        <f t="shared" si="187"/>
        <v>25</v>
      </c>
      <c r="M257" s="62">
        <f t="shared" si="188"/>
        <v>25</v>
      </c>
      <c r="N257" s="62">
        <f t="shared" si="188"/>
        <v>25</v>
      </c>
      <c r="O257" s="62">
        <f t="shared" si="188"/>
        <v>25</v>
      </c>
      <c r="P257" s="62">
        <f t="shared" si="188"/>
        <v>25</v>
      </c>
      <c r="Q257" s="62">
        <f t="shared" si="188"/>
        <v>25</v>
      </c>
      <c r="R257" s="62">
        <f t="shared" si="188"/>
        <v>25</v>
      </c>
      <c r="S257" s="62">
        <f t="shared" si="188"/>
        <v>25</v>
      </c>
      <c r="T257" s="62">
        <f t="shared" si="188"/>
        <v>25</v>
      </c>
      <c r="U257" s="62">
        <f t="shared" si="188"/>
        <v>25</v>
      </c>
      <c r="V257" s="62">
        <f t="shared" si="188"/>
        <v>25</v>
      </c>
      <c r="W257" s="62">
        <f t="shared" si="189"/>
        <v>25</v>
      </c>
      <c r="X257" s="62">
        <f t="shared" si="189"/>
        <v>25</v>
      </c>
      <c r="Y257" s="62">
        <f t="shared" si="189"/>
        <v>25</v>
      </c>
      <c r="Z257" s="62">
        <f t="shared" si="189"/>
        <v>25</v>
      </c>
      <c r="AA257" s="62">
        <f t="shared" si="189"/>
        <v>25</v>
      </c>
      <c r="AB257" s="62">
        <f t="shared" si="189"/>
        <v>25</v>
      </c>
      <c r="AC257" s="62">
        <f t="shared" si="189"/>
        <v>25</v>
      </c>
    </row>
    <row r="258" spans="1:29" x14ac:dyDescent="0.25">
      <c r="A258" s="30" t="str">
        <f t="shared" si="157"/>
        <v>Tonnage .</v>
      </c>
      <c r="B258" s="62">
        <f>$B238+($C238-$B238)*(1-Q238)</f>
        <v>9450</v>
      </c>
      <c r="C258" s="62">
        <f t="shared" si="187"/>
        <v>9450</v>
      </c>
      <c r="D258" s="62">
        <f t="shared" si="187"/>
        <v>9450</v>
      </c>
      <c r="E258" s="62">
        <f t="shared" si="187"/>
        <v>9450</v>
      </c>
      <c r="F258" s="62">
        <f t="shared" si="187"/>
        <v>9450</v>
      </c>
      <c r="G258" s="62">
        <f t="shared" si="187"/>
        <v>9450</v>
      </c>
      <c r="H258" s="62">
        <f t="shared" si="187"/>
        <v>9450</v>
      </c>
      <c r="I258" s="62">
        <f t="shared" si="187"/>
        <v>9450</v>
      </c>
      <c r="J258" s="62">
        <f t="shared" si="187"/>
        <v>9450</v>
      </c>
      <c r="K258" s="62">
        <f t="shared" si="187"/>
        <v>9450</v>
      </c>
      <c r="L258" s="62">
        <f t="shared" si="187"/>
        <v>9450</v>
      </c>
      <c r="M258" s="62">
        <f t="shared" si="188"/>
        <v>9450</v>
      </c>
      <c r="N258" s="62">
        <f t="shared" si="188"/>
        <v>9450</v>
      </c>
      <c r="O258" s="62">
        <f t="shared" si="188"/>
        <v>9450</v>
      </c>
      <c r="P258" s="62">
        <f t="shared" si="188"/>
        <v>9450</v>
      </c>
      <c r="Q258" s="62">
        <f t="shared" si="188"/>
        <v>9450</v>
      </c>
      <c r="R258" s="62">
        <f t="shared" si="188"/>
        <v>9450</v>
      </c>
      <c r="S258" s="62">
        <f t="shared" si="188"/>
        <v>9450</v>
      </c>
      <c r="T258" s="62">
        <f t="shared" si="188"/>
        <v>9450</v>
      </c>
      <c r="U258" s="62">
        <f t="shared" si="188"/>
        <v>9450</v>
      </c>
      <c r="V258" s="62">
        <f t="shared" si="188"/>
        <v>9450</v>
      </c>
      <c r="W258" s="62">
        <f t="shared" si="189"/>
        <v>9450</v>
      </c>
      <c r="X258" s="62">
        <f t="shared" si="189"/>
        <v>9450</v>
      </c>
      <c r="Y258" s="62">
        <f t="shared" si="189"/>
        <v>9450</v>
      </c>
      <c r="Z258" s="62">
        <f t="shared" si="189"/>
        <v>9450</v>
      </c>
      <c r="AA258" s="62">
        <f t="shared" si="189"/>
        <v>9450</v>
      </c>
      <c r="AB258" s="62">
        <f t="shared" si="189"/>
        <v>9450</v>
      </c>
      <c r="AC258" s="62">
        <f t="shared" si="189"/>
        <v>9450</v>
      </c>
    </row>
    <row r="259" spans="1:29" x14ac:dyDescent="0.25">
      <c r="A259" s="30" t="str">
        <f t="shared" si="157"/>
        <v>Market failure (av. utilization)</v>
      </c>
      <c r="B259" s="62">
        <f t="shared" ref="B259:K260" si="190">($B239+($C239-$B239)*(1-Q239))*B$44</f>
        <v>4914</v>
      </c>
      <c r="C259" s="62">
        <f t="shared" si="190"/>
        <v>4914</v>
      </c>
      <c r="D259" s="62">
        <f t="shared" si="190"/>
        <v>4914</v>
      </c>
      <c r="E259" s="62">
        <f t="shared" si="190"/>
        <v>4914</v>
      </c>
      <c r="F259" s="62">
        <f t="shared" si="190"/>
        <v>4914</v>
      </c>
      <c r="G259" s="62">
        <f t="shared" si="190"/>
        <v>4914</v>
      </c>
      <c r="H259" s="62">
        <f t="shared" si="190"/>
        <v>4914</v>
      </c>
      <c r="I259" s="62">
        <f t="shared" si="190"/>
        <v>4914</v>
      </c>
      <c r="J259" s="62">
        <f t="shared" si="190"/>
        <v>4914</v>
      </c>
      <c r="K259" s="62">
        <f t="shared" si="190"/>
        <v>4914</v>
      </c>
      <c r="L259" s="62">
        <f t="shared" ref="L259:U260" si="191">($B239+($C239-$B239)*(1-AA239))*L$44</f>
        <v>4914</v>
      </c>
      <c r="M259" s="62">
        <f t="shared" si="191"/>
        <v>4914</v>
      </c>
      <c r="N259" s="62">
        <f t="shared" si="191"/>
        <v>4914</v>
      </c>
      <c r="O259" s="62">
        <f t="shared" si="191"/>
        <v>4914</v>
      </c>
      <c r="P259" s="62">
        <f t="shared" si="191"/>
        <v>4914</v>
      </c>
      <c r="Q259" s="62">
        <f t="shared" si="191"/>
        <v>4914</v>
      </c>
      <c r="R259" s="62">
        <f t="shared" si="191"/>
        <v>4914</v>
      </c>
      <c r="S259" s="62">
        <f t="shared" si="191"/>
        <v>4914</v>
      </c>
      <c r="T259" s="62">
        <f t="shared" si="191"/>
        <v>4914</v>
      </c>
      <c r="U259" s="62">
        <f t="shared" si="191"/>
        <v>4914</v>
      </c>
      <c r="V259" s="62">
        <f t="shared" ref="V259:AC260" si="192">($B239+($C239-$B239)*(1-AK239))*V$44</f>
        <v>4914</v>
      </c>
      <c r="W259" s="62">
        <f t="shared" si="192"/>
        <v>4914</v>
      </c>
      <c r="X259" s="62">
        <f t="shared" si="192"/>
        <v>4914</v>
      </c>
      <c r="Y259" s="62">
        <f t="shared" si="192"/>
        <v>4914</v>
      </c>
      <c r="Z259" s="62">
        <f t="shared" si="192"/>
        <v>4914</v>
      </c>
      <c r="AA259" s="62">
        <f t="shared" si="192"/>
        <v>4914</v>
      </c>
      <c r="AB259" s="62">
        <f t="shared" si="192"/>
        <v>4914</v>
      </c>
      <c r="AC259" s="62">
        <f t="shared" si="192"/>
        <v>4914</v>
      </c>
    </row>
    <row r="260" spans="1:29" x14ac:dyDescent="0.25">
      <c r="A260" s="30" t="s">
        <v>73</v>
      </c>
      <c r="B260" s="62">
        <f t="shared" si="190"/>
        <v>0</v>
      </c>
      <c r="C260" s="62">
        <f t="shared" si="190"/>
        <v>0</v>
      </c>
      <c r="D260" s="62">
        <f t="shared" si="190"/>
        <v>0</v>
      </c>
      <c r="E260" s="62">
        <f t="shared" si="190"/>
        <v>0</v>
      </c>
      <c r="F260" s="62">
        <f t="shared" si="190"/>
        <v>0</v>
      </c>
      <c r="G260" s="62">
        <f t="shared" si="190"/>
        <v>0</v>
      </c>
      <c r="H260" s="62">
        <f t="shared" si="190"/>
        <v>0</v>
      </c>
      <c r="I260" s="62">
        <f t="shared" si="190"/>
        <v>0</v>
      </c>
      <c r="J260" s="62">
        <f t="shared" si="190"/>
        <v>0</v>
      </c>
      <c r="K260" s="62">
        <f t="shared" si="190"/>
        <v>0</v>
      </c>
      <c r="L260" s="62">
        <f t="shared" si="191"/>
        <v>0</v>
      </c>
      <c r="M260" s="62">
        <f t="shared" si="191"/>
        <v>0</v>
      </c>
      <c r="N260" s="62">
        <f t="shared" si="191"/>
        <v>0</v>
      </c>
      <c r="O260" s="62">
        <f t="shared" si="191"/>
        <v>0</v>
      </c>
      <c r="P260" s="62">
        <f t="shared" si="191"/>
        <v>0</v>
      </c>
      <c r="Q260" s="62">
        <f t="shared" si="191"/>
        <v>0</v>
      </c>
      <c r="R260" s="62">
        <f t="shared" si="191"/>
        <v>0</v>
      </c>
      <c r="S260" s="62">
        <f t="shared" si="191"/>
        <v>0</v>
      </c>
      <c r="T260" s="62">
        <f t="shared" si="191"/>
        <v>0</v>
      </c>
      <c r="U260" s="62">
        <f t="shared" si="191"/>
        <v>0</v>
      </c>
      <c r="V260" s="62">
        <f t="shared" si="192"/>
        <v>0</v>
      </c>
      <c r="W260" s="62">
        <f t="shared" si="192"/>
        <v>0</v>
      </c>
      <c r="X260" s="62">
        <f t="shared" si="192"/>
        <v>0</v>
      </c>
      <c r="Y260" s="62">
        <f t="shared" si="192"/>
        <v>0</v>
      </c>
      <c r="Z260" s="62">
        <f t="shared" si="192"/>
        <v>0</v>
      </c>
      <c r="AA260" s="62">
        <f t="shared" si="192"/>
        <v>0</v>
      </c>
      <c r="AB260" s="62">
        <f t="shared" si="192"/>
        <v>0</v>
      </c>
      <c r="AC260" s="62">
        <f t="shared" si="192"/>
        <v>0</v>
      </c>
    </row>
    <row r="261" spans="1:29" x14ac:dyDescent="0.25">
      <c r="A261" s="30" t="str">
        <f>A241</f>
        <v>Annual Mileage</v>
      </c>
      <c r="B261" s="62">
        <f t="shared" ref="B261:AC261" si="193">$B241+($C241-$B241)*(1-Q241)</f>
        <v>120000</v>
      </c>
      <c r="C261" s="62">
        <f t="shared" si="193"/>
        <v>120000</v>
      </c>
      <c r="D261" s="62">
        <f t="shared" si="193"/>
        <v>120000</v>
      </c>
      <c r="E261" s="62">
        <f t="shared" si="193"/>
        <v>120000</v>
      </c>
      <c r="F261" s="62">
        <f t="shared" si="193"/>
        <v>120000</v>
      </c>
      <c r="G261" s="62">
        <f t="shared" si="193"/>
        <v>120000</v>
      </c>
      <c r="H261" s="62">
        <f t="shared" si="193"/>
        <v>120000</v>
      </c>
      <c r="I261" s="62">
        <f t="shared" si="193"/>
        <v>120000</v>
      </c>
      <c r="J261" s="62">
        <f t="shared" si="193"/>
        <v>120000</v>
      </c>
      <c r="K261" s="62">
        <f t="shared" si="193"/>
        <v>120000</v>
      </c>
      <c r="L261" s="62">
        <f t="shared" si="193"/>
        <v>120000</v>
      </c>
      <c r="M261" s="62">
        <f t="shared" si="193"/>
        <v>120000</v>
      </c>
      <c r="N261" s="62">
        <f t="shared" si="193"/>
        <v>120000</v>
      </c>
      <c r="O261" s="62">
        <f t="shared" si="193"/>
        <v>120000</v>
      </c>
      <c r="P261" s="62">
        <f t="shared" si="193"/>
        <v>120000</v>
      </c>
      <c r="Q261" s="62">
        <f t="shared" si="193"/>
        <v>120000</v>
      </c>
      <c r="R261" s="62">
        <f t="shared" si="193"/>
        <v>120000</v>
      </c>
      <c r="S261" s="62">
        <f t="shared" si="193"/>
        <v>120000</v>
      </c>
      <c r="T261" s="62">
        <f t="shared" si="193"/>
        <v>120000</v>
      </c>
      <c r="U261" s="62">
        <f t="shared" si="193"/>
        <v>120000</v>
      </c>
      <c r="V261" s="62">
        <f t="shared" si="193"/>
        <v>120000</v>
      </c>
      <c r="W261" s="62">
        <f t="shared" si="193"/>
        <v>120000</v>
      </c>
      <c r="X261" s="62">
        <f t="shared" si="193"/>
        <v>120000</v>
      </c>
      <c r="Y261" s="62">
        <f t="shared" si="193"/>
        <v>120000</v>
      </c>
      <c r="Z261" s="62">
        <f t="shared" si="193"/>
        <v>120000</v>
      </c>
      <c r="AA261" s="62">
        <f t="shared" si="193"/>
        <v>120000</v>
      </c>
      <c r="AB261" s="62">
        <f t="shared" si="193"/>
        <v>120000</v>
      </c>
      <c r="AC261" s="62">
        <f t="shared" si="193"/>
        <v>120000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1173400.7731841092</v>
      </c>
      <c r="C264" s="63">
        <f t="shared" ref="C264:AC264" si="194">((1+C249)^C256)*C249/(((1+C249)^C256)-1)*(C245)</f>
        <v>1173400.7731841092</v>
      </c>
      <c r="D264" s="63">
        <f t="shared" si="194"/>
        <v>1173400.7731841092</v>
      </c>
      <c r="E264" s="63">
        <f t="shared" si="194"/>
        <v>1173400.7731841092</v>
      </c>
      <c r="F264" s="63">
        <f t="shared" si="194"/>
        <v>1173400.7731841092</v>
      </c>
      <c r="G264" s="63">
        <f t="shared" si="194"/>
        <v>1173400.7731841092</v>
      </c>
      <c r="H264" s="63">
        <f t="shared" si="194"/>
        <v>1173400.7731841092</v>
      </c>
      <c r="I264" s="63">
        <f t="shared" si="194"/>
        <v>1173400.7731841092</v>
      </c>
      <c r="J264" s="63">
        <f t="shared" si="194"/>
        <v>1173400.7731841092</v>
      </c>
      <c r="K264" s="63">
        <f t="shared" si="194"/>
        <v>1173400.7731841092</v>
      </c>
      <c r="L264" s="63">
        <f t="shared" si="194"/>
        <v>1173400.7731841092</v>
      </c>
      <c r="M264" s="63">
        <f t="shared" si="194"/>
        <v>1173400.7731841092</v>
      </c>
      <c r="N264" s="63">
        <f t="shared" si="194"/>
        <v>1173400.7731841092</v>
      </c>
      <c r="O264" s="63">
        <f t="shared" si="194"/>
        <v>1173400.7731841092</v>
      </c>
      <c r="P264" s="63">
        <f t="shared" si="194"/>
        <v>1173400.7731841092</v>
      </c>
      <c r="Q264" s="63">
        <f t="shared" si="194"/>
        <v>1173400.7731841092</v>
      </c>
      <c r="R264" s="63">
        <f t="shared" si="194"/>
        <v>1173400.7731841092</v>
      </c>
      <c r="S264" s="63">
        <f t="shared" si="194"/>
        <v>1173400.7731841092</v>
      </c>
      <c r="T264" s="63">
        <f t="shared" si="194"/>
        <v>1173400.7731841092</v>
      </c>
      <c r="U264" s="63">
        <f t="shared" si="194"/>
        <v>1173400.7731841092</v>
      </c>
      <c r="V264" s="63">
        <f t="shared" si="194"/>
        <v>1173400.7731841092</v>
      </c>
      <c r="W264" s="63">
        <f t="shared" si="194"/>
        <v>1173400.7731841092</v>
      </c>
      <c r="X264" s="63">
        <f t="shared" si="194"/>
        <v>1173400.7731841092</v>
      </c>
      <c r="Y264" s="63">
        <f t="shared" si="194"/>
        <v>1173400.7731841092</v>
      </c>
      <c r="Z264" s="63">
        <f t="shared" si="194"/>
        <v>1173400.7731841092</v>
      </c>
      <c r="AA264" s="63">
        <f t="shared" si="194"/>
        <v>1173400.7731841092</v>
      </c>
      <c r="AB264" s="63">
        <f t="shared" si="194"/>
        <v>1173400.7731841092</v>
      </c>
      <c r="AC264" s="63">
        <f t="shared" si="194"/>
        <v>1173400.7731841092</v>
      </c>
    </row>
    <row r="265" spans="1:29" x14ac:dyDescent="0.25">
      <c r="A265" s="30" t="str">
        <f>A246</f>
        <v>Residual value (vehicle)</v>
      </c>
      <c r="B265" s="62">
        <f>((1+B249)^B256)*B249/(((1+B249)^B256)-1)*(B246)</f>
        <v>-117211.22297816433</v>
      </c>
      <c r="C265" s="62">
        <f t="shared" ref="C265:AC265" si="195">((1+C249)^C256)*C249/(((1+C249)^C256)-1)*(C246)</f>
        <v>-117155.47750703427</v>
      </c>
      <c r="D265" s="62">
        <f t="shared" si="195"/>
        <v>-117075.67910674184</v>
      </c>
      <c r="E265" s="62">
        <f t="shared" si="195"/>
        <v>-116961.52188344915</v>
      </c>
      <c r="F265" s="62">
        <f t="shared" si="195"/>
        <v>-116798.36602132194</v>
      </c>
      <c r="G265" s="62">
        <f t="shared" si="195"/>
        <v>-116565.50734662244</v>
      </c>
      <c r="H265" s="62">
        <f t="shared" si="195"/>
        <v>-116233.85946736432</v>
      </c>
      <c r="I265" s="62">
        <f t="shared" si="195"/>
        <v>-115762.96702113429</v>
      </c>
      <c r="J265" s="62">
        <f t="shared" si="195"/>
        <v>-115097.40579826315</v>
      </c>
      <c r="K265" s="62">
        <f t="shared" si="195"/>
        <v>-114162.96984907117</v>
      </c>
      <c r="L265" s="62">
        <f t="shared" si="195"/>
        <v>-112863.76466894078</v>
      </c>
      <c r="M265" s="62">
        <f t="shared" si="195"/>
        <v>-111082.60297034449</v>
      </c>
      <c r="N265" s="62">
        <f t="shared" si="195"/>
        <v>-108688.91250900239</v>
      </c>
      <c r="O265" s="62">
        <f t="shared" si="195"/>
        <v>-105559.89664903973</v>
      </c>
      <c r="P265" s="62">
        <f t="shared" si="195"/>
        <v>-101619.43004574107</v>
      </c>
      <c r="Q265" s="62">
        <f t="shared" si="195"/>
        <v>-96890.983232894243</v>
      </c>
      <c r="R265" s="62">
        <f t="shared" si="195"/>
        <v>-91544.180152521745</v>
      </c>
      <c r="S265" s="62">
        <f t="shared" si="195"/>
        <v>-85899.582077953528</v>
      </c>
      <c r="T265" s="62">
        <f t="shared" si="195"/>
        <v>-80366.059135568226</v>
      </c>
      <c r="U265" s="62">
        <f t="shared" si="195"/>
        <v>-75328.779301543953</v>
      </c>
      <c r="V265" s="62">
        <f t="shared" si="195"/>
        <v>-71047.808765066002</v>
      </c>
      <c r="W265" s="62">
        <f t="shared" si="195"/>
        <v>-67619.518043732241</v>
      </c>
      <c r="X265" s="62">
        <f t="shared" si="195"/>
        <v>-65003.580064954105</v>
      </c>
      <c r="Y265" s="62">
        <f t="shared" si="195"/>
        <v>-63080.655852023017</v>
      </c>
      <c r="Z265" s="62">
        <f t="shared" si="195"/>
        <v>-61705.792858076449</v>
      </c>
      <c r="AA265" s="62">
        <f t="shared" si="195"/>
        <v>-60742.216938606354</v>
      </c>
      <c r="AB265" s="62">
        <f t="shared" si="195"/>
        <v>-60076.3267522479</v>
      </c>
      <c r="AC265" s="62">
        <f t="shared" si="195"/>
        <v>-59620.624915142049</v>
      </c>
    </row>
    <row r="266" spans="1:29" x14ac:dyDescent="0.25">
      <c r="A266" s="30" t="str">
        <f>A247</f>
        <v>Capex costumization</v>
      </c>
      <c r="B266" s="62">
        <f>((1+B249)^B257)*B249/(((1+B249)^B257)-1)*(B247)</f>
        <v>78226.718212273947</v>
      </c>
      <c r="C266" s="62">
        <f t="shared" ref="C266:AC266" si="196">((1+C249)^C257)*C249/(((1+C249)^C257)-1)*(C247)</f>
        <v>78226.718212273947</v>
      </c>
      <c r="D266" s="62">
        <f t="shared" si="196"/>
        <v>78226.718212273947</v>
      </c>
      <c r="E266" s="62">
        <f t="shared" si="196"/>
        <v>78226.718212273947</v>
      </c>
      <c r="F266" s="62">
        <f t="shared" si="196"/>
        <v>78226.718212273947</v>
      </c>
      <c r="G266" s="62">
        <f t="shared" si="196"/>
        <v>78226.718212273947</v>
      </c>
      <c r="H266" s="62">
        <f t="shared" si="196"/>
        <v>78226.718212273947</v>
      </c>
      <c r="I266" s="62">
        <f t="shared" si="196"/>
        <v>78226.718212273947</v>
      </c>
      <c r="J266" s="62">
        <f t="shared" si="196"/>
        <v>78226.718212273947</v>
      </c>
      <c r="K266" s="62">
        <f t="shared" si="196"/>
        <v>78226.718212273947</v>
      </c>
      <c r="L266" s="62">
        <f t="shared" si="196"/>
        <v>78226.718212273947</v>
      </c>
      <c r="M266" s="62">
        <f t="shared" si="196"/>
        <v>78226.718212273947</v>
      </c>
      <c r="N266" s="62">
        <f t="shared" si="196"/>
        <v>78226.718212273947</v>
      </c>
      <c r="O266" s="62">
        <f t="shared" si="196"/>
        <v>78226.718212273947</v>
      </c>
      <c r="P266" s="62">
        <f t="shared" si="196"/>
        <v>78226.718212273947</v>
      </c>
      <c r="Q266" s="62">
        <f t="shared" si="196"/>
        <v>78226.718212273947</v>
      </c>
      <c r="R266" s="62">
        <f t="shared" si="196"/>
        <v>78226.718212273947</v>
      </c>
      <c r="S266" s="62">
        <f t="shared" si="196"/>
        <v>78226.718212273947</v>
      </c>
      <c r="T266" s="62">
        <f t="shared" si="196"/>
        <v>78226.718212273947</v>
      </c>
      <c r="U266" s="62">
        <f t="shared" si="196"/>
        <v>78226.718212273947</v>
      </c>
      <c r="V266" s="62">
        <f t="shared" si="196"/>
        <v>78226.718212273947</v>
      </c>
      <c r="W266" s="62">
        <f t="shared" si="196"/>
        <v>78226.718212273947</v>
      </c>
      <c r="X266" s="62">
        <f t="shared" si="196"/>
        <v>78226.718212273947</v>
      </c>
      <c r="Y266" s="62">
        <f t="shared" si="196"/>
        <v>78226.718212273947</v>
      </c>
      <c r="Z266" s="62">
        <f t="shared" si="196"/>
        <v>78226.718212273947</v>
      </c>
      <c r="AA266" s="62">
        <f t="shared" si="196"/>
        <v>78226.718212273947</v>
      </c>
      <c r="AB266" s="62">
        <f t="shared" si="196"/>
        <v>78226.718212273947</v>
      </c>
      <c r="AC266" s="62">
        <f t="shared" si="196"/>
        <v>78226.718212273947</v>
      </c>
    </row>
    <row r="267" spans="1:29" x14ac:dyDescent="0.25">
      <c r="A267" s="30" t="str">
        <f>A248</f>
        <v>Residual value (costumization)</v>
      </c>
      <c r="B267" s="62">
        <f>((1+B249)^B257)*B249/(((1+B249)^B257)-1)*(B248)</f>
        <v>-7822.6718212273945</v>
      </c>
      <c r="C267" s="62">
        <f t="shared" ref="C267:AC267" si="197">((1+C249)^C257)*C249/(((1+C249)^C257)-1)*(C248)</f>
        <v>-7822.6718212273945</v>
      </c>
      <c r="D267" s="62">
        <f t="shared" si="197"/>
        <v>-7822.6718212273945</v>
      </c>
      <c r="E267" s="62">
        <f t="shared" si="197"/>
        <v>-7822.6718212273945</v>
      </c>
      <c r="F267" s="62">
        <f t="shared" si="197"/>
        <v>-7822.6718212273945</v>
      </c>
      <c r="G267" s="62">
        <f t="shared" si="197"/>
        <v>-7822.6718212273945</v>
      </c>
      <c r="H267" s="62">
        <f t="shared" si="197"/>
        <v>-7822.6718212273945</v>
      </c>
      <c r="I267" s="62">
        <f t="shared" si="197"/>
        <v>-7822.6718212273945</v>
      </c>
      <c r="J267" s="62">
        <f t="shared" si="197"/>
        <v>-7822.6718212273945</v>
      </c>
      <c r="K267" s="62">
        <f t="shared" si="197"/>
        <v>-7822.6718212273945</v>
      </c>
      <c r="L267" s="62">
        <f t="shared" si="197"/>
        <v>-7822.6718212273945</v>
      </c>
      <c r="M267" s="62">
        <f t="shared" si="197"/>
        <v>-7822.6718212273945</v>
      </c>
      <c r="N267" s="62">
        <f t="shared" si="197"/>
        <v>-7822.6718212273945</v>
      </c>
      <c r="O267" s="62">
        <f t="shared" si="197"/>
        <v>-7822.6718212273945</v>
      </c>
      <c r="P267" s="62">
        <f t="shared" si="197"/>
        <v>-7822.6718212273945</v>
      </c>
      <c r="Q267" s="62">
        <f t="shared" si="197"/>
        <v>-7822.6718212273945</v>
      </c>
      <c r="R267" s="62">
        <f t="shared" si="197"/>
        <v>-7822.6718212273945</v>
      </c>
      <c r="S267" s="62">
        <f t="shared" si="197"/>
        <v>-7822.6718212273945</v>
      </c>
      <c r="T267" s="62">
        <f t="shared" si="197"/>
        <v>-7822.6718212273945</v>
      </c>
      <c r="U267" s="62">
        <f t="shared" si="197"/>
        <v>-7822.6718212273945</v>
      </c>
      <c r="V267" s="62">
        <f t="shared" si="197"/>
        <v>-7822.6718212273945</v>
      </c>
      <c r="W267" s="62">
        <f t="shared" si="197"/>
        <v>-7822.6718212273945</v>
      </c>
      <c r="X267" s="62">
        <f t="shared" si="197"/>
        <v>-7822.6718212273945</v>
      </c>
      <c r="Y267" s="62">
        <f t="shared" si="197"/>
        <v>-7822.6718212273945</v>
      </c>
      <c r="Z267" s="62">
        <f t="shared" si="197"/>
        <v>-7822.6718212273945</v>
      </c>
      <c r="AA267" s="62">
        <f t="shared" si="197"/>
        <v>-7822.6718212273945</v>
      </c>
      <c r="AB267" s="62">
        <f t="shared" si="197"/>
        <v>-7822.6718212273945</v>
      </c>
      <c r="AC267" s="62">
        <f t="shared" si="197"/>
        <v>-7822.6718212273945</v>
      </c>
    </row>
    <row r="268" spans="1:29" x14ac:dyDescent="0.25">
      <c r="A268" s="30" t="str">
        <f t="shared" ref="A268:AC268" si="198">A250</f>
        <v>Opex fix (admin, crew, insurance)</v>
      </c>
      <c r="B268" s="62">
        <f t="shared" si="198"/>
        <v>1208235.294117647</v>
      </c>
      <c r="C268" s="62">
        <f t="shared" si="198"/>
        <v>1208235.294117647</v>
      </c>
      <c r="D268" s="62">
        <f t="shared" si="198"/>
        <v>1208235.294117647</v>
      </c>
      <c r="E268" s="62">
        <f t="shared" si="198"/>
        <v>1208235.294117647</v>
      </c>
      <c r="F268" s="62">
        <f t="shared" si="198"/>
        <v>1208235.294117647</v>
      </c>
      <c r="G268" s="62">
        <f t="shared" si="198"/>
        <v>1208235.294117647</v>
      </c>
      <c r="H268" s="62">
        <f t="shared" si="198"/>
        <v>1208235.294117647</v>
      </c>
      <c r="I268" s="62">
        <f t="shared" si="198"/>
        <v>1208235.294117647</v>
      </c>
      <c r="J268" s="62">
        <f t="shared" si="198"/>
        <v>1208235.294117647</v>
      </c>
      <c r="K268" s="62">
        <f t="shared" si="198"/>
        <v>1208235.294117647</v>
      </c>
      <c r="L268" s="62">
        <f t="shared" si="198"/>
        <v>1208235.294117647</v>
      </c>
      <c r="M268" s="62">
        <f t="shared" si="198"/>
        <v>1208235.294117647</v>
      </c>
      <c r="N268" s="62">
        <f t="shared" si="198"/>
        <v>1208235.294117647</v>
      </c>
      <c r="O268" s="62">
        <f t="shared" si="198"/>
        <v>1208235.294117647</v>
      </c>
      <c r="P268" s="62">
        <f t="shared" si="198"/>
        <v>1208235.294117647</v>
      </c>
      <c r="Q268" s="62">
        <f t="shared" si="198"/>
        <v>1208235.294117647</v>
      </c>
      <c r="R268" s="62">
        <f t="shared" si="198"/>
        <v>1208235.294117647</v>
      </c>
      <c r="S268" s="62">
        <f t="shared" si="198"/>
        <v>1208235.294117647</v>
      </c>
      <c r="T268" s="62">
        <f t="shared" si="198"/>
        <v>1208235.294117647</v>
      </c>
      <c r="U268" s="62">
        <f t="shared" si="198"/>
        <v>1208235.294117647</v>
      </c>
      <c r="V268" s="62">
        <f t="shared" si="198"/>
        <v>1208235.294117647</v>
      </c>
      <c r="W268" s="62">
        <f t="shared" si="198"/>
        <v>1208235.294117647</v>
      </c>
      <c r="X268" s="62">
        <f t="shared" si="198"/>
        <v>1208235.294117647</v>
      </c>
      <c r="Y268" s="62">
        <f t="shared" si="198"/>
        <v>1208235.294117647</v>
      </c>
      <c r="Z268" s="62">
        <f t="shared" si="198"/>
        <v>1208235.294117647</v>
      </c>
      <c r="AA268" s="62">
        <f t="shared" si="198"/>
        <v>1208235.294117647</v>
      </c>
      <c r="AB268" s="62">
        <f t="shared" si="198"/>
        <v>1208235.294117647</v>
      </c>
      <c r="AC268" s="62">
        <f t="shared" si="198"/>
        <v>1208235.294117647</v>
      </c>
    </row>
    <row r="269" spans="1:29" x14ac:dyDescent="0.25">
      <c r="A269" s="30" t="str">
        <f t="shared" ref="A269:AC269" si="199">A251</f>
        <v>Opex maintenance &amp; repair</v>
      </c>
      <c r="B269" s="62">
        <f t="shared" si="199"/>
        <v>488235.29411764705</v>
      </c>
      <c r="C269" s="62">
        <f t="shared" si="199"/>
        <v>488235.29411764705</v>
      </c>
      <c r="D269" s="62">
        <f t="shared" si="199"/>
        <v>488235.29411764705</v>
      </c>
      <c r="E269" s="62">
        <f t="shared" si="199"/>
        <v>488235.29411764705</v>
      </c>
      <c r="F269" s="62">
        <f t="shared" si="199"/>
        <v>488235.29411764705</v>
      </c>
      <c r="G269" s="62">
        <f t="shared" si="199"/>
        <v>488235.29411764705</v>
      </c>
      <c r="H269" s="62">
        <f t="shared" si="199"/>
        <v>488235.29411764705</v>
      </c>
      <c r="I269" s="62">
        <f t="shared" si="199"/>
        <v>488235.29411764705</v>
      </c>
      <c r="J269" s="62">
        <f t="shared" si="199"/>
        <v>488235.29411764705</v>
      </c>
      <c r="K269" s="62">
        <f t="shared" si="199"/>
        <v>488235.29411764705</v>
      </c>
      <c r="L269" s="62">
        <f t="shared" si="199"/>
        <v>488235.29411764705</v>
      </c>
      <c r="M269" s="62">
        <f t="shared" si="199"/>
        <v>488235.29411764705</v>
      </c>
      <c r="N269" s="62">
        <f t="shared" si="199"/>
        <v>488235.29411764705</v>
      </c>
      <c r="O269" s="62">
        <f t="shared" si="199"/>
        <v>488235.29411764705</v>
      </c>
      <c r="P269" s="62">
        <f t="shared" si="199"/>
        <v>488235.29411764705</v>
      </c>
      <c r="Q269" s="62">
        <f t="shared" si="199"/>
        <v>488235.29411764705</v>
      </c>
      <c r="R269" s="62">
        <f t="shared" si="199"/>
        <v>488235.29411764705</v>
      </c>
      <c r="S269" s="62">
        <f t="shared" si="199"/>
        <v>488235.29411764705</v>
      </c>
      <c r="T269" s="62">
        <f t="shared" si="199"/>
        <v>488235.29411764705</v>
      </c>
      <c r="U269" s="62">
        <f t="shared" si="199"/>
        <v>488235.29411764705</v>
      </c>
      <c r="V269" s="62">
        <f t="shared" si="199"/>
        <v>488235.29411764705</v>
      </c>
      <c r="W269" s="62">
        <f t="shared" si="199"/>
        <v>488235.29411764705</v>
      </c>
      <c r="X269" s="62">
        <f t="shared" si="199"/>
        <v>488235.29411764705</v>
      </c>
      <c r="Y269" s="62">
        <f t="shared" si="199"/>
        <v>488235.29411764705</v>
      </c>
      <c r="Z269" s="62">
        <f t="shared" si="199"/>
        <v>488235.29411764705</v>
      </c>
      <c r="AA269" s="62">
        <f t="shared" si="199"/>
        <v>488235.29411764705</v>
      </c>
      <c r="AB269" s="62">
        <f t="shared" si="199"/>
        <v>488235.29411764705</v>
      </c>
      <c r="AC269" s="62">
        <f t="shared" si="199"/>
        <v>488235.29411764705</v>
      </c>
    </row>
    <row r="270" spans="1:29" x14ac:dyDescent="0.25">
      <c r="A270" s="30" t="str">
        <f>A252</f>
        <v>Opex var (mode-fees)</v>
      </c>
      <c r="B270" s="62">
        <f>B252*B261</f>
        <v>97536.682916217906</v>
      </c>
      <c r="C270" s="62">
        <f t="shared" ref="C270:AC270" si="200">C252*C261</f>
        <v>97536.682916217906</v>
      </c>
      <c r="D270" s="62">
        <f t="shared" si="200"/>
        <v>97536.682916217906</v>
      </c>
      <c r="E270" s="62">
        <f t="shared" si="200"/>
        <v>97536.682916217906</v>
      </c>
      <c r="F270" s="62">
        <f t="shared" si="200"/>
        <v>97536.682916217906</v>
      </c>
      <c r="G270" s="62">
        <f t="shared" si="200"/>
        <v>97536.682916217906</v>
      </c>
      <c r="H270" s="62">
        <f t="shared" si="200"/>
        <v>97536.682916217906</v>
      </c>
      <c r="I270" s="62">
        <f t="shared" si="200"/>
        <v>97536.682916217906</v>
      </c>
      <c r="J270" s="62">
        <f t="shared" si="200"/>
        <v>97536.682916217906</v>
      </c>
      <c r="K270" s="62">
        <f t="shared" si="200"/>
        <v>97536.682916217906</v>
      </c>
      <c r="L270" s="62">
        <f t="shared" si="200"/>
        <v>97536.682916217906</v>
      </c>
      <c r="M270" s="62">
        <f t="shared" si="200"/>
        <v>97536.682916217906</v>
      </c>
      <c r="N270" s="62">
        <f t="shared" si="200"/>
        <v>97536.682916217906</v>
      </c>
      <c r="O270" s="62">
        <f t="shared" si="200"/>
        <v>97536.682916217906</v>
      </c>
      <c r="P270" s="62">
        <f t="shared" si="200"/>
        <v>97536.682916217906</v>
      </c>
      <c r="Q270" s="62">
        <f t="shared" si="200"/>
        <v>97536.682916217906</v>
      </c>
      <c r="R270" s="62">
        <f t="shared" si="200"/>
        <v>97536.682916217906</v>
      </c>
      <c r="S270" s="62">
        <f t="shared" si="200"/>
        <v>97536.682916217906</v>
      </c>
      <c r="T270" s="62">
        <f t="shared" si="200"/>
        <v>97536.682916217906</v>
      </c>
      <c r="U270" s="62">
        <f t="shared" si="200"/>
        <v>97536.682916217906</v>
      </c>
      <c r="V270" s="62">
        <f t="shared" si="200"/>
        <v>97536.682916217906</v>
      </c>
      <c r="W270" s="62">
        <f t="shared" si="200"/>
        <v>97536.682916217906</v>
      </c>
      <c r="X270" s="62">
        <f t="shared" si="200"/>
        <v>97536.682916217906</v>
      </c>
      <c r="Y270" s="62">
        <f t="shared" si="200"/>
        <v>97536.682916217906</v>
      </c>
      <c r="Z270" s="62">
        <f t="shared" si="200"/>
        <v>97536.682916217906</v>
      </c>
      <c r="AA270" s="62">
        <f t="shared" si="200"/>
        <v>97536.682916217906</v>
      </c>
      <c r="AB270" s="62">
        <f t="shared" si="200"/>
        <v>97536.682916217906</v>
      </c>
      <c r="AC270" s="62">
        <f t="shared" si="200"/>
        <v>97536.682916217906</v>
      </c>
    </row>
    <row r="271" spans="1:29" x14ac:dyDescent="0.25">
      <c r="A271" s="30" t="str">
        <f>A254</f>
        <v>Fuel Cost</v>
      </c>
      <c r="B271" s="62">
        <f>B253*B254*B261</f>
        <v>4657656.7874551304</v>
      </c>
      <c r="C271" s="62">
        <f t="shared" ref="C271:AC271" si="201">C253*C254*C261</f>
        <v>4657335.2559228269</v>
      </c>
      <c r="D271" s="62">
        <f t="shared" si="201"/>
        <v>4656874.9906958723</v>
      </c>
      <c r="E271" s="62">
        <f t="shared" si="201"/>
        <v>4656216.5489214156</v>
      </c>
      <c r="F271" s="62">
        <f t="shared" si="201"/>
        <v>4655275.4903333243</v>
      </c>
      <c r="G271" s="62">
        <f t="shared" si="201"/>
        <v>4653932.3963569254</v>
      </c>
      <c r="H271" s="62">
        <f t="shared" si="201"/>
        <v>4652019.501037512</v>
      </c>
      <c r="I271" s="62">
        <f t="shared" si="201"/>
        <v>4649303.4639009116</v>
      </c>
      <c r="J271" s="62">
        <f t="shared" si="201"/>
        <v>4645464.6064028293</v>
      </c>
      <c r="K271" s="62">
        <f t="shared" si="201"/>
        <v>4640074.9197342508</v>
      </c>
      <c r="L271" s="62">
        <f t="shared" si="201"/>
        <v>4632581.2987480788</v>
      </c>
      <c r="M271" s="62">
        <f t="shared" si="201"/>
        <v>4622307.8247129563</v>
      </c>
      <c r="N271" s="62">
        <f t="shared" si="201"/>
        <v>4608501.3764707223</v>
      </c>
      <c r="O271" s="62">
        <f t="shared" si="201"/>
        <v>4590453.6814084789</v>
      </c>
      <c r="P271" s="62">
        <f t="shared" si="201"/>
        <v>4567725.6599339778</v>
      </c>
      <c r="Q271" s="62">
        <f t="shared" si="201"/>
        <v>4540452.686572534</v>
      </c>
      <c r="R271" s="62">
        <f t="shared" si="201"/>
        <v>4509613.1268287944</v>
      </c>
      <c r="S271" s="62">
        <f t="shared" si="201"/>
        <v>4477055.930138859</v>
      </c>
      <c r="T271" s="62">
        <f t="shared" si="201"/>
        <v>4445139.3981832527</v>
      </c>
      <c r="U271" s="62">
        <f t="shared" si="201"/>
        <v>4416085.1221883893</v>
      </c>
      <c r="V271" s="62">
        <f t="shared" si="201"/>
        <v>4391393.1250012219</v>
      </c>
      <c r="W271" s="62">
        <f t="shared" si="201"/>
        <v>4371619.2573404536</v>
      </c>
      <c r="X271" s="62">
        <f t="shared" si="201"/>
        <v>4356530.9186884109</v>
      </c>
      <c r="Y271" s="62">
        <f t="shared" si="201"/>
        <v>4345439.7796926498</v>
      </c>
      <c r="Z271" s="62">
        <f t="shared" si="201"/>
        <v>4337509.7757624658</v>
      </c>
      <c r="AA271" s="62">
        <f t="shared" si="201"/>
        <v>4331952.0141076175</v>
      </c>
      <c r="AB271" s="62">
        <f t="shared" si="201"/>
        <v>4328111.2591973878</v>
      </c>
      <c r="AC271" s="62">
        <f t="shared" si="201"/>
        <v>4325482.8392201588</v>
      </c>
    </row>
    <row r="272" spans="1:29" ht="15.75" thickBot="1" x14ac:dyDescent="0.3">
      <c r="A272" s="59" t="str">
        <f>A235</f>
        <v>Emission Cost</v>
      </c>
      <c r="B272" s="62">
        <f>B255*B261</f>
        <v>2080174.2343043815</v>
      </c>
      <c r="C272" s="62">
        <f t="shared" ref="C272:AC272" si="202">C255*C261</f>
        <v>2084591.1334600765</v>
      </c>
      <c r="D272" s="62">
        <f t="shared" si="202"/>
        <v>2090913.8262229576</v>
      </c>
      <c r="E272" s="62">
        <f t="shared" si="202"/>
        <v>2099958.8828518903</v>
      </c>
      <c r="F272" s="62">
        <f t="shared" si="202"/>
        <v>2112886.2646654733</v>
      </c>
      <c r="G272" s="62">
        <f t="shared" si="202"/>
        <v>2131336.4322365182</v>
      </c>
      <c r="H272" s="62">
        <f t="shared" si="202"/>
        <v>2157613.9971792493</v>
      </c>
      <c r="I272" s="62">
        <f t="shared" si="202"/>
        <v>2194924.3724620044</v>
      </c>
      <c r="J272" s="62">
        <f t="shared" si="202"/>
        <v>2247659.002626026</v>
      </c>
      <c r="K272" s="62">
        <f t="shared" si="202"/>
        <v>2321697.4719647751</v>
      </c>
      <c r="L272" s="62">
        <f t="shared" si="202"/>
        <v>2424637.8211422721</v>
      </c>
      <c r="M272" s="62">
        <f t="shared" si="202"/>
        <v>2565765.1888584979</v>
      </c>
      <c r="N272" s="62">
        <f t="shared" si="202"/>
        <v>2755425.248471769</v>
      </c>
      <c r="O272" s="62">
        <f t="shared" si="202"/>
        <v>3003347.5860152184</v>
      </c>
      <c r="P272" s="62">
        <f t="shared" si="202"/>
        <v>3315563.8658372555</v>
      </c>
      <c r="Q272" s="62">
        <f t="shared" si="202"/>
        <v>3690214.4394539841</v>
      </c>
      <c r="R272" s="62">
        <f t="shared" si="202"/>
        <v>4113859.4375609229</v>
      </c>
      <c r="S272" s="62">
        <f t="shared" si="202"/>
        <v>4561099.7238907274</v>
      </c>
      <c r="T272" s="62">
        <f t="shared" si="202"/>
        <v>4999539.1579250544</v>
      </c>
      <c r="U272" s="62">
        <f t="shared" si="202"/>
        <v>5398659.5993684782</v>
      </c>
      <c r="V272" s="62">
        <f t="shared" si="202"/>
        <v>5737855.1387515571</v>
      </c>
      <c r="W272" s="62">
        <f t="shared" si="202"/>
        <v>6009490.0193180386</v>
      </c>
      <c r="X272" s="62">
        <f t="shared" si="202"/>
        <v>6216759.4892065981</v>
      </c>
      <c r="Y272" s="62">
        <f t="shared" si="202"/>
        <v>6369119.1726102037</v>
      </c>
      <c r="Z272" s="62">
        <f t="shared" si="202"/>
        <v>6478054.1421073815</v>
      </c>
      <c r="AA272" s="62">
        <f t="shared" si="202"/>
        <v>6554401.4682466788</v>
      </c>
      <c r="AB272" s="62">
        <f t="shared" si="202"/>
        <v>6607162.1632823376</v>
      </c>
      <c r="AC272" s="62">
        <f t="shared" si="202"/>
        <v>6643268.9360615192</v>
      </c>
    </row>
    <row r="273" spans="1:29" ht="15.75" thickBot="1" x14ac:dyDescent="0.3">
      <c r="A273" s="31" t="s">
        <v>209</v>
      </c>
      <c r="B273" s="64">
        <f>B264+B265+B266+B267+B268+B269+B270+B271+B272</f>
        <v>9658431.8895080164</v>
      </c>
      <c r="C273" s="64">
        <f t="shared" ref="C273:AC273" si="203">C264+C265+C266+C267+C268+C269+C270+C271+C272</f>
        <v>9662583.0026025362</v>
      </c>
      <c r="D273" s="64">
        <f t="shared" si="203"/>
        <v>9668525.2285387572</v>
      </c>
      <c r="E273" s="64">
        <f t="shared" si="203"/>
        <v>9677026.0006165244</v>
      </c>
      <c r="F273" s="64">
        <f t="shared" si="203"/>
        <v>9689175.4797041435</v>
      </c>
      <c r="G273" s="64">
        <f t="shared" si="203"/>
        <v>9706515.4119734894</v>
      </c>
      <c r="H273" s="64">
        <f t="shared" si="203"/>
        <v>9731211.7294760644</v>
      </c>
      <c r="I273" s="64">
        <f t="shared" si="203"/>
        <v>9766276.9600684494</v>
      </c>
      <c r="J273" s="64">
        <f t="shared" si="203"/>
        <v>9815838.2939572595</v>
      </c>
      <c r="K273" s="64">
        <f t="shared" si="203"/>
        <v>9885421.5125766229</v>
      </c>
      <c r="L273" s="64">
        <f t="shared" si="203"/>
        <v>9982167.4459480792</v>
      </c>
      <c r="M273" s="64">
        <f t="shared" si="203"/>
        <v>10114802.501327777</v>
      </c>
      <c r="N273" s="64">
        <f t="shared" si="203"/>
        <v>10293049.803160157</v>
      </c>
      <c r="O273" s="64">
        <f t="shared" si="203"/>
        <v>10526053.461501326</v>
      </c>
      <c r="P273" s="64">
        <f t="shared" si="203"/>
        <v>10819482.18645216</v>
      </c>
      <c r="Q273" s="64">
        <f t="shared" si="203"/>
        <v>11171588.233520292</v>
      </c>
      <c r="R273" s="64">
        <f t="shared" si="203"/>
        <v>11569740.474963864</v>
      </c>
      <c r="S273" s="64">
        <f t="shared" si="203"/>
        <v>11990068.162678301</v>
      </c>
      <c r="T273" s="64">
        <f t="shared" si="203"/>
        <v>12402124.587699406</v>
      </c>
      <c r="U273" s="64">
        <f t="shared" si="203"/>
        <v>12777228.032981992</v>
      </c>
      <c r="V273" s="64">
        <f t="shared" si="203"/>
        <v>13096012.54571438</v>
      </c>
      <c r="W273" s="64">
        <f t="shared" si="203"/>
        <v>13351301.849341428</v>
      </c>
      <c r="X273" s="64">
        <f t="shared" si="203"/>
        <v>13546098.918556724</v>
      </c>
      <c r="Y273" s="64">
        <f t="shared" si="203"/>
        <v>13689290.387177497</v>
      </c>
      <c r="Z273" s="64">
        <f t="shared" si="203"/>
        <v>13791670.215738438</v>
      </c>
      <c r="AA273" s="64">
        <f t="shared" si="203"/>
        <v>13863423.356142357</v>
      </c>
      <c r="AB273" s="64">
        <f t="shared" si="203"/>
        <v>13913009.186454147</v>
      </c>
      <c r="AC273" s="64">
        <f t="shared" si="203"/>
        <v>13946943.241093203</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04">A264</f>
        <v>Capex vehicle</v>
      </c>
      <c r="B276" s="65">
        <f>((1+B249)^B256)*B249/(((1+B249)^B256)-1)*(B245)/B261</f>
        <v>9.7783397765342439</v>
      </c>
      <c r="C276" s="65">
        <f t="shared" ref="C276:AC276" si="205">((1+C249)^C256)*C249/(((1+C249)^C256)-1)*(C245)/C261</f>
        <v>9.7783397765342439</v>
      </c>
      <c r="D276" s="65">
        <f t="shared" si="205"/>
        <v>9.7783397765342439</v>
      </c>
      <c r="E276" s="65">
        <f t="shared" si="205"/>
        <v>9.7783397765342439</v>
      </c>
      <c r="F276" s="65">
        <f t="shared" si="205"/>
        <v>9.7783397765342439</v>
      </c>
      <c r="G276" s="65">
        <f t="shared" si="205"/>
        <v>9.7783397765342439</v>
      </c>
      <c r="H276" s="65">
        <f t="shared" si="205"/>
        <v>9.7783397765342439</v>
      </c>
      <c r="I276" s="65">
        <f t="shared" si="205"/>
        <v>9.7783397765342439</v>
      </c>
      <c r="J276" s="65">
        <f t="shared" si="205"/>
        <v>9.7783397765342439</v>
      </c>
      <c r="K276" s="65">
        <f t="shared" si="205"/>
        <v>9.7783397765342439</v>
      </c>
      <c r="L276" s="65">
        <f t="shared" si="205"/>
        <v>9.7783397765342439</v>
      </c>
      <c r="M276" s="65">
        <f t="shared" si="205"/>
        <v>9.7783397765342439</v>
      </c>
      <c r="N276" s="65">
        <f t="shared" si="205"/>
        <v>9.7783397765342439</v>
      </c>
      <c r="O276" s="65">
        <f t="shared" si="205"/>
        <v>9.7783397765342439</v>
      </c>
      <c r="P276" s="65">
        <f t="shared" si="205"/>
        <v>9.7783397765342439</v>
      </c>
      <c r="Q276" s="65">
        <f t="shared" si="205"/>
        <v>9.7783397765342439</v>
      </c>
      <c r="R276" s="65">
        <f t="shared" si="205"/>
        <v>9.7783397765342439</v>
      </c>
      <c r="S276" s="65">
        <f t="shared" si="205"/>
        <v>9.7783397765342439</v>
      </c>
      <c r="T276" s="65">
        <f t="shared" si="205"/>
        <v>9.7783397765342439</v>
      </c>
      <c r="U276" s="65">
        <f t="shared" si="205"/>
        <v>9.7783397765342439</v>
      </c>
      <c r="V276" s="65">
        <f t="shared" si="205"/>
        <v>9.7783397765342439</v>
      </c>
      <c r="W276" s="65">
        <f t="shared" si="205"/>
        <v>9.7783397765342439</v>
      </c>
      <c r="X276" s="65">
        <f t="shared" si="205"/>
        <v>9.7783397765342439</v>
      </c>
      <c r="Y276" s="65">
        <f t="shared" si="205"/>
        <v>9.7783397765342439</v>
      </c>
      <c r="Z276" s="65">
        <f t="shared" si="205"/>
        <v>9.7783397765342439</v>
      </c>
      <c r="AA276" s="65">
        <f t="shared" si="205"/>
        <v>9.7783397765342439</v>
      </c>
      <c r="AB276" s="65">
        <f t="shared" si="205"/>
        <v>9.7783397765342439</v>
      </c>
      <c r="AC276" s="65">
        <f t="shared" si="205"/>
        <v>9.7783397765342439</v>
      </c>
    </row>
    <row r="277" spans="1:29" x14ac:dyDescent="0.25">
      <c r="A277" s="30" t="str">
        <f t="shared" si="204"/>
        <v>Residual value (vehicle)</v>
      </c>
      <c r="B277" s="66">
        <f>((1+B249)^B256)*B249/(((1+B249)^B256)-1)*(B246)/B261</f>
        <v>-0.97676019148470272</v>
      </c>
      <c r="C277" s="66">
        <f t="shared" ref="C277:AC277" si="206">((1+C249)^C256)*C249/(((1+C249)^C256)-1)*(C246)/C261</f>
        <v>-0.97629564589195228</v>
      </c>
      <c r="D277" s="66">
        <f t="shared" si="206"/>
        <v>-0.97563065922284864</v>
      </c>
      <c r="E277" s="66">
        <f t="shared" si="206"/>
        <v>-0.97467934902874298</v>
      </c>
      <c r="F277" s="66">
        <f t="shared" si="206"/>
        <v>-0.97331971684434948</v>
      </c>
      <c r="G277" s="66">
        <f t="shared" si="206"/>
        <v>-0.97137922788852038</v>
      </c>
      <c r="H277" s="66">
        <f t="shared" si="206"/>
        <v>-0.96861549556136939</v>
      </c>
      <c r="I277" s="66">
        <f t="shared" si="206"/>
        <v>-0.96469139184278574</v>
      </c>
      <c r="J277" s="66">
        <f t="shared" si="206"/>
        <v>-0.95914504831885961</v>
      </c>
      <c r="K277" s="66">
        <f t="shared" si="206"/>
        <v>-0.95135808207559314</v>
      </c>
      <c r="L277" s="66">
        <f t="shared" si="206"/>
        <v>-0.94053137224117322</v>
      </c>
      <c r="M277" s="66">
        <f t="shared" si="206"/>
        <v>-0.92568835808620409</v>
      </c>
      <c r="N277" s="66">
        <f t="shared" si="206"/>
        <v>-0.90574093757501994</v>
      </c>
      <c r="O277" s="66">
        <f t="shared" si="206"/>
        <v>-0.87966580540866446</v>
      </c>
      <c r="P277" s="66">
        <f t="shared" si="206"/>
        <v>-0.84682858371450898</v>
      </c>
      <c r="Q277" s="66">
        <f t="shared" si="206"/>
        <v>-0.80742486027411864</v>
      </c>
      <c r="R277" s="66">
        <f t="shared" si="206"/>
        <v>-0.7628681679376812</v>
      </c>
      <c r="S277" s="66">
        <f t="shared" si="206"/>
        <v>-0.71582985064961269</v>
      </c>
      <c r="T277" s="66">
        <f t="shared" si="206"/>
        <v>-0.66971715946306853</v>
      </c>
      <c r="U277" s="66">
        <f t="shared" si="206"/>
        <v>-0.62773982751286628</v>
      </c>
      <c r="V277" s="66">
        <f t="shared" si="206"/>
        <v>-0.59206507304221667</v>
      </c>
      <c r="W277" s="66">
        <f t="shared" si="206"/>
        <v>-0.56349598369776865</v>
      </c>
      <c r="X277" s="66">
        <f t="shared" si="206"/>
        <v>-0.54169650054128426</v>
      </c>
      <c r="Y277" s="66">
        <f t="shared" si="206"/>
        <v>-0.52567213210019181</v>
      </c>
      <c r="Z277" s="66">
        <f t="shared" si="206"/>
        <v>-0.51421494048397043</v>
      </c>
      <c r="AA277" s="66">
        <f t="shared" si="206"/>
        <v>-0.50618514115505298</v>
      </c>
      <c r="AB277" s="66">
        <f t="shared" si="206"/>
        <v>-0.50063605626873253</v>
      </c>
      <c r="AC277" s="66">
        <f t="shared" si="206"/>
        <v>-0.49683854095951707</v>
      </c>
    </row>
    <row r="278" spans="1:29" x14ac:dyDescent="0.25">
      <c r="A278" s="30" t="str">
        <f t="shared" si="204"/>
        <v>Capex costumization</v>
      </c>
      <c r="B278" s="66">
        <f>((1+B249)^B257)*B249/(((1+B249)^B257)-1)*(B247)/B261</f>
        <v>0.65188931843561626</v>
      </c>
      <c r="C278" s="66">
        <f t="shared" ref="C278:AC278" si="207">((1+C249)^C257)*C249/(((1+C249)^C257)-1)*(C247)/C261</f>
        <v>0.65188931843561626</v>
      </c>
      <c r="D278" s="66">
        <f t="shared" si="207"/>
        <v>0.65188931843561626</v>
      </c>
      <c r="E278" s="66">
        <f t="shared" si="207"/>
        <v>0.65188931843561626</v>
      </c>
      <c r="F278" s="66">
        <f t="shared" si="207"/>
        <v>0.65188931843561626</v>
      </c>
      <c r="G278" s="66">
        <f t="shared" si="207"/>
        <v>0.65188931843561626</v>
      </c>
      <c r="H278" s="66">
        <f t="shared" si="207"/>
        <v>0.65188931843561626</v>
      </c>
      <c r="I278" s="66">
        <f t="shared" si="207"/>
        <v>0.65188931843561626</v>
      </c>
      <c r="J278" s="66">
        <f t="shared" si="207"/>
        <v>0.65188931843561626</v>
      </c>
      <c r="K278" s="66">
        <f t="shared" si="207"/>
        <v>0.65188931843561626</v>
      </c>
      <c r="L278" s="66">
        <f t="shared" si="207"/>
        <v>0.65188931843561626</v>
      </c>
      <c r="M278" s="66">
        <f t="shared" si="207"/>
        <v>0.65188931843561626</v>
      </c>
      <c r="N278" s="66">
        <f t="shared" si="207"/>
        <v>0.65188931843561626</v>
      </c>
      <c r="O278" s="66">
        <f t="shared" si="207"/>
        <v>0.65188931843561626</v>
      </c>
      <c r="P278" s="66">
        <f t="shared" si="207"/>
        <v>0.65188931843561626</v>
      </c>
      <c r="Q278" s="66">
        <f t="shared" si="207"/>
        <v>0.65188931843561626</v>
      </c>
      <c r="R278" s="66">
        <f t="shared" si="207"/>
        <v>0.65188931843561626</v>
      </c>
      <c r="S278" s="66">
        <f t="shared" si="207"/>
        <v>0.65188931843561626</v>
      </c>
      <c r="T278" s="66">
        <f t="shared" si="207"/>
        <v>0.65188931843561626</v>
      </c>
      <c r="U278" s="66">
        <f t="shared" si="207"/>
        <v>0.65188931843561626</v>
      </c>
      <c r="V278" s="66">
        <f t="shared" si="207"/>
        <v>0.65188931843561626</v>
      </c>
      <c r="W278" s="66">
        <f t="shared" si="207"/>
        <v>0.65188931843561626</v>
      </c>
      <c r="X278" s="66">
        <f t="shared" si="207"/>
        <v>0.65188931843561626</v>
      </c>
      <c r="Y278" s="66">
        <f t="shared" si="207"/>
        <v>0.65188931843561626</v>
      </c>
      <c r="Z278" s="66">
        <f t="shared" si="207"/>
        <v>0.65188931843561626</v>
      </c>
      <c r="AA278" s="66">
        <f t="shared" si="207"/>
        <v>0.65188931843561626</v>
      </c>
      <c r="AB278" s="66">
        <f t="shared" si="207"/>
        <v>0.65188931843561626</v>
      </c>
      <c r="AC278" s="66">
        <f t="shared" si="207"/>
        <v>0.65188931843561626</v>
      </c>
    </row>
    <row r="279" spans="1:29" x14ac:dyDescent="0.25">
      <c r="A279" s="30" t="str">
        <f t="shared" si="204"/>
        <v>Residual value (costumization)</v>
      </c>
      <c r="B279" s="66">
        <f>((1+B249)^B257)*B249/(((1+B249)^B257)-1)*(B248)/B261</f>
        <v>-6.5188931843561615E-2</v>
      </c>
      <c r="C279" s="66">
        <f t="shared" ref="C279:AC279" si="208">((1+C249)^C257)*C249/(((1+C249)^C257)-1)*(C248)/C261</f>
        <v>-6.5188931843561615E-2</v>
      </c>
      <c r="D279" s="66">
        <f t="shared" si="208"/>
        <v>-6.5188931843561615E-2</v>
      </c>
      <c r="E279" s="66">
        <f t="shared" si="208"/>
        <v>-6.5188931843561615E-2</v>
      </c>
      <c r="F279" s="66">
        <f t="shared" si="208"/>
        <v>-6.5188931843561615E-2</v>
      </c>
      <c r="G279" s="66">
        <f t="shared" si="208"/>
        <v>-6.5188931843561615E-2</v>
      </c>
      <c r="H279" s="66">
        <f t="shared" si="208"/>
        <v>-6.5188931843561615E-2</v>
      </c>
      <c r="I279" s="66">
        <f t="shared" si="208"/>
        <v>-6.5188931843561615E-2</v>
      </c>
      <c r="J279" s="66">
        <f t="shared" si="208"/>
        <v>-6.5188931843561615E-2</v>
      </c>
      <c r="K279" s="66">
        <f t="shared" si="208"/>
        <v>-6.5188931843561615E-2</v>
      </c>
      <c r="L279" s="66">
        <f t="shared" si="208"/>
        <v>-6.5188931843561615E-2</v>
      </c>
      <c r="M279" s="66">
        <f t="shared" si="208"/>
        <v>-6.5188931843561615E-2</v>
      </c>
      <c r="N279" s="66">
        <f t="shared" si="208"/>
        <v>-6.5188931843561615E-2</v>
      </c>
      <c r="O279" s="66">
        <f t="shared" si="208"/>
        <v>-6.5188931843561615E-2</v>
      </c>
      <c r="P279" s="66">
        <f t="shared" si="208"/>
        <v>-6.5188931843561615E-2</v>
      </c>
      <c r="Q279" s="66">
        <f t="shared" si="208"/>
        <v>-6.5188931843561615E-2</v>
      </c>
      <c r="R279" s="66">
        <f t="shared" si="208"/>
        <v>-6.5188931843561615E-2</v>
      </c>
      <c r="S279" s="66">
        <f t="shared" si="208"/>
        <v>-6.5188931843561615E-2</v>
      </c>
      <c r="T279" s="66">
        <f t="shared" si="208"/>
        <v>-6.5188931843561615E-2</v>
      </c>
      <c r="U279" s="66">
        <f t="shared" si="208"/>
        <v>-6.5188931843561615E-2</v>
      </c>
      <c r="V279" s="66">
        <f t="shared" si="208"/>
        <v>-6.5188931843561615E-2</v>
      </c>
      <c r="W279" s="66">
        <f t="shared" si="208"/>
        <v>-6.5188931843561615E-2</v>
      </c>
      <c r="X279" s="66">
        <f t="shared" si="208"/>
        <v>-6.5188931843561615E-2</v>
      </c>
      <c r="Y279" s="66">
        <f t="shared" si="208"/>
        <v>-6.5188931843561615E-2</v>
      </c>
      <c r="Z279" s="66">
        <f t="shared" si="208"/>
        <v>-6.5188931843561615E-2</v>
      </c>
      <c r="AA279" s="66">
        <f t="shared" si="208"/>
        <v>-6.5188931843561615E-2</v>
      </c>
      <c r="AB279" s="66">
        <f t="shared" si="208"/>
        <v>-6.5188931843561615E-2</v>
      </c>
      <c r="AC279" s="66">
        <f t="shared" si="208"/>
        <v>-6.5188931843561615E-2</v>
      </c>
    </row>
    <row r="280" spans="1:29" x14ac:dyDescent="0.25">
      <c r="A280" s="30" t="str">
        <f t="shared" si="204"/>
        <v>Opex fix (admin, crew, insurance)</v>
      </c>
      <c r="B280" s="66">
        <f>B250/B261</f>
        <v>10.068627450980392</v>
      </c>
      <c r="C280" s="66">
        <f t="shared" ref="C280:AC280" si="209">C250/C261</f>
        <v>10.068627450980392</v>
      </c>
      <c r="D280" s="66">
        <f t="shared" si="209"/>
        <v>10.068627450980392</v>
      </c>
      <c r="E280" s="66">
        <f t="shared" si="209"/>
        <v>10.068627450980392</v>
      </c>
      <c r="F280" s="66">
        <f t="shared" si="209"/>
        <v>10.068627450980392</v>
      </c>
      <c r="G280" s="66">
        <f t="shared" si="209"/>
        <v>10.068627450980392</v>
      </c>
      <c r="H280" s="66">
        <f t="shared" si="209"/>
        <v>10.068627450980392</v>
      </c>
      <c r="I280" s="66">
        <f t="shared" si="209"/>
        <v>10.068627450980392</v>
      </c>
      <c r="J280" s="66">
        <f t="shared" si="209"/>
        <v>10.068627450980392</v>
      </c>
      <c r="K280" s="66">
        <f t="shared" si="209"/>
        <v>10.068627450980392</v>
      </c>
      <c r="L280" s="66">
        <f t="shared" si="209"/>
        <v>10.068627450980392</v>
      </c>
      <c r="M280" s="66">
        <f t="shared" si="209"/>
        <v>10.068627450980392</v>
      </c>
      <c r="N280" s="66">
        <f t="shared" si="209"/>
        <v>10.068627450980392</v>
      </c>
      <c r="O280" s="66">
        <f t="shared" si="209"/>
        <v>10.068627450980392</v>
      </c>
      <c r="P280" s="66">
        <f t="shared" si="209"/>
        <v>10.068627450980392</v>
      </c>
      <c r="Q280" s="66">
        <f t="shared" si="209"/>
        <v>10.068627450980392</v>
      </c>
      <c r="R280" s="66">
        <f t="shared" si="209"/>
        <v>10.068627450980392</v>
      </c>
      <c r="S280" s="66">
        <f t="shared" si="209"/>
        <v>10.068627450980392</v>
      </c>
      <c r="T280" s="66">
        <f t="shared" si="209"/>
        <v>10.068627450980392</v>
      </c>
      <c r="U280" s="66">
        <f t="shared" si="209"/>
        <v>10.068627450980392</v>
      </c>
      <c r="V280" s="66">
        <f t="shared" si="209"/>
        <v>10.068627450980392</v>
      </c>
      <c r="W280" s="66">
        <f t="shared" si="209"/>
        <v>10.068627450980392</v>
      </c>
      <c r="X280" s="66">
        <f t="shared" si="209"/>
        <v>10.068627450980392</v>
      </c>
      <c r="Y280" s="66">
        <f t="shared" si="209"/>
        <v>10.068627450980392</v>
      </c>
      <c r="Z280" s="66">
        <f t="shared" si="209"/>
        <v>10.068627450980392</v>
      </c>
      <c r="AA280" s="66">
        <f t="shared" si="209"/>
        <v>10.068627450980392</v>
      </c>
      <c r="AB280" s="66">
        <f t="shared" si="209"/>
        <v>10.068627450980392</v>
      </c>
      <c r="AC280" s="66">
        <f t="shared" si="209"/>
        <v>10.068627450980392</v>
      </c>
    </row>
    <row r="281" spans="1:29" x14ac:dyDescent="0.25">
      <c r="A281" s="30" t="str">
        <f t="shared" si="204"/>
        <v>Opex maintenance &amp; repair</v>
      </c>
      <c r="B281" s="66">
        <f>B251/B261</f>
        <v>4.0686274509803919</v>
      </c>
      <c r="C281" s="66">
        <f t="shared" ref="C281:AC281" si="210">C251/C261</f>
        <v>4.0686274509803919</v>
      </c>
      <c r="D281" s="66">
        <f t="shared" si="210"/>
        <v>4.0686274509803919</v>
      </c>
      <c r="E281" s="66">
        <f t="shared" si="210"/>
        <v>4.0686274509803919</v>
      </c>
      <c r="F281" s="66">
        <f t="shared" si="210"/>
        <v>4.0686274509803919</v>
      </c>
      <c r="G281" s="66">
        <f t="shared" si="210"/>
        <v>4.0686274509803919</v>
      </c>
      <c r="H281" s="66">
        <f t="shared" si="210"/>
        <v>4.0686274509803919</v>
      </c>
      <c r="I281" s="66">
        <f t="shared" si="210"/>
        <v>4.0686274509803919</v>
      </c>
      <c r="J281" s="66">
        <f t="shared" si="210"/>
        <v>4.0686274509803919</v>
      </c>
      <c r="K281" s="66">
        <f t="shared" si="210"/>
        <v>4.0686274509803919</v>
      </c>
      <c r="L281" s="66">
        <f t="shared" si="210"/>
        <v>4.0686274509803919</v>
      </c>
      <c r="M281" s="66">
        <f t="shared" si="210"/>
        <v>4.0686274509803919</v>
      </c>
      <c r="N281" s="66">
        <f t="shared" si="210"/>
        <v>4.0686274509803919</v>
      </c>
      <c r="O281" s="66">
        <f t="shared" si="210"/>
        <v>4.0686274509803919</v>
      </c>
      <c r="P281" s="66">
        <f t="shared" si="210"/>
        <v>4.0686274509803919</v>
      </c>
      <c r="Q281" s="66">
        <f t="shared" si="210"/>
        <v>4.0686274509803919</v>
      </c>
      <c r="R281" s="66">
        <f t="shared" si="210"/>
        <v>4.0686274509803919</v>
      </c>
      <c r="S281" s="66">
        <f t="shared" si="210"/>
        <v>4.0686274509803919</v>
      </c>
      <c r="T281" s="66">
        <f t="shared" si="210"/>
        <v>4.0686274509803919</v>
      </c>
      <c r="U281" s="66">
        <f t="shared" si="210"/>
        <v>4.0686274509803919</v>
      </c>
      <c r="V281" s="66">
        <f t="shared" si="210"/>
        <v>4.0686274509803919</v>
      </c>
      <c r="W281" s="66">
        <f t="shared" si="210"/>
        <v>4.0686274509803919</v>
      </c>
      <c r="X281" s="66">
        <f t="shared" si="210"/>
        <v>4.0686274509803919</v>
      </c>
      <c r="Y281" s="66">
        <f t="shared" si="210"/>
        <v>4.0686274509803919</v>
      </c>
      <c r="Z281" s="66">
        <f t="shared" si="210"/>
        <v>4.0686274509803919</v>
      </c>
      <c r="AA281" s="66">
        <f t="shared" si="210"/>
        <v>4.0686274509803919</v>
      </c>
      <c r="AB281" s="66">
        <f t="shared" si="210"/>
        <v>4.0686274509803919</v>
      </c>
      <c r="AC281" s="66">
        <f t="shared" si="210"/>
        <v>4.0686274509803919</v>
      </c>
    </row>
    <row r="282" spans="1:29" x14ac:dyDescent="0.25">
      <c r="A282" s="30" t="str">
        <f t="shared" si="204"/>
        <v>Opex var (mode-fees)</v>
      </c>
      <c r="B282" s="66">
        <f>B252*B261/B261</f>
        <v>0.81280569096848254</v>
      </c>
      <c r="C282" s="66">
        <f t="shared" ref="C282:AC282" si="211">C252*C261/C261</f>
        <v>0.81280569096848254</v>
      </c>
      <c r="D282" s="66">
        <f t="shared" si="211"/>
        <v>0.81280569096848254</v>
      </c>
      <c r="E282" s="66">
        <f t="shared" si="211"/>
        <v>0.81280569096848254</v>
      </c>
      <c r="F282" s="66">
        <f t="shared" si="211"/>
        <v>0.81280569096848254</v>
      </c>
      <c r="G282" s="66">
        <f t="shared" si="211"/>
        <v>0.81280569096848254</v>
      </c>
      <c r="H282" s="66">
        <f t="shared" si="211"/>
        <v>0.81280569096848254</v>
      </c>
      <c r="I282" s="66">
        <f t="shared" si="211"/>
        <v>0.81280569096848254</v>
      </c>
      <c r="J282" s="66">
        <f t="shared" si="211"/>
        <v>0.81280569096848254</v>
      </c>
      <c r="K282" s="66">
        <f t="shared" si="211"/>
        <v>0.81280569096848254</v>
      </c>
      <c r="L282" s="66">
        <f t="shared" si="211"/>
        <v>0.81280569096848254</v>
      </c>
      <c r="M282" s="66">
        <f t="shared" si="211"/>
        <v>0.81280569096848254</v>
      </c>
      <c r="N282" s="66">
        <f t="shared" si="211"/>
        <v>0.81280569096848254</v>
      </c>
      <c r="O282" s="66">
        <f t="shared" si="211"/>
        <v>0.81280569096848254</v>
      </c>
      <c r="P282" s="66">
        <f t="shared" si="211"/>
        <v>0.81280569096848254</v>
      </c>
      <c r="Q282" s="66">
        <f t="shared" si="211"/>
        <v>0.81280569096848254</v>
      </c>
      <c r="R282" s="66">
        <f t="shared" si="211"/>
        <v>0.81280569096848254</v>
      </c>
      <c r="S282" s="66">
        <f t="shared" si="211"/>
        <v>0.81280569096848254</v>
      </c>
      <c r="T282" s="66">
        <f t="shared" si="211"/>
        <v>0.81280569096848254</v>
      </c>
      <c r="U282" s="66">
        <f t="shared" si="211"/>
        <v>0.81280569096848254</v>
      </c>
      <c r="V282" s="66">
        <f t="shared" si="211"/>
        <v>0.81280569096848254</v>
      </c>
      <c r="W282" s="66">
        <f t="shared" si="211"/>
        <v>0.81280569096848254</v>
      </c>
      <c r="X282" s="66">
        <f t="shared" si="211"/>
        <v>0.81280569096848254</v>
      </c>
      <c r="Y282" s="66">
        <f t="shared" si="211"/>
        <v>0.81280569096848254</v>
      </c>
      <c r="Z282" s="66">
        <f t="shared" si="211"/>
        <v>0.81280569096848254</v>
      </c>
      <c r="AA282" s="66">
        <f t="shared" si="211"/>
        <v>0.81280569096848254</v>
      </c>
      <c r="AB282" s="66">
        <f t="shared" si="211"/>
        <v>0.81280569096848254</v>
      </c>
      <c r="AC282" s="66">
        <f t="shared" si="211"/>
        <v>0.81280569096848254</v>
      </c>
    </row>
    <row r="283" spans="1:29" x14ac:dyDescent="0.25">
      <c r="A283" s="30" t="str">
        <f t="shared" si="204"/>
        <v>Fuel Cost</v>
      </c>
      <c r="B283" s="66">
        <f>B253*B254*B261/B261</f>
        <v>38.813806562126089</v>
      </c>
      <c r="C283" s="66">
        <f t="shared" ref="C283:AC283" si="212">C253*C254*C261/C261</f>
        <v>38.811127132690224</v>
      </c>
      <c r="D283" s="66">
        <f t="shared" si="212"/>
        <v>38.807291589132269</v>
      </c>
      <c r="E283" s="66">
        <f t="shared" si="212"/>
        <v>38.801804574345127</v>
      </c>
      <c r="F283" s="66">
        <f t="shared" si="212"/>
        <v>38.79396241944437</v>
      </c>
      <c r="G283" s="66">
        <f t="shared" si="212"/>
        <v>38.782769969641045</v>
      </c>
      <c r="H283" s="66">
        <f t="shared" si="212"/>
        <v>38.766829175312601</v>
      </c>
      <c r="I283" s="66">
        <f t="shared" si="212"/>
        <v>38.744195532507597</v>
      </c>
      <c r="J283" s="66">
        <f t="shared" si="212"/>
        <v>38.712205053356911</v>
      </c>
      <c r="K283" s="66">
        <f t="shared" si="212"/>
        <v>38.667290997785422</v>
      </c>
      <c r="L283" s="66">
        <f t="shared" si="212"/>
        <v>38.604844156233987</v>
      </c>
      <c r="M283" s="66">
        <f t="shared" si="212"/>
        <v>38.519231872607968</v>
      </c>
      <c r="N283" s="66">
        <f t="shared" si="212"/>
        <v>38.404178137256018</v>
      </c>
      <c r="O283" s="66">
        <f t="shared" si="212"/>
        <v>38.253780678403992</v>
      </c>
      <c r="P283" s="66">
        <f t="shared" si="212"/>
        <v>38.064380499449811</v>
      </c>
      <c r="Q283" s="66">
        <f t="shared" si="212"/>
        <v>37.837105721437787</v>
      </c>
      <c r="R283" s="66">
        <f t="shared" si="212"/>
        <v>37.580109390239954</v>
      </c>
      <c r="S283" s="66">
        <f t="shared" si="212"/>
        <v>37.308799417823828</v>
      </c>
      <c r="T283" s="66">
        <f t="shared" si="212"/>
        <v>37.04282831819377</v>
      </c>
      <c r="U283" s="66">
        <f t="shared" si="212"/>
        <v>36.800709351569914</v>
      </c>
      <c r="V283" s="66">
        <f t="shared" si="212"/>
        <v>36.594942708343517</v>
      </c>
      <c r="W283" s="66">
        <f t="shared" si="212"/>
        <v>36.430160477837113</v>
      </c>
      <c r="X283" s="66">
        <f t="shared" si="212"/>
        <v>36.304424322403428</v>
      </c>
      <c r="Y283" s="66">
        <f t="shared" si="212"/>
        <v>36.211998164105417</v>
      </c>
      <c r="Z283" s="66">
        <f t="shared" si="212"/>
        <v>36.145914798020549</v>
      </c>
      <c r="AA283" s="66">
        <f t="shared" si="212"/>
        <v>36.099600117563483</v>
      </c>
      <c r="AB283" s="66">
        <f t="shared" si="212"/>
        <v>36.067593826644895</v>
      </c>
      <c r="AC283" s="66">
        <f t="shared" si="212"/>
        <v>36.045690326834659</v>
      </c>
    </row>
    <row r="284" spans="1:29" ht="15.75" thickBot="1" x14ac:dyDescent="0.3">
      <c r="A284" s="59" t="str">
        <f>A235</f>
        <v>Emission Cost</v>
      </c>
      <c r="B284" s="66">
        <f>B255</f>
        <v>17.334785285869845</v>
      </c>
      <c r="C284" s="66">
        <f t="shared" ref="C284:AC284" si="213">C255</f>
        <v>17.371592778833971</v>
      </c>
      <c r="D284" s="66">
        <f t="shared" si="213"/>
        <v>17.424281885191313</v>
      </c>
      <c r="E284" s="66">
        <f t="shared" si="213"/>
        <v>17.499657357099085</v>
      </c>
      <c r="F284" s="66">
        <f t="shared" si="213"/>
        <v>17.607385538878944</v>
      </c>
      <c r="G284" s="66">
        <f t="shared" si="213"/>
        <v>17.761136935304318</v>
      </c>
      <c r="H284" s="66">
        <f t="shared" si="213"/>
        <v>17.980116643160411</v>
      </c>
      <c r="I284" s="66">
        <f t="shared" si="213"/>
        <v>18.291036437183369</v>
      </c>
      <c r="J284" s="66">
        <f t="shared" si="213"/>
        <v>18.730491688550217</v>
      </c>
      <c r="K284" s="66">
        <f t="shared" si="213"/>
        <v>19.347478933039792</v>
      </c>
      <c r="L284" s="66">
        <f t="shared" si="213"/>
        <v>20.2053151761856</v>
      </c>
      <c r="M284" s="66">
        <f t="shared" si="213"/>
        <v>21.381376573820816</v>
      </c>
      <c r="N284" s="66">
        <f t="shared" si="213"/>
        <v>22.961877070598074</v>
      </c>
      <c r="O284" s="66">
        <f t="shared" si="213"/>
        <v>25.027896550126819</v>
      </c>
      <c r="P284" s="66">
        <f t="shared" si="213"/>
        <v>27.629698881977127</v>
      </c>
      <c r="Q284" s="66">
        <f t="shared" si="213"/>
        <v>30.751786995449869</v>
      </c>
      <c r="R284" s="66">
        <f t="shared" si="213"/>
        <v>34.282161979674356</v>
      </c>
      <c r="S284" s="66">
        <f t="shared" si="213"/>
        <v>38.009164365756064</v>
      </c>
      <c r="T284" s="66">
        <f t="shared" si="213"/>
        <v>41.662826316042121</v>
      </c>
      <c r="U284" s="66">
        <f t="shared" si="213"/>
        <v>44.988829994737316</v>
      </c>
      <c r="V284" s="66">
        <f t="shared" si="213"/>
        <v>47.815459489596307</v>
      </c>
      <c r="W284" s="66">
        <f t="shared" si="213"/>
        <v>50.07908349431699</v>
      </c>
      <c r="X284" s="66">
        <f t="shared" si="213"/>
        <v>51.806329076721653</v>
      </c>
      <c r="Y284" s="66">
        <f t="shared" si="213"/>
        <v>53.075993105085033</v>
      </c>
      <c r="Z284" s="66">
        <f t="shared" si="213"/>
        <v>53.98378451756151</v>
      </c>
      <c r="AA284" s="66">
        <f t="shared" si="213"/>
        <v>54.620012235388991</v>
      </c>
      <c r="AB284" s="66">
        <f t="shared" si="213"/>
        <v>55.059684694019481</v>
      </c>
      <c r="AC284" s="66">
        <f t="shared" si="213"/>
        <v>55.360574467179326</v>
      </c>
    </row>
    <row r="285" spans="1:29" ht="15.75" thickBot="1" x14ac:dyDescent="0.3">
      <c r="A285" s="31" t="s">
        <v>63</v>
      </c>
      <c r="B285" s="76">
        <f>B276+B277+B278-B279+B280+B281+B282+B283+B284</f>
        <v>80.617310276253917</v>
      </c>
      <c r="C285" s="76">
        <f t="shared" ref="C285:AC285" si="214">C276+C277+C278-C279+C280+C281+C282+C283+C284</f>
        <v>80.651902885374938</v>
      </c>
      <c r="D285" s="76">
        <f t="shared" si="214"/>
        <v>80.701421434843411</v>
      </c>
      <c r="E285" s="76">
        <f t="shared" si="214"/>
        <v>80.772261202158163</v>
      </c>
      <c r="F285" s="76">
        <f t="shared" si="214"/>
        <v>80.873506861221642</v>
      </c>
      <c r="G285" s="76">
        <f t="shared" si="214"/>
        <v>81.018006296799527</v>
      </c>
      <c r="H285" s="76">
        <f t="shared" si="214"/>
        <v>81.22380894265433</v>
      </c>
      <c r="I285" s="76">
        <f t="shared" si="214"/>
        <v>81.516019197590865</v>
      </c>
      <c r="J285" s="76">
        <f t="shared" si="214"/>
        <v>81.929030313330955</v>
      </c>
      <c r="K285" s="76">
        <f t="shared" si="214"/>
        <v>82.508890468492311</v>
      </c>
      <c r="L285" s="76">
        <f t="shared" si="214"/>
        <v>83.315106579921093</v>
      </c>
      <c r="M285" s="76">
        <f t="shared" si="214"/>
        <v>84.420398708085258</v>
      </c>
      <c r="N285" s="76">
        <f t="shared" si="214"/>
        <v>85.905792890021758</v>
      </c>
      <c r="O285" s="76">
        <f t="shared" si="214"/>
        <v>87.847490042864834</v>
      </c>
      <c r="P285" s="76">
        <f t="shared" si="214"/>
        <v>90.292729417455121</v>
      </c>
      <c r="Q285" s="76">
        <f t="shared" si="214"/>
        <v>93.226946476356233</v>
      </c>
      <c r="R285" s="76">
        <f t="shared" si="214"/>
        <v>96.544881821719315</v>
      </c>
      <c r="S285" s="76">
        <f t="shared" si="214"/>
        <v>100.04761255267297</v>
      </c>
      <c r="T285" s="76">
        <f t="shared" si="214"/>
        <v>103.48141609451551</v>
      </c>
      <c r="U285" s="76">
        <f t="shared" si="214"/>
        <v>106.60727813853705</v>
      </c>
      <c r="V285" s="76">
        <f t="shared" si="214"/>
        <v>109.2638157446403</v>
      </c>
      <c r="W285" s="76">
        <f t="shared" si="214"/>
        <v>111.39122660819902</v>
      </c>
      <c r="X285" s="76">
        <f t="shared" si="214"/>
        <v>113.01453551832648</v>
      </c>
      <c r="Y285" s="76">
        <f t="shared" si="214"/>
        <v>114.20779775683295</v>
      </c>
      <c r="Z285" s="76">
        <f t="shared" si="214"/>
        <v>115.06096299484078</v>
      </c>
      <c r="AA285" s="76">
        <f t="shared" si="214"/>
        <v>115.65890583154011</v>
      </c>
      <c r="AB285" s="76">
        <f t="shared" si="214"/>
        <v>116.07212108413833</v>
      </c>
      <c r="AC285" s="76">
        <f t="shared" si="214"/>
        <v>116.35490487279716</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15">A264</f>
        <v>Capex vehicle</v>
      </c>
      <c r="B288" s="65">
        <f>((1+B249)^B256)*B249/(((1+B249)^B256)-1)*(B245)/B261/(B258)</f>
        <v>1.0347449498978036E-3</v>
      </c>
      <c r="C288" s="65">
        <f t="shared" ref="C288:AC288" si="216">((1+C249)^C256)*C249/(((1+C249)^C256)-1)*(C245)/C261/(C258)</f>
        <v>1.0347449498978036E-3</v>
      </c>
      <c r="D288" s="65">
        <f t="shared" si="216"/>
        <v>1.0347449498978036E-3</v>
      </c>
      <c r="E288" s="65">
        <f t="shared" si="216"/>
        <v>1.0347449498978036E-3</v>
      </c>
      <c r="F288" s="65">
        <f t="shared" si="216"/>
        <v>1.0347449498978036E-3</v>
      </c>
      <c r="G288" s="65">
        <f t="shared" si="216"/>
        <v>1.0347449498978036E-3</v>
      </c>
      <c r="H288" s="65">
        <f t="shared" si="216"/>
        <v>1.0347449498978036E-3</v>
      </c>
      <c r="I288" s="65">
        <f t="shared" si="216"/>
        <v>1.0347449498978036E-3</v>
      </c>
      <c r="J288" s="65">
        <f t="shared" si="216"/>
        <v>1.0347449498978036E-3</v>
      </c>
      <c r="K288" s="65">
        <f t="shared" si="216"/>
        <v>1.0347449498978036E-3</v>
      </c>
      <c r="L288" s="65">
        <f t="shared" si="216"/>
        <v>1.0347449498978036E-3</v>
      </c>
      <c r="M288" s="65">
        <f t="shared" si="216"/>
        <v>1.0347449498978036E-3</v>
      </c>
      <c r="N288" s="65">
        <f t="shared" si="216"/>
        <v>1.0347449498978036E-3</v>
      </c>
      <c r="O288" s="65">
        <f t="shared" si="216"/>
        <v>1.0347449498978036E-3</v>
      </c>
      <c r="P288" s="65">
        <f t="shared" si="216"/>
        <v>1.0347449498978036E-3</v>
      </c>
      <c r="Q288" s="65">
        <f t="shared" si="216"/>
        <v>1.0347449498978036E-3</v>
      </c>
      <c r="R288" s="65">
        <f t="shared" si="216"/>
        <v>1.0347449498978036E-3</v>
      </c>
      <c r="S288" s="65">
        <f t="shared" si="216"/>
        <v>1.0347449498978036E-3</v>
      </c>
      <c r="T288" s="65">
        <f t="shared" si="216"/>
        <v>1.0347449498978036E-3</v>
      </c>
      <c r="U288" s="65">
        <f t="shared" si="216"/>
        <v>1.0347449498978036E-3</v>
      </c>
      <c r="V288" s="65">
        <f t="shared" si="216"/>
        <v>1.0347449498978036E-3</v>
      </c>
      <c r="W288" s="65">
        <f t="shared" si="216"/>
        <v>1.0347449498978036E-3</v>
      </c>
      <c r="X288" s="65">
        <f t="shared" si="216"/>
        <v>1.0347449498978036E-3</v>
      </c>
      <c r="Y288" s="65">
        <f t="shared" si="216"/>
        <v>1.0347449498978036E-3</v>
      </c>
      <c r="Z288" s="65">
        <f t="shared" si="216"/>
        <v>1.0347449498978036E-3</v>
      </c>
      <c r="AA288" s="65">
        <f t="shared" si="216"/>
        <v>1.0347449498978036E-3</v>
      </c>
      <c r="AB288" s="65">
        <f t="shared" si="216"/>
        <v>1.0347449498978036E-3</v>
      </c>
      <c r="AC288" s="65">
        <f t="shared" si="216"/>
        <v>1.0347449498978036E-3</v>
      </c>
    </row>
    <row r="289" spans="1:29" x14ac:dyDescent="0.25">
      <c r="A289" s="30" t="str">
        <f t="shared" si="215"/>
        <v>Residual value (vehicle)</v>
      </c>
      <c r="B289" s="68">
        <f>((1+B249)^B256)*B249/(((1+B249)^B256)-1)*(B246)/B261/(B258)</f>
        <v>-1.0336086682377807E-4</v>
      </c>
      <c r="C289" s="68">
        <f t="shared" ref="C289:AC289" si="217">((1+C249)^C256)*C249/(((1+C249)^C256)-1)*(C246)/C261/(C258)</f>
        <v>-1.0331170855999495E-4</v>
      </c>
      <c r="D289" s="68">
        <f t="shared" si="217"/>
        <v>-1.0324133960030145E-4</v>
      </c>
      <c r="E289" s="68">
        <f t="shared" si="217"/>
        <v>-1.0314067185489343E-4</v>
      </c>
      <c r="F289" s="68">
        <f t="shared" si="217"/>
        <v>-1.0299679543326449E-4</v>
      </c>
      <c r="G289" s="68">
        <f t="shared" si="217"/>
        <v>-1.0279145268661591E-4</v>
      </c>
      <c r="H289" s="68">
        <f t="shared" si="217"/>
        <v>-1.0249899423929835E-4</v>
      </c>
      <c r="I289" s="68">
        <f t="shared" si="217"/>
        <v>-1.0208374516854875E-4</v>
      </c>
      <c r="J289" s="68">
        <f t="shared" si="217"/>
        <v>-1.0149683050993223E-4</v>
      </c>
      <c r="K289" s="68">
        <f t="shared" si="217"/>
        <v>-1.0067281291805218E-4</v>
      </c>
      <c r="L289" s="68">
        <f t="shared" si="217"/>
        <v>-9.9527129337690295E-5</v>
      </c>
      <c r="M289" s="68">
        <f t="shared" si="217"/>
        <v>-9.7956440009122124E-5</v>
      </c>
      <c r="N289" s="68">
        <f t="shared" si="217"/>
        <v>-9.5845601859790468E-5</v>
      </c>
      <c r="O289" s="68">
        <f t="shared" si="217"/>
        <v>-9.3086328614673487E-5</v>
      </c>
      <c r="P289" s="68">
        <f t="shared" si="217"/>
        <v>-8.9611490340159677E-5</v>
      </c>
      <c r="Q289" s="68">
        <f t="shared" si="217"/>
        <v>-8.5441784155991385E-5</v>
      </c>
      <c r="R289" s="68">
        <f t="shared" si="217"/>
        <v>-8.0726790257955685E-5</v>
      </c>
      <c r="S289" s="68">
        <f t="shared" si="217"/>
        <v>-7.5749190544932557E-5</v>
      </c>
      <c r="T289" s="68">
        <f t="shared" si="217"/>
        <v>-7.086954068392259E-5</v>
      </c>
      <c r="U289" s="68">
        <f t="shared" si="217"/>
        <v>-6.6427494974906487E-5</v>
      </c>
      <c r="V289" s="68">
        <f t="shared" si="217"/>
        <v>-6.2652388681716054E-5</v>
      </c>
      <c r="W289" s="68">
        <f t="shared" si="217"/>
        <v>-5.9629204624102501E-5</v>
      </c>
      <c r="X289" s="68">
        <f t="shared" si="217"/>
        <v>-5.7322381009659713E-5</v>
      </c>
      <c r="Y289" s="68">
        <f t="shared" si="217"/>
        <v>-5.5626680645522941E-5</v>
      </c>
      <c r="Z289" s="68">
        <f t="shared" si="217"/>
        <v>-5.4414279416293167E-5</v>
      </c>
      <c r="AA289" s="68">
        <f t="shared" si="217"/>
        <v>-5.3564565201592909E-5</v>
      </c>
      <c r="AB289" s="68">
        <f t="shared" si="217"/>
        <v>-5.2977360451717727E-5</v>
      </c>
      <c r="AC289" s="68">
        <f t="shared" si="217"/>
        <v>-5.2575506979843073E-5</v>
      </c>
    </row>
    <row r="290" spans="1:29" x14ac:dyDescent="0.25">
      <c r="A290" s="30" t="str">
        <f t="shared" si="215"/>
        <v>Capex costumization</v>
      </c>
      <c r="B290" s="66">
        <f>((1+B249)^B257)*B249/(((1+B249)^B257)-1)*(B247)/B261/(B258)</f>
        <v>6.8982996659853576E-5</v>
      </c>
      <c r="C290" s="66">
        <f t="shared" ref="C290:AC290" si="218">((1+C249)^C257)*C249/(((1+C249)^C257)-1)*(C247)/C261/(C258)</f>
        <v>6.8982996659853576E-5</v>
      </c>
      <c r="D290" s="66">
        <f t="shared" si="218"/>
        <v>6.8982996659853576E-5</v>
      </c>
      <c r="E290" s="66">
        <f t="shared" si="218"/>
        <v>6.8982996659853576E-5</v>
      </c>
      <c r="F290" s="66">
        <f t="shared" si="218"/>
        <v>6.8982996659853576E-5</v>
      </c>
      <c r="G290" s="66">
        <f t="shared" si="218"/>
        <v>6.8982996659853576E-5</v>
      </c>
      <c r="H290" s="66">
        <f t="shared" si="218"/>
        <v>6.8982996659853576E-5</v>
      </c>
      <c r="I290" s="66">
        <f t="shared" si="218"/>
        <v>6.8982996659853576E-5</v>
      </c>
      <c r="J290" s="66">
        <f t="shared" si="218"/>
        <v>6.8982996659853576E-5</v>
      </c>
      <c r="K290" s="66">
        <f t="shared" si="218"/>
        <v>6.8982996659853576E-5</v>
      </c>
      <c r="L290" s="66">
        <f t="shared" si="218"/>
        <v>6.8982996659853576E-5</v>
      </c>
      <c r="M290" s="66">
        <f t="shared" si="218"/>
        <v>6.8982996659853576E-5</v>
      </c>
      <c r="N290" s="66">
        <f t="shared" si="218"/>
        <v>6.8982996659853576E-5</v>
      </c>
      <c r="O290" s="66">
        <f t="shared" si="218"/>
        <v>6.8982996659853576E-5</v>
      </c>
      <c r="P290" s="66">
        <f t="shared" si="218"/>
        <v>6.8982996659853576E-5</v>
      </c>
      <c r="Q290" s="66">
        <f t="shared" si="218"/>
        <v>6.8982996659853576E-5</v>
      </c>
      <c r="R290" s="66">
        <f t="shared" si="218"/>
        <v>6.8982996659853576E-5</v>
      </c>
      <c r="S290" s="66">
        <f t="shared" si="218"/>
        <v>6.8982996659853576E-5</v>
      </c>
      <c r="T290" s="66">
        <f t="shared" si="218"/>
        <v>6.8982996659853576E-5</v>
      </c>
      <c r="U290" s="66">
        <f t="shared" si="218"/>
        <v>6.8982996659853576E-5</v>
      </c>
      <c r="V290" s="66">
        <f t="shared" si="218"/>
        <v>6.8982996659853576E-5</v>
      </c>
      <c r="W290" s="66">
        <f t="shared" si="218"/>
        <v>6.8982996659853576E-5</v>
      </c>
      <c r="X290" s="66">
        <f t="shared" si="218"/>
        <v>6.8982996659853576E-5</v>
      </c>
      <c r="Y290" s="66">
        <f t="shared" si="218"/>
        <v>6.8982996659853576E-5</v>
      </c>
      <c r="Z290" s="66">
        <f t="shared" si="218"/>
        <v>6.8982996659853576E-5</v>
      </c>
      <c r="AA290" s="66">
        <f t="shared" si="218"/>
        <v>6.8982996659853576E-5</v>
      </c>
      <c r="AB290" s="66">
        <f t="shared" si="218"/>
        <v>6.8982996659853576E-5</v>
      </c>
      <c r="AC290" s="66">
        <f t="shared" si="218"/>
        <v>6.8982996659853576E-5</v>
      </c>
    </row>
    <row r="291" spans="1:29" x14ac:dyDescent="0.25">
      <c r="A291" s="30" t="str">
        <f t="shared" si="215"/>
        <v>Residual value (costumization)</v>
      </c>
      <c r="B291" s="69">
        <f>((1+B249)^B257)*B249/(((1+B249)^B257)-1)*(B248)/B261/(B258)</f>
        <v>-6.8982996659853564E-6</v>
      </c>
      <c r="C291" s="69">
        <f t="shared" ref="C291:AC291" si="219">((1+C249)^C257)*C249/(((1+C249)^C257)-1)*(C248)/C261/(C258)</f>
        <v>-6.8982996659853564E-6</v>
      </c>
      <c r="D291" s="69">
        <f t="shared" si="219"/>
        <v>-6.8982996659853564E-6</v>
      </c>
      <c r="E291" s="69">
        <f t="shared" si="219"/>
        <v>-6.8982996659853564E-6</v>
      </c>
      <c r="F291" s="69">
        <f t="shared" si="219"/>
        <v>-6.8982996659853564E-6</v>
      </c>
      <c r="G291" s="69">
        <f t="shared" si="219"/>
        <v>-6.8982996659853564E-6</v>
      </c>
      <c r="H291" s="69">
        <f t="shared" si="219"/>
        <v>-6.8982996659853564E-6</v>
      </c>
      <c r="I291" s="69">
        <f t="shared" si="219"/>
        <v>-6.8982996659853564E-6</v>
      </c>
      <c r="J291" s="69">
        <f t="shared" si="219"/>
        <v>-6.8982996659853564E-6</v>
      </c>
      <c r="K291" s="69">
        <f t="shared" si="219"/>
        <v>-6.8982996659853564E-6</v>
      </c>
      <c r="L291" s="69">
        <f t="shared" si="219"/>
        <v>-6.8982996659853564E-6</v>
      </c>
      <c r="M291" s="69">
        <f t="shared" si="219"/>
        <v>-6.8982996659853564E-6</v>
      </c>
      <c r="N291" s="69">
        <f t="shared" si="219"/>
        <v>-6.8982996659853564E-6</v>
      </c>
      <c r="O291" s="69">
        <f t="shared" si="219"/>
        <v>-6.8982996659853564E-6</v>
      </c>
      <c r="P291" s="69">
        <f t="shared" si="219"/>
        <v>-6.8982996659853564E-6</v>
      </c>
      <c r="Q291" s="69">
        <f t="shared" si="219"/>
        <v>-6.8982996659853564E-6</v>
      </c>
      <c r="R291" s="69">
        <f t="shared" si="219"/>
        <v>-6.8982996659853564E-6</v>
      </c>
      <c r="S291" s="69">
        <f t="shared" si="219"/>
        <v>-6.8982996659853564E-6</v>
      </c>
      <c r="T291" s="69">
        <f t="shared" si="219"/>
        <v>-6.8982996659853564E-6</v>
      </c>
      <c r="U291" s="69">
        <f t="shared" si="219"/>
        <v>-6.8982996659853564E-6</v>
      </c>
      <c r="V291" s="69">
        <f t="shared" si="219"/>
        <v>-6.8982996659853564E-6</v>
      </c>
      <c r="W291" s="69">
        <f t="shared" si="219"/>
        <v>-6.8982996659853564E-6</v>
      </c>
      <c r="X291" s="69">
        <f t="shared" si="219"/>
        <v>-6.8982996659853564E-6</v>
      </c>
      <c r="Y291" s="69">
        <f t="shared" si="219"/>
        <v>-6.8982996659853564E-6</v>
      </c>
      <c r="Z291" s="69">
        <f t="shared" si="219"/>
        <v>-6.8982996659853564E-6</v>
      </c>
      <c r="AA291" s="69">
        <f t="shared" si="219"/>
        <v>-6.8982996659853564E-6</v>
      </c>
      <c r="AB291" s="69">
        <f t="shared" si="219"/>
        <v>-6.8982996659853564E-6</v>
      </c>
      <c r="AC291" s="69">
        <f t="shared" si="219"/>
        <v>-6.8982996659853564E-6</v>
      </c>
    </row>
    <row r="292" spans="1:29" x14ac:dyDescent="0.25">
      <c r="A292" s="30" t="str">
        <f t="shared" si="215"/>
        <v>Opex fix (admin, crew, insurance)</v>
      </c>
      <c r="B292" s="66">
        <f>B250/B261/(B258)</f>
        <v>1.0654632223259673E-3</v>
      </c>
      <c r="C292" s="66">
        <f t="shared" ref="C292:AC292" si="220">C250/C261/(C258)</f>
        <v>1.0654632223259673E-3</v>
      </c>
      <c r="D292" s="66">
        <f t="shared" si="220"/>
        <v>1.0654632223259673E-3</v>
      </c>
      <c r="E292" s="66">
        <f t="shared" si="220"/>
        <v>1.0654632223259673E-3</v>
      </c>
      <c r="F292" s="66">
        <f t="shared" si="220"/>
        <v>1.0654632223259673E-3</v>
      </c>
      <c r="G292" s="66">
        <f t="shared" si="220"/>
        <v>1.0654632223259673E-3</v>
      </c>
      <c r="H292" s="66">
        <f t="shared" si="220"/>
        <v>1.0654632223259673E-3</v>
      </c>
      <c r="I292" s="66">
        <f t="shared" si="220"/>
        <v>1.0654632223259673E-3</v>
      </c>
      <c r="J292" s="66">
        <f t="shared" si="220"/>
        <v>1.0654632223259673E-3</v>
      </c>
      <c r="K292" s="66">
        <f t="shared" si="220"/>
        <v>1.0654632223259673E-3</v>
      </c>
      <c r="L292" s="66">
        <f t="shared" si="220"/>
        <v>1.0654632223259673E-3</v>
      </c>
      <c r="M292" s="66">
        <f t="shared" si="220"/>
        <v>1.0654632223259673E-3</v>
      </c>
      <c r="N292" s="66">
        <f t="shared" si="220"/>
        <v>1.0654632223259673E-3</v>
      </c>
      <c r="O292" s="66">
        <f t="shared" si="220"/>
        <v>1.0654632223259673E-3</v>
      </c>
      <c r="P292" s="66">
        <f t="shared" si="220"/>
        <v>1.0654632223259673E-3</v>
      </c>
      <c r="Q292" s="66">
        <f t="shared" si="220"/>
        <v>1.0654632223259673E-3</v>
      </c>
      <c r="R292" s="66">
        <f t="shared" si="220"/>
        <v>1.0654632223259673E-3</v>
      </c>
      <c r="S292" s="66">
        <f t="shared" si="220"/>
        <v>1.0654632223259673E-3</v>
      </c>
      <c r="T292" s="66">
        <f t="shared" si="220"/>
        <v>1.0654632223259673E-3</v>
      </c>
      <c r="U292" s="66">
        <f t="shared" si="220"/>
        <v>1.0654632223259673E-3</v>
      </c>
      <c r="V292" s="66">
        <f t="shared" si="220"/>
        <v>1.0654632223259673E-3</v>
      </c>
      <c r="W292" s="66">
        <f t="shared" si="220"/>
        <v>1.0654632223259673E-3</v>
      </c>
      <c r="X292" s="66">
        <f t="shared" si="220"/>
        <v>1.0654632223259673E-3</v>
      </c>
      <c r="Y292" s="66">
        <f t="shared" si="220"/>
        <v>1.0654632223259673E-3</v>
      </c>
      <c r="Z292" s="66">
        <f t="shared" si="220"/>
        <v>1.0654632223259673E-3</v>
      </c>
      <c r="AA292" s="66">
        <f t="shared" si="220"/>
        <v>1.0654632223259673E-3</v>
      </c>
      <c r="AB292" s="66">
        <f t="shared" si="220"/>
        <v>1.0654632223259673E-3</v>
      </c>
      <c r="AC292" s="66">
        <f t="shared" si="220"/>
        <v>1.0654632223259673E-3</v>
      </c>
    </row>
    <row r="293" spans="1:29" x14ac:dyDescent="0.25">
      <c r="A293" s="30" t="str">
        <f t="shared" si="215"/>
        <v>Opex maintenance &amp; repair</v>
      </c>
      <c r="B293" s="66">
        <f>B251/B261/(B258)</f>
        <v>4.305425874053325E-4</v>
      </c>
      <c r="C293" s="66">
        <f t="shared" ref="C293:AC293" si="221">C251/C261/(C258)</f>
        <v>4.305425874053325E-4</v>
      </c>
      <c r="D293" s="66">
        <f t="shared" si="221"/>
        <v>4.305425874053325E-4</v>
      </c>
      <c r="E293" s="66">
        <f t="shared" si="221"/>
        <v>4.305425874053325E-4</v>
      </c>
      <c r="F293" s="66">
        <f t="shared" si="221"/>
        <v>4.305425874053325E-4</v>
      </c>
      <c r="G293" s="66">
        <f t="shared" si="221"/>
        <v>4.305425874053325E-4</v>
      </c>
      <c r="H293" s="66">
        <f t="shared" si="221"/>
        <v>4.305425874053325E-4</v>
      </c>
      <c r="I293" s="66">
        <f t="shared" si="221"/>
        <v>4.305425874053325E-4</v>
      </c>
      <c r="J293" s="66">
        <f t="shared" si="221"/>
        <v>4.305425874053325E-4</v>
      </c>
      <c r="K293" s="66">
        <f t="shared" si="221"/>
        <v>4.305425874053325E-4</v>
      </c>
      <c r="L293" s="66">
        <f t="shared" si="221"/>
        <v>4.305425874053325E-4</v>
      </c>
      <c r="M293" s="66">
        <f t="shared" si="221"/>
        <v>4.305425874053325E-4</v>
      </c>
      <c r="N293" s="66">
        <f t="shared" si="221"/>
        <v>4.305425874053325E-4</v>
      </c>
      <c r="O293" s="66">
        <f t="shared" si="221"/>
        <v>4.305425874053325E-4</v>
      </c>
      <c r="P293" s="66">
        <f t="shared" si="221"/>
        <v>4.305425874053325E-4</v>
      </c>
      <c r="Q293" s="66">
        <f t="shared" si="221"/>
        <v>4.305425874053325E-4</v>
      </c>
      <c r="R293" s="66">
        <f t="shared" si="221"/>
        <v>4.305425874053325E-4</v>
      </c>
      <c r="S293" s="66">
        <f t="shared" si="221"/>
        <v>4.305425874053325E-4</v>
      </c>
      <c r="T293" s="66">
        <f t="shared" si="221"/>
        <v>4.305425874053325E-4</v>
      </c>
      <c r="U293" s="66">
        <f t="shared" si="221"/>
        <v>4.305425874053325E-4</v>
      </c>
      <c r="V293" s="66">
        <f t="shared" si="221"/>
        <v>4.305425874053325E-4</v>
      </c>
      <c r="W293" s="66">
        <f t="shared" si="221"/>
        <v>4.305425874053325E-4</v>
      </c>
      <c r="X293" s="66">
        <f t="shared" si="221"/>
        <v>4.305425874053325E-4</v>
      </c>
      <c r="Y293" s="66">
        <f t="shared" si="221"/>
        <v>4.305425874053325E-4</v>
      </c>
      <c r="Z293" s="66">
        <f t="shared" si="221"/>
        <v>4.305425874053325E-4</v>
      </c>
      <c r="AA293" s="66">
        <f t="shared" si="221"/>
        <v>4.305425874053325E-4</v>
      </c>
      <c r="AB293" s="66">
        <f t="shared" si="221"/>
        <v>4.305425874053325E-4</v>
      </c>
      <c r="AC293" s="66">
        <f t="shared" si="221"/>
        <v>4.305425874053325E-4</v>
      </c>
    </row>
    <row r="294" spans="1:29" x14ac:dyDescent="0.25">
      <c r="A294" s="30" t="str">
        <f t="shared" si="215"/>
        <v>Opex var (mode-fees)</v>
      </c>
      <c r="B294" s="66">
        <f>B252*B261/B261/(B258)</f>
        <v>8.6011184229469056E-5</v>
      </c>
      <c r="C294" s="66">
        <f t="shared" ref="C294:AC294" si="222">C252*C261/C261/(C258)</f>
        <v>8.6011184229469056E-5</v>
      </c>
      <c r="D294" s="66">
        <f t="shared" si="222"/>
        <v>8.6011184229469056E-5</v>
      </c>
      <c r="E294" s="66">
        <f t="shared" si="222"/>
        <v>8.6011184229469056E-5</v>
      </c>
      <c r="F294" s="66">
        <f t="shared" si="222"/>
        <v>8.6011184229469056E-5</v>
      </c>
      <c r="G294" s="66">
        <f t="shared" si="222"/>
        <v>8.6011184229469056E-5</v>
      </c>
      <c r="H294" s="66">
        <f t="shared" si="222"/>
        <v>8.6011184229469056E-5</v>
      </c>
      <c r="I294" s="66">
        <f t="shared" si="222"/>
        <v>8.6011184229469056E-5</v>
      </c>
      <c r="J294" s="66">
        <f t="shared" si="222"/>
        <v>8.6011184229469056E-5</v>
      </c>
      <c r="K294" s="66">
        <f t="shared" si="222"/>
        <v>8.6011184229469056E-5</v>
      </c>
      <c r="L294" s="66">
        <f t="shared" si="222"/>
        <v>8.6011184229469056E-5</v>
      </c>
      <c r="M294" s="66">
        <f t="shared" si="222"/>
        <v>8.6011184229469056E-5</v>
      </c>
      <c r="N294" s="66">
        <f t="shared" si="222"/>
        <v>8.6011184229469056E-5</v>
      </c>
      <c r="O294" s="66">
        <f t="shared" si="222"/>
        <v>8.6011184229469056E-5</v>
      </c>
      <c r="P294" s="66">
        <f t="shared" si="222"/>
        <v>8.6011184229469056E-5</v>
      </c>
      <c r="Q294" s="66">
        <f t="shared" si="222"/>
        <v>8.6011184229469056E-5</v>
      </c>
      <c r="R294" s="66">
        <f t="shared" si="222"/>
        <v>8.6011184229469056E-5</v>
      </c>
      <c r="S294" s="66">
        <f t="shared" si="222"/>
        <v>8.6011184229469056E-5</v>
      </c>
      <c r="T294" s="66">
        <f t="shared" si="222"/>
        <v>8.6011184229469056E-5</v>
      </c>
      <c r="U294" s="66">
        <f t="shared" si="222"/>
        <v>8.6011184229469056E-5</v>
      </c>
      <c r="V294" s="66">
        <f t="shared" si="222"/>
        <v>8.6011184229469056E-5</v>
      </c>
      <c r="W294" s="66">
        <f t="shared" si="222"/>
        <v>8.6011184229469056E-5</v>
      </c>
      <c r="X294" s="66">
        <f t="shared" si="222"/>
        <v>8.6011184229469056E-5</v>
      </c>
      <c r="Y294" s="66">
        <f t="shared" si="222"/>
        <v>8.6011184229469056E-5</v>
      </c>
      <c r="Z294" s="66">
        <f t="shared" si="222"/>
        <v>8.6011184229469056E-5</v>
      </c>
      <c r="AA294" s="66">
        <f t="shared" si="222"/>
        <v>8.6011184229469056E-5</v>
      </c>
      <c r="AB294" s="66">
        <f t="shared" si="222"/>
        <v>8.6011184229469056E-5</v>
      </c>
      <c r="AC294" s="66">
        <f t="shared" si="222"/>
        <v>8.6011184229469056E-5</v>
      </c>
    </row>
    <row r="295" spans="1:29" x14ac:dyDescent="0.25">
      <c r="A295" s="30" t="str">
        <f t="shared" si="215"/>
        <v>Fuel Cost</v>
      </c>
      <c r="B295" s="66">
        <f>B253*B254*B261/B261/(B258)</f>
        <v>4.1072811176853007E-3</v>
      </c>
      <c r="C295" s="66">
        <f t="shared" ref="C295:AC295" si="223">C253*C254*C261/C261/(C258)</f>
        <v>4.1069975801788601E-3</v>
      </c>
      <c r="D295" s="66">
        <f t="shared" si="223"/>
        <v>4.106591702553679E-3</v>
      </c>
      <c r="E295" s="66">
        <f t="shared" si="223"/>
        <v>4.1060110660682677E-3</v>
      </c>
      <c r="F295" s="66">
        <f t="shared" si="223"/>
        <v>4.1051812084068112E-3</v>
      </c>
      <c r="G295" s="66">
        <f t="shared" si="223"/>
        <v>4.1039968221842377E-3</v>
      </c>
      <c r="H295" s="66">
        <f t="shared" si="223"/>
        <v>4.1023099656415452E-3</v>
      </c>
      <c r="I295" s="66">
        <f t="shared" si="223"/>
        <v>4.0999148711648248E-3</v>
      </c>
      <c r="J295" s="66">
        <f t="shared" si="223"/>
        <v>4.0965296352758638E-3</v>
      </c>
      <c r="K295" s="66">
        <f t="shared" si="223"/>
        <v>4.0917768251624784E-3</v>
      </c>
      <c r="L295" s="66">
        <f t="shared" si="223"/>
        <v>4.0851686937813745E-3</v>
      </c>
      <c r="M295" s="66">
        <f t="shared" si="223"/>
        <v>4.076109192868568E-3</v>
      </c>
      <c r="N295" s="66">
        <f t="shared" si="223"/>
        <v>4.0639341944186261E-3</v>
      </c>
      <c r="O295" s="66">
        <f t="shared" si="223"/>
        <v>4.0480191194078299E-3</v>
      </c>
      <c r="P295" s="66">
        <f t="shared" si="223"/>
        <v>4.0279767724285516E-3</v>
      </c>
      <c r="Q295" s="66">
        <f t="shared" si="223"/>
        <v>4.0039265313690777E-3</v>
      </c>
      <c r="R295" s="66">
        <f t="shared" si="223"/>
        <v>3.9767311524063443E-3</v>
      </c>
      <c r="S295" s="66">
        <f t="shared" si="223"/>
        <v>3.9480211024152199E-3</v>
      </c>
      <c r="T295" s="66">
        <f t="shared" si="223"/>
        <v>3.9198760125072774E-3</v>
      </c>
      <c r="U295" s="66">
        <f t="shared" si="223"/>
        <v>3.894254957838086E-3</v>
      </c>
      <c r="V295" s="66">
        <f t="shared" si="223"/>
        <v>3.8724807098776209E-3</v>
      </c>
      <c r="W295" s="66">
        <f t="shared" si="223"/>
        <v>3.8550434368081602E-3</v>
      </c>
      <c r="X295" s="66">
        <f t="shared" si="223"/>
        <v>3.8417380235347544E-3</v>
      </c>
      <c r="Y295" s="66">
        <f t="shared" si="223"/>
        <v>3.8319574776831127E-3</v>
      </c>
      <c r="Z295" s="66">
        <f t="shared" si="223"/>
        <v>3.8249645288910635E-3</v>
      </c>
      <c r="AA295" s="66">
        <f t="shared" si="223"/>
        <v>3.8200635045040725E-3</v>
      </c>
      <c r="AB295" s="66">
        <f t="shared" si="223"/>
        <v>3.8166765954121581E-3</v>
      </c>
      <c r="AC295" s="66">
        <f t="shared" si="223"/>
        <v>3.8143587647444083E-3</v>
      </c>
    </row>
    <row r="296" spans="1:29" x14ac:dyDescent="0.25">
      <c r="A296" s="59" t="str">
        <f>A259</f>
        <v>Market failure (av. utilization)</v>
      </c>
      <c r="B296" s="66">
        <f t="shared" ref="B296:AC296" si="224">B285/B259-B285/B258</f>
        <v>7.8747067424912252E-3</v>
      </c>
      <c r="C296" s="66">
        <f t="shared" si="224"/>
        <v>7.8780857519291751E-3</v>
      </c>
      <c r="D296" s="66">
        <f t="shared" si="224"/>
        <v>7.8829227286782329E-3</v>
      </c>
      <c r="E296" s="66">
        <f t="shared" si="224"/>
        <v>7.8898423640691735E-3</v>
      </c>
      <c r="F296" s="66">
        <f t="shared" si="224"/>
        <v>7.8997320499361815E-3</v>
      </c>
      <c r="G296" s="66">
        <f t="shared" si="224"/>
        <v>7.9138467689181466E-3</v>
      </c>
      <c r="H296" s="66">
        <f t="shared" si="224"/>
        <v>7.9339495914680681E-3</v>
      </c>
      <c r="I296" s="66">
        <f t="shared" si="224"/>
        <v>7.9624927177133938E-3</v>
      </c>
      <c r="J296" s="66">
        <f t="shared" si="224"/>
        <v>8.002835683841851E-3</v>
      </c>
      <c r="K296" s="66">
        <f t="shared" si="224"/>
        <v>8.0594764804388097E-3</v>
      </c>
      <c r="L296" s="66">
        <f t="shared" si="224"/>
        <v>8.1382277489544432E-3</v>
      </c>
      <c r="M296" s="66">
        <f t="shared" si="224"/>
        <v>8.2461927919985599E-3</v>
      </c>
      <c r="N296" s="66">
        <f t="shared" si="224"/>
        <v>8.3912862407835662E-3</v>
      </c>
      <c r="O296" s="66">
        <f t="shared" si="224"/>
        <v>8.5809514083384445E-3</v>
      </c>
      <c r="P296" s="66">
        <f t="shared" si="224"/>
        <v>8.819802629299647E-3</v>
      </c>
      <c r="Q296" s="66">
        <f t="shared" si="224"/>
        <v>9.1064172382277139E-3</v>
      </c>
      <c r="R296" s="66">
        <f t="shared" si="224"/>
        <v>9.4305134868590303E-3</v>
      </c>
      <c r="S296" s="66">
        <f t="shared" si="224"/>
        <v>9.7726605668056622E-3</v>
      </c>
      <c r="T296" s="66">
        <f t="shared" si="224"/>
        <v>1.0108074832187109E-2</v>
      </c>
      <c r="U296" s="66">
        <f t="shared" si="224"/>
        <v>1.0413409341981641E-2</v>
      </c>
      <c r="V296" s="66">
        <f t="shared" si="224"/>
        <v>1.067290019483666E-2</v>
      </c>
      <c r="W296" s="66">
        <f t="shared" si="224"/>
        <v>1.0880705895794776E-2</v>
      </c>
      <c r="X296" s="66">
        <f t="shared" si="224"/>
        <v>1.1039270868700999E-2</v>
      </c>
      <c r="Y296" s="66">
        <f t="shared" si="224"/>
        <v>1.1155828840716283E-2</v>
      </c>
      <c r="Z296" s="66">
        <f t="shared" si="224"/>
        <v>1.1239166104502154E-2</v>
      </c>
      <c r="AA296" s="66">
        <f t="shared" si="224"/>
        <v>1.1297573219198059E-2</v>
      </c>
      <c r="AB296" s="66">
        <f t="shared" si="224"/>
        <v>1.133793612543476E-2</v>
      </c>
      <c r="AC296" s="66">
        <f t="shared" si="224"/>
        <v>1.1365558473533301E-2</v>
      </c>
    </row>
    <row r="297" spans="1:29" x14ac:dyDescent="0.25">
      <c r="A297" s="59" t="str">
        <f>A260</f>
        <v>Payload loss (fuel)</v>
      </c>
      <c r="B297" s="66">
        <f>B285/(B258-B260)-B285/B258</f>
        <v>0</v>
      </c>
      <c r="C297" s="66">
        <f t="shared" ref="C297:AC297" si="225">C285/(C258-C260)-C285/C258</f>
        <v>0</v>
      </c>
      <c r="D297" s="66">
        <f t="shared" si="225"/>
        <v>0</v>
      </c>
      <c r="E297" s="66">
        <f t="shared" si="225"/>
        <v>0</v>
      </c>
      <c r="F297" s="66">
        <f t="shared" si="225"/>
        <v>0</v>
      </c>
      <c r="G297" s="66">
        <f t="shared" si="225"/>
        <v>0</v>
      </c>
      <c r="H297" s="66">
        <f t="shared" si="225"/>
        <v>0</v>
      </c>
      <c r="I297" s="66">
        <f t="shared" si="225"/>
        <v>0</v>
      </c>
      <c r="J297" s="66">
        <f t="shared" si="225"/>
        <v>0</v>
      </c>
      <c r="K297" s="66">
        <f t="shared" si="225"/>
        <v>0</v>
      </c>
      <c r="L297" s="66">
        <f t="shared" si="225"/>
        <v>0</v>
      </c>
      <c r="M297" s="66">
        <f t="shared" si="225"/>
        <v>0</v>
      </c>
      <c r="N297" s="66">
        <f t="shared" si="225"/>
        <v>0</v>
      </c>
      <c r="O297" s="66">
        <f t="shared" si="225"/>
        <v>0</v>
      </c>
      <c r="P297" s="66">
        <f t="shared" si="225"/>
        <v>0</v>
      </c>
      <c r="Q297" s="66">
        <f t="shared" si="225"/>
        <v>0</v>
      </c>
      <c r="R297" s="66">
        <f t="shared" si="225"/>
        <v>0</v>
      </c>
      <c r="S297" s="66">
        <f t="shared" si="225"/>
        <v>0</v>
      </c>
      <c r="T297" s="66">
        <f t="shared" si="225"/>
        <v>0</v>
      </c>
      <c r="U297" s="66">
        <f t="shared" si="225"/>
        <v>0</v>
      </c>
      <c r="V297" s="66">
        <f t="shared" si="225"/>
        <v>0</v>
      </c>
      <c r="W297" s="66">
        <f t="shared" si="225"/>
        <v>0</v>
      </c>
      <c r="X297" s="66">
        <f t="shared" si="225"/>
        <v>0</v>
      </c>
      <c r="Y297" s="66">
        <f t="shared" si="225"/>
        <v>0</v>
      </c>
      <c r="Z297" s="66">
        <f t="shared" si="225"/>
        <v>0</v>
      </c>
      <c r="AA297" s="66">
        <f t="shared" si="225"/>
        <v>0</v>
      </c>
      <c r="AB297" s="66">
        <f t="shared" si="225"/>
        <v>0</v>
      </c>
      <c r="AC297" s="66">
        <f t="shared" si="225"/>
        <v>0</v>
      </c>
    </row>
    <row r="298" spans="1:29" ht="15.75" thickBot="1" x14ac:dyDescent="0.3">
      <c r="A298" s="59" t="str">
        <f>A235</f>
        <v>Emission Cost</v>
      </c>
      <c r="B298" s="68">
        <f>B255*B261/B261/(B258)</f>
        <v>1.8343688133195604E-3</v>
      </c>
      <c r="C298" s="68">
        <f t="shared" ref="C298:AC298" si="226">C255*C261/C261/(C258)</f>
        <v>1.8382637861199969E-3</v>
      </c>
      <c r="D298" s="68">
        <f t="shared" si="226"/>
        <v>1.8438393529302977E-3</v>
      </c>
      <c r="E298" s="68">
        <f t="shared" si="226"/>
        <v>1.8518155933438187E-3</v>
      </c>
      <c r="F298" s="68">
        <f t="shared" si="226"/>
        <v>1.8632154009395707E-3</v>
      </c>
      <c r="G298" s="68">
        <f t="shared" si="226"/>
        <v>1.879485389979293E-3</v>
      </c>
      <c r="H298" s="68">
        <f t="shared" si="226"/>
        <v>1.9026578458370806E-3</v>
      </c>
      <c r="I298" s="68">
        <f t="shared" si="226"/>
        <v>1.9355594113421553E-3</v>
      </c>
      <c r="J298" s="68">
        <f t="shared" si="226"/>
        <v>1.9820626125449966E-3</v>
      </c>
      <c r="K298" s="68">
        <f t="shared" si="226"/>
        <v>2.0473522680465386E-3</v>
      </c>
      <c r="L298" s="68">
        <f t="shared" si="226"/>
        <v>2.1381285900725503E-3</v>
      </c>
      <c r="M298" s="68">
        <f t="shared" si="226"/>
        <v>2.2625795316212503E-3</v>
      </c>
      <c r="N298" s="68">
        <f t="shared" si="226"/>
        <v>2.4298282614389497E-3</v>
      </c>
      <c r="O298" s="68">
        <f t="shared" si="226"/>
        <v>2.6484546613890813E-3</v>
      </c>
      <c r="P298" s="68">
        <f t="shared" si="226"/>
        <v>2.9237776594684796E-3</v>
      </c>
      <c r="Q298" s="68">
        <f t="shared" si="226"/>
        <v>3.2541573540158593E-3</v>
      </c>
      <c r="R298" s="68">
        <f t="shared" si="226"/>
        <v>3.6277420084311488E-3</v>
      </c>
      <c r="S298" s="68">
        <f t="shared" si="226"/>
        <v>4.022133795318102E-3</v>
      </c>
      <c r="T298" s="68">
        <f t="shared" si="226"/>
        <v>4.4087646895282669E-3</v>
      </c>
      <c r="U298" s="68">
        <f t="shared" si="226"/>
        <v>4.7607227507658533E-3</v>
      </c>
      <c r="V298" s="68">
        <f t="shared" si="226"/>
        <v>5.059836983026064E-3</v>
      </c>
      <c r="W298" s="68">
        <f t="shared" si="226"/>
        <v>5.2993739147425382E-3</v>
      </c>
      <c r="X298" s="68">
        <f t="shared" si="226"/>
        <v>5.4821512250499103E-3</v>
      </c>
      <c r="Y298" s="68">
        <f t="shared" si="226"/>
        <v>5.6165072068873048E-3</v>
      </c>
      <c r="Z298" s="68">
        <f t="shared" si="226"/>
        <v>5.7125697902181494E-3</v>
      </c>
      <c r="AA298" s="68">
        <f t="shared" si="226"/>
        <v>5.7798954746443379E-3</v>
      </c>
      <c r="AB298" s="68">
        <f t="shared" si="226"/>
        <v>5.8264216607428025E-3</v>
      </c>
      <c r="AC298" s="68">
        <f t="shared" si="226"/>
        <v>5.8582618483787648E-3</v>
      </c>
    </row>
    <row r="299" spans="1:29" ht="15.75" thickBot="1" x14ac:dyDescent="0.3">
      <c r="A299" s="31" t="s">
        <v>210</v>
      </c>
      <c r="B299" s="77">
        <f>B288+B289+B290+B291+B292+B293+B294+B295+B296+B297+B298</f>
        <v>1.639184244752475E-2</v>
      </c>
      <c r="C299" s="67">
        <f t="shared" ref="C299:AC299" si="227">C288+C289+C290+C291+C292+C293+C294+C295+C296+C297+C298</f>
        <v>1.639888205052048E-2</v>
      </c>
      <c r="D299" s="67">
        <f t="shared" si="227"/>
        <v>1.640895908541435E-2</v>
      </c>
      <c r="E299" s="67">
        <f t="shared" si="227"/>
        <v>1.6423374992478808E-2</v>
      </c>
      <c r="F299" s="67">
        <f t="shared" si="227"/>
        <v>1.644397850470174E-2</v>
      </c>
      <c r="G299" s="67">
        <f t="shared" si="227"/>
        <v>1.6473384169247502E-2</v>
      </c>
      <c r="H299" s="67">
        <f t="shared" si="227"/>
        <v>1.6515265049559837E-2</v>
      </c>
      <c r="I299" s="67">
        <f t="shared" si="227"/>
        <v>1.6574729895904267E-2</v>
      </c>
      <c r="J299" s="67">
        <f t="shared" si="227"/>
        <v>1.6658777742005221E-2</v>
      </c>
      <c r="K299" s="67">
        <f t="shared" si="227"/>
        <v>1.6776779401582214E-2</v>
      </c>
      <c r="L299" s="67">
        <f t="shared" si="227"/>
        <v>1.6940844544323118E-2</v>
      </c>
      <c r="M299" s="67">
        <f t="shared" si="227"/>
        <v>1.7165771717331697E-2</v>
      </c>
      <c r="N299" s="67">
        <f t="shared" si="227"/>
        <v>1.7468049735633793E-2</v>
      </c>
      <c r="O299" s="67">
        <f t="shared" si="227"/>
        <v>1.7863185501373124E-2</v>
      </c>
      <c r="P299" s="67">
        <f t="shared" si="227"/>
        <v>1.836079221170896E-2</v>
      </c>
      <c r="Q299" s="67">
        <f t="shared" si="227"/>
        <v>1.8957905980309102E-2</v>
      </c>
      <c r="R299" s="67">
        <f t="shared" si="227"/>
        <v>1.9633106498291007E-2</v>
      </c>
      <c r="S299" s="67">
        <f t="shared" si="227"/>
        <v>2.0345912914846491E-2</v>
      </c>
      <c r="T299" s="67">
        <f t="shared" si="227"/>
        <v>2.1044692634391172E-2</v>
      </c>
      <c r="U299" s="67">
        <f t="shared" si="227"/>
        <v>2.1680806196463114E-2</v>
      </c>
      <c r="V299" s="67">
        <f t="shared" si="227"/>
        <v>2.2221412139911068E-2</v>
      </c>
      <c r="W299" s="67">
        <f t="shared" si="227"/>
        <v>2.2654340683573814E-2</v>
      </c>
      <c r="X299" s="67">
        <f t="shared" si="227"/>
        <v>2.2984684377128445E-2</v>
      </c>
      <c r="Y299" s="67">
        <f t="shared" si="227"/>
        <v>2.3227513485493619E-2</v>
      </c>
      <c r="Z299" s="67">
        <f t="shared" si="227"/>
        <v>2.3401132785047511E-2</v>
      </c>
      <c r="AA299" s="67">
        <f t="shared" si="227"/>
        <v>2.3522814273997317E-2</v>
      </c>
      <c r="AB299" s="67">
        <f t="shared" si="227"/>
        <v>2.3606903661990444E-2</v>
      </c>
      <c r="AC299" s="67">
        <f t="shared" si="227"/>
        <v>2.3664450220529071E-2</v>
      </c>
    </row>
    <row r="301" spans="1:29" x14ac:dyDescent="0.25">
      <c r="B301" s="40"/>
    </row>
    <row r="324" spans="1:44" s="3" customFormat="1" ht="21" x14ac:dyDescent="0.35">
      <c r="A324" s="2" t="str">
        <f>'Parameter Input'!A192</f>
        <v>Short-sea:  Neo bulk</v>
      </c>
    </row>
    <row r="325" spans="1:44" s="3" customFormat="1" ht="21" x14ac:dyDescent="0.35">
      <c r="A325" s="2" t="s">
        <v>289</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Input'!$L$156</f>
        <v>15000000</v>
      </c>
      <c r="C334" s="42">
        <f>'Parameter Input'!$M$156</f>
        <v>15000000</v>
      </c>
      <c r="D334" s="1" t="s">
        <v>15</v>
      </c>
      <c r="L334" s="51">
        <f>'Parameter Input'!$O$156</f>
        <v>17</v>
      </c>
      <c r="M334" s="52">
        <v>0</v>
      </c>
      <c r="N334" s="52">
        <v>1</v>
      </c>
      <c r="O334" s="52">
        <f>'Parameter Input'!$P$156</f>
        <v>0.9</v>
      </c>
      <c r="P334" s="53">
        <f>'Parameter Input'!$Q$156</f>
        <v>0.4</v>
      </c>
      <c r="Q334" s="4">
        <f t="shared" ref="Q334:AR343" si="228">$N334+($M334-$N334)*((1/(1+EXP(-$P334*(Q$9-$L334)))^$O334))</f>
        <v>0.99780374543478534</v>
      </c>
      <c r="R334" s="4">
        <f t="shared" si="228"/>
        <v>0.99685359315256394</v>
      </c>
      <c r="S334" s="4">
        <f t="shared" si="228"/>
        <v>0.99549347132349975</v>
      </c>
      <c r="T334" s="4">
        <f t="shared" si="228"/>
        <v>0.99354772139898062</v>
      </c>
      <c r="U334" s="4">
        <f t="shared" si="228"/>
        <v>0.99076681540580536</v>
      </c>
      <c r="V334" s="4">
        <f t="shared" si="228"/>
        <v>0.9867978615748374</v>
      </c>
      <c r="W334" s="4">
        <f t="shared" si="228"/>
        <v>0.98114509762858249</v>
      </c>
      <c r="X334" s="4">
        <f t="shared" si="228"/>
        <v>0.97311898315872036</v>
      </c>
      <c r="Y334" s="4">
        <f t="shared" si="228"/>
        <v>0.96177484161592774</v>
      </c>
      <c r="Z334" s="4">
        <f t="shared" si="228"/>
        <v>0.94584787155511363</v>
      </c>
      <c r="AA334" s="4">
        <f t="shared" si="228"/>
        <v>0.92370360150141495</v>
      </c>
      <c r="AB334" s="4">
        <f t="shared" si="228"/>
        <v>0.89334463567658451</v>
      </c>
      <c r="AC334" s="4">
        <f t="shared" si="228"/>
        <v>0.85254543874327005</v>
      </c>
      <c r="AD334" s="4">
        <f t="shared" si="228"/>
        <v>0.79921300652623883</v>
      </c>
      <c r="AE334" s="4">
        <f t="shared" si="228"/>
        <v>0.73204982249993378</v>
      </c>
      <c r="AF334" s="4">
        <f t="shared" si="228"/>
        <v>0.65145592958786691</v>
      </c>
      <c r="AG334" s="4">
        <f t="shared" si="228"/>
        <v>0.56032247880849573</v>
      </c>
      <c r="AH334" s="4">
        <f t="shared" si="228"/>
        <v>0.46411326873185343</v>
      </c>
      <c r="AI334" s="4">
        <f t="shared" si="228"/>
        <v>0.36979727595523937</v>
      </c>
      <c r="AJ334" s="4">
        <f t="shared" si="228"/>
        <v>0.28393948637231203</v>
      </c>
      <c r="AK334" s="4">
        <f t="shared" si="228"/>
        <v>0.21097259161117732</v>
      </c>
      <c r="AL334" s="4">
        <f t="shared" si="228"/>
        <v>0.15253917653798199</v>
      </c>
      <c r="AM334" s="4">
        <f t="shared" si="228"/>
        <v>0.10795188737709993</v>
      </c>
      <c r="AN334" s="4">
        <f t="shared" si="228"/>
        <v>7.5176653938091809E-2</v>
      </c>
      <c r="AO334" s="4">
        <f t="shared" si="228"/>
        <v>5.1742836177502194E-2</v>
      </c>
      <c r="AP334" s="4">
        <f t="shared" si="228"/>
        <v>3.5319190625345942E-2</v>
      </c>
      <c r="AQ334" s="4">
        <f t="shared" si="228"/>
        <v>2.3969442072658165E-2</v>
      </c>
      <c r="AR334" s="4">
        <f t="shared" si="228"/>
        <v>1.6202243558389728E-2</v>
      </c>
    </row>
    <row r="335" spans="1:44" x14ac:dyDescent="0.25">
      <c r="A335" s="24" t="s">
        <v>28</v>
      </c>
      <c r="B335" s="60">
        <f>'Parameter Input'!$L$157</f>
        <v>-1500000</v>
      </c>
      <c r="C335" s="61">
        <f>'Parameter Input'!$M$157</f>
        <v>-750000</v>
      </c>
      <c r="D335" s="1" t="s">
        <v>15</v>
      </c>
      <c r="L335" s="54">
        <f>'Parameter Input'!$O$157</f>
        <v>17</v>
      </c>
      <c r="M335" s="37">
        <v>0</v>
      </c>
      <c r="N335" s="37">
        <v>1</v>
      </c>
      <c r="O335" s="37">
        <f>'Parameter Input'!$P$157</f>
        <v>0.9</v>
      </c>
      <c r="P335" s="55">
        <f>'Parameter Input'!$Q$157</f>
        <v>0.4</v>
      </c>
      <c r="Q335" s="4">
        <f t="shared" si="228"/>
        <v>0.99780374543478534</v>
      </c>
      <c r="R335" s="4">
        <f t="shared" si="228"/>
        <v>0.99685359315256394</v>
      </c>
      <c r="S335" s="4">
        <f t="shared" si="228"/>
        <v>0.99549347132349975</v>
      </c>
      <c r="T335" s="4">
        <f t="shared" si="228"/>
        <v>0.99354772139898062</v>
      </c>
      <c r="U335" s="4">
        <f t="shared" si="228"/>
        <v>0.99076681540580536</v>
      </c>
      <c r="V335" s="4">
        <f t="shared" si="228"/>
        <v>0.9867978615748374</v>
      </c>
      <c r="W335" s="4">
        <f t="shared" si="228"/>
        <v>0.98114509762858249</v>
      </c>
      <c r="X335" s="4">
        <f t="shared" si="228"/>
        <v>0.97311898315872036</v>
      </c>
      <c r="Y335" s="4">
        <f t="shared" si="228"/>
        <v>0.96177484161592774</v>
      </c>
      <c r="Z335" s="4">
        <f t="shared" si="228"/>
        <v>0.94584787155511363</v>
      </c>
      <c r="AA335" s="4">
        <f t="shared" si="228"/>
        <v>0.92370360150141495</v>
      </c>
      <c r="AB335" s="4">
        <f t="shared" si="228"/>
        <v>0.89334463567658451</v>
      </c>
      <c r="AC335" s="4">
        <f t="shared" si="228"/>
        <v>0.85254543874327005</v>
      </c>
      <c r="AD335" s="4">
        <f t="shared" si="228"/>
        <v>0.79921300652623883</v>
      </c>
      <c r="AE335" s="4">
        <f t="shared" si="228"/>
        <v>0.73204982249993378</v>
      </c>
      <c r="AF335" s="4">
        <f t="shared" si="228"/>
        <v>0.65145592958786691</v>
      </c>
      <c r="AG335" s="4">
        <f t="shared" si="228"/>
        <v>0.56032247880849573</v>
      </c>
      <c r="AH335" s="4">
        <f t="shared" si="228"/>
        <v>0.46411326873185343</v>
      </c>
      <c r="AI335" s="4">
        <f t="shared" si="228"/>
        <v>0.36979727595523937</v>
      </c>
      <c r="AJ335" s="4">
        <f t="shared" si="228"/>
        <v>0.28393948637231203</v>
      </c>
      <c r="AK335" s="4">
        <f t="shared" si="228"/>
        <v>0.21097259161117732</v>
      </c>
      <c r="AL335" s="4">
        <f t="shared" si="228"/>
        <v>0.15253917653798199</v>
      </c>
      <c r="AM335" s="4">
        <f t="shared" si="228"/>
        <v>0.10795188737709993</v>
      </c>
      <c r="AN335" s="4">
        <f t="shared" si="228"/>
        <v>7.5176653938091809E-2</v>
      </c>
      <c r="AO335" s="4">
        <f t="shared" si="228"/>
        <v>5.1742836177502194E-2</v>
      </c>
      <c r="AP335" s="4">
        <f t="shared" si="228"/>
        <v>3.5319190625345942E-2</v>
      </c>
      <c r="AQ335" s="4">
        <f t="shared" si="228"/>
        <v>2.3969442072658165E-2</v>
      </c>
      <c r="AR335" s="4">
        <f t="shared" si="228"/>
        <v>1.6202243558389728E-2</v>
      </c>
    </row>
    <row r="336" spans="1:44" x14ac:dyDescent="0.25">
      <c r="A336" s="24" t="s">
        <v>14</v>
      </c>
      <c r="B336" s="60">
        <f>'Parameter Input'!B193</f>
        <v>1000000</v>
      </c>
      <c r="C336" s="61">
        <f>'Parameter Input'!C193</f>
        <v>1000000</v>
      </c>
      <c r="D336" s="1" t="s">
        <v>15</v>
      </c>
      <c r="L336" s="54">
        <f>'Parameter Input'!E193</f>
        <v>17</v>
      </c>
      <c r="M336" s="37">
        <v>0</v>
      </c>
      <c r="N336" s="37">
        <v>1</v>
      </c>
      <c r="O336" s="37">
        <f>'Parameter Input'!F193</f>
        <v>0.9</v>
      </c>
      <c r="P336" s="55">
        <f>'Parameter Input'!G193</f>
        <v>0.4</v>
      </c>
      <c r="Q336" s="4">
        <f t="shared" si="228"/>
        <v>0.99780374543478534</v>
      </c>
      <c r="R336" s="4">
        <f t="shared" si="228"/>
        <v>0.99685359315256394</v>
      </c>
      <c r="S336" s="4">
        <f t="shared" si="228"/>
        <v>0.99549347132349975</v>
      </c>
      <c r="T336" s="4">
        <f t="shared" si="228"/>
        <v>0.99354772139898062</v>
      </c>
      <c r="U336" s="4">
        <f t="shared" si="228"/>
        <v>0.99076681540580536</v>
      </c>
      <c r="V336" s="4">
        <f t="shared" si="228"/>
        <v>0.9867978615748374</v>
      </c>
      <c r="W336" s="4">
        <f t="shared" si="228"/>
        <v>0.98114509762858249</v>
      </c>
      <c r="X336" s="4">
        <f t="shared" si="228"/>
        <v>0.97311898315872036</v>
      </c>
      <c r="Y336" s="4">
        <f t="shared" si="228"/>
        <v>0.96177484161592774</v>
      </c>
      <c r="Z336" s="4">
        <f t="shared" si="228"/>
        <v>0.94584787155511363</v>
      </c>
      <c r="AA336" s="4">
        <f t="shared" si="228"/>
        <v>0.92370360150141495</v>
      </c>
      <c r="AB336" s="4">
        <f t="shared" si="228"/>
        <v>0.89334463567658451</v>
      </c>
      <c r="AC336" s="4">
        <f t="shared" si="228"/>
        <v>0.85254543874327005</v>
      </c>
      <c r="AD336" s="4">
        <f t="shared" si="228"/>
        <v>0.79921300652623883</v>
      </c>
      <c r="AE336" s="4">
        <f t="shared" si="228"/>
        <v>0.73204982249993378</v>
      </c>
      <c r="AF336" s="4">
        <f t="shared" si="228"/>
        <v>0.65145592958786691</v>
      </c>
      <c r="AG336" s="4">
        <f t="shared" si="228"/>
        <v>0.56032247880849573</v>
      </c>
      <c r="AH336" s="4">
        <f t="shared" si="228"/>
        <v>0.46411326873185343</v>
      </c>
      <c r="AI336" s="4">
        <f t="shared" si="228"/>
        <v>0.36979727595523937</v>
      </c>
      <c r="AJ336" s="4">
        <f t="shared" si="228"/>
        <v>0.28393948637231203</v>
      </c>
      <c r="AK336" s="4">
        <f t="shared" si="228"/>
        <v>0.21097259161117732</v>
      </c>
      <c r="AL336" s="4">
        <f t="shared" si="228"/>
        <v>0.15253917653798199</v>
      </c>
      <c r="AM336" s="4">
        <f t="shared" si="228"/>
        <v>0.10795188737709993</v>
      </c>
      <c r="AN336" s="4">
        <f t="shared" si="228"/>
        <v>7.5176653938091809E-2</v>
      </c>
      <c r="AO336" s="4">
        <f t="shared" si="228"/>
        <v>5.1742836177502194E-2</v>
      </c>
      <c r="AP336" s="4">
        <f t="shared" si="228"/>
        <v>3.5319190625345942E-2</v>
      </c>
      <c r="AQ336" s="4">
        <f t="shared" si="228"/>
        <v>2.3969442072658165E-2</v>
      </c>
      <c r="AR336" s="4">
        <f t="shared" si="228"/>
        <v>1.6202243558389728E-2</v>
      </c>
    </row>
    <row r="337" spans="1:44" x14ac:dyDescent="0.25">
      <c r="A337" s="24" t="s">
        <v>25</v>
      </c>
      <c r="B337" s="60">
        <f>'Parameter Input'!B194</f>
        <v>-100000</v>
      </c>
      <c r="C337" s="61">
        <f>'Parameter Input'!C194</f>
        <v>-100000</v>
      </c>
      <c r="D337" s="1" t="s">
        <v>15</v>
      </c>
      <c r="L337" s="54">
        <f>'Parameter Input'!E194</f>
        <v>17</v>
      </c>
      <c r="M337" s="37">
        <v>0</v>
      </c>
      <c r="N337" s="37">
        <v>1</v>
      </c>
      <c r="O337" s="37">
        <f>'Parameter Input'!F194</f>
        <v>0.9</v>
      </c>
      <c r="P337" s="55">
        <f>'Parameter Input'!G194</f>
        <v>0.4</v>
      </c>
      <c r="Q337" s="4">
        <f t="shared" si="228"/>
        <v>0.99780374543478534</v>
      </c>
      <c r="R337" s="4">
        <f t="shared" si="228"/>
        <v>0.99685359315256394</v>
      </c>
      <c r="S337" s="4">
        <f t="shared" si="228"/>
        <v>0.99549347132349975</v>
      </c>
      <c r="T337" s="4">
        <f t="shared" si="228"/>
        <v>0.99354772139898062</v>
      </c>
      <c r="U337" s="4">
        <f t="shared" si="228"/>
        <v>0.99076681540580536</v>
      </c>
      <c r="V337" s="4">
        <f t="shared" si="228"/>
        <v>0.9867978615748374</v>
      </c>
      <c r="W337" s="4">
        <f t="shared" si="228"/>
        <v>0.98114509762858249</v>
      </c>
      <c r="X337" s="4">
        <f t="shared" si="228"/>
        <v>0.97311898315872036</v>
      </c>
      <c r="Y337" s="4">
        <f t="shared" si="228"/>
        <v>0.96177484161592774</v>
      </c>
      <c r="Z337" s="4">
        <f t="shared" si="228"/>
        <v>0.94584787155511363</v>
      </c>
      <c r="AA337" s="4">
        <f t="shared" si="228"/>
        <v>0.92370360150141495</v>
      </c>
      <c r="AB337" s="4">
        <f t="shared" si="228"/>
        <v>0.89334463567658451</v>
      </c>
      <c r="AC337" s="4">
        <f t="shared" si="228"/>
        <v>0.85254543874327005</v>
      </c>
      <c r="AD337" s="4">
        <f t="shared" si="228"/>
        <v>0.79921300652623883</v>
      </c>
      <c r="AE337" s="4">
        <f t="shared" si="228"/>
        <v>0.73204982249993378</v>
      </c>
      <c r="AF337" s="4">
        <f t="shared" si="228"/>
        <v>0.65145592958786691</v>
      </c>
      <c r="AG337" s="4">
        <f t="shared" si="228"/>
        <v>0.56032247880849573</v>
      </c>
      <c r="AH337" s="4">
        <f t="shared" si="228"/>
        <v>0.46411326873185343</v>
      </c>
      <c r="AI337" s="4">
        <f t="shared" si="228"/>
        <v>0.36979727595523937</v>
      </c>
      <c r="AJ337" s="4">
        <f t="shared" si="228"/>
        <v>0.28393948637231203</v>
      </c>
      <c r="AK337" s="4">
        <f t="shared" si="228"/>
        <v>0.21097259161117732</v>
      </c>
      <c r="AL337" s="4">
        <f t="shared" si="228"/>
        <v>0.15253917653798199</v>
      </c>
      <c r="AM337" s="4">
        <f t="shared" si="228"/>
        <v>0.10795188737709993</v>
      </c>
      <c r="AN337" s="4">
        <f t="shared" si="228"/>
        <v>7.5176653938091809E-2</v>
      </c>
      <c r="AO337" s="4">
        <f t="shared" si="228"/>
        <v>5.1742836177502194E-2</v>
      </c>
      <c r="AP337" s="4">
        <f t="shared" si="228"/>
        <v>3.5319190625345942E-2</v>
      </c>
      <c r="AQ337" s="4">
        <f t="shared" si="228"/>
        <v>2.3969442072658165E-2</v>
      </c>
      <c r="AR337" s="4">
        <f t="shared" si="228"/>
        <v>1.6202243558389728E-2</v>
      </c>
    </row>
    <row r="338" spans="1:44" x14ac:dyDescent="0.25">
      <c r="A338" s="24" t="s">
        <v>79</v>
      </c>
      <c r="B338" s="92">
        <f>'Parameter Input'!$L$163</f>
        <v>0.06</v>
      </c>
      <c r="C338" s="91">
        <f>'Parameter Input'!$M$163</f>
        <v>0.06</v>
      </c>
      <c r="D338" s="1" t="s">
        <v>57</v>
      </c>
      <c r="L338" s="54">
        <f>'Parameter Input'!$O$163</f>
        <v>17</v>
      </c>
      <c r="M338" s="37">
        <v>0</v>
      </c>
      <c r="N338" s="37">
        <v>1</v>
      </c>
      <c r="O338" s="37">
        <f>'Parameter Input'!$P$163</f>
        <v>0.9</v>
      </c>
      <c r="P338" s="55">
        <f>'Parameter Input'!$Q$163</f>
        <v>0.4</v>
      </c>
      <c r="Q338" s="4">
        <f t="shared" si="228"/>
        <v>0.99780374543478534</v>
      </c>
      <c r="R338" s="4">
        <f t="shared" si="228"/>
        <v>0.99685359315256394</v>
      </c>
      <c r="S338" s="4">
        <f t="shared" si="228"/>
        <v>0.99549347132349975</v>
      </c>
      <c r="T338" s="4">
        <f t="shared" si="228"/>
        <v>0.99354772139898062</v>
      </c>
      <c r="U338" s="4">
        <f t="shared" si="228"/>
        <v>0.99076681540580536</v>
      </c>
      <c r="V338" s="4">
        <f t="shared" si="228"/>
        <v>0.9867978615748374</v>
      </c>
      <c r="W338" s="4">
        <f t="shared" si="228"/>
        <v>0.98114509762858249</v>
      </c>
      <c r="X338" s="4">
        <f t="shared" si="228"/>
        <v>0.97311898315872036</v>
      </c>
      <c r="Y338" s="4">
        <f t="shared" si="228"/>
        <v>0.96177484161592774</v>
      </c>
      <c r="Z338" s="4">
        <f t="shared" si="228"/>
        <v>0.94584787155511363</v>
      </c>
      <c r="AA338" s="4">
        <f t="shared" si="228"/>
        <v>0.92370360150141495</v>
      </c>
      <c r="AB338" s="4">
        <f t="shared" si="228"/>
        <v>0.89334463567658451</v>
      </c>
      <c r="AC338" s="4">
        <f t="shared" si="228"/>
        <v>0.85254543874327005</v>
      </c>
      <c r="AD338" s="4">
        <f t="shared" si="228"/>
        <v>0.79921300652623883</v>
      </c>
      <c r="AE338" s="4">
        <f t="shared" si="228"/>
        <v>0.73204982249993378</v>
      </c>
      <c r="AF338" s="4">
        <f t="shared" si="228"/>
        <v>0.65145592958786691</v>
      </c>
      <c r="AG338" s="4">
        <f t="shared" si="228"/>
        <v>0.56032247880849573</v>
      </c>
      <c r="AH338" s="4">
        <f t="shared" si="228"/>
        <v>0.46411326873185343</v>
      </c>
      <c r="AI338" s="4">
        <f t="shared" si="228"/>
        <v>0.36979727595523937</v>
      </c>
      <c r="AJ338" s="4">
        <f t="shared" si="228"/>
        <v>0.28393948637231203</v>
      </c>
      <c r="AK338" s="4">
        <f t="shared" si="228"/>
        <v>0.21097259161117732</v>
      </c>
      <c r="AL338" s="4">
        <f t="shared" si="228"/>
        <v>0.15253917653798199</v>
      </c>
      <c r="AM338" s="4">
        <f t="shared" si="228"/>
        <v>0.10795188737709993</v>
      </c>
      <c r="AN338" s="4">
        <f t="shared" si="228"/>
        <v>7.5176653938091809E-2</v>
      </c>
      <c r="AO338" s="4">
        <f t="shared" si="228"/>
        <v>5.1742836177502194E-2</v>
      </c>
      <c r="AP338" s="4">
        <f t="shared" si="228"/>
        <v>3.5319190625345942E-2</v>
      </c>
      <c r="AQ338" s="4">
        <f t="shared" si="228"/>
        <v>2.3969442072658165E-2</v>
      </c>
      <c r="AR338" s="4">
        <f t="shared" si="228"/>
        <v>1.6202243558389728E-2</v>
      </c>
    </row>
    <row r="339" spans="1:44" x14ac:dyDescent="0.25">
      <c r="A339" s="24" t="s">
        <v>37</v>
      </c>
      <c r="B339" s="60">
        <f>'Parameter Input'!B195</f>
        <v>1208235.294117647</v>
      </c>
      <c r="C339" s="61">
        <f>'Parameter Input'!C195</f>
        <v>1208235.294117647</v>
      </c>
      <c r="D339" s="1" t="s">
        <v>38</v>
      </c>
      <c r="L339" s="54">
        <f>'Parameter Input'!E195</f>
        <v>17</v>
      </c>
      <c r="M339" s="37">
        <v>0</v>
      </c>
      <c r="N339" s="37">
        <v>1</v>
      </c>
      <c r="O339" s="37">
        <f>'Parameter Input'!F195</f>
        <v>0.9</v>
      </c>
      <c r="P339" s="55">
        <f>'Parameter Input'!G195</f>
        <v>0.4</v>
      </c>
      <c r="Q339" s="4">
        <f t="shared" si="228"/>
        <v>0.99780374543478534</v>
      </c>
      <c r="R339" s="4">
        <f t="shared" si="228"/>
        <v>0.99685359315256394</v>
      </c>
      <c r="S339" s="4">
        <f t="shared" si="228"/>
        <v>0.99549347132349975</v>
      </c>
      <c r="T339" s="4">
        <f t="shared" si="228"/>
        <v>0.99354772139898062</v>
      </c>
      <c r="U339" s="4">
        <f t="shared" si="228"/>
        <v>0.99076681540580536</v>
      </c>
      <c r="V339" s="4">
        <f t="shared" si="228"/>
        <v>0.9867978615748374</v>
      </c>
      <c r="W339" s="4">
        <f t="shared" si="228"/>
        <v>0.98114509762858249</v>
      </c>
      <c r="X339" s="4">
        <f t="shared" si="228"/>
        <v>0.97311898315872036</v>
      </c>
      <c r="Y339" s="4">
        <f t="shared" si="228"/>
        <v>0.96177484161592774</v>
      </c>
      <c r="Z339" s="4">
        <f t="shared" si="228"/>
        <v>0.94584787155511363</v>
      </c>
      <c r="AA339" s="4">
        <f t="shared" si="228"/>
        <v>0.92370360150141495</v>
      </c>
      <c r="AB339" s="4">
        <f t="shared" si="228"/>
        <v>0.89334463567658451</v>
      </c>
      <c r="AC339" s="4">
        <f t="shared" si="228"/>
        <v>0.85254543874327005</v>
      </c>
      <c r="AD339" s="4">
        <f t="shared" si="228"/>
        <v>0.79921300652623883</v>
      </c>
      <c r="AE339" s="4">
        <f t="shared" si="228"/>
        <v>0.73204982249993378</v>
      </c>
      <c r="AF339" s="4">
        <f t="shared" si="228"/>
        <v>0.65145592958786691</v>
      </c>
      <c r="AG339" s="4">
        <f t="shared" si="228"/>
        <v>0.56032247880849573</v>
      </c>
      <c r="AH339" s="4">
        <f t="shared" si="228"/>
        <v>0.46411326873185343</v>
      </c>
      <c r="AI339" s="4">
        <f t="shared" si="228"/>
        <v>0.36979727595523937</v>
      </c>
      <c r="AJ339" s="4">
        <f t="shared" si="228"/>
        <v>0.28393948637231203</v>
      </c>
      <c r="AK339" s="4">
        <f t="shared" si="228"/>
        <v>0.21097259161117732</v>
      </c>
      <c r="AL339" s="4">
        <f t="shared" si="228"/>
        <v>0.15253917653798199</v>
      </c>
      <c r="AM339" s="4">
        <f t="shared" si="228"/>
        <v>0.10795188737709993</v>
      </c>
      <c r="AN339" s="4">
        <f t="shared" si="228"/>
        <v>7.5176653938091809E-2</v>
      </c>
      <c r="AO339" s="4">
        <f t="shared" si="228"/>
        <v>5.1742836177502194E-2</v>
      </c>
      <c r="AP339" s="4">
        <f t="shared" si="228"/>
        <v>3.5319190625345942E-2</v>
      </c>
      <c r="AQ339" s="4">
        <f t="shared" si="228"/>
        <v>2.3969442072658165E-2</v>
      </c>
      <c r="AR339" s="4">
        <f t="shared" si="228"/>
        <v>1.6202243558389728E-2</v>
      </c>
    </row>
    <row r="340" spans="1:44" x14ac:dyDescent="0.25">
      <c r="A340" s="24" t="s">
        <v>52</v>
      </c>
      <c r="B340" s="60">
        <f>'Parameter Input'!$L$159</f>
        <v>488235.29411764705</v>
      </c>
      <c r="C340" s="61">
        <f>'Parameter Input'!$M$159</f>
        <v>488235.29411764705</v>
      </c>
      <c r="D340" s="1" t="s">
        <v>38</v>
      </c>
      <c r="L340" s="54">
        <f>'Parameter Input'!$O$159</f>
        <v>17</v>
      </c>
      <c r="M340" s="37">
        <v>0</v>
      </c>
      <c r="N340" s="37">
        <v>1</v>
      </c>
      <c r="O340" s="37">
        <f>'Parameter Input'!$P$159</f>
        <v>0.9</v>
      </c>
      <c r="P340" s="55">
        <f>'Parameter Input'!$Q$159</f>
        <v>0.4</v>
      </c>
      <c r="Q340" s="4">
        <f t="shared" si="228"/>
        <v>0.99780374543478534</v>
      </c>
      <c r="R340" s="4">
        <f t="shared" si="228"/>
        <v>0.99685359315256394</v>
      </c>
      <c r="S340" s="4">
        <f t="shared" si="228"/>
        <v>0.99549347132349975</v>
      </c>
      <c r="T340" s="4">
        <f t="shared" si="228"/>
        <v>0.99354772139898062</v>
      </c>
      <c r="U340" s="4">
        <f t="shared" si="228"/>
        <v>0.99076681540580536</v>
      </c>
      <c r="V340" s="4">
        <f t="shared" si="228"/>
        <v>0.9867978615748374</v>
      </c>
      <c r="W340" s="4">
        <f t="shared" si="228"/>
        <v>0.98114509762858249</v>
      </c>
      <c r="X340" s="4">
        <f t="shared" si="228"/>
        <v>0.97311898315872036</v>
      </c>
      <c r="Y340" s="4">
        <f t="shared" si="228"/>
        <v>0.96177484161592774</v>
      </c>
      <c r="Z340" s="4">
        <f t="shared" si="228"/>
        <v>0.94584787155511363</v>
      </c>
      <c r="AA340" s="4">
        <f t="shared" si="228"/>
        <v>0.92370360150141495</v>
      </c>
      <c r="AB340" s="4">
        <f t="shared" si="228"/>
        <v>0.89334463567658451</v>
      </c>
      <c r="AC340" s="4">
        <f t="shared" si="228"/>
        <v>0.85254543874327005</v>
      </c>
      <c r="AD340" s="4">
        <f t="shared" si="228"/>
        <v>0.79921300652623883</v>
      </c>
      <c r="AE340" s="4">
        <f t="shared" si="228"/>
        <v>0.73204982249993378</v>
      </c>
      <c r="AF340" s="4">
        <f t="shared" si="228"/>
        <v>0.65145592958786691</v>
      </c>
      <c r="AG340" s="4">
        <f t="shared" si="228"/>
        <v>0.56032247880849573</v>
      </c>
      <c r="AH340" s="4">
        <f t="shared" si="228"/>
        <v>0.46411326873185343</v>
      </c>
      <c r="AI340" s="4">
        <f t="shared" si="228"/>
        <v>0.36979727595523937</v>
      </c>
      <c r="AJ340" s="4">
        <f t="shared" si="228"/>
        <v>0.28393948637231203</v>
      </c>
      <c r="AK340" s="4">
        <f t="shared" si="228"/>
        <v>0.21097259161117732</v>
      </c>
      <c r="AL340" s="4">
        <f t="shared" si="228"/>
        <v>0.15253917653798199</v>
      </c>
      <c r="AM340" s="4">
        <f t="shared" si="228"/>
        <v>0.10795188737709993</v>
      </c>
      <c r="AN340" s="4">
        <f t="shared" si="228"/>
        <v>7.5176653938091809E-2</v>
      </c>
      <c r="AO340" s="4">
        <f t="shared" si="228"/>
        <v>5.1742836177502194E-2</v>
      </c>
      <c r="AP340" s="4">
        <f t="shared" si="228"/>
        <v>3.5319190625345942E-2</v>
      </c>
      <c r="AQ340" s="4">
        <f t="shared" si="228"/>
        <v>2.3969442072658165E-2</v>
      </c>
      <c r="AR340" s="4">
        <f t="shared" si="228"/>
        <v>1.6202243558389728E-2</v>
      </c>
    </row>
    <row r="341" spans="1:44" x14ac:dyDescent="0.25">
      <c r="A341" s="24" t="s">
        <v>272</v>
      </c>
      <c r="B341" s="92">
        <f>'Parameter Input'!B200</f>
        <v>0.81280569096848254</v>
      </c>
      <c r="C341" s="61">
        <f>'Parameter Input'!C200</f>
        <v>0.81280569096848254</v>
      </c>
      <c r="D341" s="1" t="s">
        <v>76</v>
      </c>
      <c r="L341" s="54">
        <f>'Parameter Input'!E200</f>
        <v>17</v>
      </c>
      <c r="M341" s="37">
        <v>0</v>
      </c>
      <c r="N341" s="37">
        <v>1</v>
      </c>
      <c r="O341" s="37">
        <f>'Parameter Input'!F200</f>
        <v>0.9</v>
      </c>
      <c r="P341" s="55">
        <f>'Parameter Input'!G200</f>
        <v>0.4</v>
      </c>
      <c r="Q341" s="4">
        <f t="shared" si="228"/>
        <v>0.99780374543478534</v>
      </c>
      <c r="R341" s="4">
        <f t="shared" si="228"/>
        <v>0.99685359315256394</v>
      </c>
      <c r="S341" s="4">
        <f t="shared" si="228"/>
        <v>0.99549347132349975</v>
      </c>
      <c r="T341" s="4">
        <f t="shared" si="228"/>
        <v>0.99354772139898062</v>
      </c>
      <c r="U341" s="4">
        <f t="shared" si="228"/>
        <v>0.99076681540580536</v>
      </c>
      <c r="V341" s="4">
        <f t="shared" si="228"/>
        <v>0.9867978615748374</v>
      </c>
      <c r="W341" s="4">
        <f t="shared" si="228"/>
        <v>0.98114509762858249</v>
      </c>
      <c r="X341" s="4">
        <f t="shared" si="228"/>
        <v>0.97311898315872036</v>
      </c>
      <c r="Y341" s="4">
        <f t="shared" si="228"/>
        <v>0.96177484161592774</v>
      </c>
      <c r="Z341" s="4">
        <f t="shared" si="228"/>
        <v>0.94584787155511363</v>
      </c>
      <c r="AA341" s="4">
        <f t="shared" si="228"/>
        <v>0.92370360150141495</v>
      </c>
      <c r="AB341" s="4">
        <f t="shared" si="228"/>
        <v>0.89334463567658451</v>
      </c>
      <c r="AC341" s="4">
        <f t="shared" si="228"/>
        <v>0.85254543874327005</v>
      </c>
      <c r="AD341" s="4">
        <f t="shared" si="228"/>
        <v>0.79921300652623883</v>
      </c>
      <c r="AE341" s="4">
        <f t="shared" si="228"/>
        <v>0.73204982249993378</v>
      </c>
      <c r="AF341" s="4">
        <f t="shared" si="228"/>
        <v>0.65145592958786691</v>
      </c>
      <c r="AG341" s="4">
        <f t="shared" si="228"/>
        <v>0.56032247880849573</v>
      </c>
      <c r="AH341" s="4">
        <f t="shared" si="228"/>
        <v>0.46411326873185343</v>
      </c>
      <c r="AI341" s="4">
        <f t="shared" si="228"/>
        <v>0.36979727595523937</v>
      </c>
      <c r="AJ341" s="4">
        <f t="shared" si="228"/>
        <v>0.28393948637231203</v>
      </c>
      <c r="AK341" s="4">
        <f t="shared" si="228"/>
        <v>0.21097259161117732</v>
      </c>
      <c r="AL341" s="4">
        <f t="shared" si="228"/>
        <v>0.15253917653798199</v>
      </c>
      <c r="AM341" s="4">
        <f t="shared" si="228"/>
        <v>0.10795188737709993</v>
      </c>
      <c r="AN341" s="4">
        <f t="shared" si="228"/>
        <v>7.5176653938091809E-2</v>
      </c>
      <c r="AO341" s="4">
        <f t="shared" si="228"/>
        <v>5.1742836177502194E-2</v>
      </c>
      <c r="AP341" s="4">
        <f t="shared" si="228"/>
        <v>3.5319190625345942E-2</v>
      </c>
      <c r="AQ341" s="4">
        <f t="shared" si="228"/>
        <v>2.3969442072658165E-2</v>
      </c>
      <c r="AR341" s="4">
        <f t="shared" si="228"/>
        <v>1.6202243558389728E-2</v>
      </c>
    </row>
    <row r="342" spans="1:44" x14ac:dyDescent="0.25">
      <c r="A342" s="24" t="s">
        <v>59</v>
      </c>
      <c r="B342" s="60">
        <f>'Parameter Input'!$L$160</f>
        <v>647</v>
      </c>
      <c r="C342" s="61">
        <f>'Parameter Input'!$M$160</f>
        <v>600</v>
      </c>
      <c r="D342" s="1" t="s">
        <v>60</v>
      </c>
      <c r="L342" s="54">
        <f>'Parameter Input'!$O$160</f>
        <v>17</v>
      </c>
      <c r="M342" s="37">
        <v>0</v>
      </c>
      <c r="N342" s="37">
        <v>1</v>
      </c>
      <c r="O342" s="37">
        <f>'Parameter Input'!$P$160</f>
        <v>0.9</v>
      </c>
      <c r="P342" s="55">
        <f>'Parameter Input'!$Q$160</f>
        <v>0.4</v>
      </c>
      <c r="Q342" s="4">
        <f t="shared" si="228"/>
        <v>0.99780374543478534</v>
      </c>
      <c r="R342" s="4">
        <f t="shared" si="228"/>
        <v>0.99685359315256394</v>
      </c>
      <c r="S342" s="4">
        <f t="shared" si="228"/>
        <v>0.99549347132349975</v>
      </c>
      <c r="T342" s="4">
        <f t="shared" si="228"/>
        <v>0.99354772139898062</v>
      </c>
      <c r="U342" s="4">
        <f t="shared" si="228"/>
        <v>0.99076681540580536</v>
      </c>
      <c r="V342" s="4">
        <f t="shared" si="228"/>
        <v>0.9867978615748374</v>
      </c>
      <c r="W342" s="4">
        <f t="shared" si="228"/>
        <v>0.98114509762858249</v>
      </c>
      <c r="X342" s="4">
        <f t="shared" si="228"/>
        <v>0.97311898315872036</v>
      </c>
      <c r="Y342" s="4">
        <f t="shared" si="228"/>
        <v>0.96177484161592774</v>
      </c>
      <c r="Z342" s="4">
        <f t="shared" si="228"/>
        <v>0.94584787155511363</v>
      </c>
      <c r="AA342" s="4">
        <f t="shared" si="228"/>
        <v>0.92370360150141495</v>
      </c>
      <c r="AB342" s="4">
        <f t="shared" si="228"/>
        <v>0.89334463567658451</v>
      </c>
      <c r="AC342" s="4">
        <f t="shared" si="228"/>
        <v>0.85254543874327005</v>
      </c>
      <c r="AD342" s="4">
        <f t="shared" si="228"/>
        <v>0.79921300652623883</v>
      </c>
      <c r="AE342" s="4">
        <f t="shared" si="228"/>
        <v>0.73204982249993378</v>
      </c>
      <c r="AF342" s="4">
        <f t="shared" si="228"/>
        <v>0.65145592958786691</v>
      </c>
      <c r="AG342" s="4">
        <f t="shared" si="228"/>
        <v>0.56032247880849573</v>
      </c>
      <c r="AH342" s="4">
        <f t="shared" si="228"/>
        <v>0.46411326873185343</v>
      </c>
      <c r="AI342" s="4">
        <f t="shared" si="228"/>
        <v>0.36979727595523937</v>
      </c>
      <c r="AJ342" s="4">
        <f t="shared" si="228"/>
        <v>0.28393948637231203</v>
      </c>
      <c r="AK342" s="4">
        <f t="shared" si="228"/>
        <v>0.21097259161117732</v>
      </c>
      <c r="AL342" s="4">
        <f t="shared" si="228"/>
        <v>0.15253917653798199</v>
      </c>
      <c r="AM342" s="4">
        <f t="shared" si="228"/>
        <v>0.10795188737709993</v>
      </c>
      <c r="AN342" s="4">
        <f t="shared" si="228"/>
        <v>7.5176653938091809E-2</v>
      </c>
      <c r="AO342" s="4">
        <f t="shared" si="228"/>
        <v>5.1742836177502194E-2</v>
      </c>
      <c r="AP342" s="4">
        <f t="shared" si="228"/>
        <v>3.5319190625345942E-2</v>
      </c>
      <c r="AQ342" s="4">
        <f t="shared" si="228"/>
        <v>2.3969442072658165E-2</v>
      </c>
      <c r="AR342" s="4">
        <f t="shared" si="228"/>
        <v>1.6202243558389728E-2</v>
      </c>
    </row>
    <row r="343" spans="1:44" x14ac:dyDescent="0.25">
      <c r="A343" s="24" t="s">
        <v>67</v>
      </c>
      <c r="B343" s="78">
        <f>'Parameter Input'!$L$161</f>
        <v>0.06</v>
      </c>
      <c r="C343" s="61">
        <f>'Parameter Input'!$M$161</f>
        <v>0.06</v>
      </c>
      <c r="D343" s="1" t="s">
        <v>68</v>
      </c>
      <c r="L343" s="54">
        <f>'Parameter Input'!$O$161</f>
        <v>17</v>
      </c>
      <c r="M343" s="37">
        <v>0</v>
      </c>
      <c r="N343" s="37">
        <v>1</v>
      </c>
      <c r="O343" s="37">
        <f>'Parameter Input'!$P$161</f>
        <v>0.9</v>
      </c>
      <c r="P343" s="55">
        <f>'Parameter Input'!$Q$161</f>
        <v>0.4</v>
      </c>
      <c r="Q343" s="4">
        <f t="shared" si="228"/>
        <v>0.99780374543478534</v>
      </c>
      <c r="R343" s="4">
        <f t="shared" si="228"/>
        <v>0.99685359315256394</v>
      </c>
      <c r="S343" s="4">
        <f t="shared" si="228"/>
        <v>0.99549347132349975</v>
      </c>
      <c r="T343" s="4">
        <f t="shared" ref="T343:AI350" si="229">$N343+($M343-$N343)*((1/(1+EXP(-$P343*(T$9-$L343)))^$O343))</f>
        <v>0.99354772139898062</v>
      </c>
      <c r="U343" s="4">
        <f t="shared" si="229"/>
        <v>0.99076681540580536</v>
      </c>
      <c r="V343" s="4">
        <f t="shared" si="229"/>
        <v>0.9867978615748374</v>
      </c>
      <c r="W343" s="4">
        <f t="shared" si="229"/>
        <v>0.98114509762858249</v>
      </c>
      <c r="X343" s="4">
        <f t="shared" si="229"/>
        <v>0.97311898315872036</v>
      </c>
      <c r="Y343" s="4">
        <f t="shared" si="229"/>
        <v>0.96177484161592774</v>
      </c>
      <c r="Z343" s="4">
        <f t="shared" si="229"/>
        <v>0.94584787155511363</v>
      </c>
      <c r="AA343" s="4">
        <f t="shared" si="229"/>
        <v>0.92370360150141495</v>
      </c>
      <c r="AB343" s="4">
        <f t="shared" si="229"/>
        <v>0.89334463567658451</v>
      </c>
      <c r="AC343" s="4">
        <f t="shared" si="229"/>
        <v>0.85254543874327005</v>
      </c>
      <c r="AD343" s="4">
        <f t="shared" si="229"/>
        <v>0.79921300652623883</v>
      </c>
      <c r="AE343" s="4">
        <f t="shared" si="229"/>
        <v>0.73204982249993378</v>
      </c>
      <c r="AF343" s="4">
        <f t="shared" si="229"/>
        <v>0.65145592958786691</v>
      </c>
      <c r="AG343" s="4">
        <f t="shared" si="229"/>
        <v>0.56032247880849573</v>
      </c>
      <c r="AH343" s="4">
        <f t="shared" si="229"/>
        <v>0.46411326873185343</v>
      </c>
      <c r="AI343" s="4">
        <f t="shared" si="229"/>
        <v>0.36979727595523937</v>
      </c>
      <c r="AJ343" s="4">
        <f t="shared" ref="AJ343:AR350" si="230">$N343+($M343-$N343)*((1/(1+EXP(-$P343*(AJ$9-$L343)))^$O343))</f>
        <v>0.28393948637231203</v>
      </c>
      <c r="AK343" s="4">
        <f t="shared" si="230"/>
        <v>0.21097259161117732</v>
      </c>
      <c r="AL343" s="4">
        <f t="shared" si="230"/>
        <v>0.15253917653798199</v>
      </c>
      <c r="AM343" s="4">
        <f t="shared" si="230"/>
        <v>0.10795188737709993</v>
      </c>
      <c r="AN343" s="4">
        <f t="shared" si="230"/>
        <v>7.5176653938091809E-2</v>
      </c>
      <c r="AO343" s="4">
        <f t="shared" si="230"/>
        <v>5.1742836177502194E-2</v>
      </c>
      <c r="AP343" s="4">
        <f t="shared" si="230"/>
        <v>3.5319190625345942E-2</v>
      </c>
      <c r="AQ343" s="4">
        <f t="shared" si="230"/>
        <v>2.3969442072658165E-2</v>
      </c>
      <c r="AR343" s="4">
        <f t="shared" si="230"/>
        <v>1.6202243558389728E-2</v>
      </c>
    </row>
    <row r="344" spans="1:44" x14ac:dyDescent="0.25">
      <c r="A344" s="24" t="s">
        <v>206</v>
      </c>
      <c r="B344" s="78">
        <f>'Parameter Input'!L164</f>
        <v>17.249705634987386</v>
      </c>
      <c r="C344" s="61">
        <f>'Parameter Input'!M164</f>
        <v>55.988225399495377</v>
      </c>
      <c r="D344" s="1"/>
      <c r="L344" s="54">
        <f>'Parameter Input'!O164</f>
        <v>17</v>
      </c>
      <c r="M344" s="37">
        <v>0</v>
      </c>
      <c r="N344" s="37">
        <v>1</v>
      </c>
      <c r="O344" s="37">
        <f>'Parameter Input'!P164</f>
        <v>0.9</v>
      </c>
      <c r="P344" s="55">
        <f>'Parameter Input'!Q164</f>
        <v>0.4</v>
      </c>
      <c r="Q344" s="4">
        <f t="shared" ref="Q344:AR344" si="231">$N344+($M344-$N344)*((1/(1+EXP(-$P344*(Q$9-$L344)))^$O344))</f>
        <v>0.99780374543478534</v>
      </c>
      <c r="R344" s="4">
        <f t="shared" si="231"/>
        <v>0.99685359315256394</v>
      </c>
      <c r="S344" s="4">
        <f t="shared" si="231"/>
        <v>0.99549347132349975</v>
      </c>
      <c r="T344" s="4">
        <f t="shared" si="231"/>
        <v>0.99354772139898062</v>
      </c>
      <c r="U344" s="4">
        <f t="shared" si="231"/>
        <v>0.99076681540580536</v>
      </c>
      <c r="V344" s="4">
        <f t="shared" si="231"/>
        <v>0.9867978615748374</v>
      </c>
      <c r="W344" s="4">
        <f t="shared" si="231"/>
        <v>0.98114509762858249</v>
      </c>
      <c r="X344" s="4">
        <f t="shared" si="231"/>
        <v>0.97311898315872036</v>
      </c>
      <c r="Y344" s="4">
        <f t="shared" si="231"/>
        <v>0.96177484161592774</v>
      </c>
      <c r="Z344" s="4">
        <f t="shared" si="231"/>
        <v>0.94584787155511363</v>
      </c>
      <c r="AA344" s="4">
        <f t="shared" si="231"/>
        <v>0.92370360150141495</v>
      </c>
      <c r="AB344" s="4">
        <f t="shared" si="231"/>
        <v>0.89334463567658451</v>
      </c>
      <c r="AC344" s="4">
        <f t="shared" si="231"/>
        <v>0.85254543874327005</v>
      </c>
      <c r="AD344" s="4">
        <f t="shared" si="231"/>
        <v>0.79921300652623883</v>
      </c>
      <c r="AE344" s="4">
        <f t="shared" si="231"/>
        <v>0.73204982249993378</v>
      </c>
      <c r="AF344" s="4">
        <f t="shared" si="231"/>
        <v>0.65145592958786691</v>
      </c>
      <c r="AG344" s="4">
        <f t="shared" si="231"/>
        <v>0.56032247880849573</v>
      </c>
      <c r="AH344" s="4">
        <f t="shared" si="231"/>
        <v>0.46411326873185343</v>
      </c>
      <c r="AI344" s="4">
        <f t="shared" si="231"/>
        <v>0.36979727595523937</v>
      </c>
      <c r="AJ344" s="4">
        <f t="shared" si="231"/>
        <v>0.28393948637231203</v>
      </c>
      <c r="AK344" s="4">
        <f t="shared" si="231"/>
        <v>0.21097259161117732</v>
      </c>
      <c r="AL344" s="4">
        <f t="shared" si="231"/>
        <v>0.15253917653798199</v>
      </c>
      <c r="AM344" s="4">
        <f t="shared" si="231"/>
        <v>0.10795188737709993</v>
      </c>
      <c r="AN344" s="4">
        <f t="shared" si="231"/>
        <v>7.5176653938091809E-2</v>
      </c>
      <c r="AO344" s="4">
        <f t="shared" si="231"/>
        <v>5.1742836177502194E-2</v>
      </c>
      <c r="AP344" s="4">
        <f t="shared" si="231"/>
        <v>3.5319190625345942E-2</v>
      </c>
      <c r="AQ344" s="4">
        <f t="shared" si="231"/>
        <v>2.3969442072658165E-2</v>
      </c>
      <c r="AR344" s="4">
        <f t="shared" si="231"/>
        <v>1.6202243558389728E-2</v>
      </c>
    </row>
    <row r="345" spans="1:44" x14ac:dyDescent="0.25">
      <c r="A345" s="24" t="s">
        <v>41</v>
      </c>
      <c r="B345" s="60">
        <f>'Parameter Input'!$L$158</f>
        <v>25</v>
      </c>
      <c r="C345" s="61">
        <f>'Parameter Input'!$M$158</f>
        <v>25</v>
      </c>
      <c r="D345" s="1" t="s">
        <v>42</v>
      </c>
      <c r="L345" s="54">
        <f>'Parameter Input'!$O$158</f>
        <v>17</v>
      </c>
      <c r="M345" s="37">
        <v>0</v>
      </c>
      <c r="N345" s="37">
        <v>1</v>
      </c>
      <c r="O345" s="37">
        <f>'Parameter Input'!$P$158</f>
        <v>0.9</v>
      </c>
      <c r="P345" s="55">
        <f>'Parameter Input'!$Q$158</f>
        <v>0.4</v>
      </c>
      <c r="Q345" s="4">
        <f t="shared" ref="Q345:AF350" si="232">$N345+($M345-$N345)*((1/(1+EXP(-$P345*(Q$9-$L345)))^$O345))</f>
        <v>0.99780374543478534</v>
      </c>
      <c r="R345" s="4">
        <f t="shared" si="232"/>
        <v>0.99685359315256394</v>
      </c>
      <c r="S345" s="4">
        <f t="shared" si="232"/>
        <v>0.99549347132349975</v>
      </c>
      <c r="T345" s="4">
        <f t="shared" si="232"/>
        <v>0.99354772139898062</v>
      </c>
      <c r="U345" s="4">
        <f t="shared" si="232"/>
        <v>0.99076681540580536</v>
      </c>
      <c r="V345" s="4">
        <f t="shared" si="232"/>
        <v>0.9867978615748374</v>
      </c>
      <c r="W345" s="4">
        <f t="shared" si="232"/>
        <v>0.98114509762858249</v>
      </c>
      <c r="X345" s="4">
        <f t="shared" si="232"/>
        <v>0.97311898315872036</v>
      </c>
      <c r="Y345" s="4">
        <f t="shared" si="232"/>
        <v>0.96177484161592774</v>
      </c>
      <c r="Z345" s="4">
        <f t="shared" si="232"/>
        <v>0.94584787155511363</v>
      </c>
      <c r="AA345" s="4">
        <f t="shared" si="232"/>
        <v>0.92370360150141495</v>
      </c>
      <c r="AB345" s="4">
        <f t="shared" si="232"/>
        <v>0.89334463567658451</v>
      </c>
      <c r="AC345" s="4">
        <f t="shared" si="232"/>
        <v>0.85254543874327005</v>
      </c>
      <c r="AD345" s="4">
        <f t="shared" si="232"/>
        <v>0.79921300652623883</v>
      </c>
      <c r="AE345" s="4">
        <f t="shared" si="232"/>
        <v>0.73204982249993378</v>
      </c>
      <c r="AF345" s="4">
        <f t="shared" si="232"/>
        <v>0.65145592958786691</v>
      </c>
      <c r="AG345" s="4">
        <f t="shared" si="229"/>
        <v>0.56032247880849573</v>
      </c>
      <c r="AH345" s="4">
        <f t="shared" si="229"/>
        <v>0.46411326873185343</v>
      </c>
      <c r="AI345" s="4">
        <f t="shared" si="229"/>
        <v>0.36979727595523937</v>
      </c>
      <c r="AJ345" s="4">
        <f t="shared" si="230"/>
        <v>0.28393948637231203</v>
      </c>
      <c r="AK345" s="4">
        <f t="shared" si="230"/>
        <v>0.21097259161117732</v>
      </c>
      <c r="AL345" s="4">
        <f t="shared" si="230"/>
        <v>0.15253917653798199</v>
      </c>
      <c r="AM345" s="4">
        <f t="shared" si="230"/>
        <v>0.10795188737709993</v>
      </c>
      <c r="AN345" s="4">
        <f t="shared" si="230"/>
        <v>7.5176653938091809E-2</v>
      </c>
      <c r="AO345" s="4">
        <f t="shared" si="230"/>
        <v>5.1742836177502194E-2</v>
      </c>
      <c r="AP345" s="4">
        <f t="shared" si="230"/>
        <v>3.5319190625345942E-2</v>
      </c>
      <c r="AQ345" s="4">
        <f t="shared" si="230"/>
        <v>2.3969442072658165E-2</v>
      </c>
      <c r="AR345" s="4">
        <f t="shared" si="230"/>
        <v>1.6202243558389728E-2</v>
      </c>
    </row>
    <row r="346" spans="1:44" x14ac:dyDescent="0.25">
      <c r="A346" s="24" t="s">
        <v>70</v>
      </c>
      <c r="B346" s="60">
        <f>'Parameter Input'!B199</f>
        <v>25</v>
      </c>
      <c r="C346" s="61">
        <f>'Parameter Input'!C199</f>
        <v>25</v>
      </c>
      <c r="D346" s="1" t="s">
        <v>42</v>
      </c>
      <c r="L346" s="54">
        <f>'Parameter Input'!E199</f>
        <v>17</v>
      </c>
      <c r="M346" s="37">
        <v>0</v>
      </c>
      <c r="N346" s="37">
        <v>1</v>
      </c>
      <c r="O346" s="37">
        <f>'Parameter Input'!F199</f>
        <v>0.9</v>
      </c>
      <c r="P346" s="55">
        <f>'Parameter Input'!G199</f>
        <v>0.4</v>
      </c>
      <c r="Q346" s="4">
        <f t="shared" si="232"/>
        <v>0.99780374543478534</v>
      </c>
      <c r="R346" s="4">
        <f t="shared" si="232"/>
        <v>0.99685359315256394</v>
      </c>
      <c r="S346" s="4">
        <f t="shared" si="232"/>
        <v>0.99549347132349975</v>
      </c>
      <c r="T346" s="4">
        <f t="shared" si="232"/>
        <v>0.99354772139898062</v>
      </c>
      <c r="U346" s="4">
        <f t="shared" si="232"/>
        <v>0.99076681540580536</v>
      </c>
      <c r="V346" s="4">
        <f t="shared" si="232"/>
        <v>0.9867978615748374</v>
      </c>
      <c r="W346" s="4">
        <f t="shared" si="232"/>
        <v>0.98114509762858249</v>
      </c>
      <c r="X346" s="4">
        <f t="shared" si="232"/>
        <v>0.97311898315872036</v>
      </c>
      <c r="Y346" s="4">
        <f t="shared" si="232"/>
        <v>0.96177484161592774</v>
      </c>
      <c r="Z346" s="4">
        <f t="shared" si="232"/>
        <v>0.94584787155511363</v>
      </c>
      <c r="AA346" s="4">
        <f t="shared" si="232"/>
        <v>0.92370360150141495</v>
      </c>
      <c r="AB346" s="4">
        <f t="shared" si="232"/>
        <v>0.89334463567658451</v>
      </c>
      <c r="AC346" s="4">
        <f t="shared" si="232"/>
        <v>0.85254543874327005</v>
      </c>
      <c r="AD346" s="4">
        <f t="shared" si="232"/>
        <v>0.79921300652623883</v>
      </c>
      <c r="AE346" s="4">
        <f t="shared" si="232"/>
        <v>0.73204982249993378</v>
      </c>
      <c r="AF346" s="4">
        <f t="shared" si="232"/>
        <v>0.65145592958786691</v>
      </c>
      <c r="AG346" s="4">
        <f t="shared" si="229"/>
        <v>0.56032247880849573</v>
      </c>
      <c r="AH346" s="4">
        <f t="shared" si="229"/>
        <v>0.46411326873185343</v>
      </c>
      <c r="AI346" s="4">
        <f t="shared" si="229"/>
        <v>0.36979727595523937</v>
      </c>
      <c r="AJ346" s="4">
        <f t="shared" si="230"/>
        <v>0.28393948637231203</v>
      </c>
      <c r="AK346" s="4">
        <f t="shared" si="230"/>
        <v>0.21097259161117732</v>
      </c>
      <c r="AL346" s="4">
        <f t="shared" si="230"/>
        <v>0.15253917653798199</v>
      </c>
      <c r="AM346" s="4">
        <f t="shared" si="230"/>
        <v>0.10795188737709993</v>
      </c>
      <c r="AN346" s="4">
        <f t="shared" si="230"/>
        <v>7.5176653938091809E-2</v>
      </c>
      <c r="AO346" s="4">
        <f t="shared" si="230"/>
        <v>5.1742836177502194E-2</v>
      </c>
      <c r="AP346" s="4">
        <f t="shared" si="230"/>
        <v>3.5319190625345942E-2</v>
      </c>
      <c r="AQ346" s="4">
        <f t="shared" si="230"/>
        <v>2.3969442072658165E-2</v>
      </c>
      <c r="AR346" s="4">
        <f t="shared" si="230"/>
        <v>1.6202243558389728E-2</v>
      </c>
    </row>
    <row r="347" spans="1:44" x14ac:dyDescent="0.25">
      <c r="A347" s="24" t="s">
        <v>207</v>
      </c>
      <c r="B347" s="43">
        <f>'Parameter Input'!B196</f>
        <v>9450</v>
      </c>
      <c r="C347" s="44">
        <f>'Parameter Input'!C196</f>
        <v>9450</v>
      </c>
      <c r="D347" s="1" t="s">
        <v>49</v>
      </c>
      <c r="L347" s="54">
        <f>'Parameter Input'!E196</f>
        <v>17</v>
      </c>
      <c r="M347" s="37">
        <v>0</v>
      </c>
      <c r="N347" s="37">
        <v>1</v>
      </c>
      <c r="O347" s="37">
        <f>'Parameter Input'!F196</f>
        <v>0.9</v>
      </c>
      <c r="P347" s="55">
        <f>'Parameter Input'!G196</f>
        <v>0.4</v>
      </c>
      <c r="Q347" s="4">
        <f t="shared" si="232"/>
        <v>0.99780374543478534</v>
      </c>
      <c r="R347" s="4">
        <f t="shared" si="232"/>
        <v>0.99685359315256394</v>
      </c>
      <c r="S347" s="4">
        <f t="shared" si="232"/>
        <v>0.99549347132349975</v>
      </c>
      <c r="T347" s="4">
        <f t="shared" si="232"/>
        <v>0.99354772139898062</v>
      </c>
      <c r="U347" s="4">
        <f t="shared" si="232"/>
        <v>0.99076681540580536</v>
      </c>
      <c r="V347" s="4">
        <f t="shared" si="232"/>
        <v>0.9867978615748374</v>
      </c>
      <c r="W347" s="4">
        <f t="shared" si="232"/>
        <v>0.98114509762858249</v>
      </c>
      <c r="X347" s="4">
        <f t="shared" si="232"/>
        <v>0.97311898315872036</v>
      </c>
      <c r="Y347" s="4">
        <f t="shared" si="232"/>
        <v>0.96177484161592774</v>
      </c>
      <c r="Z347" s="4">
        <f t="shared" si="232"/>
        <v>0.94584787155511363</v>
      </c>
      <c r="AA347" s="4">
        <f t="shared" si="232"/>
        <v>0.92370360150141495</v>
      </c>
      <c r="AB347" s="4">
        <f t="shared" si="232"/>
        <v>0.89334463567658451</v>
      </c>
      <c r="AC347" s="4">
        <f t="shared" si="232"/>
        <v>0.85254543874327005</v>
      </c>
      <c r="AD347" s="4">
        <f t="shared" si="232"/>
        <v>0.79921300652623883</v>
      </c>
      <c r="AE347" s="4">
        <f t="shared" si="232"/>
        <v>0.73204982249993378</v>
      </c>
      <c r="AF347" s="4">
        <f t="shared" si="232"/>
        <v>0.65145592958786691</v>
      </c>
      <c r="AG347" s="4">
        <f t="shared" si="229"/>
        <v>0.56032247880849573</v>
      </c>
      <c r="AH347" s="4">
        <f t="shared" si="229"/>
        <v>0.46411326873185343</v>
      </c>
      <c r="AI347" s="4">
        <f t="shared" si="229"/>
        <v>0.36979727595523937</v>
      </c>
      <c r="AJ347" s="4">
        <f t="shared" si="230"/>
        <v>0.28393948637231203</v>
      </c>
      <c r="AK347" s="4">
        <f t="shared" si="230"/>
        <v>0.21097259161117732</v>
      </c>
      <c r="AL347" s="4">
        <f t="shared" si="230"/>
        <v>0.15253917653798199</v>
      </c>
      <c r="AM347" s="4">
        <f t="shared" si="230"/>
        <v>0.10795188737709993</v>
      </c>
      <c r="AN347" s="4">
        <f t="shared" si="230"/>
        <v>7.5176653938091809E-2</v>
      </c>
      <c r="AO347" s="4">
        <f t="shared" si="230"/>
        <v>5.1742836177502194E-2</v>
      </c>
      <c r="AP347" s="4">
        <f t="shared" si="230"/>
        <v>3.5319190625345942E-2</v>
      </c>
      <c r="AQ347" s="4">
        <f t="shared" si="230"/>
        <v>2.3969442072658165E-2</v>
      </c>
      <c r="AR347" s="4">
        <f t="shared" si="230"/>
        <v>1.6202243558389728E-2</v>
      </c>
    </row>
    <row r="348" spans="1:44" x14ac:dyDescent="0.25">
      <c r="A348" s="24" t="s">
        <v>56</v>
      </c>
      <c r="B348" s="45">
        <f>'Parameter Input'!B197</f>
        <v>0.68</v>
      </c>
      <c r="C348" s="46">
        <f>'Parameter Input'!C197</f>
        <v>0.68</v>
      </c>
      <c r="D348" s="1" t="s">
        <v>57</v>
      </c>
      <c r="L348" s="54">
        <f>'Parameter Input'!E197</f>
        <v>17</v>
      </c>
      <c r="M348" s="37">
        <v>0</v>
      </c>
      <c r="N348" s="37">
        <v>1</v>
      </c>
      <c r="O348" s="37">
        <f>'Parameter Input'!F197</f>
        <v>0.9</v>
      </c>
      <c r="P348" s="55">
        <f>'Parameter Input'!G197</f>
        <v>0.4</v>
      </c>
      <c r="Q348" s="4">
        <f t="shared" si="232"/>
        <v>0.99780374543478534</v>
      </c>
      <c r="R348" s="4">
        <f t="shared" si="232"/>
        <v>0.99685359315256394</v>
      </c>
      <c r="S348" s="4">
        <f t="shared" si="232"/>
        <v>0.99549347132349975</v>
      </c>
      <c r="T348" s="4">
        <f t="shared" si="232"/>
        <v>0.99354772139898062</v>
      </c>
      <c r="U348" s="4">
        <f t="shared" si="232"/>
        <v>0.99076681540580536</v>
      </c>
      <c r="V348" s="4">
        <f t="shared" si="232"/>
        <v>0.9867978615748374</v>
      </c>
      <c r="W348" s="4">
        <f t="shared" si="232"/>
        <v>0.98114509762858249</v>
      </c>
      <c r="X348" s="4">
        <f t="shared" si="232"/>
        <v>0.97311898315872036</v>
      </c>
      <c r="Y348" s="4">
        <f t="shared" si="232"/>
        <v>0.96177484161592774</v>
      </c>
      <c r="Z348" s="4">
        <f t="shared" si="232"/>
        <v>0.94584787155511363</v>
      </c>
      <c r="AA348" s="4">
        <f t="shared" si="232"/>
        <v>0.92370360150141495</v>
      </c>
      <c r="AB348" s="4">
        <f t="shared" si="232"/>
        <v>0.89334463567658451</v>
      </c>
      <c r="AC348" s="4">
        <f t="shared" si="232"/>
        <v>0.85254543874327005</v>
      </c>
      <c r="AD348" s="4">
        <f t="shared" si="232"/>
        <v>0.79921300652623883</v>
      </c>
      <c r="AE348" s="4">
        <f t="shared" si="232"/>
        <v>0.73204982249993378</v>
      </c>
      <c r="AF348" s="4">
        <f t="shared" si="232"/>
        <v>0.65145592958786691</v>
      </c>
      <c r="AG348" s="4">
        <f t="shared" si="229"/>
        <v>0.56032247880849573</v>
      </c>
      <c r="AH348" s="4">
        <f t="shared" si="229"/>
        <v>0.46411326873185343</v>
      </c>
      <c r="AI348" s="4">
        <f t="shared" si="229"/>
        <v>0.36979727595523937</v>
      </c>
      <c r="AJ348" s="4">
        <f t="shared" si="230"/>
        <v>0.28393948637231203</v>
      </c>
      <c r="AK348" s="4">
        <f t="shared" si="230"/>
        <v>0.21097259161117732</v>
      </c>
      <c r="AL348" s="4">
        <f t="shared" si="230"/>
        <v>0.15253917653798199</v>
      </c>
      <c r="AM348" s="4">
        <f t="shared" si="230"/>
        <v>0.10795188737709993</v>
      </c>
      <c r="AN348" s="4">
        <f t="shared" si="230"/>
        <v>7.5176653938091809E-2</v>
      </c>
      <c r="AO348" s="4">
        <f t="shared" si="230"/>
        <v>5.1742836177502194E-2</v>
      </c>
      <c r="AP348" s="4">
        <f t="shared" si="230"/>
        <v>3.5319190625345942E-2</v>
      </c>
      <c r="AQ348" s="4">
        <f t="shared" si="230"/>
        <v>2.3969442072658165E-2</v>
      </c>
      <c r="AR348" s="4">
        <f t="shared" si="230"/>
        <v>1.6202243558389728E-2</v>
      </c>
    </row>
    <row r="349" spans="1:44" x14ac:dyDescent="0.25">
      <c r="A349" s="24" t="s">
        <v>73</v>
      </c>
      <c r="B349" s="45">
        <f>'Parameter Input'!$L$162</f>
        <v>0</v>
      </c>
      <c r="C349" s="46">
        <f>'Parameter Input'!$M$162</f>
        <v>0</v>
      </c>
      <c r="D349" s="1" t="s">
        <v>57</v>
      </c>
      <c r="L349" s="54">
        <f>'Parameter Input'!$O$162</f>
        <v>17</v>
      </c>
      <c r="M349" s="37">
        <v>0</v>
      </c>
      <c r="N349" s="37">
        <v>1</v>
      </c>
      <c r="O349" s="37">
        <f>'Parameter Input'!$P$162</f>
        <v>0.9</v>
      </c>
      <c r="P349" s="55">
        <f>'Parameter Input'!$Q$162</f>
        <v>0.4</v>
      </c>
      <c r="Q349" s="4">
        <f t="shared" si="232"/>
        <v>0.99780374543478534</v>
      </c>
      <c r="R349" s="4">
        <f t="shared" si="232"/>
        <v>0.99685359315256394</v>
      </c>
      <c r="S349" s="4">
        <f t="shared" si="232"/>
        <v>0.99549347132349975</v>
      </c>
      <c r="T349" s="4">
        <f t="shared" si="232"/>
        <v>0.99354772139898062</v>
      </c>
      <c r="U349" s="4">
        <f t="shared" si="232"/>
        <v>0.99076681540580536</v>
      </c>
      <c r="V349" s="4">
        <f t="shared" si="232"/>
        <v>0.9867978615748374</v>
      </c>
      <c r="W349" s="4">
        <f t="shared" si="232"/>
        <v>0.98114509762858249</v>
      </c>
      <c r="X349" s="4">
        <f t="shared" si="232"/>
        <v>0.97311898315872036</v>
      </c>
      <c r="Y349" s="4">
        <f t="shared" si="232"/>
        <v>0.96177484161592774</v>
      </c>
      <c r="Z349" s="4">
        <f t="shared" si="232"/>
        <v>0.94584787155511363</v>
      </c>
      <c r="AA349" s="4">
        <f t="shared" si="232"/>
        <v>0.92370360150141495</v>
      </c>
      <c r="AB349" s="4">
        <f t="shared" si="232"/>
        <v>0.89334463567658451</v>
      </c>
      <c r="AC349" s="4">
        <f t="shared" si="232"/>
        <v>0.85254543874327005</v>
      </c>
      <c r="AD349" s="4">
        <f t="shared" si="232"/>
        <v>0.79921300652623883</v>
      </c>
      <c r="AE349" s="4">
        <f t="shared" si="232"/>
        <v>0.73204982249993378</v>
      </c>
      <c r="AF349" s="4">
        <f t="shared" si="232"/>
        <v>0.65145592958786691</v>
      </c>
      <c r="AG349" s="4">
        <f t="shared" si="229"/>
        <v>0.56032247880849573</v>
      </c>
      <c r="AH349" s="4">
        <f t="shared" si="229"/>
        <v>0.46411326873185343</v>
      </c>
      <c r="AI349" s="4">
        <f t="shared" si="229"/>
        <v>0.36979727595523937</v>
      </c>
      <c r="AJ349" s="4">
        <f t="shared" si="230"/>
        <v>0.28393948637231203</v>
      </c>
      <c r="AK349" s="4">
        <f t="shared" si="230"/>
        <v>0.21097259161117732</v>
      </c>
      <c r="AL349" s="4">
        <f t="shared" si="230"/>
        <v>0.15253917653798199</v>
      </c>
      <c r="AM349" s="4">
        <f t="shared" si="230"/>
        <v>0.10795188737709993</v>
      </c>
      <c r="AN349" s="4">
        <f t="shared" si="230"/>
        <v>7.5176653938091809E-2</v>
      </c>
      <c r="AO349" s="4">
        <f t="shared" si="230"/>
        <v>5.1742836177502194E-2</v>
      </c>
      <c r="AP349" s="4">
        <f t="shared" si="230"/>
        <v>3.5319190625345942E-2</v>
      </c>
      <c r="AQ349" s="4">
        <f t="shared" si="230"/>
        <v>2.3969442072658165E-2</v>
      </c>
      <c r="AR349" s="4">
        <f t="shared" si="230"/>
        <v>1.6202243558389728E-2</v>
      </c>
    </row>
    <row r="350" spans="1:44" ht="15.75" thickBot="1" x14ac:dyDescent="0.3">
      <c r="A350" s="24" t="s">
        <v>64</v>
      </c>
      <c r="B350" s="49">
        <f>'Parameter Input'!B198</f>
        <v>120000</v>
      </c>
      <c r="C350" s="50">
        <f>'Parameter Input'!C198</f>
        <v>120000</v>
      </c>
      <c r="D350" s="1" t="s">
        <v>65</v>
      </c>
      <c r="L350" s="56">
        <f>'Parameter Input'!E198</f>
        <v>17</v>
      </c>
      <c r="M350" s="57">
        <v>0</v>
      </c>
      <c r="N350" s="57">
        <v>1</v>
      </c>
      <c r="O350" s="57">
        <f>'Parameter Input'!F198</f>
        <v>0.9</v>
      </c>
      <c r="P350" s="58">
        <f>'Parameter Input'!G198</f>
        <v>0.4</v>
      </c>
      <c r="Q350" s="4">
        <f t="shared" si="232"/>
        <v>0.99780374543478534</v>
      </c>
      <c r="R350" s="4">
        <f t="shared" si="232"/>
        <v>0.99685359315256394</v>
      </c>
      <c r="S350" s="4">
        <f t="shared" si="232"/>
        <v>0.99549347132349975</v>
      </c>
      <c r="T350" s="4">
        <f t="shared" si="232"/>
        <v>0.99354772139898062</v>
      </c>
      <c r="U350" s="4">
        <f t="shared" si="232"/>
        <v>0.99076681540580536</v>
      </c>
      <c r="V350" s="4">
        <f t="shared" si="232"/>
        <v>0.9867978615748374</v>
      </c>
      <c r="W350" s="4">
        <f t="shared" si="232"/>
        <v>0.98114509762858249</v>
      </c>
      <c r="X350" s="4">
        <f t="shared" si="232"/>
        <v>0.97311898315872036</v>
      </c>
      <c r="Y350" s="4">
        <f t="shared" si="232"/>
        <v>0.96177484161592774</v>
      </c>
      <c r="Z350" s="4">
        <f t="shared" si="232"/>
        <v>0.94584787155511363</v>
      </c>
      <c r="AA350" s="4">
        <f t="shared" si="232"/>
        <v>0.92370360150141495</v>
      </c>
      <c r="AB350" s="4">
        <f t="shared" si="232"/>
        <v>0.89334463567658451</v>
      </c>
      <c r="AC350" s="4">
        <f t="shared" si="232"/>
        <v>0.85254543874327005</v>
      </c>
      <c r="AD350" s="4">
        <f t="shared" si="232"/>
        <v>0.79921300652623883</v>
      </c>
      <c r="AE350" s="4">
        <f t="shared" si="232"/>
        <v>0.73204982249993378</v>
      </c>
      <c r="AF350" s="4">
        <f t="shared" si="232"/>
        <v>0.65145592958786691</v>
      </c>
      <c r="AG350" s="4">
        <f t="shared" si="229"/>
        <v>0.56032247880849573</v>
      </c>
      <c r="AH350" s="4">
        <f t="shared" si="229"/>
        <v>0.46411326873185343</v>
      </c>
      <c r="AI350" s="4">
        <f t="shared" si="229"/>
        <v>0.36979727595523937</v>
      </c>
      <c r="AJ350" s="4">
        <f t="shared" si="230"/>
        <v>0.28393948637231203</v>
      </c>
      <c r="AK350" s="4">
        <f t="shared" si="230"/>
        <v>0.21097259161117732</v>
      </c>
      <c r="AL350" s="4">
        <f t="shared" si="230"/>
        <v>0.15253917653798199</v>
      </c>
      <c r="AM350" s="4">
        <f t="shared" si="230"/>
        <v>0.10795188737709993</v>
      </c>
      <c r="AN350" s="4">
        <f t="shared" si="230"/>
        <v>7.5176653938091809E-2</v>
      </c>
      <c r="AO350" s="4">
        <f t="shared" si="230"/>
        <v>5.1742836177502194E-2</v>
      </c>
      <c r="AP350" s="4">
        <f t="shared" si="230"/>
        <v>3.5319190625345942E-2</v>
      </c>
      <c r="AQ350" s="4">
        <f t="shared" si="230"/>
        <v>2.3969442072658165E-2</v>
      </c>
      <c r="AR350" s="4">
        <f t="shared" si="230"/>
        <v>1.6202243558389728E-2</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8" si="233">A334</f>
        <v>Capex vehicle</v>
      </c>
      <c r="B354" s="62">
        <f t="shared" ref="B354:B363" si="234">$B334+($C334-$B334)*(1-Q334)</f>
        <v>15000000</v>
      </c>
      <c r="C354" s="62">
        <f t="shared" ref="C354:C363" si="235">$B334+($C334-$B334)*(1-R334)</f>
        <v>15000000</v>
      </c>
      <c r="D354" s="62">
        <f t="shared" ref="D354:D363" si="236">$B334+($C334-$B334)*(1-S334)</f>
        <v>15000000</v>
      </c>
      <c r="E354" s="62">
        <f t="shared" ref="E354:E363" si="237">$B334+($C334-$B334)*(1-T334)</f>
        <v>15000000</v>
      </c>
      <c r="F354" s="62">
        <f t="shared" ref="F354:F363" si="238">$B334+($C334-$B334)*(1-U334)</f>
        <v>15000000</v>
      </c>
      <c r="G354" s="62">
        <f t="shared" ref="G354:G363" si="239">$B334+($C334-$B334)*(1-V334)</f>
        <v>15000000</v>
      </c>
      <c r="H354" s="62">
        <f t="shared" ref="H354:H363" si="240">$B334+($C334-$B334)*(1-W334)</f>
        <v>15000000</v>
      </c>
      <c r="I354" s="62">
        <f t="shared" ref="I354:I363" si="241">$B334+($C334-$B334)*(1-X334)</f>
        <v>15000000</v>
      </c>
      <c r="J354" s="62">
        <f t="shared" ref="J354:J363" si="242">$B334+($C334-$B334)*(1-Y334)</f>
        <v>15000000</v>
      </c>
      <c r="K354" s="62">
        <f t="shared" ref="K354:K363" si="243">$B334+($C334-$B334)*(1-Z334)</f>
        <v>15000000</v>
      </c>
      <c r="L354" s="62">
        <f t="shared" ref="L354:L363" si="244">$B334+($C334-$B334)*(1-AA334)</f>
        <v>15000000</v>
      </c>
      <c r="M354" s="62">
        <f t="shared" ref="M354:M363" si="245">$B334+($C334-$B334)*(1-AB334)</f>
        <v>15000000</v>
      </c>
      <c r="N354" s="62">
        <f t="shared" ref="N354:N363" si="246">$B334+($C334-$B334)*(1-AC334)</f>
        <v>15000000</v>
      </c>
      <c r="O354" s="62">
        <f t="shared" ref="O354:O363" si="247">$B334+($C334-$B334)*(1-AD334)</f>
        <v>15000000</v>
      </c>
      <c r="P354" s="62">
        <f t="shared" ref="P354:P363" si="248">$B334+($C334-$B334)*(1-AE334)</f>
        <v>15000000</v>
      </c>
      <c r="Q354" s="62">
        <f t="shared" ref="Q354:Q363" si="249">$B334+($C334-$B334)*(1-AF334)</f>
        <v>15000000</v>
      </c>
      <c r="R354" s="62">
        <f t="shared" ref="R354:R363" si="250">$B334+($C334-$B334)*(1-AG334)</f>
        <v>15000000</v>
      </c>
      <c r="S354" s="62">
        <f t="shared" ref="S354:S363" si="251">$B334+($C334-$B334)*(1-AH334)</f>
        <v>15000000</v>
      </c>
      <c r="T354" s="62">
        <f t="shared" ref="T354:T363" si="252">$B334+($C334-$B334)*(1-AI334)</f>
        <v>15000000</v>
      </c>
      <c r="U354" s="62">
        <f t="shared" ref="U354:U363" si="253">$B334+($C334-$B334)*(1-AJ334)</f>
        <v>15000000</v>
      </c>
      <c r="V354" s="62">
        <f t="shared" ref="V354:V363" si="254">$B334+($C334-$B334)*(1-AK334)</f>
        <v>15000000</v>
      </c>
      <c r="W354" s="62">
        <f t="shared" ref="W354:W363" si="255">$B334+($C334-$B334)*(1-AL334)</f>
        <v>15000000</v>
      </c>
      <c r="X354" s="62">
        <f t="shared" ref="X354:X363" si="256">$B334+($C334-$B334)*(1-AM334)</f>
        <v>15000000</v>
      </c>
      <c r="Y354" s="62">
        <f t="shared" ref="Y354:Y363" si="257">$B334+($C334-$B334)*(1-AN334)</f>
        <v>15000000</v>
      </c>
      <c r="Z354" s="62">
        <f t="shared" ref="Z354:Z363" si="258">$B334+($C334-$B334)*(1-AO334)</f>
        <v>15000000</v>
      </c>
      <c r="AA354" s="62">
        <f t="shared" ref="AA354:AA363" si="259">$B334+($C334-$B334)*(1-AP334)</f>
        <v>15000000</v>
      </c>
      <c r="AB354" s="62">
        <f t="shared" ref="AB354:AB363" si="260">$B334+($C334-$B334)*(1-AQ334)</f>
        <v>15000000</v>
      </c>
      <c r="AC354" s="62">
        <f t="shared" ref="AC354:AC363" si="261">$B334+($C334-$B334)*(1-AR334)</f>
        <v>15000000</v>
      </c>
    </row>
    <row r="355" spans="1:29" x14ac:dyDescent="0.25">
      <c r="A355" s="30" t="str">
        <f t="shared" si="233"/>
        <v>Residual value (vehicle)</v>
      </c>
      <c r="B355" s="62">
        <f t="shared" si="234"/>
        <v>-1498352.8090760889</v>
      </c>
      <c r="C355" s="62">
        <f t="shared" si="235"/>
        <v>-1497640.194864423</v>
      </c>
      <c r="D355" s="62">
        <f t="shared" si="236"/>
        <v>-1496620.1034926248</v>
      </c>
      <c r="E355" s="62">
        <f t="shared" si="237"/>
        <v>-1495160.7910492355</v>
      </c>
      <c r="F355" s="62">
        <f t="shared" si="238"/>
        <v>-1493075.111554354</v>
      </c>
      <c r="G355" s="62">
        <f t="shared" si="239"/>
        <v>-1490098.396181128</v>
      </c>
      <c r="H355" s="62">
        <f t="shared" si="240"/>
        <v>-1485858.8232214369</v>
      </c>
      <c r="I355" s="62">
        <f t="shared" si="241"/>
        <v>-1479839.2373690403</v>
      </c>
      <c r="J355" s="62">
        <f t="shared" si="242"/>
        <v>-1471331.1312119458</v>
      </c>
      <c r="K355" s="62">
        <f t="shared" si="243"/>
        <v>-1459385.9036663352</v>
      </c>
      <c r="L355" s="62">
        <f t="shared" si="244"/>
        <v>-1442777.7011260611</v>
      </c>
      <c r="M355" s="62">
        <f t="shared" si="245"/>
        <v>-1420008.4767574384</v>
      </c>
      <c r="N355" s="62">
        <f t="shared" si="246"/>
        <v>-1389409.0790574525</v>
      </c>
      <c r="O355" s="62">
        <f t="shared" si="247"/>
        <v>-1349409.7548946792</v>
      </c>
      <c r="P355" s="62">
        <f t="shared" si="248"/>
        <v>-1299037.3668749502</v>
      </c>
      <c r="Q355" s="62">
        <f t="shared" si="249"/>
        <v>-1238591.9471909001</v>
      </c>
      <c r="R355" s="62">
        <f t="shared" si="250"/>
        <v>-1170241.8591063719</v>
      </c>
      <c r="S355" s="62">
        <f t="shared" si="251"/>
        <v>-1098084.9515488902</v>
      </c>
      <c r="T355" s="62">
        <f t="shared" si="252"/>
        <v>-1027347.9569664295</v>
      </c>
      <c r="U355" s="62">
        <f t="shared" si="253"/>
        <v>-962954.61477923405</v>
      </c>
      <c r="V355" s="62">
        <f t="shared" si="254"/>
        <v>-908229.44370838301</v>
      </c>
      <c r="W355" s="62">
        <f t="shared" si="255"/>
        <v>-864404.38240348652</v>
      </c>
      <c r="X355" s="62">
        <f t="shared" si="256"/>
        <v>-830963.91553282493</v>
      </c>
      <c r="Y355" s="62">
        <f t="shared" si="257"/>
        <v>-806382.49045356887</v>
      </c>
      <c r="Z355" s="62">
        <f t="shared" si="258"/>
        <v>-788807.1271331266</v>
      </c>
      <c r="AA355" s="62">
        <f t="shared" si="259"/>
        <v>-776489.39296900947</v>
      </c>
      <c r="AB355" s="62">
        <f t="shared" si="260"/>
        <v>-767977.08155449363</v>
      </c>
      <c r="AC355" s="62">
        <f t="shared" si="261"/>
        <v>-762151.68266879232</v>
      </c>
    </row>
    <row r="356" spans="1:29" x14ac:dyDescent="0.25">
      <c r="A356" s="30" t="str">
        <f t="shared" si="233"/>
        <v>Capex costumization</v>
      </c>
      <c r="B356" s="62">
        <f t="shared" si="234"/>
        <v>1000000</v>
      </c>
      <c r="C356" s="62">
        <f t="shared" si="235"/>
        <v>1000000</v>
      </c>
      <c r="D356" s="62">
        <f t="shared" si="236"/>
        <v>1000000</v>
      </c>
      <c r="E356" s="62">
        <f t="shared" si="237"/>
        <v>1000000</v>
      </c>
      <c r="F356" s="62">
        <f t="shared" si="238"/>
        <v>1000000</v>
      </c>
      <c r="G356" s="62">
        <f t="shared" si="239"/>
        <v>1000000</v>
      </c>
      <c r="H356" s="62">
        <f t="shared" si="240"/>
        <v>1000000</v>
      </c>
      <c r="I356" s="62">
        <f t="shared" si="241"/>
        <v>1000000</v>
      </c>
      <c r="J356" s="62">
        <f t="shared" si="242"/>
        <v>1000000</v>
      </c>
      <c r="K356" s="62">
        <f t="shared" si="243"/>
        <v>1000000</v>
      </c>
      <c r="L356" s="62">
        <f t="shared" si="244"/>
        <v>1000000</v>
      </c>
      <c r="M356" s="62">
        <f t="shared" si="245"/>
        <v>1000000</v>
      </c>
      <c r="N356" s="62">
        <f t="shared" si="246"/>
        <v>1000000</v>
      </c>
      <c r="O356" s="62">
        <f t="shared" si="247"/>
        <v>1000000</v>
      </c>
      <c r="P356" s="62">
        <f t="shared" si="248"/>
        <v>1000000</v>
      </c>
      <c r="Q356" s="62">
        <f t="shared" si="249"/>
        <v>1000000</v>
      </c>
      <c r="R356" s="62">
        <f t="shared" si="250"/>
        <v>1000000</v>
      </c>
      <c r="S356" s="62">
        <f t="shared" si="251"/>
        <v>1000000</v>
      </c>
      <c r="T356" s="62">
        <f t="shared" si="252"/>
        <v>1000000</v>
      </c>
      <c r="U356" s="62">
        <f t="shared" si="253"/>
        <v>1000000</v>
      </c>
      <c r="V356" s="62">
        <f t="shared" si="254"/>
        <v>1000000</v>
      </c>
      <c r="W356" s="62">
        <f t="shared" si="255"/>
        <v>1000000</v>
      </c>
      <c r="X356" s="62">
        <f t="shared" si="256"/>
        <v>1000000</v>
      </c>
      <c r="Y356" s="62">
        <f t="shared" si="257"/>
        <v>1000000</v>
      </c>
      <c r="Z356" s="62">
        <f t="shared" si="258"/>
        <v>1000000</v>
      </c>
      <c r="AA356" s="62">
        <f t="shared" si="259"/>
        <v>1000000</v>
      </c>
      <c r="AB356" s="62">
        <f t="shared" si="260"/>
        <v>1000000</v>
      </c>
      <c r="AC356" s="62">
        <f t="shared" si="261"/>
        <v>1000000</v>
      </c>
    </row>
    <row r="357" spans="1:29" x14ac:dyDescent="0.25">
      <c r="A357" s="30" t="str">
        <f t="shared" si="233"/>
        <v>Residual value (costumization)</v>
      </c>
      <c r="B357" s="62">
        <f t="shared" si="234"/>
        <v>-100000</v>
      </c>
      <c r="C357" s="62">
        <f t="shared" si="235"/>
        <v>-100000</v>
      </c>
      <c r="D357" s="62">
        <f t="shared" si="236"/>
        <v>-100000</v>
      </c>
      <c r="E357" s="62">
        <f t="shared" si="237"/>
        <v>-100000</v>
      </c>
      <c r="F357" s="62">
        <f t="shared" si="238"/>
        <v>-100000</v>
      </c>
      <c r="G357" s="62">
        <f t="shared" si="239"/>
        <v>-100000</v>
      </c>
      <c r="H357" s="62">
        <f t="shared" si="240"/>
        <v>-100000</v>
      </c>
      <c r="I357" s="62">
        <f t="shared" si="241"/>
        <v>-100000</v>
      </c>
      <c r="J357" s="62">
        <f t="shared" si="242"/>
        <v>-100000</v>
      </c>
      <c r="K357" s="62">
        <f t="shared" si="243"/>
        <v>-100000</v>
      </c>
      <c r="L357" s="62">
        <f t="shared" si="244"/>
        <v>-100000</v>
      </c>
      <c r="M357" s="62">
        <f t="shared" si="245"/>
        <v>-100000</v>
      </c>
      <c r="N357" s="62">
        <f t="shared" si="246"/>
        <v>-100000</v>
      </c>
      <c r="O357" s="62">
        <f t="shared" si="247"/>
        <v>-100000</v>
      </c>
      <c r="P357" s="62">
        <f t="shared" si="248"/>
        <v>-100000</v>
      </c>
      <c r="Q357" s="62">
        <f t="shared" si="249"/>
        <v>-100000</v>
      </c>
      <c r="R357" s="62">
        <f t="shared" si="250"/>
        <v>-100000</v>
      </c>
      <c r="S357" s="62">
        <f t="shared" si="251"/>
        <v>-100000</v>
      </c>
      <c r="T357" s="62">
        <f t="shared" si="252"/>
        <v>-100000</v>
      </c>
      <c r="U357" s="62">
        <f t="shared" si="253"/>
        <v>-100000</v>
      </c>
      <c r="V357" s="62">
        <f t="shared" si="254"/>
        <v>-100000</v>
      </c>
      <c r="W357" s="62">
        <f t="shared" si="255"/>
        <v>-100000</v>
      </c>
      <c r="X357" s="62">
        <f t="shared" si="256"/>
        <v>-100000</v>
      </c>
      <c r="Y357" s="62">
        <f t="shared" si="257"/>
        <v>-100000</v>
      </c>
      <c r="Z357" s="62">
        <f t="shared" si="258"/>
        <v>-100000</v>
      </c>
      <c r="AA357" s="62">
        <f t="shared" si="259"/>
        <v>-100000</v>
      </c>
      <c r="AB357" s="62">
        <f t="shared" si="260"/>
        <v>-100000</v>
      </c>
      <c r="AC357" s="62">
        <f t="shared" si="261"/>
        <v>-100000</v>
      </c>
    </row>
    <row r="358" spans="1:29" x14ac:dyDescent="0.25">
      <c r="A358" s="30" t="str">
        <f t="shared" si="233"/>
        <v>WACC</v>
      </c>
      <c r="B358" s="62">
        <f t="shared" si="234"/>
        <v>0.06</v>
      </c>
      <c r="C358" s="62">
        <f t="shared" si="235"/>
        <v>0.06</v>
      </c>
      <c r="D358" s="62">
        <f t="shared" si="236"/>
        <v>0.06</v>
      </c>
      <c r="E358" s="62">
        <f t="shared" si="237"/>
        <v>0.06</v>
      </c>
      <c r="F358" s="62">
        <f t="shared" si="238"/>
        <v>0.06</v>
      </c>
      <c r="G358" s="62">
        <f t="shared" si="239"/>
        <v>0.06</v>
      </c>
      <c r="H358" s="62">
        <f t="shared" si="240"/>
        <v>0.06</v>
      </c>
      <c r="I358" s="62">
        <f t="shared" si="241"/>
        <v>0.06</v>
      </c>
      <c r="J358" s="62">
        <f t="shared" si="242"/>
        <v>0.06</v>
      </c>
      <c r="K358" s="62">
        <f t="shared" si="243"/>
        <v>0.06</v>
      </c>
      <c r="L358" s="62">
        <f t="shared" si="244"/>
        <v>0.06</v>
      </c>
      <c r="M358" s="62">
        <f t="shared" si="245"/>
        <v>0.06</v>
      </c>
      <c r="N358" s="62">
        <f t="shared" si="246"/>
        <v>0.06</v>
      </c>
      <c r="O358" s="62">
        <f t="shared" si="247"/>
        <v>0.06</v>
      </c>
      <c r="P358" s="62">
        <f t="shared" si="248"/>
        <v>0.06</v>
      </c>
      <c r="Q358" s="62">
        <f t="shared" si="249"/>
        <v>0.06</v>
      </c>
      <c r="R358" s="62">
        <f t="shared" si="250"/>
        <v>0.06</v>
      </c>
      <c r="S358" s="62">
        <f t="shared" si="251"/>
        <v>0.06</v>
      </c>
      <c r="T358" s="62">
        <f t="shared" si="252"/>
        <v>0.06</v>
      </c>
      <c r="U358" s="62">
        <f t="shared" si="253"/>
        <v>0.06</v>
      </c>
      <c r="V358" s="62">
        <f t="shared" si="254"/>
        <v>0.06</v>
      </c>
      <c r="W358" s="62">
        <f t="shared" si="255"/>
        <v>0.06</v>
      </c>
      <c r="X358" s="62">
        <f t="shared" si="256"/>
        <v>0.06</v>
      </c>
      <c r="Y358" s="62">
        <f t="shared" si="257"/>
        <v>0.06</v>
      </c>
      <c r="Z358" s="62">
        <f t="shared" si="258"/>
        <v>0.06</v>
      </c>
      <c r="AA358" s="62">
        <f t="shared" si="259"/>
        <v>0.06</v>
      </c>
      <c r="AB358" s="62">
        <f t="shared" si="260"/>
        <v>0.06</v>
      </c>
      <c r="AC358" s="62">
        <f t="shared" si="261"/>
        <v>0.06</v>
      </c>
    </row>
    <row r="359" spans="1:29" x14ac:dyDescent="0.25">
      <c r="A359" s="30" t="str">
        <f t="shared" si="233"/>
        <v>Opex fix (admin, crew, insurance)</v>
      </c>
      <c r="B359" s="62">
        <f t="shared" si="234"/>
        <v>1208235.294117647</v>
      </c>
      <c r="C359" s="62">
        <f t="shared" si="235"/>
        <v>1208235.294117647</v>
      </c>
      <c r="D359" s="62">
        <f t="shared" si="236"/>
        <v>1208235.294117647</v>
      </c>
      <c r="E359" s="62">
        <f t="shared" si="237"/>
        <v>1208235.294117647</v>
      </c>
      <c r="F359" s="62">
        <f t="shared" si="238"/>
        <v>1208235.294117647</v>
      </c>
      <c r="G359" s="62">
        <f t="shared" si="239"/>
        <v>1208235.294117647</v>
      </c>
      <c r="H359" s="62">
        <f t="shared" si="240"/>
        <v>1208235.294117647</v>
      </c>
      <c r="I359" s="62">
        <f t="shared" si="241"/>
        <v>1208235.294117647</v>
      </c>
      <c r="J359" s="62">
        <f t="shared" si="242"/>
        <v>1208235.294117647</v>
      </c>
      <c r="K359" s="62">
        <f t="shared" si="243"/>
        <v>1208235.294117647</v>
      </c>
      <c r="L359" s="62">
        <f t="shared" si="244"/>
        <v>1208235.294117647</v>
      </c>
      <c r="M359" s="62">
        <f t="shared" si="245"/>
        <v>1208235.294117647</v>
      </c>
      <c r="N359" s="62">
        <f t="shared" si="246"/>
        <v>1208235.294117647</v>
      </c>
      <c r="O359" s="62">
        <f t="shared" si="247"/>
        <v>1208235.294117647</v>
      </c>
      <c r="P359" s="62">
        <f t="shared" si="248"/>
        <v>1208235.294117647</v>
      </c>
      <c r="Q359" s="62">
        <f t="shared" si="249"/>
        <v>1208235.294117647</v>
      </c>
      <c r="R359" s="62">
        <f t="shared" si="250"/>
        <v>1208235.294117647</v>
      </c>
      <c r="S359" s="62">
        <f t="shared" si="251"/>
        <v>1208235.294117647</v>
      </c>
      <c r="T359" s="62">
        <f t="shared" si="252"/>
        <v>1208235.294117647</v>
      </c>
      <c r="U359" s="62">
        <f t="shared" si="253"/>
        <v>1208235.294117647</v>
      </c>
      <c r="V359" s="62">
        <f t="shared" si="254"/>
        <v>1208235.294117647</v>
      </c>
      <c r="W359" s="62">
        <f t="shared" si="255"/>
        <v>1208235.294117647</v>
      </c>
      <c r="X359" s="62">
        <f t="shared" si="256"/>
        <v>1208235.294117647</v>
      </c>
      <c r="Y359" s="62">
        <f t="shared" si="257"/>
        <v>1208235.294117647</v>
      </c>
      <c r="Z359" s="62">
        <f t="shared" si="258"/>
        <v>1208235.294117647</v>
      </c>
      <c r="AA359" s="62">
        <f t="shared" si="259"/>
        <v>1208235.294117647</v>
      </c>
      <c r="AB359" s="62">
        <f t="shared" si="260"/>
        <v>1208235.294117647</v>
      </c>
      <c r="AC359" s="62">
        <f t="shared" si="261"/>
        <v>1208235.294117647</v>
      </c>
    </row>
    <row r="360" spans="1:29" x14ac:dyDescent="0.25">
      <c r="A360" s="30" t="str">
        <f t="shared" si="233"/>
        <v>Opex maintenance &amp; repair</v>
      </c>
      <c r="B360" s="62">
        <f t="shared" si="234"/>
        <v>488235.29411764705</v>
      </c>
      <c r="C360" s="62">
        <f t="shared" si="235"/>
        <v>488235.29411764705</v>
      </c>
      <c r="D360" s="62">
        <f t="shared" si="236"/>
        <v>488235.29411764705</v>
      </c>
      <c r="E360" s="62">
        <f t="shared" si="237"/>
        <v>488235.29411764705</v>
      </c>
      <c r="F360" s="62">
        <f t="shared" si="238"/>
        <v>488235.29411764705</v>
      </c>
      <c r="G360" s="62">
        <f t="shared" si="239"/>
        <v>488235.29411764705</v>
      </c>
      <c r="H360" s="62">
        <f t="shared" si="240"/>
        <v>488235.29411764705</v>
      </c>
      <c r="I360" s="62">
        <f t="shared" si="241"/>
        <v>488235.29411764705</v>
      </c>
      <c r="J360" s="62">
        <f t="shared" si="242"/>
        <v>488235.29411764705</v>
      </c>
      <c r="K360" s="62">
        <f t="shared" si="243"/>
        <v>488235.29411764705</v>
      </c>
      <c r="L360" s="62">
        <f t="shared" si="244"/>
        <v>488235.29411764705</v>
      </c>
      <c r="M360" s="62">
        <f t="shared" si="245"/>
        <v>488235.29411764705</v>
      </c>
      <c r="N360" s="62">
        <f t="shared" si="246"/>
        <v>488235.29411764705</v>
      </c>
      <c r="O360" s="62">
        <f t="shared" si="247"/>
        <v>488235.29411764705</v>
      </c>
      <c r="P360" s="62">
        <f t="shared" si="248"/>
        <v>488235.29411764705</v>
      </c>
      <c r="Q360" s="62">
        <f t="shared" si="249"/>
        <v>488235.29411764705</v>
      </c>
      <c r="R360" s="62">
        <f t="shared" si="250"/>
        <v>488235.29411764705</v>
      </c>
      <c r="S360" s="62">
        <f t="shared" si="251"/>
        <v>488235.29411764705</v>
      </c>
      <c r="T360" s="62">
        <f t="shared" si="252"/>
        <v>488235.29411764705</v>
      </c>
      <c r="U360" s="62">
        <f t="shared" si="253"/>
        <v>488235.29411764705</v>
      </c>
      <c r="V360" s="62">
        <f t="shared" si="254"/>
        <v>488235.29411764705</v>
      </c>
      <c r="W360" s="62">
        <f t="shared" si="255"/>
        <v>488235.29411764705</v>
      </c>
      <c r="X360" s="62">
        <f t="shared" si="256"/>
        <v>488235.29411764705</v>
      </c>
      <c r="Y360" s="62">
        <f t="shared" si="257"/>
        <v>488235.29411764705</v>
      </c>
      <c r="Z360" s="62">
        <f t="shared" si="258"/>
        <v>488235.29411764705</v>
      </c>
      <c r="AA360" s="62">
        <f t="shared" si="259"/>
        <v>488235.29411764705</v>
      </c>
      <c r="AB360" s="62">
        <f t="shared" si="260"/>
        <v>488235.29411764705</v>
      </c>
      <c r="AC360" s="62">
        <f t="shared" si="261"/>
        <v>488235.29411764705</v>
      </c>
    </row>
    <row r="361" spans="1:29" x14ac:dyDescent="0.25">
      <c r="A361" s="30" t="str">
        <f t="shared" si="233"/>
        <v>Opex var (mode-fees)</v>
      </c>
      <c r="B361" s="62">
        <f t="shared" si="234"/>
        <v>0.81280569096848254</v>
      </c>
      <c r="C361" s="62">
        <f t="shared" si="235"/>
        <v>0.81280569096848254</v>
      </c>
      <c r="D361" s="62">
        <f t="shared" si="236"/>
        <v>0.81280569096848254</v>
      </c>
      <c r="E361" s="62">
        <f t="shared" si="237"/>
        <v>0.81280569096848254</v>
      </c>
      <c r="F361" s="62">
        <f t="shared" si="238"/>
        <v>0.81280569096848254</v>
      </c>
      <c r="G361" s="62">
        <f t="shared" si="239"/>
        <v>0.81280569096848254</v>
      </c>
      <c r="H361" s="62">
        <f t="shared" si="240"/>
        <v>0.81280569096848254</v>
      </c>
      <c r="I361" s="62">
        <f t="shared" si="241"/>
        <v>0.81280569096848254</v>
      </c>
      <c r="J361" s="62">
        <f t="shared" si="242"/>
        <v>0.81280569096848254</v>
      </c>
      <c r="K361" s="62">
        <f t="shared" si="243"/>
        <v>0.81280569096848254</v>
      </c>
      <c r="L361" s="62">
        <f t="shared" si="244"/>
        <v>0.81280569096848254</v>
      </c>
      <c r="M361" s="62">
        <f t="shared" si="245"/>
        <v>0.81280569096848254</v>
      </c>
      <c r="N361" s="62">
        <f t="shared" si="246"/>
        <v>0.81280569096848254</v>
      </c>
      <c r="O361" s="62">
        <f t="shared" si="247"/>
        <v>0.81280569096848254</v>
      </c>
      <c r="P361" s="62">
        <f t="shared" si="248"/>
        <v>0.81280569096848254</v>
      </c>
      <c r="Q361" s="62">
        <f t="shared" si="249"/>
        <v>0.81280569096848254</v>
      </c>
      <c r="R361" s="62">
        <f t="shared" si="250"/>
        <v>0.81280569096848254</v>
      </c>
      <c r="S361" s="62">
        <f t="shared" si="251"/>
        <v>0.81280569096848254</v>
      </c>
      <c r="T361" s="62">
        <f t="shared" si="252"/>
        <v>0.81280569096848254</v>
      </c>
      <c r="U361" s="62">
        <f t="shared" si="253"/>
        <v>0.81280569096848254</v>
      </c>
      <c r="V361" s="62">
        <f t="shared" si="254"/>
        <v>0.81280569096848254</v>
      </c>
      <c r="W361" s="62">
        <f t="shared" si="255"/>
        <v>0.81280569096848254</v>
      </c>
      <c r="X361" s="62">
        <f t="shared" si="256"/>
        <v>0.81280569096848254</v>
      </c>
      <c r="Y361" s="62">
        <f t="shared" si="257"/>
        <v>0.81280569096848254</v>
      </c>
      <c r="Z361" s="62">
        <f t="shared" si="258"/>
        <v>0.81280569096848254</v>
      </c>
      <c r="AA361" s="62">
        <f t="shared" si="259"/>
        <v>0.81280569096848254</v>
      </c>
      <c r="AB361" s="62">
        <f t="shared" si="260"/>
        <v>0.81280569096848254</v>
      </c>
      <c r="AC361" s="62">
        <f t="shared" si="261"/>
        <v>0.81280569096848254</v>
      </c>
    </row>
    <row r="362" spans="1:29" x14ac:dyDescent="0.25">
      <c r="A362" s="30" t="str">
        <f t="shared" si="233"/>
        <v>Fuel Economy</v>
      </c>
      <c r="B362" s="62">
        <f t="shared" si="234"/>
        <v>646.89677603543487</v>
      </c>
      <c r="C362" s="62">
        <f t="shared" si="235"/>
        <v>646.85211887817047</v>
      </c>
      <c r="D362" s="62">
        <f t="shared" si="236"/>
        <v>646.78819315220449</v>
      </c>
      <c r="E362" s="62">
        <f t="shared" si="237"/>
        <v>646.6967429057521</v>
      </c>
      <c r="F362" s="62">
        <f t="shared" si="238"/>
        <v>646.5660403240729</v>
      </c>
      <c r="G362" s="62">
        <f t="shared" si="239"/>
        <v>646.37949949401741</v>
      </c>
      <c r="H362" s="62">
        <f t="shared" si="240"/>
        <v>646.11381958854338</v>
      </c>
      <c r="I362" s="62">
        <f t="shared" si="241"/>
        <v>645.73659220845991</v>
      </c>
      <c r="J362" s="62">
        <f t="shared" si="242"/>
        <v>645.20341755594859</v>
      </c>
      <c r="K362" s="62">
        <f t="shared" si="243"/>
        <v>644.4548499630904</v>
      </c>
      <c r="L362" s="62">
        <f t="shared" si="244"/>
        <v>643.41406927056653</v>
      </c>
      <c r="M362" s="62">
        <f t="shared" si="245"/>
        <v>641.98719787679943</v>
      </c>
      <c r="N362" s="62">
        <f t="shared" si="246"/>
        <v>640.0696356209337</v>
      </c>
      <c r="O362" s="62">
        <f t="shared" si="247"/>
        <v>637.56301130673319</v>
      </c>
      <c r="P362" s="62">
        <f t="shared" si="248"/>
        <v>634.40634165749691</v>
      </c>
      <c r="Q362" s="62">
        <f t="shared" si="249"/>
        <v>630.6184286906298</v>
      </c>
      <c r="R362" s="62">
        <f t="shared" si="250"/>
        <v>626.33515650399931</v>
      </c>
      <c r="S362" s="62">
        <f t="shared" si="251"/>
        <v>621.81332363039712</v>
      </c>
      <c r="T362" s="62">
        <f t="shared" si="252"/>
        <v>617.38047196989623</v>
      </c>
      <c r="U362" s="62">
        <f t="shared" si="253"/>
        <v>613.34515585949862</v>
      </c>
      <c r="V362" s="62">
        <f t="shared" si="254"/>
        <v>609.91571180572532</v>
      </c>
      <c r="W362" s="62">
        <f t="shared" si="255"/>
        <v>607.1693412972852</v>
      </c>
      <c r="X362" s="62">
        <f t="shared" si="256"/>
        <v>605.0737387067237</v>
      </c>
      <c r="Y362" s="62">
        <f t="shared" si="257"/>
        <v>603.53330273509027</v>
      </c>
      <c r="Z362" s="62">
        <f t="shared" si="258"/>
        <v>602.43191330034256</v>
      </c>
      <c r="AA362" s="62">
        <f t="shared" si="259"/>
        <v>601.66000195939125</v>
      </c>
      <c r="AB362" s="62">
        <f t="shared" si="260"/>
        <v>601.12656377741496</v>
      </c>
      <c r="AC362" s="62">
        <f t="shared" si="261"/>
        <v>600.7615054472443</v>
      </c>
    </row>
    <row r="363" spans="1:29" x14ac:dyDescent="0.25">
      <c r="A363" s="30" t="str">
        <f t="shared" si="233"/>
        <v>Fuel Cost</v>
      </c>
      <c r="B363" s="62">
        <f t="shared" si="234"/>
        <v>0.06</v>
      </c>
      <c r="C363" s="62">
        <f t="shared" si="235"/>
        <v>0.06</v>
      </c>
      <c r="D363" s="62">
        <f t="shared" si="236"/>
        <v>0.06</v>
      </c>
      <c r="E363" s="62">
        <f t="shared" si="237"/>
        <v>0.06</v>
      </c>
      <c r="F363" s="62">
        <f t="shared" si="238"/>
        <v>0.06</v>
      </c>
      <c r="G363" s="62">
        <f t="shared" si="239"/>
        <v>0.06</v>
      </c>
      <c r="H363" s="62">
        <f t="shared" si="240"/>
        <v>0.06</v>
      </c>
      <c r="I363" s="62">
        <f t="shared" si="241"/>
        <v>0.06</v>
      </c>
      <c r="J363" s="62">
        <f t="shared" si="242"/>
        <v>0.06</v>
      </c>
      <c r="K363" s="62">
        <f t="shared" si="243"/>
        <v>0.06</v>
      </c>
      <c r="L363" s="62">
        <f t="shared" si="244"/>
        <v>0.06</v>
      </c>
      <c r="M363" s="62">
        <f t="shared" si="245"/>
        <v>0.06</v>
      </c>
      <c r="N363" s="62">
        <f t="shared" si="246"/>
        <v>0.06</v>
      </c>
      <c r="O363" s="62">
        <f t="shared" si="247"/>
        <v>0.06</v>
      </c>
      <c r="P363" s="62">
        <f t="shared" si="248"/>
        <v>0.06</v>
      </c>
      <c r="Q363" s="62">
        <f t="shared" si="249"/>
        <v>0.06</v>
      </c>
      <c r="R363" s="62">
        <f t="shared" si="250"/>
        <v>0.06</v>
      </c>
      <c r="S363" s="62">
        <f t="shared" si="251"/>
        <v>0.06</v>
      </c>
      <c r="T363" s="62">
        <f t="shared" si="252"/>
        <v>0.06</v>
      </c>
      <c r="U363" s="62">
        <f t="shared" si="253"/>
        <v>0.06</v>
      </c>
      <c r="V363" s="62">
        <f t="shared" si="254"/>
        <v>0.06</v>
      </c>
      <c r="W363" s="62">
        <f t="shared" si="255"/>
        <v>0.06</v>
      </c>
      <c r="X363" s="62">
        <f t="shared" si="256"/>
        <v>0.06</v>
      </c>
      <c r="Y363" s="62">
        <f t="shared" si="257"/>
        <v>0.06</v>
      </c>
      <c r="Z363" s="62">
        <f t="shared" si="258"/>
        <v>0.06</v>
      </c>
      <c r="AA363" s="62">
        <f t="shared" si="259"/>
        <v>0.06</v>
      </c>
      <c r="AB363" s="62">
        <f t="shared" si="260"/>
        <v>0.06</v>
      </c>
      <c r="AC363" s="62">
        <f t="shared" si="261"/>
        <v>0.06</v>
      </c>
    </row>
    <row r="364" spans="1:29" x14ac:dyDescent="0.25">
      <c r="A364" s="30" t="str">
        <f t="shared" si="233"/>
        <v>Emission Cost</v>
      </c>
      <c r="B364" s="62">
        <f>$B344+($C344-$B344)*(1-Q344)</f>
        <v>17.334785285869845</v>
      </c>
      <c r="C364" s="62">
        <f t="shared" ref="C364:AC364" si="262">$B344+($C344-$B344)*(1-R344)</f>
        <v>17.371592778833971</v>
      </c>
      <c r="D364" s="62">
        <f t="shared" si="262"/>
        <v>17.424281885191313</v>
      </c>
      <c r="E364" s="62">
        <f t="shared" si="262"/>
        <v>17.499657357099085</v>
      </c>
      <c r="F364" s="62">
        <f t="shared" si="262"/>
        <v>17.607385538878944</v>
      </c>
      <c r="G364" s="62">
        <f t="shared" si="262"/>
        <v>17.761136935304318</v>
      </c>
      <c r="H364" s="62">
        <f t="shared" si="262"/>
        <v>17.980116643160411</v>
      </c>
      <c r="I364" s="62">
        <f t="shared" si="262"/>
        <v>18.291036437183369</v>
      </c>
      <c r="J364" s="62">
        <f t="shared" si="262"/>
        <v>18.730491688550217</v>
      </c>
      <c r="K364" s="62">
        <f t="shared" si="262"/>
        <v>19.347478933039792</v>
      </c>
      <c r="L364" s="62">
        <f t="shared" si="262"/>
        <v>20.2053151761856</v>
      </c>
      <c r="M364" s="62">
        <f t="shared" si="262"/>
        <v>21.381376573820816</v>
      </c>
      <c r="N364" s="62">
        <f t="shared" si="262"/>
        <v>22.961877070598074</v>
      </c>
      <c r="O364" s="62">
        <f t="shared" si="262"/>
        <v>25.027896550126819</v>
      </c>
      <c r="P364" s="62">
        <f t="shared" si="262"/>
        <v>27.629698881977127</v>
      </c>
      <c r="Q364" s="62">
        <f t="shared" si="262"/>
        <v>30.751786995449869</v>
      </c>
      <c r="R364" s="62">
        <f t="shared" si="262"/>
        <v>34.282161979674356</v>
      </c>
      <c r="S364" s="62">
        <f t="shared" si="262"/>
        <v>38.009164365756064</v>
      </c>
      <c r="T364" s="62">
        <f t="shared" si="262"/>
        <v>41.662826316042121</v>
      </c>
      <c r="U364" s="62">
        <f t="shared" si="262"/>
        <v>44.988829994737316</v>
      </c>
      <c r="V364" s="62">
        <f t="shared" si="262"/>
        <v>47.815459489596307</v>
      </c>
      <c r="W364" s="62">
        <f t="shared" si="262"/>
        <v>50.07908349431699</v>
      </c>
      <c r="X364" s="62">
        <f t="shared" si="262"/>
        <v>51.806329076721653</v>
      </c>
      <c r="Y364" s="62">
        <f t="shared" si="262"/>
        <v>53.075993105085033</v>
      </c>
      <c r="Z364" s="62">
        <f t="shared" si="262"/>
        <v>53.98378451756151</v>
      </c>
      <c r="AA364" s="62">
        <f t="shared" si="262"/>
        <v>54.620012235388991</v>
      </c>
      <c r="AB364" s="62">
        <f t="shared" si="262"/>
        <v>55.059684694019481</v>
      </c>
      <c r="AC364" s="62">
        <f t="shared" si="262"/>
        <v>55.360574467179326</v>
      </c>
    </row>
    <row r="365" spans="1:29" x14ac:dyDescent="0.25">
      <c r="A365" s="30" t="str">
        <f t="shared" si="233"/>
        <v>Lifetime vehicle</v>
      </c>
      <c r="B365" s="62">
        <f>$B345+($C345-$B345)*(1-Q345)</f>
        <v>25</v>
      </c>
      <c r="C365" s="62">
        <f t="shared" ref="C365:L367" si="263">$B345+($C345-$B345)*(1-R345)</f>
        <v>25</v>
      </c>
      <c r="D365" s="62">
        <f t="shared" si="263"/>
        <v>25</v>
      </c>
      <c r="E365" s="62">
        <f t="shared" si="263"/>
        <v>25</v>
      </c>
      <c r="F365" s="62">
        <f t="shared" si="263"/>
        <v>25</v>
      </c>
      <c r="G365" s="62">
        <f t="shared" si="263"/>
        <v>25</v>
      </c>
      <c r="H365" s="62">
        <f t="shared" si="263"/>
        <v>25</v>
      </c>
      <c r="I365" s="62">
        <f t="shared" si="263"/>
        <v>25</v>
      </c>
      <c r="J365" s="62">
        <f t="shared" si="263"/>
        <v>25</v>
      </c>
      <c r="K365" s="62">
        <f t="shared" si="263"/>
        <v>25</v>
      </c>
      <c r="L365" s="62">
        <f t="shared" si="263"/>
        <v>25</v>
      </c>
      <c r="M365" s="62">
        <f t="shared" ref="M365:V367" si="264">$B345+($C345-$B345)*(1-AB345)</f>
        <v>25</v>
      </c>
      <c r="N365" s="62">
        <f t="shared" si="264"/>
        <v>25</v>
      </c>
      <c r="O365" s="62">
        <f t="shared" si="264"/>
        <v>25</v>
      </c>
      <c r="P365" s="62">
        <f t="shared" si="264"/>
        <v>25</v>
      </c>
      <c r="Q365" s="62">
        <f t="shared" si="264"/>
        <v>25</v>
      </c>
      <c r="R365" s="62">
        <f t="shared" si="264"/>
        <v>25</v>
      </c>
      <c r="S365" s="62">
        <f t="shared" si="264"/>
        <v>25</v>
      </c>
      <c r="T365" s="62">
        <f t="shared" si="264"/>
        <v>25</v>
      </c>
      <c r="U365" s="62">
        <f t="shared" si="264"/>
        <v>25</v>
      </c>
      <c r="V365" s="62">
        <f t="shared" si="264"/>
        <v>25</v>
      </c>
      <c r="W365" s="62">
        <f t="shared" ref="W365:AC367" si="265">$B345+($C345-$B345)*(1-AL345)</f>
        <v>25</v>
      </c>
      <c r="X365" s="62">
        <f t="shared" si="265"/>
        <v>25</v>
      </c>
      <c r="Y365" s="62">
        <f t="shared" si="265"/>
        <v>25</v>
      </c>
      <c r="Z365" s="62">
        <f t="shared" si="265"/>
        <v>25</v>
      </c>
      <c r="AA365" s="62">
        <f t="shared" si="265"/>
        <v>25</v>
      </c>
      <c r="AB365" s="62">
        <f t="shared" si="265"/>
        <v>25</v>
      </c>
      <c r="AC365" s="62">
        <f t="shared" si="265"/>
        <v>25</v>
      </c>
    </row>
    <row r="366" spans="1:29" x14ac:dyDescent="0.25">
      <c r="A366" s="30" t="str">
        <f t="shared" si="233"/>
        <v>Lifetime costumization</v>
      </c>
      <c r="B366" s="62">
        <f>$B346+($C346-$B346)*(1-Q346)</f>
        <v>25</v>
      </c>
      <c r="C366" s="62">
        <f t="shared" si="263"/>
        <v>25</v>
      </c>
      <c r="D366" s="62">
        <f t="shared" si="263"/>
        <v>25</v>
      </c>
      <c r="E366" s="62">
        <f t="shared" si="263"/>
        <v>25</v>
      </c>
      <c r="F366" s="62">
        <f t="shared" si="263"/>
        <v>25</v>
      </c>
      <c r="G366" s="62">
        <f t="shared" si="263"/>
        <v>25</v>
      </c>
      <c r="H366" s="62">
        <f t="shared" si="263"/>
        <v>25</v>
      </c>
      <c r="I366" s="62">
        <f t="shared" si="263"/>
        <v>25</v>
      </c>
      <c r="J366" s="62">
        <f t="shared" si="263"/>
        <v>25</v>
      </c>
      <c r="K366" s="62">
        <f t="shared" si="263"/>
        <v>25</v>
      </c>
      <c r="L366" s="62">
        <f t="shared" si="263"/>
        <v>25</v>
      </c>
      <c r="M366" s="62">
        <f t="shared" si="264"/>
        <v>25</v>
      </c>
      <c r="N366" s="62">
        <f t="shared" si="264"/>
        <v>25</v>
      </c>
      <c r="O366" s="62">
        <f t="shared" si="264"/>
        <v>25</v>
      </c>
      <c r="P366" s="62">
        <f t="shared" si="264"/>
        <v>25</v>
      </c>
      <c r="Q366" s="62">
        <f t="shared" si="264"/>
        <v>25</v>
      </c>
      <c r="R366" s="62">
        <f t="shared" si="264"/>
        <v>25</v>
      </c>
      <c r="S366" s="62">
        <f t="shared" si="264"/>
        <v>25</v>
      </c>
      <c r="T366" s="62">
        <f t="shared" si="264"/>
        <v>25</v>
      </c>
      <c r="U366" s="62">
        <f t="shared" si="264"/>
        <v>25</v>
      </c>
      <c r="V366" s="62">
        <f t="shared" si="264"/>
        <v>25</v>
      </c>
      <c r="W366" s="62">
        <f t="shared" si="265"/>
        <v>25</v>
      </c>
      <c r="X366" s="62">
        <f t="shared" si="265"/>
        <v>25</v>
      </c>
      <c r="Y366" s="62">
        <f t="shared" si="265"/>
        <v>25</v>
      </c>
      <c r="Z366" s="62">
        <f t="shared" si="265"/>
        <v>25</v>
      </c>
      <c r="AA366" s="62">
        <f t="shared" si="265"/>
        <v>25</v>
      </c>
      <c r="AB366" s="62">
        <f t="shared" si="265"/>
        <v>25</v>
      </c>
      <c r="AC366" s="62">
        <f t="shared" si="265"/>
        <v>25</v>
      </c>
    </row>
    <row r="367" spans="1:29" x14ac:dyDescent="0.25">
      <c r="A367" s="30" t="str">
        <f t="shared" si="233"/>
        <v>Tonnage .</v>
      </c>
      <c r="B367" s="62">
        <f>$B347+($C347-$B347)*(1-Q347)</f>
        <v>9450</v>
      </c>
      <c r="C367" s="62">
        <f t="shared" si="263"/>
        <v>9450</v>
      </c>
      <c r="D367" s="62">
        <f t="shared" si="263"/>
        <v>9450</v>
      </c>
      <c r="E367" s="62">
        <f t="shared" si="263"/>
        <v>9450</v>
      </c>
      <c r="F367" s="62">
        <f t="shared" si="263"/>
        <v>9450</v>
      </c>
      <c r="G367" s="62">
        <f t="shared" si="263"/>
        <v>9450</v>
      </c>
      <c r="H367" s="62">
        <f t="shared" si="263"/>
        <v>9450</v>
      </c>
      <c r="I367" s="62">
        <f t="shared" si="263"/>
        <v>9450</v>
      </c>
      <c r="J367" s="62">
        <f t="shared" si="263"/>
        <v>9450</v>
      </c>
      <c r="K367" s="62">
        <f t="shared" si="263"/>
        <v>9450</v>
      </c>
      <c r="L367" s="62">
        <f t="shared" si="263"/>
        <v>9450</v>
      </c>
      <c r="M367" s="62">
        <f t="shared" si="264"/>
        <v>9450</v>
      </c>
      <c r="N367" s="62">
        <f t="shared" si="264"/>
        <v>9450</v>
      </c>
      <c r="O367" s="62">
        <f t="shared" si="264"/>
        <v>9450</v>
      </c>
      <c r="P367" s="62">
        <f t="shared" si="264"/>
        <v>9450</v>
      </c>
      <c r="Q367" s="62">
        <f t="shared" si="264"/>
        <v>9450</v>
      </c>
      <c r="R367" s="62">
        <f t="shared" si="264"/>
        <v>9450</v>
      </c>
      <c r="S367" s="62">
        <f t="shared" si="264"/>
        <v>9450</v>
      </c>
      <c r="T367" s="62">
        <f t="shared" si="264"/>
        <v>9450</v>
      </c>
      <c r="U367" s="62">
        <f t="shared" si="264"/>
        <v>9450</v>
      </c>
      <c r="V367" s="62">
        <f t="shared" si="264"/>
        <v>9450</v>
      </c>
      <c r="W367" s="62">
        <f t="shared" si="265"/>
        <v>9450</v>
      </c>
      <c r="X367" s="62">
        <f t="shared" si="265"/>
        <v>9450</v>
      </c>
      <c r="Y367" s="62">
        <f t="shared" si="265"/>
        <v>9450</v>
      </c>
      <c r="Z367" s="62">
        <f t="shared" si="265"/>
        <v>9450</v>
      </c>
      <c r="AA367" s="62">
        <f t="shared" si="265"/>
        <v>9450</v>
      </c>
      <c r="AB367" s="62">
        <f t="shared" si="265"/>
        <v>9450</v>
      </c>
      <c r="AC367" s="62">
        <f t="shared" si="265"/>
        <v>9450</v>
      </c>
    </row>
    <row r="368" spans="1:29" x14ac:dyDescent="0.25">
      <c r="A368" s="30" t="str">
        <f t="shared" si="233"/>
        <v>Market failure (av. utilization)</v>
      </c>
      <c r="B368" s="62">
        <f t="shared" ref="B368:K369" si="266">($B348+($C348-$B348)*(1-Q348))*B$44</f>
        <v>6426.0000000000009</v>
      </c>
      <c r="C368" s="62">
        <f t="shared" si="266"/>
        <v>6426.0000000000009</v>
      </c>
      <c r="D368" s="62">
        <f t="shared" si="266"/>
        <v>6426.0000000000009</v>
      </c>
      <c r="E368" s="62">
        <f t="shared" si="266"/>
        <v>6426.0000000000009</v>
      </c>
      <c r="F368" s="62">
        <f t="shared" si="266"/>
        <v>6426.0000000000009</v>
      </c>
      <c r="G368" s="62">
        <f t="shared" si="266"/>
        <v>6426.0000000000009</v>
      </c>
      <c r="H368" s="62">
        <f t="shared" si="266"/>
        <v>6426.0000000000009</v>
      </c>
      <c r="I368" s="62">
        <f t="shared" si="266"/>
        <v>6426.0000000000009</v>
      </c>
      <c r="J368" s="62">
        <f t="shared" si="266"/>
        <v>6426.0000000000009</v>
      </c>
      <c r="K368" s="62">
        <f t="shared" si="266"/>
        <v>6426.0000000000009</v>
      </c>
      <c r="L368" s="62">
        <f t="shared" ref="L368:U369" si="267">($B348+($C348-$B348)*(1-AA348))*L$44</f>
        <v>6426.0000000000009</v>
      </c>
      <c r="M368" s="62">
        <f t="shared" si="267"/>
        <v>6426.0000000000009</v>
      </c>
      <c r="N368" s="62">
        <f t="shared" si="267"/>
        <v>6426.0000000000009</v>
      </c>
      <c r="O368" s="62">
        <f t="shared" si="267"/>
        <v>6426.0000000000009</v>
      </c>
      <c r="P368" s="62">
        <f t="shared" si="267"/>
        <v>6426.0000000000009</v>
      </c>
      <c r="Q368" s="62">
        <f t="shared" si="267"/>
        <v>6426.0000000000009</v>
      </c>
      <c r="R368" s="62">
        <f t="shared" si="267"/>
        <v>6426.0000000000009</v>
      </c>
      <c r="S368" s="62">
        <f t="shared" si="267"/>
        <v>6426.0000000000009</v>
      </c>
      <c r="T368" s="62">
        <f t="shared" si="267"/>
        <v>6426.0000000000009</v>
      </c>
      <c r="U368" s="62">
        <f t="shared" si="267"/>
        <v>6426.0000000000009</v>
      </c>
      <c r="V368" s="62">
        <f t="shared" ref="V368:AC369" si="268">($B348+($C348-$B348)*(1-AK348))*V$44</f>
        <v>6426.0000000000009</v>
      </c>
      <c r="W368" s="62">
        <f t="shared" si="268"/>
        <v>6426.0000000000009</v>
      </c>
      <c r="X368" s="62">
        <f t="shared" si="268"/>
        <v>6426.0000000000009</v>
      </c>
      <c r="Y368" s="62">
        <f t="shared" si="268"/>
        <v>6426.0000000000009</v>
      </c>
      <c r="Z368" s="62">
        <f t="shared" si="268"/>
        <v>6426.0000000000009</v>
      </c>
      <c r="AA368" s="62">
        <f t="shared" si="268"/>
        <v>6426.0000000000009</v>
      </c>
      <c r="AB368" s="62">
        <f t="shared" si="268"/>
        <v>6426.0000000000009</v>
      </c>
      <c r="AC368" s="62">
        <f t="shared" si="268"/>
        <v>6426.0000000000009</v>
      </c>
    </row>
    <row r="369" spans="1:29" x14ac:dyDescent="0.25">
      <c r="A369" s="30" t="s">
        <v>73</v>
      </c>
      <c r="B369" s="62">
        <f t="shared" si="266"/>
        <v>0</v>
      </c>
      <c r="C369" s="62">
        <f t="shared" si="266"/>
        <v>0</v>
      </c>
      <c r="D369" s="62">
        <f t="shared" si="266"/>
        <v>0</v>
      </c>
      <c r="E369" s="62">
        <f t="shared" si="266"/>
        <v>0</v>
      </c>
      <c r="F369" s="62">
        <f t="shared" si="266"/>
        <v>0</v>
      </c>
      <c r="G369" s="62">
        <f t="shared" si="266"/>
        <v>0</v>
      </c>
      <c r="H369" s="62">
        <f t="shared" si="266"/>
        <v>0</v>
      </c>
      <c r="I369" s="62">
        <f t="shared" si="266"/>
        <v>0</v>
      </c>
      <c r="J369" s="62">
        <f t="shared" si="266"/>
        <v>0</v>
      </c>
      <c r="K369" s="62">
        <f t="shared" si="266"/>
        <v>0</v>
      </c>
      <c r="L369" s="62">
        <f t="shared" si="267"/>
        <v>0</v>
      </c>
      <c r="M369" s="62">
        <f t="shared" si="267"/>
        <v>0</v>
      </c>
      <c r="N369" s="62">
        <f t="shared" si="267"/>
        <v>0</v>
      </c>
      <c r="O369" s="62">
        <f t="shared" si="267"/>
        <v>0</v>
      </c>
      <c r="P369" s="62">
        <f t="shared" si="267"/>
        <v>0</v>
      </c>
      <c r="Q369" s="62">
        <f t="shared" si="267"/>
        <v>0</v>
      </c>
      <c r="R369" s="62">
        <f t="shared" si="267"/>
        <v>0</v>
      </c>
      <c r="S369" s="62">
        <f t="shared" si="267"/>
        <v>0</v>
      </c>
      <c r="T369" s="62">
        <f t="shared" si="267"/>
        <v>0</v>
      </c>
      <c r="U369" s="62">
        <f t="shared" si="267"/>
        <v>0</v>
      </c>
      <c r="V369" s="62">
        <f t="shared" si="268"/>
        <v>0</v>
      </c>
      <c r="W369" s="62">
        <f t="shared" si="268"/>
        <v>0</v>
      </c>
      <c r="X369" s="62">
        <f t="shared" si="268"/>
        <v>0</v>
      </c>
      <c r="Y369" s="62">
        <f t="shared" si="268"/>
        <v>0</v>
      </c>
      <c r="Z369" s="62">
        <f t="shared" si="268"/>
        <v>0</v>
      </c>
      <c r="AA369" s="62">
        <f t="shared" si="268"/>
        <v>0</v>
      </c>
      <c r="AB369" s="62">
        <f t="shared" si="268"/>
        <v>0</v>
      </c>
      <c r="AC369" s="62">
        <f t="shared" si="268"/>
        <v>0</v>
      </c>
    </row>
    <row r="370" spans="1:29" x14ac:dyDescent="0.25">
      <c r="A370" s="30" t="str">
        <f>A350</f>
        <v>Annual Mileage</v>
      </c>
      <c r="B370" s="62">
        <f t="shared" ref="B370:AC370" si="269">$B350+($C350-$B350)*(1-Q350)</f>
        <v>120000</v>
      </c>
      <c r="C370" s="62">
        <f t="shared" si="269"/>
        <v>120000</v>
      </c>
      <c r="D370" s="62">
        <f t="shared" si="269"/>
        <v>120000</v>
      </c>
      <c r="E370" s="62">
        <f t="shared" si="269"/>
        <v>120000</v>
      </c>
      <c r="F370" s="62">
        <f t="shared" si="269"/>
        <v>120000</v>
      </c>
      <c r="G370" s="62">
        <f t="shared" si="269"/>
        <v>120000</v>
      </c>
      <c r="H370" s="62">
        <f t="shared" si="269"/>
        <v>120000</v>
      </c>
      <c r="I370" s="62">
        <f t="shared" si="269"/>
        <v>120000</v>
      </c>
      <c r="J370" s="62">
        <f t="shared" si="269"/>
        <v>120000</v>
      </c>
      <c r="K370" s="62">
        <f t="shared" si="269"/>
        <v>120000</v>
      </c>
      <c r="L370" s="62">
        <f t="shared" si="269"/>
        <v>120000</v>
      </c>
      <c r="M370" s="62">
        <f t="shared" si="269"/>
        <v>120000</v>
      </c>
      <c r="N370" s="62">
        <f t="shared" si="269"/>
        <v>120000</v>
      </c>
      <c r="O370" s="62">
        <f t="shared" si="269"/>
        <v>120000</v>
      </c>
      <c r="P370" s="62">
        <f t="shared" si="269"/>
        <v>120000</v>
      </c>
      <c r="Q370" s="62">
        <f t="shared" si="269"/>
        <v>120000</v>
      </c>
      <c r="R370" s="62">
        <f t="shared" si="269"/>
        <v>120000</v>
      </c>
      <c r="S370" s="62">
        <f t="shared" si="269"/>
        <v>120000</v>
      </c>
      <c r="T370" s="62">
        <f t="shared" si="269"/>
        <v>120000</v>
      </c>
      <c r="U370" s="62">
        <f t="shared" si="269"/>
        <v>120000</v>
      </c>
      <c r="V370" s="62">
        <f t="shared" si="269"/>
        <v>120000</v>
      </c>
      <c r="W370" s="62">
        <f t="shared" si="269"/>
        <v>120000</v>
      </c>
      <c r="X370" s="62">
        <f t="shared" si="269"/>
        <v>120000</v>
      </c>
      <c r="Y370" s="62">
        <f t="shared" si="269"/>
        <v>120000</v>
      </c>
      <c r="Z370" s="62">
        <f t="shared" si="269"/>
        <v>120000</v>
      </c>
      <c r="AA370" s="62">
        <f t="shared" si="269"/>
        <v>120000</v>
      </c>
      <c r="AB370" s="62">
        <f t="shared" si="269"/>
        <v>120000</v>
      </c>
      <c r="AC370" s="62">
        <f t="shared" si="269"/>
        <v>120000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1173400.7731841092</v>
      </c>
      <c r="C373" s="63">
        <f t="shared" ref="C373:AC373" si="270">((1+C358)^C365)*C358/(((1+C358)^C365)-1)*(C354)</f>
        <v>1173400.7731841092</v>
      </c>
      <c r="D373" s="63">
        <f t="shared" si="270"/>
        <v>1173400.7731841092</v>
      </c>
      <c r="E373" s="63">
        <f t="shared" si="270"/>
        <v>1173400.7731841092</v>
      </c>
      <c r="F373" s="63">
        <f t="shared" si="270"/>
        <v>1173400.7731841092</v>
      </c>
      <c r="G373" s="63">
        <f t="shared" si="270"/>
        <v>1173400.7731841092</v>
      </c>
      <c r="H373" s="63">
        <f t="shared" si="270"/>
        <v>1173400.7731841092</v>
      </c>
      <c r="I373" s="63">
        <f t="shared" si="270"/>
        <v>1173400.7731841092</v>
      </c>
      <c r="J373" s="63">
        <f t="shared" si="270"/>
        <v>1173400.7731841092</v>
      </c>
      <c r="K373" s="63">
        <f t="shared" si="270"/>
        <v>1173400.7731841092</v>
      </c>
      <c r="L373" s="63">
        <f t="shared" si="270"/>
        <v>1173400.7731841092</v>
      </c>
      <c r="M373" s="63">
        <f t="shared" si="270"/>
        <v>1173400.7731841092</v>
      </c>
      <c r="N373" s="63">
        <f t="shared" si="270"/>
        <v>1173400.7731841092</v>
      </c>
      <c r="O373" s="63">
        <f t="shared" si="270"/>
        <v>1173400.7731841092</v>
      </c>
      <c r="P373" s="63">
        <f t="shared" si="270"/>
        <v>1173400.7731841092</v>
      </c>
      <c r="Q373" s="63">
        <f t="shared" si="270"/>
        <v>1173400.7731841092</v>
      </c>
      <c r="R373" s="63">
        <f t="shared" si="270"/>
        <v>1173400.7731841092</v>
      </c>
      <c r="S373" s="63">
        <f t="shared" si="270"/>
        <v>1173400.7731841092</v>
      </c>
      <c r="T373" s="63">
        <f t="shared" si="270"/>
        <v>1173400.7731841092</v>
      </c>
      <c r="U373" s="63">
        <f t="shared" si="270"/>
        <v>1173400.7731841092</v>
      </c>
      <c r="V373" s="63">
        <f t="shared" si="270"/>
        <v>1173400.7731841092</v>
      </c>
      <c r="W373" s="63">
        <f t="shared" si="270"/>
        <v>1173400.7731841092</v>
      </c>
      <c r="X373" s="63">
        <f t="shared" si="270"/>
        <v>1173400.7731841092</v>
      </c>
      <c r="Y373" s="63">
        <f t="shared" si="270"/>
        <v>1173400.7731841092</v>
      </c>
      <c r="Z373" s="63">
        <f t="shared" si="270"/>
        <v>1173400.7731841092</v>
      </c>
      <c r="AA373" s="63">
        <f t="shared" si="270"/>
        <v>1173400.7731841092</v>
      </c>
      <c r="AB373" s="63">
        <f t="shared" si="270"/>
        <v>1173400.7731841092</v>
      </c>
      <c r="AC373" s="63">
        <f t="shared" si="270"/>
        <v>1173400.7731841092</v>
      </c>
    </row>
    <row r="374" spans="1:29" x14ac:dyDescent="0.25">
      <c r="A374" s="30" t="str">
        <f>A355</f>
        <v>Residual value (vehicle)</v>
      </c>
      <c r="B374" s="62">
        <f>((1+B358)^B365)*B358/(((1+B358)^B365)-1)*(B355)</f>
        <v>-117211.22297816433</v>
      </c>
      <c r="C374" s="62">
        <f t="shared" ref="C374:AC374" si="271">((1+C358)^C365)*C358/(((1+C358)^C365)-1)*(C355)</f>
        <v>-117155.47750703427</v>
      </c>
      <c r="D374" s="62">
        <f t="shared" si="271"/>
        <v>-117075.67910674184</v>
      </c>
      <c r="E374" s="62">
        <f t="shared" si="271"/>
        <v>-116961.52188344915</v>
      </c>
      <c r="F374" s="62">
        <f t="shared" si="271"/>
        <v>-116798.36602132194</v>
      </c>
      <c r="G374" s="62">
        <f t="shared" si="271"/>
        <v>-116565.50734662244</v>
      </c>
      <c r="H374" s="62">
        <f t="shared" si="271"/>
        <v>-116233.85946736432</v>
      </c>
      <c r="I374" s="62">
        <f t="shared" si="271"/>
        <v>-115762.96702113429</v>
      </c>
      <c r="J374" s="62">
        <f t="shared" si="271"/>
        <v>-115097.40579826315</v>
      </c>
      <c r="K374" s="62">
        <f t="shared" si="271"/>
        <v>-114162.96984907117</v>
      </c>
      <c r="L374" s="62">
        <f t="shared" si="271"/>
        <v>-112863.76466894078</v>
      </c>
      <c r="M374" s="62">
        <f t="shared" si="271"/>
        <v>-111082.60297034449</v>
      </c>
      <c r="N374" s="62">
        <f t="shared" si="271"/>
        <v>-108688.91250900239</v>
      </c>
      <c r="O374" s="62">
        <f t="shared" si="271"/>
        <v>-105559.89664903973</v>
      </c>
      <c r="P374" s="62">
        <f t="shared" si="271"/>
        <v>-101619.43004574107</v>
      </c>
      <c r="Q374" s="62">
        <f t="shared" si="271"/>
        <v>-96890.983232894243</v>
      </c>
      <c r="R374" s="62">
        <f t="shared" si="271"/>
        <v>-91544.180152521745</v>
      </c>
      <c r="S374" s="62">
        <f t="shared" si="271"/>
        <v>-85899.582077953528</v>
      </c>
      <c r="T374" s="62">
        <f t="shared" si="271"/>
        <v>-80366.059135568226</v>
      </c>
      <c r="U374" s="62">
        <f t="shared" si="271"/>
        <v>-75328.779301543953</v>
      </c>
      <c r="V374" s="62">
        <f t="shared" si="271"/>
        <v>-71047.808765066002</v>
      </c>
      <c r="W374" s="62">
        <f t="shared" si="271"/>
        <v>-67619.518043732241</v>
      </c>
      <c r="X374" s="62">
        <f t="shared" si="271"/>
        <v>-65003.580064954105</v>
      </c>
      <c r="Y374" s="62">
        <f t="shared" si="271"/>
        <v>-63080.655852023017</v>
      </c>
      <c r="Z374" s="62">
        <f t="shared" si="271"/>
        <v>-61705.792858076449</v>
      </c>
      <c r="AA374" s="62">
        <f t="shared" si="271"/>
        <v>-60742.216938606354</v>
      </c>
      <c r="AB374" s="62">
        <f t="shared" si="271"/>
        <v>-60076.3267522479</v>
      </c>
      <c r="AC374" s="62">
        <f t="shared" si="271"/>
        <v>-59620.624915142049</v>
      </c>
    </row>
    <row r="375" spans="1:29" x14ac:dyDescent="0.25">
      <c r="A375" s="30" t="str">
        <f>A356</f>
        <v>Capex costumization</v>
      </c>
      <c r="B375" s="62">
        <f>((1+B358)^B366)*B358/(((1+B358)^B366)-1)*(B356)</f>
        <v>78226.718212273947</v>
      </c>
      <c r="C375" s="62">
        <f t="shared" ref="C375:AC375" si="272">((1+C358)^C366)*C358/(((1+C358)^C366)-1)*(C356)</f>
        <v>78226.718212273947</v>
      </c>
      <c r="D375" s="62">
        <f t="shared" si="272"/>
        <v>78226.718212273947</v>
      </c>
      <c r="E375" s="62">
        <f t="shared" si="272"/>
        <v>78226.718212273947</v>
      </c>
      <c r="F375" s="62">
        <f t="shared" si="272"/>
        <v>78226.718212273947</v>
      </c>
      <c r="G375" s="62">
        <f t="shared" si="272"/>
        <v>78226.718212273947</v>
      </c>
      <c r="H375" s="62">
        <f t="shared" si="272"/>
        <v>78226.718212273947</v>
      </c>
      <c r="I375" s="62">
        <f t="shared" si="272"/>
        <v>78226.718212273947</v>
      </c>
      <c r="J375" s="62">
        <f t="shared" si="272"/>
        <v>78226.718212273947</v>
      </c>
      <c r="K375" s="62">
        <f t="shared" si="272"/>
        <v>78226.718212273947</v>
      </c>
      <c r="L375" s="62">
        <f t="shared" si="272"/>
        <v>78226.718212273947</v>
      </c>
      <c r="M375" s="62">
        <f t="shared" si="272"/>
        <v>78226.718212273947</v>
      </c>
      <c r="N375" s="62">
        <f t="shared" si="272"/>
        <v>78226.718212273947</v>
      </c>
      <c r="O375" s="62">
        <f t="shared" si="272"/>
        <v>78226.718212273947</v>
      </c>
      <c r="P375" s="62">
        <f t="shared" si="272"/>
        <v>78226.718212273947</v>
      </c>
      <c r="Q375" s="62">
        <f t="shared" si="272"/>
        <v>78226.718212273947</v>
      </c>
      <c r="R375" s="62">
        <f t="shared" si="272"/>
        <v>78226.718212273947</v>
      </c>
      <c r="S375" s="62">
        <f t="shared" si="272"/>
        <v>78226.718212273947</v>
      </c>
      <c r="T375" s="62">
        <f t="shared" si="272"/>
        <v>78226.718212273947</v>
      </c>
      <c r="U375" s="62">
        <f t="shared" si="272"/>
        <v>78226.718212273947</v>
      </c>
      <c r="V375" s="62">
        <f t="shared" si="272"/>
        <v>78226.718212273947</v>
      </c>
      <c r="W375" s="62">
        <f t="shared" si="272"/>
        <v>78226.718212273947</v>
      </c>
      <c r="X375" s="62">
        <f t="shared" si="272"/>
        <v>78226.718212273947</v>
      </c>
      <c r="Y375" s="62">
        <f t="shared" si="272"/>
        <v>78226.718212273947</v>
      </c>
      <c r="Z375" s="62">
        <f t="shared" si="272"/>
        <v>78226.718212273947</v>
      </c>
      <c r="AA375" s="62">
        <f t="shared" si="272"/>
        <v>78226.718212273947</v>
      </c>
      <c r="AB375" s="62">
        <f t="shared" si="272"/>
        <v>78226.718212273947</v>
      </c>
      <c r="AC375" s="62">
        <f t="shared" si="272"/>
        <v>78226.718212273947</v>
      </c>
    </row>
    <row r="376" spans="1:29" x14ac:dyDescent="0.25">
      <c r="A376" s="30" t="str">
        <f>A357</f>
        <v>Residual value (costumization)</v>
      </c>
      <c r="B376" s="62">
        <f>((1+B358)^B366)*B358/(((1+B358)^B366)-1)*(B357)</f>
        <v>-7822.6718212273945</v>
      </c>
      <c r="C376" s="62">
        <f t="shared" ref="C376:AC376" si="273">((1+C358)^C366)*C358/(((1+C358)^C366)-1)*(C357)</f>
        <v>-7822.6718212273945</v>
      </c>
      <c r="D376" s="62">
        <f t="shared" si="273"/>
        <v>-7822.6718212273945</v>
      </c>
      <c r="E376" s="62">
        <f t="shared" si="273"/>
        <v>-7822.6718212273945</v>
      </c>
      <c r="F376" s="62">
        <f t="shared" si="273"/>
        <v>-7822.6718212273945</v>
      </c>
      <c r="G376" s="62">
        <f t="shared" si="273"/>
        <v>-7822.6718212273945</v>
      </c>
      <c r="H376" s="62">
        <f t="shared" si="273"/>
        <v>-7822.6718212273945</v>
      </c>
      <c r="I376" s="62">
        <f t="shared" si="273"/>
        <v>-7822.6718212273945</v>
      </c>
      <c r="J376" s="62">
        <f t="shared" si="273"/>
        <v>-7822.6718212273945</v>
      </c>
      <c r="K376" s="62">
        <f t="shared" si="273"/>
        <v>-7822.6718212273945</v>
      </c>
      <c r="L376" s="62">
        <f t="shared" si="273"/>
        <v>-7822.6718212273945</v>
      </c>
      <c r="M376" s="62">
        <f t="shared" si="273"/>
        <v>-7822.6718212273945</v>
      </c>
      <c r="N376" s="62">
        <f t="shared" si="273"/>
        <v>-7822.6718212273945</v>
      </c>
      <c r="O376" s="62">
        <f t="shared" si="273"/>
        <v>-7822.6718212273945</v>
      </c>
      <c r="P376" s="62">
        <f t="shared" si="273"/>
        <v>-7822.6718212273945</v>
      </c>
      <c r="Q376" s="62">
        <f t="shared" si="273"/>
        <v>-7822.6718212273945</v>
      </c>
      <c r="R376" s="62">
        <f t="shared" si="273"/>
        <v>-7822.6718212273945</v>
      </c>
      <c r="S376" s="62">
        <f t="shared" si="273"/>
        <v>-7822.6718212273945</v>
      </c>
      <c r="T376" s="62">
        <f t="shared" si="273"/>
        <v>-7822.6718212273945</v>
      </c>
      <c r="U376" s="62">
        <f t="shared" si="273"/>
        <v>-7822.6718212273945</v>
      </c>
      <c r="V376" s="62">
        <f t="shared" si="273"/>
        <v>-7822.6718212273945</v>
      </c>
      <c r="W376" s="62">
        <f t="shared" si="273"/>
        <v>-7822.6718212273945</v>
      </c>
      <c r="X376" s="62">
        <f t="shared" si="273"/>
        <v>-7822.6718212273945</v>
      </c>
      <c r="Y376" s="62">
        <f t="shared" si="273"/>
        <v>-7822.6718212273945</v>
      </c>
      <c r="Z376" s="62">
        <f t="shared" si="273"/>
        <v>-7822.6718212273945</v>
      </c>
      <c r="AA376" s="62">
        <f t="shared" si="273"/>
        <v>-7822.6718212273945</v>
      </c>
      <c r="AB376" s="62">
        <f t="shared" si="273"/>
        <v>-7822.6718212273945</v>
      </c>
      <c r="AC376" s="62">
        <f t="shared" si="273"/>
        <v>-7822.6718212273945</v>
      </c>
    </row>
    <row r="377" spans="1:29" x14ac:dyDescent="0.25">
      <c r="A377" s="30" t="str">
        <f t="shared" ref="A377:AC377" si="274">A359</f>
        <v>Opex fix (admin, crew, insurance)</v>
      </c>
      <c r="B377" s="62">
        <f t="shared" si="274"/>
        <v>1208235.294117647</v>
      </c>
      <c r="C377" s="62">
        <f t="shared" si="274"/>
        <v>1208235.294117647</v>
      </c>
      <c r="D377" s="62">
        <f t="shared" si="274"/>
        <v>1208235.294117647</v>
      </c>
      <c r="E377" s="62">
        <f t="shared" si="274"/>
        <v>1208235.294117647</v>
      </c>
      <c r="F377" s="62">
        <f t="shared" si="274"/>
        <v>1208235.294117647</v>
      </c>
      <c r="G377" s="62">
        <f t="shared" si="274"/>
        <v>1208235.294117647</v>
      </c>
      <c r="H377" s="62">
        <f t="shared" si="274"/>
        <v>1208235.294117647</v>
      </c>
      <c r="I377" s="62">
        <f t="shared" si="274"/>
        <v>1208235.294117647</v>
      </c>
      <c r="J377" s="62">
        <f t="shared" si="274"/>
        <v>1208235.294117647</v>
      </c>
      <c r="K377" s="62">
        <f t="shared" si="274"/>
        <v>1208235.294117647</v>
      </c>
      <c r="L377" s="62">
        <f t="shared" si="274"/>
        <v>1208235.294117647</v>
      </c>
      <c r="M377" s="62">
        <f t="shared" si="274"/>
        <v>1208235.294117647</v>
      </c>
      <c r="N377" s="62">
        <f t="shared" si="274"/>
        <v>1208235.294117647</v>
      </c>
      <c r="O377" s="62">
        <f t="shared" si="274"/>
        <v>1208235.294117647</v>
      </c>
      <c r="P377" s="62">
        <f t="shared" si="274"/>
        <v>1208235.294117647</v>
      </c>
      <c r="Q377" s="62">
        <f t="shared" si="274"/>
        <v>1208235.294117647</v>
      </c>
      <c r="R377" s="62">
        <f t="shared" si="274"/>
        <v>1208235.294117647</v>
      </c>
      <c r="S377" s="62">
        <f t="shared" si="274"/>
        <v>1208235.294117647</v>
      </c>
      <c r="T377" s="62">
        <f t="shared" si="274"/>
        <v>1208235.294117647</v>
      </c>
      <c r="U377" s="62">
        <f t="shared" si="274"/>
        <v>1208235.294117647</v>
      </c>
      <c r="V377" s="62">
        <f t="shared" si="274"/>
        <v>1208235.294117647</v>
      </c>
      <c r="W377" s="62">
        <f t="shared" si="274"/>
        <v>1208235.294117647</v>
      </c>
      <c r="X377" s="62">
        <f t="shared" si="274"/>
        <v>1208235.294117647</v>
      </c>
      <c r="Y377" s="62">
        <f t="shared" si="274"/>
        <v>1208235.294117647</v>
      </c>
      <c r="Z377" s="62">
        <f t="shared" si="274"/>
        <v>1208235.294117647</v>
      </c>
      <c r="AA377" s="62">
        <f t="shared" si="274"/>
        <v>1208235.294117647</v>
      </c>
      <c r="AB377" s="62">
        <f t="shared" si="274"/>
        <v>1208235.294117647</v>
      </c>
      <c r="AC377" s="62">
        <f t="shared" si="274"/>
        <v>1208235.294117647</v>
      </c>
    </row>
    <row r="378" spans="1:29" x14ac:dyDescent="0.25">
      <c r="A378" s="30" t="str">
        <f t="shared" ref="A378:AC378" si="275">A360</f>
        <v>Opex maintenance &amp; repair</v>
      </c>
      <c r="B378" s="62">
        <f t="shared" si="275"/>
        <v>488235.29411764705</v>
      </c>
      <c r="C378" s="62">
        <f t="shared" si="275"/>
        <v>488235.29411764705</v>
      </c>
      <c r="D378" s="62">
        <f t="shared" si="275"/>
        <v>488235.29411764705</v>
      </c>
      <c r="E378" s="62">
        <f t="shared" si="275"/>
        <v>488235.29411764705</v>
      </c>
      <c r="F378" s="62">
        <f t="shared" si="275"/>
        <v>488235.29411764705</v>
      </c>
      <c r="G378" s="62">
        <f t="shared" si="275"/>
        <v>488235.29411764705</v>
      </c>
      <c r="H378" s="62">
        <f t="shared" si="275"/>
        <v>488235.29411764705</v>
      </c>
      <c r="I378" s="62">
        <f t="shared" si="275"/>
        <v>488235.29411764705</v>
      </c>
      <c r="J378" s="62">
        <f t="shared" si="275"/>
        <v>488235.29411764705</v>
      </c>
      <c r="K378" s="62">
        <f t="shared" si="275"/>
        <v>488235.29411764705</v>
      </c>
      <c r="L378" s="62">
        <f t="shared" si="275"/>
        <v>488235.29411764705</v>
      </c>
      <c r="M378" s="62">
        <f t="shared" si="275"/>
        <v>488235.29411764705</v>
      </c>
      <c r="N378" s="62">
        <f t="shared" si="275"/>
        <v>488235.29411764705</v>
      </c>
      <c r="O378" s="62">
        <f t="shared" si="275"/>
        <v>488235.29411764705</v>
      </c>
      <c r="P378" s="62">
        <f t="shared" si="275"/>
        <v>488235.29411764705</v>
      </c>
      <c r="Q378" s="62">
        <f t="shared" si="275"/>
        <v>488235.29411764705</v>
      </c>
      <c r="R378" s="62">
        <f t="shared" si="275"/>
        <v>488235.29411764705</v>
      </c>
      <c r="S378" s="62">
        <f t="shared" si="275"/>
        <v>488235.29411764705</v>
      </c>
      <c r="T378" s="62">
        <f t="shared" si="275"/>
        <v>488235.29411764705</v>
      </c>
      <c r="U378" s="62">
        <f t="shared" si="275"/>
        <v>488235.29411764705</v>
      </c>
      <c r="V378" s="62">
        <f t="shared" si="275"/>
        <v>488235.29411764705</v>
      </c>
      <c r="W378" s="62">
        <f t="shared" si="275"/>
        <v>488235.29411764705</v>
      </c>
      <c r="X378" s="62">
        <f t="shared" si="275"/>
        <v>488235.29411764705</v>
      </c>
      <c r="Y378" s="62">
        <f t="shared" si="275"/>
        <v>488235.29411764705</v>
      </c>
      <c r="Z378" s="62">
        <f t="shared" si="275"/>
        <v>488235.29411764705</v>
      </c>
      <c r="AA378" s="62">
        <f t="shared" si="275"/>
        <v>488235.29411764705</v>
      </c>
      <c r="AB378" s="62">
        <f t="shared" si="275"/>
        <v>488235.29411764705</v>
      </c>
      <c r="AC378" s="62">
        <f t="shared" si="275"/>
        <v>488235.29411764705</v>
      </c>
    </row>
    <row r="379" spans="1:29" x14ac:dyDescent="0.25">
      <c r="A379" s="30" t="str">
        <f>A361</f>
        <v>Opex var (mode-fees)</v>
      </c>
      <c r="B379" s="62">
        <f>B361*B370</f>
        <v>97536.682916217906</v>
      </c>
      <c r="C379" s="62">
        <f t="shared" ref="C379:AC379" si="276">C361*C370</f>
        <v>97536.682916217906</v>
      </c>
      <c r="D379" s="62">
        <f t="shared" si="276"/>
        <v>97536.682916217906</v>
      </c>
      <c r="E379" s="62">
        <f t="shared" si="276"/>
        <v>97536.682916217906</v>
      </c>
      <c r="F379" s="62">
        <f t="shared" si="276"/>
        <v>97536.682916217906</v>
      </c>
      <c r="G379" s="62">
        <f t="shared" si="276"/>
        <v>97536.682916217906</v>
      </c>
      <c r="H379" s="62">
        <f t="shared" si="276"/>
        <v>97536.682916217906</v>
      </c>
      <c r="I379" s="62">
        <f t="shared" si="276"/>
        <v>97536.682916217906</v>
      </c>
      <c r="J379" s="62">
        <f t="shared" si="276"/>
        <v>97536.682916217906</v>
      </c>
      <c r="K379" s="62">
        <f t="shared" si="276"/>
        <v>97536.682916217906</v>
      </c>
      <c r="L379" s="62">
        <f t="shared" si="276"/>
        <v>97536.682916217906</v>
      </c>
      <c r="M379" s="62">
        <f t="shared" si="276"/>
        <v>97536.682916217906</v>
      </c>
      <c r="N379" s="62">
        <f t="shared" si="276"/>
        <v>97536.682916217906</v>
      </c>
      <c r="O379" s="62">
        <f t="shared" si="276"/>
        <v>97536.682916217906</v>
      </c>
      <c r="P379" s="62">
        <f t="shared" si="276"/>
        <v>97536.682916217906</v>
      </c>
      <c r="Q379" s="62">
        <f t="shared" si="276"/>
        <v>97536.682916217906</v>
      </c>
      <c r="R379" s="62">
        <f t="shared" si="276"/>
        <v>97536.682916217906</v>
      </c>
      <c r="S379" s="62">
        <f t="shared" si="276"/>
        <v>97536.682916217906</v>
      </c>
      <c r="T379" s="62">
        <f t="shared" si="276"/>
        <v>97536.682916217906</v>
      </c>
      <c r="U379" s="62">
        <f t="shared" si="276"/>
        <v>97536.682916217906</v>
      </c>
      <c r="V379" s="62">
        <f t="shared" si="276"/>
        <v>97536.682916217906</v>
      </c>
      <c r="W379" s="62">
        <f t="shared" si="276"/>
        <v>97536.682916217906</v>
      </c>
      <c r="X379" s="62">
        <f t="shared" si="276"/>
        <v>97536.682916217906</v>
      </c>
      <c r="Y379" s="62">
        <f t="shared" si="276"/>
        <v>97536.682916217906</v>
      </c>
      <c r="Z379" s="62">
        <f t="shared" si="276"/>
        <v>97536.682916217906</v>
      </c>
      <c r="AA379" s="62">
        <f t="shared" si="276"/>
        <v>97536.682916217906</v>
      </c>
      <c r="AB379" s="62">
        <f t="shared" si="276"/>
        <v>97536.682916217906</v>
      </c>
      <c r="AC379" s="62">
        <f t="shared" si="276"/>
        <v>97536.682916217906</v>
      </c>
    </row>
    <row r="380" spans="1:29" x14ac:dyDescent="0.25">
      <c r="A380" s="30" t="str">
        <f>A363</f>
        <v>Fuel Cost</v>
      </c>
      <c r="B380" s="62">
        <f>B362*B363*B370</f>
        <v>4657656.7874551304</v>
      </c>
      <c r="C380" s="62">
        <f t="shared" ref="C380:AC380" si="277">C362*C363*C370</f>
        <v>4657335.2559228269</v>
      </c>
      <c r="D380" s="62">
        <f t="shared" si="277"/>
        <v>4656874.9906958723</v>
      </c>
      <c r="E380" s="62">
        <f t="shared" si="277"/>
        <v>4656216.5489214156</v>
      </c>
      <c r="F380" s="62">
        <f t="shared" si="277"/>
        <v>4655275.4903333243</v>
      </c>
      <c r="G380" s="62">
        <f t="shared" si="277"/>
        <v>4653932.3963569254</v>
      </c>
      <c r="H380" s="62">
        <f t="shared" si="277"/>
        <v>4652019.501037512</v>
      </c>
      <c r="I380" s="62">
        <f t="shared" si="277"/>
        <v>4649303.4639009116</v>
      </c>
      <c r="J380" s="62">
        <f t="shared" si="277"/>
        <v>4645464.6064028293</v>
      </c>
      <c r="K380" s="62">
        <f t="shared" si="277"/>
        <v>4640074.9197342508</v>
      </c>
      <c r="L380" s="62">
        <f t="shared" si="277"/>
        <v>4632581.2987480788</v>
      </c>
      <c r="M380" s="62">
        <f t="shared" si="277"/>
        <v>4622307.8247129563</v>
      </c>
      <c r="N380" s="62">
        <f t="shared" si="277"/>
        <v>4608501.3764707223</v>
      </c>
      <c r="O380" s="62">
        <f t="shared" si="277"/>
        <v>4590453.6814084789</v>
      </c>
      <c r="P380" s="62">
        <f t="shared" si="277"/>
        <v>4567725.6599339778</v>
      </c>
      <c r="Q380" s="62">
        <f t="shared" si="277"/>
        <v>4540452.686572534</v>
      </c>
      <c r="R380" s="62">
        <f t="shared" si="277"/>
        <v>4509613.1268287944</v>
      </c>
      <c r="S380" s="62">
        <f t="shared" si="277"/>
        <v>4477055.930138859</v>
      </c>
      <c r="T380" s="62">
        <f t="shared" si="277"/>
        <v>4445139.3981832527</v>
      </c>
      <c r="U380" s="62">
        <f t="shared" si="277"/>
        <v>4416085.1221883893</v>
      </c>
      <c r="V380" s="62">
        <f t="shared" si="277"/>
        <v>4391393.1250012219</v>
      </c>
      <c r="W380" s="62">
        <f t="shared" si="277"/>
        <v>4371619.2573404536</v>
      </c>
      <c r="X380" s="62">
        <f t="shared" si="277"/>
        <v>4356530.9186884109</v>
      </c>
      <c r="Y380" s="62">
        <f t="shared" si="277"/>
        <v>4345439.7796926498</v>
      </c>
      <c r="Z380" s="62">
        <f t="shared" si="277"/>
        <v>4337509.7757624658</v>
      </c>
      <c r="AA380" s="62">
        <f t="shared" si="277"/>
        <v>4331952.0141076175</v>
      </c>
      <c r="AB380" s="62">
        <f t="shared" si="277"/>
        <v>4328111.2591973878</v>
      </c>
      <c r="AC380" s="62">
        <f t="shared" si="277"/>
        <v>4325482.8392201588</v>
      </c>
    </row>
    <row r="381" spans="1:29" ht="15.75" thickBot="1" x14ac:dyDescent="0.3">
      <c r="A381" s="59" t="str">
        <f>A344</f>
        <v>Emission Cost</v>
      </c>
      <c r="B381" s="62">
        <f>B364*B370</f>
        <v>2080174.2343043815</v>
      </c>
      <c r="C381" s="62">
        <f t="shared" ref="C381:AC381" si="278">C364*C370</f>
        <v>2084591.1334600765</v>
      </c>
      <c r="D381" s="62">
        <f t="shared" si="278"/>
        <v>2090913.8262229576</v>
      </c>
      <c r="E381" s="62">
        <f t="shared" si="278"/>
        <v>2099958.8828518903</v>
      </c>
      <c r="F381" s="62">
        <f t="shared" si="278"/>
        <v>2112886.2646654733</v>
      </c>
      <c r="G381" s="62">
        <f t="shared" si="278"/>
        <v>2131336.4322365182</v>
      </c>
      <c r="H381" s="62">
        <f t="shared" si="278"/>
        <v>2157613.9971792493</v>
      </c>
      <c r="I381" s="62">
        <f t="shared" si="278"/>
        <v>2194924.3724620044</v>
      </c>
      <c r="J381" s="62">
        <f t="shared" si="278"/>
        <v>2247659.002626026</v>
      </c>
      <c r="K381" s="62">
        <f t="shared" si="278"/>
        <v>2321697.4719647751</v>
      </c>
      <c r="L381" s="62">
        <f t="shared" si="278"/>
        <v>2424637.8211422721</v>
      </c>
      <c r="M381" s="62">
        <f t="shared" si="278"/>
        <v>2565765.1888584979</v>
      </c>
      <c r="N381" s="62">
        <f t="shared" si="278"/>
        <v>2755425.248471769</v>
      </c>
      <c r="O381" s="62">
        <f t="shared" si="278"/>
        <v>3003347.5860152184</v>
      </c>
      <c r="P381" s="62">
        <f t="shared" si="278"/>
        <v>3315563.8658372555</v>
      </c>
      <c r="Q381" s="62">
        <f t="shared" si="278"/>
        <v>3690214.4394539841</v>
      </c>
      <c r="R381" s="62">
        <f t="shared" si="278"/>
        <v>4113859.4375609229</v>
      </c>
      <c r="S381" s="62">
        <f t="shared" si="278"/>
        <v>4561099.7238907274</v>
      </c>
      <c r="T381" s="62">
        <f t="shared" si="278"/>
        <v>4999539.1579250544</v>
      </c>
      <c r="U381" s="62">
        <f t="shared" si="278"/>
        <v>5398659.5993684782</v>
      </c>
      <c r="V381" s="62">
        <f t="shared" si="278"/>
        <v>5737855.1387515571</v>
      </c>
      <c r="W381" s="62">
        <f t="shared" si="278"/>
        <v>6009490.0193180386</v>
      </c>
      <c r="X381" s="62">
        <f t="shared" si="278"/>
        <v>6216759.4892065981</v>
      </c>
      <c r="Y381" s="62">
        <f t="shared" si="278"/>
        <v>6369119.1726102037</v>
      </c>
      <c r="Z381" s="62">
        <f t="shared" si="278"/>
        <v>6478054.1421073815</v>
      </c>
      <c r="AA381" s="62">
        <f t="shared" si="278"/>
        <v>6554401.4682466788</v>
      </c>
      <c r="AB381" s="62">
        <f t="shared" si="278"/>
        <v>6607162.1632823376</v>
      </c>
      <c r="AC381" s="62">
        <f t="shared" si="278"/>
        <v>6643268.9360615192</v>
      </c>
    </row>
    <row r="382" spans="1:29" ht="15.75" thickBot="1" x14ac:dyDescent="0.3">
      <c r="A382" s="31" t="s">
        <v>209</v>
      </c>
      <c r="B382" s="64">
        <f>B373+B374+B375+B376+B377+B378+B379+B380+B381</f>
        <v>9658431.8895080164</v>
      </c>
      <c r="C382" s="64">
        <f t="shared" ref="C382:AC382" si="279">C373+C374+C375+C376+C377+C378+C379+C380+C381</f>
        <v>9662583.0026025362</v>
      </c>
      <c r="D382" s="64">
        <f t="shared" si="279"/>
        <v>9668525.2285387572</v>
      </c>
      <c r="E382" s="64">
        <f t="shared" si="279"/>
        <v>9677026.0006165244</v>
      </c>
      <c r="F382" s="64">
        <f t="shared" si="279"/>
        <v>9689175.4797041435</v>
      </c>
      <c r="G382" s="64">
        <f t="shared" si="279"/>
        <v>9706515.4119734894</v>
      </c>
      <c r="H382" s="64">
        <f t="shared" si="279"/>
        <v>9731211.7294760644</v>
      </c>
      <c r="I382" s="64">
        <f t="shared" si="279"/>
        <v>9766276.9600684494</v>
      </c>
      <c r="J382" s="64">
        <f t="shared" si="279"/>
        <v>9815838.2939572595</v>
      </c>
      <c r="K382" s="64">
        <f t="shared" si="279"/>
        <v>9885421.5125766229</v>
      </c>
      <c r="L382" s="64">
        <f t="shared" si="279"/>
        <v>9982167.4459480792</v>
      </c>
      <c r="M382" s="64">
        <f t="shared" si="279"/>
        <v>10114802.501327777</v>
      </c>
      <c r="N382" s="64">
        <f t="shared" si="279"/>
        <v>10293049.803160157</v>
      </c>
      <c r="O382" s="64">
        <f t="shared" si="279"/>
        <v>10526053.461501326</v>
      </c>
      <c r="P382" s="64">
        <f t="shared" si="279"/>
        <v>10819482.18645216</v>
      </c>
      <c r="Q382" s="64">
        <f t="shared" si="279"/>
        <v>11171588.233520292</v>
      </c>
      <c r="R382" s="64">
        <f t="shared" si="279"/>
        <v>11569740.474963864</v>
      </c>
      <c r="S382" s="64">
        <f t="shared" si="279"/>
        <v>11990068.162678301</v>
      </c>
      <c r="T382" s="64">
        <f t="shared" si="279"/>
        <v>12402124.587699406</v>
      </c>
      <c r="U382" s="64">
        <f t="shared" si="279"/>
        <v>12777228.032981992</v>
      </c>
      <c r="V382" s="64">
        <f t="shared" si="279"/>
        <v>13096012.54571438</v>
      </c>
      <c r="W382" s="64">
        <f t="shared" si="279"/>
        <v>13351301.849341428</v>
      </c>
      <c r="X382" s="64">
        <f t="shared" si="279"/>
        <v>13546098.918556724</v>
      </c>
      <c r="Y382" s="64">
        <f t="shared" si="279"/>
        <v>13689290.387177497</v>
      </c>
      <c r="Z382" s="64">
        <f t="shared" si="279"/>
        <v>13791670.215738438</v>
      </c>
      <c r="AA382" s="64">
        <f t="shared" si="279"/>
        <v>13863423.356142357</v>
      </c>
      <c r="AB382" s="64">
        <f t="shared" si="279"/>
        <v>13913009.186454147</v>
      </c>
      <c r="AC382" s="64">
        <f t="shared" si="279"/>
        <v>13946943.241093203</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280">A373</f>
        <v>Capex vehicle</v>
      </c>
      <c r="B385" s="65">
        <f>((1+B358)^B365)*B358/(((1+B358)^B365)-1)*(B354)/B370</f>
        <v>9.7783397765342439</v>
      </c>
      <c r="C385" s="65">
        <f t="shared" ref="C385:AC385" si="281">((1+C358)^C365)*C358/(((1+C358)^C365)-1)*(C354)/C370</f>
        <v>9.7783397765342439</v>
      </c>
      <c r="D385" s="65">
        <f t="shared" si="281"/>
        <v>9.7783397765342439</v>
      </c>
      <c r="E385" s="65">
        <f t="shared" si="281"/>
        <v>9.7783397765342439</v>
      </c>
      <c r="F385" s="65">
        <f t="shared" si="281"/>
        <v>9.7783397765342439</v>
      </c>
      <c r="G385" s="65">
        <f t="shared" si="281"/>
        <v>9.7783397765342439</v>
      </c>
      <c r="H385" s="65">
        <f t="shared" si="281"/>
        <v>9.7783397765342439</v>
      </c>
      <c r="I385" s="65">
        <f t="shared" si="281"/>
        <v>9.7783397765342439</v>
      </c>
      <c r="J385" s="65">
        <f t="shared" si="281"/>
        <v>9.7783397765342439</v>
      </c>
      <c r="K385" s="65">
        <f t="shared" si="281"/>
        <v>9.7783397765342439</v>
      </c>
      <c r="L385" s="65">
        <f t="shared" si="281"/>
        <v>9.7783397765342439</v>
      </c>
      <c r="M385" s="65">
        <f t="shared" si="281"/>
        <v>9.7783397765342439</v>
      </c>
      <c r="N385" s="65">
        <f t="shared" si="281"/>
        <v>9.7783397765342439</v>
      </c>
      <c r="O385" s="65">
        <f t="shared" si="281"/>
        <v>9.7783397765342439</v>
      </c>
      <c r="P385" s="65">
        <f t="shared" si="281"/>
        <v>9.7783397765342439</v>
      </c>
      <c r="Q385" s="65">
        <f t="shared" si="281"/>
        <v>9.7783397765342439</v>
      </c>
      <c r="R385" s="65">
        <f t="shared" si="281"/>
        <v>9.7783397765342439</v>
      </c>
      <c r="S385" s="65">
        <f t="shared" si="281"/>
        <v>9.7783397765342439</v>
      </c>
      <c r="T385" s="65">
        <f t="shared" si="281"/>
        <v>9.7783397765342439</v>
      </c>
      <c r="U385" s="65">
        <f t="shared" si="281"/>
        <v>9.7783397765342439</v>
      </c>
      <c r="V385" s="65">
        <f t="shared" si="281"/>
        <v>9.7783397765342439</v>
      </c>
      <c r="W385" s="65">
        <f t="shared" si="281"/>
        <v>9.7783397765342439</v>
      </c>
      <c r="X385" s="65">
        <f t="shared" si="281"/>
        <v>9.7783397765342439</v>
      </c>
      <c r="Y385" s="65">
        <f t="shared" si="281"/>
        <v>9.7783397765342439</v>
      </c>
      <c r="Z385" s="65">
        <f t="shared" si="281"/>
        <v>9.7783397765342439</v>
      </c>
      <c r="AA385" s="65">
        <f t="shared" si="281"/>
        <v>9.7783397765342439</v>
      </c>
      <c r="AB385" s="65">
        <f t="shared" si="281"/>
        <v>9.7783397765342439</v>
      </c>
      <c r="AC385" s="65">
        <f t="shared" si="281"/>
        <v>9.7783397765342439</v>
      </c>
    </row>
    <row r="386" spans="1:29" x14ac:dyDescent="0.25">
      <c r="A386" s="30" t="str">
        <f t="shared" si="280"/>
        <v>Residual value (vehicle)</v>
      </c>
      <c r="B386" s="66">
        <f>((1+B358)^B365)*B358/(((1+B358)^B365)-1)*(B355)/B370</f>
        <v>-0.97676019148470272</v>
      </c>
      <c r="C386" s="66">
        <f t="shared" ref="C386:AC386" si="282">((1+C358)^C365)*C358/(((1+C358)^C365)-1)*(C355)/C370</f>
        <v>-0.97629564589195228</v>
      </c>
      <c r="D386" s="66">
        <f t="shared" si="282"/>
        <v>-0.97563065922284864</v>
      </c>
      <c r="E386" s="66">
        <f t="shared" si="282"/>
        <v>-0.97467934902874298</v>
      </c>
      <c r="F386" s="66">
        <f t="shared" si="282"/>
        <v>-0.97331971684434948</v>
      </c>
      <c r="G386" s="66">
        <f t="shared" si="282"/>
        <v>-0.97137922788852038</v>
      </c>
      <c r="H386" s="66">
        <f t="shared" si="282"/>
        <v>-0.96861549556136939</v>
      </c>
      <c r="I386" s="66">
        <f t="shared" si="282"/>
        <v>-0.96469139184278574</v>
      </c>
      <c r="J386" s="66">
        <f t="shared" si="282"/>
        <v>-0.95914504831885961</v>
      </c>
      <c r="K386" s="66">
        <f t="shared" si="282"/>
        <v>-0.95135808207559314</v>
      </c>
      <c r="L386" s="66">
        <f t="shared" si="282"/>
        <v>-0.94053137224117322</v>
      </c>
      <c r="M386" s="66">
        <f t="shared" si="282"/>
        <v>-0.92568835808620409</v>
      </c>
      <c r="N386" s="66">
        <f t="shared" si="282"/>
        <v>-0.90574093757501994</v>
      </c>
      <c r="O386" s="66">
        <f t="shared" si="282"/>
        <v>-0.87966580540866446</v>
      </c>
      <c r="P386" s="66">
        <f t="shared" si="282"/>
        <v>-0.84682858371450898</v>
      </c>
      <c r="Q386" s="66">
        <f t="shared" si="282"/>
        <v>-0.80742486027411864</v>
      </c>
      <c r="R386" s="66">
        <f t="shared" si="282"/>
        <v>-0.7628681679376812</v>
      </c>
      <c r="S386" s="66">
        <f t="shared" si="282"/>
        <v>-0.71582985064961269</v>
      </c>
      <c r="T386" s="66">
        <f t="shared" si="282"/>
        <v>-0.66971715946306853</v>
      </c>
      <c r="U386" s="66">
        <f t="shared" si="282"/>
        <v>-0.62773982751286628</v>
      </c>
      <c r="V386" s="66">
        <f t="shared" si="282"/>
        <v>-0.59206507304221667</v>
      </c>
      <c r="W386" s="66">
        <f t="shared" si="282"/>
        <v>-0.56349598369776865</v>
      </c>
      <c r="X386" s="66">
        <f t="shared" si="282"/>
        <v>-0.54169650054128426</v>
      </c>
      <c r="Y386" s="66">
        <f t="shared" si="282"/>
        <v>-0.52567213210019181</v>
      </c>
      <c r="Z386" s="66">
        <f t="shared" si="282"/>
        <v>-0.51421494048397043</v>
      </c>
      <c r="AA386" s="66">
        <f t="shared" si="282"/>
        <v>-0.50618514115505298</v>
      </c>
      <c r="AB386" s="66">
        <f t="shared" si="282"/>
        <v>-0.50063605626873253</v>
      </c>
      <c r="AC386" s="66">
        <f t="shared" si="282"/>
        <v>-0.49683854095951707</v>
      </c>
    </row>
    <row r="387" spans="1:29" x14ac:dyDescent="0.25">
      <c r="A387" s="30" t="str">
        <f t="shared" si="280"/>
        <v>Capex costumization</v>
      </c>
      <c r="B387" s="66">
        <f>((1+B358)^B366)*B358/(((1+B358)^B366)-1)*(B356)/B370</f>
        <v>0.65188931843561626</v>
      </c>
      <c r="C387" s="66">
        <f t="shared" ref="C387:AC387" si="283">((1+C358)^C366)*C358/(((1+C358)^C366)-1)*(C356)/C370</f>
        <v>0.65188931843561626</v>
      </c>
      <c r="D387" s="66">
        <f t="shared" si="283"/>
        <v>0.65188931843561626</v>
      </c>
      <c r="E387" s="66">
        <f t="shared" si="283"/>
        <v>0.65188931843561626</v>
      </c>
      <c r="F387" s="66">
        <f t="shared" si="283"/>
        <v>0.65188931843561626</v>
      </c>
      <c r="G387" s="66">
        <f t="shared" si="283"/>
        <v>0.65188931843561626</v>
      </c>
      <c r="H387" s="66">
        <f t="shared" si="283"/>
        <v>0.65188931843561626</v>
      </c>
      <c r="I387" s="66">
        <f t="shared" si="283"/>
        <v>0.65188931843561626</v>
      </c>
      <c r="J387" s="66">
        <f t="shared" si="283"/>
        <v>0.65188931843561626</v>
      </c>
      <c r="K387" s="66">
        <f t="shared" si="283"/>
        <v>0.65188931843561626</v>
      </c>
      <c r="L387" s="66">
        <f t="shared" si="283"/>
        <v>0.65188931843561626</v>
      </c>
      <c r="M387" s="66">
        <f t="shared" si="283"/>
        <v>0.65188931843561626</v>
      </c>
      <c r="N387" s="66">
        <f t="shared" si="283"/>
        <v>0.65188931843561626</v>
      </c>
      <c r="O387" s="66">
        <f t="shared" si="283"/>
        <v>0.65188931843561626</v>
      </c>
      <c r="P387" s="66">
        <f t="shared" si="283"/>
        <v>0.65188931843561626</v>
      </c>
      <c r="Q387" s="66">
        <f t="shared" si="283"/>
        <v>0.65188931843561626</v>
      </c>
      <c r="R387" s="66">
        <f t="shared" si="283"/>
        <v>0.65188931843561626</v>
      </c>
      <c r="S387" s="66">
        <f t="shared" si="283"/>
        <v>0.65188931843561626</v>
      </c>
      <c r="T387" s="66">
        <f t="shared" si="283"/>
        <v>0.65188931843561626</v>
      </c>
      <c r="U387" s="66">
        <f t="shared" si="283"/>
        <v>0.65188931843561626</v>
      </c>
      <c r="V387" s="66">
        <f t="shared" si="283"/>
        <v>0.65188931843561626</v>
      </c>
      <c r="W387" s="66">
        <f t="shared" si="283"/>
        <v>0.65188931843561626</v>
      </c>
      <c r="X387" s="66">
        <f t="shared" si="283"/>
        <v>0.65188931843561626</v>
      </c>
      <c r="Y387" s="66">
        <f t="shared" si="283"/>
        <v>0.65188931843561626</v>
      </c>
      <c r="Z387" s="66">
        <f t="shared" si="283"/>
        <v>0.65188931843561626</v>
      </c>
      <c r="AA387" s="66">
        <f t="shared" si="283"/>
        <v>0.65188931843561626</v>
      </c>
      <c r="AB387" s="66">
        <f t="shared" si="283"/>
        <v>0.65188931843561626</v>
      </c>
      <c r="AC387" s="66">
        <f t="shared" si="283"/>
        <v>0.65188931843561626</v>
      </c>
    </row>
    <row r="388" spans="1:29" x14ac:dyDescent="0.25">
      <c r="A388" s="30" t="str">
        <f t="shared" si="280"/>
        <v>Residual value (costumization)</v>
      </c>
      <c r="B388" s="66">
        <f>((1+B358)^B366)*B358/(((1+B358)^B366)-1)*(B357)/B370</f>
        <v>-6.5188931843561615E-2</v>
      </c>
      <c r="C388" s="66">
        <f t="shared" ref="C388:AC388" si="284">((1+C358)^C366)*C358/(((1+C358)^C366)-1)*(C357)/C370</f>
        <v>-6.5188931843561615E-2</v>
      </c>
      <c r="D388" s="66">
        <f t="shared" si="284"/>
        <v>-6.5188931843561615E-2</v>
      </c>
      <c r="E388" s="66">
        <f t="shared" si="284"/>
        <v>-6.5188931843561615E-2</v>
      </c>
      <c r="F388" s="66">
        <f t="shared" si="284"/>
        <v>-6.5188931843561615E-2</v>
      </c>
      <c r="G388" s="66">
        <f t="shared" si="284"/>
        <v>-6.5188931843561615E-2</v>
      </c>
      <c r="H388" s="66">
        <f t="shared" si="284"/>
        <v>-6.5188931843561615E-2</v>
      </c>
      <c r="I388" s="66">
        <f t="shared" si="284"/>
        <v>-6.5188931843561615E-2</v>
      </c>
      <c r="J388" s="66">
        <f t="shared" si="284"/>
        <v>-6.5188931843561615E-2</v>
      </c>
      <c r="K388" s="66">
        <f t="shared" si="284"/>
        <v>-6.5188931843561615E-2</v>
      </c>
      <c r="L388" s="66">
        <f t="shared" si="284"/>
        <v>-6.5188931843561615E-2</v>
      </c>
      <c r="M388" s="66">
        <f t="shared" si="284"/>
        <v>-6.5188931843561615E-2</v>
      </c>
      <c r="N388" s="66">
        <f t="shared" si="284"/>
        <v>-6.5188931843561615E-2</v>
      </c>
      <c r="O388" s="66">
        <f t="shared" si="284"/>
        <v>-6.5188931843561615E-2</v>
      </c>
      <c r="P388" s="66">
        <f t="shared" si="284"/>
        <v>-6.5188931843561615E-2</v>
      </c>
      <c r="Q388" s="66">
        <f t="shared" si="284"/>
        <v>-6.5188931843561615E-2</v>
      </c>
      <c r="R388" s="66">
        <f t="shared" si="284"/>
        <v>-6.5188931843561615E-2</v>
      </c>
      <c r="S388" s="66">
        <f t="shared" si="284"/>
        <v>-6.5188931843561615E-2</v>
      </c>
      <c r="T388" s="66">
        <f t="shared" si="284"/>
        <v>-6.5188931843561615E-2</v>
      </c>
      <c r="U388" s="66">
        <f t="shared" si="284"/>
        <v>-6.5188931843561615E-2</v>
      </c>
      <c r="V388" s="66">
        <f t="shared" si="284"/>
        <v>-6.5188931843561615E-2</v>
      </c>
      <c r="W388" s="66">
        <f t="shared" si="284"/>
        <v>-6.5188931843561615E-2</v>
      </c>
      <c r="X388" s="66">
        <f t="shared" si="284"/>
        <v>-6.5188931843561615E-2</v>
      </c>
      <c r="Y388" s="66">
        <f t="shared" si="284"/>
        <v>-6.5188931843561615E-2</v>
      </c>
      <c r="Z388" s="66">
        <f t="shared" si="284"/>
        <v>-6.5188931843561615E-2</v>
      </c>
      <c r="AA388" s="66">
        <f t="shared" si="284"/>
        <v>-6.5188931843561615E-2</v>
      </c>
      <c r="AB388" s="66">
        <f t="shared" si="284"/>
        <v>-6.5188931843561615E-2</v>
      </c>
      <c r="AC388" s="66">
        <f t="shared" si="284"/>
        <v>-6.5188931843561615E-2</v>
      </c>
    </row>
    <row r="389" spans="1:29" x14ac:dyDescent="0.25">
      <c r="A389" s="30" t="str">
        <f t="shared" si="280"/>
        <v>Opex fix (admin, crew, insurance)</v>
      </c>
      <c r="B389" s="66">
        <f>B359/B370</f>
        <v>10.068627450980392</v>
      </c>
      <c r="C389" s="66">
        <f t="shared" ref="C389:AC389" si="285">C359/C370</f>
        <v>10.068627450980392</v>
      </c>
      <c r="D389" s="66">
        <f t="shared" si="285"/>
        <v>10.068627450980392</v>
      </c>
      <c r="E389" s="66">
        <f t="shared" si="285"/>
        <v>10.068627450980392</v>
      </c>
      <c r="F389" s="66">
        <f t="shared" si="285"/>
        <v>10.068627450980392</v>
      </c>
      <c r="G389" s="66">
        <f t="shared" si="285"/>
        <v>10.068627450980392</v>
      </c>
      <c r="H389" s="66">
        <f t="shared" si="285"/>
        <v>10.068627450980392</v>
      </c>
      <c r="I389" s="66">
        <f t="shared" si="285"/>
        <v>10.068627450980392</v>
      </c>
      <c r="J389" s="66">
        <f t="shared" si="285"/>
        <v>10.068627450980392</v>
      </c>
      <c r="K389" s="66">
        <f t="shared" si="285"/>
        <v>10.068627450980392</v>
      </c>
      <c r="L389" s="66">
        <f t="shared" si="285"/>
        <v>10.068627450980392</v>
      </c>
      <c r="M389" s="66">
        <f t="shared" si="285"/>
        <v>10.068627450980392</v>
      </c>
      <c r="N389" s="66">
        <f t="shared" si="285"/>
        <v>10.068627450980392</v>
      </c>
      <c r="O389" s="66">
        <f t="shared" si="285"/>
        <v>10.068627450980392</v>
      </c>
      <c r="P389" s="66">
        <f t="shared" si="285"/>
        <v>10.068627450980392</v>
      </c>
      <c r="Q389" s="66">
        <f t="shared" si="285"/>
        <v>10.068627450980392</v>
      </c>
      <c r="R389" s="66">
        <f t="shared" si="285"/>
        <v>10.068627450980392</v>
      </c>
      <c r="S389" s="66">
        <f t="shared" si="285"/>
        <v>10.068627450980392</v>
      </c>
      <c r="T389" s="66">
        <f t="shared" si="285"/>
        <v>10.068627450980392</v>
      </c>
      <c r="U389" s="66">
        <f t="shared" si="285"/>
        <v>10.068627450980392</v>
      </c>
      <c r="V389" s="66">
        <f t="shared" si="285"/>
        <v>10.068627450980392</v>
      </c>
      <c r="W389" s="66">
        <f t="shared" si="285"/>
        <v>10.068627450980392</v>
      </c>
      <c r="X389" s="66">
        <f t="shared" si="285"/>
        <v>10.068627450980392</v>
      </c>
      <c r="Y389" s="66">
        <f t="shared" si="285"/>
        <v>10.068627450980392</v>
      </c>
      <c r="Z389" s="66">
        <f t="shared" si="285"/>
        <v>10.068627450980392</v>
      </c>
      <c r="AA389" s="66">
        <f t="shared" si="285"/>
        <v>10.068627450980392</v>
      </c>
      <c r="AB389" s="66">
        <f t="shared" si="285"/>
        <v>10.068627450980392</v>
      </c>
      <c r="AC389" s="66">
        <f t="shared" si="285"/>
        <v>10.068627450980392</v>
      </c>
    </row>
    <row r="390" spans="1:29" x14ac:dyDescent="0.25">
      <c r="A390" s="30" t="str">
        <f t="shared" si="280"/>
        <v>Opex maintenance &amp; repair</v>
      </c>
      <c r="B390" s="66">
        <f>B360/B370</f>
        <v>4.0686274509803919</v>
      </c>
      <c r="C390" s="66">
        <f t="shared" ref="C390:AC390" si="286">C360/C370</f>
        <v>4.0686274509803919</v>
      </c>
      <c r="D390" s="66">
        <f t="shared" si="286"/>
        <v>4.0686274509803919</v>
      </c>
      <c r="E390" s="66">
        <f t="shared" si="286"/>
        <v>4.0686274509803919</v>
      </c>
      <c r="F390" s="66">
        <f t="shared" si="286"/>
        <v>4.0686274509803919</v>
      </c>
      <c r="G390" s="66">
        <f t="shared" si="286"/>
        <v>4.0686274509803919</v>
      </c>
      <c r="H390" s="66">
        <f t="shared" si="286"/>
        <v>4.0686274509803919</v>
      </c>
      <c r="I390" s="66">
        <f t="shared" si="286"/>
        <v>4.0686274509803919</v>
      </c>
      <c r="J390" s="66">
        <f t="shared" si="286"/>
        <v>4.0686274509803919</v>
      </c>
      <c r="K390" s="66">
        <f t="shared" si="286"/>
        <v>4.0686274509803919</v>
      </c>
      <c r="L390" s="66">
        <f t="shared" si="286"/>
        <v>4.0686274509803919</v>
      </c>
      <c r="M390" s="66">
        <f t="shared" si="286"/>
        <v>4.0686274509803919</v>
      </c>
      <c r="N390" s="66">
        <f t="shared" si="286"/>
        <v>4.0686274509803919</v>
      </c>
      <c r="O390" s="66">
        <f t="shared" si="286"/>
        <v>4.0686274509803919</v>
      </c>
      <c r="P390" s="66">
        <f t="shared" si="286"/>
        <v>4.0686274509803919</v>
      </c>
      <c r="Q390" s="66">
        <f t="shared" si="286"/>
        <v>4.0686274509803919</v>
      </c>
      <c r="R390" s="66">
        <f t="shared" si="286"/>
        <v>4.0686274509803919</v>
      </c>
      <c r="S390" s="66">
        <f t="shared" si="286"/>
        <v>4.0686274509803919</v>
      </c>
      <c r="T390" s="66">
        <f t="shared" si="286"/>
        <v>4.0686274509803919</v>
      </c>
      <c r="U390" s="66">
        <f t="shared" si="286"/>
        <v>4.0686274509803919</v>
      </c>
      <c r="V390" s="66">
        <f t="shared" si="286"/>
        <v>4.0686274509803919</v>
      </c>
      <c r="W390" s="66">
        <f t="shared" si="286"/>
        <v>4.0686274509803919</v>
      </c>
      <c r="X390" s="66">
        <f t="shared" si="286"/>
        <v>4.0686274509803919</v>
      </c>
      <c r="Y390" s="66">
        <f t="shared" si="286"/>
        <v>4.0686274509803919</v>
      </c>
      <c r="Z390" s="66">
        <f t="shared" si="286"/>
        <v>4.0686274509803919</v>
      </c>
      <c r="AA390" s="66">
        <f t="shared" si="286"/>
        <v>4.0686274509803919</v>
      </c>
      <c r="AB390" s="66">
        <f t="shared" si="286"/>
        <v>4.0686274509803919</v>
      </c>
      <c r="AC390" s="66">
        <f t="shared" si="286"/>
        <v>4.0686274509803919</v>
      </c>
    </row>
    <row r="391" spans="1:29" x14ac:dyDescent="0.25">
      <c r="A391" s="30" t="str">
        <f t="shared" si="280"/>
        <v>Opex var (mode-fees)</v>
      </c>
      <c r="B391" s="66">
        <f>B361*B370/B370</f>
        <v>0.81280569096848254</v>
      </c>
      <c r="C391" s="66">
        <f t="shared" ref="C391:AC391" si="287">C361*C370/C370</f>
        <v>0.81280569096848254</v>
      </c>
      <c r="D391" s="66">
        <f t="shared" si="287"/>
        <v>0.81280569096848254</v>
      </c>
      <c r="E391" s="66">
        <f t="shared" si="287"/>
        <v>0.81280569096848254</v>
      </c>
      <c r="F391" s="66">
        <f t="shared" si="287"/>
        <v>0.81280569096848254</v>
      </c>
      <c r="G391" s="66">
        <f t="shared" si="287"/>
        <v>0.81280569096848254</v>
      </c>
      <c r="H391" s="66">
        <f t="shared" si="287"/>
        <v>0.81280569096848254</v>
      </c>
      <c r="I391" s="66">
        <f t="shared" si="287"/>
        <v>0.81280569096848254</v>
      </c>
      <c r="J391" s="66">
        <f t="shared" si="287"/>
        <v>0.81280569096848254</v>
      </c>
      <c r="K391" s="66">
        <f t="shared" si="287"/>
        <v>0.81280569096848254</v>
      </c>
      <c r="L391" s="66">
        <f t="shared" si="287"/>
        <v>0.81280569096848254</v>
      </c>
      <c r="M391" s="66">
        <f t="shared" si="287"/>
        <v>0.81280569096848254</v>
      </c>
      <c r="N391" s="66">
        <f t="shared" si="287"/>
        <v>0.81280569096848254</v>
      </c>
      <c r="O391" s="66">
        <f t="shared" si="287"/>
        <v>0.81280569096848254</v>
      </c>
      <c r="P391" s="66">
        <f t="shared" si="287"/>
        <v>0.81280569096848254</v>
      </c>
      <c r="Q391" s="66">
        <f t="shared" si="287"/>
        <v>0.81280569096848254</v>
      </c>
      <c r="R391" s="66">
        <f t="shared" si="287"/>
        <v>0.81280569096848254</v>
      </c>
      <c r="S391" s="66">
        <f t="shared" si="287"/>
        <v>0.81280569096848254</v>
      </c>
      <c r="T391" s="66">
        <f t="shared" si="287"/>
        <v>0.81280569096848254</v>
      </c>
      <c r="U391" s="66">
        <f t="shared" si="287"/>
        <v>0.81280569096848254</v>
      </c>
      <c r="V391" s="66">
        <f t="shared" si="287"/>
        <v>0.81280569096848254</v>
      </c>
      <c r="W391" s="66">
        <f t="shared" si="287"/>
        <v>0.81280569096848254</v>
      </c>
      <c r="X391" s="66">
        <f t="shared" si="287"/>
        <v>0.81280569096848254</v>
      </c>
      <c r="Y391" s="66">
        <f t="shared" si="287"/>
        <v>0.81280569096848254</v>
      </c>
      <c r="Z391" s="66">
        <f t="shared" si="287"/>
        <v>0.81280569096848254</v>
      </c>
      <c r="AA391" s="66">
        <f t="shared" si="287"/>
        <v>0.81280569096848254</v>
      </c>
      <c r="AB391" s="66">
        <f t="shared" si="287"/>
        <v>0.81280569096848254</v>
      </c>
      <c r="AC391" s="66">
        <f t="shared" si="287"/>
        <v>0.81280569096848254</v>
      </c>
    </row>
    <row r="392" spans="1:29" x14ac:dyDescent="0.25">
      <c r="A392" s="30" t="str">
        <f t="shared" si="280"/>
        <v>Fuel Cost</v>
      </c>
      <c r="B392" s="66">
        <f>B362*B363*B370/B370</f>
        <v>38.813806562126089</v>
      </c>
      <c r="C392" s="66">
        <f t="shared" ref="C392:AC392" si="288">C362*C363*C370/C370</f>
        <v>38.811127132690224</v>
      </c>
      <c r="D392" s="66">
        <f t="shared" si="288"/>
        <v>38.807291589132269</v>
      </c>
      <c r="E392" s="66">
        <f t="shared" si="288"/>
        <v>38.801804574345127</v>
      </c>
      <c r="F392" s="66">
        <f t="shared" si="288"/>
        <v>38.79396241944437</v>
      </c>
      <c r="G392" s="66">
        <f t="shared" si="288"/>
        <v>38.782769969641045</v>
      </c>
      <c r="H392" s="66">
        <f t="shared" si="288"/>
        <v>38.766829175312601</v>
      </c>
      <c r="I392" s="66">
        <f t="shared" si="288"/>
        <v>38.744195532507597</v>
      </c>
      <c r="J392" s="66">
        <f t="shared" si="288"/>
        <v>38.712205053356911</v>
      </c>
      <c r="K392" s="66">
        <f t="shared" si="288"/>
        <v>38.667290997785422</v>
      </c>
      <c r="L392" s="66">
        <f t="shared" si="288"/>
        <v>38.604844156233987</v>
      </c>
      <c r="M392" s="66">
        <f t="shared" si="288"/>
        <v>38.519231872607968</v>
      </c>
      <c r="N392" s="66">
        <f t="shared" si="288"/>
        <v>38.404178137256018</v>
      </c>
      <c r="O392" s="66">
        <f t="shared" si="288"/>
        <v>38.253780678403992</v>
      </c>
      <c r="P392" s="66">
        <f t="shared" si="288"/>
        <v>38.064380499449811</v>
      </c>
      <c r="Q392" s="66">
        <f t="shared" si="288"/>
        <v>37.837105721437787</v>
      </c>
      <c r="R392" s="66">
        <f t="shared" si="288"/>
        <v>37.580109390239954</v>
      </c>
      <c r="S392" s="66">
        <f t="shared" si="288"/>
        <v>37.308799417823828</v>
      </c>
      <c r="T392" s="66">
        <f t="shared" si="288"/>
        <v>37.04282831819377</v>
      </c>
      <c r="U392" s="66">
        <f t="shared" si="288"/>
        <v>36.800709351569914</v>
      </c>
      <c r="V392" s="66">
        <f t="shared" si="288"/>
        <v>36.594942708343517</v>
      </c>
      <c r="W392" s="66">
        <f t="shared" si="288"/>
        <v>36.430160477837113</v>
      </c>
      <c r="X392" s="66">
        <f t="shared" si="288"/>
        <v>36.304424322403428</v>
      </c>
      <c r="Y392" s="66">
        <f t="shared" si="288"/>
        <v>36.211998164105417</v>
      </c>
      <c r="Z392" s="66">
        <f t="shared" si="288"/>
        <v>36.145914798020549</v>
      </c>
      <c r="AA392" s="66">
        <f t="shared" si="288"/>
        <v>36.099600117563483</v>
      </c>
      <c r="AB392" s="66">
        <f t="shared" si="288"/>
        <v>36.067593826644895</v>
      </c>
      <c r="AC392" s="66">
        <f t="shared" si="288"/>
        <v>36.045690326834659</v>
      </c>
    </row>
    <row r="393" spans="1:29" ht="15.75" thickBot="1" x14ac:dyDescent="0.3">
      <c r="A393" s="59" t="str">
        <f>A344</f>
        <v>Emission Cost</v>
      </c>
      <c r="B393" s="66">
        <f>B364</f>
        <v>17.334785285869845</v>
      </c>
      <c r="C393" s="66">
        <f t="shared" ref="C393:AC393" si="289">C364</f>
        <v>17.371592778833971</v>
      </c>
      <c r="D393" s="66">
        <f t="shared" si="289"/>
        <v>17.424281885191313</v>
      </c>
      <c r="E393" s="66">
        <f t="shared" si="289"/>
        <v>17.499657357099085</v>
      </c>
      <c r="F393" s="66">
        <f t="shared" si="289"/>
        <v>17.607385538878944</v>
      </c>
      <c r="G393" s="66">
        <f t="shared" si="289"/>
        <v>17.761136935304318</v>
      </c>
      <c r="H393" s="66">
        <f t="shared" si="289"/>
        <v>17.980116643160411</v>
      </c>
      <c r="I393" s="66">
        <f t="shared" si="289"/>
        <v>18.291036437183369</v>
      </c>
      <c r="J393" s="66">
        <f t="shared" si="289"/>
        <v>18.730491688550217</v>
      </c>
      <c r="K393" s="66">
        <f t="shared" si="289"/>
        <v>19.347478933039792</v>
      </c>
      <c r="L393" s="66">
        <f t="shared" si="289"/>
        <v>20.2053151761856</v>
      </c>
      <c r="M393" s="66">
        <f t="shared" si="289"/>
        <v>21.381376573820816</v>
      </c>
      <c r="N393" s="66">
        <f t="shared" si="289"/>
        <v>22.961877070598074</v>
      </c>
      <c r="O393" s="66">
        <f t="shared" si="289"/>
        <v>25.027896550126819</v>
      </c>
      <c r="P393" s="66">
        <f t="shared" si="289"/>
        <v>27.629698881977127</v>
      </c>
      <c r="Q393" s="66">
        <f t="shared" si="289"/>
        <v>30.751786995449869</v>
      </c>
      <c r="R393" s="66">
        <f t="shared" si="289"/>
        <v>34.282161979674356</v>
      </c>
      <c r="S393" s="66">
        <f t="shared" si="289"/>
        <v>38.009164365756064</v>
      </c>
      <c r="T393" s="66">
        <f t="shared" si="289"/>
        <v>41.662826316042121</v>
      </c>
      <c r="U393" s="66">
        <f t="shared" si="289"/>
        <v>44.988829994737316</v>
      </c>
      <c r="V393" s="66">
        <f t="shared" si="289"/>
        <v>47.815459489596307</v>
      </c>
      <c r="W393" s="66">
        <f t="shared" si="289"/>
        <v>50.07908349431699</v>
      </c>
      <c r="X393" s="66">
        <f t="shared" si="289"/>
        <v>51.806329076721653</v>
      </c>
      <c r="Y393" s="66">
        <f t="shared" si="289"/>
        <v>53.075993105085033</v>
      </c>
      <c r="Z393" s="66">
        <f t="shared" si="289"/>
        <v>53.98378451756151</v>
      </c>
      <c r="AA393" s="66">
        <f t="shared" si="289"/>
        <v>54.620012235388991</v>
      </c>
      <c r="AB393" s="66">
        <f t="shared" si="289"/>
        <v>55.059684694019481</v>
      </c>
      <c r="AC393" s="66">
        <f t="shared" si="289"/>
        <v>55.360574467179326</v>
      </c>
    </row>
    <row r="394" spans="1:29" ht="15.75" thickBot="1" x14ac:dyDescent="0.3">
      <c r="A394" s="31" t="s">
        <v>63</v>
      </c>
      <c r="B394" s="76">
        <f>B385+B386+B387-B388+B389+B390+B391+B392+B393</f>
        <v>80.617310276253917</v>
      </c>
      <c r="C394" s="76">
        <f t="shared" ref="C394:AC394" si="290">C385+C386+C387-C388+C389+C390+C391+C392+C393</f>
        <v>80.651902885374938</v>
      </c>
      <c r="D394" s="76">
        <f t="shared" si="290"/>
        <v>80.701421434843411</v>
      </c>
      <c r="E394" s="76">
        <f t="shared" si="290"/>
        <v>80.772261202158163</v>
      </c>
      <c r="F394" s="76">
        <f t="shared" si="290"/>
        <v>80.873506861221642</v>
      </c>
      <c r="G394" s="76">
        <f t="shared" si="290"/>
        <v>81.018006296799527</v>
      </c>
      <c r="H394" s="76">
        <f t="shared" si="290"/>
        <v>81.22380894265433</v>
      </c>
      <c r="I394" s="76">
        <f t="shared" si="290"/>
        <v>81.516019197590865</v>
      </c>
      <c r="J394" s="76">
        <f t="shared" si="290"/>
        <v>81.929030313330955</v>
      </c>
      <c r="K394" s="76">
        <f t="shared" si="290"/>
        <v>82.508890468492311</v>
      </c>
      <c r="L394" s="76">
        <f t="shared" si="290"/>
        <v>83.315106579921093</v>
      </c>
      <c r="M394" s="76">
        <f t="shared" si="290"/>
        <v>84.420398708085258</v>
      </c>
      <c r="N394" s="76">
        <f t="shared" si="290"/>
        <v>85.905792890021758</v>
      </c>
      <c r="O394" s="76">
        <f t="shared" si="290"/>
        <v>87.847490042864834</v>
      </c>
      <c r="P394" s="76">
        <f t="shared" si="290"/>
        <v>90.292729417455121</v>
      </c>
      <c r="Q394" s="76">
        <f t="shared" si="290"/>
        <v>93.226946476356233</v>
      </c>
      <c r="R394" s="76">
        <f t="shared" si="290"/>
        <v>96.544881821719315</v>
      </c>
      <c r="S394" s="76">
        <f t="shared" si="290"/>
        <v>100.04761255267297</v>
      </c>
      <c r="T394" s="76">
        <f t="shared" si="290"/>
        <v>103.48141609451551</v>
      </c>
      <c r="U394" s="76">
        <f t="shared" si="290"/>
        <v>106.60727813853705</v>
      </c>
      <c r="V394" s="76">
        <f t="shared" si="290"/>
        <v>109.2638157446403</v>
      </c>
      <c r="W394" s="76">
        <f t="shared" si="290"/>
        <v>111.39122660819902</v>
      </c>
      <c r="X394" s="76">
        <f t="shared" si="290"/>
        <v>113.01453551832648</v>
      </c>
      <c r="Y394" s="76">
        <f t="shared" si="290"/>
        <v>114.20779775683295</v>
      </c>
      <c r="Z394" s="76">
        <f t="shared" si="290"/>
        <v>115.06096299484078</v>
      </c>
      <c r="AA394" s="76">
        <f t="shared" si="290"/>
        <v>115.65890583154011</v>
      </c>
      <c r="AB394" s="76">
        <f t="shared" si="290"/>
        <v>116.07212108413833</v>
      </c>
      <c r="AC394" s="76">
        <f t="shared" si="290"/>
        <v>116.35490487279716</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291">A373</f>
        <v>Capex vehicle</v>
      </c>
      <c r="B397" s="65">
        <f>((1+B358)^B365)*B358/(((1+B358)^B365)-1)*(B354)/B370/(B367)</f>
        <v>1.0347449498978036E-3</v>
      </c>
      <c r="C397" s="65">
        <f t="shared" ref="C397:AC397" si="292">((1+C358)^C365)*C358/(((1+C358)^C365)-1)*(C354)/C370/(C367)</f>
        <v>1.0347449498978036E-3</v>
      </c>
      <c r="D397" s="65">
        <f t="shared" si="292"/>
        <v>1.0347449498978036E-3</v>
      </c>
      <c r="E397" s="65">
        <f t="shared" si="292"/>
        <v>1.0347449498978036E-3</v>
      </c>
      <c r="F397" s="65">
        <f t="shared" si="292"/>
        <v>1.0347449498978036E-3</v>
      </c>
      <c r="G397" s="65">
        <f t="shared" si="292"/>
        <v>1.0347449498978036E-3</v>
      </c>
      <c r="H397" s="65">
        <f t="shared" si="292"/>
        <v>1.0347449498978036E-3</v>
      </c>
      <c r="I397" s="65">
        <f t="shared" si="292"/>
        <v>1.0347449498978036E-3</v>
      </c>
      <c r="J397" s="65">
        <f t="shared" si="292"/>
        <v>1.0347449498978036E-3</v>
      </c>
      <c r="K397" s="65">
        <f t="shared" si="292"/>
        <v>1.0347449498978036E-3</v>
      </c>
      <c r="L397" s="65">
        <f t="shared" si="292"/>
        <v>1.0347449498978036E-3</v>
      </c>
      <c r="M397" s="65">
        <f t="shared" si="292"/>
        <v>1.0347449498978036E-3</v>
      </c>
      <c r="N397" s="65">
        <f t="shared" si="292"/>
        <v>1.0347449498978036E-3</v>
      </c>
      <c r="O397" s="65">
        <f t="shared" si="292"/>
        <v>1.0347449498978036E-3</v>
      </c>
      <c r="P397" s="65">
        <f t="shared" si="292"/>
        <v>1.0347449498978036E-3</v>
      </c>
      <c r="Q397" s="65">
        <f t="shared" si="292"/>
        <v>1.0347449498978036E-3</v>
      </c>
      <c r="R397" s="65">
        <f t="shared" si="292"/>
        <v>1.0347449498978036E-3</v>
      </c>
      <c r="S397" s="65">
        <f t="shared" si="292"/>
        <v>1.0347449498978036E-3</v>
      </c>
      <c r="T397" s="65">
        <f t="shared" si="292"/>
        <v>1.0347449498978036E-3</v>
      </c>
      <c r="U397" s="65">
        <f t="shared" si="292"/>
        <v>1.0347449498978036E-3</v>
      </c>
      <c r="V397" s="65">
        <f t="shared" si="292"/>
        <v>1.0347449498978036E-3</v>
      </c>
      <c r="W397" s="65">
        <f t="shared" si="292"/>
        <v>1.0347449498978036E-3</v>
      </c>
      <c r="X397" s="65">
        <f t="shared" si="292"/>
        <v>1.0347449498978036E-3</v>
      </c>
      <c r="Y397" s="65">
        <f t="shared" si="292"/>
        <v>1.0347449498978036E-3</v>
      </c>
      <c r="Z397" s="65">
        <f t="shared" si="292"/>
        <v>1.0347449498978036E-3</v>
      </c>
      <c r="AA397" s="65">
        <f t="shared" si="292"/>
        <v>1.0347449498978036E-3</v>
      </c>
      <c r="AB397" s="65">
        <f t="shared" si="292"/>
        <v>1.0347449498978036E-3</v>
      </c>
      <c r="AC397" s="65">
        <f t="shared" si="292"/>
        <v>1.0347449498978036E-3</v>
      </c>
    </row>
    <row r="398" spans="1:29" x14ac:dyDescent="0.25">
      <c r="A398" s="30" t="str">
        <f t="shared" si="291"/>
        <v>Residual value (vehicle)</v>
      </c>
      <c r="B398" s="68">
        <f>((1+B358)^B365)*B358/(((1+B358)^B365)-1)*(B355)/B370/(B367)</f>
        <v>-1.0336086682377807E-4</v>
      </c>
      <c r="C398" s="68">
        <f t="shared" ref="C398:AC398" si="293">((1+C358)^C365)*C358/(((1+C358)^C365)-1)*(C355)/C370/(C367)</f>
        <v>-1.0331170855999495E-4</v>
      </c>
      <c r="D398" s="68">
        <f t="shared" si="293"/>
        <v>-1.0324133960030145E-4</v>
      </c>
      <c r="E398" s="68">
        <f t="shared" si="293"/>
        <v>-1.0314067185489343E-4</v>
      </c>
      <c r="F398" s="68">
        <f t="shared" si="293"/>
        <v>-1.0299679543326449E-4</v>
      </c>
      <c r="G398" s="68">
        <f t="shared" si="293"/>
        <v>-1.0279145268661591E-4</v>
      </c>
      <c r="H398" s="68">
        <f t="shared" si="293"/>
        <v>-1.0249899423929835E-4</v>
      </c>
      <c r="I398" s="68">
        <f t="shared" si="293"/>
        <v>-1.0208374516854875E-4</v>
      </c>
      <c r="J398" s="68">
        <f t="shared" si="293"/>
        <v>-1.0149683050993223E-4</v>
      </c>
      <c r="K398" s="68">
        <f t="shared" si="293"/>
        <v>-1.0067281291805218E-4</v>
      </c>
      <c r="L398" s="68">
        <f t="shared" si="293"/>
        <v>-9.9527129337690295E-5</v>
      </c>
      <c r="M398" s="68">
        <f t="shared" si="293"/>
        <v>-9.7956440009122124E-5</v>
      </c>
      <c r="N398" s="68">
        <f t="shared" si="293"/>
        <v>-9.5845601859790468E-5</v>
      </c>
      <c r="O398" s="68">
        <f t="shared" si="293"/>
        <v>-9.3086328614673487E-5</v>
      </c>
      <c r="P398" s="68">
        <f t="shared" si="293"/>
        <v>-8.9611490340159677E-5</v>
      </c>
      <c r="Q398" s="68">
        <f t="shared" si="293"/>
        <v>-8.5441784155991385E-5</v>
      </c>
      <c r="R398" s="68">
        <f t="shared" si="293"/>
        <v>-8.0726790257955685E-5</v>
      </c>
      <c r="S398" s="68">
        <f t="shared" si="293"/>
        <v>-7.5749190544932557E-5</v>
      </c>
      <c r="T398" s="68">
        <f t="shared" si="293"/>
        <v>-7.086954068392259E-5</v>
      </c>
      <c r="U398" s="68">
        <f t="shared" si="293"/>
        <v>-6.6427494974906487E-5</v>
      </c>
      <c r="V398" s="68">
        <f t="shared" si="293"/>
        <v>-6.2652388681716054E-5</v>
      </c>
      <c r="W398" s="68">
        <f t="shared" si="293"/>
        <v>-5.9629204624102501E-5</v>
      </c>
      <c r="X398" s="68">
        <f t="shared" si="293"/>
        <v>-5.7322381009659713E-5</v>
      </c>
      <c r="Y398" s="68">
        <f t="shared" si="293"/>
        <v>-5.5626680645522941E-5</v>
      </c>
      <c r="Z398" s="68">
        <f t="shared" si="293"/>
        <v>-5.4414279416293167E-5</v>
      </c>
      <c r="AA398" s="68">
        <f t="shared" si="293"/>
        <v>-5.3564565201592909E-5</v>
      </c>
      <c r="AB398" s="68">
        <f t="shared" si="293"/>
        <v>-5.2977360451717727E-5</v>
      </c>
      <c r="AC398" s="68">
        <f t="shared" si="293"/>
        <v>-5.2575506979843073E-5</v>
      </c>
    </row>
    <row r="399" spans="1:29" x14ac:dyDescent="0.25">
      <c r="A399" s="30" t="str">
        <f t="shared" si="291"/>
        <v>Capex costumization</v>
      </c>
      <c r="B399" s="66">
        <f>((1+B358)^B366)*B358/(((1+B358)^B366)-1)*(B356)/B370/(B367)</f>
        <v>6.8982996659853576E-5</v>
      </c>
      <c r="C399" s="66">
        <f t="shared" ref="C399:AC399" si="294">((1+C358)^C366)*C358/(((1+C358)^C366)-1)*(C356)/C370/(C367)</f>
        <v>6.8982996659853576E-5</v>
      </c>
      <c r="D399" s="66">
        <f t="shared" si="294"/>
        <v>6.8982996659853576E-5</v>
      </c>
      <c r="E399" s="66">
        <f t="shared" si="294"/>
        <v>6.8982996659853576E-5</v>
      </c>
      <c r="F399" s="66">
        <f t="shared" si="294"/>
        <v>6.8982996659853576E-5</v>
      </c>
      <c r="G399" s="66">
        <f t="shared" si="294"/>
        <v>6.8982996659853576E-5</v>
      </c>
      <c r="H399" s="66">
        <f t="shared" si="294"/>
        <v>6.8982996659853576E-5</v>
      </c>
      <c r="I399" s="66">
        <f t="shared" si="294"/>
        <v>6.8982996659853576E-5</v>
      </c>
      <c r="J399" s="66">
        <f t="shared" si="294"/>
        <v>6.8982996659853576E-5</v>
      </c>
      <c r="K399" s="66">
        <f t="shared" si="294"/>
        <v>6.8982996659853576E-5</v>
      </c>
      <c r="L399" s="66">
        <f t="shared" si="294"/>
        <v>6.8982996659853576E-5</v>
      </c>
      <c r="M399" s="66">
        <f t="shared" si="294"/>
        <v>6.8982996659853576E-5</v>
      </c>
      <c r="N399" s="66">
        <f t="shared" si="294"/>
        <v>6.8982996659853576E-5</v>
      </c>
      <c r="O399" s="66">
        <f t="shared" si="294"/>
        <v>6.8982996659853576E-5</v>
      </c>
      <c r="P399" s="66">
        <f t="shared" si="294"/>
        <v>6.8982996659853576E-5</v>
      </c>
      <c r="Q399" s="66">
        <f t="shared" si="294"/>
        <v>6.8982996659853576E-5</v>
      </c>
      <c r="R399" s="66">
        <f t="shared" si="294"/>
        <v>6.8982996659853576E-5</v>
      </c>
      <c r="S399" s="66">
        <f t="shared" si="294"/>
        <v>6.8982996659853576E-5</v>
      </c>
      <c r="T399" s="66">
        <f t="shared" si="294"/>
        <v>6.8982996659853576E-5</v>
      </c>
      <c r="U399" s="66">
        <f t="shared" si="294"/>
        <v>6.8982996659853576E-5</v>
      </c>
      <c r="V399" s="66">
        <f t="shared" si="294"/>
        <v>6.8982996659853576E-5</v>
      </c>
      <c r="W399" s="66">
        <f t="shared" si="294"/>
        <v>6.8982996659853576E-5</v>
      </c>
      <c r="X399" s="66">
        <f t="shared" si="294"/>
        <v>6.8982996659853576E-5</v>
      </c>
      <c r="Y399" s="66">
        <f t="shared" si="294"/>
        <v>6.8982996659853576E-5</v>
      </c>
      <c r="Z399" s="66">
        <f t="shared" si="294"/>
        <v>6.8982996659853576E-5</v>
      </c>
      <c r="AA399" s="66">
        <f t="shared" si="294"/>
        <v>6.8982996659853576E-5</v>
      </c>
      <c r="AB399" s="66">
        <f t="shared" si="294"/>
        <v>6.8982996659853576E-5</v>
      </c>
      <c r="AC399" s="66">
        <f t="shared" si="294"/>
        <v>6.8982996659853576E-5</v>
      </c>
    </row>
    <row r="400" spans="1:29" x14ac:dyDescent="0.25">
      <c r="A400" s="30" t="str">
        <f t="shared" si="291"/>
        <v>Residual value (costumization)</v>
      </c>
      <c r="B400" s="69">
        <f>((1+B358)^B366)*B358/(((1+B358)^B366)-1)*(B357)/B370/(B367)</f>
        <v>-6.8982996659853564E-6</v>
      </c>
      <c r="C400" s="69">
        <f t="shared" ref="C400:AC400" si="295">((1+C358)^C366)*C358/(((1+C358)^C366)-1)*(C357)/C370/(C367)</f>
        <v>-6.8982996659853564E-6</v>
      </c>
      <c r="D400" s="69">
        <f t="shared" si="295"/>
        <v>-6.8982996659853564E-6</v>
      </c>
      <c r="E400" s="69">
        <f t="shared" si="295"/>
        <v>-6.8982996659853564E-6</v>
      </c>
      <c r="F400" s="69">
        <f t="shared" si="295"/>
        <v>-6.8982996659853564E-6</v>
      </c>
      <c r="G400" s="69">
        <f t="shared" si="295"/>
        <v>-6.8982996659853564E-6</v>
      </c>
      <c r="H400" s="69">
        <f t="shared" si="295"/>
        <v>-6.8982996659853564E-6</v>
      </c>
      <c r="I400" s="69">
        <f t="shared" si="295"/>
        <v>-6.8982996659853564E-6</v>
      </c>
      <c r="J400" s="69">
        <f t="shared" si="295"/>
        <v>-6.8982996659853564E-6</v>
      </c>
      <c r="K400" s="69">
        <f t="shared" si="295"/>
        <v>-6.8982996659853564E-6</v>
      </c>
      <c r="L400" s="69">
        <f t="shared" si="295"/>
        <v>-6.8982996659853564E-6</v>
      </c>
      <c r="M400" s="69">
        <f t="shared" si="295"/>
        <v>-6.8982996659853564E-6</v>
      </c>
      <c r="N400" s="69">
        <f t="shared" si="295"/>
        <v>-6.8982996659853564E-6</v>
      </c>
      <c r="O400" s="69">
        <f t="shared" si="295"/>
        <v>-6.8982996659853564E-6</v>
      </c>
      <c r="P400" s="69">
        <f t="shared" si="295"/>
        <v>-6.8982996659853564E-6</v>
      </c>
      <c r="Q400" s="69">
        <f t="shared" si="295"/>
        <v>-6.8982996659853564E-6</v>
      </c>
      <c r="R400" s="69">
        <f t="shared" si="295"/>
        <v>-6.8982996659853564E-6</v>
      </c>
      <c r="S400" s="69">
        <f t="shared" si="295"/>
        <v>-6.8982996659853564E-6</v>
      </c>
      <c r="T400" s="69">
        <f t="shared" si="295"/>
        <v>-6.8982996659853564E-6</v>
      </c>
      <c r="U400" s="69">
        <f t="shared" si="295"/>
        <v>-6.8982996659853564E-6</v>
      </c>
      <c r="V400" s="69">
        <f t="shared" si="295"/>
        <v>-6.8982996659853564E-6</v>
      </c>
      <c r="W400" s="69">
        <f t="shared" si="295"/>
        <v>-6.8982996659853564E-6</v>
      </c>
      <c r="X400" s="69">
        <f t="shared" si="295"/>
        <v>-6.8982996659853564E-6</v>
      </c>
      <c r="Y400" s="69">
        <f t="shared" si="295"/>
        <v>-6.8982996659853564E-6</v>
      </c>
      <c r="Z400" s="69">
        <f t="shared" si="295"/>
        <v>-6.8982996659853564E-6</v>
      </c>
      <c r="AA400" s="69">
        <f t="shared" si="295"/>
        <v>-6.8982996659853564E-6</v>
      </c>
      <c r="AB400" s="69">
        <f t="shared" si="295"/>
        <v>-6.8982996659853564E-6</v>
      </c>
      <c r="AC400" s="69">
        <f t="shared" si="295"/>
        <v>-6.8982996659853564E-6</v>
      </c>
    </row>
    <row r="401" spans="1:29" x14ac:dyDescent="0.25">
      <c r="A401" s="30" t="str">
        <f t="shared" si="291"/>
        <v>Opex fix (admin, crew, insurance)</v>
      </c>
      <c r="B401" s="66">
        <f>B359/B370/(B367)</f>
        <v>1.0654632223259673E-3</v>
      </c>
      <c r="C401" s="66">
        <f t="shared" ref="C401:AC401" si="296">C359/C370/(C367)</f>
        <v>1.0654632223259673E-3</v>
      </c>
      <c r="D401" s="66">
        <f t="shared" si="296"/>
        <v>1.0654632223259673E-3</v>
      </c>
      <c r="E401" s="66">
        <f t="shared" si="296"/>
        <v>1.0654632223259673E-3</v>
      </c>
      <c r="F401" s="66">
        <f t="shared" si="296"/>
        <v>1.0654632223259673E-3</v>
      </c>
      <c r="G401" s="66">
        <f t="shared" si="296"/>
        <v>1.0654632223259673E-3</v>
      </c>
      <c r="H401" s="66">
        <f t="shared" si="296"/>
        <v>1.0654632223259673E-3</v>
      </c>
      <c r="I401" s="66">
        <f t="shared" si="296"/>
        <v>1.0654632223259673E-3</v>
      </c>
      <c r="J401" s="66">
        <f t="shared" si="296"/>
        <v>1.0654632223259673E-3</v>
      </c>
      <c r="K401" s="66">
        <f t="shared" si="296"/>
        <v>1.0654632223259673E-3</v>
      </c>
      <c r="L401" s="66">
        <f t="shared" si="296"/>
        <v>1.0654632223259673E-3</v>
      </c>
      <c r="M401" s="66">
        <f t="shared" si="296"/>
        <v>1.0654632223259673E-3</v>
      </c>
      <c r="N401" s="66">
        <f t="shared" si="296"/>
        <v>1.0654632223259673E-3</v>
      </c>
      <c r="O401" s="66">
        <f t="shared" si="296"/>
        <v>1.0654632223259673E-3</v>
      </c>
      <c r="P401" s="66">
        <f t="shared" si="296"/>
        <v>1.0654632223259673E-3</v>
      </c>
      <c r="Q401" s="66">
        <f t="shared" si="296"/>
        <v>1.0654632223259673E-3</v>
      </c>
      <c r="R401" s="66">
        <f t="shared" si="296"/>
        <v>1.0654632223259673E-3</v>
      </c>
      <c r="S401" s="66">
        <f t="shared" si="296"/>
        <v>1.0654632223259673E-3</v>
      </c>
      <c r="T401" s="66">
        <f t="shared" si="296"/>
        <v>1.0654632223259673E-3</v>
      </c>
      <c r="U401" s="66">
        <f t="shared" si="296"/>
        <v>1.0654632223259673E-3</v>
      </c>
      <c r="V401" s="66">
        <f t="shared" si="296"/>
        <v>1.0654632223259673E-3</v>
      </c>
      <c r="W401" s="66">
        <f t="shared" si="296"/>
        <v>1.0654632223259673E-3</v>
      </c>
      <c r="X401" s="66">
        <f t="shared" si="296"/>
        <v>1.0654632223259673E-3</v>
      </c>
      <c r="Y401" s="66">
        <f t="shared" si="296"/>
        <v>1.0654632223259673E-3</v>
      </c>
      <c r="Z401" s="66">
        <f t="shared" si="296"/>
        <v>1.0654632223259673E-3</v>
      </c>
      <c r="AA401" s="66">
        <f t="shared" si="296"/>
        <v>1.0654632223259673E-3</v>
      </c>
      <c r="AB401" s="66">
        <f t="shared" si="296"/>
        <v>1.0654632223259673E-3</v>
      </c>
      <c r="AC401" s="66">
        <f t="shared" si="296"/>
        <v>1.0654632223259673E-3</v>
      </c>
    </row>
    <row r="402" spans="1:29" x14ac:dyDescent="0.25">
      <c r="A402" s="30" t="str">
        <f t="shared" si="291"/>
        <v>Opex maintenance &amp; repair</v>
      </c>
      <c r="B402" s="66">
        <f>B360/B370/(B367)</f>
        <v>4.305425874053325E-4</v>
      </c>
      <c r="C402" s="66">
        <f t="shared" ref="C402:AC402" si="297">C360/C370/(C367)</f>
        <v>4.305425874053325E-4</v>
      </c>
      <c r="D402" s="66">
        <f t="shared" si="297"/>
        <v>4.305425874053325E-4</v>
      </c>
      <c r="E402" s="66">
        <f t="shared" si="297"/>
        <v>4.305425874053325E-4</v>
      </c>
      <c r="F402" s="66">
        <f t="shared" si="297"/>
        <v>4.305425874053325E-4</v>
      </c>
      <c r="G402" s="66">
        <f t="shared" si="297"/>
        <v>4.305425874053325E-4</v>
      </c>
      <c r="H402" s="66">
        <f t="shared" si="297"/>
        <v>4.305425874053325E-4</v>
      </c>
      <c r="I402" s="66">
        <f t="shared" si="297"/>
        <v>4.305425874053325E-4</v>
      </c>
      <c r="J402" s="66">
        <f t="shared" si="297"/>
        <v>4.305425874053325E-4</v>
      </c>
      <c r="K402" s="66">
        <f t="shared" si="297"/>
        <v>4.305425874053325E-4</v>
      </c>
      <c r="L402" s="66">
        <f t="shared" si="297"/>
        <v>4.305425874053325E-4</v>
      </c>
      <c r="M402" s="66">
        <f t="shared" si="297"/>
        <v>4.305425874053325E-4</v>
      </c>
      <c r="N402" s="66">
        <f t="shared" si="297"/>
        <v>4.305425874053325E-4</v>
      </c>
      <c r="O402" s="66">
        <f t="shared" si="297"/>
        <v>4.305425874053325E-4</v>
      </c>
      <c r="P402" s="66">
        <f t="shared" si="297"/>
        <v>4.305425874053325E-4</v>
      </c>
      <c r="Q402" s="66">
        <f t="shared" si="297"/>
        <v>4.305425874053325E-4</v>
      </c>
      <c r="R402" s="66">
        <f t="shared" si="297"/>
        <v>4.305425874053325E-4</v>
      </c>
      <c r="S402" s="66">
        <f t="shared" si="297"/>
        <v>4.305425874053325E-4</v>
      </c>
      <c r="T402" s="66">
        <f t="shared" si="297"/>
        <v>4.305425874053325E-4</v>
      </c>
      <c r="U402" s="66">
        <f t="shared" si="297"/>
        <v>4.305425874053325E-4</v>
      </c>
      <c r="V402" s="66">
        <f t="shared" si="297"/>
        <v>4.305425874053325E-4</v>
      </c>
      <c r="W402" s="66">
        <f t="shared" si="297"/>
        <v>4.305425874053325E-4</v>
      </c>
      <c r="X402" s="66">
        <f t="shared" si="297"/>
        <v>4.305425874053325E-4</v>
      </c>
      <c r="Y402" s="66">
        <f t="shared" si="297"/>
        <v>4.305425874053325E-4</v>
      </c>
      <c r="Z402" s="66">
        <f t="shared" si="297"/>
        <v>4.305425874053325E-4</v>
      </c>
      <c r="AA402" s="66">
        <f t="shared" si="297"/>
        <v>4.305425874053325E-4</v>
      </c>
      <c r="AB402" s="66">
        <f t="shared" si="297"/>
        <v>4.305425874053325E-4</v>
      </c>
      <c r="AC402" s="66">
        <f t="shared" si="297"/>
        <v>4.305425874053325E-4</v>
      </c>
    </row>
    <row r="403" spans="1:29" x14ac:dyDescent="0.25">
      <c r="A403" s="30" t="str">
        <f t="shared" si="291"/>
        <v>Opex var (mode-fees)</v>
      </c>
      <c r="B403" s="66">
        <f>B361*B370/B370/(B367)</f>
        <v>8.6011184229469056E-5</v>
      </c>
      <c r="C403" s="66">
        <f t="shared" ref="C403:AC403" si="298">C361*C370/C370/(C367)</f>
        <v>8.6011184229469056E-5</v>
      </c>
      <c r="D403" s="66">
        <f t="shared" si="298"/>
        <v>8.6011184229469056E-5</v>
      </c>
      <c r="E403" s="66">
        <f t="shared" si="298"/>
        <v>8.6011184229469056E-5</v>
      </c>
      <c r="F403" s="66">
        <f t="shared" si="298"/>
        <v>8.6011184229469056E-5</v>
      </c>
      <c r="G403" s="66">
        <f t="shared" si="298"/>
        <v>8.6011184229469056E-5</v>
      </c>
      <c r="H403" s="66">
        <f t="shared" si="298"/>
        <v>8.6011184229469056E-5</v>
      </c>
      <c r="I403" s="66">
        <f t="shared" si="298"/>
        <v>8.6011184229469056E-5</v>
      </c>
      <c r="J403" s="66">
        <f t="shared" si="298"/>
        <v>8.6011184229469056E-5</v>
      </c>
      <c r="K403" s="66">
        <f t="shared" si="298"/>
        <v>8.6011184229469056E-5</v>
      </c>
      <c r="L403" s="66">
        <f t="shared" si="298"/>
        <v>8.6011184229469056E-5</v>
      </c>
      <c r="M403" s="66">
        <f t="shared" si="298"/>
        <v>8.6011184229469056E-5</v>
      </c>
      <c r="N403" s="66">
        <f t="shared" si="298"/>
        <v>8.6011184229469056E-5</v>
      </c>
      <c r="O403" s="66">
        <f t="shared" si="298"/>
        <v>8.6011184229469056E-5</v>
      </c>
      <c r="P403" s="66">
        <f t="shared" si="298"/>
        <v>8.6011184229469056E-5</v>
      </c>
      <c r="Q403" s="66">
        <f t="shared" si="298"/>
        <v>8.6011184229469056E-5</v>
      </c>
      <c r="R403" s="66">
        <f t="shared" si="298"/>
        <v>8.6011184229469056E-5</v>
      </c>
      <c r="S403" s="66">
        <f t="shared" si="298"/>
        <v>8.6011184229469056E-5</v>
      </c>
      <c r="T403" s="66">
        <f t="shared" si="298"/>
        <v>8.6011184229469056E-5</v>
      </c>
      <c r="U403" s="66">
        <f t="shared" si="298"/>
        <v>8.6011184229469056E-5</v>
      </c>
      <c r="V403" s="66">
        <f t="shared" si="298"/>
        <v>8.6011184229469056E-5</v>
      </c>
      <c r="W403" s="66">
        <f t="shared" si="298"/>
        <v>8.6011184229469056E-5</v>
      </c>
      <c r="X403" s="66">
        <f t="shared" si="298"/>
        <v>8.6011184229469056E-5</v>
      </c>
      <c r="Y403" s="66">
        <f t="shared" si="298"/>
        <v>8.6011184229469056E-5</v>
      </c>
      <c r="Z403" s="66">
        <f t="shared" si="298"/>
        <v>8.6011184229469056E-5</v>
      </c>
      <c r="AA403" s="66">
        <f t="shared" si="298"/>
        <v>8.6011184229469056E-5</v>
      </c>
      <c r="AB403" s="66">
        <f t="shared" si="298"/>
        <v>8.6011184229469056E-5</v>
      </c>
      <c r="AC403" s="66">
        <f t="shared" si="298"/>
        <v>8.6011184229469056E-5</v>
      </c>
    </row>
    <row r="404" spans="1:29" x14ac:dyDescent="0.25">
      <c r="A404" s="30" t="str">
        <f t="shared" si="291"/>
        <v>Fuel Cost</v>
      </c>
      <c r="B404" s="66">
        <f>B362*B363*B370/B370/(B367)</f>
        <v>4.1072811176853007E-3</v>
      </c>
      <c r="C404" s="66">
        <f t="shared" ref="C404:AC404" si="299">C362*C363*C370/C370/(C367)</f>
        <v>4.1069975801788601E-3</v>
      </c>
      <c r="D404" s="66">
        <f t="shared" si="299"/>
        <v>4.106591702553679E-3</v>
      </c>
      <c r="E404" s="66">
        <f t="shared" si="299"/>
        <v>4.1060110660682677E-3</v>
      </c>
      <c r="F404" s="66">
        <f t="shared" si="299"/>
        <v>4.1051812084068112E-3</v>
      </c>
      <c r="G404" s="66">
        <f t="shared" si="299"/>
        <v>4.1039968221842377E-3</v>
      </c>
      <c r="H404" s="66">
        <f t="shared" si="299"/>
        <v>4.1023099656415452E-3</v>
      </c>
      <c r="I404" s="66">
        <f t="shared" si="299"/>
        <v>4.0999148711648248E-3</v>
      </c>
      <c r="J404" s="66">
        <f t="shared" si="299"/>
        <v>4.0965296352758638E-3</v>
      </c>
      <c r="K404" s="66">
        <f t="shared" si="299"/>
        <v>4.0917768251624784E-3</v>
      </c>
      <c r="L404" s="66">
        <f t="shared" si="299"/>
        <v>4.0851686937813745E-3</v>
      </c>
      <c r="M404" s="66">
        <f t="shared" si="299"/>
        <v>4.076109192868568E-3</v>
      </c>
      <c r="N404" s="66">
        <f t="shared" si="299"/>
        <v>4.0639341944186261E-3</v>
      </c>
      <c r="O404" s="66">
        <f t="shared" si="299"/>
        <v>4.0480191194078299E-3</v>
      </c>
      <c r="P404" s="66">
        <f t="shared" si="299"/>
        <v>4.0279767724285516E-3</v>
      </c>
      <c r="Q404" s="66">
        <f t="shared" si="299"/>
        <v>4.0039265313690777E-3</v>
      </c>
      <c r="R404" s="66">
        <f t="shared" si="299"/>
        <v>3.9767311524063443E-3</v>
      </c>
      <c r="S404" s="66">
        <f t="shared" si="299"/>
        <v>3.9480211024152199E-3</v>
      </c>
      <c r="T404" s="66">
        <f t="shared" si="299"/>
        <v>3.9198760125072774E-3</v>
      </c>
      <c r="U404" s="66">
        <f t="shared" si="299"/>
        <v>3.894254957838086E-3</v>
      </c>
      <c r="V404" s="66">
        <f t="shared" si="299"/>
        <v>3.8724807098776209E-3</v>
      </c>
      <c r="W404" s="66">
        <f t="shared" si="299"/>
        <v>3.8550434368081602E-3</v>
      </c>
      <c r="X404" s="66">
        <f t="shared" si="299"/>
        <v>3.8417380235347544E-3</v>
      </c>
      <c r="Y404" s="66">
        <f t="shared" si="299"/>
        <v>3.8319574776831127E-3</v>
      </c>
      <c r="Z404" s="66">
        <f t="shared" si="299"/>
        <v>3.8249645288910635E-3</v>
      </c>
      <c r="AA404" s="66">
        <f t="shared" si="299"/>
        <v>3.8200635045040725E-3</v>
      </c>
      <c r="AB404" s="66">
        <f t="shared" si="299"/>
        <v>3.8166765954121581E-3</v>
      </c>
      <c r="AC404" s="66">
        <f t="shared" si="299"/>
        <v>3.8143587647444083E-3</v>
      </c>
    </row>
    <row r="405" spans="1:29" x14ac:dyDescent="0.25">
      <c r="A405" s="59" t="str">
        <f>A368</f>
        <v>Market failure (av. utilization)</v>
      </c>
      <c r="B405" s="66">
        <f t="shared" ref="B405:AC405" si="300">B394/B368-B394/B367</f>
        <v>4.0145563785249361E-3</v>
      </c>
      <c r="C405" s="66">
        <f t="shared" si="300"/>
        <v>4.0162790107874206E-3</v>
      </c>
      <c r="D405" s="66">
        <f t="shared" si="300"/>
        <v>4.0187449205026267E-3</v>
      </c>
      <c r="E405" s="66">
        <f t="shared" si="300"/>
        <v>4.0222725777607528E-3</v>
      </c>
      <c r="F405" s="66">
        <f t="shared" si="300"/>
        <v>4.0273143783988354E-3</v>
      </c>
      <c r="G405" s="66">
        <f t="shared" si="300"/>
        <v>4.0345101174876809E-3</v>
      </c>
      <c r="H405" s="66">
        <f t="shared" si="300"/>
        <v>4.0447586152582288E-3</v>
      </c>
      <c r="I405" s="66">
        <f t="shared" si="300"/>
        <v>4.0593100129519243E-3</v>
      </c>
      <c r="J405" s="66">
        <f t="shared" si="300"/>
        <v>4.0798770152919231E-3</v>
      </c>
      <c r="K405" s="66">
        <f t="shared" si="300"/>
        <v>4.1087527155178223E-3</v>
      </c>
      <c r="L405" s="66">
        <f t="shared" si="300"/>
        <v>4.1489004210355958E-3</v>
      </c>
      <c r="M405" s="66">
        <f t="shared" si="300"/>
        <v>4.2039414233718125E-3</v>
      </c>
      <c r="N405" s="66">
        <f t="shared" si="300"/>
        <v>4.2779106325563261E-3</v>
      </c>
      <c r="O405" s="66">
        <f t="shared" si="300"/>
        <v>4.374602678760775E-3</v>
      </c>
      <c r="P405" s="66">
        <f t="shared" si="300"/>
        <v>4.4963699678782481E-3</v>
      </c>
      <c r="Q405" s="66">
        <f t="shared" si="300"/>
        <v>4.642487219488638E-3</v>
      </c>
      <c r="R405" s="66">
        <f t="shared" si="300"/>
        <v>4.8077127580065607E-3</v>
      </c>
      <c r="S405" s="66">
        <f t="shared" si="300"/>
        <v>4.9821406811166105E-3</v>
      </c>
      <c r="T405" s="66">
        <f t="shared" si="300"/>
        <v>5.153136188958133E-3</v>
      </c>
      <c r="U405" s="66">
        <f t="shared" si="300"/>
        <v>5.3087969194416194E-3</v>
      </c>
      <c r="V405" s="66">
        <f t="shared" si="300"/>
        <v>5.4410863738382949E-3</v>
      </c>
      <c r="W405" s="66">
        <f t="shared" si="300"/>
        <v>5.5470265351110597E-3</v>
      </c>
      <c r="X405" s="66">
        <f t="shared" si="300"/>
        <v>5.6278635801220774E-3</v>
      </c>
      <c r="Y405" s="66">
        <f t="shared" si="300"/>
        <v>5.6872852913455538E-3</v>
      </c>
      <c r="Z405" s="66">
        <f t="shared" si="300"/>
        <v>5.7297709552363903E-3</v>
      </c>
      <c r="AA405" s="66">
        <f t="shared" si="300"/>
        <v>5.7595471313558692E-3</v>
      </c>
      <c r="AB405" s="66">
        <f t="shared" si="300"/>
        <v>5.7801242992412474E-3</v>
      </c>
      <c r="AC405" s="66">
        <f t="shared" si="300"/>
        <v>5.7942062806248182E-3</v>
      </c>
    </row>
    <row r="406" spans="1:29" x14ac:dyDescent="0.25">
      <c r="A406" s="59" t="str">
        <f>A369</f>
        <v>Payload loss (fuel)</v>
      </c>
      <c r="B406" s="66">
        <f>B394/(B367-B369)-B394/B367</f>
        <v>0</v>
      </c>
      <c r="C406" s="66">
        <f t="shared" ref="C406:AC406" si="301">C394/(C367-C369)-C394/C367</f>
        <v>0</v>
      </c>
      <c r="D406" s="66">
        <f t="shared" si="301"/>
        <v>0</v>
      </c>
      <c r="E406" s="66">
        <f t="shared" si="301"/>
        <v>0</v>
      </c>
      <c r="F406" s="66">
        <f t="shared" si="301"/>
        <v>0</v>
      </c>
      <c r="G406" s="66">
        <f t="shared" si="301"/>
        <v>0</v>
      </c>
      <c r="H406" s="66">
        <f t="shared" si="301"/>
        <v>0</v>
      </c>
      <c r="I406" s="66">
        <f t="shared" si="301"/>
        <v>0</v>
      </c>
      <c r="J406" s="66">
        <f t="shared" si="301"/>
        <v>0</v>
      </c>
      <c r="K406" s="66">
        <f t="shared" si="301"/>
        <v>0</v>
      </c>
      <c r="L406" s="66">
        <f t="shared" si="301"/>
        <v>0</v>
      </c>
      <c r="M406" s="66">
        <f t="shared" si="301"/>
        <v>0</v>
      </c>
      <c r="N406" s="66">
        <f t="shared" si="301"/>
        <v>0</v>
      </c>
      <c r="O406" s="66">
        <f t="shared" si="301"/>
        <v>0</v>
      </c>
      <c r="P406" s="66">
        <f t="shared" si="301"/>
        <v>0</v>
      </c>
      <c r="Q406" s="66">
        <f t="shared" si="301"/>
        <v>0</v>
      </c>
      <c r="R406" s="66">
        <f t="shared" si="301"/>
        <v>0</v>
      </c>
      <c r="S406" s="66">
        <f t="shared" si="301"/>
        <v>0</v>
      </c>
      <c r="T406" s="66">
        <f t="shared" si="301"/>
        <v>0</v>
      </c>
      <c r="U406" s="66">
        <f t="shared" si="301"/>
        <v>0</v>
      </c>
      <c r="V406" s="66">
        <f t="shared" si="301"/>
        <v>0</v>
      </c>
      <c r="W406" s="66">
        <f t="shared" si="301"/>
        <v>0</v>
      </c>
      <c r="X406" s="66">
        <f t="shared" si="301"/>
        <v>0</v>
      </c>
      <c r="Y406" s="66">
        <f t="shared" si="301"/>
        <v>0</v>
      </c>
      <c r="Z406" s="66">
        <f t="shared" si="301"/>
        <v>0</v>
      </c>
      <c r="AA406" s="66">
        <f t="shared" si="301"/>
        <v>0</v>
      </c>
      <c r="AB406" s="66">
        <f t="shared" si="301"/>
        <v>0</v>
      </c>
      <c r="AC406" s="66">
        <f t="shared" si="301"/>
        <v>0</v>
      </c>
    </row>
    <row r="407" spans="1:29" ht="15.75" thickBot="1" x14ac:dyDescent="0.3">
      <c r="A407" s="59" t="str">
        <f>A344</f>
        <v>Emission Cost</v>
      </c>
      <c r="B407" s="68">
        <f>B364*B370/B370/(B367)</f>
        <v>1.8343688133195604E-3</v>
      </c>
      <c r="C407" s="68">
        <f t="shared" ref="C407:AC407" si="302">C364*C370/C370/(C367)</f>
        <v>1.8382637861199969E-3</v>
      </c>
      <c r="D407" s="68">
        <f t="shared" si="302"/>
        <v>1.8438393529302977E-3</v>
      </c>
      <c r="E407" s="68">
        <f t="shared" si="302"/>
        <v>1.8518155933438187E-3</v>
      </c>
      <c r="F407" s="68">
        <f t="shared" si="302"/>
        <v>1.8632154009395707E-3</v>
      </c>
      <c r="G407" s="68">
        <f t="shared" si="302"/>
        <v>1.879485389979293E-3</v>
      </c>
      <c r="H407" s="68">
        <f t="shared" si="302"/>
        <v>1.9026578458370806E-3</v>
      </c>
      <c r="I407" s="68">
        <f t="shared" si="302"/>
        <v>1.9355594113421553E-3</v>
      </c>
      <c r="J407" s="68">
        <f t="shared" si="302"/>
        <v>1.9820626125449966E-3</v>
      </c>
      <c r="K407" s="68">
        <f t="shared" si="302"/>
        <v>2.0473522680465386E-3</v>
      </c>
      <c r="L407" s="68">
        <f t="shared" si="302"/>
        <v>2.1381285900725503E-3</v>
      </c>
      <c r="M407" s="68">
        <f t="shared" si="302"/>
        <v>2.2625795316212503E-3</v>
      </c>
      <c r="N407" s="68">
        <f t="shared" si="302"/>
        <v>2.4298282614389497E-3</v>
      </c>
      <c r="O407" s="68">
        <f t="shared" si="302"/>
        <v>2.6484546613890813E-3</v>
      </c>
      <c r="P407" s="68">
        <f t="shared" si="302"/>
        <v>2.9237776594684796E-3</v>
      </c>
      <c r="Q407" s="68">
        <f t="shared" si="302"/>
        <v>3.2541573540158593E-3</v>
      </c>
      <c r="R407" s="68">
        <f t="shared" si="302"/>
        <v>3.6277420084311488E-3</v>
      </c>
      <c r="S407" s="68">
        <f t="shared" si="302"/>
        <v>4.022133795318102E-3</v>
      </c>
      <c r="T407" s="68">
        <f t="shared" si="302"/>
        <v>4.4087646895282669E-3</v>
      </c>
      <c r="U407" s="68">
        <f t="shared" si="302"/>
        <v>4.7607227507658533E-3</v>
      </c>
      <c r="V407" s="68">
        <f t="shared" si="302"/>
        <v>5.059836983026064E-3</v>
      </c>
      <c r="W407" s="68">
        <f t="shared" si="302"/>
        <v>5.2993739147425382E-3</v>
      </c>
      <c r="X407" s="68">
        <f t="shared" si="302"/>
        <v>5.4821512250499103E-3</v>
      </c>
      <c r="Y407" s="68">
        <f t="shared" si="302"/>
        <v>5.6165072068873048E-3</v>
      </c>
      <c r="Z407" s="68">
        <f t="shared" si="302"/>
        <v>5.7125697902181494E-3</v>
      </c>
      <c r="AA407" s="68">
        <f t="shared" si="302"/>
        <v>5.7798954746443379E-3</v>
      </c>
      <c r="AB407" s="68">
        <f t="shared" si="302"/>
        <v>5.8264216607428025E-3</v>
      </c>
      <c r="AC407" s="68">
        <f t="shared" si="302"/>
        <v>5.8582618483787648E-3</v>
      </c>
    </row>
    <row r="408" spans="1:29" ht="15.75" thickBot="1" x14ac:dyDescent="0.3">
      <c r="A408" s="31" t="s">
        <v>210</v>
      </c>
      <c r="B408" s="76">
        <f>B397+B398+B399+B400+B401+B402+B403+B404+B405+B406+B407</f>
        <v>1.2531692083558459E-2</v>
      </c>
      <c r="C408" s="67">
        <f t="shared" ref="C408:AC408" si="303">C397+C398+C399+C400+C401+C402+C403+C404+C405+C406+C407</f>
        <v>1.2537075309378724E-2</v>
      </c>
      <c r="D408" s="67">
        <f t="shared" si="303"/>
        <v>1.2544781277238742E-2</v>
      </c>
      <c r="E408" s="67">
        <f t="shared" si="303"/>
        <v>1.2555805206170386E-2</v>
      </c>
      <c r="F408" s="67">
        <f t="shared" si="303"/>
        <v>1.2571560833164394E-2</v>
      </c>
      <c r="G408" s="67">
        <f t="shared" si="303"/>
        <v>1.2594047517817036E-2</v>
      </c>
      <c r="H408" s="67">
        <f t="shared" si="303"/>
        <v>1.2626074073349997E-2</v>
      </c>
      <c r="I408" s="67">
        <f t="shared" si="303"/>
        <v>1.2671547191142796E-2</v>
      </c>
      <c r="J408" s="67">
        <f t="shared" si="303"/>
        <v>1.2735819073455293E-2</v>
      </c>
      <c r="K408" s="67">
        <f t="shared" si="303"/>
        <v>1.2826055636661227E-2</v>
      </c>
      <c r="L408" s="67">
        <f t="shared" si="303"/>
        <v>1.2951517216404272E-2</v>
      </c>
      <c r="M408" s="67">
        <f t="shared" si="303"/>
        <v>1.312352034870495E-2</v>
      </c>
      <c r="N408" s="67">
        <f t="shared" si="303"/>
        <v>1.3354674127406551E-2</v>
      </c>
      <c r="O408" s="67">
        <f t="shared" si="303"/>
        <v>1.3656836771795453E-2</v>
      </c>
      <c r="P408" s="67">
        <f t="shared" si="303"/>
        <v>1.4037359550287561E-2</v>
      </c>
      <c r="Q408" s="67">
        <f t="shared" si="303"/>
        <v>1.4493975961570024E-2</v>
      </c>
      <c r="R408" s="67">
        <f t="shared" si="303"/>
        <v>1.5010305769438539E-2</v>
      </c>
      <c r="S408" s="67">
        <f t="shared" si="303"/>
        <v>1.5555393029157439E-2</v>
      </c>
      <c r="T408" s="67">
        <f t="shared" si="303"/>
        <v>1.6089753991162196E-2</v>
      </c>
      <c r="U408" s="67">
        <f t="shared" si="303"/>
        <v>1.6576193773923092E-2</v>
      </c>
      <c r="V408" s="67">
        <f t="shared" si="303"/>
        <v>1.6989598318912703E-2</v>
      </c>
      <c r="W408" s="67">
        <f t="shared" si="303"/>
        <v>1.7320661322890098E-2</v>
      </c>
      <c r="X408" s="67">
        <f t="shared" si="303"/>
        <v>1.7573277088549524E-2</v>
      </c>
      <c r="Y408" s="67">
        <f t="shared" si="303"/>
        <v>1.775896993612289E-2</v>
      </c>
      <c r="Z408" s="67">
        <f t="shared" si="303"/>
        <v>1.7891737635781751E-2</v>
      </c>
      <c r="AA408" s="67">
        <f t="shared" si="303"/>
        <v>1.7984788186155128E-2</v>
      </c>
      <c r="AB408" s="67">
        <f t="shared" si="303"/>
        <v>1.8049091835796931E-2</v>
      </c>
      <c r="AC408" s="67">
        <f t="shared" si="303"/>
        <v>1.8093098027620588E-2</v>
      </c>
    </row>
    <row r="410" spans="1:29" x14ac:dyDescent="0.25">
      <c r="B410" s="40"/>
    </row>
  </sheetData>
  <conditionalFormatting sqref="Q11:AR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117:AR133">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225:AR241">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334:AR350">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EF2AE-89C5-430D-A662-BB36471F229F}">
  <sheetPr>
    <tabColor theme="5"/>
  </sheetPr>
  <dimension ref="A1:AR410"/>
  <sheetViews>
    <sheetView topLeftCell="A340" zoomScale="80" zoomScaleNormal="80" workbookViewId="0">
      <selection activeCell="A341" sqref="A341"/>
    </sheetView>
  </sheetViews>
  <sheetFormatPr defaultColWidth="9.140625" defaultRowHeight="15" x14ac:dyDescent="0.25"/>
  <cols>
    <col min="1" max="1" width="38.5703125" style="4" customWidth="1"/>
    <col min="2" max="4" width="14.85546875" style="4" bestFit="1" customWidth="1"/>
    <col min="5" max="5" width="28" style="4" bestFit="1" customWidth="1"/>
    <col min="6" max="11" width="14.85546875" style="4" bestFit="1" customWidth="1"/>
    <col min="12" max="12" width="24.42578125" style="4" bestFit="1" customWidth="1"/>
    <col min="13" max="29" width="14.85546875" style="4" bestFit="1" customWidth="1"/>
    <col min="30" max="44" width="13.5703125" style="4" bestFit="1" customWidth="1"/>
    <col min="45" max="16384" width="9.140625" style="4"/>
  </cols>
  <sheetData>
    <row r="1" spans="1:44" s="3" customFormat="1" ht="21" x14ac:dyDescent="0.35">
      <c r="A1" s="2" t="str">
        <f>'Parameter Input'!A155</f>
        <v>Short-sea: Dry bulk</v>
      </c>
    </row>
    <row r="2" spans="1:44" s="3" customFormat="1" ht="21" x14ac:dyDescent="0.35">
      <c r="A2" s="2" t="s">
        <v>103</v>
      </c>
    </row>
    <row r="3" spans="1:44" x14ac:dyDescent="0.25">
      <c r="A3" s="33" t="s">
        <v>195</v>
      </c>
    </row>
    <row r="4" spans="1:44" x14ac:dyDescent="0.25">
      <c r="A4" s="33" t="s">
        <v>196</v>
      </c>
    </row>
    <row r="5" spans="1:44" ht="15.75" thickBot="1" x14ac:dyDescent="0.3">
      <c r="A5" s="34" t="s">
        <v>197</v>
      </c>
      <c r="B5" s="34"/>
    </row>
    <row r="6" spans="1:44" ht="15.75" thickBot="1" x14ac:dyDescent="0.3">
      <c r="A6" s="39" t="s">
        <v>198</v>
      </c>
      <c r="B6" s="35"/>
    </row>
    <row r="7" spans="1:44" ht="15.75" thickBot="1" x14ac:dyDescent="0.3">
      <c r="A7" s="38" t="s">
        <v>199</v>
      </c>
      <c r="B7" s="36"/>
    </row>
    <row r="8" spans="1:44" ht="15.75" thickBot="1" x14ac:dyDescent="0.3"/>
    <row r="9" spans="1:44"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18</v>
      </c>
      <c r="B11" s="41">
        <f>'Parameter Input'!$L$181</f>
        <v>30000000</v>
      </c>
      <c r="C11" s="42">
        <f>'Parameter Input'!$M$181</f>
        <v>19500000</v>
      </c>
      <c r="D11" s="1" t="s">
        <v>15</v>
      </c>
      <c r="L11" s="51">
        <f>'Parameter Input'!$O$181</f>
        <v>17</v>
      </c>
      <c r="M11" s="52">
        <v>0</v>
      </c>
      <c r="N11" s="52">
        <v>1</v>
      </c>
      <c r="O11" s="52">
        <f>'Parameter Input'!$P$181</f>
        <v>0.9</v>
      </c>
      <c r="P11" s="53">
        <f>'Parameter Input'!$Q$181</f>
        <v>0.4</v>
      </c>
      <c r="Q11" s="4">
        <f t="shared" ref="Q11:AR20" si="0">$N11+($M11-$N11)*((1/(1+EXP(-$P11*(Q$9-$L11)))^$O11))</f>
        <v>0.99780374543478534</v>
      </c>
      <c r="R11" s="4">
        <f t="shared" si="0"/>
        <v>0.99685359315256394</v>
      </c>
      <c r="S11" s="4">
        <f t="shared" si="0"/>
        <v>0.99549347132349975</v>
      </c>
      <c r="T11" s="4">
        <f t="shared" si="0"/>
        <v>0.99354772139898062</v>
      </c>
      <c r="U11" s="4">
        <f t="shared" si="0"/>
        <v>0.99076681540580536</v>
      </c>
      <c r="V11" s="4">
        <f t="shared" si="0"/>
        <v>0.9867978615748374</v>
      </c>
      <c r="W11" s="4">
        <f t="shared" si="0"/>
        <v>0.98114509762858249</v>
      </c>
      <c r="X11" s="4">
        <f t="shared" si="0"/>
        <v>0.97311898315872036</v>
      </c>
      <c r="Y11" s="4">
        <f t="shared" si="0"/>
        <v>0.96177484161592774</v>
      </c>
      <c r="Z11" s="4">
        <f t="shared" si="0"/>
        <v>0.94584787155511363</v>
      </c>
      <c r="AA11" s="4">
        <f t="shared" si="0"/>
        <v>0.92370360150141495</v>
      </c>
      <c r="AB11" s="4">
        <f t="shared" si="0"/>
        <v>0.89334463567658451</v>
      </c>
      <c r="AC11" s="4">
        <f t="shared" si="0"/>
        <v>0.85254543874327005</v>
      </c>
      <c r="AD11" s="4">
        <f t="shared" si="0"/>
        <v>0.79921300652623883</v>
      </c>
      <c r="AE11" s="4">
        <f t="shared" si="0"/>
        <v>0.73204982249993378</v>
      </c>
      <c r="AF11" s="4">
        <f t="shared" si="0"/>
        <v>0.65145592958786691</v>
      </c>
      <c r="AG11" s="4">
        <f t="shared" si="0"/>
        <v>0.56032247880849573</v>
      </c>
      <c r="AH11" s="4">
        <f t="shared" si="0"/>
        <v>0.46411326873185343</v>
      </c>
      <c r="AI11" s="4">
        <f t="shared" si="0"/>
        <v>0.36979727595523937</v>
      </c>
      <c r="AJ11" s="4">
        <f t="shared" si="0"/>
        <v>0.28393948637231203</v>
      </c>
      <c r="AK11" s="4">
        <f t="shared" si="0"/>
        <v>0.21097259161117732</v>
      </c>
      <c r="AL11" s="4">
        <f t="shared" si="0"/>
        <v>0.15253917653798199</v>
      </c>
      <c r="AM11" s="4">
        <f t="shared" si="0"/>
        <v>0.10795188737709993</v>
      </c>
      <c r="AN11" s="4">
        <f t="shared" si="0"/>
        <v>7.5176653938091809E-2</v>
      </c>
      <c r="AO11" s="4">
        <f t="shared" si="0"/>
        <v>5.1742836177502194E-2</v>
      </c>
      <c r="AP11" s="4">
        <f t="shared" si="0"/>
        <v>3.5319190625345942E-2</v>
      </c>
      <c r="AQ11" s="4">
        <f t="shared" si="0"/>
        <v>2.3969442072658165E-2</v>
      </c>
      <c r="AR11" s="4">
        <f t="shared" si="0"/>
        <v>1.6202243558389728E-2</v>
      </c>
    </row>
    <row r="12" spans="1:44" x14ac:dyDescent="0.25">
      <c r="A12" s="24" t="s">
        <v>28</v>
      </c>
      <c r="B12" s="60">
        <f>'Parameter Input'!$L$182</f>
        <v>-1500000</v>
      </c>
      <c r="C12" s="61">
        <f>'Parameter Input'!$M$182</f>
        <v>-1950000</v>
      </c>
      <c r="D12" s="1" t="s">
        <v>15</v>
      </c>
      <c r="L12" s="54">
        <f>'Parameter Input'!$O$182</f>
        <v>17</v>
      </c>
      <c r="M12" s="37">
        <v>0</v>
      </c>
      <c r="N12" s="37">
        <v>1</v>
      </c>
      <c r="O12" s="37">
        <f>'Parameter Input'!$P$182</f>
        <v>0.9</v>
      </c>
      <c r="P12" s="55">
        <f>'Parameter Input'!$Q$182</f>
        <v>0.4</v>
      </c>
      <c r="Q12" s="4">
        <f t="shared" si="0"/>
        <v>0.99780374543478534</v>
      </c>
      <c r="R12" s="4">
        <f t="shared" si="0"/>
        <v>0.99685359315256394</v>
      </c>
      <c r="S12" s="4">
        <f t="shared" si="0"/>
        <v>0.99549347132349975</v>
      </c>
      <c r="T12" s="4">
        <f t="shared" si="0"/>
        <v>0.99354772139898062</v>
      </c>
      <c r="U12" s="4">
        <f t="shared" si="0"/>
        <v>0.99076681540580536</v>
      </c>
      <c r="V12" s="4">
        <f t="shared" si="0"/>
        <v>0.9867978615748374</v>
      </c>
      <c r="W12" s="4">
        <f t="shared" si="0"/>
        <v>0.98114509762858249</v>
      </c>
      <c r="X12" s="4">
        <f t="shared" si="0"/>
        <v>0.97311898315872036</v>
      </c>
      <c r="Y12" s="4">
        <f t="shared" si="0"/>
        <v>0.96177484161592774</v>
      </c>
      <c r="Z12" s="4">
        <f t="shared" si="0"/>
        <v>0.94584787155511363</v>
      </c>
      <c r="AA12" s="4">
        <f t="shared" si="0"/>
        <v>0.92370360150141495</v>
      </c>
      <c r="AB12" s="4">
        <f t="shared" si="0"/>
        <v>0.89334463567658451</v>
      </c>
      <c r="AC12" s="4">
        <f t="shared" si="0"/>
        <v>0.85254543874327005</v>
      </c>
      <c r="AD12" s="4">
        <f t="shared" si="0"/>
        <v>0.79921300652623883</v>
      </c>
      <c r="AE12" s="4">
        <f t="shared" si="0"/>
        <v>0.73204982249993378</v>
      </c>
      <c r="AF12" s="4">
        <f t="shared" si="0"/>
        <v>0.65145592958786691</v>
      </c>
      <c r="AG12" s="4">
        <f t="shared" si="0"/>
        <v>0.56032247880849573</v>
      </c>
      <c r="AH12" s="4">
        <f t="shared" si="0"/>
        <v>0.46411326873185343</v>
      </c>
      <c r="AI12" s="4">
        <f t="shared" si="0"/>
        <v>0.36979727595523937</v>
      </c>
      <c r="AJ12" s="4">
        <f t="shared" si="0"/>
        <v>0.28393948637231203</v>
      </c>
      <c r="AK12" s="4">
        <f t="shared" si="0"/>
        <v>0.21097259161117732</v>
      </c>
      <c r="AL12" s="4">
        <f t="shared" si="0"/>
        <v>0.15253917653798199</v>
      </c>
      <c r="AM12" s="4">
        <f t="shared" si="0"/>
        <v>0.10795188737709993</v>
      </c>
      <c r="AN12" s="4">
        <f t="shared" si="0"/>
        <v>7.5176653938091809E-2</v>
      </c>
      <c r="AO12" s="4">
        <f t="shared" si="0"/>
        <v>5.1742836177502194E-2</v>
      </c>
      <c r="AP12" s="4">
        <f t="shared" si="0"/>
        <v>3.5319190625345942E-2</v>
      </c>
      <c r="AQ12" s="4">
        <f t="shared" si="0"/>
        <v>2.3969442072658165E-2</v>
      </c>
      <c r="AR12" s="4">
        <f t="shared" si="0"/>
        <v>1.6202243558389728E-2</v>
      </c>
    </row>
    <row r="13" spans="1:44" x14ac:dyDescent="0.25">
      <c r="A13" s="24" t="s">
        <v>14</v>
      </c>
      <c r="B13" s="60">
        <f>'Parameter Input'!B156</f>
        <v>1000000</v>
      </c>
      <c r="C13" s="61">
        <f>'Parameter Input'!C156</f>
        <v>1000000</v>
      </c>
      <c r="D13" s="1" t="s">
        <v>15</v>
      </c>
      <c r="L13" s="54">
        <f>'Parameter Input'!E156</f>
        <v>17</v>
      </c>
      <c r="M13" s="37">
        <v>0</v>
      </c>
      <c r="N13" s="37">
        <v>1</v>
      </c>
      <c r="O13" s="37">
        <f>'Parameter Input'!F156</f>
        <v>0.9</v>
      </c>
      <c r="P13" s="55">
        <f>'Parameter Input'!G156</f>
        <v>0.4</v>
      </c>
      <c r="Q13" s="4">
        <f t="shared" si="0"/>
        <v>0.99780374543478534</v>
      </c>
      <c r="R13" s="4">
        <f t="shared" si="0"/>
        <v>0.99685359315256394</v>
      </c>
      <c r="S13" s="4">
        <f t="shared" si="0"/>
        <v>0.99549347132349975</v>
      </c>
      <c r="T13" s="4">
        <f t="shared" si="0"/>
        <v>0.99354772139898062</v>
      </c>
      <c r="U13" s="4">
        <f t="shared" si="0"/>
        <v>0.99076681540580536</v>
      </c>
      <c r="V13" s="4">
        <f t="shared" si="0"/>
        <v>0.9867978615748374</v>
      </c>
      <c r="W13" s="4">
        <f t="shared" si="0"/>
        <v>0.98114509762858249</v>
      </c>
      <c r="X13" s="4">
        <f t="shared" si="0"/>
        <v>0.97311898315872036</v>
      </c>
      <c r="Y13" s="4">
        <f t="shared" si="0"/>
        <v>0.96177484161592774</v>
      </c>
      <c r="Z13" s="4">
        <f t="shared" si="0"/>
        <v>0.94584787155511363</v>
      </c>
      <c r="AA13" s="4">
        <f t="shared" si="0"/>
        <v>0.92370360150141495</v>
      </c>
      <c r="AB13" s="4">
        <f t="shared" si="0"/>
        <v>0.89334463567658451</v>
      </c>
      <c r="AC13" s="4">
        <f t="shared" si="0"/>
        <v>0.85254543874327005</v>
      </c>
      <c r="AD13" s="4">
        <f t="shared" si="0"/>
        <v>0.79921300652623883</v>
      </c>
      <c r="AE13" s="4">
        <f t="shared" si="0"/>
        <v>0.73204982249993378</v>
      </c>
      <c r="AF13" s="4">
        <f t="shared" si="0"/>
        <v>0.65145592958786691</v>
      </c>
      <c r="AG13" s="4">
        <f t="shared" si="0"/>
        <v>0.56032247880849573</v>
      </c>
      <c r="AH13" s="4">
        <f t="shared" si="0"/>
        <v>0.46411326873185343</v>
      </c>
      <c r="AI13" s="4">
        <f t="shared" si="0"/>
        <v>0.36979727595523937</v>
      </c>
      <c r="AJ13" s="4">
        <f t="shared" si="0"/>
        <v>0.28393948637231203</v>
      </c>
      <c r="AK13" s="4">
        <f t="shared" si="0"/>
        <v>0.21097259161117732</v>
      </c>
      <c r="AL13" s="4">
        <f t="shared" si="0"/>
        <v>0.15253917653798199</v>
      </c>
      <c r="AM13" s="4">
        <f t="shared" si="0"/>
        <v>0.10795188737709993</v>
      </c>
      <c r="AN13" s="4">
        <f t="shared" si="0"/>
        <v>7.5176653938091809E-2</v>
      </c>
      <c r="AO13" s="4">
        <f t="shared" si="0"/>
        <v>5.1742836177502194E-2</v>
      </c>
      <c r="AP13" s="4">
        <f t="shared" si="0"/>
        <v>3.5319190625345942E-2</v>
      </c>
      <c r="AQ13" s="4">
        <f t="shared" si="0"/>
        <v>2.3969442072658165E-2</v>
      </c>
      <c r="AR13" s="4">
        <f t="shared" si="0"/>
        <v>1.6202243558389728E-2</v>
      </c>
    </row>
    <row r="14" spans="1:44" x14ac:dyDescent="0.25">
      <c r="A14" s="24" t="s">
        <v>25</v>
      </c>
      <c r="B14" s="60">
        <f>'Parameter Input'!B157</f>
        <v>-100000</v>
      </c>
      <c r="C14" s="61">
        <f>'Parameter Input'!C157</f>
        <v>-100000</v>
      </c>
      <c r="D14" s="1" t="s">
        <v>15</v>
      </c>
      <c r="L14" s="54">
        <f>'Parameter Input'!E157</f>
        <v>17</v>
      </c>
      <c r="M14" s="37">
        <v>0</v>
      </c>
      <c r="N14" s="37">
        <v>1</v>
      </c>
      <c r="O14" s="37">
        <f>'Parameter Input'!F157</f>
        <v>0.9</v>
      </c>
      <c r="P14" s="55">
        <f>'Parameter Input'!G157</f>
        <v>0.4</v>
      </c>
      <c r="Q14" s="4">
        <f t="shared" si="0"/>
        <v>0.99780374543478534</v>
      </c>
      <c r="R14" s="4">
        <f t="shared" si="0"/>
        <v>0.99685359315256394</v>
      </c>
      <c r="S14" s="4">
        <f t="shared" si="0"/>
        <v>0.99549347132349975</v>
      </c>
      <c r="T14" s="4">
        <f t="shared" si="0"/>
        <v>0.99354772139898062</v>
      </c>
      <c r="U14" s="4">
        <f t="shared" si="0"/>
        <v>0.99076681540580536</v>
      </c>
      <c r="V14" s="4">
        <f t="shared" si="0"/>
        <v>0.9867978615748374</v>
      </c>
      <c r="W14" s="4">
        <f t="shared" si="0"/>
        <v>0.98114509762858249</v>
      </c>
      <c r="X14" s="4">
        <f t="shared" si="0"/>
        <v>0.97311898315872036</v>
      </c>
      <c r="Y14" s="4">
        <f t="shared" si="0"/>
        <v>0.96177484161592774</v>
      </c>
      <c r="Z14" s="4">
        <f t="shared" si="0"/>
        <v>0.94584787155511363</v>
      </c>
      <c r="AA14" s="4">
        <f t="shared" si="0"/>
        <v>0.92370360150141495</v>
      </c>
      <c r="AB14" s="4">
        <f t="shared" si="0"/>
        <v>0.89334463567658451</v>
      </c>
      <c r="AC14" s="4">
        <f t="shared" si="0"/>
        <v>0.85254543874327005</v>
      </c>
      <c r="AD14" s="4">
        <f t="shared" si="0"/>
        <v>0.79921300652623883</v>
      </c>
      <c r="AE14" s="4">
        <f t="shared" si="0"/>
        <v>0.73204982249993378</v>
      </c>
      <c r="AF14" s="4">
        <f t="shared" si="0"/>
        <v>0.65145592958786691</v>
      </c>
      <c r="AG14" s="4">
        <f t="shared" si="0"/>
        <v>0.56032247880849573</v>
      </c>
      <c r="AH14" s="4">
        <f t="shared" si="0"/>
        <v>0.46411326873185343</v>
      </c>
      <c r="AI14" s="4">
        <f t="shared" si="0"/>
        <v>0.36979727595523937</v>
      </c>
      <c r="AJ14" s="4">
        <f t="shared" si="0"/>
        <v>0.28393948637231203</v>
      </c>
      <c r="AK14" s="4">
        <f t="shared" si="0"/>
        <v>0.21097259161117732</v>
      </c>
      <c r="AL14" s="4">
        <f t="shared" si="0"/>
        <v>0.15253917653798199</v>
      </c>
      <c r="AM14" s="4">
        <f t="shared" si="0"/>
        <v>0.10795188737709993</v>
      </c>
      <c r="AN14" s="4">
        <f t="shared" si="0"/>
        <v>7.5176653938091809E-2</v>
      </c>
      <c r="AO14" s="4">
        <f t="shared" si="0"/>
        <v>5.1742836177502194E-2</v>
      </c>
      <c r="AP14" s="4">
        <f t="shared" si="0"/>
        <v>3.5319190625345942E-2</v>
      </c>
      <c r="AQ14" s="4">
        <f t="shared" si="0"/>
        <v>2.3969442072658165E-2</v>
      </c>
      <c r="AR14" s="4">
        <f t="shared" si="0"/>
        <v>1.6202243558389728E-2</v>
      </c>
    </row>
    <row r="15" spans="1:44" x14ac:dyDescent="0.25">
      <c r="A15" s="24" t="s">
        <v>79</v>
      </c>
      <c r="B15" s="92">
        <f>'Parameter Input'!$L$188</f>
        <v>0.06</v>
      </c>
      <c r="C15" s="91">
        <f>'Parameter Input'!$M$188</f>
        <v>0.06</v>
      </c>
      <c r="D15" s="1" t="s">
        <v>57</v>
      </c>
      <c r="L15" s="54">
        <f>'Parameter Input'!$O$188</f>
        <v>17</v>
      </c>
      <c r="M15" s="37">
        <v>0</v>
      </c>
      <c r="N15" s="37">
        <v>1</v>
      </c>
      <c r="O15" s="37">
        <f>'Parameter Input'!$P$188</f>
        <v>0.9</v>
      </c>
      <c r="P15" s="55">
        <f>'Parameter Input'!$Q$188</f>
        <v>0.4</v>
      </c>
      <c r="Q15" s="4">
        <f t="shared" si="0"/>
        <v>0.99780374543478534</v>
      </c>
      <c r="R15" s="4">
        <f t="shared" si="0"/>
        <v>0.99685359315256394</v>
      </c>
      <c r="S15" s="4">
        <f t="shared" si="0"/>
        <v>0.99549347132349975</v>
      </c>
      <c r="T15" s="4">
        <f t="shared" si="0"/>
        <v>0.99354772139898062</v>
      </c>
      <c r="U15" s="4">
        <f t="shared" si="0"/>
        <v>0.99076681540580536</v>
      </c>
      <c r="V15" s="4">
        <f t="shared" si="0"/>
        <v>0.9867978615748374</v>
      </c>
      <c r="W15" s="4">
        <f t="shared" si="0"/>
        <v>0.98114509762858249</v>
      </c>
      <c r="X15" s="4">
        <f t="shared" si="0"/>
        <v>0.97311898315872036</v>
      </c>
      <c r="Y15" s="4">
        <f t="shared" si="0"/>
        <v>0.96177484161592774</v>
      </c>
      <c r="Z15" s="4">
        <f t="shared" si="0"/>
        <v>0.94584787155511363</v>
      </c>
      <c r="AA15" s="4">
        <f t="shared" si="0"/>
        <v>0.92370360150141495</v>
      </c>
      <c r="AB15" s="4">
        <f t="shared" si="0"/>
        <v>0.89334463567658451</v>
      </c>
      <c r="AC15" s="4">
        <f t="shared" si="0"/>
        <v>0.85254543874327005</v>
      </c>
      <c r="AD15" s="4">
        <f t="shared" si="0"/>
        <v>0.79921300652623883</v>
      </c>
      <c r="AE15" s="4">
        <f t="shared" si="0"/>
        <v>0.73204982249993378</v>
      </c>
      <c r="AF15" s="4">
        <f t="shared" si="0"/>
        <v>0.65145592958786691</v>
      </c>
      <c r="AG15" s="4">
        <f t="shared" si="0"/>
        <v>0.56032247880849573</v>
      </c>
      <c r="AH15" s="4">
        <f t="shared" si="0"/>
        <v>0.46411326873185343</v>
      </c>
      <c r="AI15" s="4">
        <f t="shared" si="0"/>
        <v>0.36979727595523937</v>
      </c>
      <c r="AJ15" s="4">
        <f t="shared" si="0"/>
        <v>0.28393948637231203</v>
      </c>
      <c r="AK15" s="4">
        <f t="shared" si="0"/>
        <v>0.21097259161117732</v>
      </c>
      <c r="AL15" s="4">
        <f t="shared" si="0"/>
        <v>0.15253917653798199</v>
      </c>
      <c r="AM15" s="4">
        <f t="shared" si="0"/>
        <v>0.10795188737709993</v>
      </c>
      <c r="AN15" s="4">
        <f t="shared" si="0"/>
        <v>7.5176653938091809E-2</v>
      </c>
      <c r="AO15" s="4">
        <f t="shared" si="0"/>
        <v>5.1742836177502194E-2</v>
      </c>
      <c r="AP15" s="4">
        <f t="shared" si="0"/>
        <v>3.5319190625345942E-2</v>
      </c>
      <c r="AQ15" s="4">
        <f t="shared" si="0"/>
        <v>2.3969442072658165E-2</v>
      </c>
      <c r="AR15" s="4">
        <f t="shared" si="0"/>
        <v>1.6202243558389728E-2</v>
      </c>
    </row>
    <row r="16" spans="1:44" x14ac:dyDescent="0.25">
      <c r="A16" s="24" t="s">
        <v>37</v>
      </c>
      <c r="B16" s="60">
        <f>'Parameter Input'!B158</f>
        <v>1208235.294117647</v>
      </c>
      <c r="C16" s="61">
        <f>'Parameter Input'!C158</f>
        <v>1208235.294117647</v>
      </c>
      <c r="D16" s="1" t="s">
        <v>38</v>
      </c>
      <c r="L16" s="54">
        <f>'Parameter Input'!E158</f>
        <v>17</v>
      </c>
      <c r="M16" s="37">
        <v>0</v>
      </c>
      <c r="N16" s="37">
        <v>1</v>
      </c>
      <c r="O16" s="37">
        <f>'Parameter Input'!F158</f>
        <v>0.9</v>
      </c>
      <c r="P16" s="55">
        <f>'Parameter Input'!G158</f>
        <v>0.4</v>
      </c>
      <c r="Q16" s="4">
        <f t="shared" si="0"/>
        <v>0.99780374543478534</v>
      </c>
      <c r="R16" s="4">
        <f t="shared" si="0"/>
        <v>0.99685359315256394</v>
      </c>
      <c r="S16" s="4">
        <f t="shared" si="0"/>
        <v>0.99549347132349975</v>
      </c>
      <c r="T16" s="4">
        <f t="shared" si="0"/>
        <v>0.99354772139898062</v>
      </c>
      <c r="U16" s="4">
        <f t="shared" si="0"/>
        <v>0.99076681540580536</v>
      </c>
      <c r="V16" s="4">
        <f t="shared" si="0"/>
        <v>0.9867978615748374</v>
      </c>
      <c r="W16" s="4">
        <f t="shared" si="0"/>
        <v>0.98114509762858249</v>
      </c>
      <c r="X16" s="4">
        <f t="shared" si="0"/>
        <v>0.97311898315872036</v>
      </c>
      <c r="Y16" s="4">
        <f t="shared" si="0"/>
        <v>0.96177484161592774</v>
      </c>
      <c r="Z16" s="4">
        <f t="shared" si="0"/>
        <v>0.94584787155511363</v>
      </c>
      <c r="AA16" s="4">
        <f t="shared" si="0"/>
        <v>0.92370360150141495</v>
      </c>
      <c r="AB16" s="4">
        <f t="shared" si="0"/>
        <v>0.89334463567658451</v>
      </c>
      <c r="AC16" s="4">
        <f t="shared" si="0"/>
        <v>0.85254543874327005</v>
      </c>
      <c r="AD16" s="4">
        <f t="shared" si="0"/>
        <v>0.79921300652623883</v>
      </c>
      <c r="AE16" s="4">
        <f t="shared" si="0"/>
        <v>0.73204982249993378</v>
      </c>
      <c r="AF16" s="4">
        <f t="shared" si="0"/>
        <v>0.65145592958786691</v>
      </c>
      <c r="AG16" s="4">
        <f t="shared" si="0"/>
        <v>0.56032247880849573</v>
      </c>
      <c r="AH16" s="4">
        <f t="shared" si="0"/>
        <v>0.46411326873185343</v>
      </c>
      <c r="AI16" s="4">
        <f t="shared" si="0"/>
        <v>0.36979727595523937</v>
      </c>
      <c r="AJ16" s="4">
        <f t="shared" si="0"/>
        <v>0.28393948637231203</v>
      </c>
      <c r="AK16" s="4">
        <f t="shared" si="0"/>
        <v>0.21097259161117732</v>
      </c>
      <c r="AL16" s="4">
        <f t="shared" si="0"/>
        <v>0.15253917653798199</v>
      </c>
      <c r="AM16" s="4">
        <f t="shared" si="0"/>
        <v>0.10795188737709993</v>
      </c>
      <c r="AN16" s="4">
        <f t="shared" si="0"/>
        <v>7.5176653938091809E-2</v>
      </c>
      <c r="AO16" s="4">
        <f t="shared" si="0"/>
        <v>5.1742836177502194E-2</v>
      </c>
      <c r="AP16" s="4">
        <f t="shared" si="0"/>
        <v>3.5319190625345942E-2</v>
      </c>
      <c r="AQ16" s="4">
        <f t="shared" si="0"/>
        <v>2.3969442072658165E-2</v>
      </c>
      <c r="AR16" s="4">
        <f t="shared" si="0"/>
        <v>1.6202243558389728E-2</v>
      </c>
    </row>
    <row r="17" spans="1:44" x14ac:dyDescent="0.25">
      <c r="A17" s="24" t="s">
        <v>52</v>
      </c>
      <c r="B17" s="60">
        <f>'Parameter Input'!$L$184</f>
        <v>338823.5294117647</v>
      </c>
      <c r="C17" s="61">
        <f>'Parameter Input'!$M$184</f>
        <v>338823.5294117647</v>
      </c>
      <c r="D17" s="1" t="s">
        <v>38</v>
      </c>
      <c r="L17" s="54">
        <f>'Parameter Input'!$O$184</f>
        <v>17</v>
      </c>
      <c r="M17" s="37">
        <v>0</v>
      </c>
      <c r="N17" s="37">
        <v>1</v>
      </c>
      <c r="O17" s="37">
        <f>'Parameter Input'!$P$184</f>
        <v>0.9</v>
      </c>
      <c r="P17" s="55">
        <f>'Parameter Input'!$Q$184</f>
        <v>0.4</v>
      </c>
      <c r="Q17" s="4">
        <f t="shared" si="0"/>
        <v>0.99780374543478534</v>
      </c>
      <c r="R17" s="4">
        <f t="shared" si="0"/>
        <v>0.99685359315256394</v>
      </c>
      <c r="S17" s="4">
        <f t="shared" si="0"/>
        <v>0.99549347132349975</v>
      </c>
      <c r="T17" s="4">
        <f t="shared" si="0"/>
        <v>0.99354772139898062</v>
      </c>
      <c r="U17" s="4">
        <f t="shared" si="0"/>
        <v>0.99076681540580536</v>
      </c>
      <c r="V17" s="4">
        <f t="shared" si="0"/>
        <v>0.9867978615748374</v>
      </c>
      <c r="W17" s="4">
        <f t="shared" si="0"/>
        <v>0.98114509762858249</v>
      </c>
      <c r="X17" s="4">
        <f t="shared" si="0"/>
        <v>0.97311898315872036</v>
      </c>
      <c r="Y17" s="4">
        <f t="shared" si="0"/>
        <v>0.96177484161592774</v>
      </c>
      <c r="Z17" s="4">
        <f t="shared" si="0"/>
        <v>0.94584787155511363</v>
      </c>
      <c r="AA17" s="4">
        <f t="shared" si="0"/>
        <v>0.92370360150141495</v>
      </c>
      <c r="AB17" s="4">
        <f t="shared" si="0"/>
        <v>0.89334463567658451</v>
      </c>
      <c r="AC17" s="4">
        <f t="shared" si="0"/>
        <v>0.85254543874327005</v>
      </c>
      <c r="AD17" s="4">
        <f t="shared" si="0"/>
        <v>0.79921300652623883</v>
      </c>
      <c r="AE17" s="4">
        <f t="shared" si="0"/>
        <v>0.73204982249993378</v>
      </c>
      <c r="AF17" s="4">
        <f t="shared" si="0"/>
        <v>0.65145592958786691</v>
      </c>
      <c r="AG17" s="4">
        <f t="shared" si="0"/>
        <v>0.56032247880849573</v>
      </c>
      <c r="AH17" s="4">
        <f t="shared" si="0"/>
        <v>0.46411326873185343</v>
      </c>
      <c r="AI17" s="4">
        <f t="shared" si="0"/>
        <v>0.36979727595523937</v>
      </c>
      <c r="AJ17" s="4">
        <f t="shared" si="0"/>
        <v>0.28393948637231203</v>
      </c>
      <c r="AK17" s="4">
        <f t="shared" si="0"/>
        <v>0.21097259161117732</v>
      </c>
      <c r="AL17" s="4">
        <f t="shared" si="0"/>
        <v>0.15253917653798199</v>
      </c>
      <c r="AM17" s="4">
        <f t="shared" si="0"/>
        <v>0.10795188737709993</v>
      </c>
      <c r="AN17" s="4">
        <f t="shared" si="0"/>
        <v>7.5176653938091809E-2</v>
      </c>
      <c r="AO17" s="4">
        <f t="shared" si="0"/>
        <v>5.1742836177502194E-2</v>
      </c>
      <c r="AP17" s="4">
        <f t="shared" si="0"/>
        <v>3.5319190625345942E-2</v>
      </c>
      <c r="AQ17" s="4">
        <f t="shared" si="0"/>
        <v>2.3969442072658165E-2</v>
      </c>
      <c r="AR17" s="4">
        <f t="shared" si="0"/>
        <v>1.6202243558389728E-2</v>
      </c>
    </row>
    <row r="18" spans="1:44" x14ac:dyDescent="0.25">
      <c r="A18" s="24" t="s">
        <v>272</v>
      </c>
      <c r="B18" s="92">
        <f>'Parameter Input'!B163</f>
        <v>0.8458018624557011</v>
      </c>
      <c r="C18" s="61">
        <f>'Parameter Input'!C163</f>
        <v>0.8458018624557011</v>
      </c>
      <c r="D18" s="1" t="s">
        <v>76</v>
      </c>
      <c r="L18" s="54">
        <f>'Parameter Input'!E163</f>
        <v>17</v>
      </c>
      <c r="M18" s="37">
        <v>0</v>
      </c>
      <c r="N18" s="37">
        <v>1</v>
      </c>
      <c r="O18" s="37">
        <f>'Parameter Input'!F163</f>
        <v>0.9</v>
      </c>
      <c r="P18" s="55">
        <f>'Parameter Input'!G163</f>
        <v>0.4</v>
      </c>
      <c r="Q18" s="4">
        <f t="shared" si="0"/>
        <v>0.99780374543478534</v>
      </c>
      <c r="R18" s="4">
        <f t="shared" si="0"/>
        <v>0.99685359315256394</v>
      </c>
      <c r="S18" s="4">
        <f t="shared" si="0"/>
        <v>0.99549347132349975</v>
      </c>
      <c r="T18" s="4">
        <f t="shared" si="0"/>
        <v>0.99354772139898062</v>
      </c>
      <c r="U18" s="4">
        <f t="shared" si="0"/>
        <v>0.99076681540580536</v>
      </c>
      <c r="V18" s="4">
        <f t="shared" si="0"/>
        <v>0.9867978615748374</v>
      </c>
      <c r="W18" s="4">
        <f t="shared" si="0"/>
        <v>0.98114509762858249</v>
      </c>
      <c r="X18" s="4">
        <f t="shared" si="0"/>
        <v>0.97311898315872036</v>
      </c>
      <c r="Y18" s="4">
        <f t="shared" si="0"/>
        <v>0.96177484161592774</v>
      </c>
      <c r="Z18" s="4">
        <f t="shared" si="0"/>
        <v>0.94584787155511363</v>
      </c>
      <c r="AA18" s="4">
        <f t="shared" si="0"/>
        <v>0.92370360150141495</v>
      </c>
      <c r="AB18" s="4">
        <f t="shared" si="0"/>
        <v>0.89334463567658451</v>
      </c>
      <c r="AC18" s="4">
        <f t="shared" si="0"/>
        <v>0.85254543874327005</v>
      </c>
      <c r="AD18" s="4">
        <f t="shared" si="0"/>
        <v>0.79921300652623883</v>
      </c>
      <c r="AE18" s="4">
        <f t="shared" si="0"/>
        <v>0.73204982249993378</v>
      </c>
      <c r="AF18" s="4">
        <f t="shared" si="0"/>
        <v>0.65145592958786691</v>
      </c>
      <c r="AG18" s="4">
        <f t="shared" si="0"/>
        <v>0.56032247880849573</v>
      </c>
      <c r="AH18" s="4">
        <f t="shared" si="0"/>
        <v>0.46411326873185343</v>
      </c>
      <c r="AI18" s="4">
        <f t="shared" si="0"/>
        <v>0.36979727595523937</v>
      </c>
      <c r="AJ18" s="4">
        <f t="shared" si="0"/>
        <v>0.28393948637231203</v>
      </c>
      <c r="AK18" s="4">
        <f t="shared" si="0"/>
        <v>0.21097259161117732</v>
      </c>
      <c r="AL18" s="4">
        <f t="shared" si="0"/>
        <v>0.15253917653798199</v>
      </c>
      <c r="AM18" s="4">
        <f t="shared" si="0"/>
        <v>0.10795188737709993</v>
      </c>
      <c r="AN18" s="4">
        <f t="shared" si="0"/>
        <v>7.5176653938091809E-2</v>
      </c>
      <c r="AO18" s="4">
        <f t="shared" si="0"/>
        <v>5.1742836177502194E-2</v>
      </c>
      <c r="AP18" s="4">
        <f t="shared" si="0"/>
        <v>3.5319190625345942E-2</v>
      </c>
      <c r="AQ18" s="4">
        <f t="shared" si="0"/>
        <v>2.3969442072658165E-2</v>
      </c>
      <c r="AR18" s="4">
        <f t="shared" si="0"/>
        <v>1.6202243558389728E-2</v>
      </c>
    </row>
    <row r="19" spans="1:44" x14ac:dyDescent="0.25">
      <c r="A19" s="24" t="s">
        <v>59</v>
      </c>
      <c r="B19" s="60">
        <f>'Parameter Input'!$L$185</f>
        <v>589</v>
      </c>
      <c r="C19" s="61">
        <f>'Parameter Input'!$M$185</f>
        <v>519</v>
      </c>
      <c r="D19" s="1" t="s">
        <v>60</v>
      </c>
      <c r="L19" s="54">
        <f>'Parameter Input'!$O$185</f>
        <v>17</v>
      </c>
      <c r="M19" s="37">
        <v>0</v>
      </c>
      <c r="N19" s="37">
        <v>1</v>
      </c>
      <c r="O19" s="37">
        <f>'Parameter Input'!$P$185</f>
        <v>0.9</v>
      </c>
      <c r="P19" s="55">
        <f>'Parameter Input'!$Q$185</f>
        <v>0.4</v>
      </c>
      <c r="Q19" s="4">
        <f t="shared" si="0"/>
        <v>0.99780374543478534</v>
      </c>
      <c r="R19" s="4">
        <f t="shared" si="0"/>
        <v>0.99685359315256394</v>
      </c>
      <c r="S19" s="4">
        <f t="shared" si="0"/>
        <v>0.99549347132349975</v>
      </c>
      <c r="T19" s="4">
        <f t="shared" si="0"/>
        <v>0.99354772139898062</v>
      </c>
      <c r="U19" s="4">
        <f t="shared" si="0"/>
        <v>0.99076681540580536</v>
      </c>
      <c r="V19" s="4">
        <f t="shared" si="0"/>
        <v>0.9867978615748374</v>
      </c>
      <c r="W19" s="4">
        <f t="shared" si="0"/>
        <v>0.98114509762858249</v>
      </c>
      <c r="X19" s="4">
        <f t="shared" si="0"/>
        <v>0.97311898315872036</v>
      </c>
      <c r="Y19" s="4">
        <f t="shared" si="0"/>
        <v>0.96177484161592774</v>
      </c>
      <c r="Z19" s="4">
        <f t="shared" si="0"/>
        <v>0.94584787155511363</v>
      </c>
      <c r="AA19" s="4">
        <f t="shared" si="0"/>
        <v>0.92370360150141495</v>
      </c>
      <c r="AB19" s="4">
        <f t="shared" si="0"/>
        <v>0.89334463567658451</v>
      </c>
      <c r="AC19" s="4">
        <f t="shared" si="0"/>
        <v>0.85254543874327005</v>
      </c>
      <c r="AD19" s="4">
        <f t="shared" si="0"/>
        <v>0.79921300652623883</v>
      </c>
      <c r="AE19" s="4">
        <f t="shared" si="0"/>
        <v>0.73204982249993378</v>
      </c>
      <c r="AF19" s="4">
        <f t="shared" si="0"/>
        <v>0.65145592958786691</v>
      </c>
      <c r="AG19" s="4">
        <f t="shared" si="0"/>
        <v>0.56032247880849573</v>
      </c>
      <c r="AH19" s="4">
        <f t="shared" si="0"/>
        <v>0.46411326873185343</v>
      </c>
      <c r="AI19" s="4">
        <f t="shared" si="0"/>
        <v>0.36979727595523937</v>
      </c>
      <c r="AJ19" s="4">
        <f t="shared" si="0"/>
        <v>0.28393948637231203</v>
      </c>
      <c r="AK19" s="4">
        <f t="shared" si="0"/>
        <v>0.21097259161117732</v>
      </c>
      <c r="AL19" s="4">
        <f t="shared" si="0"/>
        <v>0.15253917653798199</v>
      </c>
      <c r="AM19" s="4">
        <f t="shared" si="0"/>
        <v>0.10795188737709993</v>
      </c>
      <c r="AN19" s="4">
        <f t="shared" si="0"/>
        <v>7.5176653938091809E-2</v>
      </c>
      <c r="AO19" s="4">
        <f t="shared" si="0"/>
        <v>5.1742836177502194E-2</v>
      </c>
      <c r="AP19" s="4">
        <f t="shared" si="0"/>
        <v>3.5319190625345942E-2</v>
      </c>
      <c r="AQ19" s="4">
        <f t="shared" si="0"/>
        <v>2.3969442072658165E-2</v>
      </c>
      <c r="AR19" s="4">
        <f t="shared" si="0"/>
        <v>1.6202243558389728E-2</v>
      </c>
    </row>
    <row r="20" spans="1:44" x14ac:dyDescent="0.25">
      <c r="A20" s="24" t="s">
        <v>67</v>
      </c>
      <c r="B20" s="78">
        <f>'Parameter Input'!$L$186</f>
        <v>0.2544561408768215</v>
      </c>
      <c r="C20" s="61">
        <f>'Parameter Input'!$M$186</f>
        <v>0.10949010032952979</v>
      </c>
      <c r="D20" s="1" t="s">
        <v>68</v>
      </c>
      <c r="L20" s="54">
        <f>'Parameter Input'!$O$186</f>
        <v>12</v>
      </c>
      <c r="M20" s="37">
        <v>0</v>
      </c>
      <c r="N20" s="37">
        <v>1</v>
      </c>
      <c r="O20" s="37">
        <f>'Parameter Input'!$P$186</f>
        <v>0.9</v>
      </c>
      <c r="P20" s="55">
        <f>'Parameter Input'!$Q$186</f>
        <v>0.4</v>
      </c>
      <c r="Q20" s="4">
        <f t="shared" si="0"/>
        <v>0.9867978615748374</v>
      </c>
      <c r="R20" s="4">
        <f t="shared" si="0"/>
        <v>0.98114509762858249</v>
      </c>
      <c r="S20" s="4">
        <f t="shared" si="0"/>
        <v>0.97311898315872036</v>
      </c>
      <c r="T20" s="4">
        <f t="shared" ref="T20:AR27" si="1">$N20+($M20-$N20)*((1/(1+EXP(-$P20*(T$9-$L20)))^$O20))</f>
        <v>0.96177484161592774</v>
      </c>
      <c r="U20" s="4">
        <f t="shared" si="1"/>
        <v>0.94584787155511363</v>
      </c>
      <c r="V20" s="4">
        <f t="shared" si="1"/>
        <v>0.92370360150141495</v>
      </c>
      <c r="W20" s="4">
        <f t="shared" si="1"/>
        <v>0.89334463567658451</v>
      </c>
      <c r="X20" s="4">
        <f t="shared" si="1"/>
        <v>0.85254543874327005</v>
      </c>
      <c r="Y20" s="4">
        <f t="shared" si="1"/>
        <v>0.79921300652623883</v>
      </c>
      <c r="Z20" s="4">
        <f t="shared" si="1"/>
        <v>0.73204982249993378</v>
      </c>
      <c r="AA20" s="4">
        <f t="shared" si="1"/>
        <v>0.65145592958786691</v>
      </c>
      <c r="AB20" s="4">
        <f t="shared" si="1"/>
        <v>0.56032247880849573</v>
      </c>
      <c r="AC20" s="4">
        <f t="shared" si="1"/>
        <v>0.46411326873185343</v>
      </c>
      <c r="AD20" s="4">
        <f t="shared" si="1"/>
        <v>0.36979727595523937</v>
      </c>
      <c r="AE20" s="4">
        <f t="shared" si="1"/>
        <v>0.28393948637231203</v>
      </c>
      <c r="AF20" s="4">
        <f t="shared" si="1"/>
        <v>0.21097259161117732</v>
      </c>
      <c r="AG20" s="4">
        <f t="shared" si="1"/>
        <v>0.15253917653798199</v>
      </c>
      <c r="AH20" s="4">
        <f t="shared" si="1"/>
        <v>0.10795188737709993</v>
      </c>
      <c r="AI20" s="4">
        <f t="shared" si="1"/>
        <v>7.5176653938091809E-2</v>
      </c>
      <c r="AJ20" s="4">
        <f t="shared" si="1"/>
        <v>5.1742836177502194E-2</v>
      </c>
      <c r="AK20" s="4">
        <f t="shared" si="1"/>
        <v>3.5319190625345942E-2</v>
      </c>
      <c r="AL20" s="4">
        <f t="shared" si="1"/>
        <v>2.3969442072658165E-2</v>
      </c>
      <c r="AM20" s="4">
        <f t="shared" si="1"/>
        <v>1.6202243558389728E-2</v>
      </c>
      <c r="AN20" s="4">
        <f t="shared" si="1"/>
        <v>1.0922240564108399E-2</v>
      </c>
      <c r="AO20" s="4">
        <f t="shared" si="1"/>
        <v>7.3493212906090566E-3</v>
      </c>
      <c r="AP20" s="4">
        <f t="shared" si="1"/>
        <v>4.9390262185057265E-3</v>
      </c>
      <c r="AQ20" s="4">
        <f t="shared" si="1"/>
        <v>3.3164275492956197E-3</v>
      </c>
      <c r="AR20" s="4">
        <f t="shared" si="1"/>
        <v>2.2256362146679809E-3</v>
      </c>
    </row>
    <row r="21" spans="1:44" x14ac:dyDescent="0.25">
      <c r="A21" s="24" t="s">
        <v>206</v>
      </c>
      <c r="B21" s="115">
        <f>'Parameter Input'!$L$189</f>
        <v>2.4449056603773585</v>
      </c>
      <c r="C21" s="116">
        <f>'Parameter Input'!$M$189</f>
        <v>0</v>
      </c>
      <c r="D21" s="1" t="s">
        <v>76</v>
      </c>
      <c r="L21" s="54">
        <f>'Parameter Input'!$O$189</f>
        <v>17</v>
      </c>
      <c r="M21" s="37">
        <v>0</v>
      </c>
      <c r="N21" s="37">
        <v>1</v>
      </c>
      <c r="O21" s="37">
        <f>'Parameter Input'!$P$189</f>
        <v>0.9</v>
      </c>
      <c r="P21" s="55">
        <f>'Parameter Input'!$Q$189</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41</v>
      </c>
      <c r="B22" s="60">
        <f>'Parameter Input'!$L$183</f>
        <v>25</v>
      </c>
      <c r="C22" s="61">
        <f>'Parameter Input'!$M$183</f>
        <v>25</v>
      </c>
      <c r="D22" s="1" t="s">
        <v>42</v>
      </c>
      <c r="L22" s="54">
        <f>'Parameter Input'!$O$183</f>
        <v>17</v>
      </c>
      <c r="M22" s="37">
        <v>0</v>
      </c>
      <c r="N22" s="37">
        <v>1</v>
      </c>
      <c r="O22" s="37">
        <f>'Parameter Input'!$P$183</f>
        <v>0.9</v>
      </c>
      <c r="P22" s="55">
        <f>'Parameter Input'!$Q$183</f>
        <v>0.4</v>
      </c>
      <c r="Q22" s="4">
        <f t="shared" ref="Q22:AF27" si="3">$N22+($M22-$N22)*((1/(1+EXP(-$P22*(Q$9-$L22)))^$O22))</f>
        <v>0.99780374543478534</v>
      </c>
      <c r="R22" s="4">
        <f t="shared" si="3"/>
        <v>0.99685359315256394</v>
      </c>
      <c r="S22" s="4">
        <f t="shared" si="3"/>
        <v>0.99549347132349975</v>
      </c>
      <c r="T22" s="4">
        <f t="shared" si="3"/>
        <v>0.99354772139898062</v>
      </c>
      <c r="U22" s="4">
        <f t="shared" si="3"/>
        <v>0.99076681540580536</v>
      </c>
      <c r="V22" s="4">
        <f t="shared" si="3"/>
        <v>0.9867978615748374</v>
      </c>
      <c r="W22" s="4">
        <f t="shared" si="3"/>
        <v>0.98114509762858249</v>
      </c>
      <c r="X22" s="4">
        <f t="shared" si="3"/>
        <v>0.97311898315872036</v>
      </c>
      <c r="Y22" s="4">
        <f t="shared" si="3"/>
        <v>0.96177484161592774</v>
      </c>
      <c r="Z22" s="4">
        <f t="shared" si="3"/>
        <v>0.94584787155511363</v>
      </c>
      <c r="AA22" s="4">
        <f t="shared" si="3"/>
        <v>0.92370360150141495</v>
      </c>
      <c r="AB22" s="4">
        <f t="shared" si="3"/>
        <v>0.89334463567658451</v>
      </c>
      <c r="AC22" s="4">
        <f t="shared" si="3"/>
        <v>0.85254543874327005</v>
      </c>
      <c r="AD22" s="4">
        <f t="shared" si="3"/>
        <v>0.79921300652623883</v>
      </c>
      <c r="AE22" s="4">
        <f t="shared" si="3"/>
        <v>0.73204982249993378</v>
      </c>
      <c r="AF22" s="4">
        <f t="shared" si="3"/>
        <v>0.65145592958786691</v>
      </c>
      <c r="AG22" s="4">
        <f t="shared" si="1"/>
        <v>0.56032247880849573</v>
      </c>
      <c r="AH22" s="4">
        <f t="shared" si="1"/>
        <v>0.46411326873185343</v>
      </c>
      <c r="AI22" s="4">
        <f t="shared" si="1"/>
        <v>0.36979727595523937</v>
      </c>
      <c r="AJ22" s="4">
        <f t="shared" si="1"/>
        <v>0.28393948637231203</v>
      </c>
      <c r="AK22" s="4">
        <f t="shared" si="1"/>
        <v>0.21097259161117732</v>
      </c>
      <c r="AL22" s="4">
        <f t="shared" si="1"/>
        <v>0.15253917653798199</v>
      </c>
      <c r="AM22" s="4">
        <f t="shared" si="1"/>
        <v>0.10795188737709993</v>
      </c>
      <c r="AN22" s="4">
        <f t="shared" si="1"/>
        <v>7.5176653938091809E-2</v>
      </c>
      <c r="AO22" s="4">
        <f t="shared" si="1"/>
        <v>5.1742836177502194E-2</v>
      </c>
      <c r="AP22" s="4">
        <f t="shared" si="1"/>
        <v>3.5319190625345942E-2</v>
      </c>
      <c r="AQ22" s="4">
        <f t="shared" si="1"/>
        <v>2.3969442072658165E-2</v>
      </c>
      <c r="AR22" s="4">
        <f t="shared" si="1"/>
        <v>1.6202243558389728E-2</v>
      </c>
    </row>
    <row r="23" spans="1:44" x14ac:dyDescent="0.25">
      <c r="A23" s="24" t="s">
        <v>70</v>
      </c>
      <c r="B23" s="60">
        <f>'Parameter Input'!B162</f>
        <v>25</v>
      </c>
      <c r="C23" s="61">
        <f>'Parameter Input'!C162</f>
        <v>25</v>
      </c>
      <c r="D23" s="1" t="s">
        <v>42</v>
      </c>
      <c r="L23" s="54">
        <f>'Parameter Input'!E162</f>
        <v>17</v>
      </c>
      <c r="M23" s="37">
        <v>0</v>
      </c>
      <c r="N23" s="37">
        <v>1</v>
      </c>
      <c r="O23" s="37">
        <f>'Parameter Input'!F162</f>
        <v>0.9</v>
      </c>
      <c r="P23" s="55">
        <f>'Parameter Input'!G162</f>
        <v>0.4</v>
      </c>
      <c r="Q23" s="4">
        <f t="shared" si="3"/>
        <v>0.99780374543478534</v>
      </c>
      <c r="R23" s="4">
        <f t="shared" si="3"/>
        <v>0.99685359315256394</v>
      </c>
      <c r="S23" s="4">
        <f t="shared" si="3"/>
        <v>0.99549347132349975</v>
      </c>
      <c r="T23" s="4">
        <f t="shared" si="3"/>
        <v>0.99354772139898062</v>
      </c>
      <c r="U23" s="4">
        <f t="shared" si="3"/>
        <v>0.99076681540580536</v>
      </c>
      <c r="V23" s="4">
        <f t="shared" si="3"/>
        <v>0.9867978615748374</v>
      </c>
      <c r="W23" s="4">
        <f t="shared" si="3"/>
        <v>0.98114509762858249</v>
      </c>
      <c r="X23" s="4">
        <f t="shared" si="3"/>
        <v>0.97311898315872036</v>
      </c>
      <c r="Y23" s="4">
        <f t="shared" si="3"/>
        <v>0.96177484161592774</v>
      </c>
      <c r="Z23" s="4">
        <f t="shared" si="3"/>
        <v>0.94584787155511363</v>
      </c>
      <c r="AA23" s="4">
        <f t="shared" si="3"/>
        <v>0.92370360150141495</v>
      </c>
      <c r="AB23" s="4">
        <f t="shared" si="3"/>
        <v>0.89334463567658451</v>
      </c>
      <c r="AC23" s="4">
        <f t="shared" si="3"/>
        <v>0.85254543874327005</v>
      </c>
      <c r="AD23" s="4">
        <f t="shared" si="3"/>
        <v>0.79921300652623883</v>
      </c>
      <c r="AE23" s="4">
        <f t="shared" si="3"/>
        <v>0.73204982249993378</v>
      </c>
      <c r="AF23" s="4">
        <f t="shared" si="3"/>
        <v>0.65145592958786691</v>
      </c>
      <c r="AG23" s="4">
        <f t="shared" si="1"/>
        <v>0.56032247880849573</v>
      </c>
      <c r="AH23" s="4">
        <f t="shared" si="1"/>
        <v>0.46411326873185343</v>
      </c>
      <c r="AI23" s="4">
        <f t="shared" si="1"/>
        <v>0.36979727595523937</v>
      </c>
      <c r="AJ23" s="4">
        <f t="shared" si="1"/>
        <v>0.28393948637231203</v>
      </c>
      <c r="AK23" s="4">
        <f t="shared" si="1"/>
        <v>0.21097259161117732</v>
      </c>
      <c r="AL23" s="4">
        <f t="shared" si="1"/>
        <v>0.15253917653798199</v>
      </c>
      <c r="AM23" s="4">
        <f t="shared" si="1"/>
        <v>0.10795188737709993</v>
      </c>
      <c r="AN23" s="4">
        <f t="shared" si="1"/>
        <v>7.5176653938091809E-2</v>
      </c>
      <c r="AO23" s="4">
        <f t="shared" si="1"/>
        <v>5.1742836177502194E-2</v>
      </c>
      <c r="AP23" s="4">
        <f t="shared" si="1"/>
        <v>3.5319190625345942E-2</v>
      </c>
      <c r="AQ23" s="4">
        <f t="shared" si="1"/>
        <v>2.3969442072658165E-2</v>
      </c>
      <c r="AR23" s="4">
        <f t="shared" si="1"/>
        <v>1.6202243558389728E-2</v>
      </c>
    </row>
    <row r="24" spans="1:44" x14ac:dyDescent="0.25">
      <c r="A24" s="24" t="s">
        <v>207</v>
      </c>
      <c r="B24" s="43">
        <f>'Parameter Input'!B159</f>
        <v>9450</v>
      </c>
      <c r="C24" s="44">
        <f>'Parameter Input'!C159</f>
        <v>9450</v>
      </c>
      <c r="D24" s="1" t="s">
        <v>49</v>
      </c>
      <c r="L24" s="54">
        <f>'Parameter Input'!E159</f>
        <v>17</v>
      </c>
      <c r="M24" s="37">
        <v>0</v>
      </c>
      <c r="N24" s="37">
        <v>1</v>
      </c>
      <c r="O24" s="37">
        <f>'Parameter Input'!F159</f>
        <v>0.9</v>
      </c>
      <c r="P24" s="55">
        <f>'Parameter Input'!G159</f>
        <v>0.4</v>
      </c>
      <c r="Q24" s="4">
        <f t="shared" si="3"/>
        <v>0.99780374543478534</v>
      </c>
      <c r="R24" s="4">
        <f t="shared" si="3"/>
        <v>0.99685359315256394</v>
      </c>
      <c r="S24" s="4">
        <f t="shared" si="3"/>
        <v>0.99549347132349975</v>
      </c>
      <c r="T24" s="4">
        <f t="shared" si="3"/>
        <v>0.99354772139898062</v>
      </c>
      <c r="U24" s="4">
        <f t="shared" si="3"/>
        <v>0.99076681540580536</v>
      </c>
      <c r="V24" s="4">
        <f t="shared" si="3"/>
        <v>0.9867978615748374</v>
      </c>
      <c r="W24" s="4">
        <f t="shared" si="3"/>
        <v>0.98114509762858249</v>
      </c>
      <c r="X24" s="4">
        <f t="shared" si="3"/>
        <v>0.97311898315872036</v>
      </c>
      <c r="Y24" s="4">
        <f t="shared" si="3"/>
        <v>0.96177484161592774</v>
      </c>
      <c r="Z24" s="4">
        <f t="shared" si="3"/>
        <v>0.94584787155511363</v>
      </c>
      <c r="AA24" s="4">
        <f t="shared" si="3"/>
        <v>0.92370360150141495</v>
      </c>
      <c r="AB24" s="4">
        <f t="shared" si="3"/>
        <v>0.89334463567658451</v>
      </c>
      <c r="AC24" s="4">
        <f t="shared" si="3"/>
        <v>0.85254543874327005</v>
      </c>
      <c r="AD24" s="4">
        <f t="shared" si="3"/>
        <v>0.79921300652623883</v>
      </c>
      <c r="AE24" s="4">
        <f t="shared" si="3"/>
        <v>0.73204982249993378</v>
      </c>
      <c r="AF24" s="4">
        <f t="shared" si="3"/>
        <v>0.65145592958786691</v>
      </c>
      <c r="AG24" s="4">
        <f t="shared" si="1"/>
        <v>0.56032247880849573</v>
      </c>
      <c r="AH24" s="4">
        <f t="shared" si="1"/>
        <v>0.46411326873185343</v>
      </c>
      <c r="AI24" s="4">
        <f t="shared" si="1"/>
        <v>0.36979727595523937</v>
      </c>
      <c r="AJ24" s="4">
        <f t="shared" si="1"/>
        <v>0.28393948637231203</v>
      </c>
      <c r="AK24" s="4">
        <f t="shared" si="1"/>
        <v>0.21097259161117732</v>
      </c>
      <c r="AL24" s="4">
        <f t="shared" si="1"/>
        <v>0.15253917653798199</v>
      </c>
      <c r="AM24" s="4">
        <f t="shared" si="1"/>
        <v>0.10795188737709993</v>
      </c>
      <c r="AN24" s="4">
        <f t="shared" si="1"/>
        <v>7.5176653938091809E-2</v>
      </c>
      <c r="AO24" s="4">
        <f t="shared" si="1"/>
        <v>5.1742836177502194E-2</v>
      </c>
      <c r="AP24" s="4">
        <f t="shared" si="1"/>
        <v>3.5319190625345942E-2</v>
      </c>
      <c r="AQ24" s="4">
        <f t="shared" si="1"/>
        <v>2.3969442072658165E-2</v>
      </c>
      <c r="AR24" s="4">
        <f t="shared" si="1"/>
        <v>1.6202243558389728E-2</v>
      </c>
    </row>
    <row r="25" spans="1:44" x14ac:dyDescent="0.25">
      <c r="A25" s="24" t="s">
        <v>56</v>
      </c>
      <c r="B25" s="45">
        <f>'Parameter Input'!B160</f>
        <v>0.68</v>
      </c>
      <c r="C25" s="46">
        <f>'Parameter Input'!C160</f>
        <v>0.68</v>
      </c>
      <c r="D25" s="1" t="s">
        <v>57</v>
      </c>
      <c r="L25" s="54">
        <f>'Parameter Input'!E160</f>
        <v>17</v>
      </c>
      <c r="M25" s="37">
        <v>0</v>
      </c>
      <c r="N25" s="37">
        <v>1</v>
      </c>
      <c r="O25" s="37">
        <f>'Parameter Input'!F160</f>
        <v>0.9</v>
      </c>
      <c r="P25" s="55">
        <f>'Parameter Input'!G160</f>
        <v>0.4</v>
      </c>
      <c r="Q25" s="4">
        <f t="shared" si="3"/>
        <v>0.99780374543478534</v>
      </c>
      <c r="R25" s="4">
        <f t="shared" si="3"/>
        <v>0.99685359315256394</v>
      </c>
      <c r="S25" s="4">
        <f t="shared" si="3"/>
        <v>0.99549347132349975</v>
      </c>
      <c r="T25" s="4">
        <f t="shared" si="3"/>
        <v>0.99354772139898062</v>
      </c>
      <c r="U25" s="4">
        <f t="shared" si="3"/>
        <v>0.99076681540580536</v>
      </c>
      <c r="V25" s="4">
        <f t="shared" si="3"/>
        <v>0.9867978615748374</v>
      </c>
      <c r="W25" s="4">
        <f t="shared" si="3"/>
        <v>0.98114509762858249</v>
      </c>
      <c r="X25" s="4">
        <f t="shared" si="3"/>
        <v>0.97311898315872036</v>
      </c>
      <c r="Y25" s="4">
        <f t="shared" si="3"/>
        <v>0.96177484161592774</v>
      </c>
      <c r="Z25" s="4">
        <f t="shared" si="3"/>
        <v>0.94584787155511363</v>
      </c>
      <c r="AA25" s="4">
        <f t="shared" si="3"/>
        <v>0.92370360150141495</v>
      </c>
      <c r="AB25" s="4">
        <f t="shared" si="3"/>
        <v>0.89334463567658451</v>
      </c>
      <c r="AC25" s="4">
        <f t="shared" si="3"/>
        <v>0.85254543874327005</v>
      </c>
      <c r="AD25" s="4">
        <f t="shared" si="3"/>
        <v>0.79921300652623883</v>
      </c>
      <c r="AE25" s="4">
        <f t="shared" si="3"/>
        <v>0.73204982249993378</v>
      </c>
      <c r="AF25" s="4">
        <f t="shared" si="3"/>
        <v>0.65145592958786691</v>
      </c>
      <c r="AG25" s="4">
        <f t="shared" si="1"/>
        <v>0.56032247880849573</v>
      </c>
      <c r="AH25" s="4">
        <f t="shared" si="1"/>
        <v>0.46411326873185343</v>
      </c>
      <c r="AI25" s="4">
        <f t="shared" si="1"/>
        <v>0.36979727595523937</v>
      </c>
      <c r="AJ25" s="4">
        <f t="shared" si="1"/>
        <v>0.28393948637231203</v>
      </c>
      <c r="AK25" s="4">
        <f t="shared" si="1"/>
        <v>0.21097259161117732</v>
      </c>
      <c r="AL25" s="4">
        <f t="shared" si="1"/>
        <v>0.15253917653798199</v>
      </c>
      <c r="AM25" s="4">
        <f t="shared" si="1"/>
        <v>0.10795188737709993</v>
      </c>
      <c r="AN25" s="4">
        <f t="shared" si="1"/>
        <v>7.5176653938091809E-2</v>
      </c>
      <c r="AO25" s="4">
        <f t="shared" si="1"/>
        <v>5.1742836177502194E-2</v>
      </c>
      <c r="AP25" s="4">
        <f t="shared" si="1"/>
        <v>3.5319190625345942E-2</v>
      </c>
      <c r="AQ25" s="4">
        <f t="shared" si="1"/>
        <v>2.3969442072658165E-2</v>
      </c>
      <c r="AR25" s="4">
        <f t="shared" si="1"/>
        <v>1.6202243558389728E-2</v>
      </c>
    </row>
    <row r="26" spans="1:44" x14ac:dyDescent="0.25">
      <c r="A26" s="24" t="s">
        <v>73</v>
      </c>
      <c r="B26" s="45">
        <f>'Parameter Input'!$L$187</f>
        <v>0.1</v>
      </c>
      <c r="C26" s="46">
        <f>'Parameter Input'!$M$187</f>
        <v>0.08</v>
      </c>
      <c r="D26" s="1" t="s">
        <v>57</v>
      </c>
      <c r="L26" s="54">
        <f>'Parameter Input'!$O$187</f>
        <v>17</v>
      </c>
      <c r="M26" s="37">
        <v>0</v>
      </c>
      <c r="N26" s="37">
        <v>1</v>
      </c>
      <c r="O26" s="37">
        <f>'Parameter Input'!$P$187</f>
        <v>0.9</v>
      </c>
      <c r="P26" s="55">
        <f>'Parameter Input'!$Q$187</f>
        <v>0.4</v>
      </c>
      <c r="Q26" s="4">
        <f t="shared" si="3"/>
        <v>0.99780374543478534</v>
      </c>
      <c r="R26" s="4">
        <f t="shared" si="3"/>
        <v>0.99685359315256394</v>
      </c>
      <c r="S26" s="4">
        <f t="shared" si="3"/>
        <v>0.99549347132349975</v>
      </c>
      <c r="T26" s="4">
        <f t="shared" si="3"/>
        <v>0.99354772139898062</v>
      </c>
      <c r="U26" s="4">
        <f t="shared" si="3"/>
        <v>0.99076681540580536</v>
      </c>
      <c r="V26" s="4">
        <f t="shared" si="3"/>
        <v>0.9867978615748374</v>
      </c>
      <c r="W26" s="4">
        <f t="shared" si="3"/>
        <v>0.98114509762858249</v>
      </c>
      <c r="X26" s="4">
        <f t="shared" si="3"/>
        <v>0.97311898315872036</v>
      </c>
      <c r="Y26" s="4">
        <f t="shared" si="3"/>
        <v>0.96177484161592774</v>
      </c>
      <c r="Z26" s="4">
        <f t="shared" si="3"/>
        <v>0.94584787155511363</v>
      </c>
      <c r="AA26" s="4">
        <f t="shared" si="3"/>
        <v>0.92370360150141495</v>
      </c>
      <c r="AB26" s="4">
        <f t="shared" si="3"/>
        <v>0.89334463567658451</v>
      </c>
      <c r="AC26" s="4">
        <f t="shared" si="3"/>
        <v>0.85254543874327005</v>
      </c>
      <c r="AD26" s="4">
        <f t="shared" si="3"/>
        <v>0.79921300652623883</v>
      </c>
      <c r="AE26" s="4">
        <f t="shared" si="3"/>
        <v>0.73204982249993378</v>
      </c>
      <c r="AF26" s="4">
        <f t="shared" si="3"/>
        <v>0.65145592958786691</v>
      </c>
      <c r="AG26" s="4">
        <f t="shared" si="1"/>
        <v>0.56032247880849573</v>
      </c>
      <c r="AH26" s="4">
        <f t="shared" si="1"/>
        <v>0.46411326873185343</v>
      </c>
      <c r="AI26" s="4">
        <f t="shared" si="1"/>
        <v>0.36979727595523937</v>
      </c>
      <c r="AJ26" s="4">
        <f t="shared" si="1"/>
        <v>0.28393948637231203</v>
      </c>
      <c r="AK26" s="4">
        <f t="shared" si="1"/>
        <v>0.21097259161117732</v>
      </c>
      <c r="AL26" s="4">
        <f t="shared" si="1"/>
        <v>0.15253917653798199</v>
      </c>
      <c r="AM26" s="4">
        <f t="shared" si="1"/>
        <v>0.10795188737709993</v>
      </c>
      <c r="AN26" s="4">
        <f t="shared" si="1"/>
        <v>7.5176653938091809E-2</v>
      </c>
      <c r="AO26" s="4">
        <f t="shared" si="1"/>
        <v>5.1742836177502194E-2</v>
      </c>
      <c r="AP26" s="4">
        <f t="shared" si="1"/>
        <v>3.5319190625345942E-2</v>
      </c>
      <c r="AQ26" s="4">
        <f t="shared" si="1"/>
        <v>2.3969442072658165E-2</v>
      </c>
      <c r="AR26" s="4">
        <f t="shared" si="1"/>
        <v>1.6202243558389728E-2</v>
      </c>
    </row>
    <row r="27" spans="1:44" ht="15.75" thickBot="1" x14ac:dyDescent="0.3">
      <c r="A27" s="24" t="s">
        <v>64</v>
      </c>
      <c r="B27" s="49">
        <f>'Parameter Input'!B161</f>
        <v>120000</v>
      </c>
      <c r="C27" s="50">
        <f>'Parameter Input'!C161</f>
        <v>120000</v>
      </c>
      <c r="D27" s="1" t="s">
        <v>65</v>
      </c>
      <c r="L27" s="56">
        <f>'Parameter Input'!E161</f>
        <v>17</v>
      </c>
      <c r="M27" s="57">
        <v>0</v>
      </c>
      <c r="N27" s="57">
        <v>1</v>
      </c>
      <c r="O27" s="57">
        <f>'Parameter Input'!F161</f>
        <v>0.9</v>
      </c>
      <c r="P27" s="58">
        <f>'Parameter Input'!G161</f>
        <v>0.4</v>
      </c>
      <c r="Q27" s="4">
        <f t="shared" si="3"/>
        <v>0.99780374543478534</v>
      </c>
      <c r="R27" s="4">
        <f t="shared" si="3"/>
        <v>0.99685359315256394</v>
      </c>
      <c r="S27" s="4">
        <f t="shared" si="3"/>
        <v>0.99549347132349975</v>
      </c>
      <c r="T27" s="4">
        <f t="shared" si="3"/>
        <v>0.99354772139898062</v>
      </c>
      <c r="U27" s="4">
        <f t="shared" si="3"/>
        <v>0.99076681540580536</v>
      </c>
      <c r="V27" s="4">
        <f t="shared" si="3"/>
        <v>0.9867978615748374</v>
      </c>
      <c r="W27" s="4">
        <f t="shared" si="3"/>
        <v>0.98114509762858249</v>
      </c>
      <c r="X27" s="4">
        <f t="shared" si="3"/>
        <v>0.97311898315872036</v>
      </c>
      <c r="Y27" s="4">
        <f t="shared" si="3"/>
        <v>0.96177484161592774</v>
      </c>
      <c r="Z27" s="4">
        <f t="shared" si="3"/>
        <v>0.94584787155511363</v>
      </c>
      <c r="AA27" s="4">
        <f t="shared" si="3"/>
        <v>0.92370360150141495</v>
      </c>
      <c r="AB27" s="4">
        <f t="shared" si="3"/>
        <v>0.89334463567658451</v>
      </c>
      <c r="AC27" s="4">
        <f t="shared" si="3"/>
        <v>0.85254543874327005</v>
      </c>
      <c r="AD27" s="4">
        <f t="shared" si="3"/>
        <v>0.79921300652623883</v>
      </c>
      <c r="AE27" s="4">
        <f t="shared" si="3"/>
        <v>0.73204982249993378</v>
      </c>
      <c r="AF27" s="4">
        <f t="shared" si="3"/>
        <v>0.65145592958786691</v>
      </c>
      <c r="AG27" s="4">
        <f t="shared" si="1"/>
        <v>0.56032247880849573</v>
      </c>
      <c r="AH27" s="4">
        <f t="shared" si="1"/>
        <v>0.46411326873185343</v>
      </c>
      <c r="AI27" s="4">
        <f t="shared" si="1"/>
        <v>0.36979727595523937</v>
      </c>
      <c r="AJ27" s="4">
        <f t="shared" si="1"/>
        <v>0.28393948637231203</v>
      </c>
      <c r="AK27" s="4">
        <f t="shared" si="1"/>
        <v>0.21097259161117732</v>
      </c>
      <c r="AL27" s="4">
        <f t="shared" si="1"/>
        <v>0.15253917653798199</v>
      </c>
      <c r="AM27" s="4">
        <f t="shared" si="1"/>
        <v>0.10795188737709993</v>
      </c>
      <c r="AN27" s="4">
        <f t="shared" si="1"/>
        <v>7.5176653938091809E-2</v>
      </c>
      <c r="AO27" s="4">
        <f t="shared" si="1"/>
        <v>5.1742836177502194E-2</v>
      </c>
      <c r="AP27" s="4">
        <f t="shared" si="1"/>
        <v>3.5319190625345942E-2</v>
      </c>
      <c r="AQ27" s="4">
        <f t="shared" si="1"/>
        <v>2.3969442072658165E-2</v>
      </c>
      <c r="AR27" s="4">
        <f t="shared" si="1"/>
        <v>1.6202243558389728E-2</v>
      </c>
    </row>
    <row r="28" spans="1:44" x14ac:dyDescent="0.25">
      <c r="A28" s="25"/>
      <c r="B28" s="40"/>
    </row>
    <row r="29" spans="1:44" ht="15.75" thickBot="1" x14ac:dyDescent="0.3"/>
    <row r="30" spans="1:44"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0" si="4">A11</f>
        <v>Capex vehicle</v>
      </c>
      <c r="B31" s="62">
        <f t="shared" ref="B31:B39" si="5">$B11+($C11-$B11)*(1-Q11)</f>
        <v>29976939.327065244</v>
      </c>
      <c r="C31" s="62">
        <f t="shared" ref="C31:C39" si="6">$B11+($C11-$B11)*(1-R11)</f>
        <v>29966962.72810192</v>
      </c>
      <c r="D31" s="62">
        <f t="shared" ref="D31:D39" si="7">$B11+($C11-$B11)*(1-S11)</f>
        <v>29952681.448896747</v>
      </c>
      <c r="E31" s="62">
        <f t="shared" ref="E31:E39" si="8">$B11+($C11-$B11)*(1-T11)</f>
        <v>29932251.074689295</v>
      </c>
      <c r="F31" s="62">
        <f t="shared" ref="F31:F39" si="9">$B11+($C11-$B11)*(1-U11)</f>
        <v>29903051.561760955</v>
      </c>
      <c r="G31" s="62">
        <f t="shared" ref="G31:G39" si="10">$B11+($C11-$B11)*(1-V11)</f>
        <v>29861377.546535794</v>
      </c>
      <c r="H31" s="62">
        <f t="shared" ref="H31:H39" si="11">$B11+($C11-$B11)*(1-W11)</f>
        <v>29802023.525100116</v>
      </c>
      <c r="I31" s="62">
        <f t="shared" ref="I31:I39" si="12">$B11+($C11-$B11)*(1-X11)</f>
        <v>29717749.323166564</v>
      </c>
      <c r="J31" s="62">
        <f t="shared" ref="J31:J39" si="13">$B11+($C11-$B11)*(1-Y11)</f>
        <v>29598635.836967241</v>
      </c>
      <c r="K31" s="62">
        <f t="shared" ref="K31:K39" si="14">$B11+($C11-$B11)*(1-Z11)</f>
        <v>29431402.651328694</v>
      </c>
      <c r="L31" s="62">
        <f t="shared" ref="L31:L39" si="15">$B11+($C11-$B11)*(1-AA11)</f>
        <v>29198887.815764856</v>
      </c>
      <c r="M31" s="62">
        <f t="shared" ref="M31:M39" si="16">$B11+($C11-$B11)*(1-AB11)</f>
        <v>28880118.674604136</v>
      </c>
      <c r="N31" s="62">
        <f t="shared" ref="N31:N39" si="17">$B11+($C11-$B11)*(1-AC11)</f>
        <v>28451727.106804334</v>
      </c>
      <c r="O31" s="62">
        <f t="shared" ref="O31:O39" si="18">$B11+($C11-$B11)*(1-AD11)</f>
        <v>27891736.568525508</v>
      </c>
      <c r="P31" s="62">
        <f t="shared" ref="P31:P39" si="19">$B11+($C11-$B11)*(1-AE11)</f>
        <v>27186523.136249304</v>
      </c>
      <c r="Q31" s="62">
        <f t="shared" ref="Q31:Q39" si="20">$B11+($C11-$B11)*(1-AF11)</f>
        <v>26340287.260672603</v>
      </c>
      <c r="R31" s="62">
        <f t="shared" ref="R31:R39" si="21">$B11+($C11-$B11)*(1-AG11)</f>
        <v>25383386.027489204</v>
      </c>
      <c r="S31" s="62">
        <f t="shared" ref="S31:S39" si="22">$B11+($C11-$B11)*(1-AH11)</f>
        <v>24373189.321684461</v>
      </c>
      <c r="T31" s="62">
        <f t="shared" ref="T31:T39" si="23">$B11+($C11-$B11)*(1-AI11)</f>
        <v>23382871.397530012</v>
      </c>
      <c r="U31" s="62">
        <f t="shared" ref="U31:U39" si="24">$B11+($C11-$B11)*(1-AJ11)</f>
        <v>22481364.606909275</v>
      </c>
      <c r="V31" s="62">
        <f t="shared" ref="V31:V39" si="25">$B11+($C11-$B11)*(1-AK11)</f>
        <v>21715212.211917363</v>
      </c>
      <c r="W31" s="62">
        <f t="shared" ref="W31:W39" si="26">$B11+($C11-$B11)*(1-AL11)</f>
        <v>21101661.353648812</v>
      </c>
      <c r="X31" s="62">
        <f t="shared" ref="X31:X39" si="27">$B11+($C11-$B11)*(1-AM11)</f>
        <v>20633494.81745955</v>
      </c>
      <c r="Y31" s="62">
        <f t="shared" ref="Y31:Y39" si="28">$B11+($C11-$B11)*(1-AN11)</f>
        <v>20289354.866349965</v>
      </c>
      <c r="Z31" s="62">
        <f t="shared" ref="Z31:Z39" si="29">$B11+($C11-$B11)*(1-AO11)</f>
        <v>20043299.779863775</v>
      </c>
      <c r="AA31" s="62">
        <f t="shared" ref="AA31:AA39" si="30">$B11+($C11-$B11)*(1-AP11)</f>
        <v>19870851.501566134</v>
      </c>
      <c r="AB31" s="62">
        <f t="shared" ref="AB31:AB39" si="31">$B11+($C11-$B11)*(1-AQ11)</f>
        <v>19751679.141762912</v>
      </c>
      <c r="AC31" s="62">
        <f t="shared" ref="AC31:AC39" si="32">$B11+($C11-$B11)*(1-AR11)</f>
        <v>19670123.557363093</v>
      </c>
    </row>
    <row r="32" spans="1:44" x14ac:dyDescent="0.25">
      <c r="A32" s="30" t="str">
        <f t="shared" si="4"/>
        <v>Residual value (vehicle)</v>
      </c>
      <c r="B32" s="62">
        <f t="shared" si="5"/>
        <v>-1500988.3145543465</v>
      </c>
      <c r="C32" s="62">
        <f t="shared" si="6"/>
        <v>-1501415.8830813463</v>
      </c>
      <c r="D32" s="62">
        <f t="shared" si="7"/>
        <v>-1502027.9379044252</v>
      </c>
      <c r="E32" s="62">
        <f t="shared" si="8"/>
        <v>-1502903.5253704586</v>
      </c>
      <c r="F32" s="62">
        <f t="shared" si="9"/>
        <v>-1504154.9330673877</v>
      </c>
      <c r="G32" s="62">
        <f t="shared" si="10"/>
        <v>-1505940.9622913231</v>
      </c>
      <c r="H32" s="62">
        <f t="shared" si="11"/>
        <v>-1508484.7060671379</v>
      </c>
      <c r="I32" s="62">
        <f t="shared" si="12"/>
        <v>-1512096.4575785759</v>
      </c>
      <c r="J32" s="62">
        <f t="shared" si="13"/>
        <v>-1517201.3212728326</v>
      </c>
      <c r="K32" s="62">
        <f t="shared" si="14"/>
        <v>-1524368.4578001988</v>
      </c>
      <c r="L32" s="62">
        <f t="shared" si="15"/>
        <v>-1534333.3793243633</v>
      </c>
      <c r="M32" s="62">
        <f t="shared" si="16"/>
        <v>-1547994.9139455371</v>
      </c>
      <c r="N32" s="62">
        <f t="shared" si="17"/>
        <v>-1566354.5525655285</v>
      </c>
      <c r="O32" s="62">
        <f t="shared" si="18"/>
        <v>-1590354.1470631924</v>
      </c>
      <c r="P32" s="62">
        <f t="shared" si="19"/>
        <v>-1620577.5798750299</v>
      </c>
      <c r="Q32" s="62">
        <f t="shared" si="20"/>
        <v>-1656844.8316854599</v>
      </c>
      <c r="R32" s="62">
        <f t="shared" si="21"/>
        <v>-1697854.8845361769</v>
      </c>
      <c r="S32" s="62">
        <f t="shared" si="22"/>
        <v>-1741149.0290706661</v>
      </c>
      <c r="T32" s="62">
        <f t="shared" si="23"/>
        <v>-1783591.2258201423</v>
      </c>
      <c r="U32" s="62">
        <f t="shared" si="24"/>
        <v>-1822227.2311324596</v>
      </c>
      <c r="V32" s="62">
        <f t="shared" si="25"/>
        <v>-1855062.3337749701</v>
      </c>
      <c r="W32" s="62">
        <f t="shared" si="26"/>
        <v>-1881357.370557908</v>
      </c>
      <c r="X32" s="62">
        <f t="shared" si="27"/>
        <v>-1901421.650680305</v>
      </c>
      <c r="Y32" s="62">
        <f t="shared" si="28"/>
        <v>-1916170.5057278587</v>
      </c>
      <c r="Z32" s="62">
        <f t="shared" si="29"/>
        <v>-1926715.723720124</v>
      </c>
      <c r="AA32" s="62">
        <f t="shared" si="30"/>
        <v>-1934106.3642185943</v>
      </c>
      <c r="AB32" s="62">
        <f t="shared" si="31"/>
        <v>-1939213.7510673038</v>
      </c>
      <c r="AC32" s="62">
        <f t="shared" si="32"/>
        <v>-1942708.9903987246</v>
      </c>
    </row>
    <row r="33" spans="1:29" x14ac:dyDescent="0.25">
      <c r="A33" s="30" t="str">
        <f t="shared" si="4"/>
        <v>Capex costumization</v>
      </c>
      <c r="B33" s="62">
        <f t="shared" si="5"/>
        <v>1000000</v>
      </c>
      <c r="C33" s="62">
        <f t="shared" si="6"/>
        <v>1000000</v>
      </c>
      <c r="D33" s="62">
        <f t="shared" si="7"/>
        <v>1000000</v>
      </c>
      <c r="E33" s="62">
        <f t="shared" si="8"/>
        <v>1000000</v>
      </c>
      <c r="F33" s="62">
        <f t="shared" si="9"/>
        <v>1000000</v>
      </c>
      <c r="G33" s="62">
        <f t="shared" si="10"/>
        <v>1000000</v>
      </c>
      <c r="H33" s="62">
        <f t="shared" si="11"/>
        <v>1000000</v>
      </c>
      <c r="I33" s="62">
        <f t="shared" si="12"/>
        <v>1000000</v>
      </c>
      <c r="J33" s="62">
        <f t="shared" si="13"/>
        <v>1000000</v>
      </c>
      <c r="K33" s="62">
        <f t="shared" si="14"/>
        <v>1000000</v>
      </c>
      <c r="L33" s="62">
        <f t="shared" si="15"/>
        <v>1000000</v>
      </c>
      <c r="M33" s="62">
        <f t="shared" si="16"/>
        <v>1000000</v>
      </c>
      <c r="N33" s="62">
        <f t="shared" si="17"/>
        <v>1000000</v>
      </c>
      <c r="O33" s="62">
        <f t="shared" si="18"/>
        <v>1000000</v>
      </c>
      <c r="P33" s="62">
        <f t="shared" si="19"/>
        <v>1000000</v>
      </c>
      <c r="Q33" s="62">
        <f t="shared" si="20"/>
        <v>1000000</v>
      </c>
      <c r="R33" s="62">
        <f t="shared" si="21"/>
        <v>1000000</v>
      </c>
      <c r="S33" s="62">
        <f t="shared" si="22"/>
        <v>1000000</v>
      </c>
      <c r="T33" s="62">
        <f t="shared" si="23"/>
        <v>1000000</v>
      </c>
      <c r="U33" s="62">
        <f t="shared" si="24"/>
        <v>1000000</v>
      </c>
      <c r="V33" s="62">
        <f t="shared" si="25"/>
        <v>1000000</v>
      </c>
      <c r="W33" s="62">
        <f t="shared" si="26"/>
        <v>1000000</v>
      </c>
      <c r="X33" s="62">
        <f t="shared" si="27"/>
        <v>1000000</v>
      </c>
      <c r="Y33" s="62">
        <f t="shared" si="28"/>
        <v>1000000</v>
      </c>
      <c r="Z33" s="62">
        <f t="shared" si="29"/>
        <v>1000000</v>
      </c>
      <c r="AA33" s="62">
        <f t="shared" si="30"/>
        <v>1000000</v>
      </c>
      <c r="AB33" s="62">
        <f t="shared" si="31"/>
        <v>1000000</v>
      </c>
      <c r="AC33" s="62">
        <f t="shared" si="32"/>
        <v>1000000</v>
      </c>
    </row>
    <row r="34" spans="1:29" x14ac:dyDescent="0.25">
      <c r="A34" s="30" t="str">
        <f t="shared" si="4"/>
        <v>Residual value (costumization)</v>
      </c>
      <c r="B34" s="62">
        <f t="shared" si="5"/>
        <v>-100000</v>
      </c>
      <c r="C34" s="62">
        <f t="shared" si="6"/>
        <v>-100000</v>
      </c>
      <c r="D34" s="62">
        <f t="shared" si="7"/>
        <v>-100000</v>
      </c>
      <c r="E34" s="62">
        <f t="shared" si="8"/>
        <v>-100000</v>
      </c>
      <c r="F34" s="62">
        <f t="shared" si="9"/>
        <v>-100000</v>
      </c>
      <c r="G34" s="62">
        <f t="shared" si="10"/>
        <v>-100000</v>
      </c>
      <c r="H34" s="62">
        <f t="shared" si="11"/>
        <v>-100000</v>
      </c>
      <c r="I34" s="62">
        <f t="shared" si="12"/>
        <v>-100000</v>
      </c>
      <c r="J34" s="62">
        <f t="shared" si="13"/>
        <v>-100000</v>
      </c>
      <c r="K34" s="62">
        <f t="shared" si="14"/>
        <v>-100000</v>
      </c>
      <c r="L34" s="62">
        <f t="shared" si="15"/>
        <v>-100000</v>
      </c>
      <c r="M34" s="62">
        <f t="shared" si="16"/>
        <v>-100000</v>
      </c>
      <c r="N34" s="62">
        <f t="shared" si="17"/>
        <v>-100000</v>
      </c>
      <c r="O34" s="62">
        <f t="shared" si="18"/>
        <v>-100000</v>
      </c>
      <c r="P34" s="62">
        <f t="shared" si="19"/>
        <v>-100000</v>
      </c>
      <c r="Q34" s="62">
        <f t="shared" si="20"/>
        <v>-100000</v>
      </c>
      <c r="R34" s="62">
        <f t="shared" si="21"/>
        <v>-100000</v>
      </c>
      <c r="S34" s="62">
        <f t="shared" si="22"/>
        <v>-100000</v>
      </c>
      <c r="T34" s="62">
        <f t="shared" si="23"/>
        <v>-100000</v>
      </c>
      <c r="U34" s="62">
        <f t="shared" si="24"/>
        <v>-100000</v>
      </c>
      <c r="V34" s="62">
        <f t="shared" si="25"/>
        <v>-100000</v>
      </c>
      <c r="W34" s="62">
        <f t="shared" si="26"/>
        <v>-100000</v>
      </c>
      <c r="X34" s="62">
        <f t="shared" si="27"/>
        <v>-100000</v>
      </c>
      <c r="Y34" s="62">
        <f t="shared" si="28"/>
        <v>-100000</v>
      </c>
      <c r="Z34" s="62">
        <f t="shared" si="29"/>
        <v>-100000</v>
      </c>
      <c r="AA34" s="62">
        <f t="shared" si="30"/>
        <v>-100000</v>
      </c>
      <c r="AB34" s="62">
        <f t="shared" si="31"/>
        <v>-100000</v>
      </c>
      <c r="AC34" s="62">
        <f t="shared" si="32"/>
        <v>-100000</v>
      </c>
    </row>
    <row r="35" spans="1:29" x14ac:dyDescent="0.25">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25">
      <c r="A36" s="30" t="str">
        <f t="shared" si="4"/>
        <v>Opex fix (admin, crew, insurance)</v>
      </c>
      <c r="B36" s="62">
        <f t="shared" si="5"/>
        <v>1208235.294117647</v>
      </c>
      <c r="C36" s="62">
        <f t="shared" si="6"/>
        <v>1208235.294117647</v>
      </c>
      <c r="D36" s="62">
        <f t="shared" si="7"/>
        <v>1208235.294117647</v>
      </c>
      <c r="E36" s="62">
        <f t="shared" si="8"/>
        <v>1208235.294117647</v>
      </c>
      <c r="F36" s="62">
        <f t="shared" si="9"/>
        <v>1208235.294117647</v>
      </c>
      <c r="G36" s="62">
        <f t="shared" si="10"/>
        <v>1208235.294117647</v>
      </c>
      <c r="H36" s="62">
        <f t="shared" si="11"/>
        <v>1208235.294117647</v>
      </c>
      <c r="I36" s="62">
        <f t="shared" si="12"/>
        <v>1208235.294117647</v>
      </c>
      <c r="J36" s="62">
        <f t="shared" si="13"/>
        <v>1208235.294117647</v>
      </c>
      <c r="K36" s="62">
        <f t="shared" si="14"/>
        <v>1208235.294117647</v>
      </c>
      <c r="L36" s="62">
        <f t="shared" si="15"/>
        <v>1208235.294117647</v>
      </c>
      <c r="M36" s="62">
        <f t="shared" si="16"/>
        <v>1208235.294117647</v>
      </c>
      <c r="N36" s="62">
        <f t="shared" si="17"/>
        <v>1208235.294117647</v>
      </c>
      <c r="O36" s="62">
        <f t="shared" si="18"/>
        <v>1208235.294117647</v>
      </c>
      <c r="P36" s="62">
        <f t="shared" si="19"/>
        <v>1208235.294117647</v>
      </c>
      <c r="Q36" s="62">
        <f t="shared" si="20"/>
        <v>1208235.294117647</v>
      </c>
      <c r="R36" s="62">
        <f t="shared" si="21"/>
        <v>1208235.294117647</v>
      </c>
      <c r="S36" s="62">
        <f t="shared" si="22"/>
        <v>1208235.294117647</v>
      </c>
      <c r="T36" s="62">
        <f t="shared" si="23"/>
        <v>1208235.294117647</v>
      </c>
      <c r="U36" s="62">
        <f t="shared" si="24"/>
        <v>1208235.294117647</v>
      </c>
      <c r="V36" s="62">
        <f t="shared" si="25"/>
        <v>1208235.294117647</v>
      </c>
      <c r="W36" s="62">
        <f t="shared" si="26"/>
        <v>1208235.294117647</v>
      </c>
      <c r="X36" s="62">
        <f t="shared" si="27"/>
        <v>1208235.294117647</v>
      </c>
      <c r="Y36" s="62">
        <f t="shared" si="28"/>
        <v>1208235.294117647</v>
      </c>
      <c r="Z36" s="62">
        <f t="shared" si="29"/>
        <v>1208235.294117647</v>
      </c>
      <c r="AA36" s="62">
        <f t="shared" si="30"/>
        <v>1208235.294117647</v>
      </c>
      <c r="AB36" s="62">
        <f t="shared" si="31"/>
        <v>1208235.294117647</v>
      </c>
      <c r="AC36" s="62">
        <f t="shared" si="32"/>
        <v>1208235.294117647</v>
      </c>
    </row>
    <row r="37" spans="1:29" x14ac:dyDescent="0.25">
      <c r="A37" s="30" t="str">
        <f t="shared" si="4"/>
        <v>Opex maintenance &amp; repair</v>
      </c>
      <c r="B37" s="62">
        <f t="shared" si="5"/>
        <v>338823.5294117647</v>
      </c>
      <c r="C37" s="62">
        <f t="shared" si="6"/>
        <v>338823.5294117647</v>
      </c>
      <c r="D37" s="62">
        <f t="shared" si="7"/>
        <v>338823.5294117647</v>
      </c>
      <c r="E37" s="62">
        <f t="shared" si="8"/>
        <v>338823.5294117647</v>
      </c>
      <c r="F37" s="62">
        <f t="shared" si="9"/>
        <v>338823.5294117647</v>
      </c>
      <c r="G37" s="62">
        <f t="shared" si="10"/>
        <v>338823.5294117647</v>
      </c>
      <c r="H37" s="62">
        <f t="shared" si="11"/>
        <v>338823.5294117647</v>
      </c>
      <c r="I37" s="62">
        <f t="shared" si="12"/>
        <v>338823.5294117647</v>
      </c>
      <c r="J37" s="62">
        <f t="shared" si="13"/>
        <v>338823.5294117647</v>
      </c>
      <c r="K37" s="62">
        <f t="shared" si="14"/>
        <v>338823.5294117647</v>
      </c>
      <c r="L37" s="62">
        <f t="shared" si="15"/>
        <v>338823.5294117647</v>
      </c>
      <c r="M37" s="62">
        <f t="shared" si="16"/>
        <v>338823.5294117647</v>
      </c>
      <c r="N37" s="62">
        <f t="shared" si="17"/>
        <v>338823.5294117647</v>
      </c>
      <c r="O37" s="62">
        <f t="shared" si="18"/>
        <v>338823.5294117647</v>
      </c>
      <c r="P37" s="62">
        <f t="shared" si="19"/>
        <v>338823.5294117647</v>
      </c>
      <c r="Q37" s="62">
        <f t="shared" si="20"/>
        <v>338823.5294117647</v>
      </c>
      <c r="R37" s="62">
        <f t="shared" si="21"/>
        <v>338823.5294117647</v>
      </c>
      <c r="S37" s="62">
        <f t="shared" si="22"/>
        <v>338823.5294117647</v>
      </c>
      <c r="T37" s="62">
        <f t="shared" si="23"/>
        <v>338823.5294117647</v>
      </c>
      <c r="U37" s="62">
        <f t="shared" si="24"/>
        <v>338823.5294117647</v>
      </c>
      <c r="V37" s="62">
        <f t="shared" si="25"/>
        <v>338823.5294117647</v>
      </c>
      <c r="W37" s="62">
        <f t="shared" si="26"/>
        <v>338823.5294117647</v>
      </c>
      <c r="X37" s="62">
        <f t="shared" si="27"/>
        <v>338823.5294117647</v>
      </c>
      <c r="Y37" s="62">
        <f t="shared" si="28"/>
        <v>338823.5294117647</v>
      </c>
      <c r="Z37" s="62">
        <f t="shared" si="29"/>
        <v>338823.5294117647</v>
      </c>
      <c r="AA37" s="62">
        <f t="shared" si="30"/>
        <v>338823.5294117647</v>
      </c>
      <c r="AB37" s="62">
        <f t="shared" si="31"/>
        <v>338823.5294117647</v>
      </c>
      <c r="AC37" s="62">
        <f t="shared" si="32"/>
        <v>338823.5294117647</v>
      </c>
    </row>
    <row r="38" spans="1:29" x14ac:dyDescent="0.25">
      <c r="A38" s="30" t="str">
        <f t="shared" si="4"/>
        <v>Opex var (mode-fees)</v>
      </c>
      <c r="B38" s="62">
        <f t="shared" si="5"/>
        <v>0.8458018624557011</v>
      </c>
      <c r="C38" s="62">
        <f t="shared" si="6"/>
        <v>0.8458018624557011</v>
      </c>
      <c r="D38" s="62">
        <f t="shared" si="7"/>
        <v>0.8458018624557011</v>
      </c>
      <c r="E38" s="62">
        <f t="shared" si="8"/>
        <v>0.8458018624557011</v>
      </c>
      <c r="F38" s="62">
        <f t="shared" si="9"/>
        <v>0.8458018624557011</v>
      </c>
      <c r="G38" s="62">
        <f t="shared" si="10"/>
        <v>0.8458018624557011</v>
      </c>
      <c r="H38" s="62">
        <f t="shared" si="11"/>
        <v>0.8458018624557011</v>
      </c>
      <c r="I38" s="62">
        <f t="shared" si="12"/>
        <v>0.8458018624557011</v>
      </c>
      <c r="J38" s="62">
        <f t="shared" si="13"/>
        <v>0.8458018624557011</v>
      </c>
      <c r="K38" s="62">
        <f t="shared" si="14"/>
        <v>0.8458018624557011</v>
      </c>
      <c r="L38" s="62">
        <f t="shared" si="15"/>
        <v>0.8458018624557011</v>
      </c>
      <c r="M38" s="62">
        <f t="shared" si="16"/>
        <v>0.8458018624557011</v>
      </c>
      <c r="N38" s="62">
        <f t="shared" si="17"/>
        <v>0.8458018624557011</v>
      </c>
      <c r="O38" s="62">
        <f t="shared" si="18"/>
        <v>0.8458018624557011</v>
      </c>
      <c r="P38" s="62">
        <f t="shared" si="19"/>
        <v>0.8458018624557011</v>
      </c>
      <c r="Q38" s="62">
        <f t="shared" si="20"/>
        <v>0.8458018624557011</v>
      </c>
      <c r="R38" s="62">
        <f t="shared" si="21"/>
        <v>0.8458018624557011</v>
      </c>
      <c r="S38" s="62">
        <f t="shared" si="22"/>
        <v>0.8458018624557011</v>
      </c>
      <c r="T38" s="62">
        <f t="shared" si="23"/>
        <v>0.8458018624557011</v>
      </c>
      <c r="U38" s="62">
        <f t="shared" si="24"/>
        <v>0.8458018624557011</v>
      </c>
      <c r="V38" s="62">
        <f t="shared" si="25"/>
        <v>0.8458018624557011</v>
      </c>
      <c r="W38" s="62">
        <f t="shared" si="26"/>
        <v>0.8458018624557011</v>
      </c>
      <c r="X38" s="62">
        <f t="shared" si="27"/>
        <v>0.8458018624557011</v>
      </c>
      <c r="Y38" s="62">
        <f t="shared" si="28"/>
        <v>0.8458018624557011</v>
      </c>
      <c r="Z38" s="62">
        <f t="shared" si="29"/>
        <v>0.8458018624557011</v>
      </c>
      <c r="AA38" s="62">
        <f t="shared" si="30"/>
        <v>0.8458018624557011</v>
      </c>
      <c r="AB38" s="62">
        <f t="shared" si="31"/>
        <v>0.8458018624557011</v>
      </c>
      <c r="AC38" s="62">
        <f t="shared" si="32"/>
        <v>0.8458018624557011</v>
      </c>
    </row>
    <row r="39" spans="1:29" x14ac:dyDescent="0.25">
      <c r="A39" s="30" t="str">
        <f t="shared" si="4"/>
        <v>Fuel Economy</v>
      </c>
      <c r="B39" s="62">
        <f t="shared" si="5"/>
        <v>588.84626218043502</v>
      </c>
      <c r="C39" s="62">
        <f t="shared" si="6"/>
        <v>588.7797515206795</v>
      </c>
      <c r="D39" s="62">
        <f t="shared" si="7"/>
        <v>588.68454299264499</v>
      </c>
      <c r="E39" s="62">
        <f t="shared" si="8"/>
        <v>588.54834049792862</v>
      </c>
      <c r="F39" s="62">
        <f t="shared" si="9"/>
        <v>588.35367707840635</v>
      </c>
      <c r="G39" s="62">
        <f t="shared" si="10"/>
        <v>588.07585031023859</v>
      </c>
      <c r="H39" s="62">
        <f t="shared" si="11"/>
        <v>587.68015683400074</v>
      </c>
      <c r="I39" s="62">
        <f t="shared" si="12"/>
        <v>587.11832882111048</v>
      </c>
      <c r="J39" s="62">
        <f t="shared" si="13"/>
        <v>586.32423891311498</v>
      </c>
      <c r="K39" s="62">
        <f t="shared" si="14"/>
        <v>585.20935100885799</v>
      </c>
      <c r="L39" s="62">
        <f t="shared" si="15"/>
        <v>583.65925210509909</v>
      </c>
      <c r="M39" s="62">
        <f t="shared" si="16"/>
        <v>581.53412449736095</v>
      </c>
      <c r="N39" s="62">
        <f t="shared" si="17"/>
        <v>578.67818071202885</v>
      </c>
      <c r="O39" s="62">
        <f t="shared" si="18"/>
        <v>574.94491045683674</v>
      </c>
      <c r="P39" s="62">
        <f t="shared" si="19"/>
        <v>570.24348757499536</v>
      </c>
      <c r="Q39" s="62">
        <f t="shared" si="20"/>
        <v>564.60191507115064</v>
      </c>
      <c r="R39" s="62">
        <f t="shared" si="21"/>
        <v>558.22257351659471</v>
      </c>
      <c r="S39" s="62">
        <f t="shared" si="22"/>
        <v>551.48792881122972</v>
      </c>
      <c r="T39" s="62">
        <f t="shared" si="23"/>
        <v>544.8858093168667</v>
      </c>
      <c r="U39" s="62">
        <f t="shared" si="24"/>
        <v>538.87576404606182</v>
      </c>
      <c r="V39" s="62">
        <f t="shared" si="25"/>
        <v>533.76808141278241</v>
      </c>
      <c r="W39" s="62">
        <f t="shared" si="26"/>
        <v>529.67774235765876</v>
      </c>
      <c r="X39" s="62">
        <f t="shared" si="27"/>
        <v>526.55663211639694</v>
      </c>
      <c r="Y39" s="62">
        <f t="shared" si="28"/>
        <v>524.26236577566647</v>
      </c>
      <c r="Z39" s="62">
        <f t="shared" si="29"/>
        <v>522.6219985324251</v>
      </c>
      <c r="AA39" s="62">
        <f t="shared" si="30"/>
        <v>521.47234334377424</v>
      </c>
      <c r="AB39" s="62">
        <f t="shared" si="31"/>
        <v>520.67786094508608</v>
      </c>
      <c r="AC39" s="62">
        <f t="shared" si="32"/>
        <v>520.13415704908732</v>
      </c>
    </row>
    <row r="40" spans="1:29" x14ac:dyDescent="0.25">
      <c r="A40" s="30" t="str">
        <f t="shared" si="4"/>
        <v>Fuel Cost</v>
      </c>
      <c r="B40" s="62">
        <f>$B20+($C20-$B20)*(1-Q20)</f>
        <v>0.25254227914256844</v>
      </c>
      <c r="C40" s="62">
        <f>$B20+($C20-$B20)*(1-R20)</f>
        <v>0.25172282033513138</v>
      </c>
      <c r="D40" s="62">
        <f>$B20+($C20-$B20)*(1-S20)</f>
        <v>0.25055930629945611</v>
      </c>
      <c r="E40" s="62">
        <f t="shared" ref="E40:AC40" si="33">$B20+($C20-$B20)*(1-T20)</f>
        <v>0.24891479101658942</v>
      </c>
      <c r="F40" s="62">
        <f t="shared" si="33"/>
        <v>0.24660592122895794</v>
      </c>
      <c r="G40" s="62">
        <f t="shared" si="33"/>
        <v>0.24339575407846328</v>
      </c>
      <c r="H40" s="62">
        <f t="shared" si="33"/>
        <v>0.23899473500772708</v>
      </c>
      <c r="I40" s="62">
        <f t="shared" si="33"/>
        <v>0.23308023697079527</v>
      </c>
      <c r="J40" s="62">
        <f t="shared" si="33"/>
        <v>0.22534884543953543</v>
      </c>
      <c r="K40" s="62">
        <f t="shared" si="33"/>
        <v>0.21561246458069289</v>
      </c>
      <c r="L40" s="62">
        <f t="shared" si="33"/>
        <v>0.20392908703293811</v>
      </c>
      <c r="M40" s="62">
        <f t="shared" si="33"/>
        <v>0.19071783151204119</v>
      </c>
      <c r="N40" s="62">
        <f t="shared" si="33"/>
        <v>0.17677076326304775</v>
      </c>
      <c r="O40" s="62">
        <f t="shared" si="33"/>
        <v>0.16309814722993504</v>
      </c>
      <c r="P40" s="62">
        <f t="shared" si="33"/>
        <v>0.15065168342395555</v>
      </c>
      <c r="Q40" s="62">
        <f t="shared" si="33"/>
        <v>0.14007396159940294</v>
      </c>
      <c r="R40" s="62">
        <f t="shared" si="33"/>
        <v>0.13160310078058535</v>
      </c>
      <c r="S40" s="62">
        <f t="shared" si="33"/>
        <v>0.12513945801219511</v>
      </c>
      <c r="T40" s="62">
        <f t="shared" si="33"/>
        <v>0.1203881621925289</v>
      </c>
      <c r="U40" s="62">
        <f t="shared" si="33"/>
        <v>0.11699105441686944</v>
      </c>
      <c r="V40" s="62">
        <f t="shared" si="33"/>
        <v>0.11461018354982119</v>
      </c>
      <c r="W40" s="62">
        <f t="shared" si="33"/>
        <v>0.11296485544093068</v>
      </c>
      <c r="X40" s="62">
        <f t="shared" si="33"/>
        <v>0.11183887542617238</v>
      </c>
      <c r="Y40" s="62">
        <f t="shared" si="33"/>
        <v>0.11107345429801357</v>
      </c>
      <c r="Z40" s="62">
        <f t="shared" si="33"/>
        <v>0.11055550233773928</v>
      </c>
      <c r="AA40" s="62">
        <f t="shared" si="33"/>
        <v>0.11020609140458582</v>
      </c>
      <c r="AB40" s="62">
        <f t="shared" si="33"/>
        <v>0.10997086970011311</v>
      </c>
      <c r="AC40" s="62">
        <f t="shared" si="33"/>
        <v>0.10981274199926885</v>
      </c>
    </row>
    <row r="41" spans="1:29" x14ac:dyDescent="0.25">
      <c r="A41" s="30" t="str">
        <f t="shared" ref="A41" si="34">A21</f>
        <v>Emission Cost</v>
      </c>
      <c r="B41" s="66">
        <f>$B21+($C21-$B21)*(1-Q21)</f>
        <v>2.4395360251592355</v>
      </c>
      <c r="C41" s="66">
        <f t="shared" ref="C41:AC41" si="35">$B21+($C21-$B21)*(1-R21)</f>
        <v>2.437212992466212</v>
      </c>
      <c r="D41" s="66">
        <f t="shared" si="35"/>
        <v>2.4338876229075299</v>
      </c>
      <c r="E41" s="66">
        <f t="shared" si="35"/>
        <v>2.4291304479033946</v>
      </c>
      <c r="F41" s="66">
        <f t="shared" si="35"/>
        <v>2.422331395099703</v>
      </c>
      <c r="G41" s="66">
        <f t="shared" si="35"/>
        <v>2.4126276774125932</v>
      </c>
      <c r="H41" s="66">
        <f t="shared" si="35"/>
        <v>2.3988072028436171</v>
      </c>
      <c r="I41" s="66">
        <f t="shared" si="35"/>
        <v>2.379184110145415</v>
      </c>
      <c r="J41" s="66">
        <f t="shared" si="35"/>
        <v>2.3514487542753191</v>
      </c>
      <c r="K41" s="66">
        <f t="shared" si="35"/>
        <v>2.3125088150209741</v>
      </c>
      <c r="L41" s="66">
        <f t="shared" si="35"/>
        <v>2.2583681638217614</v>
      </c>
      <c r="M41" s="66">
        <f t="shared" si="35"/>
        <v>2.1841433564334305</v>
      </c>
      <c r="N41" s="66">
        <f t="shared" si="35"/>
        <v>2.0843931689123196</v>
      </c>
      <c r="O41" s="66">
        <f t="shared" si="35"/>
        <v>1.9540004035032079</v>
      </c>
      <c r="P41" s="66">
        <f t="shared" si="35"/>
        <v>1.7897927547083285</v>
      </c>
      <c r="Q41" s="66">
        <f t="shared" si="35"/>
        <v>1.5927482897357697</v>
      </c>
      <c r="R41" s="66">
        <f t="shared" si="35"/>
        <v>1.3699356000755636</v>
      </c>
      <c r="S41" s="66">
        <f t="shared" si="35"/>
        <v>1.1347131577787466</v>
      </c>
      <c r="T41" s="66">
        <f t="shared" si="35"/>
        <v>0.90411945317509268</v>
      </c>
      <c r="U41" s="66">
        <f t="shared" si="35"/>
        <v>0.69420525743630557</v>
      </c>
      <c r="V41" s="66">
        <f t="shared" si="35"/>
        <v>0.51580808341464834</v>
      </c>
      <c r="W41" s="66">
        <f t="shared" si="35"/>
        <v>0.37294389614701329</v>
      </c>
      <c r="X41" s="66">
        <f t="shared" si="35"/>
        <v>0.26393218049669054</v>
      </c>
      <c r="Y41" s="66">
        <f t="shared" si="35"/>
        <v>0.18379982674147044</v>
      </c>
      <c r="Z41" s="66">
        <f t="shared" si="35"/>
        <v>0.12650635305435332</v>
      </c>
      <c r="AA41" s="66">
        <f t="shared" si="35"/>
        <v>8.6352089079855254E-2</v>
      </c>
      <c r="AB41" s="66">
        <f t="shared" si="35"/>
        <v>5.8603024599529263E-2</v>
      </c>
      <c r="AC41" s="66">
        <f t="shared" si="35"/>
        <v>3.9612956986719627E-2</v>
      </c>
    </row>
    <row r="42" spans="1:29" x14ac:dyDescent="0.25">
      <c r="A42" s="30" t="str">
        <f>A22</f>
        <v>Lifetime vehicle</v>
      </c>
      <c r="B42" s="62">
        <f>$B22+($C22-$B22)*(1-Q22)</f>
        <v>25</v>
      </c>
      <c r="C42" s="62">
        <f t="shared" ref="C42:L44" si="36">$B22+($C22-$B22)*(1-R22)</f>
        <v>25</v>
      </c>
      <c r="D42" s="62">
        <f t="shared" si="36"/>
        <v>25</v>
      </c>
      <c r="E42" s="62">
        <f t="shared" si="36"/>
        <v>25</v>
      </c>
      <c r="F42" s="62">
        <f t="shared" si="36"/>
        <v>25</v>
      </c>
      <c r="G42" s="62">
        <f t="shared" si="36"/>
        <v>25</v>
      </c>
      <c r="H42" s="62">
        <f t="shared" si="36"/>
        <v>25</v>
      </c>
      <c r="I42" s="62">
        <f t="shared" si="36"/>
        <v>25</v>
      </c>
      <c r="J42" s="62">
        <f t="shared" si="36"/>
        <v>25</v>
      </c>
      <c r="K42" s="62">
        <f t="shared" si="36"/>
        <v>25</v>
      </c>
      <c r="L42" s="62">
        <f t="shared" si="36"/>
        <v>25</v>
      </c>
      <c r="M42" s="62">
        <f t="shared" ref="M42:V44" si="37">$B22+($C22-$B22)*(1-AB22)</f>
        <v>25</v>
      </c>
      <c r="N42" s="62">
        <f t="shared" si="37"/>
        <v>25</v>
      </c>
      <c r="O42" s="62">
        <f t="shared" si="37"/>
        <v>25</v>
      </c>
      <c r="P42" s="62">
        <f t="shared" si="37"/>
        <v>25</v>
      </c>
      <c r="Q42" s="62">
        <f t="shared" si="37"/>
        <v>25</v>
      </c>
      <c r="R42" s="62">
        <f t="shared" si="37"/>
        <v>25</v>
      </c>
      <c r="S42" s="62">
        <f t="shared" si="37"/>
        <v>25</v>
      </c>
      <c r="T42" s="62">
        <f t="shared" si="37"/>
        <v>25</v>
      </c>
      <c r="U42" s="62">
        <f t="shared" si="37"/>
        <v>25</v>
      </c>
      <c r="V42" s="62">
        <f t="shared" si="37"/>
        <v>25</v>
      </c>
      <c r="W42" s="62">
        <f t="shared" ref="W42:AC44" si="38">$B22+($C22-$B22)*(1-AL22)</f>
        <v>25</v>
      </c>
      <c r="X42" s="62">
        <f t="shared" si="38"/>
        <v>25</v>
      </c>
      <c r="Y42" s="62">
        <f t="shared" si="38"/>
        <v>25</v>
      </c>
      <c r="Z42" s="62">
        <f t="shared" si="38"/>
        <v>25</v>
      </c>
      <c r="AA42" s="62">
        <f t="shared" si="38"/>
        <v>25</v>
      </c>
      <c r="AB42" s="62">
        <f t="shared" si="38"/>
        <v>25</v>
      </c>
      <c r="AC42" s="62">
        <f t="shared" si="38"/>
        <v>25</v>
      </c>
    </row>
    <row r="43" spans="1:29" x14ac:dyDescent="0.25">
      <c r="A43" s="30" t="str">
        <f>A23</f>
        <v>Lifetime costumization</v>
      </c>
      <c r="B43" s="62">
        <f>$B23+($C23-$B23)*(1-Q23)</f>
        <v>25</v>
      </c>
      <c r="C43" s="62">
        <f t="shared" si="36"/>
        <v>25</v>
      </c>
      <c r="D43" s="62">
        <f t="shared" si="36"/>
        <v>25</v>
      </c>
      <c r="E43" s="62">
        <f t="shared" si="36"/>
        <v>25</v>
      </c>
      <c r="F43" s="62">
        <f t="shared" si="36"/>
        <v>25</v>
      </c>
      <c r="G43" s="62">
        <f t="shared" si="36"/>
        <v>25</v>
      </c>
      <c r="H43" s="62">
        <f t="shared" si="36"/>
        <v>25</v>
      </c>
      <c r="I43" s="62">
        <f t="shared" si="36"/>
        <v>25</v>
      </c>
      <c r="J43" s="62">
        <f t="shared" si="36"/>
        <v>25</v>
      </c>
      <c r="K43" s="62">
        <f t="shared" si="36"/>
        <v>25</v>
      </c>
      <c r="L43" s="62">
        <f t="shared" si="36"/>
        <v>25</v>
      </c>
      <c r="M43" s="62">
        <f t="shared" si="37"/>
        <v>25</v>
      </c>
      <c r="N43" s="62">
        <f t="shared" si="37"/>
        <v>25</v>
      </c>
      <c r="O43" s="62">
        <f t="shared" si="37"/>
        <v>25</v>
      </c>
      <c r="P43" s="62">
        <f t="shared" si="37"/>
        <v>25</v>
      </c>
      <c r="Q43" s="62">
        <f t="shared" si="37"/>
        <v>25</v>
      </c>
      <c r="R43" s="62">
        <f t="shared" si="37"/>
        <v>25</v>
      </c>
      <c r="S43" s="62">
        <f t="shared" si="37"/>
        <v>25</v>
      </c>
      <c r="T43" s="62">
        <f t="shared" si="37"/>
        <v>25</v>
      </c>
      <c r="U43" s="62">
        <f t="shared" si="37"/>
        <v>25</v>
      </c>
      <c r="V43" s="62">
        <f t="shared" si="37"/>
        <v>25</v>
      </c>
      <c r="W43" s="62">
        <f t="shared" si="38"/>
        <v>25</v>
      </c>
      <c r="X43" s="62">
        <f t="shared" si="38"/>
        <v>25</v>
      </c>
      <c r="Y43" s="62">
        <f t="shared" si="38"/>
        <v>25</v>
      </c>
      <c r="Z43" s="62">
        <f t="shared" si="38"/>
        <v>25</v>
      </c>
      <c r="AA43" s="62">
        <f t="shared" si="38"/>
        <v>25</v>
      </c>
      <c r="AB43" s="62">
        <f t="shared" si="38"/>
        <v>25</v>
      </c>
      <c r="AC43" s="62">
        <f t="shared" si="38"/>
        <v>25</v>
      </c>
    </row>
    <row r="44" spans="1:29" x14ac:dyDescent="0.25">
      <c r="A44" s="30" t="str">
        <f>A24</f>
        <v>Tonnage .</v>
      </c>
      <c r="B44" s="62">
        <f>$B24+($C24-$B24)*(1-Q24)</f>
        <v>9450</v>
      </c>
      <c r="C44" s="62">
        <f t="shared" si="36"/>
        <v>9450</v>
      </c>
      <c r="D44" s="62">
        <f t="shared" si="36"/>
        <v>9450</v>
      </c>
      <c r="E44" s="62">
        <f t="shared" si="36"/>
        <v>9450</v>
      </c>
      <c r="F44" s="62">
        <f t="shared" si="36"/>
        <v>9450</v>
      </c>
      <c r="G44" s="62">
        <f t="shared" si="36"/>
        <v>9450</v>
      </c>
      <c r="H44" s="62">
        <f t="shared" si="36"/>
        <v>9450</v>
      </c>
      <c r="I44" s="62">
        <f t="shared" si="36"/>
        <v>9450</v>
      </c>
      <c r="J44" s="62">
        <f t="shared" si="36"/>
        <v>9450</v>
      </c>
      <c r="K44" s="62">
        <f t="shared" si="36"/>
        <v>9450</v>
      </c>
      <c r="L44" s="62">
        <f t="shared" si="36"/>
        <v>9450</v>
      </c>
      <c r="M44" s="62">
        <f t="shared" si="37"/>
        <v>9450</v>
      </c>
      <c r="N44" s="62">
        <f t="shared" si="37"/>
        <v>9450</v>
      </c>
      <c r="O44" s="62">
        <f t="shared" si="37"/>
        <v>9450</v>
      </c>
      <c r="P44" s="62">
        <f t="shared" si="37"/>
        <v>9450</v>
      </c>
      <c r="Q44" s="62">
        <f t="shared" si="37"/>
        <v>9450</v>
      </c>
      <c r="R44" s="62">
        <f t="shared" si="37"/>
        <v>9450</v>
      </c>
      <c r="S44" s="62">
        <f t="shared" si="37"/>
        <v>9450</v>
      </c>
      <c r="T44" s="62">
        <f t="shared" si="37"/>
        <v>9450</v>
      </c>
      <c r="U44" s="62">
        <f t="shared" si="37"/>
        <v>9450</v>
      </c>
      <c r="V44" s="62">
        <f t="shared" si="37"/>
        <v>9450</v>
      </c>
      <c r="W44" s="62">
        <f t="shared" si="38"/>
        <v>9450</v>
      </c>
      <c r="X44" s="62">
        <f t="shared" si="38"/>
        <v>9450</v>
      </c>
      <c r="Y44" s="62">
        <f t="shared" si="38"/>
        <v>9450</v>
      </c>
      <c r="Z44" s="62">
        <f t="shared" si="38"/>
        <v>9450</v>
      </c>
      <c r="AA44" s="62">
        <f t="shared" si="38"/>
        <v>9450</v>
      </c>
      <c r="AB44" s="62">
        <f t="shared" si="38"/>
        <v>9450</v>
      </c>
      <c r="AC44" s="62">
        <f t="shared" si="38"/>
        <v>9450</v>
      </c>
    </row>
    <row r="45" spans="1:29" x14ac:dyDescent="0.25">
      <c r="A45" s="30" t="str">
        <f>A25</f>
        <v>Market failure (av. utilization)</v>
      </c>
      <c r="B45" s="62">
        <f t="shared" ref="B45:K46" si="39">($B25+($C25-$B25)*(1-Q25))*B$44</f>
        <v>6426.0000000000009</v>
      </c>
      <c r="C45" s="62">
        <f t="shared" si="39"/>
        <v>6426.0000000000009</v>
      </c>
      <c r="D45" s="62">
        <f t="shared" si="39"/>
        <v>6426.0000000000009</v>
      </c>
      <c r="E45" s="62">
        <f t="shared" si="39"/>
        <v>6426.0000000000009</v>
      </c>
      <c r="F45" s="62">
        <f t="shared" si="39"/>
        <v>6426.0000000000009</v>
      </c>
      <c r="G45" s="62">
        <f t="shared" si="39"/>
        <v>6426.0000000000009</v>
      </c>
      <c r="H45" s="62">
        <f t="shared" si="39"/>
        <v>6426.0000000000009</v>
      </c>
      <c r="I45" s="62">
        <f t="shared" si="39"/>
        <v>6426.0000000000009</v>
      </c>
      <c r="J45" s="62">
        <f t="shared" si="39"/>
        <v>6426.0000000000009</v>
      </c>
      <c r="K45" s="62">
        <f t="shared" si="39"/>
        <v>6426.0000000000009</v>
      </c>
      <c r="L45" s="62">
        <f t="shared" ref="L45:U46" si="40">($B25+($C25-$B25)*(1-AA25))*L$44</f>
        <v>6426.0000000000009</v>
      </c>
      <c r="M45" s="62">
        <f t="shared" si="40"/>
        <v>6426.0000000000009</v>
      </c>
      <c r="N45" s="62">
        <f t="shared" si="40"/>
        <v>6426.0000000000009</v>
      </c>
      <c r="O45" s="62">
        <f t="shared" si="40"/>
        <v>6426.0000000000009</v>
      </c>
      <c r="P45" s="62">
        <f t="shared" si="40"/>
        <v>6426.0000000000009</v>
      </c>
      <c r="Q45" s="62">
        <f t="shared" si="40"/>
        <v>6426.0000000000009</v>
      </c>
      <c r="R45" s="62">
        <f t="shared" si="40"/>
        <v>6426.0000000000009</v>
      </c>
      <c r="S45" s="62">
        <f t="shared" si="40"/>
        <v>6426.0000000000009</v>
      </c>
      <c r="T45" s="62">
        <f t="shared" si="40"/>
        <v>6426.0000000000009</v>
      </c>
      <c r="U45" s="62">
        <f t="shared" si="40"/>
        <v>6426.0000000000009</v>
      </c>
      <c r="V45" s="62">
        <f t="shared" ref="V45:AC46" si="41">($B25+($C25-$B25)*(1-AK25))*V$44</f>
        <v>6426.0000000000009</v>
      </c>
      <c r="W45" s="62">
        <f t="shared" si="41"/>
        <v>6426.0000000000009</v>
      </c>
      <c r="X45" s="62">
        <f t="shared" si="41"/>
        <v>6426.0000000000009</v>
      </c>
      <c r="Y45" s="62">
        <f t="shared" si="41"/>
        <v>6426.0000000000009</v>
      </c>
      <c r="Z45" s="62">
        <f t="shared" si="41"/>
        <v>6426.0000000000009</v>
      </c>
      <c r="AA45" s="62">
        <f t="shared" si="41"/>
        <v>6426.0000000000009</v>
      </c>
      <c r="AB45" s="62">
        <f t="shared" si="41"/>
        <v>6426.0000000000009</v>
      </c>
      <c r="AC45" s="62">
        <f t="shared" si="41"/>
        <v>6426.0000000000009</v>
      </c>
    </row>
    <row r="46" spans="1:29" x14ac:dyDescent="0.25">
      <c r="A46" s="30" t="s">
        <v>73</v>
      </c>
      <c r="B46" s="62">
        <f t="shared" si="39"/>
        <v>944.5849078871745</v>
      </c>
      <c r="C46" s="62">
        <f t="shared" si="39"/>
        <v>944.40532910583465</v>
      </c>
      <c r="D46" s="62">
        <f t="shared" si="39"/>
        <v>944.14826608014141</v>
      </c>
      <c r="E46" s="62">
        <f t="shared" si="39"/>
        <v>943.78051934440748</v>
      </c>
      <c r="F46" s="62">
        <f t="shared" si="39"/>
        <v>943.25492811169715</v>
      </c>
      <c r="G46" s="62">
        <f t="shared" si="39"/>
        <v>942.50479583764434</v>
      </c>
      <c r="H46" s="62">
        <f t="shared" si="39"/>
        <v>941.43642345180217</v>
      </c>
      <c r="I46" s="62">
        <f t="shared" si="39"/>
        <v>939.91948781699818</v>
      </c>
      <c r="J46" s="62">
        <f t="shared" si="39"/>
        <v>937.77544506541028</v>
      </c>
      <c r="K46" s="62">
        <f t="shared" si="39"/>
        <v>934.76524772391656</v>
      </c>
      <c r="L46" s="62">
        <f t="shared" si="40"/>
        <v>930.57998068376753</v>
      </c>
      <c r="M46" s="62">
        <f t="shared" si="40"/>
        <v>924.84213614287444</v>
      </c>
      <c r="N46" s="62">
        <f t="shared" si="40"/>
        <v>917.13108792247806</v>
      </c>
      <c r="O46" s="62">
        <f t="shared" si="40"/>
        <v>907.05125823345929</v>
      </c>
      <c r="P46" s="62">
        <f t="shared" si="40"/>
        <v>894.35741645248754</v>
      </c>
      <c r="Q46" s="62">
        <f t="shared" si="40"/>
        <v>879.12517069210696</v>
      </c>
      <c r="R46" s="62">
        <f t="shared" si="40"/>
        <v>861.90094849480568</v>
      </c>
      <c r="S46" s="62">
        <f t="shared" si="40"/>
        <v>843.71740779032029</v>
      </c>
      <c r="T46" s="62">
        <f t="shared" si="40"/>
        <v>825.89168515554024</v>
      </c>
      <c r="U46" s="62">
        <f t="shared" si="40"/>
        <v>809.66456292436703</v>
      </c>
      <c r="V46" s="62">
        <f t="shared" si="41"/>
        <v>795.87381981451244</v>
      </c>
      <c r="W46" s="62">
        <f t="shared" si="41"/>
        <v>784.82990436567866</v>
      </c>
      <c r="X46" s="62">
        <f t="shared" si="41"/>
        <v>776.40290671427192</v>
      </c>
      <c r="Y46" s="62">
        <f t="shared" si="41"/>
        <v>770.20838759429932</v>
      </c>
      <c r="Z46" s="62">
        <f t="shared" si="41"/>
        <v>765.77939603754794</v>
      </c>
      <c r="AA46" s="62">
        <f t="shared" si="41"/>
        <v>762.6753270281904</v>
      </c>
      <c r="AB46" s="62">
        <f t="shared" si="41"/>
        <v>760.53022455173243</v>
      </c>
      <c r="AC46" s="62">
        <f t="shared" si="41"/>
        <v>759.0622240325356</v>
      </c>
    </row>
    <row r="47" spans="1:29" x14ac:dyDescent="0.25">
      <c r="A47" s="30" t="str">
        <f>A27</f>
        <v>Annual Mileage</v>
      </c>
      <c r="B47" s="62">
        <f t="shared" ref="B47:AC47" si="42">$B27+($C27-$B27)*(1-Q27)</f>
        <v>120000</v>
      </c>
      <c r="C47" s="62">
        <f t="shared" si="42"/>
        <v>120000</v>
      </c>
      <c r="D47" s="62">
        <f t="shared" si="42"/>
        <v>120000</v>
      </c>
      <c r="E47" s="62">
        <f t="shared" si="42"/>
        <v>120000</v>
      </c>
      <c r="F47" s="62">
        <f t="shared" si="42"/>
        <v>120000</v>
      </c>
      <c r="G47" s="62">
        <f t="shared" si="42"/>
        <v>120000</v>
      </c>
      <c r="H47" s="62">
        <f t="shared" si="42"/>
        <v>120000</v>
      </c>
      <c r="I47" s="62">
        <f t="shared" si="42"/>
        <v>120000</v>
      </c>
      <c r="J47" s="62">
        <f t="shared" si="42"/>
        <v>120000</v>
      </c>
      <c r="K47" s="62">
        <f t="shared" si="42"/>
        <v>120000</v>
      </c>
      <c r="L47" s="62">
        <f t="shared" si="42"/>
        <v>120000</v>
      </c>
      <c r="M47" s="62">
        <f t="shared" si="42"/>
        <v>120000</v>
      </c>
      <c r="N47" s="62">
        <f t="shared" si="42"/>
        <v>120000</v>
      </c>
      <c r="O47" s="62">
        <f t="shared" si="42"/>
        <v>120000</v>
      </c>
      <c r="P47" s="62">
        <f t="shared" si="42"/>
        <v>120000</v>
      </c>
      <c r="Q47" s="62">
        <f t="shared" si="42"/>
        <v>120000</v>
      </c>
      <c r="R47" s="62">
        <f t="shared" si="42"/>
        <v>120000</v>
      </c>
      <c r="S47" s="62">
        <f t="shared" si="42"/>
        <v>120000</v>
      </c>
      <c r="T47" s="62">
        <f t="shared" si="42"/>
        <v>120000</v>
      </c>
      <c r="U47" s="62">
        <f t="shared" si="42"/>
        <v>120000</v>
      </c>
      <c r="V47" s="62">
        <f t="shared" si="42"/>
        <v>120000</v>
      </c>
      <c r="W47" s="62">
        <f t="shared" si="42"/>
        <v>120000</v>
      </c>
      <c r="X47" s="62">
        <f t="shared" si="42"/>
        <v>120000</v>
      </c>
      <c r="Y47" s="62">
        <f t="shared" si="42"/>
        <v>120000</v>
      </c>
      <c r="Z47" s="62">
        <f t="shared" si="42"/>
        <v>120000</v>
      </c>
      <c r="AA47" s="62">
        <f t="shared" si="42"/>
        <v>120000</v>
      </c>
      <c r="AB47" s="62">
        <f t="shared" si="42"/>
        <v>120000</v>
      </c>
      <c r="AC47" s="62">
        <f t="shared" si="42"/>
        <v>120000</v>
      </c>
    </row>
    <row r="48" spans="1:29"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2344997.5856047659</v>
      </c>
      <c r="C50" s="63">
        <f t="shared" ref="C50:AC50" si="43">((1+C35)^C42)*C35/(((1+C35)^C42)-1)*(C31)</f>
        <v>2344217.1490089451</v>
      </c>
      <c r="D50" s="63">
        <f t="shared" si="43"/>
        <v>2343099.9714048514</v>
      </c>
      <c r="E50" s="63">
        <f t="shared" si="43"/>
        <v>2341501.7702787537</v>
      </c>
      <c r="F50" s="63">
        <f t="shared" si="43"/>
        <v>2339217.5882089725</v>
      </c>
      <c r="G50" s="63">
        <f t="shared" si="43"/>
        <v>2335957.5667631798</v>
      </c>
      <c r="H50" s="63">
        <f t="shared" si="43"/>
        <v>2331314.496453566</v>
      </c>
      <c r="I50" s="63">
        <f t="shared" si="43"/>
        <v>2324722.0022063456</v>
      </c>
      <c r="J50" s="63">
        <f t="shared" si="43"/>
        <v>2315404.1450861497</v>
      </c>
      <c r="K50" s="63">
        <f t="shared" si="43"/>
        <v>2302322.0417974619</v>
      </c>
      <c r="L50" s="63">
        <f t="shared" si="43"/>
        <v>2284133.1692756363</v>
      </c>
      <c r="M50" s="63">
        <f t="shared" si="43"/>
        <v>2259196.9054952883</v>
      </c>
      <c r="N50" s="63">
        <f t="shared" si="43"/>
        <v>2225685.2390364991</v>
      </c>
      <c r="O50" s="63">
        <f t="shared" si="43"/>
        <v>2181879.0169970216</v>
      </c>
      <c r="P50" s="63">
        <f t="shared" si="43"/>
        <v>2126712.4845508407</v>
      </c>
      <c r="Q50" s="63">
        <f t="shared" si="43"/>
        <v>2060514.2291709851</v>
      </c>
      <c r="R50" s="63">
        <f t="shared" si="43"/>
        <v>1985658.9860457699</v>
      </c>
      <c r="S50" s="63">
        <f t="shared" si="43"/>
        <v>1906634.6130018148</v>
      </c>
      <c r="T50" s="63">
        <f t="shared" si="43"/>
        <v>1829165.2918084206</v>
      </c>
      <c r="U50" s="63">
        <f t="shared" si="43"/>
        <v>1758643.3741320807</v>
      </c>
      <c r="V50" s="63">
        <f t="shared" si="43"/>
        <v>1698709.7866213897</v>
      </c>
      <c r="W50" s="63">
        <f t="shared" si="43"/>
        <v>1650713.7165227169</v>
      </c>
      <c r="X50" s="63">
        <f t="shared" si="43"/>
        <v>1614090.584819823</v>
      </c>
      <c r="Y50" s="63">
        <f t="shared" si="43"/>
        <v>1587169.645838788</v>
      </c>
      <c r="Z50" s="63">
        <f t="shared" si="43"/>
        <v>1567921.5639235359</v>
      </c>
      <c r="AA50" s="63">
        <f t="shared" si="43"/>
        <v>1554431.5010509547</v>
      </c>
      <c r="AB50" s="63">
        <f t="shared" si="43"/>
        <v>1545109.0384419363</v>
      </c>
      <c r="AC50" s="63">
        <f t="shared" si="43"/>
        <v>1538729.2127224542</v>
      </c>
    </row>
    <row r="51" spans="1:29" x14ac:dyDescent="0.25">
      <c r="A51" s="30" t="str">
        <f>A32</f>
        <v>Residual value (vehicle)</v>
      </c>
      <c r="B51" s="62">
        <f>((1+B35)^B42)*B35/(((1+B35)^B42)-1)*(B32)</f>
        <v>-117417.38992255888</v>
      </c>
      <c r="C51" s="62">
        <f t="shared" ref="C51:AC51" si="44">((1+C35)^C42)*C35/(((1+C35)^C42)-1)*(C32)</f>
        <v>-117450.83720523692</v>
      </c>
      <c r="D51" s="62">
        <f t="shared" si="44"/>
        <v>-117498.71624541239</v>
      </c>
      <c r="E51" s="62">
        <f t="shared" si="44"/>
        <v>-117567.21057938797</v>
      </c>
      <c r="F51" s="62">
        <f t="shared" si="44"/>
        <v>-117665.10409666432</v>
      </c>
      <c r="G51" s="62">
        <f t="shared" si="44"/>
        <v>-117804.81930148401</v>
      </c>
      <c r="H51" s="62">
        <f t="shared" si="44"/>
        <v>-118003.80802903889</v>
      </c>
      <c r="I51" s="62">
        <f t="shared" si="44"/>
        <v>-118286.34349677691</v>
      </c>
      <c r="J51" s="62">
        <f t="shared" si="44"/>
        <v>-118685.68023049959</v>
      </c>
      <c r="K51" s="62">
        <f t="shared" si="44"/>
        <v>-119246.34180001476</v>
      </c>
      <c r="L51" s="62">
        <f t="shared" si="44"/>
        <v>-120025.864908093</v>
      </c>
      <c r="M51" s="62">
        <f t="shared" si="44"/>
        <v>-121094.56192725079</v>
      </c>
      <c r="N51" s="62">
        <f t="shared" si="44"/>
        <v>-122530.77620405605</v>
      </c>
      <c r="O51" s="62">
        <f t="shared" si="44"/>
        <v>-124408.18572003364</v>
      </c>
      <c r="P51" s="62">
        <f t="shared" si="44"/>
        <v>-126772.46568201284</v>
      </c>
      <c r="Q51" s="62">
        <f t="shared" si="44"/>
        <v>-129609.53376972093</v>
      </c>
      <c r="R51" s="62">
        <f t="shared" si="44"/>
        <v>-132817.61561794442</v>
      </c>
      <c r="S51" s="62">
        <f t="shared" si="44"/>
        <v>-136204.37446268537</v>
      </c>
      <c r="T51" s="62">
        <f t="shared" si="44"/>
        <v>-139524.48822811653</v>
      </c>
      <c r="U51" s="62">
        <f t="shared" si="44"/>
        <v>-142546.8561285311</v>
      </c>
      <c r="V51" s="62">
        <f t="shared" si="44"/>
        <v>-145115.43845041786</v>
      </c>
      <c r="W51" s="62">
        <f t="shared" si="44"/>
        <v>-147172.41288321812</v>
      </c>
      <c r="X51" s="62">
        <f t="shared" si="44"/>
        <v>-148741.975670485</v>
      </c>
      <c r="Y51" s="62">
        <f t="shared" si="44"/>
        <v>-149895.73019824366</v>
      </c>
      <c r="Z51" s="62">
        <f t="shared" si="44"/>
        <v>-150720.64799461162</v>
      </c>
      <c r="AA51" s="62">
        <f t="shared" si="44"/>
        <v>-151298.79354629366</v>
      </c>
      <c r="AB51" s="62">
        <f t="shared" si="44"/>
        <v>-151698.32765810873</v>
      </c>
      <c r="AC51" s="62">
        <f t="shared" si="44"/>
        <v>-151971.74876037225</v>
      </c>
    </row>
    <row r="52" spans="1:29" x14ac:dyDescent="0.25">
      <c r="A52" s="30" t="str">
        <f>A33</f>
        <v>Capex costumization</v>
      </c>
      <c r="B52" s="62">
        <f>((1+B35)^B43)*B35/(((1+B35)^B43)-1)*(B33)</f>
        <v>78226.718212273947</v>
      </c>
      <c r="C52" s="62">
        <f t="shared" ref="C52:AC52" si="45">((1+C35)^C43)*C35/(((1+C35)^C43)-1)*(C33)</f>
        <v>78226.718212273947</v>
      </c>
      <c r="D52" s="62">
        <f t="shared" si="45"/>
        <v>78226.718212273947</v>
      </c>
      <c r="E52" s="62">
        <f t="shared" si="45"/>
        <v>78226.718212273947</v>
      </c>
      <c r="F52" s="62">
        <f t="shared" si="45"/>
        <v>78226.718212273947</v>
      </c>
      <c r="G52" s="62">
        <f t="shared" si="45"/>
        <v>78226.718212273947</v>
      </c>
      <c r="H52" s="62">
        <f t="shared" si="45"/>
        <v>78226.718212273947</v>
      </c>
      <c r="I52" s="62">
        <f t="shared" si="45"/>
        <v>78226.718212273947</v>
      </c>
      <c r="J52" s="62">
        <f t="shared" si="45"/>
        <v>78226.718212273947</v>
      </c>
      <c r="K52" s="62">
        <f t="shared" si="45"/>
        <v>78226.718212273947</v>
      </c>
      <c r="L52" s="62">
        <f t="shared" si="45"/>
        <v>78226.718212273947</v>
      </c>
      <c r="M52" s="62">
        <f t="shared" si="45"/>
        <v>78226.718212273947</v>
      </c>
      <c r="N52" s="62">
        <f t="shared" si="45"/>
        <v>78226.718212273947</v>
      </c>
      <c r="O52" s="62">
        <f t="shared" si="45"/>
        <v>78226.718212273947</v>
      </c>
      <c r="P52" s="62">
        <f t="shared" si="45"/>
        <v>78226.718212273947</v>
      </c>
      <c r="Q52" s="62">
        <f t="shared" si="45"/>
        <v>78226.718212273947</v>
      </c>
      <c r="R52" s="62">
        <f t="shared" si="45"/>
        <v>78226.718212273947</v>
      </c>
      <c r="S52" s="62">
        <f t="shared" si="45"/>
        <v>78226.718212273947</v>
      </c>
      <c r="T52" s="62">
        <f t="shared" si="45"/>
        <v>78226.718212273947</v>
      </c>
      <c r="U52" s="62">
        <f t="shared" si="45"/>
        <v>78226.718212273947</v>
      </c>
      <c r="V52" s="62">
        <f t="shared" si="45"/>
        <v>78226.718212273947</v>
      </c>
      <c r="W52" s="62">
        <f t="shared" si="45"/>
        <v>78226.718212273947</v>
      </c>
      <c r="X52" s="62">
        <f t="shared" si="45"/>
        <v>78226.718212273947</v>
      </c>
      <c r="Y52" s="62">
        <f t="shared" si="45"/>
        <v>78226.718212273947</v>
      </c>
      <c r="Z52" s="62">
        <f t="shared" si="45"/>
        <v>78226.718212273947</v>
      </c>
      <c r="AA52" s="62">
        <f t="shared" si="45"/>
        <v>78226.718212273947</v>
      </c>
      <c r="AB52" s="62">
        <f t="shared" si="45"/>
        <v>78226.718212273947</v>
      </c>
      <c r="AC52" s="62">
        <f t="shared" si="45"/>
        <v>78226.718212273947</v>
      </c>
    </row>
    <row r="53" spans="1:29" x14ac:dyDescent="0.25">
      <c r="A53" s="30" t="str">
        <f>A34</f>
        <v>Residual value (costumization)</v>
      </c>
      <c r="B53" s="62">
        <f>((1+B35)^B43)*B35/(((1+B35)^B43)-1)*(B34)</f>
        <v>-7822.6718212273945</v>
      </c>
      <c r="C53" s="62">
        <f t="shared" ref="C53:AC53" si="46">((1+C35)^C43)*C35/(((1+C35)^C43)-1)*(C34)</f>
        <v>-7822.6718212273945</v>
      </c>
      <c r="D53" s="62">
        <f t="shared" si="46"/>
        <v>-7822.6718212273945</v>
      </c>
      <c r="E53" s="62">
        <f t="shared" si="46"/>
        <v>-7822.6718212273945</v>
      </c>
      <c r="F53" s="62">
        <f t="shared" si="46"/>
        <v>-7822.6718212273945</v>
      </c>
      <c r="G53" s="62">
        <f t="shared" si="46"/>
        <v>-7822.6718212273945</v>
      </c>
      <c r="H53" s="62">
        <f t="shared" si="46"/>
        <v>-7822.6718212273945</v>
      </c>
      <c r="I53" s="62">
        <f t="shared" si="46"/>
        <v>-7822.6718212273945</v>
      </c>
      <c r="J53" s="62">
        <f t="shared" si="46"/>
        <v>-7822.6718212273945</v>
      </c>
      <c r="K53" s="62">
        <f t="shared" si="46"/>
        <v>-7822.6718212273945</v>
      </c>
      <c r="L53" s="62">
        <f t="shared" si="46"/>
        <v>-7822.6718212273945</v>
      </c>
      <c r="M53" s="62">
        <f t="shared" si="46"/>
        <v>-7822.6718212273945</v>
      </c>
      <c r="N53" s="62">
        <f t="shared" si="46"/>
        <v>-7822.6718212273945</v>
      </c>
      <c r="O53" s="62">
        <f t="shared" si="46"/>
        <v>-7822.6718212273945</v>
      </c>
      <c r="P53" s="62">
        <f t="shared" si="46"/>
        <v>-7822.6718212273945</v>
      </c>
      <c r="Q53" s="62">
        <f t="shared" si="46"/>
        <v>-7822.6718212273945</v>
      </c>
      <c r="R53" s="62">
        <f t="shared" si="46"/>
        <v>-7822.6718212273945</v>
      </c>
      <c r="S53" s="62">
        <f t="shared" si="46"/>
        <v>-7822.6718212273945</v>
      </c>
      <c r="T53" s="62">
        <f t="shared" si="46"/>
        <v>-7822.6718212273945</v>
      </c>
      <c r="U53" s="62">
        <f t="shared" si="46"/>
        <v>-7822.6718212273945</v>
      </c>
      <c r="V53" s="62">
        <f t="shared" si="46"/>
        <v>-7822.6718212273945</v>
      </c>
      <c r="W53" s="62">
        <f t="shared" si="46"/>
        <v>-7822.6718212273945</v>
      </c>
      <c r="X53" s="62">
        <f t="shared" si="46"/>
        <v>-7822.6718212273945</v>
      </c>
      <c r="Y53" s="62">
        <f t="shared" si="46"/>
        <v>-7822.6718212273945</v>
      </c>
      <c r="Z53" s="62">
        <f t="shared" si="46"/>
        <v>-7822.6718212273945</v>
      </c>
      <c r="AA53" s="62">
        <f t="shared" si="46"/>
        <v>-7822.6718212273945</v>
      </c>
      <c r="AB53" s="62">
        <f t="shared" si="46"/>
        <v>-7822.6718212273945</v>
      </c>
      <c r="AC53" s="62">
        <f t="shared" si="46"/>
        <v>-7822.6718212273945</v>
      </c>
    </row>
    <row r="54" spans="1:29" x14ac:dyDescent="0.25">
      <c r="A54" s="30" t="str">
        <f t="shared" ref="A54:AC54" si="47">A36</f>
        <v>Opex fix (admin, crew, insurance)</v>
      </c>
      <c r="B54" s="62">
        <f t="shared" si="47"/>
        <v>1208235.294117647</v>
      </c>
      <c r="C54" s="62">
        <f t="shared" si="47"/>
        <v>1208235.294117647</v>
      </c>
      <c r="D54" s="62">
        <f t="shared" si="47"/>
        <v>1208235.294117647</v>
      </c>
      <c r="E54" s="62">
        <f t="shared" si="47"/>
        <v>1208235.294117647</v>
      </c>
      <c r="F54" s="62">
        <f t="shared" si="47"/>
        <v>1208235.294117647</v>
      </c>
      <c r="G54" s="62">
        <f t="shared" si="47"/>
        <v>1208235.294117647</v>
      </c>
      <c r="H54" s="62">
        <f t="shared" si="47"/>
        <v>1208235.294117647</v>
      </c>
      <c r="I54" s="62">
        <f t="shared" si="47"/>
        <v>1208235.294117647</v>
      </c>
      <c r="J54" s="62">
        <f t="shared" si="47"/>
        <v>1208235.294117647</v>
      </c>
      <c r="K54" s="62">
        <f t="shared" si="47"/>
        <v>1208235.294117647</v>
      </c>
      <c r="L54" s="62">
        <f t="shared" si="47"/>
        <v>1208235.294117647</v>
      </c>
      <c r="M54" s="62">
        <f t="shared" si="47"/>
        <v>1208235.294117647</v>
      </c>
      <c r="N54" s="62">
        <f t="shared" si="47"/>
        <v>1208235.294117647</v>
      </c>
      <c r="O54" s="62">
        <f t="shared" si="47"/>
        <v>1208235.294117647</v>
      </c>
      <c r="P54" s="62">
        <f t="shared" si="47"/>
        <v>1208235.294117647</v>
      </c>
      <c r="Q54" s="62">
        <f t="shared" si="47"/>
        <v>1208235.294117647</v>
      </c>
      <c r="R54" s="62">
        <f t="shared" si="47"/>
        <v>1208235.294117647</v>
      </c>
      <c r="S54" s="62">
        <f t="shared" si="47"/>
        <v>1208235.294117647</v>
      </c>
      <c r="T54" s="62">
        <f t="shared" si="47"/>
        <v>1208235.294117647</v>
      </c>
      <c r="U54" s="62">
        <f t="shared" si="47"/>
        <v>1208235.294117647</v>
      </c>
      <c r="V54" s="62">
        <f t="shared" si="47"/>
        <v>1208235.294117647</v>
      </c>
      <c r="W54" s="62">
        <f t="shared" si="47"/>
        <v>1208235.294117647</v>
      </c>
      <c r="X54" s="62">
        <f t="shared" si="47"/>
        <v>1208235.294117647</v>
      </c>
      <c r="Y54" s="62">
        <f t="shared" si="47"/>
        <v>1208235.294117647</v>
      </c>
      <c r="Z54" s="62">
        <f t="shared" si="47"/>
        <v>1208235.294117647</v>
      </c>
      <c r="AA54" s="62">
        <f t="shared" si="47"/>
        <v>1208235.294117647</v>
      </c>
      <c r="AB54" s="62">
        <f t="shared" si="47"/>
        <v>1208235.294117647</v>
      </c>
      <c r="AC54" s="62">
        <f t="shared" si="47"/>
        <v>1208235.294117647</v>
      </c>
    </row>
    <row r="55" spans="1:29" x14ac:dyDescent="0.25">
      <c r="A55" s="30" t="str">
        <f t="shared" ref="A55:AC55" si="48">A37</f>
        <v>Opex maintenance &amp; repair</v>
      </c>
      <c r="B55" s="62">
        <f t="shared" si="48"/>
        <v>338823.5294117647</v>
      </c>
      <c r="C55" s="62">
        <f t="shared" si="48"/>
        <v>338823.5294117647</v>
      </c>
      <c r="D55" s="62">
        <f t="shared" si="48"/>
        <v>338823.5294117647</v>
      </c>
      <c r="E55" s="62">
        <f t="shared" si="48"/>
        <v>338823.5294117647</v>
      </c>
      <c r="F55" s="62">
        <f t="shared" si="48"/>
        <v>338823.5294117647</v>
      </c>
      <c r="G55" s="62">
        <f t="shared" si="48"/>
        <v>338823.5294117647</v>
      </c>
      <c r="H55" s="62">
        <f t="shared" si="48"/>
        <v>338823.5294117647</v>
      </c>
      <c r="I55" s="62">
        <f t="shared" si="48"/>
        <v>338823.5294117647</v>
      </c>
      <c r="J55" s="62">
        <f t="shared" si="48"/>
        <v>338823.5294117647</v>
      </c>
      <c r="K55" s="62">
        <f t="shared" si="48"/>
        <v>338823.5294117647</v>
      </c>
      <c r="L55" s="62">
        <f t="shared" si="48"/>
        <v>338823.5294117647</v>
      </c>
      <c r="M55" s="62">
        <f t="shared" si="48"/>
        <v>338823.5294117647</v>
      </c>
      <c r="N55" s="62">
        <f t="shared" si="48"/>
        <v>338823.5294117647</v>
      </c>
      <c r="O55" s="62">
        <f t="shared" si="48"/>
        <v>338823.5294117647</v>
      </c>
      <c r="P55" s="62">
        <f t="shared" si="48"/>
        <v>338823.5294117647</v>
      </c>
      <c r="Q55" s="62">
        <f t="shared" si="48"/>
        <v>338823.5294117647</v>
      </c>
      <c r="R55" s="62">
        <f t="shared" si="48"/>
        <v>338823.5294117647</v>
      </c>
      <c r="S55" s="62">
        <f t="shared" si="48"/>
        <v>338823.5294117647</v>
      </c>
      <c r="T55" s="62">
        <f t="shared" si="48"/>
        <v>338823.5294117647</v>
      </c>
      <c r="U55" s="62">
        <f t="shared" si="48"/>
        <v>338823.5294117647</v>
      </c>
      <c r="V55" s="62">
        <f t="shared" si="48"/>
        <v>338823.5294117647</v>
      </c>
      <c r="W55" s="62">
        <f t="shared" si="48"/>
        <v>338823.5294117647</v>
      </c>
      <c r="X55" s="62">
        <f t="shared" si="48"/>
        <v>338823.5294117647</v>
      </c>
      <c r="Y55" s="62">
        <f t="shared" si="48"/>
        <v>338823.5294117647</v>
      </c>
      <c r="Z55" s="62">
        <f t="shared" si="48"/>
        <v>338823.5294117647</v>
      </c>
      <c r="AA55" s="62">
        <f t="shared" si="48"/>
        <v>338823.5294117647</v>
      </c>
      <c r="AB55" s="62">
        <f t="shared" si="48"/>
        <v>338823.5294117647</v>
      </c>
      <c r="AC55" s="62">
        <f t="shared" si="48"/>
        <v>338823.5294117647</v>
      </c>
    </row>
    <row r="56" spans="1:29" x14ac:dyDescent="0.25">
      <c r="A56" s="30" t="str">
        <f>A38</f>
        <v>Opex var (mode-fees)</v>
      </c>
      <c r="B56" s="62">
        <f>B38*B47</f>
        <v>101496.22349468413</v>
      </c>
      <c r="C56" s="62">
        <f t="shared" ref="C56:AC56" si="49">C38*C47</f>
        <v>101496.22349468413</v>
      </c>
      <c r="D56" s="62">
        <f t="shared" si="49"/>
        <v>101496.22349468413</v>
      </c>
      <c r="E56" s="62">
        <f t="shared" si="49"/>
        <v>101496.22349468413</v>
      </c>
      <c r="F56" s="62">
        <f t="shared" si="49"/>
        <v>101496.22349468413</v>
      </c>
      <c r="G56" s="62">
        <f t="shared" si="49"/>
        <v>101496.22349468413</v>
      </c>
      <c r="H56" s="62">
        <f t="shared" si="49"/>
        <v>101496.22349468413</v>
      </c>
      <c r="I56" s="62">
        <f t="shared" si="49"/>
        <v>101496.22349468413</v>
      </c>
      <c r="J56" s="62">
        <f t="shared" si="49"/>
        <v>101496.22349468413</v>
      </c>
      <c r="K56" s="62">
        <f t="shared" si="49"/>
        <v>101496.22349468413</v>
      </c>
      <c r="L56" s="62">
        <f t="shared" si="49"/>
        <v>101496.22349468413</v>
      </c>
      <c r="M56" s="62">
        <f t="shared" si="49"/>
        <v>101496.22349468413</v>
      </c>
      <c r="N56" s="62">
        <f t="shared" si="49"/>
        <v>101496.22349468413</v>
      </c>
      <c r="O56" s="62">
        <f t="shared" si="49"/>
        <v>101496.22349468413</v>
      </c>
      <c r="P56" s="62">
        <f t="shared" si="49"/>
        <v>101496.22349468413</v>
      </c>
      <c r="Q56" s="62">
        <f t="shared" si="49"/>
        <v>101496.22349468413</v>
      </c>
      <c r="R56" s="62">
        <f t="shared" si="49"/>
        <v>101496.22349468413</v>
      </c>
      <c r="S56" s="62">
        <f t="shared" si="49"/>
        <v>101496.22349468413</v>
      </c>
      <c r="T56" s="62">
        <f t="shared" si="49"/>
        <v>101496.22349468413</v>
      </c>
      <c r="U56" s="62">
        <f t="shared" si="49"/>
        <v>101496.22349468413</v>
      </c>
      <c r="V56" s="62">
        <f t="shared" si="49"/>
        <v>101496.22349468413</v>
      </c>
      <c r="W56" s="62">
        <f t="shared" si="49"/>
        <v>101496.22349468413</v>
      </c>
      <c r="X56" s="62">
        <f t="shared" si="49"/>
        <v>101496.22349468413</v>
      </c>
      <c r="Y56" s="62">
        <f t="shared" si="49"/>
        <v>101496.22349468413</v>
      </c>
      <c r="Z56" s="62">
        <f t="shared" si="49"/>
        <v>101496.22349468413</v>
      </c>
      <c r="AA56" s="62">
        <f t="shared" si="49"/>
        <v>101496.22349468413</v>
      </c>
      <c r="AB56" s="62">
        <f t="shared" si="49"/>
        <v>101496.22349468413</v>
      </c>
      <c r="AC56" s="62">
        <f t="shared" si="49"/>
        <v>101496.22349468413</v>
      </c>
    </row>
    <row r="57" spans="1:29" x14ac:dyDescent="0.25">
      <c r="A57" s="30" t="str">
        <f>A40</f>
        <v>Fuel Cost</v>
      </c>
      <c r="B57" s="62">
        <f>B39*B40*B47</f>
        <v>17845029.253875535</v>
      </c>
      <c r="C57" s="62">
        <f t="shared" ref="C57:AC57" si="50">C39*C40*C47</f>
        <v>17785115.953080397</v>
      </c>
      <c r="D57" s="62">
        <f t="shared" si="50"/>
        <v>17700046.886573937</v>
      </c>
      <c r="E57" s="62">
        <f t="shared" si="50"/>
        <v>17579806.461384289</v>
      </c>
      <c r="F57" s="62">
        <f t="shared" si="50"/>
        <v>17410980.06532383</v>
      </c>
      <c r="G57" s="62">
        <f t="shared" si="50"/>
        <v>17176219.804991283</v>
      </c>
      <c r="H57" s="62">
        <f t="shared" si="50"/>
        <v>16854295.602220979</v>
      </c>
      <c r="I57" s="62">
        <f t="shared" si="50"/>
        <v>16421481.505382609</v>
      </c>
      <c r="J57" s="62">
        <f t="shared" si="50"/>
        <v>15855298.835074175</v>
      </c>
      <c r="K57" s="62">
        <f t="shared" si="50"/>
        <v>15141411.65600252</v>
      </c>
      <c r="L57" s="62">
        <f t="shared" si="50"/>
        <v>14283011.810414437</v>
      </c>
      <c r="M57" s="62">
        <f t="shared" si="50"/>
        <v>13309071.260926809</v>
      </c>
      <c r="N57" s="62">
        <f t="shared" si="50"/>
        <v>12275206.042576466</v>
      </c>
      <c r="O57" s="62">
        <f t="shared" si="50"/>
        <v>11252693.958574917</v>
      </c>
      <c r="P57" s="62">
        <f t="shared" si="50"/>
        <v>10308976.963766465</v>
      </c>
      <c r="Q57" s="62">
        <f t="shared" si="50"/>
        <v>9490323.2364750858</v>
      </c>
      <c r="R57" s="62">
        <f t="shared" si="50"/>
        <v>8815658.5920602549</v>
      </c>
      <c r="S57" s="62">
        <f t="shared" si="50"/>
        <v>8281548.0614046389</v>
      </c>
      <c r="T57" s="62">
        <f t="shared" si="50"/>
        <v>7871736.142613559</v>
      </c>
      <c r="U57" s="62">
        <f t="shared" si="50"/>
        <v>7565237.2602533894</v>
      </c>
      <c r="V57" s="62">
        <f t="shared" si="50"/>
        <v>7341030.934050587</v>
      </c>
      <c r="W57" s="62">
        <f t="shared" si="50"/>
        <v>7180196.3514853735</v>
      </c>
      <c r="X57" s="62">
        <f t="shared" si="50"/>
        <v>7066740.1900908714</v>
      </c>
      <c r="Y57" s="62">
        <f t="shared" si="50"/>
        <v>6987795.8310182355</v>
      </c>
      <c r="Z57" s="62">
        <f t="shared" si="50"/>
        <v>6933448.5096606603</v>
      </c>
      <c r="AA57" s="62">
        <f t="shared" si="50"/>
        <v>6896331.4482609052</v>
      </c>
      <c r="AB57" s="62">
        <f t="shared" si="50"/>
        <v>6871127.6642070804</v>
      </c>
      <c r="AC57" s="62">
        <f t="shared" si="50"/>
        <v>6854082.9591646334</v>
      </c>
    </row>
    <row r="58" spans="1:29" ht="15.75" thickBot="1" x14ac:dyDescent="0.3">
      <c r="A58" s="59" t="str">
        <f>A21</f>
        <v>Emission Cost</v>
      </c>
      <c r="B58" s="62">
        <f>B41*B47</f>
        <v>292744.32301910827</v>
      </c>
      <c r="C58" s="62">
        <f t="shared" ref="C58:AC58" si="51">C41*C47</f>
        <v>292465.55909594544</v>
      </c>
      <c r="D58" s="62">
        <f t="shared" si="51"/>
        <v>292066.51474890357</v>
      </c>
      <c r="E58" s="62">
        <f t="shared" si="51"/>
        <v>291495.65374840738</v>
      </c>
      <c r="F58" s="62">
        <f t="shared" si="51"/>
        <v>290679.76741196436</v>
      </c>
      <c r="G58" s="62">
        <f t="shared" si="51"/>
        <v>289515.32128951116</v>
      </c>
      <c r="H58" s="62">
        <f t="shared" si="51"/>
        <v>287856.86434123403</v>
      </c>
      <c r="I58" s="62">
        <f t="shared" si="51"/>
        <v>285502.09321744979</v>
      </c>
      <c r="J58" s="62">
        <f t="shared" si="51"/>
        <v>282173.85051303828</v>
      </c>
      <c r="K58" s="62">
        <f t="shared" si="51"/>
        <v>277501.05780251691</v>
      </c>
      <c r="L58" s="62">
        <f t="shared" si="51"/>
        <v>271004.17965861136</v>
      </c>
      <c r="M58" s="62">
        <f t="shared" si="51"/>
        <v>262097.20277201166</v>
      </c>
      <c r="N58" s="62">
        <f t="shared" si="51"/>
        <v>250127.18026947835</v>
      </c>
      <c r="O58" s="62">
        <f t="shared" si="51"/>
        <v>234480.04842038496</v>
      </c>
      <c r="P58" s="62">
        <f t="shared" si="51"/>
        <v>214775.13056499942</v>
      </c>
      <c r="Q58" s="62">
        <f t="shared" si="51"/>
        <v>191129.79476829237</v>
      </c>
      <c r="R58" s="62">
        <f t="shared" si="51"/>
        <v>164392.27200906764</v>
      </c>
      <c r="S58" s="62">
        <f t="shared" si="51"/>
        <v>136165.57893344958</v>
      </c>
      <c r="T58" s="62">
        <f t="shared" si="51"/>
        <v>108494.33438101113</v>
      </c>
      <c r="U58" s="62">
        <f t="shared" si="51"/>
        <v>83304.630892356668</v>
      </c>
      <c r="V58" s="62">
        <f t="shared" si="51"/>
        <v>61896.970009757802</v>
      </c>
      <c r="W58" s="62">
        <f t="shared" si="51"/>
        <v>44753.267537641594</v>
      </c>
      <c r="X58" s="62">
        <f t="shared" si="51"/>
        <v>31671.861659602866</v>
      </c>
      <c r="Y58" s="62">
        <f t="shared" si="51"/>
        <v>22055.979208976452</v>
      </c>
      <c r="Z58" s="62">
        <f t="shared" si="51"/>
        <v>15180.762366522398</v>
      </c>
      <c r="AA58" s="62">
        <f t="shared" si="51"/>
        <v>10362.25068958263</v>
      </c>
      <c r="AB58" s="62">
        <f t="shared" si="51"/>
        <v>7032.3629519435117</v>
      </c>
      <c r="AC58" s="62">
        <f t="shared" si="51"/>
        <v>4753.554838406355</v>
      </c>
    </row>
    <row r="59" spans="1:29" ht="15.75" thickBot="1" x14ac:dyDescent="0.3">
      <c r="A59" s="31" t="s">
        <v>209</v>
      </c>
      <c r="B59" s="64">
        <f>B50+B51+B52+B53+B54+B55+B56+B57+B58</f>
        <v>22084312.865991995</v>
      </c>
      <c r="C59" s="64">
        <f t="shared" ref="C59:AC59" si="52">C50+C51+C52+C53+C54+C55+C56+C57+C58</f>
        <v>22023306.917395193</v>
      </c>
      <c r="D59" s="64">
        <f t="shared" si="52"/>
        <v>21936673.749897424</v>
      </c>
      <c r="E59" s="64">
        <f t="shared" si="52"/>
        <v>21814195.768247206</v>
      </c>
      <c r="F59" s="64">
        <f t="shared" si="52"/>
        <v>21642171.410263248</v>
      </c>
      <c r="G59" s="64">
        <f t="shared" si="52"/>
        <v>21402846.967157632</v>
      </c>
      <c r="H59" s="64">
        <f t="shared" si="52"/>
        <v>21074422.24840188</v>
      </c>
      <c r="I59" s="64">
        <f t="shared" si="52"/>
        <v>20632378.350724772</v>
      </c>
      <c r="J59" s="64">
        <f t="shared" si="52"/>
        <v>20053150.243858006</v>
      </c>
      <c r="K59" s="64">
        <f t="shared" si="52"/>
        <v>19320947.507217627</v>
      </c>
      <c r="L59" s="64">
        <f t="shared" si="52"/>
        <v>18437082.387855735</v>
      </c>
      <c r="M59" s="64">
        <f t="shared" si="52"/>
        <v>17428229.900681999</v>
      </c>
      <c r="N59" s="64">
        <f t="shared" si="52"/>
        <v>16347446.779093528</v>
      </c>
      <c r="O59" s="64">
        <f t="shared" si="52"/>
        <v>15263603.931687433</v>
      </c>
      <c r="P59" s="64">
        <f t="shared" si="52"/>
        <v>14242651.206615433</v>
      </c>
      <c r="Q59" s="64">
        <f t="shared" si="52"/>
        <v>13331316.820059786</v>
      </c>
      <c r="R59" s="64">
        <f t="shared" si="52"/>
        <v>12551851.32791229</v>
      </c>
      <c r="S59" s="64">
        <f t="shared" si="52"/>
        <v>11907102.972292362</v>
      </c>
      <c r="T59" s="64">
        <f t="shared" si="52"/>
        <v>11388830.373990016</v>
      </c>
      <c r="U59" s="64">
        <f t="shared" si="52"/>
        <v>10983597.50256444</v>
      </c>
      <c r="V59" s="64">
        <f t="shared" si="52"/>
        <v>10675481.345646458</v>
      </c>
      <c r="W59" s="64">
        <f t="shared" si="52"/>
        <v>10447450.016077656</v>
      </c>
      <c r="X59" s="64">
        <f t="shared" si="52"/>
        <v>10282719.754314955</v>
      </c>
      <c r="Y59" s="64">
        <f t="shared" si="52"/>
        <v>10166084.819282899</v>
      </c>
      <c r="Z59" s="64">
        <f t="shared" si="52"/>
        <v>10084789.281371249</v>
      </c>
      <c r="AA59" s="64">
        <f t="shared" si="52"/>
        <v>10028785.499870291</v>
      </c>
      <c r="AB59" s="64">
        <f t="shared" si="52"/>
        <v>9990529.831357995</v>
      </c>
      <c r="AC59" s="64">
        <f t="shared" si="52"/>
        <v>9964553.0713802632</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53">A50</f>
        <v>Capex vehicle</v>
      </c>
      <c r="B62" s="65">
        <f>((1+B35)^B42)*B35/(((1+B35)^B42)-1)*(B31)/B47</f>
        <v>19.541646546706382</v>
      </c>
      <c r="C62" s="65">
        <f t="shared" ref="C62:AC62" si="54">((1+C35)^C42)*C35/(((1+C35)^C42)-1)*(C31)/C47</f>
        <v>19.535142908407877</v>
      </c>
      <c r="D62" s="65">
        <f t="shared" si="54"/>
        <v>19.525833095040429</v>
      </c>
      <c r="E62" s="65">
        <f t="shared" si="54"/>
        <v>19.512514752322947</v>
      </c>
      <c r="F62" s="65">
        <f t="shared" si="54"/>
        <v>19.493479901741438</v>
      </c>
      <c r="G62" s="65">
        <f t="shared" si="54"/>
        <v>19.466313056359834</v>
      </c>
      <c r="H62" s="65">
        <f t="shared" si="54"/>
        <v>19.427620803779718</v>
      </c>
      <c r="I62" s="65">
        <f t="shared" si="54"/>
        <v>19.372683351719548</v>
      </c>
      <c r="J62" s="65">
        <f t="shared" si="54"/>
        <v>19.295034542384581</v>
      </c>
      <c r="K62" s="65">
        <f t="shared" si="54"/>
        <v>19.186017014978848</v>
      </c>
      <c r="L62" s="65">
        <f t="shared" si="54"/>
        <v>19.03444307729697</v>
      </c>
      <c r="M62" s="65">
        <f t="shared" si="54"/>
        <v>18.826640879127403</v>
      </c>
      <c r="N62" s="65">
        <f t="shared" si="54"/>
        <v>18.547376991970825</v>
      </c>
      <c r="O62" s="65">
        <f t="shared" si="54"/>
        <v>18.182325141641847</v>
      </c>
      <c r="P62" s="65">
        <f t="shared" si="54"/>
        <v>17.722604037923674</v>
      </c>
      <c r="Q62" s="65">
        <f t="shared" si="54"/>
        <v>17.170951909758209</v>
      </c>
      <c r="R62" s="65">
        <f t="shared" si="54"/>
        <v>16.547158217048082</v>
      </c>
      <c r="S62" s="65">
        <f t="shared" si="54"/>
        <v>15.888621775015123</v>
      </c>
      <c r="T62" s="65">
        <f t="shared" si="54"/>
        <v>15.243044098403505</v>
      </c>
      <c r="U62" s="65">
        <f t="shared" si="54"/>
        <v>14.655361451100672</v>
      </c>
      <c r="V62" s="65">
        <f t="shared" si="54"/>
        <v>14.15591488851158</v>
      </c>
      <c r="W62" s="65">
        <f t="shared" si="54"/>
        <v>13.755947637689308</v>
      </c>
      <c r="X62" s="65">
        <f t="shared" si="54"/>
        <v>13.450754873498525</v>
      </c>
      <c r="Y62" s="65">
        <f t="shared" si="54"/>
        <v>13.226413715323233</v>
      </c>
      <c r="Z62" s="65">
        <f t="shared" si="54"/>
        <v>13.066013032696132</v>
      </c>
      <c r="AA62" s="65">
        <f t="shared" si="54"/>
        <v>12.953595842091289</v>
      </c>
      <c r="AB62" s="65">
        <f t="shared" si="54"/>
        <v>12.875908653682803</v>
      </c>
      <c r="AC62" s="65">
        <f t="shared" si="54"/>
        <v>12.822743439353784</v>
      </c>
    </row>
    <row r="63" spans="1:29" x14ac:dyDescent="0.25">
      <c r="A63" s="30" t="str">
        <f t="shared" si="53"/>
        <v>Residual value (vehicle)</v>
      </c>
      <c r="B63" s="66">
        <f>((1+B35)^B42)*B35/(((1+B35)^B42)-1)*(B32)/B47</f>
        <v>-0.97847824935465733</v>
      </c>
      <c r="C63" s="66">
        <f t="shared" ref="C63:AC63" si="55">((1+C35)^C42)*C35/(((1+C35)^C42)-1)*(C32)/C47</f>
        <v>-0.9787569767103077</v>
      </c>
      <c r="D63" s="66">
        <f t="shared" si="55"/>
        <v>-0.97915596871176991</v>
      </c>
      <c r="E63" s="66">
        <f t="shared" si="55"/>
        <v>-0.97972675482823313</v>
      </c>
      <c r="F63" s="66">
        <f t="shared" si="55"/>
        <v>-0.98054253413886938</v>
      </c>
      <c r="G63" s="66">
        <f t="shared" si="55"/>
        <v>-0.98170682751236671</v>
      </c>
      <c r="H63" s="66">
        <f t="shared" si="55"/>
        <v>-0.98336506690865744</v>
      </c>
      <c r="I63" s="66">
        <f t="shared" si="55"/>
        <v>-0.98571952913980765</v>
      </c>
      <c r="J63" s="66">
        <f t="shared" si="55"/>
        <v>-0.98904733525416333</v>
      </c>
      <c r="K63" s="66">
        <f t="shared" si="55"/>
        <v>-0.99371951500012301</v>
      </c>
      <c r="L63" s="66">
        <f t="shared" si="55"/>
        <v>-1.0002155409007751</v>
      </c>
      <c r="M63" s="66">
        <f t="shared" si="55"/>
        <v>-1.0091213493937565</v>
      </c>
      <c r="N63" s="66">
        <f t="shared" si="55"/>
        <v>-1.021089801700467</v>
      </c>
      <c r="O63" s="66">
        <f t="shared" si="55"/>
        <v>-1.0367348810002803</v>
      </c>
      <c r="P63" s="66">
        <f t="shared" si="55"/>
        <v>-1.0564372140167737</v>
      </c>
      <c r="Q63" s="66">
        <f t="shared" si="55"/>
        <v>-1.0800794480810079</v>
      </c>
      <c r="R63" s="66">
        <f t="shared" si="55"/>
        <v>-1.1068134634828701</v>
      </c>
      <c r="S63" s="66">
        <f t="shared" si="55"/>
        <v>-1.1350364538557114</v>
      </c>
      <c r="T63" s="66">
        <f t="shared" si="55"/>
        <v>-1.1627040685676377</v>
      </c>
      <c r="U63" s="66">
        <f t="shared" si="55"/>
        <v>-1.1878904677377591</v>
      </c>
      <c r="V63" s="66">
        <f t="shared" si="55"/>
        <v>-1.2092953204201489</v>
      </c>
      <c r="W63" s="66">
        <f t="shared" si="55"/>
        <v>-1.2264367740268176</v>
      </c>
      <c r="X63" s="66">
        <f t="shared" si="55"/>
        <v>-1.2395164639207084</v>
      </c>
      <c r="Y63" s="66">
        <f t="shared" si="55"/>
        <v>-1.2491310849853638</v>
      </c>
      <c r="Z63" s="66">
        <f t="shared" si="55"/>
        <v>-1.2560053999550969</v>
      </c>
      <c r="AA63" s="66">
        <f t="shared" si="55"/>
        <v>-1.2608232795524472</v>
      </c>
      <c r="AB63" s="66">
        <f t="shared" si="55"/>
        <v>-1.2641527304842395</v>
      </c>
      <c r="AC63" s="66">
        <f t="shared" si="55"/>
        <v>-1.2664312396697688</v>
      </c>
    </row>
    <row r="64" spans="1:29" x14ac:dyDescent="0.25">
      <c r="A64" s="30" t="str">
        <f t="shared" si="53"/>
        <v>Capex costumization</v>
      </c>
      <c r="B64" s="66">
        <f>((1+B35)^B43)*B35/(((1+B35)^B43)-1)*(B33)/B47</f>
        <v>0.65188931843561626</v>
      </c>
      <c r="C64" s="66">
        <f t="shared" ref="C64:AC64" si="56">((1+C35)^C43)*C35/(((1+C35)^C43)-1)*(C33)/C47</f>
        <v>0.65188931843561626</v>
      </c>
      <c r="D64" s="66">
        <f t="shared" si="56"/>
        <v>0.65188931843561626</v>
      </c>
      <c r="E64" s="66">
        <f t="shared" si="56"/>
        <v>0.65188931843561626</v>
      </c>
      <c r="F64" s="66">
        <f t="shared" si="56"/>
        <v>0.65188931843561626</v>
      </c>
      <c r="G64" s="66">
        <f t="shared" si="56"/>
        <v>0.65188931843561626</v>
      </c>
      <c r="H64" s="66">
        <f t="shared" si="56"/>
        <v>0.65188931843561626</v>
      </c>
      <c r="I64" s="66">
        <f t="shared" si="56"/>
        <v>0.65188931843561626</v>
      </c>
      <c r="J64" s="66">
        <f t="shared" si="56"/>
        <v>0.65188931843561626</v>
      </c>
      <c r="K64" s="66">
        <f t="shared" si="56"/>
        <v>0.65188931843561626</v>
      </c>
      <c r="L64" s="66">
        <f t="shared" si="56"/>
        <v>0.65188931843561626</v>
      </c>
      <c r="M64" s="66">
        <f t="shared" si="56"/>
        <v>0.65188931843561626</v>
      </c>
      <c r="N64" s="66">
        <f t="shared" si="56"/>
        <v>0.65188931843561626</v>
      </c>
      <c r="O64" s="66">
        <f t="shared" si="56"/>
        <v>0.65188931843561626</v>
      </c>
      <c r="P64" s="66">
        <f t="shared" si="56"/>
        <v>0.65188931843561626</v>
      </c>
      <c r="Q64" s="66">
        <f t="shared" si="56"/>
        <v>0.65188931843561626</v>
      </c>
      <c r="R64" s="66">
        <f t="shared" si="56"/>
        <v>0.65188931843561626</v>
      </c>
      <c r="S64" s="66">
        <f t="shared" si="56"/>
        <v>0.65188931843561626</v>
      </c>
      <c r="T64" s="66">
        <f t="shared" si="56"/>
        <v>0.65188931843561626</v>
      </c>
      <c r="U64" s="66">
        <f t="shared" si="56"/>
        <v>0.65188931843561626</v>
      </c>
      <c r="V64" s="66">
        <f t="shared" si="56"/>
        <v>0.65188931843561626</v>
      </c>
      <c r="W64" s="66">
        <f t="shared" si="56"/>
        <v>0.65188931843561626</v>
      </c>
      <c r="X64" s="66">
        <f t="shared" si="56"/>
        <v>0.65188931843561626</v>
      </c>
      <c r="Y64" s="66">
        <f t="shared" si="56"/>
        <v>0.65188931843561626</v>
      </c>
      <c r="Z64" s="66">
        <f t="shared" si="56"/>
        <v>0.65188931843561626</v>
      </c>
      <c r="AA64" s="66">
        <f t="shared" si="56"/>
        <v>0.65188931843561626</v>
      </c>
      <c r="AB64" s="66">
        <f t="shared" si="56"/>
        <v>0.65188931843561626</v>
      </c>
      <c r="AC64" s="66">
        <f t="shared" si="56"/>
        <v>0.65188931843561626</v>
      </c>
    </row>
    <row r="65" spans="1:29" x14ac:dyDescent="0.25">
      <c r="A65" s="30" t="str">
        <f t="shared" si="53"/>
        <v>Residual value (costumization)</v>
      </c>
      <c r="B65" s="66">
        <f>((1+B35)^B43)*B35/(((1+B35)^B43)-1)*(B34)/B47</f>
        <v>-6.5188931843561615E-2</v>
      </c>
      <c r="C65" s="66">
        <f t="shared" ref="C65:AC65" si="57">((1+C35)^C43)*C35/(((1+C35)^C43)-1)*(C34)/C47</f>
        <v>-6.5188931843561615E-2</v>
      </c>
      <c r="D65" s="66">
        <f t="shared" si="57"/>
        <v>-6.5188931843561615E-2</v>
      </c>
      <c r="E65" s="66">
        <f t="shared" si="57"/>
        <v>-6.5188931843561615E-2</v>
      </c>
      <c r="F65" s="66">
        <f t="shared" si="57"/>
        <v>-6.5188931843561615E-2</v>
      </c>
      <c r="G65" s="66">
        <f t="shared" si="57"/>
        <v>-6.5188931843561615E-2</v>
      </c>
      <c r="H65" s="66">
        <f t="shared" si="57"/>
        <v>-6.5188931843561615E-2</v>
      </c>
      <c r="I65" s="66">
        <f t="shared" si="57"/>
        <v>-6.5188931843561615E-2</v>
      </c>
      <c r="J65" s="66">
        <f t="shared" si="57"/>
        <v>-6.5188931843561615E-2</v>
      </c>
      <c r="K65" s="66">
        <f t="shared" si="57"/>
        <v>-6.5188931843561615E-2</v>
      </c>
      <c r="L65" s="66">
        <f t="shared" si="57"/>
        <v>-6.5188931843561615E-2</v>
      </c>
      <c r="M65" s="66">
        <f t="shared" si="57"/>
        <v>-6.5188931843561615E-2</v>
      </c>
      <c r="N65" s="66">
        <f t="shared" si="57"/>
        <v>-6.5188931843561615E-2</v>
      </c>
      <c r="O65" s="66">
        <f t="shared" si="57"/>
        <v>-6.5188931843561615E-2</v>
      </c>
      <c r="P65" s="66">
        <f t="shared" si="57"/>
        <v>-6.5188931843561615E-2</v>
      </c>
      <c r="Q65" s="66">
        <f t="shared" si="57"/>
        <v>-6.5188931843561615E-2</v>
      </c>
      <c r="R65" s="66">
        <f t="shared" si="57"/>
        <v>-6.5188931843561615E-2</v>
      </c>
      <c r="S65" s="66">
        <f t="shared" si="57"/>
        <v>-6.5188931843561615E-2</v>
      </c>
      <c r="T65" s="66">
        <f t="shared" si="57"/>
        <v>-6.5188931843561615E-2</v>
      </c>
      <c r="U65" s="66">
        <f t="shared" si="57"/>
        <v>-6.5188931843561615E-2</v>
      </c>
      <c r="V65" s="66">
        <f t="shared" si="57"/>
        <v>-6.5188931843561615E-2</v>
      </c>
      <c r="W65" s="66">
        <f t="shared" si="57"/>
        <v>-6.5188931843561615E-2</v>
      </c>
      <c r="X65" s="66">
        <f t="shared" si="57"/>
        <v>-6.5188931843561615E-2</v>
      </c>
      <c r="Y65" s="66">
        <f t="shared" si="57"/>
        <v>-6.5188931843561615E-2</v>
      </c>
      <c r="Z65" s="66">
        <f t="shared" si="57"/>
        <v>-6.5188931843561615E-2</v>
      </c>
      <c r="AA65" s="66">
        <f t="shared" si="57"/>
        <v>-6.5188931843561615E-2</v>
      </c>
      <c r="AB65" s="66">
        <f t="shared" si="57"/>
        <v>-6.5188931843561615E-2</v>
      </c>
      <c r="AC65" s="66">
        <f t="shared" si="57"/>
        <v>-6.5188931843561615E-2</v>
      </c>
    </row>
    <row r="66" spans="1:29" x14ac:dyDescent="0.25">
      <c r="A66" s="30" t="str">
        <f t="shared" si="53"/>
        <v>Opex fix (admin, crew, insurance)</v>
      </c>
      <c r="B66" s="66">
        <f>B36/B47</f>
        <v>10.068627450980392</v>
      </c>
      <c r="C66" s="66">
        <f t="shared" ref="C66:AC66" si="58">C36/C47</f>
        <v>10.068627450980392</v>
      </c>
      <c r="D66" s="66">
        <f t="shared" si="58"/>
        <v>10.068627450980392</v>
      </c>
      <c r="E66" s="66">
        <f t="shared" si="58"/>
        <v>10.068627450980392</v>
      </c>
      <c r="F66" s="66">
        <f t="shared" si="58"/>
        <v>10.068627450980392</v>
      </c>
      <c r="G66" s="66">
        <f t="shared" si="58"/>
        <v>10.068627450980392</v>
      </c>
      <c r="H66" s="66">
        <f t="shared" si="58"/>
        <v>10.068627450980392</v>
      </c>
      <c r="I66" s="66">
        <f t="shared" si="58"/>
        <v>10.068627450980392</v>
      </c>
      <c r="J66" s="66">
        <f t="shared" si="58"/>
        <v>10.068627450980392</v>
      </c>
      <c r="K66" s="66">
        <f t="shared" si="58"/>
        <v>10.068627450980392</v>
      </c>
      <c r="L66" s="66">
        <f t="shared" si="58"/>
        <v>10.068627450980392</v>
      </c>
      <c r="M66" s="66">
        <f t="shared" si="58"/>
        <v>10.068627450980392</v>
      </c>
      <c r="N66" s="66">
        <f t="shared" si="58"/>
        <v>10.068627450980392</v>
      </c>
      <c r="O66" s="66">
        <f t="shared" si="58"/>
        <v>10.068627450980392</v>
      </c>
      <c r="P66" s="66">
        <f t="shared" si="58"/>
        <v>10.068627450980392</v>
      </c>
      <c r="Q66" s="66">
        <f t="shared" si="58"/>
        <v>10.068627450980392</v>
      </c>
      <c r="R66" s="66">
        <f t="shared" si="58"/>
        <v>10.068627450980392</v>
      </c>
      <c r="S66" s="66">
        <f t="shared" si="58"/>
        <v>10.068627450980392</v>
      </c>
      <c r="T66" s="66">
        <f t="shared" si="58"/>
        <v>10.068627450980392</v>
      </c>
      <c r="U66" s="66">
        <f t="shared" si="58"/>
        <v>10.068627450980392</v>
      </c>
      <c r="V66" s="66">
        <f t="shared" si="58"/>
        <v>10.068627450980392</v>
      </c>
      <c r="W66" s="66">
        <f t="shared" si="58"/>
        <v>10.068627450980392</v>
      </c>
      <c r="X66" s="66">
        <f t="shared" si="58"/>
        <v>10.068627450980392</v>
      </c>
      <c r="Y66" s="66">
        <f t="shared" si="58"/>
        <v>10.068627450980392</v>
      </c>
      <c r="Z66" s="66">
        <f t="shared" si="58"/>
        <v>10.068627450980392</v>
      </c>
      <c r="AA66" s="66">
        <f t="shared" si="58"/>
        <v>10.068627450980392</v>
      </c>
      <c r="AB66" s="66">
        <f t="shared" si="58"/>
        <v>10.068627450980392</v>
      </c>
      <c r="AC66" s="66">
        <f t="shared" si="58"/>
        <v>10.068627450980392</v>
      </c>
    </row>
    <row r="67" spans="1:29" x14ac:dyDescent="0.25">
      <c r="A67" s="30" t="str">
        <f t="shared" si="53"/>
        <v>Opex maintenance &amp; repair</v>
      </c>
      <c r="B67" s="66">
        <f>B37/B47</f>
        <v>2.8235294117647056</v>
      </c>
      <c r="C67" s="66">
        <f t="shared" ref="C67:AC67" si="59">C37/C47</f>
        <v>2.8235294117647056</v>
      </c>
      <c r="D67" s="66">
        <f t="shared" si="59"/>
        <v>2.8235294117647056</v>
      </c>
      <c r="E67" s="66">
        <f t="shared" si="59"/>
        <v>2.8235294117647056</v>
      </c>
      <c r="F67" s="66">
        <f t="shared" si="59"/>
        <v>2.8235294117647056</v>
      </c>
      <c r="G67" s="66">
        <f t="shared" si="59"/>
        <v>2.8235294117647056</v>
      </c>
      <c r="H67" s="66">
        <f t="shared" si="59"/>
        <v>2.8235294117647056</v>
      </c>
      <c r="I67" s="66">
        <f t="shared" si="59"/>
        <v>2.8235294117647056</v>
      </c>
      <c r="J67" s="66">
        <f t="shared" si="59"/>
        <v>2.8235294117647056</v>
      </c>
      <c r="K67" s="66">
        <f t="shared" si="59"/>
        <v>2.8235294117647056</v>
      </c>
      <c r="L67" s="66">
        <f t="shared" si="59"/>
        <v>2.8235294117647056</v>
      </c>
      <c r="M67" s="66">
        <f t="shared" si="59"/>
        <v>2.8235294117647056</v>
      </c>
      <c r="N67" s="66">
        <f t="shared" si="59"/>
        <v>2.8235294117647056</v>
      </c>
      <c r="O67" s="66">
        <f t="shared" si="59"/>
        <v>2.8235294117647056</v>
      </c>
      <c r="P67" s="66">
        <f t="shared" si="59"/>
        <v>2.8235294117647056</v>
      </c>
      <c r="Q67" s="66">
        <f t="shared" si="59"/>
        <v>2.8235294117647056</v>
      </c>
      <c r="R67" s="66">
        <f t="shared" si="59"/>
        <v>2.8235294117647056</v>
      </c>
      <c r="S67" s="66">
        <f t="shared" si="59"/>
        <v>2.8235294117647056</v>
      </c>
      <c r="T67" s="66">
        <f t="shared" si="59"/>
        <v>2.8235294117647056</v>
      </c>
      <c r="U67" s="66">
        <f t="shared" si="59"/>
        <v>2.8235294117647056</v>
      </c>
      <c r="V67" s="66">
        <f t="shared" si="59"/>
        <v>2.8235294117647056</v>
      </c>
      <c r="W67" s="66">
        <f t="shared" si="59"/>
        <v>2.8235294117647056</v>
      </c>
      <c r="X67" s="66">
        <f t="shared" si="59"/>
        <v>2.8235294117647056</v>
      </c>
      <c r="Y67" s="66">
        <f t="shared" si="59"/>
        <v>2.8235294117647056</v>
      </c>
      <c r="Z67" s="66">
        <f t="shared" si="59"/>
        <v>2.8235294117647056</v>
      </c>
      <c r="AA67" s="66">
        <f t="shared" si="59"/>
        <v>2.8235294117647056</v>
      </c>
      <c r="AB67" s="66">
        <f t="shared" si="59"/>
        <v>2.8235294117647056</v>
      </c>
      <c r="AC67" s="66">
        <f t="shared" si="59"/>
        <v>2.8235294117647056</v>
      </c>
    </row>
    <row r="68" spans="1:29" x14ac:dyDescent="0.25">
      <c r="A68" s="30" t="str">
        <f t="shared" si="53"/>
        <v>Opex var (mode-fees)</v>
      </c>
      <c r="B68" s="66">
        <f>B38*B47/B47</f>
        <v>0.8458018624557011</v>
      </c>
      <c r="C68" s="66">
        <f t="shared" ref="C68:AC68" si="60">C38*C47/C47</f>
        <v>0.8458018624557011</v>
      </c>
      <c r="D68" s="66">
        <f t="shared" si="60"/>
        <v>0.8458018624557011</v>
      </c>
      <c r="E68" s="66">
        <f t="shared" si="60"/>
        <v>0.8458018624557011</v>
      </c>
      <c r="F68" s="66">
        <f t="shared" si="60"/>
        <v>0.8458018624557011</v>
      </c>
      <c r="G68" s="66">
        <f t="shared" si="60"/>
        <v>0.8458018624557011</v>
      </c>
      <c r="H68" s="66">
        <f t="shared" si="60"/>
        <v>0.8458018624557011</v>
      </c>
      <c r="I68" s="66">
        <f t="shared" si="60"/>
        <v>0.8458018624557011</v>
      </c>
      <c r="J68" s="66">
        <f t="shared" si="60"/>
        <v>0.8458018624557011</v>
      </c>
      <c r="K68" s="66">
        <f t="shared" si="60"/>
        <v>0.8458018624557011</v>
      </c>
      <c r="L68" s="66">
        <f t="shared" si="60"/>
        <v>0.8458018624557011</v>
      </c>
      <c r="M68" s="66">
        <f t="shared" si="60"/>
        <v>0.8458018624557011</v>
      </c>
      <c r="N68" s="66">
        <f t="shared" si="60"/>
        <v>0.8458018624557011</v>
      </c>
      <c r="O68" s="66">
        <f t="shared" si="60"/>
        <v>0.8458018624557011</v>
      </c>
      <c r="P68" s="66">
        <f t="shared" si="60"/>
        <v>0.8458018624557011</v>
      </c>
      <c r="Q68" s="66">
        <f t="shared" si="60"/>
        <v>0.8458018624557011</v>
      </c>
      <c r="R68" s="66">
        <f t="shared" si="60"/>
        <v>0.8458018624557011</v>
      </c>
      <c r="S68" s="66">
        <f t="shared" si="60"/>
        <v>0.8458018624557011</v>
      </c>
      <c r="T68" s="66">
        <f t="shared" si="60"/>
        <v>0.8458018624557011</v>
      </c>
      <c r="U68" s="66">
        <f t="shared" si="60"/>
        <v>0.8458018624557011</v>
      </c>
      <c r="V68" s="66">
        <f t="shared" si="60"/>
        <v>0.8458018624557011</v>
      </c>
      <c r="W68" s="66">
        <f t="shared" si="60"/>
        <v>0.8458018624557011</v>
      </c>
      <c r="X68" s="66">
        <f t="shared" si="60"/>
        <v>0.8458018624557011</v>
      </c>
      <c r="Y68" s="66">
        <f t="shared" si="60"/>
        <v>0.8458018624557011</v>
      </c>
      <c r="Z68" s="66">
        <f t="shared" si="60"/>
        <v>0.8458018624557011</v>
      </c>
      <c r="AA68" s="66">
        <f t="shared" si="60"/>
        <v>0.8458018624557011</v>
      </c>
      <c r="AB68" s="66">
        <f t="shared" si="60"/>
        <v>0.8458018624557011</v>
      </c>
      <c r="AC68" s="66">
        <f t="shared" si="60"/>
        <v>0.8458018624557011</v>
      </c>
    </row>
    <row r="69" spans="1:29" x14ac:dyDescent="0.25">
      <c r="A69" s="30" t="str">
        <f t="shared" si="53"/>
        <v>Fuel Cost</v>
      </c>
      <c r="B69" s="66">
        <f>B39*B40*B47/B47</f>
        <v>148.70857711562945</v>
      </c>
      <c r="C69" s="66">
        <f t="shared" ref="C69:AC69" si="61">C39*C40*C47/C47</f>
        <v>148.2092996090033</v>
      </c>
      <c r="D69" s="66">
        <f t="shared" si="61"/>
        <v>147.50039072144946</v>
      </c>
      <c r="E69" s="66">
        <f t="shared" si="61"/>
        <v>146.49838717820242</v>
      </c>
      <c r="F69" s="66">
        <f t="shared" si="61"/>
        <v>145.09150054436526</v>
      </c>
      <c r="G69" s="66">
        <f t="shared" si="61"/>
        <v>143.13516504159401</v>
      </c>
      <c r="H69" s="66">
        <f t="shared" si="61"/>
        <v>140.45246335184149</v>
      </c>
      <c r="I69" s="66">
        <f t="shared" si="61"/>
        <v>136.84567921152174</v>
      </c>
      <c r="J69" s="66">
        <f t="shared" si="61"/>
        <v>132.12749029228479</v>
      </c>
      <c r="K69" s="66">
        <f t="shared" si="61"/>
        <v>126.17843046668766</v>
      </c>
      <c r="L69" s="66">
        <f t="shared" si="61"/>
        <v>119.02509842012032</v>
      </c>
      <c r="M69" s="66">
        <f t="shared" si="61"/>
        <v>110.90892717439007</v>
      </c>
      <c r="N69" s="66">
        <f t="shared" si="61"/>
        <v>102.29338368813721</v>
      </c>
      <c r="O69" s="66">
        <f t="shared" si="61"/>
        <v>93.772449654790975</v>
      </c>
      <c r="P69" s="66">
        <f t="shared" si="61"/>
        <v>85.908141364720535</v>
      </c>
      <c r="Q69" s="66">
        <f t="shared" si="61"/>
        <v>79.08602697062571</v>
      </c>
      <c r="R69" s="66">
        <f t="shared" si="61"/>
        <v>73.463821600502129</v>
      </c>
      <c r="S69" s="66">
        <f t="shared" si="61"/>
        <v>69.012900511705325</v>
      </c>
      <c r="T69" s="66">
        <f t="shared" si="61"/>
        <v>65.597801188446326</v>
      </c>
      <c r="U69" s="66">
        <f t="shared" si="61"/>
        <v>63.043643835444911</v>
      </c>
      <c r="V69" s="66">
        <f t="shared" si="61"/>
        <v>61.175257783754894</v>
      </c>
      <c r="W69" s="66">
        <f t="shared" si="61"/>
        <v>59.834969595711442</v>
      </c>
      <c r="X69" s="66">
        <f t="shared" si="61"/>
        <v>58.889501584090596</v>
      </c>
      <c r="Y69" s="66">
        <f t="shared" si="61"/>
        <v>58.231631925151966</v>
      </c>
      <c r="Z69" s="66">
        <f t="shared" si="61"/>
        <v>57.778737580505499</v>
      </c>
      <c r="AA69" s="66">
        <f t="shared" si="61"/>
        <v>57.469428735507542</v>
      </c>
      <c r="AB69" s="66">
        <f t="shared" si="61"/>
        <v>57.259397201725669</v>
      </c>
      <c r="AC69" s="66">
        <f t="shared" si="61"/>
        <v>57.11735799303861</v>
      </c>
    </row>
    <row r="70" spans="1:29" ht="15.75" thickBot="1" x14ac:dyDescent="0.3">
      <c r="A70" s="59" t="str">
        <f t="shared" ref="A70" si="62">A58</f>
        <v>Emission Cost</v>
      </c>
      <c r="B70" s="66">
        <f>B41</f>
        <v>2.4395360251592355</v>
      </c>
      <c r="C70" s="66">
        <f t="shared" ref="C70:AC70" si="63">C41</f>
        <v>2.437212992466212</v>
      </c>
      <c r="D70" s="66">
        <f t="shared" si="63"/>
        <v>2.4338876229075299</v>
      </c>
      <c r="E70" s="66">
        <f t="shared" si="63"/>
        <v>2.4291304479033946</v>
      </c>
      <c r="F70" s="66">
        <f t="shared" si="63"/>
        <v>2.422331395099703</v>
      </c>
      <c r="G70" s="66">
        <f t="shared" si="63"/>
        <v>2.4126276774125932</v>
      </c>
      <c r="H70" s="66">
        <f t="shared" si="63"/>
        <v>2.3988072028436171</v>
      </c>
      <c r="I70" s="66">
        <f t="shared" si="63"/>
        <v>2.379184110145415</v>
      </c>
      <c r="J70" s="66">
        <f t="shared" si="63"/>
        <v>2.3514487542753191</v>
      </c>
      <c r="K70" s="66">
        <f t="shared" si="63"/>
        <v>2.3125088150209741</v>
      </c>
      <c r="L70" s="66">
        <f t="shared" si="63"/>
        <v>2.2583681638217614</v>
      </c>
      <c r="M70" s="66">
        <f t="shared" si="63"/>
        <v>2.1841433564334305</v>
      </c>
      <c r="N70" s="66">
        <f t="shared" si="63"/>
        <v>2.0843931689123196</v>
      </c>
      <c r="O70" s="66">
        <f t="shared" si="63"/>
        <v>1.9540004035032079</v>
      </c>
      <c r="P70" s="66">
        <f t="shared" si="63"/>
        <v>1.7897927547083285</v>
      </c>
      <c r="Q70" s="66">
        <f t="shared" si="63"/>
        <v>1.5927482897357697</v>
      </c>
      <c r="R70" s="66">
        <f t="shared" si="63"/>
        <v>1.3699356000755636</v>
      </c>
      <c r="S70" s="66">
        <f t="shared" si="63"/>
        <v>1.1347131577787466</v>
      </c>
      <c r="T70" s="66">
        <f t="shared" si="63"/>
        <v>0.90411945317509268</v>
      </c>
      <c r="U70" s="66">
        <f t="shared" si="63"/>
        <v>0.69420525743630557</v>
      </c>
      <c r="V70" s="66">
        <f t="shared" si="63"/>
        <v>0.51580808341464834</v>
      </c>
      <c r="W70" s="66">
        <f t="shared" si="63"/>
        <v>0.37294389614701329</v>
      </c>
      <c r="X70" s="66">
        <f t="shared" si="63"/>
        <v>0.26393218049669054</v>
      </c>
      <c r="Y70" s="66">
        <f t="shared" si="63"/>
        <v>0.18379982674147044</v>
      </c>
      <c r="Z70" s="66">
        <f t="shared" si="63"/>
        <v>0.12650635305435332</v>
      </c>
      <c r="AA70" s="66">
        <f t="shared" si="63"/>
        <v>8.6352089079855254E-2</v>
      </c>
      <c r="AB70" s="66">
        <f t="shared" si="63"/>
        <v>5.8603024599529263E-2</v>
      </c>
      <c r="AC70" s="66">
        <f t="shared" si="63"/>
        <v>3.9612956986719627E-2</v>
      </c>
    </row>
    <row r="71" spans="1:29" ht="15.75" thickBot="1" x14ac:dyDescent="0.3">
      <c r="A71" s="31" t="s">
        <v>63</v>
      </c>
      <c r="B71" s="76">
        <f>B62+B63+B64-B65+B66+B67+B68+B69+B70</f>
        <v>184.16631841362039</v>
      </c>
      <c r="C71" s="76">
        <f t="shared" ref="C71:AC71" si="64">C62+C63+C64-C65+C66+C67+C68+C69+C70</f>
        <v>183.65793550864706</v>
      </c>
      <c r="D71" s="76">
        <f t="shared" si="64"/>
        <v>182.93599244616561</v>
      </c>
      <c r="E71" s="76">
        <f t="shared" si="64"/>
        <v>181.9153425990805</v>
      </c>
      <c r="F71" s="76">
        <f t="shared" si="64"/>
        <v>180.4818062825475</v>
      </c>
      <c r="G71" s="76">
        <f t="shared" si="64"/>
        <v>178.48743592333403</v>
      </c>
      <c r="H71" s="76">
        <f t="shared" si="64"/>
        <v>175.75056326703614</v>
      </c>
      <c r="I71" s="76">
        <f t="shared" si="64"/>
        <v>172.06686411972689</v>
      </c>
      <c r="J71" s="76">
        <f t="shared" si="64"/>
        <v>167.23996322917048</v>
      </c>
      <c r="K71" s="76">
        <f t="shared" si="64"/>
        <v>161.13827375716733</v>
      </c>
      <c r="L71" s="76">
        <f t="shared" si="64"/>
        <v>153.77273109581824</v>
      </c>
      <c r="M71" s="76">
        <f t="shared" si="64"/>
        <v>145.36562703603713</v>
      </c>
      <c r="N71" s="76">
        <f t="shared" si="64"/>
        <v>136.35910102279988</v>
      </c>
      <c r="O71" s="76">
        <f t="shared" si="64"/>
        <v>127.32707729441572</v>
      </c>
      <c r="P71" s="76">
        <f t="shared" si="64"/>
        <v>118.81913791881574</v>
      </c>
      <c r="Q71" s="76">
        <f t="shared" si="64"/>
        <v>111.22468469751865</v>
      </c>
      <c r="R71" s="76">
        <f t="shared" si="64"/>
        <v>104.72913892962288</v>
      </c>
      <c r="S71" s="76">
        <f t="shared" si="64"/>
        <v>99.356235966123464</v>
      </c>
      <c r="T71" s="76">
        <f t="shared" si="64"/>
        <v>95.037297646937276</v>
      </c>
      <c r="U71" s="76">
        <f t="shared" si="64"/>
        <v>91.660357051724105</v>
      </c>
      <c r="V71" s="76">
        <f t="shared" si="64"/>
        <v>89.092722410740961</v>
      </c>
      <c r="W71" s="76">
        <f t="shared" si="64"/>
        <v>87.192461331000914</v>
      </c>
      <c r="X71" s="76">
        <f t="shared" si="64"/>
        <v>85.819709149645078</v>
      </c>
      <c r="Y71" s="76">
        <f t="shared" si="64"/>
        <v>84.847751357711275</v>
      </c>
      <c r="Z71" s="76">
        <f t="shared" si="64"/>
        <v>84.170288541780863</v>
      </c>
      <c r="AA71" s="76">
        <f t="shared" si="64"/>
        <v>83.703590362606221</v>
      </c>
      <c r="AB71" s="76">
        <f t="shared" si="64"/>
        <v>83.384793125003739</v>
      </c>
      <c r="AC71" s="76">
        <f t="shared" si="64"/>
        <v>83.168320125189311</v>
      </c>
    </row>
    <row r="72" spans="1:29" ht="15.75" thickBot="1" x14ac:dyDescent="0.3"/>
    <row r="73" spans="1:29" ht="15.75" thickBot="1" x14ac:dyDescent="0.3">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5">A50</f>
        <v>Capex vehicle</v>
      </c>
      <c r="B74" s="65">
        <f>((1+B35)^B42)*B35/(((1+B35)^B42)-1)*(B31)/B47/(B44)</f>
        <v>2.0678991054715748E-3</v>
      </c>
      <c r="C74" s="65">
        <f t="shared" ref="C74:AC74" si="66">((1+C35)^C42)*C35/(((1+C35)^C42)-1)*(C31)/C47/(C44)</f>
        <v>2.0672108897786113E-3</v>
      </c>
      <c r="D74" s="65">
        <f t="shared" si="66"/>
        <v>2.0662257243429026E-3</v>
      </c>
      <c r="E74" s="65">
        <f t="shared" si="66"/>
        <v>2.0648163759071901E-3</v>
      </c>
      <c r="F74" s="65">
        <f t="shared" si="66"/>
        <v>2.0628021060043848E-3</v>
      </c>
      <c r="G74" s="65">
        <f t="shared" si="66"/>
        <v>2.0599273075513052E-3</v>
      </c>
      <c r="H74" s="65">
        <f t="shared" si="66"/>
        <v>2.0558328892888592E-3</v>
      </c>
      <c r="I74" s="65">
        <f t="shared" si="66"/>
        <v>2.0500194022983649E-3</v>
      </c>
      <c r="J74" s="65">
        <f t="shared" si="66"/>
        <v>2.0418025970777333E-3</v>
      </c>
      <c r="K74" s="65">
        <f t="shared" si="66"/>
        <v>2.0302663507914126E-3</v>
      </c>
      <c r="L74" s="65">
        <f t="shared" si="66"/>
        <v>2.0142267806663458E-3</v>
      </c>
      <c r="M74" s="65">
        <f t="shared" si="66"/>
        <v>1.9922371300663917E-3</v>
      </c>
      <c r="N74" s="65">
        <f t="shared" si="66"/>
        <v>1.9626853959757488E-3</v>
      </c>
      <c r="O74" s="65">
        <f t="shared" si="66"/>
        <v>1.9240555705441109E-3</v>
      </c>
      <c r="P74" s="65">
        <f t="shared" si="66"/>
        <v>1.8754078347009179E-3</v>
      </c>
      <c r="Q74" s="65">
        <f t="shared" si="66"/>
        <v>1.8170319481225618E-3</v>
      </c>
      <c r="R74" s="65">
        <f t="shared" si="66"/>
        <v>1.7510220335500617E-3</v>
      </c>
      <c r="S74" s="65">
        <f t="shared" si="66"/>
        <v>1.6813356375677379E-3</v>
      </c>
      <c r="T74" s="65">
        <f t="shared" si="66"/>
        <v>1.6130205395135985E-3</v>
      </c>
      <c r="U74" s="65">
        <f t="shared" si="66"/>
        <v>1.5508318995873728E-3</v>
      </c>
      <c r="V74" s="65">
        <f t="shared" si="66"/>
        <v>1.497980411482707E-3</v>
      </c>
      <c r="W74" s="65">
        <f t="shared" si="66"/>
        <v>1.4556558346761172E-3</v>
      </c>
      <c r="X74" s="65">
        <f t="shared" si="66"/>
        <v>1.423360304073918E-3</v>
      </c>
      <c r="Y74" s="65">
        <f t="shared" si="66"/>
        <v>1.3996204989760034E-3</v>
      </c>
      <c r="Z74" s="65">
        <f t="shared" si="66"/>
        <v>1.3826468817667865E-3</v>
      </c>
      <c r="AA74" s="65">
        <f t="shared" si="66"/>
        <v>1.370750882760983E-3</v>
      </c>
      <c r="AB74" s="65">
        <f t="shared" si="66"/>
        <v>1.3625300162627306E-3</v>
      </c>
      <c r="AC74" s="65">
        <f t="shared" si="66"/>
        <v>1.3569040676564852E-3</v>
      </c>
    </row>
    <row r="75" spans="1:29" x14ac:dyDescent="0.25">
      <c r="A75" s="30" t="str">
        <f t="shared" si="65"/>
        <v>Residual value (vehicle)</v>
      </c>
      <c r="B75" s="68">
        <f>((1+B35)^B42)*B35/(((1+B35)^B42)-1)*(B32)/B47/(B44)</f>
        <v>-1.0354267188938173E-4</v>
      </c>
      <c r="C75" s="68">
        <f t="shared" ref="C75:AC75" si="67">((1+C35)^C42)*C35/(((1+C35)^C42)-1)*(C32)/C47/(C44)</f>
        <v>-1.0357216684765161E-4</v>
      </c>
      <c r="D75" s="68">
        <f t="shared" si="67"/>
        <v>-1.0361438822346771E-4</v>
      </c>
      <c r="E75" s="68">
        <f t="shared" si="67"/>
        <v>-1.036747888707125E-4</v>
      </c>
      <c r="F75" s="68">
        <f t="shared" si="67"/>
        <v>-1.0376111472368988E-4</v>
      </c>
      <c r="G75" s="68">
        <f t="shared" si="67"/>
        <v>-1.0388432037167901E-4</v>
      </c>
      <c r="H75" s="68">
        <f t="shared" si="67"/>
        <v>-1.0405979544006957E-4</v>
      </c>
      <c r="I75" s="68">
        <f t="shared" si="67"/>
        <v>-1.0430894488251933E-4</v>
      </c>
      <c r="J75" s="68">
        <f t="shared" si="67"/>
        <v>-1.0466109367768924E-4</v>
      </c>
      <c r="K75" s="68">
        <f t="shared" si="67"/>
        <v>-1.0515550423281725E-4</v>
      </c>
      <c r="L75" s="68">
        <f t="shared" si="67"/>
        <v>-1.0584291438103441E-4</v>
      </c>
      <c r="M75" s="68">
        <f t="shared" si="67"/>
        <v>-1.067853279781753E-4</v>
      </c>
      <c r="N75" s="68">
        <f t="shared" si="67"/>
        <v>-1.0805183086777429E-4</v>
      </c>
      <c r="O75" s="68">
        <f t="shared" si="67"/>
        <v>-1.0970739481484449E-4</v>
      </c>
      <c r="P75" s="68">
        <f t="shared" si="67"/>
        <v>-1.1179229777955277E-4</v>
      </c>
      <c r="Q75" s="68">
        <f t="shared" si="67"/>
        <v>-1.1429412149005375E-4</v>
      </c>
      <c r="R75" s="68">
        <f t="shared" si="67"/>
        <v>-1.1712311782887515E-4</v>
      </c>
      <c r="S75" s="68">
        <f t="shared" si="67"/>
        <v>-1.2010967765668903E-4</v>
      </c>
      <c r="T75" s="68">
        <f t="shared" si="67"/>
        <v>-1.2303746757329499E-4</v>
      </c>
      <c r="U75" s="68">
        <f t="shared" si="67"/>
        <v>-1.2570269499870466E-4</v>
      </c>
      <c r="V75" s="68">
        <f t="shared" si="67"/>
        <v>-1.2796775877461892E-4</v>
      </c>
      <c r="W75" s="68">
        <f t="shared" si="67"/>
        <v>-1.2978166920918704E-4</v>
      </c>
      <c r="X75" s="68">
        <f t="shared" si="67"/>
        <v>-1.3116576337785275E-4</v>
      </c>
      <c r="Y75" s="68">
        <f t="shared" si="67"/>
        <v>-1.321831835963348E-4</v>
      </c>
      <c r="Z75" s="68">
        <f t="shared" si="67"/>
        <v>-1.3291062433387269E-4</v>
      </c>
      <c r="AA75" s="68">
        <f t="shared" si="67"/>
        <v>-1.3342045286269283E-4</v>
      </c>
      <c r="AB75" s="68">
        <f t="shared" si="67"/>
        <v>-1.3377277571261794E-4</v>
      </c>
      <c r="AC75" s="68">
        <f t="shared" si="67"/>
        <v>-1.3401388779574273E-4</v>
      </c>
    </row>
    <row r="76" spans="1:29" x14ac:dyDescent="0.25">
      <c r="A76" s="30" t="str">
        <f t="shared" si="65"/>
        <v>Capex costumization</v>
      </c>
      <c r="B76" s="66">
        <f>((1+B35)^B43)*B35/(((1+B35)^B43)-1)*(B33)/B47/(B44)</f>
        <v>6.8982996659853576E-5</v>
      </c>
      <c r="C76" s="66">
        <f t="shared" ref="C76:AC76" si="68">((1+C35)^C43)*C35/(((1+C35)^C43)-1)*(C33)/C47/(C44)</f>
        <v>6.8982996659853576E-5</v>
      </c>
      <c r="D76" s="66">
        <f t="shared" si="68"/>
        <v>6.8982996659853576E-5</v>
      </c>
      <c r="E76" s="66">
        <f t="shared" si="68"/>
        <v>6.8982996659853576E-5</v>
      </c>
      <c r="F76" s="66">
        <f t="shared" si="68"/>
        <v>6.8982996659853576E-5</v>
      </c>
      <c r="G76" s="66">
        <f t="shared" si="68"/>
        <v>6.8982996659853576E-5</v>
      </c>
      <c r="H76" s="66">
        <f t="shared" si="68"/>
        <v>6.8982996659853576E-5</v>
      </c>
      <c r="I76" s="66">
        <f t="shared" si="68"/>
        <v>6.8982996659853576E-5</v>
      </c>
      <c r="J76" s="66">
        <f t="shared" si="68"/>
        <v>6.8982996659853576E-5</v>
      </c>
      <c r="K76" s="66">
        <f t="shared" si="68"/>
        <v>6.8982996659853576E-5</v>
      </c>
      <c r="L76" s="66">
        <f t="shared" si="68"/>
        <v>6.8982996659853576E-5</v>
      </c>
      <c r="M76" s="66">
        <f t="shared" si="68"/>
        <v>6.8982996659853576E-5</v>
      </c>
      <c r="N76" s="66">
        <f t="shared" si="68"/>
        <v>6.8982996659853576E-5</v>
      </c>
      <c r="O76" s="66">
        <f t="shared" si="68"/>
        <v>6.8982996659853576E-5</v>
      </c>
      <c r="P76" s="66">
        <f t="shared" si="68"/>
        <v>6.8982996659853576E-5</v>
      </c>
      <c r="Q76" s="66">
        <f t="shared" si="68"/>
        <v>6.8982996659853576E-5</v>
      </c>
      <c r="R76" s="66">
        <f t="shared" si="68"/>
        <v>6.8982996659853576E-5</v>
      </c>
      <c r="S76" s="66">
        <f t="shared" si="68"/>
        <v>6.8982996659853576E-5</v>
      </c>
      <c r="T76" s="66">
        <f t="shared" si="68"/>
        <v>6.8982996659853576E-5</v>
      </c>
      <c r="U76" s="66">
        <f t="shared" si="68"/>
        <v>6.8982996659853576E-5</v>
      </c>
      <c r="V76" s="66">
        <f t="shared" si="68"/>
        <v>6.8982996659853576E-5</v>
      </c>
      <c r="W76" s="66">
        <f t="shared" si="68"/>
        <v>6.8982996659853576E-5</v>
      </c>
      <c r="X76" s="66">
        <f t="shared" si="68"/>
        <v>6.8982996659853576E-5</v>
      </c>
      <c r="Y76" s="66">
        <f t="shared" si="68"/>
        <v>6.8982996659853576E-5</v>
      </c>
      <c r="Z76" s="66">
        <f t="shared" si="68"/>
        <v>6.8982996659853576E-5</v>
      </c>
      <c r="AA76" s="66">
        <f t="shared" si="68"/>
        <v>6.8982996659853576E-5</v>
      </c>
      <c r="AB76" s="66">
        <f t="shared" si="68"/>
        <v>6.8982996659853576E-5</v>
      </c>
      <c r="AC76" s="66">
        <f t="shared" si="68"/>
        <v>6.8982996659853576E-5</v>
      </c>
    </row>
    <row r="77" spans="1:29" x14ac:dyDescent="0.25">
      <c r="A77" s="30" t="str">
        <f t="shared" si="65"/>
        <v>Residual value (costumization)</v>
      </c>
      <c r="B77" s="69">
        <f>((1+B35)^B43)*B35/(((1+B35)^B43)-1)*(B34)/B47/(B44)</f>
        <v>-6.8982996659853564E-6</v>
      </c>
      <c r="C77" s="69">
        <f t="shared" ref="C77:AC77" si="69">((1+C35)^C43)*C35/(((1+C35)^C43)-1)*(C34)/C47/(C44)</f>
        <v>-6.8982996659853564E-6</v>
      </c>
      <c r="D77" s="69">
        <f t="shared" si="69"/>
        <v>-6.8982996659853564E-6</v>
      </c>
      <c r="E77" s="69">
        <f t="shared" si="69"/>
        <v>-6.8982996659853564E-6</v>
      </c>
      <c r="F77" s="69">
        <f t="shared" si="69"/>
        <v>-6.8982996659853564E-6</v>
      </c>
      <c r="G77" s="69">
        <f t="shared" si="69"/>
        <v>-6.8982996659853564E-6</v>
      </c>
      <c r="H77" s="69">
        <f t="shared" si="69"/>
        <v>-6.8982996659853564E-6</v>
      </c>
      <c r="I77" s="69">
        <f t="shared" si="69"/>
        <v>-6.8982996659853564E-6</v>
      </c>
      <c r="J77" s="69">
        <f t="shared" si="69"/>
        <v>-6.8982996659853564E-6</v>
      </c>
      <c r="K77" s="69">
        <f t="shared" si="69"/>
        <v>-6.8982996659853564E-6</v>
      </c>
      <c r="L77" s="69">
        <f t="shared" si="69"/>
        <v>-6.8982996659853564E-6</v>
      </c>
      <c r="M77" s="69">
        <f t="shared" si="69"/>
        <v>-6.8982996659853564E-6</v>
      </c>
      <c r="N77" s="69">
        <f t="shared" si="69"/>
        <v>-6.8982996659853564E-6</v>
      </c>
      <c r="O77" s="69">
        <f t="shared" si="69"/>
        <v>-6.8982996659853564E-6</v>
      </c>
      <c r="P77" s="69">
        <f t="shared" si="69"/>
        <v>-6.8982996659853564E-6</v>
      </c>
      <c r="Q77" s="69">
        <f t="shared" si="69"/>
        <v>-6.8982996659853564E-6</v>
      </c>
      <c r="R77" s="69">
        <f t="shared" si="69"/>
        <v>-6.8982996659853564E-6</v>
      </c>
      <c r="S77" s="69">
        <f t="shared" si="69"/>
        <v>-6.8982996659853564E-6</v>
      </c>
      <c r="T77" s="69">
        <f t="shared" si="69"/>
        <v>-6.8982996659853564E-6</v>
      </c>
      <c r="U77" s="69">
        <f t="shared" si="69"/>
        <v>-6.8982996659853564E-6</v>
      </c>
      <c r="V77" s="69">
        <f t="shared" si="69"/>
        <v>-6.8982996659853564E-6</v>
      </c>
      <c r="W77" s="69">
        <f t="shared" si="69"/>
        <v>-6.8982996659853564E-6</v>
      </c>
      <c r="X77" s="69">
        <f t="shared" si="69"/>
        <v>-6.8982996659853564E-6</v>
      </c>
      <c r="Y77" s="69">
        <f t="shared" si="69"/>
        <v>-6.8982996659853564E-6</v>
      </c>
      <c r="Z77" s="69">
        <f t="shared" si="69"/>
        <v>-6.8982996659853564E-6</v>
      </c>
      <c r="AA77" s="69">
        <f t="shared" si="69"/>
        <v>-6.8982996659853564E-6</v>
      </c>
      <c r="AB77" s="69">
        <f t="shared" si="69"/>
        <v>-6.8982996659853564E-6</v>
      </c>
      <c r="AC77" s="69">
        <f t="shared" si="69"/>
        <v>-6.8982996659853564E-6</v>
      </c>
    </row>
    <row r="78" spans="1:29" x14ac:dyDescent="0.25">
      <c r="A78" s="30" t="str">
        <f t="shared" si="65"/>
        <v>Opex fix (admin, crew, insurance)</v>
      </c>
      <c r="B78" s="66">
        <f>B36/B47/(B44)</f>
        <v>1.0654632223259673E-3</v>
      </c>
      <c r="C78" s="66">
        <f t="shared" ref="C78:AC78" si="70">C36/C47/(C44)</f>
        <v>1.0654632223259673E-3</v>
      </c>
      <c r="D78" s="66">
        <f t="shared" si="70"/>
        <v>1.0654632223259673E-3</v>
      </c>
      <c r="E78" s="66">
        <f t="shared" si="70"/>
        <v>1.0654632223259673E-3</v>
      </c>
      <c r="F78" s="66">
        <f t="shared" si="70"/>
        <v>1.0654632223259673E-3</v>
      </c>
      <c r="G78" s="66">
        <f t="shared" si="70"/>
        <v>1.0654632223259673E-3</v>
      </c>
      <c r="H78" s="66">
        <f t="shared" si="70"/>
        <v>1.0654632223259673E-3</v>
      </c>
      <c r="I78" s="66">
        <f t="shared" si="70"/>
        <v>1.0654632223259673E-3</v>
      </c>
      <c r="J78" s="66">
        <f t="shared" si="70"/>
        <v>1.0654632223259673E-3</v>
      </c>
      <c r="K78" s="66">
        <f t="shared" si="70"/>
        <v>1.0654632223259673E-3</v>
      </c>
      <c r="L78" s="66">
        <f t="shared" si="70"/>
        <v>1.0654632223259673E-3</v>
      </c>
      <c r="M78" s="66">
        <f t="shared" si="70"/>
        <v>1.0654632223259673E-3</v>
      </c>
      <c r="N78" s="66">
        <f t="shared" si="70"/>
        <v>1.0654632223259673E-3</v>
      </c>
      <c r="O78" s="66">
        <f t="shared" si="70"/>
        <v>1.0654632223259673E-3</v>
      </c>
      <c r="P78" s="66">
        <f t="shared" si="70"/>
        <v>1.0654632223259673E-3</v>
      </c>
      <c r="Q78" s="66">
        <f t="shared" si="70"/>
        <v>1.0654632223259673E-3</v>
      </c>
      <c r="R78" s="66">
        <f t="shared" si="70"/>
        <v>1.0654632223259673E-3</v>
      </c>
      <c r="S78" s="66">
        <f t="shared" si="70"/>
        <v>1.0654632223259673E-3</v>
      </c>
      <c r="T78" s="66">
        <f t="shared" si="70"/>
        <v>1.0654632223259673E-3</v>
      </c>
      <c r="U78" s="66">
        <f t="shared" si="70"/>
        <v>1.0654632223259673E-3</v>
      </c>
      <c r="V78" s="66">
        <f t="shared" si="70"/>
        <v>1.0654632223259673E-3</v>
      </c>
      <c r="W78" s="66">
        <f t="shared" si="70"/>
        <v>1.0654632223259673E-3</v>
      </c>
      <c r="X78" s="66">
        <f t="shared" si="70"/>
        <v>1.0654632223259673E-3</v>
      </c>
      <c r="Y78" s="66">
        <f t="shared" si="70"/>
        <v>1.0654632223259673E-3</v>
      </c>
      <c r="Z78" s="66">
        <f t="shared" si="70"/>
        <v>1.0654632223259673E-3</v>
      </c>
      <c r="AA78" s="66">
        <f t="shared" si="70"/>
        <v>1.0654632223259673E-3</v>
      </c>
      <c r="AB78" s="66">
        <f t="shared" si="70"/>
        <v>1.0654632223259673E-3</v>
      </c>
      <c r="AC78" s="66">
        <f t="shared" si="70"/>
        <v>1.0654632223259673E-3</v>
      </c>
    </row>
    <row r="79" spans="1:29" x14ac:dyDescent="0.25">
      <c r="A79" s="30" t="str">
        <f t="shared" si="65"/>
        <v>Opex maintenance &amp; repair</v>
      </c>
      <c r="B79" s="66">
        <f>B37/B47/(B44)</f>
        <v>2.9878618113912231E-4</v>
      </c>
      <c r="C79" s="66">
        <f t="shared" ref="C79:AC79" si="71">C37/C47/(C44)</f>
        <v>2.9878618113912231E-4</v>
      </c>
      <c r="D79" s="66">
        <f t="shared" si="71"/>
        <v>2.9878618113912231E-4</v>
      </c>
      <c r="E79" s="66">
        <f t="shared" si="71"/>
        <v>2.9878618113912231E-4</v>
      </c>
      <c r="F79" s="66">
        <f t="shared" si="71"/>
        <v>2.9878618113912231E-4</v>
      </c>
      <c r="G79" s="66">
        <f t="shared" si="71"/>
        <v>2.9878618113912231E-4</v>
      </c>
      <c r="H79" s="66">
        <f t="shared" si="71"/>
        <v>2.9878618113912231E-4</v>
      </c>
      <c r="I79" s="66">
        <f t="shared" si="71"/>
        <v>2.9878618113912231E-4</v>
      </c>
      <c r="J79" s="66">
        <f t="shared" si="71"/>
        <v>2.9878618113912231E-4</v>
      </c>
      <c r="K79" s="66">
        <f t="shared" si="71"/>
        <v>2.9878618113912231E-4</v>
      </c>
      <c r="L79" s="66">
        <f t="shared" si="71"/>
        <v>2.9878618113912231E-4</v>
      </c>
      <c r="M79" s="66">
        <f t="shared" si="71"/>
        <v>2.9878618113912231E-4</v>
      </c>
      <c r="N79" s="66">
        <f t="shared" si="71"/>
        <v>2.9878618113912231E-4</v>
      </c>
      <c r="O79" s="66">
        <f t="shared" si="71"/>
        <v>2.9878618113912231E-4</v>
      </c>
      <c r="P79" s="66">
        <f t="shared" si="71"/>
        <v>2.9878618113912231E-4</v>
      </c>
      <c r="Q79" s="66">
        <f t="shared" si="71"/>
        <v>2.9878618113912231E-4</v>
      </c>
      <c r="R79" s="66">
        <f t="shared" si="71"/>
        <v>2.9878618113912231E-4</v>
      </c>
      <c r="S79" s="66">
        <f t="shared" si="71"/>
        <v>2.9878618113912231E-4</v>
      </c>
      <c r="T79" s="66">
        <f t="shared" si="71"/>
        <v>2.9878618113912231E-4</v>
      </c>
      <c r="U79" s="66">
        <f t="shared" si="71"/>
        <v>2.9878618113912231E-4</v>
      </c>
      <c r="V79" s="66">
        <f t="shared" si="71"/>
        <v>2.9878618113912231E-4</v>
      </c>
      <c r="W79" s="66">
        <f t="shared" si="71"/>
        <v>2.9878618113912231E-4</v>
      </c>
      <c r="X79" s="66">
        <f t="shared" si="71"/>
        <v>2.9878618113912231E-4</v>
      </c>
      <c r="Y79" s="66">
        <f t="shared" si="71"/>
        <v>2.9878618113912231E-4</v>
      </c>
      <c r="Z79" s="66">
        <f t="shared" si="71"/>
        <v>2.9878618113912231E-4</v>
      </c>
      <c r="AA79" s="66">
        <f t="shared" si="71"/>
        <v>2.9878618113912231E-4</v>
      </c>
      <c r="AB79" s="66">
        <f t="shared" si="71"/>
        <v>2.9878618113912231E-4</v>
      </c>
      <c r="AC79" s="66">
        <f t="shared" si="71"/>
        <v>2.9878618113912231E-4</v>
      </c>
    </row>
    <row r="80" spans="1:29" x14ac:dyDescent="0.25">
      <c r="A80" s="30" t="str">
        <f t="shared" si="65"/>
        <v>Opex var (mode-fees)</v>
      </c>
      <c r="B80" s="66">
        <f>B38*B47/B47/(B44)</f>
        <v>8.9502842587904882E-5</v>
      </c>
      <c r="C80" s="66">
        <f t="shared" ref="C80:AC80" si="72">C38*C47/C47/(C44)</f>
        <v>8.9502842587904882E-5</v>
      </c>
      <c r="D80" s="66">
        <f t="shared" si="72"/>
        <v>8.9502842587904882E-5</v>
      </c>
      <c r="E80" s="66">
        <f t="shared" si="72"/>
        <v>8.9502842587904882E-5</v>
      </c>
      <c r="F80" s="66">
        <f t="shared" si="72"/>
        <v>8.9502842587904882E-5</v>
      </c>
      <c r="G80" s="66">
        <f t="shared" si="72"/>
        <v>8.9502842587904882E-5</v>
      </c>
      <c r="H80" s="66">
        <f t="shared" si="72"/>
        <v>8.9502842587904882E-5</v>
      </c>
      <c r="I80" s="66">
        <f t="shared" si="72"/>
        <v>8.9502842587904882E-5</v>
      </c>
      <c r="J80" s="66">
        <f t="shared" si="72"/>
        <v>8.9502842587904882E-5</v>
      </c>
      <c r="K80" s="66">
        <f t="shared" si="72"/>
        <v>8.9502842587904882E-5</v>
      </c>
      <c r="L80" s="66">
        <f t="shared" si="72"/>
        <v>8.9502842587904882E-5</v>
      </c>
      <c r="M80" s="66">
        <f t="shared" si="72"/>
        <v>8.9502842587904882E-5</v>
      </c>
      <c r="N80" s="66">
        <f t="shared" si="72"/>
        <v>8.9502842587904882E-5</v>
      </c>
      <c r="O80" s="66">
        <f t="shared" si="72"/>
        <v>8.9502842587904882E-5</v>
      </c>
      <c r="P80" s="66">
        <f t="shared" si="72"/>
        <v>8.9502842587904882E-5</v>
      </c>
      <c r="Q80" s="66">
        <f t="shared" si="72"/>
        <v>8.9502842587904882E-5</v>
      </c>
      <c r="R80" s="66">
        <f t="shared" si="72"/>
        <v>8.9502842587904882E-5</v>
      </c>
      <c r="S80" s="66">
        <f t="shared" si="72"/>
        <v>8.9502842587904882E-5</v>
      </c>
      <c r="T80" s="66">
        <f t="shared" si="72"/>
        <v>8.9502842587904882E-5</v>
      </c>
      <c r="U80" s="66">
        <f t="shared" si="72"/>
        <v>8.9502842587904882E-5</v>
      </c>
      <c r="V80" s="66">
        <f t="shared" si="72"/>
        <v>8.9502842587904882E-5</v>
      </c>
      <c r="W80" s="66">
        <f t="shared" si="72"/>
        <v>8.9502842587904882E-5</v>
      </c>
      <c r="X80" s="66">
        <f t="shared" si="72"/>
        <v>8.9502842587904882E-5</v>
      </c>
      <c r="Y80" s="66">
        <f t="shared" si="72"/>
        <v>8.9502842587904882E-5</v>
      </c>
      <c r="Z80" s="66">
        <f t="shared" si="72"/>
        <v>8.9502842587904882E-5</v>
      </c>
      <c r="AA80" s="66">
        <f t="shared" si="72"/>
        <v>8.9502842587904882E-5</v>
      </c>
      <c r="AB80" s="66">
        <f t="shared" si="72"/>
        <v>8.9502842587904882E-5</v>
      </c>
      <c r="AC80" s="66">
        <f t="shared" si="72"/>
        <v>8.9502842587904882E-5</v>
      </c>
    </row>
    <row r="81" spans="1:29" x14ac:dyDescent="0.25">
      <c r="A81" s="30" t="str">
        <f t="shared" si="65"/>
        <v>Fuel Cost</v>
      </c>
      <c r="B81" s="66">
        <f>B39*B40*B47/B47/(B44)</f>
        <v>1.5736357366733275E-2</v>
      </c>
      <c r="C81" s="66">
        <f t="shared" ref="C81:AC81" si="73">C39*C40*C47/C47/(C44)</f>
        <v>1.5683523768148497E-2</v>
      </c>
      <c r="D81" s="66">
        <f t="shared" si="73"/>
        <v>1.5608506954650736E-2</v>
      </c>
      <c r="E81" s="66">
        <f t="shared" si="73"/>
        <v>1.5502474833672213E-2</v>
      </c>
      <c r="F81" s="66">
        <f t="shared" si="73"/>
        <v>1.5353597941202673E-2</v>
      </c>
      <c r="G81" s="66">
        <f t="shared" si="73"/>
        <v>1.5146578311279789E-2</v>
      </c>
      <c r="H81" s="66">
        <f t="shared" si="73"/>
        <v>1.48626945345864E-2</v>
      </c>
      <c r="I81" s="66">
        <f t="shared" si="73"/>
        <v>1.4481024255187486E-2</v>
      </c>
      <c r="J81" s="66">
        <f t="shared" si="73"/>
        <v>1.3981745004474581E-2</v>
      </c>
      <c r="K81" s="66">
        <f t="shared" si="73"/>
        <v>1.3352214864199753E-2</v>
      </c>
      <c r="L81" s="66">
        <f t="shared" si="73"/>
        <v>1.2595248510065642E-2</v>
      </c>
      <c r="M81" s="66">
        <f t="shared" si="73"/>
        <v>1.1736394409988367E-2</v>
      </c>
      <c r="N81" s="66">
        <f t="shared" si="73"/>
        <v>1.0824696686575366E-2</v>
      </c>
      <c r="O81" s="66">
        <f t="shared" si="73"/>
        <v>9.9230105454805265E-3</v>
      </c>
      <c r="P81" s="66">
        <f t="shared" si="73"/>
        <v>9.0908086100233362E-3</v>
      </c>
      <c r="Q81" s="66">
        <f t="shared" si="73"/>
        <v>8.3688917429233563E-3</v>
      </c>
      <c r="R81" s="66">
        <f t="shared" si="73"/>
        <v>7.7739493757145112E-3</v>
      </c>
      <c r="S81" s="66">
        <f t="shared" si="73"/>
        <v>7.3029524351010929E-3</v>
      </c>
      <c r="T81" s="66">
        <f t="shared" si="73"/>
        <v>6.9415662633276537E-3</v>
      </c>
      <c r="U81" s="66">
        <f t="shared" si="73"/>
        <v>6.6712850619518428E-3</v>
      </c>
      <c r="V81" s="66">
        <f t="shared" si="73"/>
        <v>6.473572252249195E-3</v>
      </c>
      <c r="W81" s="66">
        <f t="shared" si="73"/>
        <v>6.3317428143609992E-3</v>
      </c>
      <c r="X81" s="66">
        <f t="shared" si="73"/>
        <v>6.2316932893217557E-3</v>
      </c>
      <c r="Y81" s="66">
        <f t="shared" si="73"/>
        <v>6.1620774523970332E-3</v>
      </c>
      <c r="Z81" s="66">
        <f t="shared" si="73"/>
        <v>6.1141521249212169E-3</v>
      </c>
      <c r="AA81" s="66">
        <f t="shared" si="73"/>
        <v>6.0814210302124385E-3</v>
      </c>
      <c r="AB81" s="66">
        <f t="shared" si="73"/>
        <v>6.0591954710820812E-3</v>
      </c>
      <c r="AC81" s="66">
        <f t="shared" si="73"/>
        <v>6.0441648669882124E-3</v>
      </c>
    </row>
    <row r="82" spans="1:29" x14ac:dyDescent="0.25">
      <c r="A82" s="59" t="str">
        <f>A45</f>
        <v>Market failure (av. utilization)</v>
      </c>
      <c r="B82" s="66">
        <f t="shared" ref="B82:AC82" si="74">B71/B45-B71/B44</f>
        <v>9.1710584955428734E-3</v>
      </c>
      <c r="C82" s="66">
        <f t="shared" si="74"/>
        <v>9.1457421977539748E-3</v>
      </c>
      <c r="D82" s="66">
        <f t="shared" si="74"/>
        <v>9.1097910959808542E-3</v>
      </c>
      <c r="E82" s="66">
        <f t="shared" si="74"/>
        <v>9.058965084299056E-3</v>
      </c>
      <c r="F82" s="66">
        <f t="shared" si="74"/>
        <v>8.9875782773755318E-3</v>
      </c>
      <c r="G82" s="66">
        <f t="shared" si="74"/>
        <v>8.8882632268077882E-3</v>
      </c>
      <c r="H82" s="66">
        <f t="shared" si="74"/>
        <v>8.7519732719345718E-3</v>
      </c>
      <c r="I82" s="66">
        <f t="shared" si="74"/>
        <v>8.5685335384862414E-3</v>
      </c>
      <c r="J82" s="66">
        <f t="shared" si="74"/>
        <v>8.3281649911818439E-3</v>
      </c>
      <c r="K82" s="66">
        <f t="shared" si="74"/>
        <v>8.0243149085424091E-3</v>
      </c>
      <c r="L82" s="66">
        <f t="shared" si="74"/>
        <v>7.6575278479087787E-3</v>
      </c>
      <c r="M82" s="66">
        <f t="shared" si="74"/>
        <v>7.2388734284985785E-3</v>
      </c>
      <c r="N82" s="66">
        <f t="shared" si="74"/>
        <v>6.790369176361024E-3</v>
      </c>
      <c r="O82" s="66">
        <f t="shared" si="74"/>
        <v>6.3405951967340501E-3</v>
      </c>
      <c r="P82" s="66">
        <f t="shared" si="74"/>
        <v>5.916919410834269E-3</v>
      </c>
      <c r="Q82" s="66">
        <f t="shared" si="74"/>
        <v>5.5387331315290955E-3</v>
      </c>
      <c r="R82" s="66">
        <f t="shared" si="74"/>
        <v>5.2152699124617657E-3</v>
      </c>
      <c r="S82" s="66">
        <f t="shared" si="74"/>
        <v>4.9477117194459217E-3</v>
      </c>
      <c r="T82" s="66">
        <f t="shared" si="74"/>
        <v>4.7326385382850788E-3</v>
      </c>
      <c r="U82" s="66">
        <f t="shared" si="74"/>
        <v>4.5644746742221753E-3</v>
      </c>
      <c r="V82" s="66">
        <f t="shared" si="74"/>
        <v>4.4366123827321961E-3</v>
      </c>
      <c r="W82" s="66">
        <f t="shared" si="74"/>
        <v>4.3419837575350579E-3</v>
      </c>
      <c r="X82" s="66">
        <f t="shared" si="74"/>
        <v>4.2736238605487718E-3</v>
      </c>
      <c r="Y82" s="66">
        <f t="shared" si="74"/>
        <v>4.2252226010687215E-3</v>
      </c>
      <c r="Z82" s="66">
        <f t="shared" si="74"/>
        <v>4.1914865131294533E-3</v>
      </c>
      <c r="AA82" s="66">
        <f t="shared" si="74"/>
        <v>4.168246018679423E-3</v>
      </c>
      <c r="AB82" s="66">
        <f t="shared" si="74"/>
        <v>4.1523706504825991E-3</v>
      </c>
      <c r="AC82" s="66">
        <f t="shared" si="74"/>
        <v>4.1415907936602197E-3</v>
      </c>
    </row>
    <row r="83" spans="1:29" x14ac:dyDescent="0.25">
      <c r="A83" s="59" t="str">
        <f>A46</f>
        <v>Payload loss (fuel)</v>
      </c>
      <c r="B83" s="66">
        <f>B71/(B44-B46)-B71/B44</f>
        <v>2.1643320307883629E-3</v>
      </c>
      <c r="C83" s="66">
        <f t="shared" ref="C83:AC83" si="75">C71/(C44-C46)-C71/C44</f>
        <v>2.1579015941066218E-3</v>
      </c>
      <c r="D83" s="66">
        <f t="shared" si="75"/>
        <v>2.1487690698642412E-3</v>
      </c>
      <c r="E83" s="66">
        <f t="shared" si="75"/>
        <v>2.135855879545543E-3</v>
      </c>
      <c r="F83" s="66">
        <f t="shared" si="75"/>
        <v>2.1177138893136993E-3</v>
      </c>
      <c r="G83" s="66">
        <f t="shared" si="75"/>
        <v>2.0924625695821208E-3</v>
      </c>
      <c r="H83" s="66">
        <f t="shared" si="75"/>
        <v>2.0577834290055608E-3</v>
      </c>
      <c r="I83" s="66">
        <f t="shared" si="75"/>
        <v>2.011047926283132E-3</v>
      </c>
      <c r="J83" s="66">
        <f t="shared" si="75"/>
        <v>1.9496831567541902E-3</v>
      </c>
      <c r="K83" s="66">
        <f t="shared" si="75"/>
        <v>1.8718577032181688E-3</v>
      </c>
      <c r="L83" s="66">
        <f t="shared" si="75"/>
        <v>1.7774246326452553E-3</v>
      </c>
      <c r="M83" s="66">
        <f t="shared" si="75"/>
        <v>1.6687646671840594E-3</v>
      </c>
      <c r="N83" s="66">
        <f t="shared" si="75"/>
        <v>1.550917377302629E-3</v>
      </c>
      <c r="O83" s="66">
        <f t="shared" si="75"/>
        <v>1.4305827739473781E-3</v>
      </c>
      <c r="P83" s="66">
        <f t="shared" si="75"/>
        <v>1.3143561690609849E-3</v>
      </c>
      <c r="Q83" s="66">
        <f t="shared" si="75"/>
        <v>1.207243669884726E-3</v>
      </c>
      <c r="R83" s="66">
        <f t="shared" si="75"/>
        <v>1.1122336702982256E-3</v>
      </c>
      <c r="S83" s="66">
        <f t="shared" si="75"/>
        <v>1.0307295549628129E-3</v>
      </c>
      <c r="T83" s="66">
        <f t="shared" si="75"/>
        <v>9.6309950944586248E-4</v>
      </c>
      <c r="U83" s="66">
        <f t="shared" si="75"/>
        <v>9.0891708028818276E-4</v>
      </c>
      <c r="V83" s="66">
        <f t="shared" si="75"/>
        <v>8.6702459467863195E-4</v>
      </c>
      <c r="W83" s="66">
        <f t="shared" si="75"/>
        <v>8.356907194659053E-4</v>
      </c>
      <c r="X83" s="66">
        <f t="shared" si="75"/>
        <v>8.1291125788709832E-4</v>
      </c>
      <c r="Y83" s="66">
        <f t="shared" si="75"/>
        <v>7.9672321851113025E-4</v>
      </c>
      <c r="Z83" s="66">
        <f t="shared" si="75"/>
        <v>7.8541616840674226E-4</v>
      </c>
      <c r="AA83" s="66">
        <f t="shared" si="75"/>
        <v>7.7761731540976382E-4</v>
      </c>
      <c r="AB83" s="66">
        <f t="shared" si="75"/>
        <v>7.7228615356166735E-4</v>
      </c>
      <c r="AC83" s="66">
        <f t="shared" si="75"/>
        <v>7.6866456184605456E-4</v>
      </c>
    </row>
    <row r="84" spans="1:29" ht="15.75" thickBot="1" x14ac:dyDescent="0.3">
      <c r="A84" s="59" t="str">
        <f>A21</f>
        <v>Emission Cost</v>
      </c>
      <c r="B84" s="68">
        <f>B41*B47/B47/(B44)</f>
        <v>2.5815196033431064E-4</v>
      </c>
      <c r="C84" s="68">
        <f t="shared" ref="C84:AC84" si="76">C41*C47/C47/(C44)</f>
        <v>2.5790613676891132E-4</v>
      </c>
      <c r="D84" s="68">
        <f t="shared" si="76"/>
        <v>2.5755424581032062E-4</v>
      </c>
      <c r="E84" s="68">
        <f t="shared" si="76"/>
        <v>2.5705084104797826E-4</v>
      </c>
      <c r="F84" s="68">
        <f t="shared" si="76"/>
        <v>2.5633136456081513E-4</v>
      </c>
      <c r="G84" s="68">
        <f t="shared" si="76"/>
        <v>2.5530451612831671E-4</v>
      </c>
      <c r="H84" s="68">
        <f t="shared" si="76"/>
        <v>2.538420320469436E-4</v>
      </c>
      <c r="I84" s="68">
        <f t="shared" si="76"/>
        <v>2.5176551430110213E-4</v>
      </c>
      <c r="J84" s="68">
        <f t="shared" si="76"/>
        <v>2.4883055600797026E-4</v>
      </c>
      <c r="K84" s="68">
        <f t="shared" si="76"/>
        <v>2.4470992751544701E-4</v>
      </c>
      <c r="L84" s="68">
        <f t="shared" si="76"/>
        <v>2.3898075807637687E-4</v>
      </c>
      <c r="M84" s="68">
        <f t="shared" si="76"/>
        <v>2.3112628110406671E-4</v>
      </c>
      <c r="N84" s="68">
        <f t="shared" si="76"/>
        <v>2.2057070570500738E-4</v>
      </c>
      <c r="O84" s="68">
        <f t="shared" si="76"/>
        <v>2.0677252947123894E-4</v>
      </c>
      <c r="P84" s="68">
        <f t="shared" si="76"/>
        <v>1.8939605869929403E-4</v>
      </c>
      <c r="Q84" s="68">
        <f t="shared" si="76"/>
        <v>1.685447925646317E-4</v>
      </c>
      <c r="R84" s="68">
        <f t="shared" si="76"/>
        <v>1.4496673016672632E-4</v>
      </c>
      <c r="S84" s="68">
        <f t="shared" si="76"/>
        <v>1.2007546643161339E-4</v>
      </c>
      <c r="T84" s="68">
        <f t="shared" si="76"/>
        <v>9.5674016209004522E-5</v>
      </c>
      <c r="U84" s="68">
        <f t="shared" si="76"/>
        <v>7.3460873802783661E-5</v>
      </c>
      <c r="V84" s="68">
        <f t="shared" si="76"/>
        <v>5.4582865969804057E-5</v>
      </c>
      <c r="W84" s="68">
        <f t="shared" si="76"/>
        <v>3.9464962555239501E-5</v>
      </c>
      <c r="X84" s="68">
        <f t="shared" si="76"/>
        <v>2.7929331269491062E-5</v>
      </c>
      <c r="Y84" s="68">
        <f t="shared" si="76"/>
        <v>1.9449717115499516E-5</v>
      </c>
      <c r="Z84" s="68">
        <f t="shared" si="76"/>
        <v>1.3386915667127335E-5</v>
      </c>
      <c r="AA84" s="68">
        <f t="shared" si="76"/>
        <v>9.1377872042174873E-6</v>
      </c>
      <c r="AB84" s="68">
        <f t="shared" si="76"/>
        <v>6.2013782645004512E-6</v>
      </c>
      <c r="AC84" s="68">
        <f t="shared" si="76"/>
        <v>4.1918473001819709E-6</v>
      </c>
    </row>
    <row r="85" spans="1:29" ht="15.75" thickBot="1" x14ac:dyDescent="0.3">
      <c r="A85" s="31" t="s">
        <v>210</v>
      </c>
      <c r="B85" s="67">
        <f>B74+B75+B76+B77+B78+B79+B80+B81+B82+B83+B84</f>
        <v>3.0810093230027879E-2</v>
      </c>
      <c r="C85" s="67">
        <f t="shared" ref="C85:AC85" si="77">C74+C75+C76+C77+C78+C79+C80+C81+C82+C83+C84</f>
        <v>3.0724549362755826E-2</v>
      </c>
      <c r="D85" s="67">
        <f t="shared" si="77"/>
        <v>3.060306964547245E-2</v>
      </c>
      <c r="E85" s="67">
        <f t="shared" si="77"/>
        <v>3.0431325168648132E-2</v>
      </c>
      <c r="F85" s="67">
        <f t="shared" si="77"/>
        <v>3.0190099406780278E-2</v>
      </c>
      <c r="G85" s="67">
        <f t="shared" si="77"/>
        <v>2.9854488554024502E-2</v>
      </c>
      <c r="H85" s="67">
        <f t="shared" si="77"/>
        <v>2.9393903304469129E-2</v>
      </c>
      <c r="I85" s="67">
        <f t="shared" si="77"/>
        <v>2.8773918634720671E-2</v>
      </c>
      <c r="J85" s="67">
        <f t="shared" si="77"/>
        <v>2.7961402154865492E-2</v>
      </c>
      <c r="K85" s="67">
        <f t="shared" si="77"/>
        <v>2.6934045193081235E-2</v>
      </c>
      <c r="L85" s="67">
        <f t="shared" si="77"/>
        <v>2.5693402558028225E-2</v>
      </c>
      <c r="M85" s="67">
        <f t="shared" si="77"/>
        <v>2.4276447531910151E-2</v>
      </c>
      <c r="N85" s="67">
        <f t="shared" si="77"/>
        <v>2.2757024454098863E-2</v>
      </c>
      <c r="O85" s="67">
        <f t="shared" si="77"/>
        <v>2.1231146164409322E-2</v>
      </c>
      <c r="P85" s="67">
        <f t="shared" si="77"/>
        <v>1.9790932728586109E-2</v>
      </c>
      <c r="Q85" s="67">
        <f t="shared" si="77"/>
        <v>1.8501988106581178E-2</v>
      </c>
      <c r="R85" s="67">
        <f t="shared" si="77"/>
        <v>1.7396155547409278E-2</v>
      </c>
      <c r="S85" s="67">
        <f t="shared" si="77"/>
        <v>1.6478532078899349E-2</v>
      </c>
      <c r="T85" s="67">
        <f t="shared" si="77"/>
        <v>1.5738798342254764E-2</v>
      </c>
      <c r="U85" s="67">
        <f t="shared" si="77"/>
        <v>1.5159103837900516E-2</v>
      </c>
      <c r="V85" s="67">
        <f t="shared" si="77"/>
        <v>1.4717641691384778E-2</v>
      </c>
      <c r="W85" s="67">
        <f t="shared" si="77"/>
        <v>1.4390593362430995E-2</v>
      </c>
      <c r="X85" s="67">
        <f t="shared" si="77"/>
        <v>1.4154189222770045E-2</v>
      </c>
      <c r="Y85" s="67">
        <f t="shared" si="77"/>
        <v>1.3986747247518916E-2</v>
      </c>
      <c r="Z85" s="67">
        <f t="shared" si="77"/>
        <v>1.3870014922604316E-2</v>
      </c>
      <c r="AA85" s="67">
        <f t="shared" si="77"/>
        <v>1.3789589524450996E-2</v>
      </c>
      <c r="AB85" s="67">
        <f t="shared" si="77"/>
        <v>1.3734647836987824E-2</v>
      </c>
      <c r="AC85" s="67">
        <f t="shared" si="77"/>
        <v>1.3697339192702274E-2</v>
      </c>
    </row>
    <row r="87" spans="1:29" x14ac:dyDescent="0.25">
      <c r="B87" s="40"/>
    </row>
    <row r="107" spans="1:2" s="3" customFormat="1" ht="21" x14ac:dyDescent="0.35">
      <c r="A107" s="2" t="str">
        <f>'Parameter Input'!A167</f>
        <v>Short-sea: Container</v>
      </c>
    </row>
    <row r="108" spans="1:2" s="3" customFormat="1" ht="21" x14ac:dyDescent="0.35">
      <c r="A108" s="2" t="s">
        <v>103</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Input'!$L$181</f>
        <v>30000000</v>
      </c>
      <c r="C117" s="42">
        <f>'Parameter Input'!$M$181</f>
        <v>19500000</v>
      </c>
      <c r="D117" s="1" t="s">
        <v>15</v>
      </c>
      <c r="L117" s="51">
        <f>'Parameter Input'!$O$181</f>
        <v>17</v>
      </c>
      <c r="M117" s="52">
        <v>0</v>
      </c>
      <c r="N117" s="52">
        <v>1</v>
      </c>
      <c r="O117" s="52">
        <f>'Parameter Input'!$P$181</f>
        <v>0.9</v>
      </c>
      <c r="P117" s="53">
        <f>'Parameter Input'!$Q$181</f>
        <v>0.4</v>
      </c>
      <c r="Q117" s="4">
        <f t="shared" ref="Q117:AR126" si="78">$N117+($M117-$N117)*((1/(1+EXP(-$P117*(Q$9-$L117)))^$O117))</f>
        <v>0.99780374543478534</v>
      </c>
      <c r="R117" s="4">
        <f t="shared" si="78"/>
        <v>0.99685359315256394</v>
      </c>
      <c r="S117" s="4">
        <f t="shared" si="78"/>
        <v>0.99549347132349975</v>
      </c>
      <c r="T117" s="4">
        <f t="shared" si="78"/>
        <v>0.99354772139898062</v>
      </c>
      <c r="U117" s="4">
        <f t="shared" si="78"/>
        <v>0.99076681540580536</v>
      </c>
      <c r="V117" s="4">
        <f t="shared" si="78"/>
        <v>0.9867978615748374</v>
      </c>
      <c r="W117" s="4">
        <f t="shared" si="78"/>
        <v>0.98114509762858249</v>
      </c>
      <c r="X117" s="4">
        <f t="shared" si="78"/>
        <v>0.97311898315872036</v>
      </c>
      <c r="Y117" s="4">
        <f t="shared" si="78"/>
        <v>0.96177484161592774</v>
      </c>
      <c r="Z117" s="4">
        <f t="shared" si="78"/>
        <v>0.94584787155511363</v>
      </c>
      <c r="AA117" s="4">
        <f t="shared" si="78"/>
        <v>0.92370360150141495</v>
      </c>
      <c r="AB117" s="4">
        <f t="shared" si="78"/>
        <v>0.89334463567658451</v>
      </c>
      <c r="AC117" s="4">
        <f t="shared" si="78"/>
        <v>0.85254543874327005</v>
      </c>
      <c r="AD117" s="4">
        <f t="shared" si="78"/>
        <v>0.79921300652623883</v>
      </c>
      <c r="AE117" s="4">
        <f t="shared" si="78"/>
        <v>0.73204982249993378</v>
      </c>
      <c r="AF117" s="4">
        <f t="shared" si="78"/>
        <v>0.65145592958786691</v>
      </c>
      <c r="AG117" s="4">
        <f t="shared" si="78"/>
        <v>0.56032247880849573</v>
      </c>
      <c r="AH117" s="4">
        <f t="shared" si="78"/>
        <v>0.46411326873185343</v>
      </c>
      <c r="AI117" s="4">
        <f t="shared" si="78"/>
        <v>0.36979727595523937</v>
      </c>
      <c r="AJ117" s="4">
        <f t="shared" si="78"/>
        <v>0.28393948637231203</v>
      </c>
      <c r="AK117" s="4">
        <f t="shared" si="78"/>
        <v>0.21097259161117732</v>
      </c>
      <c r="AL117" s="4">
        <f t="shared" si="78"/>
        <v>0.15253917653798199</v>
      </c>
      <c r="AM117" s="4">
        <f t="shared" si="78"/>
        <v>0.10795188737709993</v>
      </c>
      <c r="AN117" s="4">
        <f t="shared" si="78"/>
        <v>7.5176653938091809E-2</v>
      </c>
      <c r="AO117" s="4">
        <f t="shared" si="78"/>
        <v>5.1742836177502194E-2</v>
      </c>
      <c r="AP117" s="4">
        <f t="shared" si="78"/>
        <v>3.5319190625345942E-2</v>
      </c>
      <c r="AQ117" s="4">
        <f t="shared" si="78"/>
        <v>2.3969442072658165E-2</v>
      </c>
      <c r="AR117" s="4">
        <f t="shared" si="78"/>
        <v>1.6202243558389728E-2</v>
      </c>
    </row>
    <row r="118" spans="1:44" x14ac:dyDescent="0.25">
      <c r="A118" s="24" t="s">
        <v>28</v>
      </c>
      <c r="B118" s="60">
        <f>'Parameter Input'!$L$182</f>
        <v>-1500000</v>
      </c>
      <c r="C118" s="61">
        <f>'Parameter Input'!$M$182</f>
        <v>-1950000</v>
      </c>
      <c r="D118" s="1" t="s">
        <v>15</v>
      </c>
      <c r="L118" s="54">
        <f>'Parameter Input'!$O$182</f>
        <v>17</v>
      </c>
      <c r="M118" s="37">
        <v>0</v>
      </c>
      <c r="N118" s="37">
        <v>1</v>
      </c>
      <c r="O118" s="37">
        <f>'Parameter Input'!$P$182</f>
        <v>0.9</v>
      </c>
      <c r="P118" s="55">
        <f>'Parameter Input'!$Q$182</f>
        <v>0.4</v>
      </c>
      <c r="Q118" s="4">
        <f t="shared" si="78"/>
        <v>0.99780374543478534</v>
      </c>
      <c r="R118" s="4">
        <f t="shared" si="78"/>
        <v>0.99685359315256394</v>
      </c>
      <c r="S118" s="4">
        <f t="shared" si="78"/>
        <v>0.99549347132349975</v>
      </c>
      <c r="T118" s="4">
        <f t="shared" si="78"/>
        <v>0.99354772139898062</v>
      </c>
      <c r="U118" s="4">
        <f t="shared" si="78"/>
        <v>0.99076681540580536</v>
      </c>
      <c r="V118" s="4">
        <f t="shared" si="78"/>
        <v>0.9867978615748374</v>
      </c>
      <c r="W118" s="4">
        <f t="shared" si="78"/>
        <v>0.98114509762858249</v>
      </c>
      <c r="X118" s="4">
        <f t="shared" si="78"/>
        <v>0.97311898315872036</v>
      </c>
      <c r="Y118" s="4">
        <f t="shared" si="78"/>
        <v>0.96177484161592774</v>
      </c>
      <c r="Z118" s="4">
        <f t="shared" si="78"/>
        <v>0.94584787155511363</v>
      </c>
      <c r="AA118" s="4">
        <f t="shared" si="78"/>
        <v>0.92370360150141495</v>
      </c>
      <c r="AB118" s="4">
        <f t="shared" si="78"/>
        <v>0.89334463567658451</v>
      </c>
      <c r="AC118" s="4">
        <f t="shared" si="78"/>
        <v>0.85254543874327005</v>
      </c>
      <c r="AD118" s="4">
        <f t="shared" si="78"/>
        <v>0.79921300652623883</v>
      </c>
      <c r="AE118" s="4">
        <f t="shared" si="78"/>
        <v>0.73204982249993378</v>
      </c>
      <c r="AF118" s="4">
        <f t="shared" si="78"/>
        <v>0.65145592958786691</v>
      </c>
      <c r="AG118" s="4">
        <f t="shared" si="78"/>
        <v>0.56032247880849573</v>
      </c>
      <c r="AH118" s="4">
        <f t="shared" si="78"/>
        <v>0.46411326873185343</v>
      </c>
      <c r="AI118" s="4">
        <f t="shared" si="78"/>
        <v>0.36979727595523937</v>
      </c>
      <c r="AJ118" s="4">
        <f t="shared" si="78"/>
        <v>0.28393948637231203</v>
      </c>
      <c r="AK118" s="4">
        <f t="shared" si="78"/>
        <v>0.21097259161117732</v>
      </c>
      <c r="AL118" s="4">
        <f t="shared" si="78"/>
        <v>0.15253917653798199</v>
      </c>
      <c r="AM118" s="4">
        <f t="shared" si="78"/>
        <v>0.10795188737709993</v>
      </c>
      <c r="AN118" s="4">
        <f t="shared" si="78"/>
        <v>7.5176653938091809E-2</v>
      </c>
      <c r="AO118" s="4">
        <f t="shared" si="78"/>
        <v>5.1742836177502194E-2</v>
      </c>
      <c r="AP118" s="4">
        <f t="shared" si="78"/>
        <v>3.5319190625345942E-2</v>
      </c>
      <c r="AQ118" s="4">
        <f t="shared" si="78"/>
        <v>2.3969442072658165E-2</v>
      </c>
      <c r="AR118" s="4">
        <f t="shared" si="78"/>
        <v>1.6202243558389728E-2</v>
      </c>
    </row>
    <row r="119" spans="1:44" x14ac:dyDescent="0.25">
      <c r="A119" s="24" t="s">
        <v>14</v>
      </c>
      <c r="B119" s="60">
        <f>'Parameter Input'!B168</f>
        <v>5000000</v>
      </c>
      <c r="C119" s="61">
        <f>'Parameter Input'!C168</f>
        <v>5000000</v>
      </c>
      <c r="D119" s="1" t="s">
        <v>15</v>
      </c>
      <c r="L119" s="54">
        <f>'Parameter Input'!E168</f>
        <v>17</v>
      </c>
      <c r="M119" s="37">
        <v>0</v>
      </c>
      <c r="N119" s="37">
        <v>1</v>
      </c>
      <c r="O119" s="37">
        <f>'Parameter Input'!F168</f>
        <v>0.9</v>
      </c>
      <c r="P119" s="55">
        <f>'Parameter Input'!G168</f>
        <v>0.4</v>
      </c>
      <c r="Q119" s="4">
        <f t="shared" si="78"/>
        <v>0.99780374543478534</v>
      </c>
      <c r="R119" s="4">
        <f t="shared" si="78"/>
        <v>0.99685359315256394</v>
      </c>
      <c r="S119" s="4">
        <f t="shared" si="78"/>
        <v>0.99549347132349975</v>
      </c>
      <c r="T119" s="4">
        <f t="shared" si="78"/>
        <v>0.99354772139898062</v>
      </c>
      <c r="U119" s="4">
        <f t="shared" si="78"/>
        <v>0.99076681540580536</v>
      </c>
      <c r="V119" s="4">
        <f t="shared" si="78"/>
        <v>0.9867978615748374</v>
      </c>
      <c r="W119" s="4">
        <f t="shared" si="78"/>
        <v>0.98114509762858249</v>
      </c>
      <c r="X119" s="4">
        <f t="shared" si="78"/>
        <v>0.97311898315872036</v>
      </c>
      <c r="Y119" s="4">
        <f t="shared" si="78"/>
        <v>0.96177484161592774</v>
      </c>
      <c r="Z119" s="4">
        <f t="shared" si="78"/>
        <v>0.94584787155511363</v>
      </c>
      <c r="AA119" s="4">
        <f t="shared" si="78"/>
        <v>0.92370360150141495</v>
      </c>
      <c r="AB119" s="4">
        <f t="shared" si="78"/>
        <v>0.89334463567658451</v>
      </c>
      <c r="AC119" s="4">
        <f t="shared" si="78"/>
        <v>0.85254543874327005</v>
      </c>
      <c r="AD119" s="4">
        <f t="shared" si="78"/>
        <v>0.79921300652623883</v>
      </c>
      <c r="AE119" s="4">
        <f t="shared" si="78"/>
        <v>0.73204982249993378</v>
      </c>
      <c r="AF119" s="4">
        <f t="shared" si="78"/>
        <v>0.65145592958786691</v>
      </c>
      <c r="AG119" s="4">
        <f t="shared" si="78"/>
        <v>0.56032247880849573</v>
      </c>
      <c r="AH119" s="4">
        <f t="shared" si="78"/>
        <v>0.46411326873185343</v>
      </c>
      <c r="AI119" s="4">
        <f t="shared" si="78"/>
        <v>0.36979727595523937</v>
      </c>
      <c r="AJ119" s="4">
        <f t="shared" si="78"/>
        <v>0.28393948637231203</v>
      </c>
      <c r="AK119" s="4">
        <f t="shared" si="78"/>
        <v>0.21097259161117732</v>
      </c>
      <c r="AL119" s="4">
        <f t="shared" si="78"/>
        <v>0.15253917653798199</v>
      </c>
      <c r="AM119" s="4">
        <f t="shared" si="78"/>
        <v>0.10795188737709993</v>
      </c>
      <c r="AN119" s="4">
        <f t="shared" si="78"/>
        <v>7.5176653938091809E-2</v>
      </c>
      <c r="AO119" s="4">
        <f t="shared" si="78"/>
        <v>5.1742836177502194E-2</v>
      </c>
      <c r="AP119" s="4">
        <f t="shared" si="78"/>
        <v>3.5319190625345942E-2</v>
      </c>
      <c r="AQ119" s="4">
        <f t="shared" si="78"/>
        <v>2.3969442072658165E-2</v>
      </c>
      <c r="AR119" s="4">
        <f t="shared" si="78"/>
        <v>1.6202243558389728E-2</v>
      </c>
    </row>
    <row r="120" spans="1:44" x14ac:dyDescent="0.25">
      <c r="A120" s="24" t="s">
        <v>25</v>
      </c>
      <c r="B120" s="60">
        <f>'Parameter Input'!B169</f>
        <v>-500000</v>
      </c>
      <c r="C120" s="61">
        <f>'Parameter Input'!C169</f>
        <v>-500000</v>
      </c>
      <c r="D120" s="1" t="s">
        <v>15</v>
      </c>
      <c r="L120" s="54">
        <f>'Parameter Input'!E169</f>
        <v>17</v>
      </c>
      <c r="M120" s="37">
        <v>0</v>
      </c>
      <c r="N120" s="37">
        <v>1</v>
      </c>
      <c r="O120" s="37">
        <f>'Parameter Input'!F169</f>
        <v>0.9</v>
      </c>
      <c r="P120" s="55">
        <f>'Parameter Input'!G169</f>
        <v>0.4</v>
      </c>
      <c r="Q120" s="4">
        <f t="shared" si="78"/>
        <v>0.99780374543478534</v>
      </c>
      <c r="R120" s="4">
        <f t="shared" si="78"/>
        <v>0.99685359315256394</v>
      </c>
      <c r="S120" s="4">
        <f t="shared" si="78"/>
        <v>0.99549347132349975</v>
      </c>
      <c r="T120" s="4">
        <f t="shared" si="78"/>
        <v>0.99354772139898062</v>
      </c>
      <c r="U120" s="4">
        <f t="shared" si="78"/>
        <v>0.99076681540580536</v>
      </c>
      <c r="V120" s="4">
        <f t="shared" si="78"/>
        <v>0.9867978615748374</v>
      </c>
      <c r="W120" s="4">
        <f t="shared" si="78"/>
        <v>0.98114509762858249</v>
      </c>
      <c r="X120" s="4">
        <f t="shared" si="78"/>
        <v>0.97311898315872036</v>
      </c>
      <c r="Y120" s="4">
        <f t="shared" si="78"/>
        <v>0.96177484161592774</v>
      </c>
      <c r="Z120" s="4">
        <f t="shared" si="78"/>
        <v>0.94584787155511363</v>
      </c>
      <c r="AA120" s="4">
        <f t="shared" si="78"/>
        <v>0.92370360150141495</v>
      </c>
      <c r="AB120" s="4">
        <f t="shared" si="78"/>
        <v>0.89334463567658451</v>
      </c>
      <c r="AC120" s="4">
        <f t="shared" si="78"/>
        <v>0.85254543874327005</v>
      </c>
      <c r="AD120" s="4">
        <f t="shared" si="78"/>
        <v>0.79921300652623883</v>
      </c>
      <c r="AE120" s="4">
        <f t="shared" si="78"/>
        <v>0.73204982249993378</v>
      </c>
      <c r="AF120" s="4">
        <f t="shared" si="78"/>
        <v>0.65145592958786691</v>
      </c>
      <c r="AG120" s="4">
        <f t="shared" si="78"/>
        <v>0.56032247880849573</v>
      </c>
      <c r="AH120" s="4">
        <f t="shared" si="78"/>
        <v>0.46411326873185343</v>
      </c>
      <c r="AI120" s="4">
        <f t="shared" si="78"/>
        <v>0.36979727595523937</v>
      </c>
      <c r="AJ120" s="4">
        <f t="shared" si="78"/>
        <v>0.28393948637231203</v>
      </c>
      <c r="AK120" s="4">
        <f t="shared" si="78"/>
        <v>0.21097259161117732</v>
      </c>
      <c r="AL120" s="4">
        <f t="shared" si="78"/>
        <v>0.15253917653798199</v>
      </c>
      <c r="AM120" s="4">
        <f t="shared" si="78"/>
        <v>0.10795188737709993</v>
      </c>
      <c r="AN120" s="4">
        <f t="shared" si="78"/>
        <v>7.5176653938091809E-2</v>
      </c>
      <c r="AO120" s="4">
        <f t="shared" si="78"/>
        <v>5.1742836177502194E-2</v>
      </c>
      <c r="AP120" s="4">
        <f t="shared" si="78"/>
        <v>3.5319190625345942E-2</v>
      </c>
      <c r="AQ120" s="4">
        <f t="shared" si="78"/>
        <v>2.3969442072658165E-2</v>
      </c>
      <c r="AR120" s="4">
        <f t="shared" si="78"/>
        <v>1.6202243558389728E-2</v>
      </c>
    </row>
    <row r="121" spans="1:44" x14ac:dyDescent="0.25">
      <c r="A121" s="24" t="s">
        <v>79</v>
      </c>
      <c r="B121" s="92">
        <f>'Parameter Input'!$L$188</f>
        <v>0.06</v>
      </c>
      <c r="C121" s="91">
        <f>'Parameter Input'!$M$188</f>
        <v>0.06</v>
      </c>
      <c r="D121" s="1" t="s">
        <v>57</v>
      </c>
      <c r="L121" s="54">
        <f>'Parameter Input'!$O$188</f>
        <v>17</v>
      </c>
      <c r="M121" s="37">
        <v>0</v>
      </c>
      <c r="N121" s="37">
        <v>1</v>
      </c>
      <c r="O121" s="37">
        <f>'Parameter Input'!$P$188</f>
        <v>0.9</v>
      </c>
      <c r="P121" s="55">
        <f>'Parameter Input'!$Q$188</f>
        <v>0.4</v>
      </c>
      <c r="Q121" s="4">
        <f t="shared" si="78"/>
        <v>0.99780374543478534</v>
      </c>
      <c r="R121" s="4">
        <f t="shared" si="78"/>
        <v>0.99685359315256394</v>
      </c>
      <c r="S121" s="4">
        <f t="shared" si="78"/>
        <v>0.99549347132349975</v>
      </c>
      <c r="T121" s="4">
        <f t="shared" si="78"/>
        <v>0.99354772139898062</v>
      </c>
      <c r="U121" s="4">
        <f t="shared" si="78"/>
        <v>0.99076681540580536</v>
      </c>
      <c r="V121" s="4">
        <f t="shared" si="78"/>
        <v>0.9867978615748374</v>
      </c>
      <c r="W121" s="4">
        <f t="shared" si="78"/>
        <v>0.98114509762858249</v>
      </c>
      <c r="X121" s="4">
        <f t="shared" si="78"/>
        <v>0.97311898315872036</v>
      </c>
      <c r="Y121" s="4">
        <f t="shared" si="78"/>
        <v>0.96177484161592774</v>
      </c>
      <c r="Z121" s="4">
        <f t="shared" si="78"/>
        <v>0.94584787155511363</v>
      </c>
      <c r="AA121" s="4">
        <f t="shared" si="78"/>
        <v>0.92370360150141495</v>
      </c>
      <c r="AB121" s="4">
        <f t="shared" si="78"/>
        <v>0.89334463567658451</v>
      </c>
      <c r="AC121" s="4">
        <f t="shared" si="78"/>
        <v>0.85254543874327005</v>
      </c>
      <c r="AD121" s="4">
        <f t="shared" si="78"/>
        <v>0.79921300652623883</v>
      </c>
      <c r="AE121" s="4">
        <f t="shared" si="78"/>
        <v>0.73204982249993378</v>
      </c>
      <c r="AF121" s="4">
        <f t="shared" si="78"/>
        <v>0.65145592958786691</v>
      </c>
      <c r="AG121" s="4">
        <f t="shared" si="78"/>
        <v>0.56032247880849573</v>
      </c>
      <c r="AH121" s="4">
        <f t="shared" si="78"/>
        <v>0.46411326873185343</v>
      </c>
      <c r="AI121" s="4">
        <f t="shared" si="78"/>
        <v>0.36979727595523937</v>
      </c>
      <c r="AJ121" s="4">
        <f t="shared" si="78"/>
        <v>0.28393948637231203</v>
      </c>
      <c r="AK121" s="4">
        <f t="shared" si="78"/>
        <v>0.21097259161117732</v>
      </c>
      <c r="AL121" s="4">
        <f t="shared" si="78"/>
        <v>0.15253917653798199</v>
      </c>
      <c r="AM121" s="4">
        <f t="shared" si="78"/>
        <v>0.10795188737709993</v>
      </c>
      <c r="AN121" s="4">
        <f t="shared" si="78"/>
        <v>7.5176653938091809E-2</v>
      </c>
      <c r="AO121" s="4">
        <f t="shared" si="78"/>
        <v>5.1742836177502194E-2</v>
      </c>
      <c r="AP121" s="4">
        <f t="shared" si="78"/>
        <v>3.5319190625345942E-2</v>
      </c>
      <c r="AQ121" s="4">
        <f t="shared" si="78"/>
        <v>2.3969442072658165E-2</v>
      </c>
      <c r="AR121" s="4">
        <f t="shared" si="78"/>
        <v>1.6202243558389728E-2</v>
      </c>
    </row>
    <row r="122" spans="1:44" x14ac:dyDescent="0.25">
      <c r="A122" s="24" t="s">
        <v>37</v>
      </c>
      <c r="B122" s="60">
        <f>'Parameter Input'!B170</f>
        <v>1208235.294117647</v>
      </c>
      <c r="C122" s="61">
        <f>'Parameter Input'!C170</f>
        <v>1208235.294117647</v>
      </c>
      <c r="D122" s="1" t="s">
        <v>38</v>
      </c>
      <c r="L122" s="54">
        <f>'Parameter Input'!E170</f>
        <v>17</v>
      </c>
      <c r="M122" s="37">
        <v>0</v>
      </c>
      <c r="N122" s="37">
        <v>1</v>
      </c>
      <c r="O122" s="37">
        <f>'Parameter Input'!F170</f>
        <v>0.9</v>
      </c>
      <c r="P122" s="55">
        <f>'Parameter Input'!G170</f>
        <v>0.4</v>
      </c>
      <c r="Q122" s="4">
        <f t="shared" si="78"/>
        <v>0.99780374543478534</v>
      </c>
      <c r="R122" s="4">
        <f t="shared" si="78"/>
        <v>0.99685359315256394</v>
      </c>
      <c r="S122" s="4">
        <f t="shared" si="78"/>
        <v>0.99549347132349975</v>
      </c>
      <c r="T122" s="4">
        <f t="shared" si="78"/>
        <v>0.99354772139898062</v>
      </c>
      <c r="U122" s="4">
        <f t="shared" si="78"/>
        <v>0.99076681540580536</v>
      </c>
      <c r="V122" s="4">
        <f t="shared" si="78"/>
        <v>0.9867978615748374</v>
      </c>
      <c r="W122" s="4">
        <f t="shared" si="78"/>
        <v>0.98114509762858249</v>
      </c>
      <c r="X122" s="4">
        <f t="shared" si="78"/>
        <v>0.97311898315872036</v>
      </c>
      <c r="Y122" s="4">
        <f t="shared" si="78"/>
        <v>0.96177484161592774</v>
      </c>
      <c r="Z122" s="4">
        <f t="shared" si="78"/>
        <v>0.94584787155511363</v>
      </c>
      <c r="AA122" s="4">
        <f t="shared" si="78"/>
        <v>0.92370360150141495</v>
      </c>
      <c r="AB122" s="4">
        <f t="shared" si="78"/>
        <v>0.89334463567658451</v>
      </c>
      <c r="AC122" s="4">
        <f t="shared" si="78"/>
        <v>0.85254543874327005</v>
      </c>
      <c r="AD122" s="4">
        <f t="shared" si="78"/>
        <v>0.79921300652623883</v>
      </c>
      <c r="AE122" s="4">
        <f t="shared" si="78"/>
        <v>0.73204982249993378</v>
      </c>
      <c r="AF122" s="4">
        <f t="shared" si="78"/>
        <v>0.65145592958786691</v>
      </c>
      <c r="AG122" s="4">
        <f t="shared" si="78"/>
        <v>0.56032247880849573</v>
      </c>
      <c r="AH122" s="4">
        <f t="shared" si="78"/>
        <v>0.46411326873185343</v>
      </c>
      <c r="AI122" s="4">
        <f t="shared" si="78"/>
        <v>0.36979727595523937</v>
      </c>
      <c r="AJ122" s="4">
        <f t="shared" si="78"/>
        <v>0.28393948637231203</v>
      </c>
      <c r="AK122" s="4">
        <f t="shared" si="78"/>
        <v>0.21097259161117732</v>
      </c>
      <c r="AL122" s="4">
        <f t="shared" si="78"/>
        <v>0.15253917653798199</v>
      </c>
      <c r="AM122" s="4">
        <f t="shared" si="78"/>
        <v>0.10795188737709993</v>
      </c>
      <c r="AN122" s="4">
        <f t="shared" si="78"/>
        <v>7.5176653938091809E-2</v>
      </c>
      <c r="AO122" s="4">
        <f t="shared" si="78"/>
        <v>5.1742836177502194E-2</v>
      </c>
      <c r="AP122" s="4">
        <f t="shared" si="78"/>
        <v>3.5319190625345942E-2</v>
      </c>
      <c r="AQ122" s="4">
        <f t="shared" si="78"/>
        <v>2.3969442072658165E-2</v>
      </c>
      <c r="AR122" s="4">
        <f t="shared" si="78"/>
        <v>1.6202243558389728E-2</v>
      </c>
    </row>
    <row r="123" spans="1:44" x14ac:dyDescent="0.25">
      <c r="A123" s="24" t="s">
        <v>52</v>
      </c>
      <c r="B123" s="60">
        <f>'Parameter Input'!$L$184</f>
        <v>338823.5294117647</v>
      </c>
      <c r="C123" s="61">
        <f>'Parameter Input'!$M$184</f>
        <v>338823.5294117647</v>
      </c>
      <c r="D123" s="1" t="s">
        <v>38</v>
      </c>
      <c r="L123" s="54">
        <f>'Parameter Input'!$O$184</f>
        <v>17</v>
      </c>
      <c r="M123" s="37">
        <v>0</v>
      </c>
      <c r="N123" s="37">
        <v>1</v>
      </c>
      <c r="O123" s="37">
        <f>'Parameter Input'!$P$184</f>
        <v>0.9</v>
      </c>
      <c r="P123" s="55">
        <f>'Parameter Input'!$Q$184</f>
        <v>0.4</v>
      </c>
      <c r="Q123" s="4">
        <f t="shared" si="78"/>
        <v>0.99780374543478534</v>
      </c>
      <c r="R123" s="4">
        <f t="shared" si="78"/>
        <v>0.99685359315256394</v>
      </c>
      <c r="S123" s="4">
        <f t="shared" si="78"/>
        <v>0.99549347132349975</v>
      </c>
      <c r="T123" s="4">
        <f t="shared" si="78"/>
        <v>0.99354772139898062</v>
      </c>
      <c r="U123" s="4">
        <f t="shared" si="78"/>
        <v>0.99076681540580536</v>
      </c>
      <c r="V123" s="4">
        <f t="shared" si="78"/>
        <v>0.9867978615748374</v>
      </c>
      <c r="W123" s="4">
        <f t="shared" si="78"/>
        <v>0.98114509762858249</v>
      </c>
      <c r="X123" s="4">
        <f t="shared" si="78"/>
        <v>0.97311898315872036</v>
      </c>
      <c r="Y123" s="4">
        <f t="shared" si="78"/>
        <v>0.96177484161592774</v>
      </c>
      <c r="Z123" s="4">
        <f t="shared" si="78"/>
        <v>0.94584787155511363</v>
      </c>
      <c r="AA123" s="4">
        <f t="shared" si="78"/>
        <v>0.92370360150141495</v>
      </c>
      <c r="AB123" s="4">
        <f t="shared" si="78"/>
        <v>0.89334463567658451</v>
      </c>
      <c r="AC123" s="4">
        <f t="shared" si="78"/>
        <v>0.85254543874327005</v>
      </c>
      <c r="AD123" s="4">
        <f t="shared" si="78"/>
        <v>0.79921300652623883</v>
      </c>
      <c r="AE123" s="4">
        <f t="shared" si="78"/>
        <v>0.73204982249993378</v>
      </c>
      <c r="AF123" s="4">
        <f t="shared" si="78"/>
        <v>0.65145592958786691</v>
      </c>
      <c r="AG123" s="4">
        <f t="shared" si="78"/>
        <v>0.56032247880849573</v>
      </c>
      <c r="AH123" s="4">
        <f t="shared" si="78"/>
        <v>0.46411326873185343</v>
      </c>
      <c r="AI123" s="4">
        <f t="shared" si="78"/>
        <v>0.36979727595523937</v>
      </c>
      <c r="AJ123" s="4">
        <f t="shared" si="78"/>
        <v>0.28393948637231203</v>
      </c>
      <c r="AK123" s="4">
        <f t="shared" si="78"/>
        <v>0.21097259161117732</v>
      </c>
      <c r="AL123" s="4">
        <f t="shared" si="78"/>
        <v>0.15253917653798199</v>
      </c>
      <c r="AM123" s="4">
        <f t="shared" si="78"/>
        <v>0.10795188737709993</v>
      </c>
      <c r="AN123" s="4">
        <f t="shared" si="78"/>
        <v>7.5176653938091809E-2</v>
      </c>
      <c r="AO123" s="4">
        <f t="shared" si="78"/>
        <v>5.1742836177502194E-2</v>
      </c>
      <c r="AP123" s="4">
        <f t="shared" si="78"/>
        <v>3.5319190625345942E-2</v>
      </c>
      <c r="AQ123" s="4">
        <f t="shared" si="78"/>
        <v>2.3969442072658165E-2</v>
      </c>
      <c r="AR123" s="4">
        <f t="shared" si="78"/>
        <v>1.6202243558389728E-2</v>
      </c>
    </row>
    <row r="124" spans="1:44" x14ac:dyDescent="0.25">
      <c r="A124" s="24" t="s">
        <v>272</v>
      </c>
      <c r="B124" s="92">
        <f>'Parameter Input'!B175</f>
        <v>1.6886890630966982</v>
      </c>
      <c r="C124" s="61">
        <f>'Parameter Input'!C175</f>
        <v>1.6886890630966982</v>
      </c>
      <c r="D124" s="1" t="s">
        <v>76</v>
      </c>
      <c r="L124" s="54">
        <f>'Parameter Input'!E175</f>
        <v>17</v>
      </c>
      <c r="M124" s="37">
        <v>0</v>
      </c>
      <c r="N124" s="37">
        <v>1</v>
      </c>
      <c r="O124" s="37">
        <f>'Parameter Input'!F175</f>
        <v>0.9</v>
      </c>
      <c r="P124" s="55">
        <f>'Parameter Input'!G175</f>
        <v>0.4</v>
      </c>
      <c r="Q124" s="4">
        <f t="shared" si="78"/>
        <v>0.99780374543478534</v>
      </c>
      <c r="R124" s="4">
        <f t="shared" si="78"/>
        <v>0.99685359315256394</v>
      </c>
      <c r="S124" s="4">
        <f t="shared" si="78"/>
        <v>0.99549347132349975</v>
      </c>
      <c r="T124" s="4">
        <f t="shared" si="78"/>
        <v>0.99354772139898062</v>
      </c>
      <c r="U124" s="4">
        <f t="shared" si="78"/>
        <v>0.99076681540580536</v>
      </c>
      <c r="V124" s="4">
        <f t="shared" si="78"/>
        <v>0.9867978615748374</v>
      </c>
      <c r="W124" s="4">
        <f t="shared" si="78"/>
        <v>0.98114509762858249</v>
      </c>
      <c r="X124" s="4">
        <f t="shared" si="78"/>
        <v>0.97311898315872036</v>
      </c>
      <c r="Y124" s="4">
        <f t="shared" si="78"/>
        <v>0.96177484161592774</v>
      </c>
      <c r="Z124" s="4">
        <f t="shared" si="78"/>
        <v>0.94584787155511363</v>
      </c>
      <c r="AA124" s="4">
        <f t="shared" si="78"/>
        <v>0.92370360150141495</v>
      </c>
      <c r="AB124" s="4">
        <f t="shared" si="78"/>
        <v>0.89334463567658451</v>
      </c>
      <c r="AC124" s="4">
        <f t="shared" si="78"/>
        <v>0.85254543874327005</v>
      </c>
      <c r="AD124" s="4">
        <f t="shared" si="78"/>
        <v>0.79921300652623883</v>
      </c>
      <c r="AE124" s="4">
        <f t="shared" si="78"/>
        <v>0.73204982249993378</v>
      </c>
      <c r="AF124" s="4">
        <f t="shared" si="78"/>
        <v>0.65145592958786691</v>
      </c>
      <c r="AG124" s="4">
        <f t="shared" si="78"/>
        <v>0.56032247880849573</v>
      </c>
      <c r="AH124" s="4">
        <f t="shared" si="78"/>
        <v>0.46411326873185343</v>
      </c>
      <c r="AI124" s="4">
        <f t="shared" si="78"/>
        <v>0.36979727595523937</v>
      </c>
      <c r="AJ124" s="4">
        <f t="shared" si="78"/>
        <v>0.28393948637231203</v>
      </c>
      <c r="AK124" s="4">
        <f t="shared" si="78"/>
        <v>0.21097259161117732</v>
      </c>
      <c r="AL124" s="4">
        <f t="shared" si="78"/>
        <v>0.15253917653798199</v>
      </c>
      <c r="AM124" s="4">
        <f t="shared" si="78"/>
        <v>0.10795188737709993</v>
      </c>
      <c r="AN124" s="4">
        <f t="shared" si="78"/>
        <v>7.5176653938091809E-2</v>
      </c>
      <c r="AO124" s="4">
        <f t="shared" si="78"/>
        <v>5.1742836177502194E-2</v>
      </c>
      <c r="AP124" s="4">
        <f t="shared" si="78"/>
        <v>3.5319190625345942E-2</v>
      </c>
      <c r="AQ124" s="4">
        <f t="shared" si="78"/>
        <v>2.3969442072658165E-2</v>
      </c>
      <c r="AR124" s="4">
        <f t="shared" si="78"/>
        <v>1.6202243558389728E-2</v>
      </c>
    </row>
    <row r="125" spans="1:44" x14ac:dyDescent="0.25">
      <c r="A125" s="24" t="s">
        <v>59</v>
      </c>
      <c r="B125" s="60">
        <f>'Parameter Input'!$L$185</f>
        <v>589</v>
      </c>
      <c r="C125" s="61">
        <f>'Parameter Input'!$M$185</f>
        <v>519</v>
      </c>
      <c r="D125" s="1" t="s">
        <v>60</v>
      </c>
      <c r="L125" s="54">
        <f>'Parameter Input'!$O$185</f>
        <v>17</v>
      </c>
      <c r="M125" s="37">
        <v>0</v>
      </c>
      <c r="N125" s="37">
        <v>1</v>
      </c>
      <c r="O125" s="37">
        <f>'Parameter Input'!$P$185</f>
        <v>0.9</v>
      </c>
      <c r="P125" s="55">
        <f>'Parameter Input'!$Q$185</f>
        <v>0.4</v>
      </c>
      <c r="Q125" s="4">
        <f t="shared" si="78"/>
        <v>0.99780374543478534</v>
      </c>
      <c r="R125" s="4">
        <f t="shared" si="78"/>
        <v>0.99685359315256394</v>
      </c>
      <c r="S125" s="4">
        <f t="shared" si="78"/>
        <v>0.99549347132349975</v>
      </c>
      <c r="T125" s="4">
        <f t="shared" si="78"/>
        <v>0.99354772139898062</v>
      </c>
      <c r="U125" s="4">
        <f t="shared" si="78"/>
        <v>0.99076681540580536</v>
      </c>
      <c r="V125" s="4">
        <f t="shared" si="78"/>
        <v>0.9867978615748374</v>
      </c>
      <c r="W125" s="4">
        <f t="shared" si="78"/>
        <v>0.98114509762858249</v>
      </c>
      <c r="X125" s="4">
        <f t="shared" si="78"/>
        <v>0.97311898315872036</v>
      </c>
      <c r="Y125" s="4">
        <f t="shared" si="78"/>
        <v>0.96177484161592774</v>
      </c>
      <c r="Z125" s="4">
        <f t="shared" si="78"/>
        <v>0.94584787155511363</v>
      </c>
      <c r="AA125" s="4">
        <f t="shared" si="78"/>
        <v>0.92370360150141495</v>
      </c>
      <c r="AB125" s="4">
        <f t="shared" si="78"/>
        <v>0.89334463567658451</v>
      </c>
      <c r="AC125" s="4">
        <f t="shared" si="78"/>
        <v>0.85254543874327005</v>
      </c>
      <c r="AD125" s="4">
        <f t="shared" si="78"/>
        <v>0.79921300652623883</v>
      </c>
      <c r="AE125" s="4">
        <f t="shared" si="78"/>
        <v>0.73204982249993378</v>
      </c>
      <c r="AF125" s="4">
        <f t="shared" si="78"/>
        <v>0.65145592958786691</v>
      </c>
      <c r="AG125" s="4">
        <f t="shared" si="78"/>
        <v>0.56032247880849573</v>
      </c>
      <c r="AH125" s="4">
        <f t="shared" si="78"/>
        <v>0.46411326873185343</v>
      </c>
      <c r="AI125" s="4">
        <f t="shared" si="78"/>
        <v>0.36979727595523937</v>
      </c>
      <c r="AJ125" s="4">
        <f t="shared" si="78"/>
        <v>0.28393948637231203</v>
      </c>
      <c r="AK125" s="4">
        <f t="shared" si="78"/>
        <v>0.21097259161117732</v>
      </c>
      <c r="AL125" s="4">
        <f t="shared" si="78"/>
        <v>0.15253917653798199</v>
      </c>
      <c r="AM125" s="4">
        <f t="shared" si="78"/>
        <v>0.10795188737709993</v>
      </c>
      <c r="AN125" s="4">
        <f t="shared" si="78"/>
        <v>7.5176653938091809E-2</v>
      </c>
      <c r="AO125" s="4">
        <f t="shared" si="78"/>
        <v>5.1742836177502194E-2</v>
      </c>
      <c r="AP125" s="4">
        <f t="shared" si="78"/>
        <v>3.5319190625345942E-2</v>
      </c>
      <c r="AQ125" s="4">
        <f t="shared" si="78"/>
        <v>2.3969442072658165E-2</v>
      </c>
      <c r="AR125" s="4">
        <f t="shared" si="78"/>
        <v>1.6202243558389728E-2</v>
      </c>
    </row>
    <row r="126" spans="1:44" x14ac:dyDescent="0.25">
      <c r="A126" s="24" t="s">
        <v>67</v>
      </c>
      <c r="B126" s="78">
        <f>'Parameter Input'!$L$186</f>
        <v>0.2544561408768215</v>
      </c>
      <c r="C126" s="61">
        <f>'Parameter Input'!$M$186</f>
        <v>0.10949010032952979</v>
      </c>
      <c r="D126" s="1" t="s">
        <v>68</v>
      </c>
      <c r="L126" s="54">
        <f>'Parameter Input'!$O$186</f>
        <v>12</v>
      </c>
      <c r="M126" s="37">
        <v>0</v>
      </c>
      <c r="N126" s="37">
        <v>1</v>
      </c>
      <c r="O126" s="37">
        <f>'Parameter Input'!$P$186</f>
        <v>0.9</v>
      </c>
      <c r="P126" s="55">
        <f>'Parameter Input'!$Q$186</f>
        <v>0.4</v>
      </c>
      <c r="Q126" s="4">
        <f t="shared" si="78"/>
        <v>0.9867978615748374</v>
      </c>
      <c r="R126" s="4">
        <f t="shared" si="78"/>
        <v>0.98114509762858249</v>
      </c>
      <c r="S126" s="4">
        <f t="shared" si="78"/>
        <v>0.97311898315872036</v>
      </c>
      <c r="T126" s="4">
        <f t="shared" ref="T126:AI133" si="79">$N126+($M126-$N126)*((1/(1+EXP(-$P126*(T$9-$L126)))^$O126))</f>
        <v>0.96177484161592774</v>
      </c>
      <c r="U126" s="4">
        <f t="shared" si="79"/>
        <v>0.94584787155511363</v>
      </c>
      <c r="V126" s="4">
        <f t="shared" si="79"/>
        <v>0.92370360150141495</v>
      </c>
      <c r="W126" s="4">
        <f t="shared" si="79"/>
        <v>0.89334463567658451</v>
      </c>
      <c r="X126" s="4">
        <f t="shared" si="79"/>
        <v>0.85254543874327005</v>
      </c>
      <c r="Y126" s="4">
        <f t="shared" si="79"/>
        <v>0.79921300652623883</v>
      </c>
      <c r="Z126" s="4">
        <f t="shared" si="79"/>
        <v>0.73204982249993378</v>
      </c>
      <c r="AA126" s="4">
        <f t="shared" si="79"/>
        <v>0.65145592958786691</v>
      </c>
      <c r="AB126" s="4">
        <f t="shared" si="79"/>
        <v>0.56032247880849573</v>
      </c>
      <c r="AC126" s="4">
        <f t="shared" si="79"/>
        <v>0.46411326873185343</v>
      </c>
      <c r="AD126" s="4">
        <f t="shared" si="79"/>
        <v>0.36979727595523937</v>
      </c>
      <c r="AE126" s="4">
        <f t="shared" si="79"/>
        <v>0.28393948637231203</v>
      </c>
      <c r="AF126" s="4">
        <f t="shared" si="79"/>
        <v>0.21097259161117732</v>
      </c>
      <c r="AG126" s="4">
        <f t="shared" si="79"/>
        <v>0.15253917653798199</v>
      </c>
      <c r="AH126" s="4">
        <f t="shared" si="79"/>
        <v>0.10795188737709993</v>
      </c>
      <c r="AI126" s="4">
        <f t="shared" si="79"/>
        <v>7.5176653938091809E-2</v>
      </c>
      <c r="AJ126" s="4">
        <f t="shared" ref="AJ126:AR133" si="80">$N126+($M126-$N126)*((1/(1+EXP(-$P126*(AJ$9-$L126)))^$O126))</f>
        <v>5.1742836177502194E-2</v>
      </c>
      <c r="AK126" s="4">
        <f t="shared" si="80"/>
        <v>3.5319190625345942E-2</v>
      </c>
      <c r="AL126" s="4">
        <f t="shared" si="80"/>
        <v>2.3969442072658165E-2</v>
      </c>
      <c r="AM126" s="4">
        <f t="shared" si="80"/>
        <v>1.6202243558389728E-2</v>
      </c>
      <c r="AN126" s="4">
        <f t="shared" si="80"/>
        <v>1.0922240564108399E-2</v>
      </c>
      <c r="AO126" s="4">
        <f t="shared" si="80"/>
        <v>7.3493212906090566E-3</v>
      </c>
      <c r="AP126" s="4">
        <f t="shared" si="80"/>
        <v>4.9390262185057265E-3</v>
      </c>
      <c r="AQ126" s="4">
        <f t="shared" si="80"/>
        <v>3.3164275492956197E-3</v>
      </c>
      <c r="AR126" s="4">
        <f t="shared" si="80"/>
        <v>2.2256362146679809E-3</v>
      </c>
    </row>
    <row r="127" spans="1:44" x14ac:dyDescent="0.25">
      <c r="A127" s="24" t="s">
        <v>206</v>
      </c>
      <c r="B127" s="115">
        <f>'Parameter Input'!$L$189</f>
        <v>2.4449056603773585</v>
      </c>
      <c r="C127" s="116">
        <f>'Parameter Input'!$M$189</f>
        <v>0</v>
      </c>
      <c r="D127" s="1" t="s">
        <v>76</v>
      </c>
      <c r="L127" s="54">
        <f>'Parameter Input'!$O$189</f>
        <v>17</v>
      </c>
      <c r="M127" s="37">
        <v>0</v>
      </c>
      <c r="N127" s="37">
        <v>1</v>
      </c>
      <c r="O127" s="37">
        <f>'Parameter Input'!$P$189</f>
        <v>0.9</v>
      </c>
      <c r="P127" s="55">
        <f>'Parameter Input'!$Q$189</f>
        <v>0.4</v>
      </c>
      <c r="Q127" s="4">
        <f t="shared" ref="Q127:AR127" si="81">$N127+($M127-$N127)*((1/(1+EXP(-$P127*(Q$9-$L127)))^$O127))</f>
        <v>0.99780374543478534</v>
      </c>
      <c r="R127" s="4">
        <f t="shared" si="81"/>
        <v>0.99685359315256394</v>
      </c>
      <c r="S127" s="4">
        <f t="shared" si="81"/>
        <v>0.99549347132349975</v>
      </c>
      <c r="T127" s="4">
        <f t="shared" si="81"/>
        <v>0.99354772139898062</v>
      </c>
      <c r="U127" s="4">
        <f t="shared" si="81"/>
        <v>0.99076681540580536</v>
      </c>
      <c r="V127" s="4">
        <f t="shared" si="81"/>
        <v>0.9867978615748374</v>
      </c>
      <c r="W127" s="4">
        <f t="shared" si="81"/>
        <v>0.98114509762858249</v>
      </c>
      <c r="X127" s="4">
        <f t="shared" si="81"/>
        <v>0.97311898315872036</v>
      </c>
      <c r="Y127" s="4">
        <f t="shared" si="81"/>
        <v>0.96177484161592774</v>
      </c>
      <c r="Z127" s="4">
        <f t="shared" si="81"/>
        <v>0.94584787155511363</v>
      </c>
      <c r="AA127" s="4">
        <f t="shared" si="81"/>
        <v>0.92370360150141495</v>
      </c>
      <c r="AB127" s="4">
        <f t="shared" si="81"/>
        <v>0.89334463567658451</v>
      </c>
      <c r="AC127" s="4">
        <f t="shared" si="81"/>
        <v>0.85254543874327005</v>
      </c>
      <c r="AD127" s="4">
        <f t="shared" si="81"/>
        <v>0.79921300652623883</v>
      </c>
      <c r="AE127" s="4">
        <f t="shared" si="81"/>
        <v>0.73204982249993378</v>
      </c>
      <c r="AF127" s="4">
        <f t="shared" si="81"/>
        <v>0.65145592958786691</v>
      </c>
      <c r="AG127" s="4">
        <f t="shared" si="81"/>
        <v>0.56032247880849573</v>
      </c>
      <c r="AH127" s="4">
        <f t="shared" si="81"/>
        <v>0.46411326873185343</v>
      </c>
      <c r="AI127" s="4">
        <f t="shared" si="81"/>
        <v>0.36979727595523937</v>
      </c>
      <c r="AJ127" s="4">
        <f t="shared" si="81"/>
        <v>0.28393948637231203</v>
      </c>
      <c r="AK127" s="4">
        <f t="shared" si="81"/>
        <v>0.21097259161117732</v>
      </c>
      <c r="AL127" s="4">
        <f t="shared" si="81"/>
        <v>0.15253917653798199</v>
      </c>
      <c r="AM127" s="4">
        <f t="shared" si="81"/>
        <v>0.10795188737709993</v>
      </c>
      <c r="AN127" s="4">
        <f t="shared" si="81"/>
        <v>7.5176653938091809E-2</v>
      </c>
      <c r="AO127" s="4">
        <f t="shared" si="81"/>
        <v>5.1742836177502194E-2</v>
      </c>
      <c r="AP127" s="4">
        <f t="shared" si="81"/>
        <v>3.5319190625345942E-2</v>
      </c>
      <c r="AQ127" s="4">
        <f t="shared" si="81"/>
        <v>2.3969442072658165E-2</v>
      </c>
      <c r="AR127" s="4">
        <f t="shared" si="81"/>
        <v>1.6202243558389728E-2</v>
      </c>
    </row>
    <row r="128" spans="1:44" x14ac:dyDescent="0.25">
      <c r="A128" s="24" t="s">
        <v>41</v>
      </c>
      <c r="B128" s="60">
        <f>'Parameter Input'!$L$183</f>
        <v>25</v>
      </c>
      <c r="C128" s="61">
        <f>'Parameter Input'!$M$183</f>
        <v>25</v>
      </c>
      <c r="D128" s="1" t="s">
        <v>42</v>
      </c>
      <c r="L128" s="54">
        <f>'Parameter Input'!$O$183</f>
        <v>17</v>
      </c>
      <c r="M128" s="37">
        <v>0</v>
      </c>
      <c r="N128" s="37">
        <v>1</v>
      </c>
      <c r="O128" s="37">
        <f>'Parameter Input'!$P$183</f>
        <v>0.9</v>
      </c>
      <c r="P128" s="55">
        <f>'Parameter Input'!$Q$183</f>
        <v>0.4</v>
      </c>
      <c r="Q128" s="4">
        <f t="shared" ref="Q128:AF133" si="82">$N128+($M128-$N128)*((1/(1+EXP(-$P128*(Q$9-$L128)))^$O128))</f>
        <v>0.99780374543478534</v>
      </c>
      <c r="R128" s="4">
        <f t="shared" si="82"/>
        <v>0.99685359315256394</v>
      </c>
      <c r="S128" s="4">
        <f t="shared" si="82"/>
        <v>0.99549347132349975</v>
      </c>
      <c r="T128" s="4">
        <f t="shared" si="82"/>
        <v>0.99354772139898062</v>
      </c>
      <c r="U128" s="4">
        <f t="shared" si="82"/>
        <v>0.99076681540580536</v>
      </c>
      <c r="V128" s="4">
        <f t="shared" si="82"/>
        <v>0.9867978615748374</v>
      </c>
      <c r="W128" s="4">
        <f t="shared" si="82"/>
        <v>0.98114509762858249</v>
      </c>
      <c r="X128" s="4">
        <f t="shared" si="82"/>
        <v>0.97311898315872036</v>
      </c>
      <c r="Y128" s="4">
        <f t="shared" si="82"/>
        <v>0.96177484161592774</v>
      </c>
      <c r="Z128" s="4">
        <f t="shared" si="82"/>
        <v>0.94584787155511363</v>
      </c>
      <c r="AA128" s="4">
        <f t="shared" si="82"/>
        <v>0.92370360150141495</v>
      </c>
      <c r="AB128" s="4">
        <f t="shared" si="82"/>
        <v>0.89334463567658451</v>
      </c>
      <c r="AC128" s="4">
        <f t="shared" si="82"/>
        <v>0.85254543874327005</v>
      </c>
      <c r="AD128" s="4">
        <f t="shared" si="82"/>
        <v>0.79921300652623883</v>
      </c>
      <c r="AE128" s="4">
        <f t="shared" si="82"/>
        <v>0.73204982249993378</v>
      </c>
      <c r="AF128" s="4">
        <f t="shared" si="82"/>
        <v>0.65145592958786691</v>
      </c>
      <c r="AG128" s="4">
        <f t="shared" si="79"/>
        <v>0.56032247880849573</v>
      </c>
      <c r="AH128" s="4">
        <f t="shared" si="79"/>
        <v>0.46411326873185343</v>
      </c>
      <c r="AI128" s="4">
        <f t="shared" si="79"/>
        <v>0.36979727595523937</v>
      </c>
      <c r="AJ128" s="4">
        <f t="shared" si="80"/>
        <v>0.28393948637231203</v>
      </c>
      <c r="AK128" s="4">
        <f t="shared" si="80"/>
        <v>0.21097259161117732</v>
      </c>
      <c r="AL128" s="4">
        <f t="shared" si="80"/>
        <v>0.15253917653798199</v>
      </c>
      <c r="AM128" s="4">
        <f t="shared" si="80"/>
        <v>0.10795188737709993</v>
      </c>
      <c r="AN128" s="4">
        <f t="shared" si="80"/>
        <v>7.5176653938091809E-2</v>
      </c>
      <c r="AO128" s="4">
        <f t="shared" si="80"/>
        <v>5.1742836177502194E-2</v>
      </c>
      <c r="AP128" s="4">
        <f t="shared" si="80"/>
        <v>3.5319190625345942E-2</v>
      </c>
      <c r="AQ128" s="4">
        <f t="shared" si="80"/>
        <v>2.3969442072658165E-2</v>
      </c>
      <c r="AR128" s="4">
        <f t="shared" si="80"/>
        <v>1.6202243558389728E-2</v>
      </c>
    </row>
    <row r="129" spans="1:44" x14ac:dyDescent="0.25">
      <c r="A129" s="24" t="s">
        <v>70</v>
      </c>
      <c r="B129" s="60">
        <f>'Parameter Input'!B174</f>
        <v>25</v>
      </c>
      <c r="C129" s="61">
        <f>'Parameter Input'!C174</f>
        <v>25</v>
      </c>
      <c r="D129" s="1" t="s">
        <v>42</v>
      </c>
      <c r="L129" s="54">
        <f>'Parameter Input'!E174</f>
        <v>17</v>
      </c>
      <c r="M129" s="37">
        <v>0</v>
      </c>
      <c r="N129" s="37">
        <v>1</v>
      </c>
      <c r="O129" s="37">
        <f>'Parameter Input'!F174</f>
        <v>0.9</v>
      </c>
      <c r="P129" s="55">
        <f>'Parameter Input'!G174</f>
        <v>0.4</v>
      </c>
      <c r="Q129" s="4">
        <f t="shared" si="82"/>
        <v>0.99780374543478534</v>
      </c>
      <c r="R129" s="4">
        <f t="shared" si="82"/>
        <v>0.99685359315256394</v>
      </c>
      <c r="S129" s="4">
        <f t="shared" si="82"/>
        <v>0.99549347132349975</v>
      </c>
      <c r="T129" s="4">
        <f t="shared" si="82"/>
        <v>0.99354772139898062</v>
      </c>
      <c r="U129" s="4">
        <f t="shared" si="82"/>
        <v>0.99076681540580536</v>
      </c>
      <c r="V129" s="4">
        <f t="shared" si="82"/>
        <v>0.9867978615748374</v>
      </c>
      <c r="W129" s="4">
        <f t="shared" si="82"/>
        <v>0.98114509762858249</v>
      </c>
      <c r="X129" s="4">
        <f t="shared" si="82"/>
        <v>0.97311898315872036</v>
      </c>
      <c r="Y129" s="4">
        <f t="shared" si="82"/>
        <v>0.96177484161592774</v>
      </c>
      <c r="Z129" s="4">
        <f t="shared" si="82"/>
        <v>0.94584787155511363</v>
      </c>
      <c r="AA129" s="4">
        <f t="shared" si="82"/>
        <v>0.92370360150141495</v>
      </c>
      <c r="AB129" s="4">
        <f t="shared" si="82"/>
        <v>0.89334463567658451</v>
      </c>
      <c r="AC129" s="4">
        <f t="shared" si="82"/>
        <v>0.85254543874327005</v>
      </c>
      <c r="AD129" s="4">
        <f t="shared" si="82"/>
        <v>0.79921300652623883</v>
      </c>
      <c r="AE129" s="4">
        <f t="shared" si="82"/>
        <v>0.73204982249993378</v>
      </c>
      <c r="AF129" s="4">
        <f t="shared" si="82"/>
        <v>0.65145592958786691</v>
      </c>
      <c r="AG129" s="4">
        <f t="shared" si="79"/>
        <v>0.56032247880849573</v>
      </c>
      <c r="AH129" s="4">
        <f t="shared" si="79"/>
        <v>0.46411326873185343</v>
      </c>
      <c r="AI129" s="4">
        <f t="shared" si="79"/>
        <v>0.36979727595523937</v>
      </c>
      <c r="AJ129" s="4">
        <f t="shared" si="80"/>
        <v>0.28393948637231203</v>
      </c>
      <c r="AK129" s="4">
        <f t="shared" si="80"/>
        <v>0.21097259161117732</v>
      </c>
      <c r="AL129" s="4">
        <f t="shared" si="80"/>
        <v>0.15253917653798199</v>
      </c>
      <c r="AM129" s="4">
        <f t="shared" si="80"/>
        <v>0.10795188737709993</v>
      </c>
      <c r="AN129" s="4">
        <f t="shared" si="80"/>
        <v>7.5176653938091809E-2</v>
      </c>
      <c r="AO129" s="4">
        <f t="shared" si="80"/>
        <v>5.1742836177502194E-2</v>
      </c>
      <c r="AP129" s="4">
        <f t="shared" si="80"/>
        <v>3.5319190625345942E-2</v>
      </c>
      <c r="AQ129" s="4">
        <f t="shared" si="80"/>
        <v>2.3969442072658165E-2</v>
      </c>
      <c r="AR129" s="4">
        <f t="shared" si="80"/>
        <v>1.6202243558389728E-2</v>
      </c>
    </row>
    <row r="130" spans="1:44" x14ac:dyDescent="0.25">
      <c r="A130" s="24" t="s">
        <v>207</v>
      </c>
      <c r="B130" s="43">
        <f>'Parameter Input'!B171</f>
        <v>9450</v>
      </c>
      <c r="C130" s="44">
        <f>'Parameter Input'!C171</f>
        <v>9450</v>
      </c>
      <c r="D130" s="1" t="s">
        <v>49</v>
      </c>
      <c r="L130" s="54">
        <f>'Parameter Input'!E171</f>
        <v>17</v>
      </c>
      <c r="M130" s="37">
        <v>0</v>
      </c>
      <c r="N130" s="37">
        <v>1</v>
      </c>
      <c r="O130" s="37">
        <f>'Parameter Input'!F171</f>
        <v>0.9</v>
      </c>
      <c r="P130" s="55">
        <f>'Parameter Input'!G171</f>
        <v>0.4</v>
      </c>
      <c r="Q130" s="4">
        <f t="shared" si="82"/>
        <v>0.99780374543478534</v>
      </c>
      <c r="R130" s="4">
        <f t="shared" si="82"/>
        <v>0.99685359315256394</v>
      </c>
      <c r="S130" s="4">
        <f t="shared" si="82"/>
        <v>0.99549347132349975</v>
      </c>
      <c r="T130" s="4">
        <f t="shared" si="82"/>
        <v>0.99354772139898062</v>
      </c>
      <c r="U130" s="4">
        <f t="shared" si="82"/>
        <v>0.99076681540580536</v>
      </c>
      <c r="V130" s="4">
        <f t="shared" si="82"/>
        <v>0.9867978615748374</v>
      </c>
      <c r="W130" s="4">
        <f t="shared" si="82"/>
        <v>0.98114509762858249</v>
      </c>
      <c r="X130" s="4">
        <f t="shared" si="82"/>
        <v>0.97311898315872036</v>
      </c>
      <c r="Y130" s="4">
        <f t="shared" si="82"/>
        <v>0.96177484161592774</v>
      </c>
      <c r="Z130" s="4">
        <f t="shared" si="82"/>
        <v>0.94584787155511363</v>
      </c>
      <c r="AA130" s="4">
        <f t="shared" si="82"/>
        <v>0.92370360150141495</v>
      </c>
      <c r="AB130" s="4">
        <f t="shared" si="82"/>
        <v>0.89334463567658451</v>
      </c>
      <c r="AC130" s="4">
        <f t="shared" si="82"/>
        <v>0.85254543874327005</v>
      </c>
      <c r="AD130" s="4">
        <f t="shared" si="82"/>
        <v>0.79921300652623883</v>
      </c>
      <c r="AE130" s="4">
        <f t="shared" si="82"/>
        <v>0.73204982249993378</v>
      </c>
      <c r="AF130" s="4">
        <f t="shared" si="82"/>
        <v>0.65145592958786691</v>
      </c>
      <c r="AG130" s="4">
        <f t="shared" si="79"/>
        <v>0.56032247880849573</v>
      </c>
      <c r="AH130" s="4">
        <f t="shared" si="79"/>
        <v>0.46411326873185343</v>
      </c>
      <c r="AI130" s="4">
        <f t="shared" si="79"/>
        <v>0.36979727595523937</v>
      </c>
      <c r="AJ130" s="4">
        <f t="shared" si="80"/>
        <v>0.28393948637231203</v>
      </c>
      <c r="AK130" s="4">
        <f t="shared" si="80"/>
        <v>0.21097259161117732</v>
      </c>
      <c r="AL130" s="4">
        <f t="shared" si="80"/>
        <v>0.15253917653798199</v>
      </c>
      <c r="AM130" s="4">
        <f t="shared" si="80"/>
        <v>0.10795188737709993</v>
      </c>
      <c r="AN130" s="4">
        <f t="shared" si="80"/>
        <v>7.5176653938091809E-2</v>
      </c>
      <c r="AO130" s="4">
        <f t="shared" si="80"/>
        <v>5.1742836177502194E-2</v>
      </c>
      <c r="AP130" s="4">
        <f t="shared" si="80"/>
        <v>3.5319190625345942E-2</v>
      </c>
      <c r="AQ130" s="4">
        <f t="shared" si="80"/>
        <v>2.3969442072658165E-2</v>
      </c>
      <c r="AR130" s="4">
        <f t="shared" si="80"/>
        <v>1.6202243558389728E-2</v>
      </c>
    </row>
    <row r="131" spans="1:44" x14ac:dyDescent="0.25">
      <c r="A131" s="24" t="s">
        <v>56</v>
      </c>
      <c r="B131" s="45">
        <f>'Parameter Input'!B172</f>
        <v>0.57333333333333336</v>
      </c>
      <c r="C131" s="46">
        <f>'Parameter Input'!C172</f>
        <v>0.57333333333333336</v>
      </c>
      <c r="D131" s="1" t="s">
        <v>57</v>
      </c>
      <c r="L131" s="54">
        <f>'Parameter Input'!E172</f>
        <v>17</v>
      </c>
      <c r="M131" s="37">
        <v>0</v>
      </c>
      <c r="N131" s="37">
        <v>1</v>
      </c>
      <c r="O131" s="37">
        <f>'Parameter Input'!F172</f>
        <v>0.9</v>
      </c>
      <c r="P131" s="55">
        <f>'Parameter Input'!G172</f>
        <v>0.4</v>
      </c>
      <c r="Q131" s="4">
        <f t="shared" si="82"/>
        <v>0.99780374543478534</v>
      </c>
      <c r="R131" s="4">
        <f t="shared" si="82"/>
        <v>0.99685359315256394</v>
      </c>
      <c r="S131" s="4">
        <f t="shared" si="82"/>
        <v>0.99549347132349975</v>
      </c>
      <c r="T131" s="4">
        <f t="shared" si="82"/>
        <v>0.99354772139898062</v>
      </c>
      <c r="U131" s="4">
        <f t="shared" si="82"/>
        <v>0.99076681540580536</v>
      </c>
      <c r="V131" s="4">
        <f t="shared" si="82"/>
        <v>0.9867978615748374</v>
      </c>
      <c r="W131" s="4">
        <f t="shared" si="82"/>
        <v>0.98114509762858249</v>
      </c>
      <c r="X131" s="4">
        <f t="shared" si="82"/>
        <v>0.97311898315872036</v>
      </c>
      <c r="Y131" s="4">
        <f t="shared" si="82"/>
        <v>0.96177484161592774</v>
      </c>
      <c r="Z131" s="4">
        <f t="shared" si="82"/>
        <v>0.94584787155511363</v>
      </c>
      <c r="AA131" s="4">
        <f t="shared" si="82"/>
        <v>0.92370360150141495</v>
      </c>
      <c r="AB131" s="4">
        <f t="shared" si="82"/>
        <v>0.89334463567658451</v>
      </c>
      <c r="AC131" s="4">
        <f t="shared" si="82"/>
        <v>0.85254543874327005</v>
      </c>
      <c r="AD131" s="4">
        <f t="shared" si="82"/>
        <v>0.79921300652623883</v>
      </c>
      <c r="AE131" s="4">
        <f t="shared" si="82"/>
        <v>0.73204982249993378</v>
      </c>
      <c r="AF131" s="4">
        <f t="shared" si="82"/>
        <v>0.65145592958786691</v>
      </c>
      <c r="AG131" s="4">
        <f t="shared" si="79"/>
        <v>0.56032247880849573</v>
      </c>
      <c r="AH131" s="4">
        <f t="shared" si="79"/>
        <v>0.46411326873185343</v>
      </c>
      <c r="AI131" s="4">
        <f t="shared" si="79"/>
        <v>0.36979727595523937</v>
      </c>
      <c r="AJ131" s="4">
        <f t="shared" si="80"/>
        <v>0.28393948637231203</v>
      </c>
      <c r="AK131" s="4">
        <f t="shared" si="80"/>
        <v>0.21097259161117732</v>
      </c>
      <c r="AL131" s="4">
        <f t="shared" si="80"/>
        <v>0.15253917653798199</v>
      </c>
      <c r="AM131" s="4">
        <f t="shared" si="80"/>
        <v>0.10795188737709993</v>
      </c>
      <c r="AN131" s="4">
        <f t="shared" si="80"/>
        <v>7.5176653938091809E-2</v>
      </c>
      <c r="AO131" s="4">
        <f t="shared" si="80"/>
        <v>5.1742836177502194E-2</v>
      </c>
      <c r="AP131" s="4">
        <f t="shared" si="80"/>
        <v>3.5319190625345942E-2</v>
      </c>
      <c r="AQ131" s="4">
        <f t="shared" si="80"/>
        <v>2.3969442072658165E-2</v>
      </c>
      <c r="AR131" s="4">
        <f t="shared" si="80"/>
        <v>1.6202243558389728E-2</v>
      </c>
    </row>
    <row r="132" spans="1:44" x14ac:dyDescent="0.25">
      <c r="A132" s="24" t="s">
        <v>73</v>
      </c>
      <c r="B132" s="45">
        <f>'Parameter Input'!$L$187</f>
        <v>0.1</v>
      </c>
      <c r="C132" s="46">
        <f>'Parameter Input'!$M$187</f>
        <v>0.08</v>
      </c>
      <c r="D132" s="1" t="s">
        <v>57</v>
      </c>
      <c r="L132" s="54">
        <f>'Parameter Input'!$O$187</f>
        <v>17</v>
      </c>
      <c r="M132" s="37">
        <v>0</v>
      </c>
      <c r="N132" s="37">
        <v>1</v>
      </c>
      <c r="O132" s="37">
        <f>'Parameter Input'!$P$187</f>
        <v>0.9</v>
      </c>
      <c r="P132" s="55">
        <f>'Parameter Input'!$Q$187</f>
        <v>0.4</v>
      </c>
      <c r="Q132" s="4">
        <f t="shared" si="82"/>
        <v>0.99780374543478534</v>
      </c>
      <c r="R132" s="4">
        <f t="shared" si="82"/>
        <v>0.99685359315256394</v>
      </c>
      <c r="S132" s="4">
        <f t="shared" si="82"/>
        <v>0.99549347132349975</v>
      </c>
      <c r="T132" s="4">
        <f t="shared" si="82"/>
        <v>0.99354772139898062</v>
      </c>
      <c r="U132" s="4">
        <f t="shared" si="82"/>
        <v>0.99076681540580536</v>
      </c>
      <c r="V132" s="4">
        <f t="shared" si="82"/>
        <v>0.9867978615748374</v>
      </c>
      <c r="W132" s="4">
        <f t="shared" si="82"/>
        <v>0.98114509762858249</v>
      </c>
      <c r="X132" s="4">
        <f t="shared" si="82"/>
        <v>0.97311898315872036</v>
      </c>
      <c r="Y132" s="4">
        <f t="shared" si="82"/>
        <v>0.96177484161592774</v>
      </c>
      <c r="Z132" s="4">
        <f t="shared" si="82"/>
        <v>0.94584787155511363</v>
      </c>
      <c r="AA132" s="4">
        <f t="shared" si="82"/>
        <v>0.92370360150141495</v>
      </c>
      <c r="AB132" s="4">
        <f t="shared" si="82"/>
        <v>0.89334463567658451</v>
      </c>
      <c r="AC132" s="4">
        <f t="shared" si="82"/>
        <v>0.85254543874327005</v>
      </c>
      <c r="AD132" s="4">
        <f t="shared" si="82"/>
        <v>0.79921300652623883</v>
      </c>
      <c r="AE132" s="4">
        <f t="shared" si="82"/>
        <v>0.73204982249993378</v>
      </c>
      <c r="AF132" s="4">
        <f t="shared" si="82"/>
        <v>0.65145592958786691</v>
      </c>
      <c r="AG132" s="4">
        <f t="shared" si="79"/>
        <v>0.56032247880849573</v>
      </c>
      <c r="AH132" s="4">
        <f t="shared" si="79"/>
        <v>0.46411326873185343</v>
      </c>
      <c r="AI132" s="4">
        <f t="shared" si="79"/>
        <v>0.36979727595523937</v>
      </c>
      <c r="AJ132" s="4">
        <f t="shared" si="80"/>
        <v>0.28393948637231203</v>
      </c>
      <c r="AK132" s="4">
        <f t="shared" si="80"/>
        <v>0.21097259161117732</v>
      </c>
      <c r="AL132" s="4">
        <f t="shared" si="80"/>
        <v>0.15253917653798199</v>
      </c>
      <c r="AM132" s="4">
        <f t="shared" si="80"/>
        <v>0.10795188737709993</v>
      </c>
      <c r="AN132" s="4">
        <f t="shared" si="80"/>
        <v>7.5176653938091809E-2</v>
      </c>
      <c r="AO132" s="4">
        <f t="shared" si="80"/>
        <v>5.1742836177502194E-2</v>
      </c>
      <c r="AP132" s="4">
        <f t="shared" si="80"/>
        <v>3.5319190625345942E-2</v>
      </c>
      <c r="AQ132" s="4">
        <f t="shared" si="80"/>
        <v>2.3969442072658165E-2</v>
      </c>
      <c r="AR132" s="4">
        <f t="shared" si="80"/>
        <v>1.6202243558389728E-2</v>
      </c>
    </row>
    <row r="133" spans="1:44" ht="15.75" thickBot="1" x14ac:dyDescent="0.3">
      <c r="A133" s="24" t="s">
        <v>64</v>
      </c>
      <c r="B133" s="49">
        <f>'Parameter Input'!B173</f>
        <v>120000</v>
      </c>
      <c r="C133" s="50">
        <f>'Parameter Input'!C173</f>
        <v>120000</v>
      </c>
      <c r="D133" s="1" t="s">
        <v>65</v>
      </c>
      <c r="L133" s="56">
        <f>'Parameter Input'!E173</f>
        <v>17</v>
      </c>
      <c r="M133" s="57">
        <v>0</v>
      </c>
      <c r="N133" s="57">
        <v>1</v>
      </c>
      <c r="O133" s="57">
        <f>'Parameter Input'!F173</f>
        <v>0.9</v>
      </c>
      <c r="P133" s="58">
        <f>'Parameter Input'!G173</f>
        <v>0.4</v>
      </c>
      <c r="Q133" s="4">
        <f t="shared" si="82"/>
        <v>0.99780374543478534</v>
      </c>
      <c r="R133" s="4">
        <f t="shared" si="82"/>
        <v>0.99685359315256394</v>
      </c>
      <c r="S133" s="4">
        <f t="shared" si="82"/>
        <v>0.99549347132349975</v>
      </c>
      <c r="T133" s="4">
        <f t="shared" si="82"/>
        <v>0.99354772139898062</v>
      </c>
      <c r="U133" s="4">
        <f t="shared" si="82"/>
        <v>0.99076681540580536</v>
      </c>
      <c r="V133" s="4">
        <f t="shared" si="82"/>
        <v>0.9867978615748374</v>
      </c>
      <c r="W133" s="4">
        <f t="shared" si="82"/>
        <v>0.98114509762858249</v>
      </c>
      <c r="X133" s="4">
        <f t="shared" si="82"/>
        <v>0.97311898315872036</v>
      </c>
      <c r="Y133" s="4">
        <f t="shared" si="82"/>
        <v>0.96177484161592774</v>
      </c>
      <c r="Z133" s="4">
        <f t="shared" si="82"/>
        <v>0.94584787155511363</v>
      </c>
      <c r="AA133" s="4">
        <f t="shared" si="82"/>
        <v>0.92370360150141495</v>
      </c>
      <c r="AB133" s="4">
        <f t="shared" si="82"/>
        <v>0.89334463567658451</v>
      </c>
      <c r="AC133" s="4">
        <f t="shared" si="82"/>
        <v>0.85254543874327005</v>
      </c>
      <c r="AD133" s="4">
        <f t="shared" si="82"/>
        <v>0.79921300652623883</v>
      </c>
      <c r="AE133" s="4">
        <f t="shared" si="82"/>
        <v>0.73204982249993378</v>
      </c>
      <c r="AF133" s="4">
        <f t="shared" si="82"/>
        <v>0.65145592958786691</v>
      </c>
      <c r="AG133" s="4">
        <f t="shared" si="79"/>
        <v>0.56032247880849573</v>
      </c>
      <c r="AH133" s="4">
        <f t="shared" si="79"/>
        <v>0.46411326873185343</v>
      </c>
      <c r="AI133" s="4">
        <f t="shared" si="79"/>
        <v>0.36979727595523937</v>
      </c>
      <c r="AJ133" s="4">
        <f t="shared" si="80"/>
        <v>0.28393948637231203</v>
      </c>
      <c r="AK133" s="4">
        <f t="shared" si="80"/>
        <v>0.21097259161117732</v>
      </c>
      <c r="AL133" s="4">
        <f t="shared" si="80"/>
        <v>0.15253917653798199</v>
      </c>
      <c r="AM133" s="4">
        <f t="shared" si="80"/>
        <v>0.10795188737709993</v>
      </c>
      <c r="AN133" s="4">
        <f t="shared" si="80"/>
        <v>7.5176653938091809E-2</v>
      </c>
      <c r="AO133" s="4">
        <f t="shared" si="80"/>
        <v>5.1742836177502194E-2</v>
      </c>
      <c r="AP133" s="4">
        <f t="shared" si="80"/>
        <v>3.5319190625345942E-2</v>
      </c>
      <c r="AQ133" s="4">
        <f t="shared" si="80"/>
        <v>2.3969442072658165E-2</v>
      </c>
      <c r="AR133" s="4">
        <f t="shared" si="80"/>
        <v>1.6202243558389728E-2</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83">A117</f>
        <v>Capex vehicle</v>
      </c>
      <c r="B137" s="62">
        <f t="shared" ref="B137:B146" si="84">$B117+($C117-$B117)*(1-Q117)</f>
        <v>29976939.327065244</v>
      </c>
      <c r="C137" s="62">
        <f t="shared" ref="C137:C146" si="85">$B117+($C117-$B117)*(1-R117)</f>
        <v>29966962.72810192</v>
      </c>
      <c r="D137" s="62">
        <f t="shared" ref="D137:D146" si="86">$B117+($C117-$B117)*(1-S117)</f>
        <v>29952681.448896747</v>
      </c>
      <c r="E137" s="62">
        <f t="shared" ref="E137:E146" si="87">$B117+($C117-$B117)*(1-T117)</f>
        <v>29932251.074689295</v>
      </c>
      <c r="F137" s="62">
        <f t="shared" ref="F137:F146" si="88">$B117+($C117-$B117)*(1-U117)</f>
        <v>29903051.561760955</v>
      </c>
      <c r="G137" s="62">
        <f t="shared" ref="G137:G146" si="89">$B117+($C117-$B117)*(1-V117)</f>
        <v>29861377.546535794</v>
      </c>
      <c r="H137" s="62">
        <f t="shared" ref="H137:H146" si="90">$B117+($C117-$B117)*(1-W117)</f>
        <v>29802023.525100116</v>
      </c>
      <c r="I137" s="62">
        <f t="shared" ref="I137:I146" si="91">$B117+($C117-$B117)*(1-X117)</f>
        <v>29717749.323166564</v>
      </c>
      <c r="J137" s="62">
        <f t="shared" ref="J137:J146" si="92">$B117+($C117-$B117)*(1-Y117)</f>
        <v>29598635.836967241</v>
      </c>
      <c r="K137" s="62">
        <f t="shared" ref="K137:K146" si="93">$B117+($C117-$B117)*(1-Z117)</f>
        <v>29431402.651328694</v>
      </c>
      <c r="L137" s="62">
        <f t="shared" ref="L137:L146" si="94">$B117+($C117-$B117)*(1-AA117)</f>
        <v>29198887.815764856</v>
      </c>
      <c r="M137" s="62">
        <f t="shared" ref="M137:M146" si="95">$B117+($C117-$B117)*(1-AB117)</f>
        <v>28880118.674604136</v>
      </c>
      <c r="N137" s="62">
        <f t="shared" ref="N137:N146" si="96">$B117+($C117-$B117)*(1-AC117)</f>
        <v>28451727.106804334</v>
      </c>
      <c r="O137" s="62">
        <f t="shared" ref="O137:O146" si="97">$B117+($C117-$B117)*(1-AD117)</f>
        <v>27891736.568525508</v>
      </c>
      <c r="P137" s="62">
        <f t="shared" ref="P137:P146" si="98">$B117+($C117-$B117)*(1-AE117)</f>
        <v>27186523.136249304</v>
      </c>
      <c r="Q137" s="62">
        <f t="shared" ref="Q137:Q146" si="99">$B117+($C117-$B117)*(1-AF117)</f>
        <v>26340287.260672603</v>
      </c>
      <c r="R137" s="62">
        <f t="shared" ref="R137:R146" si="100">$B117+($C117-$B117)*(1-AG117)</f>
        <v>25383386.027489204</v>
      </c>
      <c r="S137" s="62">
        <f t="shared" ref="S137:S146" si="101">$B117+($C117-$B117)*(1-AH117)</f>
        <v>24373189.321684461</v>
      </c>
      <c r="T137" s="62">
        <f t="shared" ref="T137:T146" si="102">$B117+($C117-$B117)*(1-AI117)</f>
        <v>23382871.397530012</v>
      </c>
      <c r="U137" s="62">
        <f t="shared" ref="U137:U146" si="103">$B117+($C117-$B117)*(1-AJ117)</f>
        <v>22481364.606909275</v>
      </c>
      <c r="V137" s="62">
        <f t="shared" ref="V137:V146" si="104">$B117+($C117-$B117)*(1-AK117)</f>
        <v>21715212.211917363</v>
      </c>
      <c r="W137" s="62">
        <f t="shared" ref="W137:W146" si="105">$B117+($C117-$B117)*(1-AL117)</f>
        <v>21101661.353648812</v>
      </c>
      <c r="X137" s="62">
        <f t="shared" ref="X137:X146" si="106">$B117+($C117-$B117)*(1-AM117)</f>
        <v>20633494.81745955</v>
      </c>
      <c r="Y137" s="62">
        <f t="shared" ref="Y137:Y146" si="107">$B117+($C117-$B117)*(1-AN117)</f>
        <v>20289354.866349965</v>
      </c>
      <c r="Z137" s="62">
        <f t="shared" ref="Z137:Z146" si="108">$B117+($C117-$B117)*(1-AO117)</f>
        <v>20043299.779863775</v>
      </c>
      <c r="AA137" s="62">
        <f t="shared" ref="AA137:AA146" si="109">$B117+($C117-$B117)*(1-AP117)</f>
        <v>19870851.501566134</v>
      </c>
      <c r="AB137" s="62">
        <f t="shared" ref="AB137:AB146" si="110">$B117+($C117-$B117)*(1-AQ117)</f>
        <v>19751679.141762912</v>
      </c>
      <c r="AC137" s="62">
        <f t="shared" ref="AC137:AC146" si="111">$B117+($C117-$B117)*(1-AR117)</f>
        <v>19670123.557363093</v>
      </c>
    </row>
    <row r="138" spans="1:44" x14ac:dyDescent="0.25">
      <c r="A138" s="30" t="str">
        <f t="shared" si="83"/>
        <v>Residual value (vehicle)</v>
      </c>
      <c r="B138" s="62">
        <f t="shared" si="84"/>
        <v>-1500988.3145543465</v>
      </c>
      <c r="C138" s="62">
        <f t="shared" si="85"/>
        <v>-1501415.8830813463</v>
      </c>
      <c r="D138" s="62">
        <f t="shared" si="86"/>
        <v>-1502027.9379044252</v>
      </c>
      <c r="E138" s="62">
        <f t="shared" si="87"/>
        <v>-1502903.5253704586</v>
      </c>
      <c r="F138" s="62">
        <f t="shared" si="88"/>
        <v>-1504154.9330673877</v>
      </c>
      <c r="G138" s="62">
        <f t="shared" si="89"/>
        <v>-1505940.9622913231</v>
      </c>
      <c r="H138" s="62">
        <f t="shared" si="90"/>
        <v>-1508484.7060671379</v>
      </c>
      <c r="I138" s="62">
        <f t="shared" si="91"/>
        <v>-1512096.4575785759</v>
      </c>
      <c r="J138" s="62">
        <f t="shared" si="92"/>
        <v>-1517201.3212728326</v>
      </c>
      <c r="K138" s="62">
        <f t="shared" si="93"/>
        <v>-1524368.4578001988</v>
      </c>
      <c r="L138" s="62">
        <f t="shared" si="94"/>
        <v>-1534333.3793243633</v>
      </c>
      <c r="M138" s="62">
        <f t="shared" si="95"/>
        <v>-1547994.9139455371</v>
      </c>
      <c r="N138" s="62">
        <f t="shared" si="96"/>
        <v>-1566354.5525655285</v>
      </c>
      <c r="O138" s="62">
        <f t="shared" si="97"/>
        <v>-1590354.1470631924</v>
      </c>
      <c r="P138" s="62">
        <f t="shared" si="98"/>
        <v>-1620577.5798750299</v>
      </c>
      <c r="Q138" s="62">
        <f t="shared" si="99"/>
        <v>-1656844.8316854599</v>
      </c>
      <c r="R138" s="62">
        <f t="shared" si="100"/>
        <v>-1697854.8845361769</v>
      </c>
      <c r="S138" s="62">
        <f t="shared" si="101"/>
        <v>-1741149.0290706661</v>
      </c>
      <c r="T138" s="62">
        <f t="shared" si="102"/>
        <v>-1783591.2258201423</v>
      </c>
      <c r="U138" s="62">
        <f t="shared" si="103"/>
        <v>-1822227.2311324596</v>
      </c>
      <c r="V138" s="62">
        <f t="shared" si="104"/>
        <v>-1855062.3337749701</v>
      </c>
      <c r="W138" s="62">
        <f t="shared" si="105"/>
        <v>-1881357.370557908</v>
      </c>
      <c r="X138" s="62">
        <f t="shared" si="106"/>
        <v>-1901421.650680305</v>
      </c>
      <c r="Y138" s="62">
        <f t="shared" si="107"/>
        <v>-1916170.5057278587</v>
      </c>
      <c r="Z138" s="62">
        <f t="shared" si="108"/>
        <v>-1926715.723720124</v>
      </c>
      <c r="AA138" s="62">
        <f t="shared" si="109"/>
        <v>-1934106.3642185943</v>
      </c>
      <c r="AB138" s="62">
        <f t="shared" si="110"/>
        <v>-1939213.7510673038</v>
      </c>
      <c r="AC138" s="62">
        <f t="shared" si="111"/>
        <v>-1942708.9903987246</v>
      </c>
    </row>
    <row r="139" spans="1:44" x14ac:dyDescent="0.25">
      <c r="A139" s="30" t="str">
        <f t="shared" si="83"/>
        <v>Capex costumization</v>
      </c>
      <c r="B139" s="62">
        <f t="shared" si="84"/>
        <v>5000000</v>
      </c>
      <c r="C139" s="62">
        <f t="shared" si="85"/>
        <v>5000000</v>
      </c>
      <c r="D139" s="62">
        <f t="shared" si="86"/>
        <v>5000000</v>
      </c>
      <c r="E139" s="62">
        <f t="shared" si="87"/>
        <v>5000000</v>
      </c>
      <c r="F139" s="62">
        <f t="shared" si="88"/>
        <v>5000000</v>
      </c>
      <c r="G139" s="62">
        <f t="shared" si="89"/>
        <v>5000000</v>
      </c>
      <c r="H139" s="62">
        <f t="shared" si="90"/>
        <v>5000000</v>
      </c>
      <c r="I139" s="62">
        <f t="shared" si="91"/>
        <v>5000000</v>
      </c>
      <c r="J139" s="62">
        <f t="shared" si="92"/>
        <v>5000000</v>
      </c>
      <c r="K139" s="62">
        <f t="shared" si="93"/>
        <v>5000000</v>
      </c>
      <c r="L139" s="62">
        <f t="shared" si="94"/>
        <v>5000000</v>
      </c>
      <c r="M139" s="62">
        <f t="shared" si="95"/>
        <v>5000000</v>
      </c>
      <c r="N139" s="62">
        <f t="shared" si="96"/>
        <v>5000000</v>
      </c>
      <c r="O139" s="62">
        <f t="shared" si="97"/>
        <v>5000000</v>
      </c>
      <c r="P139" s="62">
        <f t="shared" si="98"/>
        <v>5000000</v>
      </c>
      <c r="Q139" s="62">
        <f t="shared" si="99"/>
        <v>5000000</v>
      </c>
      <c r="R139" s="62">
        <f t="shared" si="100"/>
        <v>5000000</v>
      </c>
      <c r="S139" s="62">
        <f t="shared" si="101"/>
        <v>5000000</v>
      </c>
      <c r="T139" s="62">
        <f t="shared" si="102"/>
        <v>5000000</v>
      </c>
      <c r="U139" s="62">
        <f t="shared" si="103"/>
        <v>5000000</v>
      </c>
      <c r="V139" s="62">
        <f t="shared" si="104"/>
        <v>5000000</v>
      </c>
      <c r="W139" s="62">
        <f t="shared" si="105"/>
        <v>5000000</v>
      </c>
      <c r="X139" s="62">
        <f t="shared" si="106"/>
        <v>5000000</v>
      </c>
      <c r="Y139" s="62">
        <f t="shared" si="107"/>
        <v>5000000</v>
      </c>
      <c r="Z139" s="62">
        <f t="shared" si="108"/>
        <v>5000000</v>
      </c>
      <c r="AA139" s="62">
        <f t="shared" si="109"/>
        <v>5000000</v>
      </c>
      <c r="AB139" s="62">
        <f t="shared" si="110"/>
        <v>5000000</v>
      </c>
      <c r="AC139" s="62">
        <f t="shared" si="111"/>
        <v>5000000</v>
      </c>
    </row>
    <row r="140" spans="1:44" x14ac:dyDescent="0.25">
      <c r="A140" s="30" t="str">
        <f t="shared" si="83"/>
        <v>Residual value (costumization)</v>
      </c>
      <c r="B140" s="62">
        <f t="shared" si="84"/>
        <v>-500000</v>
      </c>
      <c r="C140" s="62">
        <f t="shared" si="85"/>
        <v>-500000</v>
      </c>
      <c r="D140" s="62">
        <f t="shared" si="86"/>
        <v>-500000</v>
      </c>
      <c r="E140" s="62">
        <f t="shared" si="87"/>
        <v>-500000</v>
      </c>
      <c r="F140" s="62">
        <f t="shared" si="88"/>
        <v>-500000</v>
      </c>
      <c r="G140" s="62">
        <f t="shared" si="89"/>
        <v>-500000</v>
      </c>
      <c r="H140" s="62">
        <f t="shared" si="90"/>
        <v>-500000</v>
      </c>
      <c r="I140" s="62">
        <f t="shared" si="91"/>
        <v>-500000</v>
      </c>
      <c r="J140" s="62">
        <f t="shared" si="92"/>
        <v>-500000</v>
      </c>
      <c r="K140" s="62">
        <f t="shared" si="93"/>
        <v>-500000</v>
      </c>
      <c r="L140" s="62">
        <f t="shared" si="94"/>
        <v>-500000</v>
      </c>
      <c r="M140" s="62">
        <f t="shared" si="95"/>
        <v>-500000</v>
      </c>
      <c r="N140" s="62">
        <f t="shared" si="96"/>
        <v>-500000</v>
      </c>
      <c r="O140" s="62">
        <f t="shared" si="97"/>
        <v>-500000</v>
      </c>
      <c r="P140" s="62">
        <f t="shared" si="98"/>
        <v>-500000</v>
      </c>
      <c r="Q140" s="62">
        <f t="shared" si="99"/>
        <v>-500000</v>
      </c>
      <c r="R140" s="62">
        <f t="shared" si="100"/>
        <v>-500000</v>
      </c>
      <c r="S140" s="62">
        <f t="shared" si="101"/>
        <v>-500000</v>
      </c>
      <c r="T140" s="62">
        <f t="shared" si="102"/>
        <v>-500000</v>
      </c>
      <c r="U140" s="62">
        <f t="shared" si="103"/>
        <v>-500000</v>
      </c>
      <c r="V140" s="62">
        <f t="shared" si="104"/>
        <v>-500000</v>
      </c>
      <c r="W140" s="62">
        <f t="shared" si="105"/>
        <v>-500000</v>
      </c>
      <c r="X140" s="62">
        <f t="shared" si="106"/>
        <v>-500000</v>
      </c>
      <c r="Y140" s="62">
        <f t="shared" si="107"/>
        <v>-500000</v>
      </c>
      <c r="Z140" s="62">
        <f t="shared" si="108"/>
        <v>-500000</v>
      </c>
      <c r="AA140" s="62">
        <f t="shared" si="109"/>
        <v>-500000</v>
      </c>
      <c r="AB140" s="62">
        <f t="shared" si="110"/>
        <v>-500000</v>
      </c>
      <c r="AC140" s="62">
        <f t="shared" si="111"/>
        <v>-500000</v>
      </c>
    </row>
    <row r="141" spans="1:44" x14ac:dyDescent="0.25">
      <c r="A141" s="30" t="str">
        <f t="shared" si="83"/>
        <v>WACC</v>
      </c>
      <c r="B141" s="62">
        <f t="shared" si="84"/>
        <v>0.06</v>
      </c>
      <c r="C141" s="62">
        <f t="shared" si="85"/>
        <v>0.06</v>
      </c>
      <c r="D141" s="62">
        <f t="shared" si="86"/>
        <v>0.06</v>
      </c>
      <c r="E141" s="62">
        <f t="shared" si="87"/>
        <v>0.06</v>
      </c>
      <c r="F141" s="62">
        <f t="shared" si="88"/>
        <v>0.06</v>
      </c>
      <c r="G141" s="62">
        <f t="shared" si="89"/>
        <v>0.06</v>
      </c>
      <c r="H141" s="62">
        <f t="shared" si="90"/>
        <v>0.06</v>
      </c>
      <c r="I141" s="62">
        <f t="shared" si="91"/>
        <v>0.06</v>
      </c>
      <c r="J141" s="62">
        <f t="shared" si="92"/>
        <v>0.06</v>
      </c>
      <c r="K141" s="62">
        <f t="shared" si="93"/>
        <v>0.06</v>
      </c>
      <c r="L141" s="62">
        <f t="shared" si="94"/>
        <v>0.06</v>
      </c>
      <c r="M141" s="62">
        <f t="shared" si="95"/>
        <v>0.06</v>
      </c>
      <c r="N141" s="62">
        <f t="shared" si="96"/>
        <v>0.06</v>
      </c>
      <c r="O141" s="62">
        <f t="shared" si="97"/>
        <v>0.06</v>
      </c>
      <c r="P141" s="62">
        <f t="shared" si="98"/>
        <v>0.06</v>
      </c>
      <c r="Q141" s="62">
        <f t="shared" si="99"/>
        <v>0.06</v>
      </c>
      <c r="R141" s="62">
        <f t="shared" si="100"/>
        <v>0.06</v>
      </c>
      <c r="S141" s="62">
        <f t="shared" si="101"/>
        <v>0.06</v>
      </c>
      <c r="T141" s="62">
        <f t="shared" si="102"/>
        <v>0.06</v>
      </c>
      <c r="U141" s="62">
        <f t="shared" si="103"/>
        <v>0.06</v>
      </c>
      <c r="V141" s="62">
        <f t="shared" si="104"/>
        <v>0.06</v>
      </c>
      <c r="W141" s="62">
        <f t="shared" si="105"/>
        <v>0.06</v>
      </c>
      <c r="X141" s="62">
        <f t="shared" si="106"/>
        <v>0.06</v>
      </c>
      <c r="Y141" s="62">
        <f t="shared" si="107"/>
        <v>0.06</v>
      </c>
      <c r="Z141" s="62">
        <f t="shared" si="108"/>
        <v>0.06</v>
      </c>
      <c r="AA141" s="62">
        <f t="shared" si="109"/>
        <v>0.06</v>
      </c>
      <c r="AB141" s="62">
        <f t="shared" si="110"/>
        <v>0.06</v>
      </c>
      <c r="AC141" s="62">
        <f t="shared" si="111"/>
        <v>0.06</v>
      </c>
    </row>
    <row r="142" spans="1:44" x14ac:dyDescent="0.25">
      <c r="A142" s="30" t="str">
        <f t="shared" si="83"/>
        <v>Opex fix (admin, crew, insurance)</v>
      </c>
      <c r="B142" s="62">
        <f t="shared" si="84"/>
        <v>1208235.294117647</v>
      </c>
      <c r="C142" s="62">
        <f t="shared" si="85"/>
        <v>1208235.294117647</v>
      </c>
      <c r="D142" s="62">
        <f t="shared" si="86"/>
        <v>1208235.294117647</v>
      </c>
      <c r="E142" s="62">
        <f t="shared" si="87"/>
        <v>1208235.294117647</v>
      </c>
      <c r="F142" s="62">
        <f t="shared" si="88"/>
        <v>1208235.294117647</v>
      </c>
      <c r="G142" s="62">
        <f t="shared" si="89"/>
        <v>1208235.294117647</v>
      </c>
      <c r="H142" s="62">
        <f t="shared" si="90"/>
        <v>1208235.294117647</v>
      </c>
      <c r="I142" s="62">
        <f t="shared" si="91"/>
        <v>1208235.294117647</v>
      </c>
      <c r="J142" s="62">
        <f t="shared" si="92"/>
        <v>1208235.294117647</v>
      </c>
      <c r="K142" s="62">
        <f t="shared" si="93"/>
        <v>1208235.294117647</v>
      </c>
      <c r="L142" s="62">
        <f t="shared" si="94"/>
        <v>1208235.294117647</v>
      </c>
      <c r="M142" s="62">
        <f t="shared" si="95"/>
        <v>1208235.294117647</v>
      </c>
      <c r="N142" s="62">
        <f t="shared" si="96"/>
        <v>1208235.294117647</v>
      </c>
      <c r="O142" s="62">
        <f t="shared" si="97"/>
        <v>1208235.294117647</v>
      </c>
      <c r="P142" s="62">
        <f t="shared" si="98"/>
        <v>1208235.294117647</v>
      </c>
      <c r="Q142" s="62">
        <f t="shared" si="99"/>
        <v>1208235.294117647</v>
      </c>
      <c r="R142" s="62">
        <f t="shared" si="100"/>
        <v>1208235.294117647</v>
      </c>
      <c r="S142" s="62">
        <f t="shared" si="101"/>
        <v>1208235.294117647</v>
      </c>
      <c r="T142" s="62">
        <f t="shared" si="102"/>
        <v>1208235.294117647</v>
      </c>
      <c r="U142" s="62">
        <f t="shared" si="103"/>
        <v>1208235.294117647</v>
      </c>
      <c r="V142" s="62">
        <f t="shared" si="104"/>
        <v>1208235.294117647</v>
      </c>
      <c r="W142" s="62">
        <f t="shared" si="105"/>
        <v>1208235.294117647</v>
      </c>
      <c r="X142" s="62">
        <f t="shared" si="106"/>
        <v>1208235.294117647</v>
      </c>
      <c r="Y142" s="62">
        <f t="shared" si="107"/>
        <v>1208235.294117647</v>
      </c>
      <c r="Z142" s="62">
        <f t="shared" si="108"/>
        <v>1208235.294117647</v>
      </c>
      <c r="AA142" s="62">
        <f t="shared" si="109"/>
        <v>1208235.294117647</v>
      </c>
      <c r="AB142" s="62">
        <f t="shared" si="110"/>
        <v>1208235.294117647</v>
      </c>
      <c r="AC142" s="62">
        <f t="shared" si="111"/>
        <v>1208235.294117647</v>
      </c>
    </row>
    <row r="143" spans="1:44" x14ac:dyDescent="0.25">
      <c r="A143" s="30" t="str">
        <f t="shared" si="83"/>
        <v>Opex maintenance &amp; repair</v>
      </c>
      <c r="B143" s="62">
        <f t="shared" si="84"/>
        <v>338823.5294117647</v>
      </c>
      <c r="C143" s="62">
        <f t="shared" si="85"/>
        <v>338823.5294117647</v>
      </c>
      <c r="D143" s="62">
        <f t="shared" si="86"/>
        <v>338823.5294117647</v>
      </c>
      <c r="E143" s="62">
        <f t="shared" si="87"/>
        <v>338823.5294117647</v>
      </c>
      <c r="F143" s="62">
        <f t="shared" si="88"/>
        <v>338823.5294117647</v>
      </c>
      <c r="G143" s="62">
        <f t="shared" si="89"/>
        <v>338823.5294117647</v>
      </c>
      <c r="H143" s="62">
        <f t="shared" si="90"/>
        <v>338823.5294117647</v>
      </c>
      <c r="I143" s="62">
        <f t="shared" si="91"/>
        <v>338823.5294117647</v>
      </c>
      <c r="J143" s="62">
        <f t="shared" si="92"/>
        <v>338823.5294117647</v>
      </c>
      <c r="K143" s="62">
        <f t="shared" si="93"/>
        <v>338823.5294117647</v>
      </c>
      <c r="L143" s="62">
        <f t="shared" si="94"/>
        <v>338823.5294117647</v>
      </c>
      <c r="M143" s="62">
        <f t="shared" si="95"/>
        <v>338823.5294117647</v>
      </c>
      <c r="N143" s="62">
        <f t="shared" si="96"/>
        <v>338823.5294117647</v>
      </c>
      <c r="O143" s="62">
        <f t="shared" si="97"/>
        <v>338823.5294117647</v>
      </c>
      <c r="P143" s="62">
        <f t="shared" si="98"/>
        <v>338823.5294117647</v>
      </c>
      <c r="Q143" s="62">
        <f t="shared" si="99"/>
        <v>338823.5294117647</v>
      </c>
      <c r="R143" s="62">
        <f t="shared" si="100"/>
        <v>338823.5294117647</v>
      </c>
      <c r="S143" s="62">
        <f t="shared" si="101"/>
        <v>338823.5294117647</v>
      </c>
      <c r="T143" s="62">
        <f t="shared" si="102"/>
        <v>338823.5294117647</v>
      </c>
      <c r="U143" s="62">
        <f t="shared" si="103"/>
        <v>338823.5294117647</v>
      </c>
      <c r="V143" s="62">
        <f t="shared" si="104"/>
        <v>338823.5294117647</v>
      </c>
      <c r="W143" s="62">
        <f t="shared" si="105"/>
        <v>338823.5294117647</v>
      </c>
      <c r="X143" s="62">
        <f t="shared" si="106"/>
        <v>338823.5294117647</v>
      </c>
      <c r="Y143" s="62">
        <f t="shared" si="107"/>
        <v>338823.5294117647</v>
      </c>
      <c r="Z143" s="62">
        <f t="shared" si="108"/>
        <v>338823.5294117647</v>
      </c>
      <c r="AA143" s="62">
        <f t="shared" si="109"/>
        <v>338823.5294117647</v>
      </c>
      <c r="AB143" s="62">
        <f t="shared" si="110"/>
        <v>338823.5294117647</v>
      </c>
      <c r="AC143" s="62">
        <f t="shared" si="111"/>
        <v>338823.5294117647</v>
      </c>
    </row>
    <row r="144" spans="1:44" x14ac:dyDescent="0.25">
      <c r="A144" s="30" t="str">
        <f t="shared" si="83"/>
        <v>Opex var (mode-fees)</v>
      </c>
      <c r="B144" s="62">
        <f t="shared" si="84"/>
        <v>1.6886890630966982</v>
      </c>
      <c r="C144" s="62">
        <f t="shared" si="85"/>
        <v>1.6886890630966982</v>
      </c>
      <c r="D144" s="62">
        <f t="shared" si="86"/>
        <v>1.6886890630966982</v>
      </c>
      <c r="E144" s="62">
        <f t="shared" si="87"/>
        <v>1.6886890630966982</v>
      </c>
      <c r="F144" s="62">
        <f t="shared" si="88"/>
        <v>1.6886890630966982</v>
      </c>
      <c r="G144" s="62">
        <f t="shared" si="89"/>
        <v>1.6886890630966982</v>
      </c>
      <c r="H144" s="62">
        <f t="shared" si="90"/>
        <v>1.6886890630966982</v>
      </c>
      <c r="I144" s="62">
        <f t="shared" si="91"/>
        <v>1.6886890630966982</v>
      </c>
      <c r="J144" s="62">
        <f t="shared" si="92"/>
        <v>1.6886890630966982</v>
      </c>
      <c r="K144" s="62">
        <f t="shared" si="93"/>
        <v>1.6886890630966982</v>
      </c>
      <c r="L144" s="62">
        <f t="shared" si="94"/>
        <v>1.6886890630966982</v>
      </c>
      <c r="M144" s="62">
        <f t="shared" si="95"/>
        <v>1.6886890630966982</v>
      </c>
      <c r="N144" s="62">
        <f t="shared" si="96"/>
        <v>1.6886890630966982</v>
      </c>
      <c r="O144" s="62">
        <f t="shared" si="97"/>
        <v>1.6886890630966982</v>
      </c>
      <c r="P144" s="62">
        <f t="shared" si="98"/>
        <v>1.6886890630966982</v>
      </c>
      <c r="Q144" s="62">
        <f t="shared" si="99"/>
        <v>1.6886890630966982</v>
      </c>
      <c r="R144" s="62">
        <f t="shared" si="100"/>
        <v>1.6886890630966982</v>
      </c>
      <c r="S144" s="62">
        <f t="shared" si="101"/>
        <v>1.6886890630966982</v>
      </c>
      <c r="T144" s="62">
        <f t="shared" si="102"/>
        <v>1.6886890630966982</v>
      </c>
      <c r="U144" s="62">
        <f t="shared" si="103"/>
        <v>1.6886890630966982</v>
      </c>
      <c r="V144" s="62">
        <f t="shared" si="104"/>
        <v>1.6886890630966982</v>
      </c>
      <c r="W144" s="62">
        <f t="shared" si="105"/>
        <v>1.6886890630966982</v>
      </c>
      <c r="X144" s="62">
        <f t="shared" si="106"/>
        <v>1.6886890630966982</v>
      </c>
      <c r="Y144" s="62">
        <f t="shared" si="107"/>
        <v>1.6886890630966982</v>
      </c>
      <c r="Z144" s="62">
        <f t="shared" si="108"/>
        <v>1.6886890630966982</v>
      </c>
      <c r="AA144" s="62">
        <f t="shared" si="109"/>
        <v>1.6886890630966982</v>
      </c>
      <c r="AB144" s="62">
        <f t="shared" si="110"/>
        <v>1.6886890630966982</v>
      </c>
      <c r="AC144" s="62">
        <f t="shared" si="111"/>
        <v>1.6886890630966982</v>
      </c>
    </row>
    <row r="145" spans="1:29" x14ac:dyDescent="0.25">
      <c r="A145" s="30" t="str">
        <f t="shared" si="83"/>
        <v>Fuel Economy</v>
      </c>
      <c r="B145" s="62">
        <f t="shared" si="84"/>
        <v>588.84626218043502</v>
      </c>
      <c r="C145" s="62">
        <f t="shared" si="85"/>
        <v>588.7797515206795</v>
      </c>
      <c r="D145" s="62">
        <f t="shared" si="86"/>
        <v>588.68454299264499</v>
      </c>
      <c r="E145" s="62">
        <f t="shared" si="87"/>
        <v>588.54834049792862</v>
      </c>
      <c r="F145" s="62">
        <f t="shared" si="88"/>
        <v>588.35367707840635</v>
      </c>
      <c r="G145" s="62">
        <f t="shared" si="89"/>
        <v>588.07585031023859</v>
      </c>
      <c r="H145" s="62">
        <f t="shared" si="90"/>
        <v>587.68015683400074</v>
      </c>
      <c r="I145" s="62">
        <f t="shared" si="91"/>
        <v>587.11832882111048</v>
      </c>
      <c r="J145" s="62">
        <f t="shared" si="92"/>
        <v>586.32423891311498</v>
      </c>
      <c r="K145" s="62">
        <f t="shared" si="93"/>
        <v>585.20935100885799</v>
      </c>
      <c r="L145" s="62">
        <f t="shared" si="94"/>
        <v>583.65925210509909</v>
      </c>
      <c r="M145" s="62">
        <f t="shared" si="95"/>
        <v>581.53412449736095</v>
      </c>
      <c r="N145" s="62">
        <f t="shared" si="96"/>
        <v>578.67818071202885</v>
      </c>
      <c r="O145" s="62">
        <f t="shared" si="97"/>
        <v>574.94491045683674</v>
      </c>
      <c r="P145" s="62">
        <f t="shared" si="98"/>
        <v>570.24348757499536</v>
      </c>
      <c r="Q145" s="62">
        <f t="shared" si="99"/>
        <v>564.60191507115064</v>
      </c>
      <c r="R145" s="62">
        <f t="shared" si="100"/>
        <v>558.22257351659471</v>
      </c>
      <c r="S145" s="62">
        <f t="shared" si="101"/>
        <v>551.48792881122972</v>
      </c>
      <c r="T145" s="62">
        <f t="shared" si="102"/>
        <v>544.8858093168667</v>
      </c>
      <c r="U145" s="62">
        <f t="shared" si="103"/>
        <v>538.87576404606182</v>
      </c>
      <c r="V145" s="62">
        <f t="shared" si="104"/>
        <v>533.76808141278241</v>
      </c>
      <c r="W145" s="62">
        <f t="shared" si="105"/>
        <v>529.67774235765876</v>
      </c>
      <c r="X145" s="62">
        <f t="shared" si="106"/>
        <v>526.55663211639694</v>
      </c>
      <c r="Y145" s="62">
        <f t="shared" si="107"/>
        <v>524.26236577566647</v>
      </c>
      <c r="Z145" s="62">
        <f t="shared" si="108"/>
        <v>522.6219985324251</v>
      </c>
      <c r="AA145" s="62">
        <f t="shared" si="109"/>
        <v>521.47234334377424</v>
      </c>
      <c r="AB145" s="62">
        <f t="shared" si="110"/>
        <v>520.67786094508608</v>
      </c>
      <c r="AC145" s="62">
        <f t="shared" si="111"/>
        <v>520.13415704908732</v>
      </c>
    </row>
    <row r="146" spans="1:29" x14ac:dyDescent="0.25">
      <c r="A146" s="30" t="str">
        <f t="shared" si="83"/>
        <v>Fuel Cost</v>
      </c>
      <c r="B146" s="62">
        <f t="shared" si="84"/>
        <v>0.25254227914256844</v>
      </c>
      <c r="C146" s="62">
        <f t="shared" si="85"/>
        <v>0.25172282033513138</v>
      </c>
      <c r="D146" s="62">
        <f t="shared" si="86"/>
        <v>0.25055930629945611</v>
      </c>
      <c r="E146" s="62">
        <f t="shared" si="87"/>
        <v>0.24891479101658942</v>
      </c>
      <c r="F146" s="62">
        <f t="shared" si="88"/>
        <v>0.24660592122895794</v>
      </c>
      <c r="G146" s="62">
        <f t="shared" si="89"/>
        <v>0.24339575407846328</v>
      </c>
      <c r="H146" s="62">
        <f t="shared" si="90"/>
        <v>0.23899473500772708</v>
      </c>
      <c r="I146" s="62">
        <f t="shared" si="91"/>
        <v>0.23308023697079527</v>
      </c>
      <c r="J146" s="62">
        <f t="shared" si="92"/>
        <v>0.22534884543953543</v>
      </c>
      <c r="K146" s="62">
        <f t="shared" si="93"/>
        <v>0.21561246458069289</v>
      </c>
      <c r="L146" s="62">
        <f t="shared" si="94"/>
        <v>0.20392908703293811</v>
      </c>
      <c r="M146" s="62">
        <f t="shared" si="95"/>
        <v>0.19071783151204119</v>
      </c>
      <c r="N146" s="62">
        <f t="shared" si="96"/>
        <v>0.17677076326304775</v>
      </c>
      <c r="O146" s="62">
        <f t="shared" si="97"/>
        <v>0.16309814722993504</v>
      </c>
      <c r="P146" s="62">
        <f t="shared" si="98"/>
        <v>0.15065168342395555</v>
      </c>
      <c r="Q146" s="62">
        <f t="shared" si="99"/>
        <v>0.14007396159940294</v>
      </c>
      <c r="R146" s="62">
        <f t="shared" si="100"/>
        <v>0.13160310078058535</v>
      </c>
      <c r="S146" s="62">
        <f t="shared" si="101"/>
        <v>0.12513945801219511</v>
      </c>
      <c r="T146" s="62">
        <f t="shared" si="102"/>
        <v>0.1203881621925289</v>
      </c>
      <c r="U146" s="62">
        <f t="shared" si="103"/>
        <v>0.11699105441686944</v>
      </c>
      <c r="V146" s="62">
        <f t="shared" si="104"/>
        <v>0.11461018354982119</v>
      </c>
      <c r="W146" s="62">
        <f t="shared" si="105"/>
        <v>0.11296485544093068</v>
      </c>
      <c r="X146" s="62">
        <f t="shared" si="106"/>
        <v>0.11183887542617238</v>
      </c>
      <c r="Y146" s="62">
        <f t="shared" si="107"/>
        <v>0.11107345429801357</v>
      </c>
      <c r="Z146" s="62">
        <f t="shared" si="108"/>
        <v>0.11055550233773928</v>
      </c>
      <c r="AA146" s="62">
        <f t="shared" si="109"/>
        <v>0.11020609140458582</v>
      </c>
      <c r="AB146" s="62">
        <f t="shared" si="110"/>
        <v>0.10997086970011311</v>
      </c>
      <c r="AC146" s="62">
        <f t="shared" si="111"/>
        <v>0.10981274199926885</v>
      </c>
    </row>
    <row r="147" spans="1:29" x14ac:dyDescent="0.25">
      <c r="A147" s="30" t="str">
        <f t="shared" ref="A147" si="112">A127</f>
        <v>Emission Cost</v>
      </c>
      <c r="B147" s="66">
        <f>$B127+($C127-$B127)*(1-Q127)</f>
        <v>2.4395360251592355</v>
      </c>
      <c r="C147" s="66">
        <f t="shared" ref="C147:AC147" si="113">$B127+($C127-$B127)*(1-R127)</f>
        <v>2.437212992466212</v>
      </c>
      <c r="D147" s="66">
        <f t="shared" si="113"/>
        <v>2.4338876229075299</v>
      </c>
      <c r="E147" s="66">
        <f t="shared" si="113"/>
        <v>2.4291304479033946</v>
      </c>
      <c r="F147" s="66">
        <f t="shared" si="113"/>
        <v>2.422331395099703</v>
      </c>
      <c r="G147" s="66">
        <f t="shared" si="113"/>
        <v>2.4126276774125932</v>
      </c>
      <c r="H147" s="66">
        <f t="shared" si="113"/>
        <v>2.3988072028436171</v>
      </c>
      <c r="I147" s="66">
        <f t="shared" si="113"/>
        <v>2.379184110145415</v>
      </c>
      <c r="J147" s="66">
        <f t="shared" si="113"/>
        <v>2.3514487542753191</v>
      </c>
      <c r="K147" s="66">
        <f t="shared" si="113"/>
        <v>2.3125088150209741</v>
      </c>
      <c r="L147" s="66">
        <f t="shared" si="113"/>
        <v>2.2583681638217614</v>
      </c>
      <c r="M147" s="66">
        <f t="shared" si="113"/>
        <v>2.1841433564334305</v>
      </c>
      <c r="N147" s="66">
        <f t="shared" si="113"/>
        <v>2.0843931689123196</v>
      </c>
      <c r="O147" s="66">
        <f t="shared" si="113"/>
        <v>1.9540004035032079</v>
      </c>
      <c r="P147" s="66">
        <f t="shared" si="113"/>
        <v>1.7897927547083285</v>
      </c>
      <c r="Q147" s="66">
        <f t="shared" si="113"/>
        <v>1.5927482897357697</v>
      </c>
      <c r="R147" s="66">
        <f t="shared" si="113"/>
        <v>1.3699356000755636</v>
      </c>
      <c r="S147" s="66">
        <f t="shared" si="113"/>
        <v>1.1347131577787466</v>
      </c>
      <c r="T147" s="66">
        <f t="shared" si="113"/>
        <v>0.90411945317509268</v>
      </c>
      <c r="U147" s="66">
        <f t="shared" si="113"/>
        <v>0.69420525743630557</v>
      </c>
      <c r="V147" s="66">
        <f t="shared" si="113"/>
        <v>0.51580808341464834</v>
      </c>
      <c r="W147" s="66">
        <f t="shared" si="113"/>
        <v>0.37294389614701329</v>
      </c>
      <c r="X147" s="66">
        <f t="shared" si="113"/>
        <v>0.26393218049669054</v>
      </c>
      <c r="Y147" s="66">
        <f t="shared" si="113"/>
        <v>0.18379982674147044</v>
      </c>
      <c r="Z147" s="66">
        <f t="shared" si="113"/>
        <v>0.12650635305435332</v>
      </c>
      <c r="AA147" s="66">
        <f t="shared" si="113"/>
        <v>8.6352089079855254E-2</v>
      </c>
      <c r="AB147" s="66">
        <f t="shared" si="113"/>
        <v>5.8603024599529263E-2</v>
      </c>
      <c r="AC147" s="66">
        <f t="shared" si="113"/>
        <v>3.9612956986719627E-2</v>
      </c>
    </row>
    <row r="148" spans="1:29" x14ac:dyDescent="0.25">
      <c r="A148" s="30" t="str">
        <f>A128</f>
        <v>Lifetime vehicle</v>
      </c>
      <c r="B148" s="62">
        <f>$B128+($C128-$B128)*(1-Q128)</f>
        <v>25</v>
      </c>
      <c r="C148" s="62">
        <f t="shared" ref="C148:L150" si="114">$B128+($C128-$B128)*(1-R128)</f>
        <v>25</v>
      </c>
      <c r="D148" s="62">
        <f t="shared" si="114"/>
        <v>25</v>
      </c>
      <c r="E148" s="62">
        <f t="shared" si="114"/>
        <v>25</v>
      </c>
      <c r="F148" s="62">
        <f t="shared" si="114"/>
        <v>25</v>
      </c>
      <c r="G148" s="62">
        <f t="shared" si="114"/>
        <v>25</v>
      </c>
      <c r="H148" s="62">
        <f t="shared" si="114"/>
        <v>25</v>
      </c>
      <c r="I148" s="62">
        <f t="shared" si="114"/>
        <v>25</v>
      </c>
      <c r="J148" s="62">
        <f t="shared" si="114"/>
        <v>25</v>
      </c>
      <c r="K148" s="62">
        <f t="shared" si="114"/>
        <v>25</v>
      </c>
      <c r="L148" s="62">
        <f t="shared" si="114"/>
        <v>25</v>
      </c>
      <c r="M148" s="62">
        <f t="shared" ref="M148:V150" si="115">$B128+($C128-$B128)*(1-AB128)</f>
        <v>25</v>
      </c>
      <c r="N148" s="62">
        <f t="shared" si="115"/>
        <v>25</v>
      </c>
      <c r="O148" s="62">
        <f t="shared" si="115"/>
        <v>25</v>
      </c>
      <c r="P148" s="62">
        <f t="shared" si="115"/>
        <v>25</v>
      </c>
      <c r="Q148" s="62">
        <f t="shared" si="115"/>
        <v>25</v>
      </c>
      <c r="R148" s="62">
        <f t="shared" si="115"/>
        <v>25</v>
      </c>
      <c r="S148" s="62">
        <f t="shared" si="115"/>
        <v>25</v>
      </c>
      <c r="T148" s="62">
        <f t="shared" si="115"/>
        <v>25</v>
      </c>
      <c r="U148" s="62">
        <f t="shared" si="115"/>
        <v>25</v>
      </c>
      <c r="V148" s="62">
        <f t="shared" si="115"/>
        <v>25</v>
      </c>
      <c r="W148" s="62">
        <f t="shared" ref="W148:AC150" si="116">$B128+($C128-$B128)*(1-AL128)</f>
        <v>25</v>
      </c>
      <c r="X148" s="62">
        <f t="shared" si="116"/>
        <v>25</v>
      </c>
      <c r="Y148" s="62">
        <f t="shared" si="116"/>
        <v>25</v>
      </c>
      <c r="Z148" s="62">
        <f t="shared" si="116"/>
        <v>25</v>
      </c>
      <c r="AA148" s="62">
        <f t="shared" si="116"/>
        <v>25</v>
      </c>
      <c r="AB148" s="62">
        <f t="shared" si="116"/>
        <v>25</v>
      </c>
      <c r="AC148" s="62">
        <f t="shared" si="116"/>
        <v>25</v>
      </c>
    </row>
    <row r="149" spans="1:29" x14ac:dyDescent="0.25">
      <c r="A149" s="30" t="str">
        <f>A129</f>
        <v>Lifetime costumization</v>
      </c>
      <c r="B149" s="62">
        <f>$B129+($C129-$B129)*(1-Q129)</f>
        <v>25</v>
      </c>
      <c r="C149" s="62">
        <f t="shared" si="114"/>
        <v>25</v>
      </c>
      <c r="D149" s="62">
        <f t="shared" si="114"/>
        <v>25</v>
      </c>
      <c r="E149" s="62">
        <f t="shared" si="114"/>
        <v>25</v>
      </c>
      <c r="F149" s="62">
        <f t="shared" si="114"/>
        <v>25</v>
      </c>
      <c r="G149" s="62">
        <f t="shared" si="114"/>
        <v>25</v>
      </c>
      <c r="H149" s="62">
        <f t="shared" si="114"/>
        <v>25</v>
      </c>
      <c r="I149" s="62">
        <f t="shared" si="114"/>
        <v>25</v>
      </c>
      <c r="J149" s="62">
        <f t="shared" si="114"/>
        <v>25</v>
      </c>
      <c r="K149" s="62">
        <f t="shared" si="114"/>
        <v>25</v>
      </c>
      <c r="L149" s="62">
        <f t="shared" si="114"/>
        <v>25</v>
      </c>
      <c r="M149" s="62">
        <f t="shared" si="115"/>
        <v>25</v>
      </c>
      <c r="N149" s="62">
        <f t="shared" si="115"/>
        <v>25</v>
      </c>
      <c r="O149" s="62">
        <f t="shared" si="115"/>
        <v>25</v>
      </c>
      <c r="P149" s="62">
        <f t="shared" si="115"/>
        <v>25</v>
      </c>
      <c r="Q149" s="62">
        <f t="shared" si="115"/>
        <v>25</v>
      </c>
      <c r="R149" s="62">
        <f t="shared" si="115"/>
        <v>25</v>
      </c>
      <c r="S149" s="62">
        <f t="shared" si="115"/>
        <v>25</v>
      </c>
      <c r="T149" s="62">
        <f t="shared" si="115"/>
        <v>25</v>
      </c>
      <c r="U149" s="62">
        <f t="shared" si="115"/>
        <v>25</v>
      </c>
      <c r="V149" s="62">
        <f t="shared" si="115"/>
        <v>25</v>
      </c>
      <c r="W149" s="62">
        <f t="shared" si="116"/>
        <v>25</v>
      </c>
      <c r="X149" s="62">
        <f t="shared" si="116"/>
        <v>25</v>
      </c>
      <c r="Y149" s="62">
        <f t="shared" si="116"/>
        <v>25</v>
      </c>
      <c r="Z149" s="62">
        <f t="shared" si="116"/>
        <v>25</v>
      </c>
      <c r="AA149" s="62">
        <f t="shared" si="116"/>
        <v>25</v>
      </c>
      <c r="AB149" s="62">
        <f t="shared" si="116"/>
        <v>25</v>
      </c>
      <c r="AC149" s="62">
        <f t="shared" si="116"/>
        <v>25</v>
      </c>
    </row>
    <row r="150" spans="1:29" x14ac:dyDescent="0.25">
      <c r="A150" s="30" t="str">
        <f>A130</f>
        <v>Tonnage .</v>
      </c>
      <c r="B150" s="62">
        <f>$B130+($C130-$B130)*(1-Q130)</f>
        <v>9450</v>
      </c>
      <c r="C150" s="62">
        <f t="shared" si="114"/>
        <v>9450</v>
      </c>
      <c r="D150" s="62">
        <f t="shared" si="114"/>
        <v>9450</v>
      </c>
      <c r="E150" s="62">
        <f t="shared" si="114"/>
        <v>9450</v>
      </c>
      <c r="F150" s="62">
        <f t="shared" si="114"/>
        <v>9450</v>
      </c>
      <c r="G150" s="62">
        <f t="shared" si="114"/>
        <v>9450</v>
      </c>
      <c r="H150" s="62">
        <f t="shared" si="114"/>
        <v>9450</v>
      </c>
      <c r="I150" s="62">
        <f t="shared" si="114"/>
        <v>9450</v>
      </c>
      <c r="J150" s="62">
        <f t="shared" si="114"/>
        <v>9450</v>
      </c>
      <c r="K150" s="62">
        <f t="shared" si="114"/>
        <v>9450</v>
      </c>
      <c r="L150" s="62">
        <f t="shared" si="114"/>
        <v>9450</v>
      </c>
      <c r="M150" s="62">
        <f t="shared" si="115"/>
        <v>9450</v>
      </c>
      <c r="N150" s="62">
        <f t="shared" si="115"/>
        <v>9450</v>
      </c>
      <c r="O150" s="62">
        <f t="shared" si="115"/>
        <v>9450</v>
      </c>
      <c r="P150" s="62">
        <f t="shared" si="115"/>
        <v>9450</v>
      </c>
      <c r="Q150" s="62">
        <f t="shared" si="115"/>
        <v>9450</v>
      </c>
      <c r="R150" s="62">
        <f t="shared" si="115"/>
        <v>9450</v>
      </c>
      <c r="S150" s="62">
        <f t="shared" si="115"/>
        <v>9450</v>
      </c>
      <c r="T150" s="62">
        <f t="shared" si="115"/>
        <v>9450</v>
      </c>
      <c r="U150" s="62">
        <f t="shared" si="115"/>
        <v>9450</v>
      </c>
      <c r="V150" s="62">
        <f t="shared" si="115"/>
        <v>9450</v>
      </c>
      <c r="W150" s="62">
        <f t="shared" si="116"/>
        <v>9450</v>
      </c>
      <c r="X150" s="62">
        <f t="shared" si="116"/>
        <v>9450</v>
      </c>
      <c r="Y150" s="62">
        <f t="shared" si="116"/>
        <v>9450</v>
      </c>
      <c r="Z150" s="62">
        <f t="shared" si="116"/>
        <v>9450</v>
      </c>
      <c r="AA150" s="62">
        <f t="shared" si="116"/>
        <v>9450</v>
      </c>
      <c r="AB150" s="62">
        <f t="shared" si="116"/>
        <v>9450</v>
      </c>
      <c r="AC150" s="62">
        <f t="shared" si="116"/>
        <v>9450</v>
      </c>
    </row>
    <row r="151" spans="1:29" x14ac:dyDescent="0.25">
      <c r="A151" s="30" t="str">
        <f>A131</f>
        <v>Market failure (av. utilization)</v>
      </c>
      <c r="B151" s="62">
        <f t="shared" ref="B151:K152" si="117">($B131+($C131-$B131)*(1-Q131))*B$44</f>
        <v>5418</v>
      </c>
      <c r="C151" s="62">
        <f t="shared" si="117"/>
        <v>5418</v>
      </c>
      <c r="D151" s="62">
        <f t="shared" si="117"/>
        <v>5418</v>
      </c>
      <c r="E151" s="62">
        <f t="shared" si="117"/>
        <v>5418</v>
      </c>
      <c r="F151" s="62">
        <f t="shared" si="117"/>
        <v>5418</v>
      </c>
      <c r="G151" s="62">
        <f t="shared" si="117"/>
        <v>5418</v>
      </c>
      <c r="H151" s="62">
        <f t="shared" si="117"/>
        <v>5418</v>
      </c>
      <c r="I151" s="62">
        <f t="shared" si="117"/>
        <v>5418</v>
      </c>
      <c r="J151" s="62">
        <f t="shared" si="117"/>
        <v>5418</v>
      </c>
      <c r="K151" s="62">
        <f t="shared" si="117"/>
        <v>5418</v>
      </c>
      <c r="L151" s="62">
        <f t="shared" ref="L151:U152" si="118">($B131+($C131-$B131)*(1-AA131))*L$44</f>
        <v>5418</v>
      </c>
      <c r="M151" s="62">
        <f t="shared" si="118"/>
        <v>5418</v>
      </c>
      <c r="N151" s="62">
        <f t="shared" si="118"/>
        <v>5418</v>
      </c>
      <c r="O151" s="62">
        <f t="shared" si="118"/>
        <v>5418</v>
      </c>
      <c r="P151" s="62">
        <f t="shared" si="118"/>
        <v>5418</v>
      </c>
      <c r="Q151" s="62">
        <f t="shared" si="118"/>
        <v>5418</v>
      </c>
      <c r="R151" s="62">
        <f t="shared" si="118"/>
        <v>5418</v>
      </c>
      <c r="S151" s="62">
        <f t="shared" si="118"/>
        <v>5418</v>
      </c>
      <c r="T151" s="62">
        <f t="shared" si="118"/>
        <v>5418</v>
      </c>
      <c r="U151" s="62">
        <f t="shared" si="118"/>
        <v>5418</v>
      </c>
      <c r="V151" s="62">
        <f t="shared" ref="V151:AC152" si="119">($B131+($C131-$B131)*(1-AK131))*V$44</f>
        <v>5418</v>
      </c>
      <c r="W151" s="62">
        <f t="shared" si="119"/>
        <v>5418</v>
      </c>
      <c r="X151" s="62">
        <f t="shared" si="119"/>
        <v>5418</v>
      </c>
      <c r="Y151" s="62">
        <f t="shared" si="119"/>
        <v>5418</v>
      </c>
      <c r="Z151" s="62">
        <f t="shared" si="119"/>
        <v>5418</v>
      </c>
      <c r="AA151" s="62">
        <f t="shared" si="119"/>
        <v>5418</v>
      </c>
      <c r="AB151" s="62">
        <f t="shared" si="119"/>
        <v>5418</v>
      </c>
      <c r="AC151" s="62">
        <f t="shared" si="119"/>
        <v>5418</v>
      </c>
    </row>
    <row r="152" spans="1:29" x14ac:dyDescent="0.25">
      <c r="A152" s="30" t="s">
        <v>73</v>
      </c>
      <c r="B152" s="62">
        <f t="shared" si="117"/>
        <v>944.5849078871745</v>
      </c>
      <c r="C152" s="62">
        <f t="shared" si="117"/>
        <v>944.40532910583465</v>
      </c>
      <c r="D152" s="62">
        <f t="shared" si="117"/>
        <v>944.14826608014141</v>
      </c>
      <c r="E152" s="62">
        <f t="shared" si="117"/>
        <v>943.78051934440748</v>
      </c>
      <c r="F152" s="62">
        <f t="shared" si="117"/>
        <v>943.25492811169715</v>
      </c>
      <c r="G152" s="62">
        <f t="shared" si="117"/>
        <v>942.50479583764434</v>
      </c>
      <c r="H152" s="62">
        <f t="shared" si="117"/>
        <v>941.43642345180217</v>
      </c>
      <c r="I152" s="62">
        <f t="shared" si="117"/>
        <v>939.91948781699818</v>
      </c>
      <c r="J152" s="62">
        <f t="shared" si="117"/>
        <v>937.77544506541028</v>
      </c>
      <c r="K152" s="62">
        <f t="shared" si="117"/>
        <v>934.76524772391656</v>
      </c>
      <c r="L152" s="62">
        <f t="shared" si="118"/>
        <v>930.57998068376753</v>
      </c>
      <c r="M152" s="62">
        <f t="shared" si="118"/>
        <v>924.84213614287444</v>
      </c>
      <c r="N152" s="62">
        <f t="shared" si="118"/>
        <v>917.13108792247806</v>
      </c>
      <c r="O152" s="62">
        <f t="shared" si="118"/>
        <v>907.05125823345929</v>
      </c>
      <c r="P152" s="62">
        <f t="shared" si="118"/>
        <v>894.35741645248754</v>
      </c>
      <c r="Q152" s="62">
        <f t="shared" si="118"/>
        <v>879.12517069210696</v>
      </c>
      <c r="R152" s="62">
        <f t="shared" si="118"/>
        <v>861.90094849480568</v>
      </c>
      <c r="S152" s="62">
        <f t="shared" si="118"/>
        <v>843.71740779032029</v>
      </c>
      <c r="T152" s="62">
        <f t="shared" si="118"/>
        <v>825.89168515554024</v>
      </c>
      <c r="U152" s="62">
        <f t="shared" si="118"/>
        <v>809.66456292436703</v>
      </c>
      <c r="V152" s="62">
        <f t="shared" si="119"/>
        <v>795.87381981451244</v>
      </c>
      <c r="W152" s="62">
        <f t="shared" si="119"/>
        <v>784.82990436567866</v>
      </c>
      <c r="X152" s="62">
        <f t="shared" si="119"/>
        <v>776.40290671427192</v>
      </c>
      <c r="Y152" s="62">
        <f t="shared" si="119"/>
        <v>770.20838759429932</v>
      </c>
      <c r="Z152" s="62">
        <f t="shared" si="119"/>
        <v>765.77939603754794</v>
      </c>
      <c r="AA152" s="62">
        <f t="shared" si="119"/>
        <v>762.6753270281904</v>
      </c>
      <c r="AB152" s="62">
        <f t="shared" si="119"/>
        <v>760.53022455173243</v>
      </c>
      <c r="AC152" s="62">
        <f t="shared" si="119"/>
        <v>759.0622240325356</v>
      </c>
    </row>
    <row r="153" spans="1:29" x14ac:dyDescent="0.25">
      <c r="A153" s="30" t="str">
        <f>A133</f>
        <v>Annual Mileage</v>
      </c>
      <c r="B153" s="62">
        <f t="shared" ref="B153:AC153" si="120">$B133+($C133-$B133)*(1-Q133)</f>
        <v>120000</v>
      </c>
      <c r="C153" s="62">
        <f t="shared" si="120"/>
        <v>120000</v>
      </c>
      <c r="D153" s="62">
        <f t="shared" si="120"/>
        <v>120000</v>
      </c>
      <c r="E153" s="62">
        <f t="shared" si="120"/>
        <v>120000</v>
      </c>
      <c r="F153" s="62">
        <f t="shared" si="120"/>
        <v>120000</v>
      </c>
      <c r="G153" s="62">
        <f t="shared" si="120"/>
        <v>120000</v>
      </c>
      <c r="H153" s="62">
        <f t="shared" si="120"/>
        <v>120000</v>
      </c>
      <c r="I153" s="62">
        <f t="shared" si="120"/>
        <v>120000</v>
      </c>
      <c r="J153" s="62">
        <f t="shared" si="120"/>
        <v>120000</v>
      </c>
      <c r="K153" s="62">
        <f t="shared" si="120"/>
        <v>120000</v>
      </c>
      <c r="L153" s="62">
        <f t="shared" si="120"/>
        <v>120000</v>
      </c>
      <c r="M153" s="62">
        <f t="shared" si="120"/>
        <v>120000</v>
      </c>
      <c r="N153" s="62">
        <f t="shared" si="120"/>
        <v>120000</v>
      </c>
      <c r="O153" s="62">
        <f t="shared" si="120"/>
        <v>120000</v>
      </c>
      <c r="P153" s="62">
        <f t="shared" si="120"/>
        <v>120000</v>
      </c>
      <c r="Q153" s="62">
        <f t="shared" si="120"/>
        <v>120000</v>
      </c>
      <c r="R153" s="62">
        <f t="shared" si="120"/>
        <v>120000</v>
      </c>
      <c r="S153" s="62">
        <f t="shared" si="120"/>
        <v>120000</v>
      </c>
      <c r="T153" s="62">
        <f t="shared" si="120"/>
        <v>120000</v>
      </c>
      <c r="U153" s="62">
        <f t="shared" si="120"/>
        <v>120000</v>
      </c>
      <c r="V153" s="62">
        <f t="shared" si="120"/>
        <v>120000</v>
      </c>
      <c r="W153" s="62">
        <f t="shared" si="120"/>
        <v>120000</v>
      </c>
      <c r="X153" s="62">
        <f t="shared" si="120"/>
        <v>120000</v>
      </c>
      <c r="Y153" s="62">
        <f t="shared" si="120"/>
        <v>120000</v>
      </c>
      <c r="Z153" s="62">
        <f t="shared" si="120"/>
        <v>120000</v>
      </c>
      <c r="AA153" s="62">
        <f t="shared" si="120"/>
        <v>120000</v>
      </c>
      <c r="AB153" s="62">
        <f t="shared" si="120"/>
        <v>120000</v>
      </c>
      <c r="AC153" s="62">
        <f t="shared" si="120"/>
        <v>120000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2344997.5856047659</v>
      </c>
      <c r="C156" s="63">
        <f t="shared" ref="C156:AC156" si="121">((1+C141)^C148)*C141/(((1+C141)^C148)-1)*(C137)</f>
        <v>2344217.1490089451</v>
      </c>
      <c r="D156" s="63">
        <f t="shared" si="121"/>
        <v>2343099.9714048514</v>
      </c>
      <c r="E156" s="63">
        <f t="shared" si="121"/>
        <v>2341501.7702787537</v>
      </c>
      <c r="F156" s="63">
        <f t="shared" si="121"/>
        <v>2339217.5882089725</v>
      </c>
      <c r="G156" s="63">
        <f t="shared" si="121"/>
        <v>2335957.5667631798</v>
      </c>
      <c r="H156" s="63">
        <f t="shared" si="121"/>
        <v>2331314.496453566</v>
      </c>
      <c r="I156" s="63">
        <f t="shared" si="121"/>
        <v>2324722.0022063456</v>
      </c>
      <c r="J156" s="63">
        <f t="shared" si="121"/>
        <v>2315404.1450861497</v>
      </c>
      <c r="K156" s="63">
        <f t="shared" si="121"/>
        <v>2302322.0417974619</v>
      </c>
      <c r="L156" s="63">
        <f t="shared" si="121"/>
        <v>2284133.1692756363</v>
      </c>
      <c r="M156" s="63">
        <f t="shared" si="121"/>
        <v>2259196.9054952883</v>
      </c>
      <c r="N156" s="63">
        <f t="shared" si="121"/>
        <v>2225685.2390364991</v>
      </c>
      <c r="O156" s="63">
        <f t="shared" si="121"/>
        <v>2181879.0169970216</v>
      </c>
      <c r="P156" s="63">
        <f t="shared" si="121"/>
        <v>2126712.4845508407</v>
      </c>
      <c r="Q156" s="63">
        <f t="shared" si="121"/>
        <v>2060514.2291709851</v>
      </c>
      <c r="R156" s="63">
        <f t="shared" si="121"/>
        <v>1985658.9860457699</v>
      </c>
      <c r="S156" s="63">
        <f t="shared" si="121"/>
        <v>1906634.6130018148</v>
      </c>
      <c r="T156" s="63">
        <f t="shared" si="121"/>
        <v>1829165.2918084206</v>
      </c>
      <c r="U156" s="63">
        <f t="shared" si="121"/>
        <v>1758643.3741320807</v>
      </c>
      <c r="V156" s="63">
        <f t="shared" si="121"/>
        <v>1698709.7866213897</v>
      </c>
      <c r="W156" s="63">
        <f t="shared" si="121"/>
        <v>1650713.7165227169</v>
      </c>
      <c r="X156" s="63">
        <f t="shared" si="121"/>
        <v>1614090.584819823</v>
      </c>
      <c r="Y156" s="63">
        <f t="shared" si="121"/>
        <v>1587169.645838788</v>
      </c>
      <c r="Z156" s="63">
        <f t="shared" si="121"/>
        <v>1567921.5639235359</v>
      </c>
      <c r="AA156" s="63">
        <f t="shared" si="121"/>
        <v>1554431.5010509547</v>
      </c>
      <c r="AB156" s="63">
        <f t="shared" si="121"/>
        <v>1545109.0384419363</v>
      </c>
      <c r="AC156" s="63">
        <f t="shared" si="121"/>
        <v>1538729.2127224542</v>
      </c>
    </row>
    <row r="157" spans="1:29" x14ac:dyDescent="0.25">
      <c r="A157" s="30" t="str">
        <f>A138</f>
        <v>Residual value (vehicle)</v>
      </c>
      <c r="B157" s="62">
        <f>((1+B141)^B148)*B141/(((1+B141)^B148)-1)*(B138)</f>
        <v>-117417.38992255888</v>
      </c>
      <c r="C157" s="62">
        <f t="shared" ref="C157:AC157" si="122">((1+C141)^C148)*C141/(((1+C141)^C148)-1)*(C138)</f>
        <v>-117450.83720523692</v>
      </c>
      <c r="D157" s="62">
        <f t="shared" si="122"/>
        <v>-117498.71624541239</v>
      </c>
      <c r="E157" s="62">
        <f t="shared" si="122"/>
        <v>-117567.21057938797</v>
      </c>
      <c r="F157" s="62">
        <f t="shared" si="122"/>
        <v>-117665.10409666432</v>
      </c>
      <c r="G157" s="62">
        <f t="shared" si="122"/>
        <v>-117804.81930148401</v>
      </c>
      <c r="H157" s="62">
        <f t="shared" si="122"/>
        <v>-118003.80802903889</v>
      </c>
      <c r="I157" s="62">
        <f t="shared" si="122"/>
        <v>-118286.34349677691</v>
      </c>
      <c r="J157" s="62">
        <f t="shared" si="122"/>
        <v>-118685.68023049959</v>
      </c>
      <c r="K157" s="62">
        <f t="shared" si="122"/>
        <v>-119246.34180001476</v>
      </c>
      <c r="L157" s="62">
        <f t="shared" si="122"/>
        <v>-120025.864908093</v>
      </c>
      <c r="M157" s="62">
        <f t="shared" si="122"/>
        <v>-121094.56192725079</v>
      </c>
      <c r="N157" s="62">
        <f t="shared" si="122"/>
        <v>-122530.77620405605</v>
      </c>
      <c r="O157" s="62">
        <f t="shared" si="122"/>
        <v>-124408.18572003364</v>
      </c>
      <c r="P157" s="62">
        <f t="shared" si="122"/>
        <v>-126772.46568201284</v>
      </c>
      <c r="Q157" s="62">
        <f t="shared" si="122"/>
        <v>-129609.53376972093</v>
      </c>
      <c r="R157" s="62">
        <f t="shared" si="122"/>
        <v>-132817.61561794442</v>
      </c>
      <c r="S157" s="62">
        <f t="shared" si="122"/>
        <v>-136204.37446268537</v>
      </c>
      <c r="T157" s="62">
        <f t="shared" si="122"/>
        <v>-139524.48822811653</v>
      </c>
      <c r="U157" s="62">
        <f t="shared" si="122"/>
        <v>-142546.8561285311</v>
      </c>
      <c r="V157" s="62">
        <f t="shared" si="122"/>
        <v>-145115.43845041786</v>
      </c>
      <c r="W157" s="62">
        <f t="shared" si="122"/>
        <v>-147172.41288321812</v>
      </c>
      <c r="X157" s="62">
        <f t="shared" si="122"/>
        <v>-148741.975670485</v>
      </c>
      <c r="Y157" s="62">
        <f t="shared" si="122"/>
        <v>-149895.73019824366</v>
      </c>
      <c r="Z157" s="62">
        <f t="shared" si="122"/>
        <v>-150720.64799461162</v>
      </c>
      <c r="AA157" s="62">
        <f t="shared" si="122"/>
        <v>-151298.79354629366</v>
      </c>
      <c r="AB157" s="62">
        <f t="shared" si="122"/>
        <v>-151698.32765810873</v>
      </c>
      <c r="AC157" s="62">
        <f t="shared" si="122"/>
        <v>-151971.74876037225</v>
      </c>
    </row>
    <row r="158" spans="1:29" x14ac:dyDescent="0.25">
      <c r="A158" s="30" t="str">
        <f>A139</f>
        <v>Capex costumization</v>
      </c>
      <c r="B158" s="62">
        <f>((1+B141)^B149)*B141/(((1+B141)^B149)-1)*(B139)</f>
        <v>391133.59106136975</v>
      </c>
      <c r="C158" s="62">
        <f t="shared" ref="C158:AC158" si="123">((1+C141)^C149)*C141/(((1+C141)^C149)-1)*(C139)</f>
        <v>391133.59106136975</v>
      </c>
      <c r="D158" s="62">
        <f t="shared" si="123"/>
        <v>391133.59106136975</v>
      </c>
      <c r="E158" s="62">
        <f t="shared" si="123"/>
        <v>391133.59106136975</v>
      </c>
      <c r="F158" s="62">
        <f t="shared" si="123"/>
        <v>391133.59106136975</v>
      </c>
      <c r="G158" s="62">
        <f t="shared" si="123"/>
        <v>391133.59106136975</v>
      </c>
      <c r="H158" s="62">
        <f t="shared" si="123"/>
        <v>391133.59106136975</v>
      </c>
      <c r="I158" s="62">
        <f t="shared" si="123"/>
        <v>391133.59106136975</v>
      </c>
      <c r="J158" s="62">
        <f t="shared" si="123"/>
        <v>391133.59106136975</v>
      </c>
      <c r="K158" s="62">
        <f t="shared" si="123"/>
        <v>391133.59106136975</v>
      </c>
      <c r="L158" s="62">
        <f t="shared" si="123"/>
        <v>391133.59106136975</v>
      </c>
      <c r="M158" s="62">
        <f t="shared" si="123"/>
        <v>391133.59106136975</v>
      </c>
      <c r="N158" s="62">
        <f t="shared" si="123"/>
        <v>391133.59106136975</v>
      </c>
      <c r="O158" s="62">
        <f t="shared" si="123"/>
        <v>391133.59106136975</v>
      </c>
      <c r="P158" s="62">
        <f t="shared" si="123"/>
        <v>391133.59106136975</v>
      </c>
      <c r="Q158" s="62">
        <f t="shared" si="123"/>
        <v>391133.59106136975</v>
      </c>
      <c r="R158" s="62">
        <f t="shared" si="123"/>
        <v>391133.59106136975</v>
      </c>
      <c r="S158" s="62">
        <f t="shared" si="123"/>
        <v>391133.59106136975</v>
      </c>
      <c r="T158" s="62">
        <f t="shared" si="123"/>
        <v>391133.59106136975</v>
      </c>
      <c r="U158" s="62">
        <f t="shared" si="123"/>
        <v>391133.59106136975</v>
      </c>
      <c r="V158" s="62">
        <f t="shared" si="123"/>
        <v>391133.59106136975</v>
      </c>
      <c r="W158" s="62">
        <f t="shared" si="123"/>
        <v>391133.59106136975</v>
      </c>
      <c r="X158" s="62">
        <f t="shared" si="123"/>
        <v>391133.59106136975</v>
      </c>
      <c r="Y158" s="62">
        <f t="shared" si="123"/>
        <v>391133.59106136975</v>
      </c>
      <c r="Z158" s="62">
        <f t="shared" si="123"/>
        <v>391133.59106136975</v>
      </c>
      <c r="AA158" s="62">
        <f t="shared" si="123"/>
        <v>391133.59106136975</v>
      </c>
      <c r="AB158" s="62">
        <f t="shared" si="123"/>
        <v>391133.59106136975</v>
      </c>
      <c r="AC158" s="62">
        <f t="shared" si="123"/>
        <v>391133.59106136975</v>
      </c>
    </row>
    <row r="159" spans="1:29" x14ac:dyDescent="0.25">
      <c r="A159" s="30" t="str">
        <f>A140</f>
        <v>Residual value (costumization)</v>
      </c>
      <c r="B159" s="62">
        <f>((1+B141)^B149)*B141/(((1+B141)^B149)-1)*(B140)</f>
        <v>-39113.359106136973</v>
      </c>
      <c r="C159" s="62">
        <f t="shared" ref="C159:AC159" si="124">((1+C141)^C149)*C141/(((1+C141)^C149)-1)*(C140)</f>
        <v>-39113.359106136973</v>
      </c>
      <c r="D159" s="62">
        <f t="shared" si="124"/>
        <v>-39113.359106136973</v>
      </c>
      <c r="E159" s="62">
        <f t="shared" si="124"/>
        <v>-39113.359106136973</v>
      </c>
      <c r="F159" s="62">
        <f t="shared" si="124"/>
        <v>-39113.359106136973</v>
      </c>
      <c r="G159" s="62">
        <f t="shared" si="124"/>
        <v>-39113.359106136973</v>
      </c>
      <c r="H159" s="62">
        <f t="shared" si="124"/>
        <v>-39113.359106136973</v>
      </c>
      <c r="I159" s="62">
        <f t="shared" si="124"/>
        <v>-39113.359106136973</v>
      </c>
      <c r="J159" s="62">
        <f t="shared" si="124"/>
        <v>-39113.359106136973</v>
      </c>
      <c r="K159" s="62">
        <f t="shared" si="124"/>
        <v>-39113.359106136973</v>
      </c>
      <c r="L159" s="62">
        <f t="shared" si="124"/>
        <v>-39113.359106136973</v>
      </c>
      <c r="M159" s="62">
        <f t="shared" si="124"/>
        <v>-39113.359106136973</v>
      </c>
      <c r="N159" s="62">
        <f t="shared" si="124"/>
        <v>-39113.359106136973</v>
      </c>
      <c r="O159" s="62">
        <f t="shared" si="124"/>
        <v>-39113.359106136973</v>
      </c>
      <c r="P159" s="62">
        <f t="shared" si="124"/>
        <v>-39113.359106136973</v>
      </c>
      <c r="Q159" s="62">
        <f t="shared" si="124"/>
        <v>-39113.359106136973</v>
      </c>
      <c r="R159" s="62">
        <f t="shared" si="124"/>
        <v>-39113.359106136973</v>
      </c>
      <c r="S159" s="62">
        <f t="shared" si="124"/>
        <v>-39113.359106136973</v>
      </c>
      <c r="T159" s="62">
        <f t="shared" si="124"/>
        <v>-39113.359106136973</v>
      </c>
      <c r="U159" s="62">
        <f t="shared" si="124"/>
        <v>-39113.359106136973</v>
      </c>
      <c r="V159" s="62">
        <f t="shared" si="124"/>
        <v>-39113.359106136973</v>
      </c>
      <c r="W159" s="62">
        <f t="shared" si="124"/>
        <v>-39113.359106136973</v>
      </c>
      <c r="X159" s="62">
        <f t="shared" si="124"/>
        <v>-39113.359106136973</v>
      </c>
      <c r="Y159" s="62">
        <f t="shared" si="124"/>
        <v>-39113.359106136973</v>
      </c>
      <c r="Z159" s="62">
        <f t="shared" si="124"/>
        <v>-39113.359106136973</v>
      </c>
      <c r="AA159" s="62">
        <f t="shared" si="124"/>
        <v>-39113.359106136973</v>
      </c>
      <c r="AB159" s="62">
        <f t="shared" si="124"/>
        <v>-39113.359106136973</v>
      </c>
      <c r="AC159" s="62">
        <f t="shared" si="124"/>
        <v>-39113.359106136973</v>
      </c>
    </row>
    <row r="160" spans="1:29" x14ac:dyDescent="0.25">
      <c r="A160" s="30" t="str">
        <f t="shared" ref="A160:AC160" si="125">A142</f>
        <v>Opex fix (admin, crew, insurance)</v>
      </c>
      <c r="B160" s="62">
        <f t="shared" si="125"/>
        <v>1208235.294117647</v>
      </c>
      <c r="C160" s="62">
        <f t="shared" si="125"/>
        <v>1208235.294117647</v>
      </c>
      <c r="D160" s="62">
        <f t="shared" si="125"/>
        <v>1208235.294117647</v>
      </c>
      <c r="E160" s="62">
        <f t="shared" si="125"/>
        <v>1208235.294117647</v>
      </c>
      <c r="F160" s="62">
        <f t="shared" si="125"/>
        <v>1208235.294117647</v>
      </c>
      <c r="G160" s="62">
        <f t="shared" si="125"/>
        <v>1208235.294117647</v>
      </c>
      <c r="H160" s="62">
        <f t="shared" si="125"/>
        <v>1208235.294117647</v>
      </c>
      <c r="I160" s="62">
        <f t="shared" si="125"/>
        <v>1208235.294117647</v>
      </c>
      <c r="J160" s="62">
        <f t="shared" si="125"/>
        <v>1208235.294117647</v>
      </c>
      <c r="K160" s="62">
        <f t="shared" si="125"/>
        <v>1208235.294117647</v>
      </c>
      <c r="L160" s="62">
        <f t="shared" si="125"/>
        <v>1208235.294117647</v>
      </c>
      <c r="M160" s="62">
        <f t="shared" si="125"/>
        <v>1208235.294117647</v>
      </c>
      <c r="N160" s="62">
        <f t="shared" si="125"/>
        <v>1208235.294117647</v>
      </c>
      <c r="O160" s="62">
        <f t="shared" si="125"/>
        <v>1208235.294117647</v>
      </c>
      <c r="P160" s="62">
        <f t="shared" si="125"/>
        <v>1208235.294117647</v>
      </c>
      <c r="Q160" s="62">
        <f t="shared" si="125"/>
        <v>1208235.294117647</v>
      </c>
      <c r="R160" s="62">
        <f t="shared" si="125"/>
        <v>1208235.294117647</v>
      </c>
      <c r="S160" s="62">
        <f t="shared" si="125"/>
        <v>1208235.294117647</v>
      </c>
      <c r="T160" s="62">
        <f t="shared" si="125"/>
        <v>1208235.294117647</v>
      </c>
      <c r="U160" s="62">
        <f t="shared" si="125"/>
        <v>1208235.294117647</v>
      </c>
      <c r="V160" s="62">
        <f t="shared" si="125"/>
        <v>1208235.294117647</v>
      </c>
      <c r="W160" s="62">
        <f t="shared" si="125"/>
        <v>1208235.294117647</v>
      </c>
      <c r="X160" s="62">
        <f t="shared" si="125"/>
        <v>1208235.294117647</v>
      </c>
      <c r="Y160" s="62">
        <f t="shared" si="125"/>
        <v>1208235.294117647</v>
      </c>
      <c r="Z160" s="62">
        <f t="shared" si="125"/>
        <v>1208235.294117647</v>
      </c>
      <c r="AA160" s="62">
        <f t="shared" si="125"/>
        <v>1208235.294117647</v>
      </c>
      <c r="AB160" s="62">
        <f t="shared" si="125"/>
        <v>1208235.294117647</v>
      </c>
      <c r="AC160" s="62">
        <f t="shared" si="125"/>
        <v>1208235.294117647</v>
      </c>
    </row>
    <row r="161" spans="1:29" x14ac:dyDescent="0.25">
      <c r="A161" s="30" t="str">
        <f t="shared" ref="A161:AC161" si="126">A143</f>
        <v>Opex maintenance &amp; repair</v>
      </c>
      <c r="B161" s="62">
        <f t="shared" si="126"/>
        <v>338823.5294117647</v>
      </c>
      <c r="C161" s="62">
        <f t="shared" si="126"/>
        <v>338823.5294117647</v>
      </c>
      <c r="D161" s="62">
        <f t="shared" si="126"/>
        <v>338823.5294117647</v>
      </c>
      <c r="E161" s="62">
        <f t="shared" si="126"/>
        <v>338823.5294117647</v>
      </c>
      <c r="F161" s="62">
        <f t="shared" si="126"/>
        <v>338823.5294117647</v>
      </c>
      <c r="G161" s="62">
        <f t="shared" si="126"/>
        <v>338823.5294117647</v>
      </c>
      <c r="H161" s="62">
        <f t="shared" si="126"/>
        <v>338823.5294117647</v>
      </c>
      <c r="I161" s="62">
        <f t="shared" si="126"/>
        <v>338823.5294117647</v>
      </c>
      <c r="J161" s="62">
        <f t="shared" si="126"/>
        <v>338823.5294117647</v>
      </c>
      <c r="K161" s="62">
        <f t="shared" si="126"/>
        <v>338823.5294117647</v>
      </c>
      <c r="L161" s="62">
        <f t="shared" si="126"/>
        <v>338823.5294117647</v>
      </c>
      <c r="M161" s="62">
        <f t="shared" si="126"/>
        <v>338823.5294117647</v>
      </c>
      <c r="N161" s="62">
        <f t="shared" si="126"/>
        <v>338823.5294117647</v>
      </c>
      <c r="O161" s="62">
        <f t="shared" si="126"/>
        <v>338823.5294117647</v>
      </c>
      <c r="P161" s="62">
        <f t="shared" si="126"/>
        <v>338823.5294117647</v>
      </c>
      <c r="Q161" s="62">
        <f t="shared" si="126"/>
        <v>338823.5294117647</v>
      </c>
      <c r="R161" s="62">
        <f t="shared" si="126"/>
        <v>338823.5294117647</v>
      </c>
      <c r="S161" s="62">
        <f t="shared" si="126"/>
        <v>338823.5294117647</v>
      </c>
      <c r="T161" s="62">
        <f t="shared" si="126"/>
        <v>338823.5294117647</v>
      </c>
      <c r="U161" s="62">
        <f t="shared" si="126"/>
        <v>338823.5294117647</v>
      </c>
      <c r="V161" s="62">
        <f t="shared" si="126"/>
        <v>338823.5294117647</v>
      </c>
      <c r="W161" s="62">
        <f t="shared" si="126"/>
        <v>338823.5294117647</v>
      </c>
      <c r="X161" s="62">
        <f t="shared" si="126"/>
        <v>338823.5294117647</v>
      </c>
      <c r="Y161" s="62">
        <f t="shared" si="126"/>
        <v>338823.5294117647</v>
      </c>
      <c r="Z161" s="62">
        <f t="shared" si="126"/>
        <v>338823.5294117647</v>
      </c>
      <c r="AA161" s="62">
        <f t="shared" si="126"/>
        <v>338823.5294117647</v>
      </c>
      <c r="AB161" s="62">
        <f t="shared" si="126"/>
        <v>338823.5294117647</v>
      </c>
      <c r="AC161" s="62">
        <f t="shared" si="126"/>
        <v>338823.5294117647</v>
      </c>
    </row>
    <row r="162" spans="1:29" x14ac:dyDescent="0.25">
      <c r="A162" s="30" t="str">
        <f>A144</f>
        <v>Opex var (mode-fees)</v>
      </c>
      <c r="B162" s="62">
        <f>B144*B153</f>
        <v>202642.68757160378</v>
      </c>
      <c r="C162" s="62">
        <f t="shared" ref="C162:AC162" si="127">C144*C153</f>
        <v>202642.68757160378</v>
      </c>
      <c r="D162" s="62">
        <f t="shared" si="127"/>
        <v>202642.68757160378</v>
      </c>
      <c r="E162" s="62">
        <f t="shared" si="127"/>
        <v>202642.68757160378</v>
      </c>
      <c r="F162" s="62">
        <f t="shared" si="127"/>
        <v>202642.68757160378</v>
      </c>
      <c r="G162" s="62">
        <f t="shared" si="127"/>
        <v>202642.68757160378</v>
      </c>
      <c r="H162" s="62">
        <f t="shared" si="127"/>
        <v>202642.68757160378</v>
      </c>
      <c r="I162" s="62">
        <f t="shared" si="127"/>
        <v>202642.68757160378</v>
      </c>
      <c r="J162" s="62">
        <f t="shared" si="127"/>
        <v>202642.68757160378</v>
      </c>
      <c r="K162" s="62">
        <f t="shared" si="127"/>
        <v>202642.68757160378</v>
      </c>
      <c r="L162" s="62">
        <f t="shared" si="127"/>
        <v>202642.68757160378</v>
      </c>
      <c r="M162" s="62">
        <f t="shared" si="127"/>
        <v>202642.68757160378</v>
      </c>
      <c r="N162" s="62">
        <f t="shared" si="127"/>
        <v>202642.68757160378</v>
      </c>
      <c r="O162" s="62">
        <f t="shared" si="127"/>
        <v>202642.68757160378</v>
      </c>
      <c r="P162" s="62">
        <f t="shared" si="127"/>
        <v>202642.68757160378</v>
      </c>
      <c r="Q162" s="62">
        <f t="shared" si="127"/>
        <v>202642.68757160378</v>
      </c>
      <c r="R162" s="62">
        <f t="shared" si="127"/>
        <v>202642.68757160378</v>
      </c>
      <c r="S162" s="62">
        <f t="shared" si="127"/>
        <v>202642.68757160378</v>
      </c>
      <c r="T162" s="62">
        <f t="shared" si="127"/>
        <v>202642.68757160378</v>
      </c>
      <c r="U162" s="62">
        <f t="shared" si="127"/>
        <v>202642.68757160378</v>
      </c>
      <c r="V162" s="62">
        <f t="shared" si="127"/>
        <v>202642.68757160378</v>
      </c>
      <c r="W162" s="62">
        <f t="shared" si="127"/>
        <v>202642.68757160378</v>
      </c>
      <c r="X162" s="62">
        <f t="shared" si="127"/>
        <v>202642.68757160378</v>
      </c>
      <c r="Y162" s="62">
        <f t="shared" si="127"/>
        <v>202642.68757160378</v>
      </c>
      <c r="Z162" s="62">
        <f t="shared" si="127"/>
        <v>202642.68757160378</v>
      </c>
      <c r="AA162" s="62">
        <f t="shared" si="127"/>
        <v>202642.68757160378</v>
      </c>
      <c r="AB162" s="62">
        <f t="shared" si="127"/>
        <v>202642.68757160378</v>
      </c>
      <c r="AC162" s="62">
        <f t="shared" si="127"/>
        <v>202642.68757160378</v>
      </c>
    </row>
    <row r="163" spans="1:29" x14ac:dyDescent="0.25">
      <c r="A163" s="30" t="str">
        <f>A146</f>
        <v>Fuel Cost</v>
      </c>
      <c r="B163" s="62">
        <f>B145*B146*B153</f>
        <v>17845029.253875535</v>
      </c>
      <c r="C163" s="62">
        <f t="shared" ref="C163:AC163" si="128">C145*C146*C153</f>
        <v>17785115.953080397</v>
      </c>
      <c r="D163" s="62">
        <f t="shared" si="128"/>
        <v>17700046.886573937</v>
      </c>
      <c r="E163" s="62">
        <f t="shared" si="128"/>
        <v>17579806.461384289</v>
      </c>
      <c r="F163" s="62">
        <f t="shared" si="128"/>
        <v>17410980.06532383</v>
      </c>
      <c r="G163" s="62">
        <f t="shared" si="128"/>
        <v>17176219.804991283</v>
      </c>
      <c r="H163" s="62">
        <f t="shared" si="128"/>
        <v>16854295.602220979</v>
      </c>
      <c r="I163" s="62">
        <f t="shared" si="128"/>
        <v>16421481.505382609</v>
      </c>
      <c r="J163" s="62">
        <f t="shared" si="128"/>
        <v>15855298.835074175</v>
      </c>
      <c r="K163" s="62">
        <f t="shared" si="128"/>
        <v>15141411.65600252</v>
      </c>
      <c r="L163" s="62">
        <f t="shared" si="128"/>
        <v>14283011.810414437</v>
      </c>
      <c r="M163" s="62">
        <f t="shared" si="128"/>
        <v>13309071.260926809</v>
      </c>
      <c r="N163" s="62">
        <f t="shared" si="128"/>
        <v>12275206.042576466</v>
      </c>
      <c r="O163" s="62">
        <f t="shared" si="128"/>
        <v>11252693.958574917</v>
      </c>
      <c r="P163" s="62">
        <f t="shared" si="128"/>
        <v>10308976.963766465</v>
      </c>
      <c r="Q163" s="62">
        <f t="shared" si="128"/>
        <v>9490323.2364750858</v>
      </c>
      <c r="R163" s="62">
        <f t="shared" si="128"/>
        <v>8815658.5920602549</v>
      </c>
      <c r="S163" s="62">
        <f t="shared" si="128"/>
        <v>8281548.0614046389</v>
      </c>
      <c r="T163" s="62">
        <f t="shared" si="128"/>
        <v>7871736.142613559</v>
      </c>
      <c r="U163" s="62">
        <f t="shared" si="128"/>
        <v>7565237.2602533894</v>
      </c>
      <c r="V163" s="62">
        <f t="shared" si="128"/>
        <v>7341030.934050587</v>
      </c>
      <c r="W163" s="62">
        <f t="shared" si="128"/>
        <v>7180196.3514853735</v>
      </c>
      <c r="X163" s="62">
        <f t="shared" si="128"/>
        <v>7066740.1900908714</v>
      </c>
      <c r="Y163" s="62">
        <f t="shared" si="128"/>
        <v>6987795.8310182355</v>
      </c>
      <c r="Z163" s="62">
        <f t="shared" si="128"/>
        <v>6933448.5096606603</v>
      </c>
      <c r="AA163" s="62">
        <f t="shared" si="128"/>
        <v>6896331.4482609052</v>
      </c>
      <c r="AB163" s="62">
        <f t="shared" si="128"/>
        <v>6871127.6642070804</v>
      </c>
      <c r="AC163" s="62">
        <f t="shared" si="128"/>
        <v>6854082.9591646334</v>
      </c>
    </row>
    <row r="164" spans="1:29" ht="15.75" thickBot="1" x14ac:dyDescent="0.3">
      <c r="A164" s="59" t="str">
        <f>A127</f>
        <v>Emission Cost</v>
      </c>
      <c r="B164" s="62">
        <f>B147*B153</f>
        <v>292744.32301910827</v>
      </c>
      <c r="C164" s="62">
        <f t="shared" ref="C164:AC164" si="129">C147*C153</f>
        <v>292465.55909594544</v>
      </c>
      <c r="D164" s="62">
        <f t="shared" si="129"/>
        <v>292066.51474890357</v>
      </c>
      <c r="E164" s="62">
        <f t="shared" si="129"/>
        <v>291495.65374840738</v>
      </c>
      <c r="F164" s="62">
        <f t="shared" si="129"/>
        <v>290679.76741196436</v>
      </c>
      <c r="G164" s="62">
        <f t="shared" si="129"/>
        <v>289515.32128951116</v>
      </c>
      <c r="H164" s="62">
        <f t="shared" si="129"/>
        <v>287856.86434123403</v>
      </c>
      <c r="I164" s="62">
        <f t="shared" si="129"/>
        <v>285502.09321744979</v>
      </c>
      <c r="J164" s="62">
        <f t="shared" si="129"/>
        <v>282173.85051303828</v>
      </c>
      <c r="K164" s="62">
        <f t="shared" si="129"/>
        <v>277501.05780251691</v>
      </c>
      <c r="L164" s="62">
        <f t="shared" si="129"/>
        <v>271004.17965861136</v>
      </c>
      <c r="M164" s="62">
        <f t="shared" si="129"/>
        <v>262097.20277201166</v>
      </c>
      <c r="N164" s="62">
        <f t="shared" si="129"/>
        <v>250127.18026947835</v>
      </c>
      <c r="O164" s="62">
        <f t="shared" si="129"/>
        <v>234480.04842038496</v>
      </c>
      <c r="P164" s="62">
        <f t="shared" si="129"/>
        <v>214775.13056499942</v>
      </c>
      <c r="Q164" s="62">
        <f t="shared" si="129"/>
        <v>191129.79476829237</v>
      </c>
      <c r="R164" s="62">
        <f t="shared" si="129"/>
        <v>164392.27200906764</v>
      </c>
      <c r="S164" s="62">
        <f t="shared" si="129"/>
        <v>136165.57893344958</v>
      </c>
      <c r="T164" s="62">
        <f t="shared" si="129"/>
        <v>108494.33438101113</v>
      </c>
      <c r="U164" s="62">
        <f t="shared" si="129"/>
        <v>83304.630892356668</v>
      </c>
      <c r="V164" s="62">
        <f t="shared" si="129"/>
        <v>61896.970009757802</v>
      </c>
      <c r="W164" s="62">
        <f t="shared" si="129"/>
        <v>44753.267537641594</v>
      </c>
      <c r="X164" s="62">
        <f t="shared" si="129"/>
        <v>31671.861659602866</v>
      </c>
      <c r="Y164" s="62">
        <f t="shared" si="129"/>
        <v>22055.979208976452</v>
      </c>
      <c r="Z164" s="62">
        <f t="shared" si="129"/>
        <v>15180.762366522398</v>
      </c>
      <c r="AA164" s="62">
        <f t="shared" si="129"/>
        <v>10362.25068958263</v>
      </c>
      <c r="AB164" s="62">
        <f t="shared" si="129"/>
        <v>7032.3629519435117</v>
      </c>
      <c r="AC164" s="62">
        <f t="shared" si="129"/>
        <v>4753.554838406355</v>
      </c>
    </row>
    <row r="165" spans="1:29" ht="15.75" thickBot="1" x14ac:dyDescent="0.3">
      <c r="A165" s="31" t="s">
        <v>209</v>
      </c>
      <c r="B165" s="64">
        <f>B156+B157+B158+B159+B160+B161+B162+B163+B164</f>
        <v>22467075.515633099</v>
      </c>
      <c r="C165" s="64">
        <f t="shared" ref="C165:AC165" si="130">C156+C157+C158+C159+C160+C161+C162+C163+C164</f>
        <v>22406069.567036297</v>
      </c>
      <c r="D165" s="64">
        <f t="shared" si="130"/>
        <v>22319436.399538528</v>
      </c>
      <c r="E165" s="64">
        <f t="shared" si="130"/>
        <v>22196958.41788831</v>
      </c>
      <c r="F165" s="64">
        <f t="shared" si="130"/>
        <v>22024934.059904352</v>
      </c>
      <c r="G165" s="64">
        <f t="shared" si="130"/>
        <v>21785609.616798736</v>
      </c>
      <c r="H165" s="64">
        <f t="shared" si="130"/>
        <v>21457184.898042988</v>
      </c>
      <c r="I165" s="64">
        <f t="shared" si="130"/>
        <v>21015141.000365876</v>
      </c>
      <c r="J165" s="64">
        <f t="shared" si="130"/>
        <v>20435912.89349911</v>
      </c>
      <c r="K165" s="64">
        <f t="shared" si="130"/>
        <v>19703710.156858731</v>
      </c>
      <c r="L165" s="64">
        <f t="shared" si="130"/>
        <v>18819845.037496839</v>
      </c>
      <c r="M165" s="64">
        <f t="shared" si="130"/>
        <v>17810992.550323106</v>
      </c>
      <c r="N165" s="64">
        <f t="shared" si="130"/>
        <v>16730209.428734636</v>
      </c>
      <c r="O165" s="64">
        <f t="shared" si="130"/>
        <v>15646366.581328537</v>
      </c>
      <c r="P165" s="64">
        <f t="shared" si="130"/>
        <v>14625413.856256541</v>
      </c>
      <c r="Q165" s="64">
        <f t="shared" si="130"/>
        <v>13714079.469700892</v>
      </c>
      <c r="R165" s="64">
        <f t="shared" si="130"/>
        <v>12934613.977553396</v>
      </c>
      <c r="S165" s="64">
        <f t="shared" si="130"/>
        <v>12289865.621933466</v>
      </c>
      <c r="T165" s="64">
        <f t="shared" si="130"/>
        <v>11771593.023631122</v>
      </c>
      <c r="U165" s="64">
        <f t="shared" si="130"/>
        <v>11366360.152205544</v>
      </c>
      <c r="V165" s="64">
        <f t="shared" si="130"/>
        <v>11058243.995287566</v>
      </c>
      <c r="W165" s="64">
        <f t="shared" si="130"/>
        <v>10830212.665718764</v>
      </c>
      <c r="X165" s="64">
        <f t="shared" si="130"/>
        <v>10665482.403956061</v>
      </c>
      <c r="Y165" s="64">
        <f t="shared" si="130"/>
        <v>10548847.468924005</v>
      </c>
      <c r="Z165" s="64">
        <f t="shared" si="130"/>
        <v>10467551.931012355</v>
      </c>
      <c r="AA165" s="64">
        <f t="shared" si="130"/>
        <v>10411548.149511399</v>
      </c>
      <c r="AB165" s="64">
        <f t="shared" si="130"/>
        <v>10373292.480999099</v>
      </c>
      <c r="AC165" s="64">
        <f t="shared" si="130"/>
        <v>10347315.721021371</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31">A156</f>
        <v>Capex vehicle</v>
      </c>
      <c r="B168" s="65">
        <f>((1+B141)^B148)*B141/(((1+B141)^B148)-1)*(B137)/B153</f>
        <v>19.541646546706382</v>
      </c>
      <c r="C168" s="65">
        <f t="shared" ref="C168:AC168" si="132">((1+C141)^C148)*C141/(((1+C141)^C148)-1)*(C137)/C153</f>
        <v>19.535142908407877</v>
      </c>
      <c r="D168" s="65">
        <f t="shared" si="132"/>
        <v>19.525833095040429</v>
      </c>
      <c r="E168" s="65">
        <f t="shared" si="132"/>
        <v>19.512514752322947</v>
      </c>
      <c r="F168" s="65">
        <f t="shared" si="132"/>
        <v>19.493479901741438</v>
      </c>
      <c r="G168" s="65">
        <f t="shared" si="132"/>
        <v>19.466313056359834</v>
      </c>
      <c r="H168" s="65">
        <f t="shared" si="132"/>
        <v>19.427620803779718</v>
      </c>
      <c r="I168" s="65">
        <f t="shared" si="132"/>
        <v>19.372683351719548</v>
      </c>
      <c r="J168" s="65">
        <f t="shared" si="132"/>
        <v>19.295034542384581</v>
      </c>
      <c r="K168" s="65">
        <f t="shared" si="132"/>
        <v>19.186017014978848</v>
      </c>
      <c r="L168" s="65">
        <f t="shared" si="132"/>
        <v>19.03444307729697</v>
      </c>
      <c r="M168" s="65">
        <f t="shared" si="132"/>
        <v>18.826640879127403</v>
      </c>
      <c r="N168" s="65">
        <f t="shared" si="132"/>
        <v>18.547376991970825</v>
      </c>
      <c r="O168" s="65">
        <f t="shared" si="132"/>
        <v>18.182325141641847</v>
      </c>
      <c r="P168" s="65">
        <f t="shared" si="132"/>
        <v>17.722604037923674</v>
      </c>
      <c r="Q168" s="65">
        <f t="shared" si="132"/>
        <v>17.170951909758209</v>
      </c>
      <c r="R168" s="65">
        <f t="shared" si="132"/>
        <v>16.547158217048082</v>
      </c>
      <c r="S168" s="65">
        <f t="shared" si="132"/>
        <v>15.888621775015123</v>
      </c>
      <c r="T168" s="65">
        <f t="shared" si="132"/>
        <v>15.243044098403505</v>
      </c>
      <c r="U168" s="65">
        <f t="shared" si="132"/>
        <v>14.655361451100672</v>
      </c>
      <c r="V168" s="65">
        <f t="shared" si="132"/>
        <v>14.15591488851158</v>
      </c>
      <c r="W168" s="65">
        <f t="shared" si="132"/>
        <v>13.755947637689308</v>
      </c>
      <c r="X168" s="65">
        <f t="shared" si="132"/>
        <v>13.450754873498525</v>
      </c>
      <c r="Y168" s="65">
        <f t="shared" si="132"/>
        <v>13.226413715323233</v>
      </c>
      <c r="Z168" s="65">
        <f t="shared" si="132"/>
        <v>13.066013032696132</v>
      </c>
      <c r="AA168" s="65">
        <f t="shared" si="132"/>
        <v>12.953595842091289</v>
      </c>
      <c r="AB168" s="65">
        <f t="shared" si="132"/>
        <v>12.875908653682803</v>
      </c>
      <c r="AC168" s="65">
        <f t="shared" si="132"/>
        <v>12.822743439353784</v>
      </c>
    </row>
    <row r="169" spans="1:29" x14ac:dyDescent="0.25">
      <c r="A169" s="30" t="str">
        <f t="shared" si="131"/>
        <v>Residual value (vehicle)</v>
      </c>
      <c r="B169" s="66">
        <f>((1+B141)^B148)*B141/(((1+B141)^B148)-1)*(B138)/B153</f>
        <v>-0.97847824935465733</v>
      </c>
      <c r="C169" s="66">
        <f t="shared" ref="C169:AC169" si="133">((1+C141)^C148)*C141/(((1+C141)^C148)-1)*(C138)/C153</f>
        <v>-0.9787569767103077</v>
      </c>
      <c r="D169" s="66">
        <f t="shared" si="133"/>
        <v>-0.97915596871176991</v>
      </c>
      <c r="E169" s="66">
        <f t="shared" si="133"/>
        <v>-0.97972675482823313</v>
      </c>
      <c r="F169" s="66">
        <f t="shared" si="133"/>
        <v>-0.98054253413886938</v>
      </c>
      <c r="G169" s="66">
        <f t="shared" si="133"/>
        <v>-0.98170682751236671</v>
      </c>
      <c r="H169" s="66">
        <f t="shared" si="133"/>
        <v>-0.98336506690865744</v>
      </c>
      <c r="I169" s="66">
        <f t="shared" si="133"/>
        <v>-0.98571952913980765</v>
      </c>
      <c r="J169" s="66">
        <f t="shared" si="133"/>
        <v>-0.98904733525416333</v>
      </c>
      <c r="K169" s="66">
        <f t="shared" si="133"/>
        <v>-0.99371951500012301</v>
      </c>
      <c r="L169" s="66">
        <f t="shared" si="133"/>
        <v>-1.0002155409007751</v>
      </c>
      <c r="M169" s="66">
        <f t="shared" si="133"/>
        <v>-1.0091213493937565</v>
      </c>
      <c r="N169" s="66">
        <f t="shared" si="133"/>
        <v>-1.021089801700467</v>
      </c>
      <c r="O169" s="66">
        <f t="shared" si="133"/>
        <v>-1.0367348810002803</v>
      </c>
      <c r="P169" s="66">
        <f t="shared" si="133"/>
        <v>-1.0564372140167737</v>
      </c>
      <c r="Q169" s="66">
        <f t="shared" si="133"/>
        <v>-1.0800794480810079</v>
      </c>
      <c r="R169" s="66">
        <f t="shared" si="133"/>
        <v>-1.1068134634828701</v>
      </c>
      <c r="S169" s="66">
        <f t="shared" si="133"/>
        <v>-1.1350364538557114</v>
      </c>
      <c r="T169" s="66">
        <f t="shared" si="133"/>
        <v>-1.1627040685676377</v>
      </c>
      <c r="U169" s="66">
        <f t="shared" si="133"/>
        <v>-1.1878904677377591</v>
      </c>
      <c r="V169" s="66">
        <f t="shared" si="133"/>
        <v>-1.2092953204201489</v>
      </c>
      <c r="W169" s="66">
        <f t="shared" si="133"/>
        <v>-1.2264367740268176</v>
      </c>
      <c r="X169" s="66">
        <f t="shared" si="133"/>
        <v>-1.2395164639207084</v>
      </c>
      <c r="Y169" s="66">
        <f t="shared" si="133"/>
        <v>-1.2491310849853638</v>
      </c>
      <c r="Z169" s="66">
        <f t="shared" si="133"/>
        <v>-1.2560053999550969</v>
      </c>
      <c r="AA169" s="66">
        <f t="shared" si="133"/>
        <v>-1.2608232795524472</v>
      </c>
      <c r="AB169" s="66">
        <f t="shared" si="133"/>
        <v>-1.2641527304842395</v>
      </c>
      <c r="AC169" s="66">
        <f t="shared" si="133"/>
        <v>-1.2664312396697688</v>
      </c>
    </row>
    <row r="170" spans="1:29" x14ac:dyDescent="0.25">
      <c r="A170" s="30" t="str">
        <f t="shared" si="131"/>
        <v>Capex costumization</v>
      </c>
      <c r="B170" s="66">
        <f>((1+B141)^B149)*B141/(((1+B141)^B149)-1)*(B139)/B153</f>
        <v>3.2594465921780813</v>
      </c>
      <c r="C170" s="66">
        <f t="shared" ref="C170:AC170" si="134">((1+C141)^C149)*C141/(((1+C141)^C149)-1)*(C139)/C153</f>
        <v>3.2594465921780813</v>
      </c>
      <c r="D170" s="66">
        <f t="shared" si="134"/>
        <v>3.2594465921780813</v>
      </c>
      <c r="E170" s="66">
        <f t="shared" si="134"/>
        <v>3.2594465921780813</v>
      </c>
      <c r="F170" s="66">
        <f t="shared" si="134"/>
        <v>3.2594465921780813</v>
      </c>
      <c r="G170" s="66">
        <f t="shared" si="134"/>
        <v>3.2594465921780813</v>
      </c>
      <c r="H170" s="66">
        <f t="shared" si="134"/>
        <v>3.2594465921780813</v>
      </c>
      <c r="I170" s="66">
        <f t="shared" si="134"/>
        <v>3.2594465921780813</v>
      </c>
      <c r="J170" s="66">
        <f t="shared" si="134"/>
        <v>3.2594465921780813</v>
      </c>
      <c r="K170" s="66">
        <f t="shared" si="134"/>
        <v>3.2594465921780813</v>
      </c>
      <c r="L170" s="66">
        <f t="shared" si="134"/>
        <v>3.2594465921780813</v>
      </c>
      <c r="M170" s="66">
        <f t="shared" si="134"/>
        <v>3.2594465921780813</v>
      </c>
      <c r="N170" s="66">
        <f t="shared" si="134"/>
        <v>3.2594465921780813</v>
      </c>
      <c r="O170" s="66">
        <f t="shared" si="134"/>
        <v>3.2594465921780813</v>
      </c>
      <c r="P170" s="66">
        <f t="shared" si="134"/>
        <v>3.2594465921780813</v>
      </c>
      <c r="Q170" s="66">
        <f t="shared" si="134"/>
        <v>3.2594465921780813</v>
      </c>
      <c r="R170" s="66">
        <f t="shared" si="134"/>
        <v>3.2594465921780813</v>
      </c>
      <c r="S170" s="66">
        <f t="shared" si="134"/>
        <v>3.2594465921780813</v>
      </c>
      <c r="T170" s="66">
        <f t="shared" si="134"/>
        <v>3.2594465921780813</v>
      </c>
      <c r="U170" s="66">
        <f t="shared" si="134"/>
        <v>3.2594465921780813</v>
      </c>
      <c r="V170" s="66">
        <f t="shared" si="134"/>
        <v>3.2594465921780813</v>
      </c>
      <c r="W170" s="66">
        <f t="shared" si="134"/>
        <v>3.2594465921780813</v>
      </c>
      <c r="X170" s="66">
        <f t="shared" si="134"/>
        <v>3.2594465921780813</v>
      </c>
      <c r="Y170" s="66">
        <f t="shared" si="134"/>
        <v>3.2594465921780813</v>
      </c>
      <c r="Z170" s="66">
        <f t="shared" si="134"/>
        <v>3.2594465921780813</v>
      </c>
      <c r="AA170" s="66">
        <f t="shared" si="134"/>
        <v>3.2594465921780813</v>
      </c>
      <c r="AB170" s="66">
        <f t="shared" si="134"/>
        <v>3.2594465921780813</v>
      </c>
      <c r="AC170" s="66">
        <f t="shared" si="134"/>
        <v>3.2594465921780813</v>
      </c>
    </row>
    <row r="171" spans="1:29" x14ac:dyDescent="0.25">
      <c r="A171" s="30" t="str">
        <f t="shared" si="131"/>
        <v>Residual value (costumization)</v>
      </c>
      <c r="B171" s="66">
        <f>((1+B141)^B149)*B141/(((1+B141)^B149)-1)*(B140)/B153</f>
        <v>-0.32594465921780813</v>
      </c>
      <c r="C171" s="66">
        <f t="shared" ref="C171:AC171" si="135">((1+C141)^C149)*C141/(((1+C141)^C149)-1)*(C140)/C153</f>
        <v>-0.32594465921780813</v>
      </c>
      <c r="D171" s="66">
        <f t="shared" si="135"/>
        <v>-0.32594465921780813</v>
      </c>
      <c r="E171" s="66">
        <f t="shared" si="135"/>
        <v>-0.32594465921780813</v>
      </c>
      <c r="F171" s="66">
        <f t="shared" si="135"/>
        <v>-0.32594465921780813</v>
      </c>
      <c r="G171" s="66">
        <f t="shared" si="135"/>
        <v>-0.32594465921780813</v>
      </c>
      <c r="H171" s="66">
        <f t="shared" si="135"/>
        <v>-0.32594465921780813</v>
      </c>
      <c r="I171" s="66">
        <f t="shared" si="135"/>
        <v>-0.32594465921780813</v>
      </c>
      <c r="J171" s="66">
        <f t="shared" si="135"/>
        <v>-0.32594465921780813</v>
      </c>
      <c r="K171" s="66">
        <f t="shared" si="135"/>
        <v>-0.32594465921780813</v>
      </c>
      <c r="L171" s="66">
        <f t="shared" si="135"/>
        <v>-0.32594465921780813</v>
      </c>
      <c r="M171" s="66">
        <f t="shared" si="135"/>
        <v>-0.32594465921780813</v>
      </c>
      <c r="N171" s="66">
        <f t="shared" si="135"/>
        <v>-0.32594465921780813</v>
      </c>
      <c r="O171" s="66">
        <f t="shared" si="135"/>
        <v>-0.32594465921780813</v>
      </c>
      <c r="P171" s="66">
        <f t="shared" si="135"/>
        <v>-0.32594465921780813</v>
      </c>
      <c r="Q171" s="66">
        <f t="shared" si="135"/>
        <v>-0.32594465921780813</v>
      </c>
      <c r="R171" s="66">
        <f t="shared" si="135"/>
        <v>-0.32594465921780813</v>
      </c>
      <c r="S171" s="66">
        <f t="shared" si="135"/>
        <v>-0.32594465921780813</v>
      </c>
      <c r="T171" s="66">
        <f t="shared" si="135"/>
        <v>-0.32594465921780813</v>
      </c>
      <c r="U171" s="66">
        <f t="shared" si="135"/>
        <v>-0.32594465921780813</v>
      </c>
      <c r="V171" s="66">
        <f t="shared" si="135"/>
        <v>-0.32594465921780813</v>
      </c>
      <c r="W171" s="66">
        <f t="shared" si="135"/>
        <v>-0.32594465921780813</v>
      </c>
      <c r="X171" s="66">
        <f t="shared" si="135"/>
        <v>-0.32594465921780813</v>
      </c>
      <c r="Y171" s="66">
        <f t="shared" si="135"/>
        <v>-0.32594465921780813</v>
      </c>
      <c r="Z171" s="66">
        <f t="shared" si="135"/>
        <v>-0.32594465921780813</v>
      </c>
      <c r="AA171" s="66">
        <f t="shared" si="135"/>
        <v>-0.32594465921780813</v>
      </c>
      <c r="AB171" s="66">
        <f t="shared" si="135"/>
        <v>-0.32594465921780813</v>
      </c>
      <c r="AC171" s="66">
        <f t="shared" si="135"/>
        <v>-0.32594465921780813</v>
      </c>
    </row>
    <row r="172" spans="1:29" x14ac:dyDescent="0.25">
      <c r="A172" s="30" t="str">
        <f t="shared" si="131"/>
        <v>Opex fix (admin, crew, insurance)</v>
      </c>
      <c r="B172" s="66">
        <f>B142/B153</f>
        <v>10.068627450980392</v>
      </c>
      <c r="C172" s="66">
        <f t="shared" ref="C172:AC172" si="136">C142/C153</f>
        <v>10.068627450980392</v>
      </c>
      <c r="D172" s="66">
        <f t="shared" si="136"/>
        <v>10.068627450980392</v>
      </c>
      <c r="E172" s="66">
        <f t="shared" si="136"/>
        <v>10.068627450980392</v>
      </c>
      <c r="F172" s="66">
        <f t="shared" si="136"/>
        <v>10.068627450980392</v>
      </c>
      <c r="G172" s="66">
        <f t="shared" si="136"/>
        <v>10.068627450980392</v>
      </c>
      <c r="H172" s="66">
        <f t="shared" si="136"/>
        <v>10.068627450980392</v>
      </c>
      <c r="I172" s="66">
        <f t="shared" si="136"/>
        <v>10.068627450980392</v>
      </c>
      <c r="J172" s="66">
        <f t="shared" si="136"/>
        <v>10.068627450980392</v>
      </c>
      <c r="K172" s="66">
        <f t="shared" si="136"/>
        <v>10.068627450980392</v>
      </c>
      <c r="L172" s="66">
        <f t="shared" si="136"/>
        <v>10.068627450980392</v>
      </c>
      <c r="M172" s="66">
        <f t="shared" si="136"/>
        <v>10.068627450980392</v>
      </c>
      <c r="N172" s="66">
        <f t="shared" si="136"/>
        <v>10.068627450980392</v>
      </c>
      <c r="O172" s="66">
        <f t="shared" si="136"/>
        <v>10.068627450980392</v>
      </c>
      <c r="P172" s="66">
        <f t="shared" si="136"/>
        <v>10.068627450980392</v>
      </c>
      <c r="Q172" s="66">
        <f t="shared" si="136"/>
        <v>10.068627450980392</v>
      </c>
      <c r="R172" s="66">
        <f t="shared" si="136"/>
        <v>10.068627450980392</v>
      </c>
      <c r="S172" s="66">
        <f t="shared" si="136"/>
        <v>10.068627450980392</v>
      </c>
      <c r="T172" s="66">
        <f t="shared" si="136"/>
        <v>10.068627450980392</v>
      </c>
      <c r="U172" s="66">
        <f t="shared" si="136"/>
        <v>10.068627450980392</v>
      </c>
      <c r="V172" s="66">
        <f t="shared" si="136"/>
        <v>10.068627450980392</v>
      </c>
      <c r="W172" s="66">
        <f t="shared" si="136"/>
        <v>10.068627450980392</v>
      </c>
      <c r="X172" s="66">
        <f t="shared" si="136"/>
        <v>10.068627450980392</v>
      </c>
      <c r="Y172" s="66">
        <f t="shared" si="136"/>
        <v>10.068627450980392</v>
      </c>
      <c r="Z172" s="66">
        <f t="shared" si="136"/>
        <v>10.068627450980392</v>
      </c>
      <c r="AA172" s="66">
        <f t="shared" si="136"/>
        <v>10.068627450980392</v>
      </c>
      <c r="AB172" s="66">
        <f t="shared" si="136"/>
        <v>10.068627450980392</v>
      </c>
      <c r="AC172" s="66">
        <f t="shared" si="136"/>
        <v>10.068627450980392</v>
      </c>
    </row>
    <row r="173" spans="1:29" x14ac:dyDescent="0.25">
      <c r="A173" s="30" t="str">
        <f t="shared" si="131"/>
        <v>Opex maintenance &amp; repair</v>
      </c>
      <c r="B173" s="66">
        <f>B143/B153</f>
        <v>2.8235294117647056</v>
      </c>
      <c r="C173" s="66">
        <f t="shared" ref="C173:AC173" si="137">C143/C153</f>
        <v>2.8235294117647056</v>
      </c>
      <c r="D173" s="66">
        <f t="shared" si="137"/>
        <v>2.8235294117647056</v>
      </c>
      <c r="E173" s="66">
        <f t="shared" si="137"/>
        <v>2.8235294117647056</v>
      </c>
      <c r="F173" s="66">
        <f t="shared" si="137"/>
        <v>2.8235294117647056</v>
      </c>
      <c r="G173" s="66">
        <f t="shared" si="137"/>
        <v>2.8235294117647056</v>
      </c>
      <c r="H173" s="66">
        <f t="shared" si="137"/>
        <v>2.8235294117647056</v>
      </c>
      <c r="I173" s="66">
        <f t="shared" si="137"/>
        <v>2.8235294117647056</v>
      </c>
      <c r="J173" s="66">
        <f t="shared" si="137"/>
        <v>2.8235294117647056</v>
      </c>
      <c r="K173" s="66">
        <f t="shared" si="137"/>
        <v>2.8235294117647056</v>
      </c>
      <c r="L173" s="66">
        <f t="shared" si="137"/>
        <v>2.8235294117647056</v>
      </c>
      <c r="M173" s="66">
        <f t="shared" si="137"/>
        <v>2.8235294117647056</v>
      </c>
      <c r="N173" s="66">
        <f t="shared" si="137"/>
        <v>2.8235294117647056</v>
      </c>
      <c r="O173" s="66">
        <f t="shared" si="137"/>
        <v>2.8235294117647056</v>
      </c>
      <c r="P173" s="66">
        <f t="shared" si="137"/>
        <v>2.8235294117647056</v>
      </c>
      <c r="Q173" s="66">
        <f t="shared" si="137"/>
        <v>2.8235294117647056</v>
      </c>
      <c r="R173" s="66">
        <f t="shared" si="137"/>
        <v>2.8235294117647056</v>
      </c>
      <c r="S173" s="66">
        <f t="shared" si="137"/>
        <v>2.8235294117647056</v>
      </c>
      <c r="T173" s="66">
        <f t="shared" si="137"/>
        <v>2.8235294117647056</v>
      </c>
      <c r="U173" s="66">
        <f t="shared" si="137"/>
        <v>2.8235294117647056</v>
      </c>
      <c r="V173" s="66">
        <f t="shared" si="137"/>
        <v>2.8235294117647056</v>
      </c>
      <c r="W173" s="66">
        <f t="shared" si="137"/>
        <v>2.8235294117647056</v>
      </c>
      <c r="X173" s="66">
        <f t="shared" si="137"/>
        <v>2.8235294117647056</v>
      </c>
      <c r="Y173" s="66">
        <f t="shared" si="137"/>
        <v>2.8235294117647056</v>
      </c>
      <c r="Z173" s="66">
        <f t="shared" si="137"/>
        <v>2.8235294117647056</v>
      </c>
      <c r="AA173" s="66">
        <f t="shared" si="137"/>
        <v>2.8235294117647056</v>
      </c>
      <c r="AB173" s="66">
        <f t="shared" si="137"/>
        <v>2.8235294117647056</v>
      </c>
      <c r="AC173" s="66">
        <f t="shared" si="137"/>
        <v>2.8235294117647056</v>
      </c>
    </row>
    <row r="174" spans="1:29" x14ac:dyDescent="0.25">
      <c r="A174" s="30" t="str">
        <f t="shared" si="131"/>
        <v>Opex var (mode-fees)</v>
      </c>
      <c r="B174" s="66">
        <f>B144*B153/B153</f>
        <v>1.6886890630966982</v>
      </c>
      <c r="C174" s="66">
        <f t="shared" ref="C174:AC174" si="138">C144*C153/C153</f>
        <v>1.6886890630966982</v>
      </c>
      <c r="D174" s="66">
        <f t="shared" si="138"/>
        <v>1.6886890630966982</v>
      </c>
      <c r="E174" s="66">
        <f t="shared" si="138"/>
        <v>1.6886890630966982</v>
      </c>
      <c r="F174" s="66">
        <f t="shared" si="138"/>
        <v>1.6886890630966982</v>
      </c>
      <c r="G174" s="66">
        <f t="shared" si="138"/>
        <v>1.6886890630966982</v>
      </c>
      <c r="H174" s="66">
        <f t="shared" si="138"/>
        <v>1.6886890630966982</v>
      </c>
      <c r="I174" s="66">
        <f t="shared" si="138"/>
        <v>1.6886890630966982</v>
      </c>
      <c r="J174" s="66">
        <f t="shared" si="138"/>
        <v>1.6886890630966982</v>
      </c>
      <c r="K174" s="66">
        <f t="shared" si="138"/>
        <v>1.6886890630966982</v>
      </c>
      <c r="L174" s="66">
        <f t="shared" si="138"/>
        <v>1.6886890630966982</v>
      </c>
      <c r="M174" s="66">
        <f t="shared" si="138"/>
        <v>1.6886890630966982</v>
      </c>
      <c r="N174" s="66">
        <f t="shared" si="138"/>
        <v>1.6886890630966982</v>
      </c>
      <c r="O174" s="66">
        <f t="shared" si="138"/>
        <v>1.6886890630966982</v>
      </c>
      <c r="P174" s="66">
        <f t="shared" si="138"/>
        <v>1.6886890630966982</v>
      </c>
      <c r="Q174" s="66">
        <f t="shared" si="138"/>
        <v>1.6886890630966982</v>
      </c>
      <c r="R174" s="66">
        <f t="shared" si="138"/>
        <v>1.6886890630966982</v>
      </c>
      <c r="S174" s="66">
        <f t="shared" si="138"/>
        <v>1.6886890630966982</v>
      </c>
      <c r="T174" s="66">
        <f t="shared" si="138"/>
        <v>1.6886890630966982</v>
      </c>
      <c r="U174" s="66">
        <f t="shared" si="138"/>
        <v>1.6886890630966982</v>
      </c>
      <c r="V174" s="66">
        <f t="shared" si="138"/>
        <v>1.6886890630966982</v>
      </c>
      <c r="W174" s="66">
        <f t="shared" si="138"/>
        <v>1.6886890630966982</v>
      </c>
      <c r="X174" s="66">
        <f t="shared" si="138"/>
        <v>1.6886890630966982</v>
      </c>
      <c r="Y174" s="66">
        <f t="shared" si="138"/>
        <v>1.6886890630966982</v>
      </c>
      <c r="Z174" s="66">
        <f t="shared" si="138"/>
        <v>1.6886890630966982</v>
      </c>
      <c r="AA174" s="66">
        <f t="shared" si="138"/>
        <v>1.6886890630966982</v>
      </c>
      <c r="AB174" s="66">
        <f t="shared" si="138"/>
        <v>1.6886890630966982</v>
      </c>
      <c r="AC174" s="66">
        <f t="shared" si="138"/>
        <v>1.6886890630966982</v>
      </c>
    </row>
    <row r="175" spans="1:29" x14ac:dyDescent="0.25">
      <c r="A175" s="30" t="str">
        <f t="shared" si="131"/>
        <v>Fuel Cost</v>
      </c>
      <c r="B175" s="66">
        <f>B145*B146*B153/B153</f>
        <v>148.70857711562945</v>
      </c>
      <c r="C175" s="66">
        <f t="shared" ref="C175:AC175" si="139">C145*C146*C153/C153</f>
        <v>148.2092996090033</v>
      </c>
      <c r="D175" s="66">
        <f t="shared" si="139"/>
        <v>147.50039072144946</v>
      </c>
      <c r="E175" s="66">
        <f t="shared" si="139"/>
        <v>146.49838717820242</v>
      </c>
      <c r="F175" s="66">
        <f t="shared" si="139"/>
        <v>145.09150054436526</v>
      </c>
      <c r="G175" s="66">
        <f t="shared" si="139"/>
        <v>143.13516504159401</v>
      </c>
      <c r="H175" s="66">
        <f t="shared" si="139"/>
        <v>140.45246335184149</v>
      </c>
      <c r="I175" s="66">
        <f t="shared" si="139"/>
        <v>136.84567921152174</v>
      </c>
      <c r="J175" s="66">
        <f t="shared" si="139"/>
        <v>132.12749029228479</v>
      </c>
      <c r="K175" s="66">
        <f t="shared" si="139"/>
        <v>126.17843046668766</v>
      </c>
      <c r="L175" s="66">
        <f t="shared" si="139"/>
        <v>119.02509842012032</v>
      </c>
      <c r="M175" s="66">
        <f t="shared" si="139"/>
        <v>110.90892717439007</v>
      </c>
      <c r="N175" s="66">
        <f t="shared" si="139"/>
        <v>102.29338368813721</v>
      </c>
      <c r="O175" s="66">
        <f t="shared" si="139"/>
        <v>93.772449654790975</v>
      </c>
      <c r="P175" s="66">
        <f t="shared" si="139"/>
        <v>85.908141364720535</v>
      </c>
      <c r="Q175" s="66">
        <f t="shared" si="139"/>
        <v>79.08602697062571</v>
      </c>
      <c r="R175" s="66">
        <f t="shared" si="139"/>
        <v>73.463821600502129</v>
      </c>
      <c r="S175" s="66">
        <f t="shared" si="139"/>
        <v>69.012900511705325</v>
      </c>
      <c r="T175" s="66">
        <f t="shared" si="139"/>
        <v>65.597801188446326</v>
      </c>
      <c r="U175" s="66">
        <f t="shared" si="139"/>
        <v>63.043643835444911</v>
      </c>
      <c r="V175" s="66">
        <f t="shared" si="139"/>
        <v>61.175257783754894</v>
      </c>
      <c r="W175" s="66">
        <f t="shared" si="139"/>
        <v>59.834969595711442</v>
      </c>
      <c r="X175" s="66">
        <f t="shared" si="139"/>
        <v>58.889501584090596</v>
      </c>
      <c r="Y175" s="66">
        <f t="shared" si="139"/>
        <v>58.231631925151966</v>
      </c>
      <c r="Z175" s="66">
        <f t="shared" si="139"/>
        <v>57.778737580505499</v>
      </c>
      <c r="AA175" s="66">
        <f t="shared" si="139"/>
        <v>57.469428735507542</v>
      </c>
      <c r="AB175" s="66">
        <f t="shared" si="139"/>
        <v>57.259397201725669</v>
      </c>
      <c r="AC175" s="66">
        <f t="shared" si="139"/>
        <v>57.11735799303861</v>
      </c>
    </row>
    <row r="176" spans="1:29" ht="15.75" thickBot="1" x14ac:dyDescent="0.3">
      <c r="A176" s="59" t="str">
        <f t="shared" ref="A176" si="140">A164</f>
        <v>Emission Cost</v>
      </c>
      <c r="B176" s="66">
        <f>B147</f>
        <v>2.4395360251592355</v>
      </c>
      <c r="C176" s="66">
        <f t="shared" ref="C176:AC176" si="141">C147</f>
        <v>2.437212992466212</v>
      </c>
      <c r="D176" s="66">
        <f t="shared" si="141"/>
        <v>2.4338876229075299</v>
      </c>
      <c r="E176" s="66">
        <f t="shared" si="141"/>
        <v>2.4291304479033946</v>
      </c>
      <c r="F176" s="66">
        <f t="shared" si="141"/>
        <v>2.422331395099703</v>
      </c>
      <c r="G176" s="66">
        <f t="shared" si="141"/>
        <v>2.4126276774125932</v>
      </c>
      <c r="H176" s="66">
        <f t="shared" si="141"/>
        <v>2.3988072028436171</v>
      </c>
      <c r="I176" s="66">
        <f t="shared" si="141"/>
        <v>2.379184110145415</v>
      </c>
      <c r="J176" s="66">
        <f t="shared" si="141"/>
        <v>2.3514487542753191</v>
      </c>
      <c r="K176" s="66">
        <f t="shared" si="141"/>
        <v>2.3125088150209741</v>
      </c>
      <c r="L176" s="66">
        <f t="shared" si="141"/>
        <v>2.2583681638217614</v>
      </c>
      <c r="M176" s="66">
        <f t="shared" si="141"/>
        <v>2.1841433564334305</v>
      </c>
      <c r="N176" s="66">
        <f t="shared" si="141"/>
        <v>2.0843931689123196</v>
      </c>
      <c r="O176" s="66">
        <f t="shared" si="141"/>
        <v>1.9540004035032079</v>
      </c>
      <c r="P176" s="66">
        <f t="shared" si="141"/>
        <v>1.7897927547083285</v>
      </c>
      <c r="Q176" s="66">
        <f t="shared" si="141"/>
        <v>1.5927482897357697</v>
      </c>
      <c r="R176" s="66">
        <f t="shared" si="141"/>
        <v>1.3699356000755636</v>
      </c>
      <c r="S176" s="66">
        <f t="shared" si="141"/>
        <v>1.1347131577787466</v>
      </c>
      <c r="T176" s="66">
        <f t="shared" si="141"/>
        <v>0.90411945317509268</v>
      </c>
      <c r="U176" s="66">
        <f t="shared" si="141"/>
        <v>0.69420525743630557</v>
      </c>
      <c r="V176" s="66">
        <f t="shared" si="141"/>
        <v>0.51580808341464834</v>
      </c>
      <c r="W176" s="66">
        <f t="shared" si="141"/>
        <v>0.37294389614701329</v>
      </c>
      <c r="X176" s="66">
        <f t="shared" si="141"/>
        <v>0.26393218049669054</v>
      </c>
      <c r="Y176" s="66">
        <f t="shared" si="141"/>
        <v>0.18379982674147044</v>
      </c>
      <c r="Z176" s="66">
        <f t="shared" si="141"/>
        <v>0.12650635305435332</v>
      </c>
      <c r="AA176" s="66">
        <f t="shared" si="141"/>
        <v>8.6352089079855254E-2</v>
      </c>
      <c r="AB176" s="66">
        <f t="shared" si="141"/>
        <v>5.8603024599529263E-2</v>
      </c>
      <c r="AC176" s="66">
        <f t="shared" si="141"/>
        <v>3.9612956986719627E-2</v>
      </c>
    </row>
    <row r="177" spans="1:29" ht="15.75" thickBot="1" x14ac:dyDescent="0.3">
      <c r="A177" s="31" t="s">
        <v>63</v>
      </c>
      <c r="B177" s="76">
        <f>B168+B169+B170-B171+B172+B173+B174+B175+B176</f>
        <v>187.87751861537808</v>
      </c>
      <c r="C177" s="76">
        <f t="shared" ref="C177:AC177" si="142">C168+C169+C170-C171+C172+C173+C174+C175+C176</f>
        <v>187.36913571040475</v>
      </c>
      <c r="D177" s="76">
        <f t="shared" si="142"/>
        <v>186.64719264792333</v>
      </c>
      <c r="E177" s="76">
        <f t="shared" si="142"/>
        <v>185.62654280083819</v>
      </c>
      <c r="F177" s="76">
        <f t="shared" si="142"/>
        <v>184.19300648430519</v>
      </c>
      <c r="G177" s="76">
        <f t="shared" si="142"/>
        <v>182.19863612509172</v>
      </c>
      <c r="H177" s="76">
        <f t="shared" si="142"/>
        <v>179.46176346879383</v>
      </c>
      <c r="I177" s="76">
        <f t="shared" si="142"/>
        <v>175.77806432148458</v>
      </c>
      <c r="J177" s="76">
        <f t="shared" si="142"/>
        <v>170.9511634309282</v>
      </c>
      <c r="K177" s="76">
        <f t="shared" si="142"/>
        <v>164.84947395892505</v>
      </c>
      <c r="L177" s="76">
        <f t="shared" si="142"/>
        <v>157.48393129757594</v>
      </c>
      <c r="M177" s="76">
        <f t="shared" si="142"/>
        <v>149.07682723779482</v>
      </c>
      <c r="N177" s="76">
        <f t="shared" si="142"/>
        <v>140.07030122455757</v>
      </c>
      <c r="O177" s="76">
        <f t="shared" si="142"/>
        <v>131.03827749617344</v>
      </c>
      <c r="P177" s="76">
        <f t="shared" si="142"/>
        <v>122.53033812057343</v>
      </c>
      <c r="Q177" s="76">
        <f t="shared" si="142"/>
        <v>114.93588489927635</v>
      </c>
      <c r="R177" s="76">
        <f t="shared" si="142"/>
        <v>108.4403391313806</v>
      </c>
      <c r="S177" s="76">
        <f t="shared" si="142"/>
        <v>103.06743616788117</v>
      </c>
      <c r="T177" s="76">
        <f t="shared" si="142"/>
        <v>98.748497848694967</v>
      </c>
      <c r="U177" s="76">
        <f t="shared" si="142"/>
        <v>95.371557253481811</v>
      </c>
      <c r="V177" s="76">
        <f t="shared" si="142"/>
        <v>92.803922612498667</v>
      </c>
      <c r="W177" s="76">
        <f t="shared" si="142"/>
        <v>90.903661532758633</v>
      </c>
      <c r="X177" s="76">
        <f t="shared" si="142"/>
        <v>89.530909351402798</v>
      </c>
      <c r="Y177" s="76">
        <f t="shared" si="142"/>
        <v>88.558951559468994</v>
      </c>
      <c r="Z177" s="76">
        <f t="shared" si="142"/>
        <v>87.881488743538583</v>
      </c>
      <c r="AA177" s="76">
        <f t="shared" si="142"/>
        <v>87.414790564363926</v>
      </c>
      <c r="AB177" s="76">
        <f t="shared" si="142"/>
        <v>87.095993326761459</v>
      </c>
      <c r="AC177" s="76">
        <f t="shared" si="142"/>
        <v>86.879520326947031</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43">A156</f>
        <v>Capex vehicle</v>
      </c>
      <c r="B180" s="65">
        <f>((1+B141)^B148)*B141/(((1+B141)^B148)-1)*(B137)/B153/(B150)</f>
        <v>2.0678991054715748E-3</v>
      </c>
      <c r="C180" s="65">
        <f t="shared" ref="C180:AC180" si="144">((1+C141)^C148)*C141/(((1+C141)^C148)-1)*(C137)/C153/(C150)</f>
        <v>2.0672108897786113E-3</v>
      </c>
      <c r="D180" s="65">
        <f t="shared" si="144"/>
        <v>2.0662257243429026E-3</v>
      </c>
      <c r="E180" s="65">
        <f t="shared" si="144"/>
        <v>2.0648163759071901E-3</v>
      </c>
      <c r="F180" s="65">
        <f t="shared" si="144"/>
        <v>2.0628021060043848E-3</v>
      </c>
      <c r="G180" s="65">
        <f t="shared" si="144"/>
        <v>2.0599273075513052E-3</v>
      </c>
      <c r="H180" s="65">
        <f t="shared" si="144"/>
        <v>2.0558328892888592E-3</v>
      </c>
      <c r="I180" s="65">
        <f t="shared" si="144"/>
        <v>2.0500194022983649E-3</v>
      </c>
      <c r="J180" s="65">
        <f t="shared" si="144"/>
        <v>2.0418025970777333E-3</v>
      </c>
      <c r="K180" s="65">
        <f t="shared" si="144"/>
        <v>2.0302663507914126E-3</v>
      </c>
      <c r="L180" s="65">
        <f t="shared" si="144"/>
        <v>2.0142267806663458E-3</v>
      </c>
      <c r="M180" s="65">
        <f t="shared" si="144"/>
        <v>1.9922371300663917E-3</v>
      </c>
      <c r="N180" s="65">
        <f t="shared" si="144"/>
        <v>1.9626853959757488E-3</v>
      </c>
      <c r="O180" s="65">
        <f t="shared" si="144"/>
        <v>1.9240555705441109E-3</v>
      </c>
      <c r="P180" s="65">
        <f t="shared" si="144"/>
        <v>1.8754078347009179E-3</v>
      </c>
      <c r="Q180" s="65">
        <f t="shared" si="144"/>
        <v>1.8170319481225618E-3</v>
      </c>
      <c r="R180" s="65">
        <f t="shared" si="144"/>
        <v>1.7510220335500617E-3</v>
      </c>
      <c r="S180" s="65">
        <f t="shared" si="144"/>
        <v>1.6813356375677379E-3</v>
      </c>
      <c r="T180" s="65">
        <f t="shared" si="144"/>
        <v>1.6130205395135985E-3</v>
      </c>
      <c r="U180" s="65">
        <f t="shared" si="144"/>
        <v>1.5508318995873728E-3</v>
      </c>
      <c r="V180" s="65">
        <f t="shared" si="144"/>
        <v>1.497980411482707E-3</v>
      </c>
      <c r="W180" s="65">
        <f t="shared" si="144"/>
        <v>1.4556558346761172E-3</v>
      </c>
      <c r="X180" s="65">
        <f t="shared" si="144"/>
        <v>1.423360304073918E-3</v>
      </c>
      <c r="Y180" s="65">
        <f t="shared" si="144"/>
        <v>1.3996204989760034E-3</v>
      </c>
      <c r="Z180" s="65">
        <f t="shared" si="144"/>
        <v>1.3826468817667865E-3</v>
      </c>
      <c r="AA180" s="65">
        <f t="shared" si="144"/>
        <v>1.370750882760983E-3</v>
      </c>
      <c r="AB180" s="65">
        <f t="shared" si="144"/>
        <v>1.3625300162627306E-3</v>
      </c>
      <c r="AC180" s="65">
        <f t="shared" si="144"/>
        <v>1.3569040676564852E-3</v>
      </c>
    </row>
    <row r="181" spans="1:29" x14ac:dyDescent="0.25">
      <c r="A181" s="30" t="str">
        <f t="shared" si="143"/>
        <v>Residual value (vehicle)</v>
      </c>
      <c r="B181" s="68">
        <f>((1+B141)^B148)*B141/(((1+B141)^B148)-1)*(B138)/B153/(B150)</f>
        <v>-1.0354267188938173E-4</v>
      </c>
      <c r="C181" s="68">
        <f t="shared" ref="C181:AC181" si="145">((1+C141)^C148)*C141/(((1+C141)^C148)-1)*(C138)/C153/(C150)</f>
        <v>-1.0357216684765161E-4</v>
      </c>
      <c r="D181" s="68">
        <f t="shared" si="145"/>
        <v>-1.0361438822346771E-4</v>
      </c>
      <c r="E181" s="68">
        <f t="shared" si="145"/>
        <v>-1.036747888707125E-4</v>
      </c>
      <c r="F181" s="68">
        <f t="shared" si="145"/>
        <v>-1.0376111472368988E-4</v>
      </c>
      <c r="G181" s="68">
        <f t="shared" si="145"/>
        <v>-1.0388432037167901E-4</v>
      </c>
      <c r="H181" s="68">
        <f t="shared" si="145"/>
        <v>-1.0405979544006957E-4</v>
      </c>
      <c r="I181" s="68">
        <f t="shared" si="145"/>
        <v>-1.0430894488251933E-4</v>
      </c>
      <c r="J181" s="68">
        <f t="shared" si="145"/>
        <v>-1.0466109367768924E-4</v>
      </c>
      <c r="K181" s="68">
        <f t="shared" si="145"/>
        <v>-1.0515550423281725E-4</v>
      </c>
      <c r="L181" s="68">
        <f t="shared" si="145"/>
        <v>-1.0584291438103441E-4</v>
      </c>
      <c r="M181" s="68">
        <f t="shared" si="145"/>
        <v>-1.067853279781753E-4</v>
      </c>
      <c r="N181" s="68">
        <f t="shared" si="145"/>
        <v>-1.0805183086777429E-4</v>
      </c>
      <c r="O181" s="68">
        <f t="shared" si="145"/>
        <v>-1.0970739481484449E-4</v>
      </c>
      <c r="P181" s="68">
        <f t="shared" si="145"/>
        <v>-1.1179229777955277E-4</v>
      </c>
      <c r="Q181" s="68">
        <f t="shared" si="145"/>
        <v>-1.1429412149005375E-4</v>
      </c>
      <c r="R181" s="68">
        <f t="shared" si="145"/>
        <v>-1.1712311782887515E-4</v>
      </c>
      <c r="S181" s="68">
        <f t="shared" si="145"/>
        <v>-1.2010967765668903E-4</v>
      </c>
      <c r="T181" s="68">
        <f t="shared" si="145"/>
        <v>-1.2303746757329499E-4</v>
      </c>
      <c r="U181" s="68">
        <f t="shared" si="145"/>
        <v>-1.2570269499870466E-4</v>
      </c>
      <c r="V181" s="68">
        <f t="shared" si="145"/>
        <v>-1.2796775877461892E-4</v>
      </c>
      <c r="W181" s="68">
        <f t="shared" si="145"/>
        <v>-1.2978166920918704E-4</v>
      </c>
      <c r="X181" s="68">
        <f t="shared" si="145"/>
        <v>-1.3116576337785275E-4</v>
      </c>
      <c r="Y181" s="68">
        <f t="shared" si="145"/>
        <v>-1.321831835963348E-4</v>
      </c>
      <c r="Z181" s="68">
        <f t="shared" si="145"/>
        <v>-1.3291062433387269E-4</v>
      </c>
      <c r="AA181" s="68">
        <f t="shared" si="145"/>
        <v>-1.3342045286269283E-4</v>
      </c>
      <c r="AB181" s="68">
        <f t="shared" si="145"/>
        <v>-1.3377277571261794E-4</v>
      </c>
      <c r="AC181" s="68">
        <f t="shared" si="145"/>
        <v>-1.3401388779574273E-4</v>
      </c>
    </row>
    <row r="182" spans="1:29" x14ac:dyDescent="0.25">
      <c r="A182" s="30" t="str">
        <f t="shared" si="143"/>
        <v>Capex costumization</v>
      </c>
      <c r="B182" s="66">
        <f>((1+B141)^B149)*B141/(((1+B141)^B149)-1)*(B139)/B153/(B150)</f>
        <v>3.4491498329926784E-4</v>
      </c>
      <c r="C182" s="66">
        <f t="shared" ref="C182:AC182" si="146">((1+C141)^C149)*C141/(((1+C141)^C149)-1)*(C139)/C153/(C150)</f>
        <v>3.4491498329926784E-4</v>
      </c>
      <c r="D182" s="66">
        <f t="shared" si="146"/>
        <v>3.4491498329926784E-4</v>
      </c>
      <c r="E182" s="66">
        <f t="shared" si="146"/>
        <v>3.4491498329926784E-4</v>
      </c>
      <c r="F182" s="66">
        <f t="shared" si="146"/>
        <v>3.4491498329926784E-4</v>
      </c>
      <c r="G182" s="66">
        <f t="shared" si="146"/>
        <v>3.4491498329926784E-4</v>
      </c>
      <c r="H182" s="66">
        <f t="shared" si="146"/>
        <v>3.4491498329926784E-4</v>
      </c>
      <c r="I182" s="66">
        <f t="shared" si="146"/>
        <v>3.4491498329926784E-4</v>
      </c>
      <c r="J182" s="66">
        <f t="shared" si="146"/>
        <v>3.4491498329926784E-4</v>
      </c>
      <c r="K182" s="66">
        <f t="shared" si="146"/>
        <v>3.4491498329926784E-4</v>
      </c>
      <c r="L182" s="66">
        <f t="shared" si="146"/>
        <v>3.4491498329926784E-4</v>
      </c>
      <c r="M182" s="66">
        <f t="shared" si="146"/>
        <v>3.4491498329926784E-4</v>
      </c>
      <c r="N182" s="66">
        <f t="shared" si="146"/>
        <v>3.4491498329926784E-4</v>
      </c>
      <c r="O182" s="66">
        <f t="shared" si="146"/>
        <v>3.4491498329926784E-4</v>
      </c>
      <c r="P182" s="66">
        <f t="shared" si="146"/>
        <v>3.4491498329926784E-4</v>
      </c>
      <c r="Q182" s="66">
        <f t="shared" si="146"/>
        <v>3.4491498329926784E-4</v>
      </c>
      <c r="R182" s="66">
        <f t="shared" si="146"/>
        <v>3.4491498329926784E-4</v>
      </c>
      <c r="S182" s="66">
        <f t="shared" si="146"/>
        <v>3.4491498329926784E-4</v>
      </c>
      <c r="T182" s="66">
        <f t="shared" si="146"/>
        <v>3.4491498329926784E-4</v>
      </c>
      <c r="U182" s="66">
        <f t="shared" si="146"/>
        <v>3.4491498329926784E-4</v>
      </c>
      <c r="V182" s="66">
        <f t="shared" si="146"/>
        <v>3.4491498329926784E-4</v>
      </c>
      <c r="W182" s="66">
        <f t="shared" si="146"/>
        <v>3.4491498329926784E-4</v>
      </c>
      <c r="X182" s="66">
        <f t="shared" si="146"/>
        <v>3.4491498329926784E-4</v>
      </c>
      <c r="Y182" s="66">
        <f t="shared" si="146"/>
        <v>3.4491498329926784E-4</v>
      </c>
      <c r="Z182" s="66">
        <f t="shared" si="146"/>
        <v>3.4491498329926784E-4</v>
      </c>
      <c r="AA182" s="66">
        <f t="shared" si="146"/>
        <v>3.4491498329926784E-4</v>
      </c>
      <c r="AB182" s="66">
        <f t="shared" si="146"/>
        <v>3.4491498329926784E-4</v>
      </c>
      <c r="AC182" s="66">
        <f t="shared" si="146"/>
        <v>3.4491498329926784E-4</v>
      </c>
    </row>
    <row r="183" spans="1:29" x14ac:dyDescent="0.25">
      <c r="A183" s="30" t="str">
        <f t="shared" si="143"/>
        <v>Residual value (costumization)</v>
      </c>
      <c r="B183" s="69">
        <f>((1+B141)^B149)*B141/(((1+B141)^B149)-1)*(B140)/B153/(B150)</f>
        <v>-3.4491498329926788E-5</v>
      </c>
      <c r="C183" s="69">
        <f t="shared" ref="C183:AC183" si="147">((1+C141)^C149)*C141/(((1+C141)^C149)-1)*(C140)/C153/(C150)</f>
        <v>-3.4491498329926788E-5</v>
      </c>
      <c r="D183" s="69">
        <f t="shared" si="147"/>
        <v>-3.4491498329926788E-5</v>
      </c>
      <c r="E183" s="69">
        <f t="shared" si="147"/>
        <v>-3.4491498329926788E-5</v>
      </c>
      <c r="F183" s="69">
        <f t="shared" si="147"/>
        <v>-3.4491498329926788E-5</v>
      </c>
      <c r="G183" s="69">
        <f t="shared" si="147"/>
        <v>-3.4491498329926788E-5</v>
      </c>
      <c r="H183" s="69">
        <f t="shared" si="147"/>
        <v>-3.4491498329926788E-5</v>
      </c>
      <c r="I183" s="69">
        <f t="shared" si="147"/>
        <v>-3.4491498329926788E-5</v>
      </c>
      <c r="J183" s="69">
        <f t="shared" si="147"/>
        <v>-3.4491498329926788E-5</v>
      </c>
      <c r="K183" s="69">
        <f t="shared" si="147"/>
        <v>-3.4491498329926788E-5</v>
      </c>
      <c r="L183" s="69">
        <f t="shared" si="147"/>
        <v>-3.4491498329926788E-5</v>
      </c>
      <c r="M183" s="69">
        <f t="shared" si="147"/>
        <v>-3.4491498329926788E-5</v>
      </c>
      <c r="N183" s="69">
        <f t="shared" si="147"/>
        <v>-3.4491498329926788E-5</v>
      </c>
      <c r="O183" s="69">
        <f t="shared" si="147"/>
        <v>-3.4491498329926788E-5</v>
      </c>
      <c r="P183" s="69">
        <f t="shared" si="147"/>
        <v>-3.4491498329926788E-5</v>
      </c>
      <c r="Q183" s="69">
        <f t="shared" si="147"/>
        <v>-3.4491498329926788E-5</v>
      </c>
      <c r="R183" s="69">
        <f t="shared" si="147"/>
        <v>-3.4491498329926788E-5</v>
      </c>
      <c r="S183" s="69">
        <f t="shared" si="147"/>
        <v>-3.4491498329926788E-5</v>
      </c>
      <c r="T183" s="69">
        <f t="shared" si="147"/>
        <v>-3.4491498329926788E-5</v>
      </c>
      <c r="U183" s="69">
        <f t="shared" si="147"/>
        <v>-3.4491498329926788E-5</v>
      </c>
      <c r="V183" s="69">
        <f t="shared" si="147"/>
        <v>-3.4491498329926788E-5</v>
      </c>
      <c r="W183" s="69">
        <f t="shared" si="147"/>
        <v>-3.4491498329926788E-5</v>
      </c>
      <c r="X183" s="69">
        <f t="shared" si="147"/>
        <v>-3.4491498329926788E-5</v>
      </c>
      <c r="Y183" s="69">
        <f t="shared" si="147"/>
        <v>-3.4491498329926788E-5</v>
      </c>
      <c r="Z183" s="69">
        <f t="shared" si="147"/>
        <v>-3.4491498329926788E-5</v>
      </c>
      <c r="AA183" s="69">
        <f t="shared" si="147"/>
        <v>-3.4491498329926788E-5</v>
      </c>
      <c r="AB183" s="69">
        <f t="shared" si="147"/>
        <v>-3.4491498329926788E-5</v>
      </c>
      <c r="AC183" s="69">
        <f t="shared" si="147"/>
        <v>-3.4491498329926788E-5</v>
      </c>
    </row>
    <row r="184" spans="1:29" x14ac:dyDescent="0.25">
      <c r="A184" s="30" t="str">
        <f t="shared" si="143"/>
        <v>Opex fix (admin, crew, insurance)</v>
      </c>
      <c r="B184" s="66">
        <f>B142/B153/(B150)</f>
        <v>1.0654632223259673E-3</v>
      </c>
      <c r="C184" s="66">
        <f t="shared" ref="C184:AC184" si="148">C142/C153/(C150)</f>
        <v>1.0654632223259673E-3</v>
      </c>
      <c r="D184" s="66">
        <f t="shared" si="148"/>
        <v>1.0654632223259673E-3</v>
      </c>
      <c r="E184" s="66">
        <f t="shared" si="148"/>
        <v>1.0654632223259673E-3</v>
      </c>
      <c r="F184" s="66">
        <f t="shared" si="148"/>
        <v>1.0654632223259673E-3</v>
      </c>
      <c r="G184" s="66">
        <f t="shared" si="148"/>
        <v>1.0654632223259673E-3</v>
      </c>
      <c r="H184" s="66">
        <f t="shared" si="148"/>
        <v>1.0654632223259673E-3</v>
      </c>
      <c r="I184" s="66">
        <f t="shared" si="148"/>
        <v>1.0654632223259673E-3</v>
      </c>
      <c r="J184" s="66">
        <f t="shared" si="148"/>
        <v>1.0654632223259673E-3</v>
      </c>
      <c r="K184" s="66">
        <f t="shared" si="148"/>
        <v>1.0654632223259673E-3</v>
      </c>
      <c r="L184" s="66">
        <f t="shared" si="148"/>
        <v>1.0654632223259673E-3</v>
      </c>
      <c r="M184" s="66">
        <f t="shared" si="148"/>
        <v>1.0654632223259673E-3</v>
      </c>
      <c r="N184" s="66">
        <f t="shared" si="148"/>
        <v>1.0654632223259673E-3</v>
      </c>
      <c r="O184" s="66">
        <f t="shared" si="148"/>
        <v>1.0654632223259673E-3</v>
      </c>
      <c r="P184" s="66">
        <f t="shared" si="148"/>
        <v>1.0654632223259673E-3</v>
      </c>
      <c r="Q184" s="66">
        <f t="shared" si="148"/>
        <v>1.0654632223259673E-3</v>
      </c>
      <c r="R184" s="66">
        <f t="shared" si="148"/>
        <v>1.0654632223259673E-3</v>
      </c>
      <c r="S184" s="66">
        <f t="shared" si="148"/>
        <v>1.0654632223259673E-3</v>
      </c>
      <c r="T184" s="66">
        <f t="shared" si="148"/>
        <v>1.0654632223259673E-3</v>
      </c>
      <c r="U184" s="66">
        <f t="shared" si="148"/>
        <v>1.0654632223259673E-3</v>
      </c>
      <c r="V184" s="66">
        <f t="shared" si="148"/>
        <v>1.0654632223259673E-3</v>
      </c>
      <c r="W184" s="66">
        <f t="shared" si="148"/>
        <v>1.0654632223259673E-3</v>
      </c>
      <c r="X184" s="66">
        <f t="shared" si="148"/>
        <v>1.0654632223259673E-3</v>
      </c>
      <c r="Y184" s="66">
        <f t="shared" si="148"/>
        <v>1.0654632223259673E-3</v>
      </c>
      <c r="Z184" s="66">
        <f t="shared" si="148"/>
        <v>1.0654632223259673E-3</v>
      </c>
      <c r="AA184" s="66">
        <f t="shared" si="148"/>
        <v>1.0654632223259673E-3</v>
      </c>
      <c r="AB184" s="66">
        <f t="shared" si="148"/>
        <v>1.0654632223259673E-3</v>
      </c>
      <c r="AC184" s="66">
        <f t="shared" si="148"/>
        <v>1.0654632223259673E-3</v>
      </c>
    </row>
    <row r="185" spans="1:29" x14ac:dyDescent="0.25">
      <c r="A185" s="30" t="str">
        <f t="shared" si="143"/>
        <v>Opex maintenance &amp; repair</v>
      </c>
      <c r="B185" s="66">
        <f>B143/B153/(B150)</f>
        <v>2.9878618113912231E-4</v>
      </c>
      <c r="C185" s="66">
        <f t="shared" ref="C185:AC185" si="149">C143/C153/(C150)</f>
        <v>2.9878618113912231E-4</v>
      </c>
      <c r="D185" s="66">
        <f t="shared" si="149"/>
        <v>2.9878618113912231E-4</v>
      </c>
      <c r="E185" s="66">
        <f t="shared" si="149"/>
        <v>2.9878618113912231E-4</v>
      </c>
      <c r="F185" s="66">
        <f t="shared" si="149"/>
        <v>2.9878618113912231E-4</v>
      </c>
      <c r="G185" s="66">
        <f t="shared" si="149"/>
        <v>2.9878618113912231E-4</v>
      </c>
      <c r="H185" s="66">
        <f t="shared" si="149"/>
        <v>2.9878618113912231E-4</v>
      </c>
      <c r="I185" s="66">
        <f t="shared" si="149"/>
        <v>2.9878618113912231E-4</v>
      </c>
      <c r="J185" s="66">
        <f t="shared" si="149"/>
        <v>2.9878618113912231E-4</v>
      </c>
      <c r="K185" s="66">
        <f t="shared" si="149"/>
        <v>2.9878618113912231E-4</v>
      </c>
      <c r="L185" s="66">
        <f t="shared" si="149"/>
        <v>2.9878618113912231E-4</v>
      </c>
      <c r="M185" s="66">
        <f t="shared" si="149"/>
        <v>2.9878618113912231E-4</v>
      </c>
      <c r="N185" s="66">
        <f t="shared" si="149"/>
        <v>2.9878618113912231E-4</v>
      </c>
      <c r="O185" s="66">
        <f t="shared" si="149"/>
        <v>2.9878618113912231E-4</v>
      </c>
      <c r="P185" s="66">
        <f t="shared" si="149"/>
        <v>2.9878618113912231E-4</v>
      </c>
      <c r="Q185" s="66">
        <f t="shared" si="149"/>
        <v>2.9878618113912231E-4</v>
      </c>
      <c r="R185" s="66">
        <f t="shared" si="149"/>
        <v>2.9878618113912231E-4</v>
      </c>
      <c r="S185" s="66">
        <f t="shared" si="149"/>
        <v>2.9878618113912231E-4</v>
      </c>
      <c r="T185" s="66">
        <f t="shared" si="149"/>
        <v>2.9878618113912231E-4</v>
      </c>
      <c r="U185" s="66">
        <f t="shared" si="149"/>
        <v>2.9878618113912231E-4</v>
      </c>
      <c r="V185" s="66">
        <f t="shared" si="149"/>
        <v>2.9878618113912231E-4</v>
      </c>
      <c r="W185" s="66">
        <f t="shared" si="149"/>
        <v>2.9878618113912231E-4</v>
      </c>
      <c r="X185" s="66">
        <f t="shared" si="149"/>
        <v>2.9878618113912231E-4</v>
      </c>
      <c r="Y185" s="66">
        <f t="shared" si="149"/>
        <v>2.9878618113912231E-4</v>
      </c>
      <c r="Z185" s="66">
        <f t="shared" si="149"/>
        <v>2.9878618113912231E-4</v>
      </c>
      <c r="AA185" s="66">
        <f t="shared" si="149"/>
        <v>2.9878618113912231E-4</v>
      </c>
      <c r="AB185" s="66">
        <f t="shared" si="149"/>
        <v>2.9878618113912231E-4</v>
      </c>
      <c r="AC185" s="66">
        <f t="shared" si="149"/>
        <v>2.9878618113912231E-4</v>
      </c>
    </row>
    <row r="186" spans="1:29" x14ac:dyDescent="0.25">
      <c r="A186" s="30" t="str">
        <f t="shared" si="143"/>
        <v>Opex var (mode-fees)</v>
      </c>
      <c r="B186" s="66">
        <f>B144*B153/B153/(B150)</f>
        <v>1.7869725535414797E-4</v>
      </c>
      <c r="C186" s="66">
        <f t="shared" ref="C186:AC186" si="150">C144*C153/C153/(C150)</f>
        <v>1.7869725535414797E-4</v>
      </c>
      <c r="D186" s="66">
        <f t="shared" si="150"/>
        <v>1.7869725535414797E-4</v>
      </c>
      <c r="E186" s="66">
        <f t="shared" si="150"/>
        <v>1.7869725535414797E-4</v>
      </c>
      <c r="F186" s="66">
        <f t="shared" si="150"/>
        <v>1.7869725535414797E-4</v>
      </c>
      <c r="G186" s="66">
        <f t="shared" si="150"/>
        <v>1.7869725535414797E-4</v>
      </c>
      <c r="H186" s="66">
        <f t="shared" si="150"/>
        <v>1.7869725535414797E-4</v>
      </c>
      <c r="I186" s="66">
        <f t="shared" si="150"/>
        <v>1.7869725535414797E-4</v>
      </c>
      <c r="J186" s="66">
        <f t="shared" si="150"/>
        <v>1.7869725535414797E-4</v>
      </c>
      <c r="K186" s="66">
        <f t="shared" si="150"/>
        <v>1.7869725535414797E-4</v>
      </c>
      <c r="L186" s="66">
        <f t="shared" si="150"/>
        <v>1.7869725535414797E-4</v>
      </c>
      <c r="M186" s="66">
        <f t="shared" si="150"/>
        <v>1.7869725535414797E-4</v>
      </c>
      <c r="N186" s="66">
        <f t="shared" si="150"/>
        <v>1.7869725535414797E-4</v>
      </c>
      <c r="O186" s="66">
        <f t="shared" si="150"/>
        <v>1.7869725535414797E-4</v>
      </c>
      <c r="P186" s="66">
        <f t="shared" si="150"/>
        <v>1.7869725535414797E-4</v>
      </c>
      <c r="Q186" s="66">
        <f t="shared" si="150"/>
        <v>1.7869725535414797E-4</v>
      </c>
      <c r="R186" s="66">
        <f t="shared" si="150"/>
        <v>1.7869725535414797E-4</v>
      </c>
      <c r="S186" s="66">
        <f t="shared" si="150"/>
        <v>1.7869725535414797E-4</v>
      </c>
      <c r="T186" s="66">
        <f t="shared" si="150"/>
        <v>1.7869725535414797E-4</v>
      </c>
      <c r="U186" s="66">
        <f t="shared" si="150"/>
        <v>1.7869725535414797E-4</v>
      </c>
      <c r="V186" s="66">
        <f t="shared" si="150"/>
        <v>1.7869725535414797E-4</v>
      </c>
      <c r="W186" s="66">
        <f t="shared" si="150"/>
        <v>1.7869725535414797E-4</v>
      </c>
      <c r="X186" s="66">
        <f t="shared" si="150"/>
        <v>1.7869725535414797E-4</v>
      </c>
      <c r="Y186" s="66">
        <f t="shared" si="150"/>
        <v>1.7869725535414797E-4</v>
      </c>
      <c r="Z186" s="66">
        <f t="shared" si="150"/>
        <v>1.7869725535414797E-4</v>
      </c>
      <c r="AA186" s="66">
        <f t="shared" si="150"/>
        <v>1.7869725535414797E-4</v>
      </c>
      <c r="AB186" s="66">
        <f t="shared" si="150"/>
        <v>1.7869725535414797E-4</v>
      </c>
      <c r="AC186" s="66">
        <f t="shared" si="150"/>
        <v>1.7869725535414797E-4</v>
      </c>
    </row>
    <row r="187" spans="1:29" x14ac:dyDescent="0.25">
      <c r="A187" s="30" t="str">
        <f t="shared" si="143"/>
        <v>Fuel Cost</v>
      </c>
      <c r="B187" s="66">
        <f>B145*B146*B153/B153/(B150)</f>
        <v>1.5736357366733275E-2</v>
      </c>
      <c r="C187" s="66">
        <f t="shared" ref="C187:AC187" si="151">C145*C146*C153/C153/(C150)</f>
        <v>1.5683523768148497E-2</v>
      </c>
      <c r="D187" s="66">
        <f t="shared" si="151"/>
        <v>1.5608506954650736E-2</v>
      </c>
      <c r="E187" s="66">
        <f t="shared" si="151"/>
        <v>1.5502474833672213E-2</v>
      </c>
      <c r="F187" s="66">
        <f t="shared" si="151"/>
        <v>1.5353597941202673E-2</v>
      </c>
      <c r="G187" s="66">
        <f t="shared" si="151"/>
        <v>1.5146578311279789E-2</v>
      </c>
      <c r="H187" s="66">
        <f t="shared" si="151"/>
        <v>1.48626945345864E-2</v>
      </c>
      <c r="I187" s="66">
        <f t="shared" si="151"/>
        <v>1.4481024255187486E-2</v>
      </c>
      <c r="J187" s="66">
        <f t="shared" si="151"/>
        <v>1.3981745004474581E-2</v>
      </c>
      <c r="K187" s="66">
        <f t="shared" si="151"/>
        <v>1.3352214864199753E-2</v>
      </c>
      <c r="L187" s="66">
        <f t="shared" si="151"/>
        <v>1.2595248510065642E-2</v>
      </c>
      <c r="M187" s="66">
        <f t="shared" si="151"/>
        <v>1.1736394409988367E-2</v>
      </c>
      <c r="N187" s="66">
        <f t="shared" si="151"/>
        <v>1.0824696686575366E-2</v>
      </c>
      <c r="O187" s="66">
        <f t="shared" si="151"/>
        <v>9.9230105454805265E-3</v>
      </c>
      <c r="P187" s="66">
        <f t="shared" si="151"/>
        <v>9.0908086100233362E-3</v>
      </c>
      <c r="Q187" s="66">
        <f t="shared" si="151"/>
        <v>8.3688917429233563E-3</v>
      </c>
      <c r="R187" s="66">
        <f t="shared" si="151"/>
        <v>7.7739493757145112E-3</v>
      </c>
      <c r="S187" s="66">
        <f t="shared" si="151"/>
        <v>7.3029524351010929E-3</v>
      </c>
      <c r="T187" s="66">
        <f t="shared" si="151"/>
        <v>6.9415662633276537E-3</v>
      </c>
      <c r="U187" s="66">
        <f t="shared" si="151"/>
        <v>6.6712850619518428E-3</v>
      </c>
      <c r="V187" s="66">
        <f t="shared" si="151"/>
        <v>6.473572252249195E-3</v>
      </c>
      <c r="W187" s="66">
        <f t="shared" si="151"/>
        <v>6.3317428143609992E-3</v>
      </c>
      <c r="X187" s="66">
        <f t="shared" si="151"/>
        <v>6.2316932893217557E-3</v>
      </c>
      <c r="Y187" s="66">
        <f t="shared" si="151"/>
        <v>6.1620774523970332E-3</v>
      </c>
      <c r="Z187" s="66">
        <f t="shared" si="151"/>
        <v>6.1141521249212169E-3</v>
      </c>
      <c r="AA187" s="66">
        <f t="shared" si="151"/>
        <v>6.0814210302124385E-3</v>
      </c>
      <c r="AB187" s="66">
        <f t="shared" si="151"/>
        <v>6.0591954710820812E-3</v>
      </c>
      <c r="AC187" s="66">
        <f t="shared" si="151"/>
        <v>6.0441648669882124E-3</v>
      </c>
    </row>
    <row r="188" spans="1:29" x14ac:dyDescent="0.25">
      <c r="A188" s="59" t="str">
        <f>A151</f>
        <v>Market failure (av. utilization)</v>
      </c>
      <c r="B188" s="66">
        <f t="shared" ref="B188:AC188" si="152">B177/B151-B177/B150</f>
        <v>1.4795325693840532E-2</v>
      </c>
      <c r="C188" s="66">
        <f t="shared" si="152"/>
        <v>1.4755290618267386E-2</v>
      </c>
      <c r="D188" s="66">
        <f t="shared" si="152"/>
        <v>1.4698437713137801E-2</v>
      </c>
      <c r="E188" s="66">
        <f t="shared" si="152"/>
        <v>1.4618061694664258E-2</v>
      </c>
      <c r="F188" s="66">
        <f t="shared" si="152"/>
        <v>1.4505170930227056E-2</v>
      </c>
      <c r="G188" s="66">
        <f t="shared" si="152"/>
        <v>1.4348114571189698E-2</v>
      </c>
      <c r="H188" s="66">
        <f t="shared" si="152"/>
        <v>1.4132586270459956E-2</v>
      </c>
      <c r="I188" s="66">
        <f t="shared" si="152"/>
        <v>1.3842495529192832E-2</v>
      </c>
      <c r="J188" s="66">
        <f t="shared" si="152"/>
        <v>1.34623778264789E-2</v>
      </c>
      <c r="K188" s="66">
        <f t="shared" si="152"/>
        <v>1.2981870719049098E-2</v>
      </c>
      <c r="L188" s="66">
        <f t="shared" si="152"/>
        <v>1.2401835367349404E-2</v>
      </c>
      <c r="M188" s="66">
        <f t="shared" si="152"/>
        <v>1.173977721572397E-2</v>
      </c>
      <c r="N188" s="66">
        <f t="shared" si="152"/>
        <v>1.103051467745993E-2</v>
      </c>
      <c r="O188" s="66">
        <f t="shared" si="152"/>
        <v>1.0319244198049835E-2</v>
      </c>
      <c r="P188" s="66">
        <f t="shared" si="152"/>
        <v>9.6492452808129674E-3</v>
      </c>
      <c r="Q188" s="66">
        <f t="shared" si="152"/>
        <v>9.0511832577257114E-3</v>
      </c>
      <c r="R188" s="66">
        <f t="shared" si="152"/>
        <v>8.5396600275727298E-3</v>
      </c>
      <c r="S188" s="66">
        <f t="shared" si="152"/>
        <v>8.1165447455941869E-3</v>
      </c>
      <c r="T188" s="66">
        <f t="shared" si="152"/>
        <v>7.7764290172468043E-3</v>
      </c>
      <c r="U188" s="66">
        <f t="shared" si="152"/>
        <v>7.5104954647752364E-3</v>
      </c>
      <c r="V188" s="66">
        <f t="shared" si="152"/>
        <v>7.3082946317213158E-3</v>
      </c>
      <c r="W188" s="66">
        <f t="shared" si="152"/>
        <v>7.1586493639677028E-3</v>
      </c>
      <c r="X188" s="66">
        <f t="shared" si="152"/>
        <v>7.0505453408265997E-3</v>
      </c>
      <c r="Y188" s="66">
        <f t="shared" si="152"/>
        <v>6.9740038142069825E-3</v>
      </c>
      <c r="Z188" s="66">
        <f t="shared" si="152"/>
        <v>6.9206537216518621E-3</v>
      </c>
      <c r="AA188" s="66">
        <f t="shared" si="152"/>
        <v>6.8839013118239083E-3</v>
      </c>
      <c r="AB188" s="66">
        <f t="shared" si="152"/>
        <v>6.8587960783963765E-3</v>
      </c>
      <c r="AC188" s="66">
        <f t="shared" si="152"/>
        <v>6.8417488629563313E-3</v>
      </c>
    </row>
    <row r="189" spans="1:29" x14ac:dyDescent="0.25">
      <c r="A189" s="59" t="str">
        <f>A152</f>
        <v>Payload loss (fuel)</v>
      </c>
      <c r="B189" s="66">
        <f>B177/(B150-B152)-B177/B150</f>
        <v>2.2079462461265485E-3</v>
      </c>
      <c r="C189" s="66">
        <f t="shared" ref="C189:AC189" si="153">C177/(C150-C152)-C177/C150</f>
        <v>2.2015065971207441E-3</v>
      </c>
      <c r="D189" s="66">
        <f t="shared" si="153"/>
        <v>2.1923608863186062E-3</v>
      </c>
      <c r="E189" s="66">
        <f t="shared" si="153"/>
        <v>2.1794288330845082E-3</v>
      </c>
      <c r="F189" s="66">
        <f t="shared" si="153"/>
        <v>2.1612598864153808E-3</v>
      </c>
      <c r="G189" s="66">
        <f t="shared" si="153"/>
        <v>2.1359700997913567E-3</v>
      </c>
      <c r="H189" s="66">
        <f t="shared" si="153"/>
        <v>2.1012361846322707E-3</v>
      </c>
      <c r="I189" s="66">
        <f t="shared" si="153"/>
        <v>2.054422933481341E-3</v>
      </c>
      <c r="J189" s="66">
        <f t="shared" si="153"/>
        <v>1.9929483212818497E-3</v>
      </c>
      <c r="K189" s="66">
        <f t="shared" si="153"/>
        <v>1.9149687439651598E-3</v>
      </c>
      <c r="L189" s="66">
        <f t="shared" si="153"/>
        <v>1.8203215663751479E-3</v>
      </c>
      <c r="M189" s="66">
        <f t="shared" si="153"/>
        <v>1.711368409869421E-3</v>
      </c>
      <c r="N189" s="66">
        <f t="shared" si="153"/>
        <v>1.5931277236629557E-3</v>
      </c>
      <c r="O189" s="66">
        <f t="shared" si="153"/>
        <v>1.4722799462387696E-3</v>
      </c>
      <c r="P189" s="66">
        <f t="shared" si="153"/>
        <v>1.3554088055742503E-3</v>
      </c>
      <c r="Q189" s="66">
        <f t="shared" si="153"/>
        <v>1.2475254019789217E-3</v>
      </c>
      <c r="R189" s="66">
        <f t="shared" si="153"/>
        <v>1.1516469784166716E-3</v>
      </c>
      <c r="S189" s="66">
        <f t="shared" si="153"/>
        <v>1.069229843295395E-3</v>
      </c>
      <c r="T189" s="66">
        <f t="shared" si="153"/>
        <v>1.0007084817363673E-3</v>
      </c>
      <c r="U189" s="66">
        <f t="shared" si="153"/>
        <v>9.4571786702135098E-4</v>
      </c>
      <c r="V189" s="66">
        <f t="shared" si="153"/>
        <v>9.0314092117122456E-4</v>
      </c>
      <c r="W189" s="66">
        <f t="shared" si="153"/>
        <v>8.7126048684424764E-4</v>
      </c>
      <c r="X189" s="66">
        <f t="shared" si="153"/>
        <v>8.4806491261483694E-4</v>
      </c>
      <c r="Y189" s="66">
        <f t="shared" si="153"/>
        <v>8.3157151233117371E-4</v>
      </c>
      <c r="Z189" s="66">
        <f t="shared" si="153"/>
        <v>8.2004640067935564E-4</v>
      </c>
      <c r="AA189" s="66">
        <f t="shared" si="153"/>
        <v>8.1209485126380702E-4</v>
      </c>
      <c r="AB189" s="66">
        <f t="shared" si="153"/>
        <v>8.0665823054956731E-4</v>
      </c>
      <c r="AC189" s="66">
        <f t="shared" si="153"/>
        <v>8.0296449808034583E-4</v>
      </c>
    </row>
    <row r="190" spans="1:29" ht="15.75" thickBot="1" x14ac:dyDescent="0.3">
      <c r="A190" s="59" t="str">
        <f>A127</f>
        <v>Emission Cost</v>
      </c>
      <c r="B190" s="68">
        <f>B147*B153/B153/(B150)</f>
        <v>2.5815196033431064E-4</v>
      </c>
      <c r="C190" s="68">
        <f t="shared" ref="C190:AC190" si="154">C147*C153/C153/(C150)</f>
        <v>2.5790613676891132E-4</v>
      </c>
      <c r="D190" s="68">
        <f t="shared" si="154"/>
        <v>2.5755424581032062E-4</v>
      </c>
      <c r="E190" s="68">
        <f t="shared" si="154"/>
        <v>2.5705084104797826E-4</v>
      </c>
      <c r="F190" s="68">
        <f t="shared" si="154"/>
        <v>2.5633136456081513E-4</v>
      </c>
      <c r="G190" s="68">
        <f t="shared" si="154"/>
        <v>2.5530451612831671E-4</v>
      </c>
      <c r="H190" s="68">
        <f t="shared" si="154"/>
        <v>2.538420320469436E-4</v>
      </c>
      <c r="I190" s="68">
        <f t="shared" si="154"/>
        <v>2.5176551430110213E-4</v>
      </c>
      <c r="J190" s="68">
        <f t="shared" si="154"/>
        <v>2.4883055600797026E-4</v>
      </c>
      <c r="K190" s="68">
        <f t="shared" si="154"/>
        <v>2.4470992751544701E-4</v>
      </c>
      <c r="L190" s="68">
        <f t="shared" si="154"/>
        <v>2.3898075807637687E-4</v>
      </c>
      <c r="M190" s="68">
        <f t="shared" si="154"/>
        <v>2.3112628110406671E-4</v>
      </c>
      <c r="N190" s="68">
        <f t="shared" si="154"/>
        <v>2.2057070570500738E-4</v>
      </c>
      <c r="O190" s="68">
        <f t="shared" si="154"/>
        <v>2.0677252947123894E-4</v>
      </c>
      <c r="P190" s="68">
        <f t="shared" si="154"/>
        <v>1.8939605869929403E-4</v>
      </c>
      <c r="Q190" s="68">
        <f t="shared" si="154"/>
        <v>1.685447925646317E-4</v>
      </c>
      <c r="R190" s="68">
        <f t="shared" si="154"/>
        <v>1.4496673016672632E-4</v>
      </c>
      <c r="S190" s="68">
        <f t="shared" si="154"/>
        <v>1.2007546643161339E-4</v>
      </c>
      <c r="T190" s="68">
        <f t="shared" si="154"/>
        <v>9.5674016209004522E-5</v>
      </c>
      <c r="U190" s="68">
        <f t="shared" si="154"/>
        <v>7.3460873802783661E-5</v>
      </c>
      <c r="V190" s="68">
        <f t="shared" si="154"/>
        <v>5.4582865969804057E-5</v>
      </c>
      <c r="W190" s="68">
        <f t="shared" si="154"/>
        <v>3.9464962555239501E-5</v>
      </c>
      <c r="X190" s="68">
        <f t="shared" si="154"/>
        <v>2.7929331269491062E-5</v>
      </c>
      <c r="Y190" s="68">
        <f t="shared" si="154"/>
        <v>1.9449717115499516E-5</v>
      </c>
      <c r="Z190" s="68">
        <f t="shared" si="154"/>
        <v>1.3386915667127335E-5</v>
      </c>
      <c r="AA190" s="68">
        <f t="shared" si="154"/>
        <v>9.1377872042174873E-6</v>
      </c>
      <c r="AB190" s="68">
        <f t="shared" si="154"/>
        <v>6.2013782645004512E-6</v>
      </c>
      <c r="AC190" s="68">
        <f t="shared" si="154"/>
        <v>4.1918473001819709E-6</v>
      </c>
    </row>
    <row r="191" spans="1:29" ht="15.75" thickBot="1" x14ac:dyDescent="0.3">
      <c r="A191" s="31" t="s">
        <v>210</v>
      </c>
      <c r="B191" s="67">
        <f>B180+B181+B182+B183+B184+B185+B186+B187+B188+B189+B190</f>
        <v>3.6815507844405446E-2</v>
      </c>
      <c r="C191" s="67">
        <f t="shared" ref="C191:AC191" si="155">C180+C181+C182+C183+C184+C185+C186+C187+C188+C189+C190</f>
        <v>3.6715235987025079E-2</v>
      </c>
      <c r="D191" s="67">
        <f t="shared" si="155"/>
        <v>3.6572841279825477E-2</v>
      </c>
      <c r="E191" s="67">
        <f t="shared" si="155"/>
        <v>3.6371527933294012E-2</v>
      </c>
      <c r="F191" s="67">
        <f t="shared" si="155"/>
        <v>3.6088771257475206E-2</v>
      </c>
      <c r="G191" s="67">
        <f t="shared" si="155"/>
        <v>3.5695380629357371E-2</v>
      </c>
      <c r="H191" s="67">
        <f t="shared" si="155"/>
        <v>3.5155502259362946E-2</v>
      </c>
      <c r="I191" s="67">
        <f t="shared" si="155"/>
        <v>3.442878883336719E-2</v>
      </c>
      <c r="J191" s="67">
        <f t="shared" si="155"/>
        <v>3.3476413355431917E-2</v>
      </c>
      <c r="K191" s="67">
        <f t="shared" si="155"/>
        <v>3.2272245245076631E-2</v>
      </c>
      <c r="L191" s="67">
        <f t="shared" si="155"/>
        <v>3.0818140211940459E-2</v>
      </c>
      <c r="M191" s="67">
        <f t="shared" si="155"/>
        <v>2.9157488262562616E-2</v>
      </c>
      <c r="N191" s="67">
        <f t="shared" si="155"/>
        <v>2.7376913502299812E-2</v>
      </c>
      <c r="O191" s="67">
        <f t="shared" si="155"/>
        <v>2.5589025538758213E-2</v>
      </c>
      <c r="P191" s="67">
        <f t="shared" si="155"/>
        <v>2.3901844435819792E-2</v>
      </c>
      <c r="Q191" s="67">
        <f t="shared" si="155"/>
        <v>2.2392253165613708E-2</v>
      </c>
      <c r="R191" s="67">
        <f t="shared" si="155"/>
        <v>2.1097492171380402E-2</v>
      </c>
      <c r="S191" s="67">
        <f t="shared" si="155"/>
        <v>2.0023398594121916E-2</v>
      </c>
      <c r="T191" s="67">
        <f t="shared" si="155"/>
        <v>1.9157730994248709E-2</v>
      </c>
      <c r="U191" s="67">
        <f t="shared" si="155"/>
        <v>1.8479458615928458E-2</v>
      </c>
      <c r="V191" s="67">
        <f t="shared" si="155"/>
        <v>1.7962973467608206E-2</v>
      </c>
      <c r="W191" s="67">
        <f t="shared" si="155"/>
        <v>1.7580361936983698E-2</v>
      </c>
      <c r="X191" s="67">
        <f t="shared" si="155"/>
        <v>1.7303797558517325E-2</v>
      </c>
      <c r="Y191" s="67">
        <f t="shared" si="155"/>
        <v>1.7107909955218936E-2</v>
      </c>
      <c r="Z191" s="67">
        <f t="shared" si="155"/>
        <v>1.6971345564141052E-2</v>
      </c>
      <c r="AA191" s="67">
        <f t="shared" si="155"/>
        <v>1.6877255554191242E-2</v>
      </c>
      <c r="AB191" s="67">
        <f t="shared" si="155"/>
        <v>1.6812978542631217E-2</v>
      </c>
      <c r="AC191" s="67">
        <f t="shared" si="155"/>
        <v>1.6769330398974394E-2</v>
      </c>
    </row>
    <row r="193" spans="2:2" x14ac:dyDescent="0.25">
      <c r="B193" s="40"/>
    </row>
    <row r="215" spans="1:44" s="3" customFormat="1" ht="21" x14ac:dyDescent="0.35">
      <c r="A215" s="2" t="str">
        <f>'Parameter Input'!A179</f>
        <v>Short-sea: Break bulk</v>
      </c>
    </row>
    <row r="216" spans="1:44" s="3" customFormat="1" ht="21" x14ac:dyDescent="0.35">
      <c r="A216" s="2" t="s">
        <v>103</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Input'!$L$181</f>
        <v>30000000</v>
      </c>
      <c r="C225" s="42">
        <f>'Parameter Input'!$M$181</f>
        <v>19500000</v>
      </c>
      <c r="D225" s="1" t="s">
        <v>15</v>
      </c>
      <c r="L225" s="51">
        <f>'Parameter Input'!$O$181</f>
        <v>17</v>
      </c>
      <c r="M225" s="52">
        <v>0</v>
      </c>
      <c r="N225" s="52">
        <v>1</v>
      </c>
      <c r="O225" s="52">
        <f>'Parameter Input'!$P$181</f>
        <v>0.9</v>
      </c>
      <c r="P225" s="53">
        <f>'Parameter Input'!$Q$181</f>
        <v>0.4</v>
      </c>
      <c r="Q225" s="4">
        <f t="shared" ref="Q225:AR234" si="156">$N225+($M225-$N225)*((1/(1+EXP(-$P225*(Q$9-$L225)))^$O225))</f>
        <v>0.99780374543478534</v>
      </c>
      <c r="R225" s="4">
        <f t="shared" si="156"/>
        <v>0.99685359315256394</v>
      </c>
      <c r="S225" s="4">
        <f t="shared" si="156"/>
        <v>0.99549347132349975</v>
      </c>
      <c r="T225" s="4">
        <f t="shared" si="156"/>
        <v>0.99354772139898062</v>
      </c>
      <c r="U225" s="4">
        <f t="shared" si="156"/>
        <v>0.99076681540580536</v>
      </c>
      <c r="V225" s="4">
        <f t="shared" si="156"/>
        <v>0.9867978615748374</v>
      </c>
      <c r="W225" s="4">
        <f t="shared" si="156"/>
        <v>0.98114509762858249</v>
      </c>
      <c r="X225" s="4">
        <f t="shared" si="156"/>
        <v>0.97311898315872036</v>
      </c>
      <c r="Y225" s="4">
        <f t="shared" si="156"/>
        <v>0.96177484161592774</v>
      </c>
      <c r="Z225" s="4">
        <f t="shared" si="156"/>
        <v>0.94584787155511363</v>
      </c>
      <c r="AA225" s="4">
        <f t="shared" si="156"/>
        <v>0.92370360150141495</v>
      </c>
      <c r="AB225" s="4">
        <f t="shared" si="156"/>
        <v>0.89334463567658451</v>
      </c>
      <c r="AC225" s="4">
        <f t="shared" si="156"/>
        <v>0.85254543874327005</v>
      </c>
      <c r="AD225" s="4">
        <f t="shared" si="156"/>
        <v>0.79921300652623883</v>
      </c>
      <c r="AE225" s="4">
        <f t="shared" si="156"/>
        <v>0.73204982249993378</v>
      </c>
      <c r="AF225" s="4">
        <f t="shared" si="156"/>
        <v>0.65145592958786691</v>
      </c>
      <c r="AG225" s="4">
        <f t="shared" si="156"/>
        <v>0.56032247880849573</v>
      </c>
      <c r="AH225" s="4">
        <f t="shared" si="156"/>
        <v>0.46411326873185343</v>
      </c>
      <c r="AI225" s="4">
        <f t="shared" si="156"/>
        <v>0.36979727595523937</v>
      </c>
      <c r="AJ225" s="4">
        <f t="shared" si="156"/>
        <v>0.28393948637231203</v>
      </c>
      <c r="AK225" s="4">
        <f t="shared" si="156"/>
        <v>0.21097259161117732</v>
      </c>
      <c r="AL225" s="4">
        <f t="shared" si="156"/>
        <v>0.15253917653798199</v>
      </c>
      <c r="AM225" s="4">
        <f t="shared" si="156"/>
        <v>0.10795188737709993</v>
      </c>
      <c r="AN225" s="4">
        <f t="shared" si="156"/>
        <v>7.5176653938091809E-2</v>
      </c>
      <c r="AO225" s="4">
        <f t="shared" si="156"/>
        <v>5.1742836177502194E-2</v>
      </c>
      <c r="AP225" s="4">
        <f t="shared" si="156"/>
        <v>3.5319190625345942E-2</v>
      </c>
      <c r="AQ225" s="4">
        <f t="shared" si="156"/>
        <v>2.3969442072658165E-2</v>
      </c>
      <c r="AR225" s="4">
        <f t="shared" si="156"/>
        <v>1.6202243558389728E-2</v>
      </c>
    </row>
    <row r="226" spans="1:44" x14ac:dyDescent="0.25">
      <c r="A226" s="24" t="s">
        <v>28</v>
      </c>
      <c r="B226" s="60">
        <f>'Parameter Input'!$L$182</f>
        <v>-1500000</v>
      </c>
      <c r="C226" s="61">
        <f>'Parameter Input'!$M$182</f>
        <v>-1950000</v>
      </c>
      <c r="D226" s="1" t="s">
        <v>15</v>
      </c>
      <c r="L226" s="54">
        <f>'Parameter Input'!$O$182</f>
        <v>17</v>
      </c>
      <c r="M226" s="37">
        <v>0</v>
      </c>
      <c r="N226" s="37">
        <v>1</v>
      </c>
      <c r="O226" s="37">
        <f>'Parameter Input'!$P$182</f>
        <v>0.9</v>
      </c>
      <c r="P226" s="55">
        <f>'Parameter Input'!$Q$182</f>
        <v>0.4</v>
      </c>
      <c r="Q226" s="4">
        <f t="shared" si="156"/>
        <v>0.99780374543478534</v>
      </c>
      <c r="R226" s="4">
        <f t="shared" si="156"/>
        <v>0.99685359315256394</v>
      </c>
      <c r="S226" s="4">
        <f t="shared" si="156"/>
        <v>0.99549347132349975</v>
      </c>
      <c r="T226" s="4">
        <f t="shared" si="156"/>
        <v>0.99354772139898062</v>
      </c>
      <c r="U226" s="4">
        <f t="shared" si="156"/>
        <v>0.99076681540580536</v>
      </c>
      <c r="V226" s="4">
        <f t="shared" si="156"/>
        <v>0.9867978615748374</v>
      </c>
      <c r="W226" s="4">
        <f t="shared" si="156"/>
        <v>0.98114509762858249</v>
      </c>
      <c r="X226" s="4">
        <f t="shared" si="156"/>
        <v>0.97311898315872036</v>
      </c>
      <c r="Y226" s="4">
        <f t="shared" si="156"/>
        <v>0.96177484161592774</v>
      </c>
      <c r="Z226" s="4">
        <f t="shared" si="156"/>
        <v>0.94584787155511363</v>
      </c>
      <c r="AA226" s="4">
        <f t="shared" si="156"/>
        <v>0.92370360150141495</v>
      </c>
      <c r="AB226" s="4">
        <f t="shared" si="156"/>
        <v>0.89334463567658451</v>
      </c>
      <c r="AC226" s="4">
        <f t="shared" si="156"/>
        <v>0.85254543874327005</v>
      </c>
      <c r="AD226" s="4">
        <f t="shared" si="156"/>
        <v>0.79921300652623883</v>
      </c>
      <c r="AE226" s="4">
        <f t="shared" si="156"/>
        <v>0.73204982249993378</v>
      </c>
      <c r="AF226" s="4">
        <f t="shared" si="156"/>
        <v>0.65145592958786691</v>
      </c>
      <c r="AG226" s="4">
        <f t="shared" si="156"/>
        <v>0.56032247880849573</v>
      </c>
      <c r="AH226" s="4">
        <f t="shared" si="156"/>
        <v>0.46411326873185343</v>
      </c>
      <c r="AI226" s="4">
        <f t="shared" si="156"/>
        <v>0.36979727595523937</v>
      </c>
      <c r="AJ226" s="4">
        <f t="shared" si="156"/>
        <v>0.28393948637231203</v>
      </c>
      <c r="AK226" s="4">
        <f t="shared" si="156"/>
        <v>0.21097259161117732</v>
      </c>
      <c r="AL226" s="4">
        <f t="shared" si="156"/>
        <v>0.15253917653798199</v>
      </c>
      <c r="AM226" s="4">
        <f t="shared" si="156"/>
        <v>0.10795188737709993</v>
      </c>
      <c r="AN226" s="4">
        <f t="shared" si="156"/>
        <v>7.5176653938091809E-2</v>
      </c>
      <c r="AO226" s="4">
        <f t="shared" si="156"/>
        <v>5.1742836177502194E-2</v>
      </c>
      <c r="AP226" s="4">
        <f t="shared" si="156"/>
        <v>3.5319190625345942E-2</v>
      </c>
      <c r="AQ226" s="4">
        <f t="shared" si="156"/>
        <v>2.3969442072658165E-2</v>
      </c>
      <c r="AR226" s="4">
        <f t="shared" si="156"/>
        <v>1.6202243558389728E-2</v>
      </c>
    </row>
    <row r="227" spans="1:44" x14ac:dyDescent="0.25">
      <c r="A227" s="24" t="s">
        <v>14</v>
      </c>
      <c r="B227" s="60">
        <f>'Parameter Input'!B180</f>
        <v>1000000</v>
      </c>
      <c r="C227" s="61">
        <f>'Parameter Input'!C180</f>
        <v>1000000</v>
      </c>
      <c r="D227" s="1" t="s">
        <v>15</v>
      </c>
      <c r="L227" s="54">
        <f>'Parameter Input'!E180</f>
        <v>17</v>
      </c>
      <c r="M227" s="37">
        <v>0</v>
      </c>
      <c r="N227" s="37">
        <v>1</v>
      </c>
      <c r="O227" s="37">
        <f>'Parameter Input'!F180</f>
        <v>0.9</v>
      </c>
      <c r="P227" s="55">
        <f>'Parameter Input'!G180</f>
        <v>0.4</v>
      </c>
      <c r="Q227" s="4">
        <f t="shared" si="156"/>
        <v>0.99780374543478534</v>
      </c>
      <c r="R227" s="4">
        <f t="shared" si="156"/>
        <v>0.99685359315256394</v>
      </c>
      <c r="S227" s="4">
        <f t="shared" si="156"/>
        <v>0.99549347132349975</v>
      </c>
      <c r="T227" s="4">
        <f t="shared" si="156"/>
        <v>0.99354772139898062</v>
      </c>
      <c r="U227" s="4">
        <f t="shared" si="156"/>
        <v>0.99076681540580536</v>
      </c>
      <c r="V227" s="4">
        <f t="shared" si="156"/>
        <v>0.9867978615748374</v>
      </c>
      <c r="W227" s="4">
        <f t="shared" si="156"/>
        <v>0.98114509762858249</v>
      </c>
      <c r="X227" s="4">
        <f t="shared" si="156"/>
        <v>0.97311898315872036</v>
      </c>
      <c r="Y227" s="4">
        <f t="shared" si="156"/>
        <v>0.96177484161592774</v>
      </c>
      <c r="Z227" s="4">
        <f t="shared" si="156"/>
        <v>0.94584787155511363</v>
      </c>
      <c r="AA227" s="4">
        <f t="shared" si="156"/>
        <v>0.92370360150141495</v>
      </c>
      <c r="AB227" s="4">
        <f t="shared" si="156"/>
        <v>0.89334463567658451</v>
      </c>
      <c r="AC227" s="4">
        <f t="shared" si="156"/>
        <v>0.85254543874327005</v>
      </c>
      <c r="AD227" s="4">
        <f t="shared" si="156"/>
        <v>0.79921300652623883</v>
      </c>
      <c r="AE227" s="4">
        <f t="shared" si="156"/>
        <v>0.73204982249993378</v>
      </c>
      <c r="AF227" s="4">
        <f t="shared" si="156"/>
        <v>0.65145592958786691</v>
      </c>
      <c r="AG227" s="4">
        <f t="shared" si="156"/>
        <v>0.56032247880849573</v>
      </c>
      <c r="AH227" s="4">
        <f t="shared" si="156"/>
        <v>0.46411326873185343</v>
      </c>
      <c r="AI227" s="4">
        <f t="shared" si="156"/>
        <v>0.36979727595523937</v>
      </c>
      <c r="AJ227" s="4">
        <f t="shared" si="156"/>
        <v>0.28393948637231203</v>
      </c>
      <c r="AK227" s="4">
        <f t="shared" si="156"/>
        <v>0.21097259161117732</v>
      </c>
      <c r="AL227" s="4">
        <f t="shared" si="156"/>
        <v>0.15253917653798199</v>
      </c>
      <c r="AM227" s="4">
        <f t="shared" si="156"/>
        <v>0.10795188737709993</v>
      </c>
      <c r="AN227" s="4">
        <f t="shared" si="156"/>
        <v>7.5176653938091809E-2</v>
      </c>
      <c r="AO227" s="4">
        <f t="shared" si="156"/>
        <v>5.1742836177502194E-2</v>
      </c>
      <c r="AP227" s="4">
        <f t="shared" si="156"/>
        <v>3.5319190625345942E-2</v>
      </c>
      <c r="AQ227" s="4">
        <f t="shared" si="156"/>
        <v>2.3969442072658165E-2</v>
      </c>
      <c r="AR227" s="4">
        <f t="shared" si="156"/>
        <v>1.6202243558389728E-2</v>
      </c>
    </row>
    <row r="228" spans="1:44" x14ac:dyDescent="0.25">
      <c r="A228" s="24" t="s">
        <v>25</v>
      </c>
      <c r="B228" s="60">
        <f>'Parameter Input'!B181</f>
        <v>-100000</v>
      </c>
      <c r="C228" s="61">
        <f>'Parameter Input'!C181</f>
        <v>-100000</v>
      </c>
      <c r="D228" s="1" t="s">
        <v>15</v>
      </c>
      <c r="L228" s="54">
        <f>'Parameter Input'!E181</f>
        <v>17</v>
      </c>
      <c r="M228" s="37">
        <v>0</v>
      </c>
      <c r="N228" s="37">
        <v>1</v>
      </c>
      <c r="O228" s="37">
        <f>'Parameter Input'!F181</f>
        <v>0.9</v>
      </c>
      <c r="P228" s="55">
        <f>'Parameter Input'!G181</f>
        <v>0.4</v>
      </c>
      <c r="Q228" s="4">
        <f t="shared" si="156"/>
        <v>0.99780374543478534</v>
      </c>
      <c r="R228" s="4">
        <f t="shared" si="156"/>
        <v>0.99685359315256394</v>
      </c>
      <c r="S228" s="4">
        <f t="shared" si="156"/>
        <v>0.99549347132349975</v>
      </c>
      <c r="T228" s="4">
        <f t="shared" si="156"/>
        <v>0.99354772139898062</v>
      </c>
      <c r="U228" s="4">
        <f t="shared" si="156"/>
        <v>0.99076681540580536</v>
      </c>
      <c r="V228" s="4">
        <f t="shared" si="156"/>
        <v>0.9867978615748374</v>
      </c>
      <c r="W228" s="4">
        <f t="shared" si="156"/>
        <v>0.98114509762858249</v>
      </c>
      <c r="X228" s="4">
        <f t="shared" si="156"/>
        <v>0.97311898315872036</v>
      </c>
      <c r="Y228" s="4">
        <f t="shared" si="156"/>
        <v>0.96177484161592774</v>
      </c>
      <c r="Z228" s="4">
        <f t="shared" si="156"/>
        <v>0.94584787155511363</v>
      </c>
      <c r="AA228" s="4">
        <f t="shared" si="156"/>
        <v>0.92370360150141495</v>
      </c>
      <c r="AB228" s="4">
        <f t="shared" si="156"/>
        <v>0.89334463567658451</v>
      </c>
      <c r="AC228" s="4">
        <f t="shared" si="156"/>
        <v>0.85254543874327005</v>
      </c>
      <c r="AD228" s="4">
        <f t="shared" si="156"/>
        <v>0.79921300652623883</v>
      </c>
      <c r="AE228" s="4">
        <f t="shared" si="156"/>
        <v>0.73204982249993378</v>
      </c>
      <c r="AF228" s="4">
        <f t="shared" si="156"/>
        <v>0.65145592958786691</v>
      </c>
      <c r="AG228" s="4">
        <f t="shared" si="156"/>
        <v>0.56032247880849573</v>
      </c>
      <c r="AH228" s="4">
        <f t="shared" si="156"/>
        <v>0.46411326873185343</v>
      </c>
      <c r="AI228" s="4">
        <f t="shared" si="156"/>
        <v>0.36979727595523937</v>
      </c>
      <c r="AJ228" s="4">
        <f t="shared" si="156"/>
        <v>0.28393948637231203</v>
      </c>
      <c r="AK228" s="4">
        <f t="shared" si="156"/>
        <v>0.21097259161117732</v>
      </c>
      <c r="AL228" s="4">
        <f t="shared" si="156"/>
        <v>0.15253917653798199</v>
      </c>
      <c r="AM228" s="4">
        <f t="shared" si="156"/>
        <v>0.10795188737709993</v>
      </c>
      <c r="AN228" s="4">
        <f t="shared" si="156"/>
        <v>7.5176653938091809E-2</v>
      </c>
      <c r="AO228" s="4">
        <f t="shared" si="156"/>
        <v>5.1742836177502194E-2</v>
      </c>
      <c r="AP228" s="4">
        <f t="shared" si="156"/>
        <v>3.5319190625345942E-2</v>
      </c>
      <c r="AQ228" s="4">
        <f t="shared" si="156"/>
        <v>2.3969442072658165E-2</v>
      </c>
      <c r="AR228" s="4">
        <f t="shared" si="156"/>
        <v>1.6202243558389728E-2</v>
      </c>
    </row>
    <row r="229" spans="1:44" x14ac:dyDescent="0.25">
      <c r="A229" s="24" t="s">
        <v>79</v>
      </c>
      <c r="B229" s="92">
        <f>'Parameter Input'!$L$188</f>
        <v>0.06</v>
      </c>
      <c r="C229" s="91">
        <f>'Parameter Input'!$M$188</f>
        <v>0.06</v>
      </c>
      <c r="D229" s="1" t="s">
        <v>57</v>
      </c>
      <c r="L229" s="54">
        <f>'Parameter Input'!$O$188</f>
        <v>17</v>
      </c>
      <c r="M229" s="37">
        <v>0</v>
      </c>
      <c r="N229" s="37">
        <v>1</v>
      </c>
      <c r="O229" s="37">
        <f>'Parameter Input'!$P$188</f>
        <v>0.9</v>
      </c>
      <c r="P229" s="55">
        <f>'Parameter Input'!$Q$188</f>
        <v>0.4</v>
      </c>
      <c r="Q229" s="4">
        <f t="shared" si="156"/>
        <v>0.99780374543478534</v>
      </c>
      <c r="R229" s="4">
        <f t="shared" si="156"/>
        <v>0.99685359315256394</v>
      </c>
      <c r="S229" s="4">
        <f t="shared" si="156"/>
        <v>0.99549347132349975</v>
      </c>
      <c r="T229" s="4">
        <f t="shared" si="156"/>
        <v>0.99354772139898062</v>
      </c>
      <c r="U229" s="4">
        <f t="shared" si="156"/>
        <v>0.99076681540580536</v>
      </c>
      <c r="V229" s="4">
        <f t="shared" si="156"/>
        <v>0.9867978615748374</v>
      </c>
      <c r="W229" s="4">
        <f t="shared" si="156"/>
        <v>0.98114509762858249</v>
      </c>
      <c r="X229" s="4">
        <f t="shared" si="156"/>
        <v>0.97311898315872036</v>
      </c>
      <c r="Y229" s="4">
        <f t="shared" si="156"/>
        <v>0.96177484161592774</v>
      </c>
      <c r="Z229" s="4">
        <f t="shared" si="156"/>
        <v>0.94584787155511363</v>
      </c>
      <c r="AA229" s="4">
        <f t="shared" si="156"/>
        <v>0.92370360150141495</v>
      </c>
      <c r="AB229" s="4">
        <f t="shared" si="156"/>
        <v>0.89334463567658451</v>
      </c>
      <c r="AC229" s="4">
        <f t="shared" si="156"/>
        <v>0.85254543874327005</v>
      </c>
      <c r="AD229" s="4">
        <f t="shared" si="156"/>
        <v>0.79921300652623883</v>
      </c>
      <c r="AE229" s="4">
        <f t="shared" si="156"/>
        <v>0.73204982249993378</v>
      </c>
      <c r="AF229" s="4">
        <f t="shared" si="156"/>
        <v>0.65145592958786691</v>
      </c>
      <c r="AG229" s="4">
        <f t="shared" si="156"/>
        <v>0.56032247880849573</v>
      </c>
      <c r="AH229" s="4">
        <f t="shared" si="156"/>
        <v>0.46411326873185343</v>
      </c>
      <c r="AI229" s="4">
        <f t="shared" si="156"/>
        <v>0.36979727595523937</v>
      </c>
      <c r="AJ229" s="4">
        <f t="shared" si="156"/>
        <v>0.28393948637231203</v>
      </c>
      <c r="AK229" s="4">
        <f t="shared" si="156"/>
        <v>0.21097259161117732</v>
      </c>
      <c r="AL229" s="4">
        <f t="shared" si="156"/>
        <v>0.15253917653798199</v>
      </c>
      <c r="AM229" s="4">
        <f t="shared" si="156"/>
        <v>0.10795188737709993</v>
      </c>
      <c r="AN229" s="4">
        <f t="shared" si="156"/>
        <v>7.5176653938091809E-2</v>
      </c>
      <c r="AO229" s="4">
        <f t="shared" si="156"/>
        <v>5.1742836177502194E-2</v>
      </c>
      <c r="AP229" s="4">
        <f t="shared" si="156"/>
        <v>3.5319190625345942E-2</v>
      </c>
      <c r="AQ229" s="4">
        <f t="shared" si="156"/>
        <v>2.3969442072658165E-2</v>
      </c>
      <c r="AR229" s="4">
        <f t="shared" si="156"/>
        <v>1.6202243558389728E-2</v>
      </c>
    </row>
    <row r="230" spans="1:44" x14ac:dyDescent="0.25">
      <c r="A230" s="24" t="s">
        <v>37</v>
      </c>
      <c r="B230" s="60">
        <f>'Parameter Input'!B182</f>
        <v>1208235.294117647</v>
      </c>
      <c r="C230" s="61">
        <f>'Parameter Input'!C182</f>
        <v>1208235.294117647</v>
      </c>
      <c r="D230" s="1" t="s">
        <v>38</v>
      </c>
      <c r="L230" s="54">
        <f>'Parameter Input'!E182</f>
        <v>17</v>
      </c>
      <c r="M230" s="37">
        <v>0</v>
      </c>
      <c r="N230" s="37">
        <v>1</v>
      </c>
      <c r="O230" s="37">
        <f>'Parameter Input'!F182</f>
        <v>0.9</v>
      </c>
      <c r="P230" s="55">
        <f>'Parameter Input'!G182</f>
        <v>0.4</v>
      </c>
      <c r="Q230" s="4">
        <f t="shared" si="156"/>
        <v>0.99780374543478534</v>
      </c>
      <c r="R230" s="4">
        <f t="shared" si="156"/>
        <v>0.99685359315256394</v>
      </c>
      <c r="S230" s="4">
        <f t="shared" si="156"/>
        <v>0.99549347132349975</v>
      </c>
      <c r="T230" s="4">
        <f t="shared" si="156"/>
        <v>0.99354772139898062</v>
      </c>
      <c r="U230" s="4">
        <f t="shared" si="156"/>
        <v>0.99076681540580536</v>
      </c>
      <c r="V230" s="4">
        <f t="shared" si="156"/>
        <v>0.9867978615748374</v>
      </c>
      <c r="W230" s="4">
        <f t="shared" si="156"/>
        <v>0.98114509762858249</v>
      </c>
      <c r="X230" s="4">
        <f t="shared" si="156"/>
        <v>0.97311898315872036</v>
      </c>
      <c r="Y230" s="4">
        <f t="shared" si="156"/>
        <v>0.96177484161592774</v>
      </c>
      <c r="Z230" s="4">
        <f t="shared" si="156"/>
        <v>0.94584787155511363</v>
      </c>
      <c r="AA230" s="4">
        <f t="shared" si="156"/>
        <v>0.92370360150141495</v>
      </c>
      <c r="AB230" s="4">
        <f t="shared" si="156"/>
        <v>0.89334463567658451</v>
      </c>
      <c r="AC230" s="4">
        <f t="shared" si="156"/>
        <v>0.85254543874327005</v>
      </c>
      <c r="AD230" s="4">
        <f t="shared" si="156"/>
        <v>0.79921300652623883</v>
      </c>
      <c r="AE230" s="4">
        <f t="shared" si="156"/>
        <v>0.73204982249993378</v>
      </c>
      <c r="AF230" s="4">
        <f t="shared" si="156"/>
        <v>0.65145592958786691</v>
      </c>
      <c r="AG230" s="4">
        <f t="shared" si="156"/>
        <v>0.56032247880849573</v>
      </c>
      <c r="AH230" s="4">
        <f t="shared" si="156"/>
        <v>0.46411326873185343</v>
      </c>
      <c r="AI230" s="4">
        <f t="shared" si="156"/>
        <v>0.36979727595523937</v>
      </c>
      <c r="AJ230" s="4">
        <f t="shared" si="156"/>
        <v>0.28393948637231203</v>
      </c>
      <c r="AK230" s="4">
        <f t="shared" si="156"/>
        <v>0.21097259161117732</v>
      </c>
      <c r="AL230" s="4">
        <f t="shared" si="156"/>
        <v>0.15253917653798199</v>
      </c>
      <c r="AM230" s="4">
        <f t="shared" si="156"/>
        <v>0.10795188737709993</v>
      </c>
      <c r="AN230" s="4">
        <f t="shared" si="156"/>
        <v>7.5176653938091809E-2</v>
      </c>
      <c r="AO230" s="4">
        <f t="shared" si="156"/>
        <v>5.1742836177502194E-2</v>
      </c>
      <c r="AP230" s="4">
        <f t="shared" si="156"/>
        <v>3.5319190625345942E-2</v>
      </c>
      <c r="AQ230" s="4">
        <f t="shared" si="156"/>
        <v>2.3969442072658165E-2</v>
      </c>
      <c r="AR230" s="4">
        <f t="shared" si="156"/>
        <v>1.6202243558389728E-2</v>
      </c>
    </row>
    <row r="231" spans="1:44" x14ac:dyDescent="0.25">
      <c r="A231" s="24" t="s">
        <v>52</v>
      </c>
      <c r="B231" s="60">
        <f>'Parameter Input'!$L$184</f>
        <v>338823.5294117647</v>
      </c>
      <c r="C231" s="61">
        <f>'Parameter Input'!$M$184</f>
        <v>338823.5294117647</v>
      </c>
      <c r="D231" s="1" t="s">
        <v>38</v>
      </c>
      <c r="L231" s="54">
        <f>'Parameter Input'!$O$184</f>
        <v>17</v>
      </c>
      <c r="M231" s="37">
        <v>0</v>
      </c>
      <c r="N231" s="37">
        <v>1</v>
      </c>
      <c r="O231" s="37">
        <f>'Parameter Input'!$P$184</f>
        <v>0.9</v>
      </c>
      <c r="P231" s="55">
        <f>'Parameter Input'!$Q$184</f>
        <v>0.4</v>
      </c>
      <c r="Q231" s="4">
        <f t="shared" si="156"/>
        <v>0.99780374543478534</v>
      </c>
      <c r="R231" s="4">
        <f t="shared" si="156"/>
        <v>0.99685359315256394</v>
      </c>
      <c r="S231" s="4">
        <f t="shared" si="156"/>
        <v>0.99549347132349975</v>
      </c>
      <c r="T231" s="4">
        <f t="shared" si="156"/>
        <v>0.99354772139898062</v>
      </c>
      <c r="U231" s="4">
        <f t="shared" si="156"/>
        <v>0.99076681540580536</v>
      </c>
      <c r="V231" s="4">
        <f t="shared" si="156"/>
        <v>0.9867978615748374</v>
      </c>
      <c r="W231" s="4">
        <f t="shared" si="156"/>
        <v>0.98114509762858249</v>
      </c>
      <c r="X231" s="4">
        <f t="shared" si="156"/>
        <v>0.97311898315872036</v>
      </c>
      <c r="Y231" s="4">
        <f t="shared" si="156"/>
        <v>0.96177484161592774</v>
      </c>
      <c r="Z231" s="4">
        <f t="shared" si="156"/>
        <v>0.94584787155511363</v>
      </c>
      <c r="AA231" s="4">
        <f t="shared" si="156"/>
        <v>0.92370360150141495</v>
      </c>
      <c r="AB231" s="4">
        <f t="shared" si="156"/>
        <v>0.89334463567658451</v>
      </c>
      <c r="AC231" s="4">
        <f t="shared" si="156"/>
        <v>0.85254543874327005</v>
      </c>
      <c r="AD231" s="4">
        <f t="shared" si="156"/>
        <v>0.79921300652623883</v>
      </c>
      <c r="AE231" s="4">
        <f t="shared" si="156"/>
        <v>0.73204982249993378</v>
      </c>
      <c r="AF231" s="4">
        <f t="shared" si="156"/>
        <v>0.65145592958786691</v>
      </c>
      <c r="AG231" s="4">
        <f t="shared" si="156"/>
        <v>0.56032247880849573</v>
      </c>
      <c r="AH231" s="4">
        <f t="shared" si="156"/>
        <v>0.46411326873185343</v>
      </c>
      <c r="AI231" s="4">
        <f t="shared" si="156"/>
        <v>0.36979727595523937</v>
      </c>
      <c r="AJ231" s="4">
        <f t="shared" si="156"/>
        <v>0.28393948637231203</v>
      </c>
      <c r="AK231" s="4">
        <f t="shared" si="156"/>
        <v>0.21097259161117732</v>
      </c>
      <c r="AL231" s="4">
        <f t="shared" si="156"/>
        <v>0.15253917653798199</v>
      </c>
      <c r="AM231" s="4">
        <f t="shared" si="156"/>
        <v>0.10795188737709993</v>
      </c>
      <c r="AN231" s="4">
        <f t="shared" si="156"/>
        <v>7.5176653938091809E-2</v>
      </c>
      <c r="AO231" s="4">
        <f t="shared" si="156"/>
        <v>5.1742836177502194E-2</v>
      </c>
      <c r="AP231" s="4">
        <f t="shared" si="156"/>
        <v>3.5319190625345942E-2</v>
      </c>
      <c r="AQ231" s="4">
        <f t="shared" si="156"/>
        <v>2.3969442072658165E-2</v>
      </c>
      <c r="AR231" s="4">
        <f t="shared" si="156"/>
        <v>1.6202243558389728E-2</v>
      </c>
    </row>
    <row r="232" spans="1:44" x14ac:dyDescent="0.25">
      <c r="A232" s="24" t="s">
        <v>272</v>
      </c>
      <c r="B232" s="92">
        <f>'Parameter Input'!B187</f>
        <v>0.81280569096848254</v>
      </c>
      <c r="C232" s="61">
        <f>'Parameter Input'!C187</f>
        <v>0.81280569096848254</v>
      </c>
      <c r="D232" s="1" t="s">
        <v>76</v>
      </c>
      <c r="L232" s="54">
        <f>'Parameter Input'!E187</f>
        <v>17</v>
      </c>
      <c r="M232" s="37">
        <v>0</v>
      </c>
      <c r="N232" s="37">
        <v>1</v>
      </c>
      <c r="O232" s="37">
        <f>'Parameter Input'!F187</f>
        <v>0.9</v>
      </c>
      <c r="P232" s="55">
        <f>'Parameter Input'!G187</f>
        <v>0.4</v>
      </c>
      <c r="Q232" s="4">
        <f t="shared" si="156"/>
        <v>0.99780374543478534</v>
      </c>
      <c r="R232" s="4">
        <f t="shared" si="156"/>
        <v>0.99685359315256394</v>
      </c>
      <c r="S232" s="4">
        <f t="shared" si="156"/>
        <v>0.99549347132349975</v>
      </c>
      <c r="T232" s="4">
        <f t="shared" si="156"/>
        <v>0.99354772139898062</v>
      </c>
      <c r="U232" s="4">
        <f t="shared" si="156"/>
        <v>0.99076681540580536</v>
      </c>
      <c r="V232" s="4">
        <f t="shared" si="156"/>
        <v>0.9867978615748374</v>
      </c>
      <c r="W232" s="4">
        <f t="shared" si="156"/>
        <v>0.98114509762858249</v>
      </c>
      <c r="X232" s="4">
        <f t="shared" si="156"/>
        <v>0.97311898315872036</v>
      </c>
      <c r="Y232" s="4">
        <f t="shared" si="156"/>
        <v>0.96177484161592774</v>
      </c>
      <c r="Z232" s="4">
        <f t="shared" si="156"/>
        <v>0.94584787155511363</v>
      </c>
      <c r="AA232" s="4">
        <f t="shared" si="156"/>
        <v>0.92370360150141495</v>
      </c>
      <c r="AB232" s="4">
        <f t="shared" si="156"/>
        <v>0.89334463567658451</v>
      </c>
      <c r="AC232" s="4">
        <f t="shared" si="156"/>
        <v>0.85254543874327005</v>
      </c>
      <c r="AD232" s="4">
        <f t="shared" si="156"/>
        <v>0.79921300652623883</v>
      </c>
      <c r="AE232" s="4">
        <f t="shared" si="156"/>
        <v>0.73204982249993378</v>
      </c>
      <c r="AF232" s="4">
        <f t="shared" si="156"/>
        <v>0.65145592958786691</v>
      </c>
      <c r="AG232" s="4">
        <f t="shared" si="156"/>
        <v>0.56032247880849573</v>
      </c>
      <c r="AH232" s="4">
        <f t="shared" si="156"/>
        <v>0.46411326873185343</v>
      </c>
      <c r="AI232" s="4">
        <f t="shared" si="156"/>
        <v>0.36979727595523937</v>
      </c>
      <c r="AJ232" s="4">
        <f t="shared" si="156"/>
        <v>0.28393948637231203</v>
      </c>
      <c r="AK232" s="4">
        <f t="shared" si="156"/>
        <v>0.21097259161117732</v>
      </c>
      <c r="AL232" s="4">
        <f t="shared" si="156"/>
        <v>0.15253917653798199</v>
      </c>
      <c r="AM232" s="4">
        <f t="shared" si="156"/>
        <v>0.10795188737709993</v>
      </c>
      <c r="AN232" s="4">
        <f t="shared" si="156"/>
        <v>7.5176653938091809E-2</v>
      </c>
      <c r="AO232" s="4">
        <f t="shared" si="156"/>
        <v>5.1742836177502194E-2</v>
      </c>
      <c r="AP232" s="4">
        <f t="shared" si="156"/>
        <v>3.5319190625345942E-2</v>
      </c>
      <c r="AQ232" s="4">
        <f t="shared" si="156"/>
        <v>2.3969442072658165E-2</v>
      </c>
      <c r="AR232" s="4">
        <f t="shared" si="156"/>
        <v>1.6202243558389728E-2</v>
      </c>
    </row>
    <row r="233" spans="1:44" x14ac:dyDescent="0.25">
      <c r="A233" s="24" t="s">
        <v>59</v>
      </c>
      <c r="B233" s="60">
        <f>'Parameter Input'!$L$185</f>
        <v>589</v>
      </c>
      <c r="C233" s="61">
        <f>'Parameter Input'!$M$185</f>
        <v>519</v>
      </c>
      <c r="D233" s="1" t="s">
        <v>60</v>
      </c>
      <c r="L233" s="54">
        <f>'Parameter Input'!$O$185</f>
        <v>17</v>
      </c>
      <c r="M233" s="37">
        <v>0</v>
      </c>
      <c r="N233" s="37">
        <v>1</v>
      </c>
      <c r="O233" s="37">
        <f>'Parameter Input'!$P$185</f>
        <v>0.9</v>
      </c>
      <c r="P233" s="55">
        <f>'Parameter Input'!$Q$185</f>
        <v>0.4</v>
      </c>
      <c r="Q233" s="4">
        <f t="shared" si="156"/>
        <v>0.99780374543478534</v>
      </c>
      <c r="R233" s="4">
        <f t="shared" si="156"/>
        <v>0.99685359315256394</v>
      </c>
      <c r="S233" s="4">
        <f t="shared" si="156"/>
        <v>0.99549347132349975</v>
      </c>
      <c r="T233" s="4">
        <f t="shared" si="156"/>
        <v>0.99354772139898062</v>
      </c>
      <c r="U233" s="4">
        <f t="shared" si="156"/>
        <v>0.99076681540580536</v>
      </c>
      <c r="V233" s="4">
        <f t="shared" si="156"/>
        <v>0.9867978615748374</v>
      </c>
      <c r="W233" s="4">
        <f t="shared" si="156"/>
        <v>0.98114509762858249</v>
      </c>
      <c r="X233" s="4">
        <f t="shared" si="156"/>
        <v>0.97311898315872036</v>
      </c>
      <c r="Y233" s="4">
        <f t="shared" si="156"/>
        <v>0.96177484161592774</v>
      </c>
      <c r="Z233" s="4">
        <f t="shared" si="156"/>
        <v>0.94584787155511363</v>
      </c>
      <c r="AA233" s="4">
        <f t="shared" si="156"/>
        <v>0.92370360150141495</v>
      </c>
      <c r="AB233" s="4">
        <f t="shared" si="156"/>
        <v>0.89334463567658451</v>
      </c>
      <c r="AC233" s="4">
        <f t="shared" si="156"/>
        <v>0.85254543874327005</v>
      </c>
      <c r="AD233" s="4">
        <f t="shared" si="156"/>
        <v>0.79921300652623883</v>
      </c>
      <c r="AE233" s="4">
        <f t="shared" si="156"/>
        <v>0.73204982249993378</v>
      </c>
      <c r="AF233" s="4">
        <f t="shared" si="156"/>
        <v>0.65145592958786691</v>
      </c>
      <c r="AG233" s="4">
        <f t="shared" si="156"/>
        <v>0.56032247880849573</v>
      </c>
      <c r="AH233" s="4">
        <f t="shared" si="156"/>
        <v>0.46411326873185343</v>
      </c>
      <c r="AI233" s="4">
        <f t="shared" si="156"/>
        <v>0.36979727595523937</v>
      </c>
      <c r="AJ233" s="4">
        <f t="shared" si="156"/>
        <v>0.28393948637231203</v>
      </c>
      <c r="AK233" s="4">
        <f t="shared" si="156"/>
        <v>0.21097259161117732</v>
      </c>
      <c r="AL233" s="4">
        <f t="shared" si="156"/>
        <v>0.15253917653798199</v>
      </c>
      <c r="AM233" s="4">
        <f t="shared" si="156"/>
        <v>0.10795188737709993</v>
      </c>
      <c r="AN233" s="4">
        <f t="shared" si="156"/>
        <v>7.5176653938091809E-2</v>
      </c>
      <c r="AO233" s="4">
        <f t="shared" si="156"/>
        <v>5.1742836177502194E-2</v>
      </c>
      <c r="AP233" s="4">
        <f t="shared" si="156"/>
        <v>3.5319190625345942E-2</v>
      </c>
      <c r="AQ233" s="4">
        <f t="shared" si="156"/>
        <v>2.3969442072658165E-2</v>
      </c>
      <c r="AR233" s="4">
        <f t="shared" si="156"/>
        <v>1.6202243558389728E-2</v>
      </c>
    </row>
    <row r="234" spans="1:44" x14ac:dyDescent="0.25">
      <c r="A234" s="24" t="s">
        <v>67</v>
      </c>
      <c r="B234" s="78">
        <f>'Parameter Input'!$L$186</f>
        <v>0.2544561408768215</v>
      </c>
      <c r="C234" s="61">
        <f>'Parameter Input'!$M$186</f>
        <v>0.10949010032952979</v>
      </c>
      <c r="D234" s="1" t="s">
        <v>68</v>
      </c>
      <c r="L234" s="54">
        <f>'Parameter Input'!$O$186</f>
        <v>12</v>
      </c>
      <c r="M234" s="37">
        <v>0</v>
      </c>
      <c r="N234" s="37">
        <v>1</v>
      </c>
      <c r="O234" s="37">
        <f>'Parameter Input'!$P$186</f>
        <v>0.9</v>
      </c>
      <c r="P234" s="55">
        <f>'Parameter Input'!$Q$186</f>
        <v>0.4</v>
      </c>
      <c r="Q234" s="4">
        <f t="shared" si="156"/>
        <v>0.9867978615748374</v>
      </c>
      <c r="R234" s="4">
        <f t="shared" si="156"/>
        <v>0.98114509762858249</v>
      </c>
      <c r="S234" s="4">
        <f t="shared" si="156"/>
        <v>0.97311898315872036</v>
      </c>
      <c r="T234" s="4">
        <f t="shared" ref="T234:AI241" si="157">$N234+($M234-$N234)*((1/(1+EXP(-$P234*(T$9-$L234)))^$O234))</f>
        <v>0.96177484161592774</v>
      </c>
      <c r="U234" s="4">
        <f t="shared" si="157"/>
        <v>0.94584787155511363</v>
      </c>
      <c r="V234" s="4">
        <f t="shared" si="157"/>
        <v>0.92370360150141495</v>
      </c>
      <c r="W234" s="4">
        <f t="shared" si="157"/>
        <v>0.89334463567658451</v>
      </c>
      <c r="X234" s="4">
        <f t="shared" si="157"/>
        <v>0.85254543874327005</v>
      </c>
      <c r="Y234" s="4">
        <f t="shared" si="157"/>
        <v>0.79921300652623883</v>
      </c>
      <c r="Z234" s="4">
        <f t="shared" si="157"/>
        <v>0.73204982249993378</v>
      </c>
      <c r="AA234" s="4">
        <f t="shared" si="157"/>
        <v>0.65145592958786691</v>
      </c>
      <c r="AB234" s="4">
        <f t="shared" si="157"/>
        <v>0.56032247880849573</v>
      </c>
      <c r="AC234" s="4">
        <f t="shared" si="157"/>
        <v>0.46411326873185343</v>
      </c>
      <c r="AD234" s="4">
        <f t="shared" si="157"/>
        <v>0.36979727595523937</v>
      </c>
      <c r="AE234" s="4">
        <f t="shared" si="157"/>
        <v>0.28393948637231203</v>
      </c>
      <c r="AF234" s="4">
        <f t="shared" si="157"/>
        <v>0.21097259161117732</v>
      </c>
      <c r="AG234" s="4">
        <f t="shared" si="157"/>
        <v>0.15253917653798199</v>
      </c>
      <c r="AH234" s="4">
        <f t="shared" si="157"/>
        <v>0.10795188737709993</v>
      </c>
      <c r="AI234" s="4">
        <f t="shared" si="157"/>
        <v>7.5176653938091809E-2</v>
      </c>
      <c r="AJ234" s="4">
        <f t="shared" ref="AJ234:AR241" si="158">$N234+($M234-$N234)*((1/(1+EXP(-$P234*(AJ$9-$L234)))^$O234))</f>
        <v>5.1742836177502194E-2</v>
      </c>
      <c r="AK234" s="4">
        <f t="shared" si="158"/>
        <v>3.5319190625345942E-2</v>
      </c>
      <c r="AL234" s="4">
        <f t="shared" si="158"/>
        <v>2.3969442072658165E-2</v>
      </c>
      <c r="AM234" s="4">
        <f t="shared" si="158"/>
        <v>1.6202243558389728E-2</v>
      </c>
      <c r="AN234" s="4">
        <f t="shared" si="158"/>
        <v>1.0922240564108399E-2</v>
      </c>
      <c r="AO234" s="4">
        <f t="shared" si="158"/>
        <v>7.3493212906090566E-3</v>
      </c>
      <c r="AP234" s="4">
        <f t="shared" si="158"/>
        <v>4.9390262185057265E-3</v>
      </c>
      <c r="AQ234" s="4">
        <f t="shared" si="158"/>
        <v>3.3164275492956197E-3</v>
      </c>
      <c r="AR234" s="4">
        <f t="shared" si="158"/>
        <v>2.2256362146679809E-3</v>
      </c>
    </row>
    <row r="235" spans="1:44" x14ac:dyDescent="0.25">
      <c r="A235" s="24" t="s">
        <v>206</v>
      </c>
      <c r="B235" s="115">
        <f>'Parameter Input'!$L$189</f>
        <v>2.4449056603773585</v>
      </c>
      <c r="C235" s="116">
        <f>'Parameter Input'!$M$189</f>
        <v>0</v>
      </c>
      <c r="D235" s="1" t="s">
        <v>76</v>
      </c>
      <c r="L235" s="54">
        <f>'Parameter Input'!$O$189</f>
        <v>17</v>
      </c>
      <c r="M235" s="37">
        <v>0</v>
      </c>
      <c r="N235" s="37">
        <v>1</v>
      </c>
      <c r="O235" s="37">
        <f>'Parameter Input'!$P$189</f>
        <v>0.9</v>
      </c>
      <c r="P235" s="55">
        <f>'Parameter Input'!$Q$189</f>
        <v>0.4</v>
      </c>
      <c r="Q235" s="4">
        <f t="shared" ref="Q235:AR235" si="159">$N235+($M235-$N235)*((1/(1+EXP(-$P235*(Q$9-$L235)))^$O235))</f>
        <v>0.99780374543478534</v>
      </c>
      <c r="R235" s="4">
        <f t="shared" si="159"/>
        <v>0.99685359315256394</v>
      </c>
      <c r="S235" s="4">
        <f t="shared" si="159"/>
        <v>0.99549347132349975</v>
      </c>
      <c r="T235" s="4">
        <f t="shared" si="159"/>
        <v>0.99354772139898062</v>
      </c>
      <c r="U235" s="4">
        <f t="shared" si="159"/>
        <v>0.99076681540580536</v>
      </c>
      <c r="V235" s="4">
        <f t="shared" si="159"/>
        <v>0.9867978615748374</v>
      </c>
      <c r="W235" s="4">
        <f t="shared" si="159"/>
        <v>0.98114509762858249</v>
      </c>
      <c r="X235" s="4">
        <f t="shared" si="159"/>
        <v>0.97311898315872036</v>
      </c>
      <c r="Y235" s="4">
        <f t="shared" si="159"/>
        <v>0.96177484161592774</v>
      </c>
      <c r="Z235" s="4">
        <f t="shared" si="159"/>
        <v>0.94584787155511363</v>
      </c>
      <c r="AA235" s="4">
        <f t="shared" si="159"/>
        <v>0.92370360150141495</v>
      </c>
      <c r="AB235" s="4">
        <f t="shared" si="159"/>
        <v>0.89334463567658451</v>
      </c>
      <c r="AC235" s="4">
        <f t="shared" si="159"/>
        <v>0.85254543874327005</v>
      </c>
      <c r="AD235" s="4">
        <f t="shared" si="159"/>
        <v>0.79921300652623883</v>
      </c>
      <c r="AE235" s="4">
        <f t="shared" si="159"/>
        <v>0.73204982249993378</v>
      </c>
      <c r="AF235" s="4">
        <f t="shared" si="159"/>
        <v>0.65145592958786691</v>
      </c>
      <c r="AG235" s="4">
        <f t="shared" si="159"/>
        <v>0.56032247880849573</v>
      </c>
      <c r="AH235" s="4">
        <f t="shared" si="159"/>
        <v>0.46411326873185343</v>
      </c>
      <c r="AI235" s="4">
        <f t="shared" si="159"/>
        <v>0.36979727595523937</v>
      </c>
      <c r="AJ235" s="4">
        <f t="shared" si="159"/>
        <v>0.28393948637231203</v>
      </c>
      <c r="AK235" s="4">
        <f t="shared" si="159"/>
        <v>0.21097259161117732</v>
      </c>
      <c r="AL235" s="4">
        <f t="shared" si="159"/>
        <v>0.15253917653798199</v>
      </c>
      <c r="AM235" s="4">
        <f t="shared" si="159"/>
        <v>0.10795188737709993</v>
      </c>
      <c r="AN235" s="4">
        <f t="shared" si="159"/>
        <v>7.5176653938091809E-2</v>
      </c>
      <c r="AO235" s="4">
        <f t="shared" si="159"/>
        <v>5.1742836177502194E-2</v>
      </c>
      <c r="AP235" s="4">
        <f t="shared" si="159"/>
        <v>3.5319190625345942E-2</v>
      </c>
      <c r="AQ235" s="4">
        <f t="shared" si="159"/>
        <v>2.3969442072658165E-2</v>
      </c>
      <c r="AR235" s="4">
        <f t="shared" si="159"/>
        <v>1.6202243558389728E-2</v>
      </c>
    </row>
    <row r="236" spans="1:44" x14ac:dyDescent="0.25">
      <c r="A236" s="24" t="s">
        <v>41</v>
      </c>
      <c r="B236" s="60">
        <f>'Parameter Input'!$L$183</f>
        <v>25</v>
      </c>
      <c r="C236" s="61">
        <f>'Parameter Input'!$M$183</f>
        <v>25</v>
      </c>
      <c r="D236" s="1" t="s">
        <v>42</v>
      </c>
      <c r="L236" s="54">
        <f>'Parameter Input'!$O$183</f>
        <v>17</v>
      </c>
      <c r="M236" s="37">
        <v>0</v>
      </c>
      <c r="N236" s="37">
        <v>1</v>
      </c>
      <c r="O236" s="37">
        <f>'Parameter Input'!$P$183</f>
        <v>0.9</v>
      </c>
      <c r="P236" s="55">
        <f>'Parameter Input'!$Q$183</f>
        <v>0.4</v>
      </c>
      <c r="Q236" s="4">
        <f t="shared" ref="Q236:AF241" si="160">$N236+($M236-$N236)*((1/(1+EXP(-$P236*(Q$9-$L236)))^$O236))</f>
        <v>0.99780374543478534</v>
      </c>
      <c r="R236" s="4">
        <f t="shared" si="160"/>
        <v>0.99685359315256394</v>
      </c>
      <c r="S236" s="4">
        <f t="shared" si="160"/>
        <v>0.99549347132349975</v>
      </c>
      <c r="T236" s="4">
        <f t="shared" si="160"/>
        <v>0.99354772139898062</v>
      </c>
      <c r="U236" s="4">
        <f t="shared" si="160"/>
        <v>0.99076681540580536</v>
      </c>
      <c r="V236" s="4">
        <f t="shared" si="160"/>
        <v>0.9867978615748374</v>
      </c>
      <c r="W236" s="4">
        <f t="shared" si="160"/>
        <v>0.98114509762858249</v>
      </c>
      <c r="X236" s="4">
        <f t="shared" si="160"/>
        <v>0.97311898315872036</v>
      </c>
      <c r="Y236" s="4">
        <f t="shared" si="160"/>
        <v>0.96177484161592774</v>
      </c>
      <c r="Z236" s="4">
        <f t="shared" si="160"/>
        <v>0.94584787155511363</v>
      </c>
      <c r="AA236" s="4">
        <f t="shared" si="160"/>
        <v>0.92370360150141495</v>
      </c>
      <c r="AB236" s="4">
        <f t="shared" si="160"/>
        <v>0.89334463567658451</v>
      </c>
      <c r="AC236" s="4">
        <f t="shared" si="160"/>
        <v>0.85254543874327005</v>
      </c>
      <c r="AD236" s="4">
        <f t="shared" si="160"/>
        <v>0.79921300652623883</v>
      </c>
      <c r="AE236" s="4">
        <f t="shared" si="160"/>
        <v>0.73204982249993378</v>
      </c>
      <c r="AF236" s="4">
        <f t="shared" si="160"/>
        <v>0.65145592958786691</v>
      </c>
      <c r="AG236" s="4">
        <f t="shared" si="157"/>
        <v>0.56032247880849573</v>
      </c>
      <c r="AH236" s="4">
        <f t="shared" si="157"/>
        <v>0.46411326873185343</v>
      </c>
      <c r="AI236" s="4">
        <f t="shared" si="157"/>
        <v>0.36979727595523937</v>
      </c>
      <c r="AJ236" s="4">
        <f t="shared" si="158"/>
        <v>0.28393948637231203</v>
      </c>
      <c r="AK236" s="4">
        <f t="shared" si="158"/>
        <v>0.21097259161117732</v>
      </c>
      <c r="AL236" s="4">
        <f t="shared" si="158"/>
        <v>0.15253917653798199</v>
      </c>
      <c r="AM236" s="4">
        <f t="shared" si="158"/>
        <v>0.10795188737709993</v>
      </c>
      <c r="AN236" s="4">
        <f t="shared" si="158"/>
        <v>7.5176653938091809E-2</v>
      </c>
      <c r="AO236" s="4">
        <f t="shared" si="158"/>
        <v>5.1742836177502194E-2</v>
      </c>
      <c r="AP236" s="4">
        <f t="shared" si="158"/>
        <v>3.5319190625345942E-2</v>
      </c>
      <c r="AQ236" s="4">
        <f t="shared" si="158"/>
        <v>2.3969442072658165E-2</v>
      </c>
      <c r="AR236" s="4">
        <f t="shared" si="158"/>
        <v>1.6202243558389728E-2</v>
      </c>
    </row>
    <row r="237" spans="1:44" x14ac:dyDescent="0.25">
      <c r="A237" s="24" t="s">
        <v>70</v>
      </c>
      <c r="B237" s="60">
        <f>'Parameter Input'!B186</f>
        <v>25</v>
      </c>
      <c r="C237" s="61">
        <f>'Parameter Input'!C186</f>
        <v>25</v>
      </c>
      <c r="D237" s="1" t="s">
        <v>42</v>
      </c>
      <c r="L237" s="54">
        <f>'Parameter Input'!E186</f>
        <v>17</v>
      </c>
      <c r="M237" s="37">
        <v>0</v>
      </c>
      <c r="N237" s="37">
        <v>1</v>
      </c>
      <c r="O237" s="37">
        <f>'Parameter Input'!F186</f>
        <v>0.9</v>
      </c>
      <c r="P237" s="55">
        <f>'Parameter Input'!G186</f>
        <v>0.4</v>
      </c>
      <c r="Q237" s="4">
        <f t="shared" si="160"/>
        <v>0.99780374543478534</v>
      </c>
      <c r="R237" s="4">
        <f t="shared" si="160"/>
        <v>0.99685359315256394</v>
      </c>
      <c r="S237" s="4">
        <f t="shared" si="160"/>
        <v>0.99549347132349975</v>
      </c>
      <c r="T237" s="4">
        <f t="shared" si="160"/>
        <v>0.99354772139898062</v>
      </c>
      <c r="U237" s="4">
        <f t="shared" si="160"/>
        <v>0.99076681540580536</v>
      </c>
      <c r="V237" s="4">
        <f t="shared" si="160"/>
        <v>0.9867978615748374</v>
      </c>
      <c r="W237" s="4">
        <f t="shared" si="160"/>
        <v>0.98114509762858249</v>
      </c>
      <c r="X237" s="4">
        <f t="shared" si="160"/>
        <v>0.97311898315872036</v>
      </c>
      <c r="Y237" s="4">
        <f t="shared" si="160"/>
        <v>0.96177484161592774</v>
      </c>
      <c r="Z237" s="4">
        <f t="shared" si="160"/>
        <v>0.94584787155511363</v>
      </c>
      <c r="AA237" s="4">
        <f t="shared" si="160"/>
        <v>0.92370360150141495</v>
      </c>
      <c r="AB237" s="4">
        <f t="shared" si="160"/>
        <v>0.89334463567658451</v>
      </c>
      <c r="AC237" s="4">
        <f t="shared" si="160"/>
        <v>0.85254543874327005</v>
      </c>
      <c r="AD237" s="4">
        <f t="shared" si="160"/>
        <v>0.79921300652623883</v>
      </c>
      <c r="AE237" s="4">
        <f t="shared" si="160"/>
        <v>0.73204982249993378</v>
      </c>
      <c r="AF237" s="4">
        <f t="shared" si="160"/>
        <v>0.65145592958786691</v>
      </c>
      <c r="AG237" s="4">
        <f t="shared" si="157"/>
        <v>0.56032247880849573</v>
      </c>
      <c r="AH237" s="4">
        <f t="shared" si="157"/>
        <v>0.46411326873185343</v>
      </c>
      <c r="AI237" s="4">
        <f t="shared" si="157"/>
        <v>0.36979727595523937</v>
      </c>
      <c r="AJ237" s="4">
        <f t="shared" si="158"/>
        <v>0.28393948637231203</v>
      </c>
      <c r="AK237" s="4">
        <f t="shared" si="158"/>
        <v>0.21097259161117732</v>
      </c>
      <c r="AL237" s="4">
        <f t="shared" si="158"/>
        <v>0.15253917653798199</v>
      </c>
      <c r="AM237" s="4">
        <f t="shared" si="158"/>
        <v>0.10795188737709993</v>
      </c>
      <c r="AN237" s="4">
        <f t="shared" si="158"/>
        <v>7.5176653938091809E-2</v>
      </c>
      <c r="AO237" s="4">
        <f t="shared" si="158"/>
        <v>5.1742836177502194E-2</v>
      </c>
      <c r="AP237" s="4">
        <f t="shared" si="158"/>
        <v>3.5319190625345942E-2</v>
      </c>
      <c r="AQ237" s="4">
        <f t="shared" si="158"/>
        <v>2.3969442072658165E-2</v>
      </c>
      <c r="AR237" s="4">
        <f t="shared" si="158"/>
        <v>1.6202243558389728E-2</v>
      </c>
    </row>
    <row r="238" spans="1:44" x14ac:dyDescent="0.25">
      <c r="A238" s="24" t="s">
        <v>207</v>
      </c>
      <c r="B238" s="43">
        <f>'Parameter Input'!B183</f>
        <v>9450</v>
      </c>
      <c r="C238" s="44">
        <f>'Parameter Input'!C183</f>
        <v>9450</v>
      </c>
      <c r="D238" s="1" t="s">
        <v>49</v>
      </c>
      <c r="L238" s="54">
        <f>'Parameter Input'!E183</f>
        <v>17</v>
      </c>
      <c r="M238" s="37">
        <v>0</v>
      </c>
      <c r="N238" s="37">
        <v>1</v>
      </c>
      <c r="O238" s="37">
        <f>'Parameter Input'!F183</f>
        <v>0.9</v>
      </c>
      <c r="P238" s="55">
        <f>'Parameter Input'!G183</f>
        <v>0.4</v>
      </c>
      <c r="Q238" s="4">
        <f t="shared" si="160"/>
        <v>0.99780374543478534</v>
      </c>
      <c r="R238" s="4">
        <f t="shared" si="160"/>
        <v>0.99685359315256394</v>
      </c>
      <c r="S238" s="4">
        <f t="shared" si="160"/>
        <v>0.99549347132349975</v>
      </c>
      <c r="T238" s="4">
        <f t="shared" si="160"/>
        <v>0.99354772139898062</v>
      </c>
      <c r="U238" s="4">
        <f t="shared" si="160"/>
        <v>0.99076681540580536</v>
      </c>
      <c r="V238" s="4">
        <f t="shared" si="160"/>
        <v>0.9867978615748374</v>
      </c>
      <c r="W238" s="4">
        <f t="shared" si="160"/>
        <v>0.98114509762858249</v>
      </c>
      <c r="X238" s="4">
        <f t="shared" si="160"/>
        <v>0.97311898315872036</v>
      </c>
      <c r="Y238" s="4">
        <f t="shared" si="160"/>
        <v>0.96177484161592774</v>
      </c>
      <c r="Z238" s="4">
        <f t="shared" si="160"/>
        <v>0.94584787155511363</v>
      </c>
      <c r="AA238" s="4">
        <f t="shared" si="160"/>
        <v>0.92370360150141495</v>
      </c>
      <c r="AB238" s="4">
        <f t="shared" si="160"/>
        <v>0.89334463567658451</v>
      </c>
      <c r="AC238" s="4">
        <f t="shared" si="160"/>
        <v>0.85254543874327005</v>
      </c>
      <c r="AD238" s="4">
        <f t="shared" si="160"/>
        <v>0.79921300652623883</v>
      </c>
      <c r="AE238" s="4">
        <f t="shared" si="160"/>
        <v>0.73204982249993378</v>
      </c>
      <c r="AF238" s="4">
        <f t="shared" si="160"/>
        <v>0.65145592958786691</v>
      </c>
      <c r="AG238" s="4">
        <f t="shared" si="157"/>
        <v>0.56032247880849573</v>
      </c>
      <c r="AH238" s="4">
        <f t="shared" si="157"/>
        <v>0.46411326873185343</v>
      </c>
      <c r="AI238" s="4">
        <f t="shared" si="157"/>
        <v>0.36979727595523937</v>
      </c>
      <c r="AJ238" s="4">
        <f t="shared" si="158"/>
        <v>0.28393948637231203</v>
      </c>
      <c r="AK238" s="4">
        <f t="shared" si="158"/>
        <v>0.21097259161117732</v>
      </c>
      <c r="AL238" s="4">
        <f t="shared" si="158"/>
        <v>0.15253917653798199</v>
      </c>
      <c r="AM238" s="4">
        <f t="shared" si="158"/>
        <v>0.10795188737709993</v>
      </c>
      <c r="AN238" s="4">
        <f t="shared" si="158"/>
        <v>7.5176653938091809E-2</v>
      </c>
      <c r="AO238" s="4">
        <f t="shared" si="158"/>
        <v>5.1742836177502194E-2</v>
      </c>
      <c r="AP238" s="4">
        <f t="shared" si="158"/>
        <v>3.5319190625345942E-2</v>
      </c>
      <c r="AQ238" s="4">
        <f t="shared" si="158"/>
        <v>2.3969442072658165E-2</v>
      </c>
      <c r="AR238" s="4">
        <f t="shared" si="158"/>
        <v>1.6202243558389728E-2</v>
      </c>
    </row>
    <row r="239" spans="1:44" x14ac:dyDescent="0.25">
      <c r="A239" s="24" t="s">
        <v>56</v>
      </c>
      <c r="B239" s="45">
        <f>'Parameter Input'!B184</f>
        <v>0.52</v>
      </c>
      <c r="C239" s="46">
        <f>'Parameter Input'!C184</f>
        <v>0.52</v>
      </c>
      <c r="D239" s="1" t="s">
        <v>57</v>
      </c>
      <c r="L239" s="54">
        <f>'Parameter Input'!E184</f>
        <v>17</v>
      </c>
      <c r="M239" s="37">
        <v>0</v>
      </c>
      <c r="N239" s="37">
        <v>1</v>
      </c>
      <c r="O239" s="37">
        <f>'Parameter Input'!F184</f>
        <v>0.9</v>
      </c>
      <c r="P239" s="55">
        <f>'Parameter Input'!G184</f>
        <v>0.4</v>
      </c>
      <c r="Q239" s="4">
        <f t="shared" si="160"/>
        <v>0.99780374543478534</v>
      </c>
      <c r="R239" s="4">
        <f t="shared" si="160"/>
        <v>0.99685359315256394</v>
      </c>
      <c r="S239" s="4">
        <f t="shared" si="160"/>
        <v>0.99549347132349975</v>
      </c>
      <c r="T239" s="4">
        <f t="shared" si="160"/>
        <v>0.99354772139898062</v>
      </c>
      <c r="U239" s="4">
        <f t="shared" si="160"/>
        <v>0.99076681540580536</v>
      </c>
      <c r="V239" s="4">
        <f t="shared" si="160"/>
        <v>0.9867978615748374</v>
      </c>
      <c r="W239" s="4">
        <f t="shared" si="160"/>
        <v>0.98114509762858249</v>
      </c>
      <c r="X239" s="4">
        <f t="shared" si="160"/>
        <v>0.97311898315872036</v>
      </c>
      <c r="Y239" s="4">
        <f t="shared" si="160"/>
        <v>0.96177484161592774</v>
      </c>
      <c r="Z239" s="4">
        <f t="shared" si="160"/>
        <v>0.94584787155511363</v>
      </c>
      <c r="AA239" s="4">
        <f t="shared" si="160"/>
        <v>0.92370360150141495</v>
      </c>
      <c r="AB239" s="4">
        <f t="shared" si="160"/>
        <v>0.89334463567658451</v>
      </c>
      <c r="AC239" s="4">
        <f t="shared" si="160"/>
        <v>0.85254543874327005</v>
      </c>
      <c r="AD239" s="4">
        <f t="shared" si="160"/>
        <v>0.79921300652623883</v>
      </c>
      <c r="AE239" s="4">
        <f t="shared" si="160"/>
        <v>0.73204982249993378</v>
      </c>
      <c r="AF239" s="4">
        <f t="shared" si="160"/>
        <v>0.65145592958786691</v>
      </c>
      <c r="AG239" s="4">
        <f t="shared" si="157"/>
        <v>0.56032247880849573</v>
      </c>
      <c r="AH239" s="4">
        <f t="shared" si="157"/>
        <v>0.46411326873185343</v>
      </c>
      <c r="AI239" s="4">
        <f t="shared" si="157"/>
        <v>0.36979727595523937</v>
      </c>
      <c r="AJ239" s="4">
        <f t="shared" si="158"/>
        <v>0.28393948637231203</v>
      </c>
      <c r="AK239" s="4">
        <f t="shared" si="158"/>
        <v>0.21097259161117732</v>
      </c>
      <c r="AL239" s="4">
        <f t="shared" si="158"/>
        <v>0.15253917653798199</v>
      </c>
      <c r="AM239" s="4">
        <f t="shared" si="158"/>
        <v>0.10795188737709993</v>
      </c>
      <c r="AN239" s="4">
        <f t="shared" si="158"/>
        <v>7.5176653938091809E-2</v>
      </c>
      <c r="AO239" s="4">
        <f t="shared" si="158"/>
        <v>5.1742836177502194E-2</v>
      </c>
      <c r="AP239" s="4">
        <f t="shared" si="158"/>
        <v>3.5319190625345942E-2</v>
      </c>
      <c r="AQ239" s="4">
        <f t="shared" si="158"/>
        <v>2.3969442072658165E-2</v>
      </c>
      <c r="AR239" s="4">
        <f t="shared" si="158"/>
        <v>1.6202243558389728E-2</v>
      </c>
    </row>
    <row r="240" spans="1:44" x14ac:dyDescent="0.25">
      <c r="A240" s="24" t="s">
        <v>73</v>
      </c>
      <c r="B240" s="45">
        <f>'Parameter Input'!$L$187</f>
        <v>0.1</v>
      </c>
      <c r="C240" s="46">
        <f>'Parameter Input'!$M$187</f>
        <v>0.08</v>
      </c>
      <c r="D240" s="1" t="s">
        <v>57</v>
      </c>
      <c r="L240" s="54">
        <f>'Parameter Input'!$O$187</f>
        <v>17</v>
      </c>
      <c r="M240" s="37">
        <v>0</v>
      </c>
      <c r="N240" s="37">
        <v>1</v>
      </c>
      <c r="O240" s="37">
        <f>'Parameter Input'!$P$187</f>
        <v>0.9</v>
      </c>
      <c r="P240" s="55">
        <f>'Parameter Input'!$Q$187</f>
        <v>0.4</v>
      </c>
      <c r="Q240" s="4">
        <f t="shared" si="160"/>
        <v>0.99780374543478534</v>
      </c>
      <c r="R240" s="4">
        <f t="shared" si="160"/>
        <v>0.99685359315256394</v>
      </c>
      <c r="S240" s="4">
        <f t="shared" si="160"/>
        <v>0.99549347132349975</v>
      </c>
      <c r="T240" s="4">
        <f t="shared" si="160"/>
        <v>0.99354772139898062</v>
      </c>
      <c r="U240" s="4">
        <f t="shared" si="160"/>
        <v>0.99076681540580536</v>
      </c>
      <c r="V240" s="4">
        <f t="shared" si="160"/>
        <v>0.9867978615748374</v>
      </c>
      <c r="W240" s="4">
        <f t="shared" si="160"/>
        <v>0.98114509762858249</v>
      </c>
      <c r="X240" s="4">
        <f t="shared" si="160"/>
        <v>0.97311898315872036</v>
      </c>
      <c r="Y240" s="4">
        <f t="shared" si="160"/>
        <v>0.96177484161592774</v>
      </c>
      <c r="Z240" s="4">
        <f t="shared" si="160"/>
        <v>0.94584787155511363</v>
      </c>
      <c r="AA240" s="4">
        <f t="shared" si="160"/>
        <v>0.92370360150141495</v>
      </c>
      <c r="AB240" s="4">
        <f t="shared" si="160"/>
        <v>0.89334463567658451</v>
      </c>
      <c r="AC240" s="4">
        <f t="shared" si="160"/>
        <v>0.85254543874327005</v>
      </c>
      <c r="AD240" s="4">
        <f t="shared" si="160"/>
        <v>0.79921300652623883</v>
      </c>
      <c r="AE240" s="4">
        <f t="shared" si="160"/>
        <v>0.73204982249993378</v>
      </c>
      <c r="AF240" s="4">
        <f t="shared" si="160"/>
        <v>0.65145592958786691</v>
      </c>
      <c r="AG240" s="4">
        <f t="shared" si="157"/>
        <v>0.56032247880849573</v>
      </c>
      <c r="AH240" s="4">
        <f t="shared" si="157"/>
        <v>0.46411326873185343</v>
      </c>
      <c r="AI240" s="4">
        <f t="shared" si="157"/>
        <v>0.36979727595523937</v>
      </c>
      <c r="AJ240" s="4">
        <f t="shared" si="158"/>
        <v>0.28393948637231203</v>
      </c>
      <c r="AK240" s="4">
        <f t="shared" si="158"/>
        <v>0.21097259161117732</v>
      </c>
      <c r="AL240" s="4">
        <f t="shared" si="158"/>
        <v>0.15253917653798199</v>
      </c>
      <c r="AM240" s="4">
        <f t="shared" si="158"/>
        <v>0.10795188737709993</v>
      </c>
      <c r="AN240" s="4">
        <f t="shared" si="158"/>
        <v>7.5176653938091809E-2</v>
      </c>
      <c r="AO240" s="4">
        <f t="shared" si="158"/>
        <v>5.1742836177502194E-2</v>
      </c>
      <c r="AP240" s="4">
        <f t="shared" si="158"/>
        <v>3.5319190625345942E-2</v>
      </c>
      <c r="AQ240" s="4">
        <f t="shared" si="158"/>
        <v>2.3969442072658165E-2</v>
      </c>
      <c r="AR240" s="4">
        <f t="shared" si="158"/>
        <v>1.6202243558389728E-2</v>
      </c>
    </row>
    <row r="241" spans="1:44" ht="15.75" thickBot="1" x14ac:dyDescent="0.3">
      <c r="A241" s="24" t="s">
        <v>64</v>
      </c>
      <c r="B241" s="49">
        <f>'Parameter Input'!B185</f>
        <v>120000</v>
      </c>
      <c r="C241" s="50">
        <f>'Parameter Input'!C185</f>
        <v>120000</v>
      </c>
      <c r="D241" s="1" t="s">
        <v>65</v>
      </c>
      <c r="L241" s="56">
        <f>'Parameter Input'!E185</f>
        <v>17</v>
      </c>
      <c r="M241" s="57">
        <v>0</v>
      </c>
      <c r="N241" s="57">
        <v>1</v>
      </c>
      <c r="O241" s="57">
        <f>'Parameter Input'!F185</f>
        <v>0.9</v>
      </c>
      <c r="P241" s="58">
        <f>'Parameter Input'!G185</f>
        <v>0.4</v>
      </c>
      <c r="Q241" s="4">
        <f t="shared" si="160"/>
        <v>0.99780374543478534</v>
      </c>
      <c r="R241" s="4">
        <f t="shared" si="160"/>
        <v>0.99685359315256394</v>
      </c>
      <c r="S241" s="4">
        <f t="shared" si="160"/>
        <v>0.99549347132349975</v>
      </c>
      <c r="T241" s="4">
        <f t="shared" si="160"/>
        <v>0.99354772139898062</v>
      </c>
      <c r="U241" s="4">
        <f t="shared" si="160"/>
        <v>0.99076681540580536</v>
      </c>
      <c r="V241" s="4">
        <f t="shared" si="160"/>
        <v>0.9867978615748374</v>
      </c>
      <c r="W241" s="4">
        <f t="shared" si="160"/>
        <v>0.98114509762858249</v>
      </c>
      <c r="X241" s="4">
        <f t="shared" si="160"/>
        <v>0.97311898315872036</v>
      </c>
      <c r="Y241" s="4">
        <f t="shared" si="160"/>
        <v>0.96177484161592774</v>
      </c>
      <c r="Z241" s="4">
        <f t="shared" si="160"/>
        <v>0.94584787155511363</v>
      </c>
      <c r="AA241" s="4">
        <f t="shared" si="160"/>
        <v>0.92370360150141495</v>
      </c>
      <c r="AB241" s="4">
        <f t="shared" si="160"/>
        <v>0.89334463567658451</v>
      </c>
      <c r="AC241" s="4">
        <f t="shared" si="160"/>
        <v>0.85254543874327005</v>
      </c>
      <c r="AD241" s="4">
        <f t="shared" si="160"/>
        <v>0.79921300652623883</v>
      </c>
      <c r="AE241" s="4">
        <f t="shared" si="160"/>
        <v>0.73204982249993378</v>
      </c>
      <c r="AF241" s="4">
        <f t="shared" si="160"/>
        <v>0.65145592958786691</v>
      </c>
      <c r="AG241" s="4">
        <f t="shared" si="157"/>
        <v>0.56032247880849573</v>
      </c>
      <c r="AH241" s="4">
        <f t="shared" si="157"/>
        <v>0.46411326873185343</v>
      </c>
      <c r="AI241" s="4">
        <f t="shared" si="157"/>
        <v>0.36979727595523937</v>
      </c>
      <c r="AJ241" s="4">
        <f t="shared" si="158"/>
        <v>0.28393948637231203</v>
      </c>
      <c r="AK241" s="4">
        <f t="shared" si="158"/>
        <v>0.21097259161117732</v>
      </c>
      <c r="AL241" s="4">
        <f t="shared" si="158"/>
        <v>0.15253917653798199</v>
      </c>
      <c r="AM241" s="4">
        <f t="shared" si="158"/>
        <v>0.10795188737709993</v>
      </c>
      <c r="AN241" s="4">
        <f t="shared" si="158"/>
        <v>7.5176653938091809E-2</v>
      </c>
      <c r="AO241" s="4">
        <f t="shared" si="158"/>
        <v>5.1742836177502194E-2</v>
      </c>
      <c r="AP241" s="4">
        <f t="shared" si="158"/>
        <v>3.5319190625345942E-2</v>
      </c>
      <c r="AQ241" s="4">
        <f t="shared" si="158"/>
        <v>2.3969442072658165E-2</v>
      </c>
      <c r="AR241" s="4">
        <f t="shared" si="158"/>
        <v>1.6202243558389728E-2</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61">A225</f>
        <v>Capex vehicle</v>
      </c>
      <c r="B245" s="62">
        <f t="shared" ref="B245:B254" si="162">$B225+($C225-$B225)*(1-Q225)</f>
        <v>29976939.327065244</v>
      </c>
      <c r="C245" s="62">
        <f t="shared" ref="C245:C254" si="163">$B225+($C225-$B225)*(1-R225)</f>
        <v>29966962.72810192</v>
      </c>
      <c r="D245" s="62">
        <f t="shared" ref="D245:D254" si="164">$B225+($C225-$B225)*(1-S225)</f>
        <v>29952681.448896747</v>
      </c>
      <c r="E245" s="62">
        <f t="shared" ref="E245:E254" si="165">$B225+($C225-$B225)*(1-T225)</f>
        <v>29932251.074689295</v>
      </c>
      <c r="F245" s="62">
        <f t="shared" ref="F245:F254" si="166">$B225+($C225-$B225)*(1-U225)</f>
        <v>29903051.561760955</v>
      </c>
      <c r="G245" s="62">
        <f t="shared" ref="G245:G254" si="167">$B225+($C225-$B225)*(1-V225)</f>
        <v>29861377.546535794</v>
      </c>
      <c r="H245" s="62">
        <f t="shared" ref="H245:H254" si="168">$B225+($C225-$B225)*(1-W225)</f>
        <v>29802023.525100116</v>
      </c>
      <c r="I245" s="62">
        <f t="shared" ref="I245:I254" si="169">$B225+($C225-$B225)*(1-X225)</f>
        <v>29717749.323166564</v>
      </c>
      <c r="J245" s="62">
        <f t="shared" ref="J245:J254" si="170">$B225+($C225-$B225)*(1-Y225)</f>
        <v>29598635.836967241</v>
      </c>
      <c r="K245" s="62">
        <f t="shared" ref="K245:K254" si="171">$B225+($C225-$B225)*(1-Z225)</f>
        <v>29431402.651328694</v>
      </c>
      <c r="L245" s="62">
        <f t="shared" ref="L245:L254" si="172">$B225+($C225-$B225)*(1-AA225)</f>
        <v>29198887.815764856</v>
      </c>
      <c r="M245" s="62">
        <f t="shared" ref="M245:M254" si="173">$B225+($C225-$B225)*(1-AB225)</f>
        <v>28880118.674604136</v>
      </c>
      <c r="N245" s="62">
        <f t="shared" ref="N245:N254" si="174">$B225+($C225-$B225)*(1-AC225)</f>
        <v>28451727.106804334</v>
      </c>
      <c r="O245" s="62">
        <f t="shared" ref="O245:O254" si="175">$B225+($C225-$B225)*(1-AD225)</f>
        <v>27891736.568525508</v>
      </c>
      <c r="P245" s="62">
        <f t="shared" ref="P245:P254" si="176">$B225+($C225-$B225)*(1-AE225)</f>
        <v>27186523.136249304</v>
      </c>
      <c r="Q245" s="62">
        <f t="shared" ref="Q245:Q254" si="177">$B225+($C225-$B225)*(1-AF225)</f>
        <v>26340287.260672603</v>
      </c>
      <c r="R245" s="62">
        <f t="shared" ref="R245:R254" si="178">$B225+($C225-$B225)*(1-AG225)</f>
        <v>25383386.027489204</v>
      </c>
      <c r="S245" s="62">
        <f t="shared" ref="S245:S254" si="179">$B225+($C225-$B225)*(1-AH225)</f>
        <v>24373189.321684461</v>
      </c>
      <c r="T245" s="62">
        <f t="shared" ref="T245:T254" si="180">$B225+($C225-$B225)*(1-AI225)</f>
        <v>23382871.397530012</v>
      </c>
      <c r="U245" s="62">
        <f t="shared" ref="U245:U254" si="181">$B225+($C225-$B225)*(1-AJ225)</f>
        <v>22481364.606909275</v>
      </c>
      <c r="V245" s="62">
        <f t="shared" ref="V245:V254" si="182">$B225+($C225-$B225)*(1-AK225)</f>
        <v>21715212.211917363</v>
      </c>
      <c r="W245" s="62">
        <f t="shared" ref="W245:W254" si="183">$B225+($C225-$B225)*(1-AL225)</f>
        <v>21101661.353648812</v>
      </c>
      <c r="X245" s="62">
        <f t="shared" ref="X245:X254" si="184">$B225+($C225-$B225)*(1-AM225)</f>
        <v>20633494.81745955</v>
      </c>
      <c r="Y245" s="62">
        <f t="shared" ref="Y245:Y254" si="185">$B225+($C225-$B225)*(1-AN225)</f>
        <v>20289354.866349965</v>
      </c>
      <c r="Z245" s="62">
        <f t="shared" ref="Z245:Z254" si="186">$B225+($C225-$B225)*(1-AO225)</f>
        <v>20043299.779863775</v>
      </c>
      <c r="AA245" s="62">
        <f t="shared" ref="AA245:AA254" si="187">$B225+($C225-$B225)*(1-AP225)</f>
        <v>19870851.501566134</v>
      </c>
      <c r="AB245" s="62">
        <f t="shared" ref="AB245:AB254" si="188">$B225+($C225-$B225)*(1-AQ225)</f>
        <v>19751679.141762912</v>
      </c>
      <c r="AC245" s="62">
        <f t="shared" ref="AC245:AC254" si="189">$B225+($C225-$B225)*(1-AR225)</f>
        <v>19670123.557363093</v>
      </c>
    </row>
    <row r="246" spans="1:44" x14ac:dyDescent="0.25">
      <c r="A246" s="30" t="str">
        <f t="shared" si="161"/>
        <v>Residual value (vehicle)</v>
      </c>
      <c r="B246" s="62">
        <f t="shared" si="162"/>
        <v>-1500988.3145543465</v>
      </c>
      <c r="C246" s="62">
        <f t="shared" si="163"/>
        <v>-1501415.8830813463</v>
      </c>
      <c r="D246" s="62">
        <f t="shared" si="164"/>
        <v>-1502027.9379044252</v>
      </c>
      <c r="E246" s="62">
        <f t="shared" si="165"/>
        <v>-1502903.5253704586</v>
      </c>
      <c r="F246" s="62">
        <f t="shared" si="166"/>
        <v>-1504154.9330673877</v>
      </c>
      <c r="G246" s="62">
        <f t="shared" si="167"/>
        <v>-1505940.9622913231</v>
      </c>
      <c r="H246" s="62">
        <f t="shared" si="168"/>
        <v>-1508484.7060671379</v>
      </c>
      <c r="I246" s="62">
        <f t="shared" si="169"/>
        <v>-1512096.4575785759</v>
      </c>
      <c r="J246" s="62">
        <f t="shared" si="170"/>
        <v>-1517201.3212728326</v>
      </c>
      <c r="K246" s="62">
        <f t="shared" si="171"/>
        <v>-1524368.4578001988</v>
      </c>
      <c r="L246" s="62">
        <f t="shared" si="172"/>
        <v>-1534333.3793243633</v>
      </c>
      <c r="M246" s="62">
        <f t="shared" si="173"/>
        <v>-1547994.9139455371</v>
      </c>
      <c r="N246" s="62">
        <f t="shared" si="174"/>
        <v>-1566354.5525655285</v>
      </c>
      <c r="O246" s="62">
        <f t="shared" si="175"/>
        <v>-1590354.1470631924</v>
      </c>
      <c r="P246" s="62">
        <f t="shared" si="176"/>
        <v>-1620577.5798750299</v>
      </c>
      <c r="Q246" s="62">
        <f t="shared" si="177"/>
        <v>-1656844.8316854599</v>
      </c>
      <c r="R246" s="62">
        <f t="shared" si="178"/>
        <v>-1697854.8845361769</v>
      </c>
      <c r="S246" s="62">
        <f t="shared" si="179"/>
        <v>-1741149.0290706661</v>
      </c>
      <c r="T246" s="62">
        <f t="shared" si="180"/>
        <v>-1783591.2258201423</v>
      </c>
      <c r="U246" s="62">
        <f t="shared" si="181"/>
        <v>-1822227.2311324596</v>
      </c>
      <c r="V246" s="62">
        <f t="shared" si="182"/>
        <v>-1855062.3337749701</v>
      </c>
      <c r="W246" s="62">
        <f t="shared" si="183"/>
        <v>-1881357.370557908</v>
      </c>
      <c r="X246" s="62">
        <f t="shared" si="184"/>
        <v>-1901421.650680305</v>
      </c>
      <c r="Y246" s="62">
        <f t="shared" si="185"/>
        <v>-1916170.5057278587</v>
      </c>
      <c r="Z246" s="62">
        <f t="shared" si="186"/>
        <v>-1926715.723720124</v>
      </c>
      <c r="AA246" s="62">
        <f t="shared" si="187"/>
        <v>-1934106.3642185943</v>
      </c>
      <c r="AB246" s="62">
        <f t="shared" si="188"/>
        <v>-1939213.7510673038</v>
      </c>
      <c r="AC246" s="62">
        <f t="shared" si="189"/>
        <v>-1942708.9903987246</v>
      </c>
    </row>
    <row r="247" spans="1:44" x14ac:dyDescent="0.25">
      <c r="A247" s="30" t="str">
        <f t="shared" si="161"/>
        <v>Capex costumization</v>
      </c>
      <c r="B247" s="62">
        <f t="shared" si="162"/>
        <v>1000000</v>
      </c>
      <c r="C247" s="62">
        <f t="shared" si="163"/>
        <v>1000000</v>
      </c>
      <c r="D247" s="62">
        <f t="shared" si="164"/>
        <v>1000000</v>
      </c>
      <c r="E247" s="62">
        <f t="shared" si="165"/>
        <v>1000000</v>
      </c>
      <c r="F247" s="62">
        <f t="shared" si="166"/>
        <v>1000000</v>
      </c>
      <c r="G247" s="62">
        <f t="shared" si="167"/>
        <v>1000000</v>
      </c>
      <c r="H247" s="62">
        <f t="shared" si="168"/>
        <v>1000000</v>
      </c>
      <c r="I247" s="62">
        <f t="shared" si="169"/>
        <v>1000000</v>
      </c>
      <c r="J247" s="62">
        <f t="shared" si="170"/>
        <v>1000000</v>
      </c>
      <c r="K247" s="62">
        <f t="shared" si="171"/>
        <v>1000000</v>
      </c>
      <c r="L247" s="62">
        <f t="shared" si="172"/>
        <v>1000000</v>
      </c>
      <c r="M247" s="62">
        <f t="shared" si="173"/>
        <v>1000000</v>
      </c>
      <c r="N247" s="62">
        <f t="shared" si="174"/>
        <v>1000000</v>
      </c>
      <c r="O247" s="62">
        <f t="shared" si="175"/>
        <v>1000000</v>
      </c>
      <c r="P247" s="62">
        <f t="shared" si="176"/>
        <v>1000000</v>
      </c>
      <c r="Q247" s="62">
        <f t="shared" si="177"/>
        <v>1000000</v>
      </c>
      <c r="R247" s="62">
        <f t="shared" si="178"/>
        <v>1000000</v>
      </c>
      <c r="S247" s="62">
        <f t="shared" si="179"/>
        <v>1000000</v>
      </c>
      <c r="T247" s="62">
        <f t="shared" si="180"/>
        <v>1000000</v>
      </c>
      <c r="U247" s="62">
        <f t="shared" si="181"/>
        <v>1000000</v>
      </c>
      <c r="V247" s="62">
        <f t="shared" si="182"/>
        <v>1000000</v>
      </c>
      <c r="W247" s="62">
        <f t="shared" si="183"/>
        <v>1000000</v>
      </c>
      <c r="X247" s="62">
        <f t="shared" si="184"/>
        <v>1000000</v>
      </c>
      <c r="Y247" s="62">
        <f t="shared" si="185"/>
        <v>1000000</v>
      </c>
      <c r="Z247" s="62">
        <f t="shared" si="186"/>
        <v>1000000</v>
      </c>
      <c r="AA247" s="62">
        <f t="shared" si="187"/>
        <v>1000000</v>
      </c>
      <c r="AB247" s="62">
        <f t="shared" si="188"/>
        <v>1000000</v>
      </c>
      <c r="AC247" s="62">
        <f t="shared" si="189"/>
        <v>1000000</v>
      </c>
    </row>
    <row r="248" spans="1:44" x14ac:dyDescent="0.25">
      <c r="A248" s="30" t="str">
        <f t="shared" si="161"/>
        <v>Residual value (costumization)</v>
      </c>
      <c r="B248" s="62">
        <f t="shared" si="162"/>
        <v>-100000</v>
      </c>
      <c r="C248" s="62">
        <f t="shared" si="163"/>
        <v>-100000</v>
      </c>
      <c r="D248" s="62">
        <f t="shared" si="164"/>
        <v>-100000</v>
      </c>
      <c r="E248" s="62">
        <f t="shared" si="165"/>
        <v>-100000</v>
      </c>
      <c r="F248" s="62">
        <f t="shared" si="166"/>
        <v>-100000</v>
      </c>
      <c r="G248" s="62">
        <f t="shared" si="167"/>
        <v>-100000</v>
      </c>
      <c r="H248" s="62">
        <f t="shared" si="168"/>
        <v>-100000</v>
      </c>
      <c r="I248" s="62">
        <f t="shared" si="169"/>
        <v>-100000</v>
      </c>
      <c r="J248" s="62">
        <f t="shared" si="170"/>
        <v>-100000</v>
      </c>
      <c r="K248" s="62">
        <f t="shared" si="171"/>
        <v>-100000</v>
      </c>
      <c r="L248" s="62">
        <f t="shared" si="172"/>
        <v>-100000</v>
      </c>
      <c r="M248" s="62">
        <f t="shared" si="173"/>
        <v>-100000</v>
      </c>
      <c r="N248" s="62">
        <f t="shared" si="174"/>
        <v>-100000</v>
      </c>
      <c r="O248" s="62">
        <f t="shared" si="175"/>
        <v>-100000</v>
      </c>
      <c r="P248" s="62">
        <f t="shared" si="176"/>
        <v>-100000</v>
      </c>
      <c r="Q248" s="62">
        <f t="shared" si="177"/>
        <v>-100000</v>
      </c>
      <c r="R248" s="62">
        <f t="shared" si="178"/>
        <v>-100000</v>
      </c>
      <c r="S248" s="62">
        <f t="shared" si="179"/>
        <v>-100000</v>
      </c>
      <c r="T248" s="62">
        <f t="shared" si="180"/>
        <v>-100000</v>
      </c>
      <c r="U248" s="62">
        <f t="shared" si="181"/>
        <v>-100000</v>
      </c>
      <c r="V248" s="62">
        <f t="shared" si="182"/>
        <v>-100000</v>
      </c>
      <c r="W248" s="62">
        <f t="shared" si="183"/>
        <v>-100000</v>
      </c>
      <c r="X248" s="62">
        <f t="shared" si="184"/>
        <v>-100000</v>
      </c>
      <c r="Y248" s="62">
        <f t="shared" si="185"/>
        <v>-100000</v>
      </c>
      <c r="Z248" s="62">
        <f t="shared" si="186"/>
        <v>-100000</v>
      </c>
      <c r="AA248" s="62">
        <f t="shared" si="187"/>
        <v>-100000</v>
      </c>
      <c r="AB248" s="62">
        <f t="shared" si="188"/>
        <v>-100000</v>
      </c>
      <c r="AC248" s="62">
        <f t="shared" si="189"/>
        <v>-100000</v>
      </c>
    </row>
    <row r="249" spans="1:44" x14ac:dyDescent="0.25">
      <c r="A249" s="30" t="str">
        <f t="shared" si="161"/>
        <v>WACC</v>
      </c>
      <c r="B249" s="62">
        <f t="shared" si="162"/>
        <v>0.06</v>
      </c>
      <c r="C249" s="62">
        <f t="shared" si="163"/>
        <v>0.06</v>
      </c>
      <c r="D249" s="62">
        <f t="shared" si="164"/>
        <v>0.06</v>
      </c>
      <c r="E249" s="62">
        <f t="shared" si="165"/>
        <v>0.06</v>
      </c>
      <c r="F249" s="62">
        <f t="shared" si="166"/>
        <v>0.06</v>
      </c>
      <c r="G249" s="62">
        <f t="shared" si="167"/>
        <v>0.06</v>
      </c>
      <c r="H249" s="62">
        <f t="shared" si="168"/>
        <v>0.06</v>
      </c>
      <c r="I249" s="62">
        <f t="shared" si="169"/>
        <v>0.06</v>
      </c>
      <c r="J249" s="62">
        <f t="shared" si="170"/>
        <v>0.06</v>
      </c>
      <c r="K249" s="62">
        <f t="shared" si="171"/>
        <v>0.06</v>
      </c>
      <c r="L249" s="62">
        <f t="shared" si="172"/>
        <v>0.06</v>
      </c>
      <c r="M249" s="62">
        <f t="shared" si="173"/>
        <v>0.06</v>
      </c>
      <c r="N249" s="62">
        <f t="shared" si="174"/>
        <v>0.06</v>
      </c>
      <c r="O249" s="62">
        <f t="shared" si="175"/>
        <v>0.06</v>
      </c>
      <c r="P249" s="62">
        <f t="shared" si="176"/>
        <v>0.06</v>
      </c>
      <c r="Q249" s="62">
        <f t="shared" si="177"/>
        <v>0.06</v>
      </c>
      <c r="R249" s="62">
        <f t="shared" si="178"/>
        <v>0.06</v>
      </c>
      <c r="S249" s="62">
        <f t="shared" si="179"/>
        <v>0.06</v>
      </c>
      <c r="T249" s="62">
        <f t="shared" si="180"/>
        <v>0.06</v>
      </c>
      <c r="U249" s="62">
        <f t="shared" si="181"/>
        <v>0.06</v>
      </c>
      <c r="V249" s="62">
        <f t="shared" si="182"/>
        <v>0.06</v>
      </c>
      <c r="W249" s="62">
        <f t="shared" si="183"/>
        <v>0.06</v>
      </c>
      <c r="X249" s="62">
        <f t="shared" si="184"/>
        <v>0.06</v>
      </c>
      <c r="Y249" s="62">
        <f t="shared" si="185"/>
        <v>0.06</v>
      </c>
      <c r="Z249" s="62">
        <f t="shared" si="186"/>
        <v>0.06</v>
      </c>
      <c r="AA249" s="62">
        <f t="shared" si="187"/>
        <v>0.06</v>
      </c>
      <c r="AB249" s="62">
        <f t="shared" si="188"/>
        <v>0.06</v>
      </c>
      <c r="AC249" s="62">
        <f t="shared" si="189"/>
        <v>0.06</v>
      </c>
    </row>
    <row r="250" spans="1:44" x14ac:dyDescent="0.25">
      <c r="A250" s="30" t="str">
        <f t="shared" si="161"/>
        <v>Opex fix (admin, crew, insurance)</v>
      </c>
      <c r="B250" s="62">
        <f t="shared" si="162"/>
        <v>1208235.294117647</v>
      </c>
      <c r="C250" s="62">
        <f t="shared" si="163"/>
        <v>1208235.294117647</v>
      </c>
      <c r="D250" s="62">
        <f t="shared" si="164"/>
        <v>1208235.294117647</v>
      </c>
      <c r="E250" s="62">
        <f t="shared" si="165"/>
        <v>1208235.294117647</v>
      </c>
      <c r="F250" s="62">
        <f t="shared" si="166"/>
        <v>1208235.294117647</v>
      </c>
      <c r="G250" s="62">
        <f t="shared" si="167"/>
        <v>1208235.294117647</v>
      </c>
      <c r="H250" s="62">
        <f t="shared" si="168"/>
        <v>1208235.294117647</v>
      </c>
      <c r="I250" s="62">
        <f t="shared" si="169"/>
        <v>1208235.294117647</v>
      </c>
      <c r="J250" s="62">
        <f t="shared" si="170"/>
        <v>1208235.294117647</v>
      </c>
      <c r="K250" s="62">
        <f t="shared" si="171"/>
        <v>1208235.294117647</v>
      </c>
      <c r="L250" s="62">
        <f t="shared" si="172"/>
        <v>1208235.294117647</v>
      </c>
      <c r="M250" s="62">
        <f t="shared" si="173"/>
        <v>1208235.294117647</v>
      </c>
      <c r="N250" s="62">
        <f t="shared" si="174"/>
        <v>1208235.294117647</v>
      </c>
      <c r="O250" s="62">
        <f t="shared" si="175"/>
        <v>1208235.294117647</v>
      </c>
      <c r="P250" s="62">
        <f t="shared" si="176"/>
        <v>1208235.294117647</v>
      </c>
      <c r="Q250" s="62">
        <f t="shared" si="177"/>
        <v>1208235.294117647</v>
      </c>
      <c r="R250" s="62">
        <f t="shared" si="178"/>
        <v>1208235.294117647</v>
      </c>
      <c r="S250" s="62">
        <f t="shared" si="179"/>
        <v>1208235.294117647</v>
      </c>
      <c r="T250" s="62">
        <f t="shared" si="180"/>
        <v>1208235.294117647</v>
      </c>
      <c r="U250" s="62">
        <f t="shared" si="181"/>
        <v>1208235.294117647</v>
      </c>
      <c r="V250" s="62">
        <f t="shared" si="182"/>
        <v>1208235.294117647</v>
      </c>
      <c r="W250" s="62">
        <f t="shared" si="183"/>
        <v>1208235.294117647</v>
      </c>
      <c r="X250" s="62">
        <f t="shared" si="184"/>
        <v>1208235.294117647</v>
      </c>
      <c r="Y250" s="62">
        <f t="shared" si="185"/>
        <v>1208235.294117647</v>
      </c>
      <c r="Z250" s="62">
        <f t="shared" si="186"/>
        <v>1208235.294117647</v>
      </c>
      <c r="AA250" s="62">
        <f t="shared" si="187"/>
        <v>1208235.294117647</v>
      </c>
      <c r="AB250" s="62">
        <f t="shared" si="188"/>
        <v>1208235.294117647</v>
      </c>
      <c r="AC250" s="62">
        <f t="shared" si="189"/>
        <v>1208235.294117647</v>
      </c>
    </row>
    <row r="251" spans="1:44" x14ac:dyDescent="0.25">
      <c r="A251" s="30" t="str">
        <f t="shared" si="161"/>
        <v>Opex maintenance &amp; repair</v>
      </c>
      <c r="B251" s="62">
        <f t="shared" si="162"/>
        <v>338823.5294117647</v>
      </c>
      <c r="C251" s="62">
        <f t="shared" si="163"/>
        <v>338823.5294117647</v>
      </c>
      <c r="D251" s="62">
        <f t="shared" si="164"/>
        <v>338823.5294117647</v>
      </c>
      <c r="E251" s="62">
        <f t="shared" si="165"/>
        <v>338823.5294117647</v>
      </c>
      <c r="F251" s="62">
        <f t="shared" si="166"/>
        <v>338823.5294117647</v>
      </c>
      <c r="G251" s="62">
        <f t="shared" si="167"/>
        <v>338823.5294117647</v>
      </c>
      <c r="H251" s="62">
        <f t="shared" si="168"/>
        <v>338823.5294117647</v>
      </c>
      <c r="I251" s="62">
        <f t="shared" si="169"/>
        <v>338823.5294117647</v>
      </c>
      <c r="J251" s="62">
        <f t="shared" si="170"/>
        <v>338823.5294117647</v>
      </c>
      <c r="K251" s="62">
        <f t="shared" si="171"/>
        <v>338823.5294117647</v>
      </c>
      <c r="L251" s="62">
        <f t="shared" si="172"/>
        <v>338823.5294117647</v>
      </c>
      <c r="M251" s="62">
        <f t="shared" si="173"/>
        <v>338823.5294117647</v>
      </c>
      <c r="N251" s="62">
        <f t="shared" si="174"/>
        <v>338823.5294117647</v>
      </c>
      <c r="O251" s="62">
        <f t="shared" si="175"/>
        <v>338823.5294117647</v>
      </c>
      <c r="P251" s="62">
        <f t="shared" si="176"/>
        <v>338823.5294117647</v>
      </c>
      <c r="Q251" s="62">
        <f t="shared" si="177"/>
        <v>338823.5294117647</v>
      </c>
      <c r="R251" s="62">
        <f t="shared" si="178"/>
        <v>338823.5294117647</v>
      </c>
      <c r="S251" s="62">
        <f t="shared" si="179"/>
        <v>338823.5294117647</v>
      </c>
      <c r="T251" s="62">
        <f t="shared" si="180"/>
        <v>338823.5294117647</v>
      </c>
      <c r="U251" s="62">
        <f t="shared" si="181"/>
        <v>338823.5294117647</v>
      </c>
      <c r="V251" s="62">
        <f t="shared" si="182"/>
        <v>338823.5294117647</v>
      </c>
      <c r="W251" s="62">
        <f t="shared" si="183"/>
        <v>338823.5294117647</v>
      </c>
      <c r="X251" s="62">
        <f t="shared" si="184"/>
        <v>338823.5294117647</v>
      </c>
      <c r="Y251" s="62">
        <f t="shared" si="185"/>
        <v>338823.5294117647</v>
      </c>
      <c r="Z251" s="62">
        <f t="shared" si="186"/>
        <v>338823.5294117647</v>
      </c>
      <c r="AA251" s="62">
        <f t="shared" si="187"/>
        <v>338823.5294117647</v>
      </c>
      <c r="AB251" s="62">
        <f t="shared" si="188"/>
        <v>338823.5294117647</v>
      </c>
      <c r="AC251" s="62">
        <f t="shared" si="189"/>
        <v>338823.5294117647</v>
      </c>
    </row>
    <row r="252" spans="1:44" x14ac:dyDescent="0.25">
      <c r="A252" s="30" t="str">
        <f t="shared" si="161"/>
        <v>Opex var (mode-fees)</v>
      </c>
      <c r="B252" s="62">
        <f t="shared" si="162"/>
        <v>0.81280569096848254</v>
      </c>
      <c r="C252" s="62">
        <f t="shared" si="163"/>
        <v>0.81280569096848254</v>
      </c>
      <c r="D252" s="62">
        <f t="shared" si="164"/>
        <v>0.81280569096848254</v>
      </c>
      <c r="E252" s="62">
        <f t="shared" si="165"/>
        <v>0.81280569096848254</v>
      </c>
      <c r="F252" s="62">
        <f t="shared" si="166"/>
        <v>0.81280569096848254</v>
      </c>
      <c r="G252" s="62">
        <f t="shared" si="167"/>
        <v>0.81280569096848254</v>
      </c>
      <c r="H252" s="62">
        <f t="shared" si="168"/>
        <v>0.81280569096848254</v>
      </c>
      <c r="I252" s="62">
        <f t="shared" si="169"/>
        <v>0.81280569096848254</v>
      </c>
      <c r="J252" s="62">
        <f t="shared" si="170"/>
        <v>0.81280569096848254</v>
      </c>
      <c r="K252" s="62">
        <f t="shared" si="171"/>
        <v>0.81280569096848254</v>
      </c>
      <c r="L252" s="62">
        <f t="shared" si="172"/>
        <v>0.81280569096848254</v>
      </c>
      <c r="M252" s="62">
        <f t="shared" si="173"/>
        <v>0.81280569096848254</v>
      </c>
      <c r="N252" s="62">
        <f t="shared" si="174"/>
        <v>0.81280569096848254</v>
      </c>
      <c r="O252" s="62">
        <f t="shared" si="175"/>
        <v>0.81280569096848254</v>
      </c>
      <c r="P252" s="62">
        <f t="shared" si="176"/>
        <v>0.81280569096848254</v>
      </c>
      <c r="Q252" s="62">
        <f t="shared" si="177"/>
        <v>0.81280569096848254</v>
      </c>
      <c r="R252" s="62">
        <f t="shared" si="178"/>
        <v>0.81280569096848254</v>
      </c>
      <c r="S252" s="62">
        <f t="shared" si="179"/>
        <v>0.81280569096848254</v>
      </c>
      <c r="T252" s="62">
        <f t="shared" si="180"/>
        <v>0.81280569096848254</v>
      </c>
      <c r="U252" s="62">
        <f t="shared" si="181"/>
        <v>0.81280569096848254</v>
      </c>
      <c r="V252" s="62">
        <f t="shared" si="182"/>
        <v>0.81280569096848254</v>
      </c>
      <c r="W252" s="62">
        <f t="shared" si="183"/>
        <v>0.81280569096848254</v>
      </c>
      <c r="X252" s="62">
        <f t="shared" si="184"/>
        <v>0.81280569096848254</v>
      </c>
      <c r="Y252" s="62">
        <f t="shared" si="185"/>
        <v>0.81280569096848254</v>
      </c>
      <c r="Z252" s="62">
        <f t="shared" si="186"/>
        <v>0.81280569096848254</v>
      </c>
      <c r="AA252" s="62">
        <f t="shared" si="187"/>
        <v>0.81280569096848254</v>
      </c>
      <c r="AB252" s="62">
        <f t="shared" si="188"/>
        <v>0.81280569096848254</v>
      </c>
      <c r="AC252" s="62">
        <f t="shared" si="189"/>
        <v>0.81280569096848254</v>
      </c>
    </row>
    <row r="253" spans="1:44" x14ac:dyDescent="0.25">
      <c r="A253" s="30" t="str">
        <f t="shared" si="161"/>
        <v>Fuel Economy</v>
      </c>
      <c r="B253" s="62">
        <f t="shared" si="162"/>
        <v>588.84626218043502</v>
      </c>
      <c r="C253" s="62">
        <f t="shared" si="163"/>
        <v>588.7797515206795</v>
      </c>
      <c r="D253" s="62">
        <f t="shared" si="164"/>
        <v>588.68454299264499</v>
      </c>
      <c r="E253" s="62">
        <f t="shared" si="165"/>
        <v>588.54834049792862</v>
      </c>
      <c r="F253" s="62">
        <f t="shared" si="166"/>
        <v>588.35367707840635</v>
      </c>
      <c r="G253" s="62">
        <f t="shared" si="167"/>
        <v>588.07585031023859</v>
      </c>
      <c r="H253" s="62">
        <f t="shared" si="168"/>
        <v>587.68015683400074</v>
      </c>
      <c r="I253" s="62">
        <f t="shared" si="169"/>
        <v>587.11832882111048</v>
      </c>
      <c r="J253" s="62">
        <f t="shared" si="170"/>
        <v>586.32423891311498</v>
      </c>
      <c r="K253" s="62">
        <f t="shared" si="171"/>
        <v>585.20935100885799</v>
      </c>
      <c r="L253" s="62">
        <f t="shared" si="172"/>
        <v>583.65925210509909</v>
      </c>
      <c r="M253" s="62">
        <f t="shared" si="173"/>
        <v>581.53412449736095</v>
      </c>
      <c r="N253" s="62">
        <f t="shared" si="174"/>
        <v>578.67818071202885</v>
      </c>
      <c r="O253" s="62">
        <f t="shared" si="175"/>
        <v>574.94491045683674</v>
      </c>
      <c r="P253" s="62">
        <f t="shared" si="176"/>
        <v>570.24348757499536</v>
      </c>
      <c r="Q253" s="62">
        <f t="shared" si="177"/>
        <v>564.60191507115064</v>
      </c>
      <c r="R253" s="62">
        <f t="shared" si="178"/>
        <v>558.22257351659471</v>
      </c>
      <c r="S253" s="62">
        <f t="shared" si="179"/>
        <v>551.48792881122972</v>
      </c>
      <c r="T253" s="62">
        <f t="shared" si="180"/>
        <v>544.8858093168667</v>
      </c>
      <c r="U253" s="62">
        <f t="shared" si="181"/>
        <v>538.87576404606182</v>
      </c>
      <c r="V253" s="62">
        <f t="shared" si="182"/>
        <v>533.76808141278241</v>
      </c>
      <c r="W253" s="62">
        <f t="shared" si="183"/>
        <v>529.67774235765876</v>
      </c>
      <c r="X253" s="62">
        <f t="shared" si="184"/>
        <v>526.55663211639694</v>
      </c>
      <c r="Y253" s="62">
        <f t="shared" si="185"/>
        <v>524.26236577566647</v>
      </c>
      <c r="Z253" s="62">
        <f t="shared" si="186"/>
        <v>522.6219985324251</v>
      </c>
      <c r="AA253" s="62">
        <f t="shared" si="187"/>
        <v>521.47234334377424</v>
      </c>
      <c r="AB253" s="62">
        <f t="shared" si="188"/>
        <v>520.67786094508608</v>
      </c>
      <c r="AC253" s="62">
        <f t="shared" si="189"/>
        <v>520.13415704908732</v>
      </c>
    </row>
    <row r="254" spans="1:44" x14ac:dyDescent="0.25">
      <c r="A254" s="30" t="str">
        <f t="shared" si="161"/>
        <v>Fuel Cost</v>
      </c>
      <c r="B254" s="62">
        <f t="shared" si="162"/>
        <v>0.25254227914256844</v>
      </c>
      <c r="C254" s="62">
        <f t="shared" si="163"/>
        <v>0.25172282033513138</v>
      </c>
      <c r="D254" s="62">
        <f t="shared" si="164"/>
        <v>0.25055930629945611</v>
      </c>
      <c r="E254" s="62">
        <f t="shared" si="165"/>
        <v>0.24891479101658942</v>
      </c>
      <c r="F254" s="62">
        <f t="shared" si="166"/>
        <v>0.24660592122895794</v>
      </c>
      <c r="G254" s="62">
        <f t="shared" si="167"/>
        <v>0.24339575407846328</v>
      </c>
      <c r="H254" s="62">
        <f t="shared" si="168"/>
        <v>0.23899473500772708</v>
      </c>
      <c r="I254" s="62">
        <f t="shared" si="169"/>
        <v>0.23308023697079527</v>
      </c>
      <c r="J254" s="62">
        <f t="shared" si="170"/>
        <v>0.22534884543953543</v>
      </c>
      <c r="K254" s="62">
        <f t="shared" si="171"/>
        <v>0.21561246458069289</v>
      </c>
      <c r="L254" s="62">
        <f t="shared" si="172"/>
        <v>0.20392908703293811</v>
      </c>
      <c r="M254" s="62">
        <f t="shared" si="173"/>
        <v>0.19071783151204119</v>
      </c>
      <c r="N254" s="62">
        <f t="shared" si="174"/>
        <v>0.17677076326304775</v>
      </c>
      <c r="O254" s="62">
        <f t="shared" si="175"/>
        <v>0.16309814722993504</v>
      </c>
      <c r="P254" s="62">
        <f t="shared" si="176"/>
        <v>0.15065168342395555</v>
      </c>
      <c r="Q254" s="62">
        <f t="shared" si="177"/>
        <v>0.14007396159940294</v>
      </c>
      <c r="R254" s="62">
        <f t="shared" si="178"/>
        <v>0.13160310078058535</v>
      </c>
      <c r="S254" s="62">
        <f t="shared" si="179"/>
        <v>0.12513945801219511</v>
      </c>
      <c r="T254" s="62">
        <f t="shared" si="180"/>
        <v>0.1203881621925289</v>
      </c>
      <c r="U254" s="62">
        <f t="shared" si="181"/>
        <v>0.11699105441686944</v>
      </c>
      <c r="V254" s="62">
        <f t="shared" si="182"/>
        <v>0.11461018354982119</v>
      </c>
      <c r="W254" s="62">
        <f t="shared" si="183"/>
        <v>0.11296485544093068</v>
      </c>
      <c r="X254" s="62">
        <f t="shared" si="184"/>
        <v>0.11183887542617238</v>
      </c>
      <c r="Y254" s="62">
        <f t="shared" si="185"/>
        <v>0.11107345429801357</v>
      </c>
      <c r="Z254" s="62">
        <f t="shared" si="186"/>
        <v>0.11055550233773928</v>
      </c>
      <c r="AA254" s="62">
        <f t="shared" si="187"/>
        <v>0.11020609140458582</v>
      </c>
      <c r="AB254" s="62">
        <f t="shared" si="188"/>
        <v>0.10997086970011311</v>
      </c>
      <c r="AC254" s="62">
        <f t="shared" si="189"/>
        <v>0.10981274199926885</v>
      </c>
    </row>
    <row r="255" spans="1:44" x14ac:dyDescent="0.25">
      <c r="A255" s="30" t="str">
        <f t="shared" ref="A255" si="190">A235</f>
        <v>Emission Cost</v>
      </c>
      <c r="B255" s="66">
        <f>$B235+($C235-$B235)*(1-Q235)</f>
        <v>2.4395360251592355</v>
      </c>
      <c r="C255" s="66">
        <f t="shared" ref="C255:AC255" si="191">$B235+($C235-$B235)*(1-R235)</f>
        <v>2.437212992466212</v>
      </c>
      <c r="D255" s="66">
        <f t="shared" si="191"/>
        <v>2.4338876229075299</v>
      </c>
      <c r="E255" s="66">
        <f t="shared" si="191"/>
        <v>2.4291304479033946</v>
      </c>
      <c r="F255" s="66">
        <f t="shared" si="191"/>
        <v>2.422331395099703</v>
      </c>
      <c r="G255" s="66">
        <f t="shared" si="191"/>
        <v>2.4126276774125932</v>
      </c>
      <c r="H255" s="66">
        <f t="shared" si="191"/>
        <v>2.3988072028436171</v>
      </c>
      <c r="I255" s="66">
        <f t="shared" si="191"/>
        <v>2.379184110145415</v>
      </c>
      <c r="J255" s="66">
        <f t="shared" si="191"/>
        <v>2.3514487542753191</v>
      </c>
      <c r="K255" s="66">
        <f t="shared" si="191"/>
        <v>2.3125088150209741</v>
      </c>
      <c r="L255" s="66">
        <f t="shared" si="191"/>
        <v>2.2583681638217614</v>
      </c>
      <c r="M255" s="66">
        <f t="shared" si="191"/>
        <v>2.1841433564334305</v>
      </c>
      <c r="N255" s="66">
        <f t="shared" si="191"/>
        <v>2.0843931689123196</v>
      </c>
      <c r="O255" s="66">
        <f t="shared" si="191"/>
        <v>1.9540004035032079</v>
      </c>
      <c r="P255" s="66">
        <f t="shared" si="191"/>
        <v>1.7897927547083285</v>
      </c>
      <c r="Q255" s="66">
        <f t="shared" si="191"/>
        <v>1.5927482897357697</v>
      </c>
      <c r="R255" s="66">
        <f t="shared" si="191"/>
        <v>1.3699356000755636</v>
      </c>
      <c r="S255" s="66">
        <f t="shared" si="191"/>
        <v>1.1347131577787466</v>
      </c>
      <c r="T255" s="66">
        <f t="shared" si="191"/>
        <v>0.90411945317509268</v>
      </c>
      <c r="U255" s="66">
        <f t="shared" si="191"/>
        <v>0.69420525743630557</v>
      </c>
      <c r="V255" s="66">
        <f t="shared" si="191"/>
        <v>0.51580808341464834</v>
      </c>
      <c r="W255" s="66">
        <f t="shared" si="191"/>
        <v>0.37294389614701329</v>
      </c>
      <c r="X255" s="66">
        <f t="shared" si="191"/>
        <v>0.26393218049669054</v>
      </c>
      <c r="Y255" s="66">
        <f t="shared" si="191"/>
        <v>0.18379982674147044</v>
      </c>
      <c r="Z255" s="66">
        <f t="shared" si="191"/>
        <v>0.12650635305435332</v>
      </c>
      <c r="AA255" s="66">
        <f t="shared" si="191"/>
        <v>8.6352089079855254E-2</v>
      </c>
      <c r="AB255" s="66">
        <f t="shared" si="191"/>
        <v>5.8603024599529263E-2</v>
      </c>
      <c r="AC255" s="66">
        <f t="shared" si="191"/>
        <v>3.9612956986719627E-2</v>
      </c>
    </row>
    <row r="256" spans="1:44" x14ac:dyDescent="0.25">
      <c r="A256" s="30" t="str">
        <f>A236</f>
        <v>Lifetime vehicle</v>
      </c>
      <c r="B256" s="62">
        <f>$B236+($C236-$B236)*(1-Q236)</f>
        <v>25</v>
      </c>
      <c r="C256" s="62">
        <f t="shared" ref="C256:L258" si="192">$B236+($C236-$B236)*(1-R236)</f>
        <v>25</v>
      </c>
      <c r="D256" s="62">
        <f t="shared" si="192"/>
        <v>25</v>
      </c>
      <c r="E256" s="62">
        <f t="shared" si="192"/>
        <v>25</v>
      </c>
      <c r="F256" s="62">
        <f t="shared" si="192"/>
        <v>25</v>
      </c>
      <c r="G256" s="62">
        <f t="shared" si="192"/>
        <v>25</v>
      </c>
      <c r="H256" s="62">
        <f t="shared" si="192"/>
        <v>25</v>
      </c>
      <c r="I256" s="62">
        <f t="shared" si="192"/>
        <v>25</v>
      </c>
      <c r="J256" s="62">
        <f t="shared" si="192"/>
        <v>25</v>
      </c>
      <c r="K256" s="62">
        <f t="shared" si="192"/>
        <v>25</v>
      </c>
      <c r="L256" s="62">
        <f t="shared" si="192"/>
        <v>25</v>
      </c>
      <c r="M256" s="62">
        <f t="shared" ref="M256:V258" si="193">$B236+($C236-$B236)*(1-AB236)</f>
        <v>25</v>
      </c>
      <c r="N256" s="62">
        <f t="shared" si="193"/>
        <v>25</v>
      </c>
      <c r="O256" s="62">
        <f t="shared" si="193"/>
        <v>25</v>
      </c>
      <c r="P256" s="62">
        <f t="shared" si="193"/>
        <v>25</v>
      </c>
      <c r="Q256" s="62">
        <f t="shared" si="193"/>
        <v>25</v>
      </c>
      <c r="R256" s="62">
        <f t="shared" si="193"/>
        <v>25</v>
      </c>
      <c r="S256" s="62">
        <f t="shared" si="193"/>
        <v>25</v>
      </c>
      <c r="T256" s="62">
        <f t="shared" si="193"/>
        <v>25</v>
      </c>
      <c r="U256" s="62">
        <f t="shared" si="193"/>
        <v>25</v>
      </c>
      <c r="V256" s="62">
        <f t="shared" si="193"/>
        <v>25</v>
      </c>
      <c r="W256" s="62">
        <f t="shared" ref="W256:AC258" si="194">$B236+($C236-$B236)*(1-AL236)</f>
        <v>25</v>
      </c>
      <c r="X256" s="62">
        <f t="shared" si="194"/>
        <v>25</v>
      </c>
      <c r="Y256" s="62">
        <f t="shared" si="194"/>
        <v>25</v>
      </c>
      <c r="Z256" s="62">
        <f t="shared" si="194"/>
        <v>25</v>
      </c>
      <c r="AA256" s="62">
        <f t="shared" si="194"/>
        <v>25</v>
      </c>
      <c r="AB256" s="62">
        <f t="shared" si="194"/>
        <v>25</v>
      </c>
      <c r="AC256" s="62">
        <f t="shared" si="194"/>
        <v>25</v>
      </c>
    </row>
    <row r="257" spans="1:29" x14ac:dyDescent="0.25">
      <c r="A257" s="30" t="str">
        <f>A237</f>
        <v>Lifetime costumization</v>
      </c>
      <c r="B257" s="62">
        <f>$B237+($C237-$B237)*(1-Q237)</f>
        <v>25</v>
      </c>
      <c r="C257" s="62">
        <f t="shared" si="192"/>
        <v>25</v>
      </c>
      <c r="D257" s="62">
        <f t="shared" si="192"/>
        <v>25</v>
      </c>
      <c r="E257" s="62">
        <f t="shared" si="192"/>
        <v>25</v>
      </c>
      <c r="F257" s="62">
        <f t="shared" si="192"/>
        <v>25</v>
      </c>
      <c r="G257" s="62">
        <f t="shared" si="192"/>
        <v>25</v>
      </c>
      <c r="H257" s="62">
        <f t="shared" si="192"/>
        <v>25</v>
      </c>
      <c r="I257" s="62">
        <f t="shared" si="192"/>
        <v>25</v>
      </c>
      <c r="J257" s="62">
        <f t="shared" si="192"/>
        <v>25</v>
      </c>
      <c r="K257" s="62">
        <f t="shared" si="192"/>
        <v>25</v>
      </c>
      <c r="L257" s="62">
        <f t="shared" si="192"/>
        <v>25</v>
      </c>
      <c r="M257" s="62">
        <f t="shared" si="193"/>
        <v>25</v>
      </c>
      <c r="N257" s="62">
        <f t="shared" si="193"/>
        <v>25</v>
      </c>
      <c r="O257" s="62">
        <f t="shared" si="193"/>
        <v>25</v>
      </c>
      <c r="P257" s="62">
        <f t="shared" si="193"/>
        <v>25</v>
      </c>
      <c r="Q257" s="62">
        <f t="shared" si="193"/>
        <v>25</v>
      </c>
      <c r="R257" s="62">
        <f t="shared" si="193"/>
        <v>25</v>
      </c>
      <c r="S257" s="62">
        <f t="shared" si="193"/>
        <v>25</v>
      </c>
      <c r="T257" s="62">
        <f t="shared" si="193"/>
        <v>25</v>
      </c>
      <c r="U257" s="62">
        <f t="shared" si="193"/>
        <v>25</v>
      </c>
      <c r="V257" s="62">
        <f t="shared" si="193"/>
        <v>25</v>
      </c>
      <c r="W257" s="62">
        <f t="shared" si="194"/>
        <v>25</v>
      </c>
      <c r="X257" s="62">
        <f t="shared" si="194"/>
        <v>25</v>
      </c>
      <c r="Y257" s="62">
        <f t="shared" si="194"/>
        <v>25</v>
      </c>
      <c r="Z257" s="62">
        <f t="shared" si="194"/>
        <v>25</v>
      </c>
      <c r="AA257" s="62">
        <f t="shared" si="194"/>
        <v>25</v>
      </c>
      <c r="AB257" s="62">
        <f t="shared" si="194"/>
        <v>25</v>
      </c>
      <c r="AC257" s="62">
        <f t="shared" si="194"/>
        <v>25</v>
      </c>
    </row>
    <row r="258" spans="1:29" x14ac:dyDescent="0.25">
      <c r="A258" s="30" t="str">
        <f>A238</f>
        <v>Tonnage .</v>
      </c>
      <c r="B258" s="62">
        <f>$B238+($C238-$B238)*(1-Q238)</f>
        <v>9450</v>
      </c>
      <c r="C258" s="62">
        <f t="shared" si="192"/>
        <v>9450</v>
      </c>
      <c r="D258" s="62">
        <f t="shared" si="192"/>
        <v>9450</v>
      </c>
      <c r="E258" s="62">
        <f t="shared" si="192"/>
        <v>9450</v>
      </c>
      <c r="F258" s="62">
        <f t="shared" si="192"/>
        <v>9450</v>
      </c>
      <c r="G258" s="62">
        <f t="shared" si="192"/>
        <v>9450</v>
      </c>
      <c r="H258" s="62">
        <f t="shared" si="192"/>
        <v>9450</v>
      </c>
      <c r="I258" s="62">
        <f t="shared" si="192"/>
        <v>9450</v>
      </c>
      <c r="J258" s="62">
        <f t="shared" si="192"/>
        <v>9450</v>
      </c>
      <c r="K258" s="62">
        <f t="shared" si="192"/>
        <v>9450</v>
      </c>
      <c r="L258" s="62">
        <f t="shared" si="192"/>
        <v>9450</v>
      </c>
      <c r="M258" s="62">
        <f t="shared" si="193"/>
        <v>9450</v>
      </c>
      <c r="N258" s="62">
        <f t="shared" si="193"/>
        <v>9450</v>
      </c>
      <c r="O258" s="62">
        <f t="shared" si="193"/>
        <v>9450</v>
      </c>
      <c r="P258" s="62">
        <f t="shared" si="193"/>
        <v>9450</v>
      </c>
      <c r="Q258" s="62">
        <f t="shared" si="193"/>
        <v>9450</v>
      </c>
      <c r="R258" s="62">
        <f t="shared" si="193"/>
        <v>9450</v>
      </c>
      <c r="S258" s="62">
        <f t="shared" si="193"/>
        <v>9450</v>
      </c>
      <c r="T258" s="62">
        <f t="shared" si="193"/>
        <v>9450</v>
      </c>
      <c r="U258" s="62">
        <f t="shared" si="193"/>
        <v>9450</v>
      </c>
      <c r="V258" s="62">
        <f t="shared" si="193"/>
        <v>9450</v>
      </c>
      <c r="W258" s="62">
        <f t="shared" si="194"/>
        <v>9450</v>
      </c>
      <c r="X258" s="62">
        <f t="shared" si="194"/>
        <v>9450</v>
      </c>
      <c r="Y258" s="62">
        <f t="shared" si="194"/>
        <v>9450</v>
      </c>
      <c r="Z258" s="62">
        <f t="shared" si="194"/>
        <v>9450</v>
      </c>
      <c r="AA258" s="62">
        <f t="shared" si="194"/>
        <v>9450</v>
      </c>
      <c r="AB258" s="62">
        <f t="shared" si="194"/>
        <v>9450</v>
      </c>
      <c r="AC258" s="62">
        <f t="shared" si="194"/>
        <v>9450</v>
      </c>
    </row>
    <row r="259" spans="1:29" x14ac:dyDescent="0.25">
      <c r="A259" s="30" t="str">
        <f>A239</f>
        <v>Market failure (av. utilization)</v>
      </c>
      <c r="B259" s="62">
        <f t="shared" ref="B259:K260" si="195">($B239+($C239-$B239)*(1-Q239))*B$44</f>
        <v>4914</v>
      </c>
      <c r="C259" s="62">
        <f t="shared" si="195"/>
        <v>4914</v>
      </c>
      <c r="D259" s="62">
        <f t="shared" si="195"/>
        <v>4914</v>
      </c>
      <c r="E259" s="62">
        <f t="shared" si="195"/>
        <v>4914</v>
      </c>
      <c r="F259" s="62">
        <f t="shared" si="195"/>
        <v>4914</v>
      </c>
      <c r="G259" s="62">
        <f t="shared" si="195"/>
        <v>4914</v>
      </c>
      <c r="H259" s="62">
        <f t="shared" si="195"/>
        <v>4914</v>
      </c>
      <c r="I259" s="62">
        <f t="shared" si="195"/>
        <v>4914</v>
      </c>
      <c r="J259" s="62">
        <f t="shared" si="195"/>
        <v>4914</v>
      </c>
      <c r="K259" s="62">
        <f t="shared" si="195"/>
        <v>4914</v>
      </c>
      <c r="L259" s="62">
        <f t="shared" ref="L259:U260" si="196">($B239+($C239-$B239)*(1-AA239))*L$44</f>
        <v>4914</v>
      </c>
      <c r="M259" s="62">
        <f t="shared" si="196"/>
        <v>4914</v>
      </c>
      <c r="N259" s="62">
        <f t="shared" si="196"/>
        <v>4914</v>
      </c>
      <c r="O259" s="62">
        <f t="shared" si="196"/>
        <v>4914</v>
      </c>
      <c r="P259" s="62">
        <f t="shared" si="196"/>
        <v>4914</v>
      </c>
      <c r="Q259" s="62">
        <f t="shared" si="196"/>
        <v>4914</v>
      </c>
      <c r="R259" s="62">
        <f t="shared" si="196"/>
        <v>4914</v>
      </c>
      <c r="S259" s="62">
        <f t="shared" si="196"/>
        <v>4914</v>
      </c>
      <c r="T259" s="62">
        <f t="shared" si="196"/>
        <v>4914</v>
      </c>
      <c r="U259" s="62">
        <f t="shared" si="196"/>
        <v>4914</v>
      </c>
      <c r="V259" s="62">
        <f t="shared" ref="V259:AC260" si="197">($B239+($C239-$B239)*(1-AK239))*V$44</f>
        <v>4914</v>
      </c>
      <c r="W259" s="62">
        <f t="shared" si="197"/>
        <v>4914</v>
      </c>
      <c r="X259" s="62">
        <f t="shared" si="197"/>
        <v>4914</v>
      </c>
      <c r="Y259" s="62">
        <f t="shared" si="197"/>
        <v>4914</v>
      </c>
      <c r="Z259" s="62">
        <f t="shared" si="197"/>
        <v>4914</v>
      </c>
      <c r="AA259" s="62">
        <f t="shared" si="197"/>
        <v>4914</v>
      </c>
      <c r="AB259" s="62">
        <f t="shared" si="197"/>
        <v>4914</v>
      </c>
      <c r="AC259" s="62">
        <f t="shared" si="197"/>
        <v>4914</v>
      </c>
    </row>
    <row r="260" spans="1:29" x14ac:dyDescent="0.25">
      <c r="A260" s="30" t="s">
        <v>73</v>
      </c>
      <c r="B260" s="62">
        <f t="shared" si="195"/>
        <v>944.5849078871745</v>
      </c>
      <c r="C260" s="62">
        <f t="shared" si="195"/>
        <v>944.40532910583465</v>
      </c>
      <c r="D260" s="62">
        <f t="shared" si="195"/>
        <v>944.14826608014141</v>
      </c>
      <c r="E260" s="62">
        <f t="shared" si="195"/>
        <v>943.78051934440748</v>
      </c>
      <c r="F260" s="62">
        <f t="shared" si="195"/>
        <v>943.25492811169715</v>
      </c>
      <c r="G260" s="62">
        <f t="shared" si="195"/>
        <v>942.50479583764434</v>
      </c>
      <c r="H260" s="62">
        <f t="shared" si="195"/>
        <v>941.43642345180217</v>
      </c>
      <c r="I260" s="62">
        <f t="shared" si="195"/>
        <v>939.91948781699818</v>
      </c>
      <c r="J260" s="62">
        <f t="shared" si="195"/>
        <v>937.77544506541028</v>
      </c>
      <c r="K260" s="62">
        <f t="shared" si="195"/>
        <v>934.76524772391656</v>
      </c>
      <c r="L260" s="62">
        <f t="shared" si="196"/>
        <v>930.57998068376753</v>
      </c>
      <c r="M260" s="62">
        <f t="shared" si="196"/>
        <v>924.84213614287444</v>
      </c>
      <c r="N260" s="62">
        <f t="shared" si="196"/>
        <v>917.13108792247806</v>
      </c>
      <c r="O260" s="62">
        <f t="shared" si="196"/>
        <v>907.05125823345929</v>
      </c>
      <c r="P260" s="62">
        <f t="shared" si="196"/>
        <v>894.35741645248754</v>
      </c>
      <c r="Q260" s="62">
        <f t="shared" si="196"/>
        <v>879.12517069210696</v>
      </c>
      <c r="R260" s="62">
        <f t="shared" si="196"/>
        <v>861.90094849480568</v>
      </c>
      <c r="S260" s="62">
        <f t="shared" si="196"/>
        <v>843.71740779032029</v>
      </c>
      <c r="T260" s="62">
        <f t="shared" si="196"/>
        <v>825.89168515554024</v>
      </c>
      <c r="U260" s="62">
        <f t="shared" si="196"/>
        <v>809.66456292436703</v>
      </c>
      <c r="V260" s="62">
        <f t="shared" si="197"/>
        <v>795.87381981451244</v>
      </c>
      <c r="W260" s="62">
        <f t="shared" si="197"/>
        <v>784.82990436567866</v>
      </c>
      <c r="X260" s="62">
        <f t="shared" si="197"/>
        <v>776.40290671427192</v>
      </c>
      <c r="Y260" s="62">
        <f t="shared" si="197"/>
        <v>770.20838759429932</v>
      </c>
      <c r="Z260" s="62">
        <f t="shared" si="197"/>
        <v>765.77939603754794</v>
      </c>
      <c r="AA260" s="62">
        <f t="shared" si="197"/>
        <v>762.6753270281904</v>
      </c>
      <c r="AB260" s="62">
        <f t="shared" si="197"/>
        <v>760.53022455173243</v>
      </c>
      <c r="AC260" s="62">
        <f t="shared" si="197"/>
        <v>759.0622240325356</v>
      </c>
    </row>
    <row r="261" spans="1:29" x14ac:dyDescent="0.25">
      <c r="A261" s="30" t="str">
        <f>A241</f>
        <v>Annual Mileage</v>
      </c>
      <c r="B261" s="62">
        <f t="shared" ref="B261:AC261" si="198">$B241+($C241-$B241)*(1-Q241)</f>
        <v>120000</v>
      </c>
      <c r="C261" s="62">
        <f t="shared" si="198"/>
        <v>120000</v>
      </c>
      <c r="D261" s="62">
        <f t="shared" si="198"/>
        <v>120000</v>
      </c>
      <c r="E261" s="62">
        <f t="shared" si="198"/>
        <v>120000</v>
      </c>
      <c r="F261" s="62">
        <f t="shared" si="198"/>
        <v>120000</v>
      </c>
      <c r="G261" s="62">
        <f t="shared" si="198"/>
        <v>120000</v>
      </c>
      <c r="H261" s="62">
        <f t="shared" si="198"/>
        <v>120000</v>
      </c>
      <c r="I261" s="62">
        <f t="shared" si="198"/>
        <v>120000</v>
      </c>
      <c r="J261" s="62">
        <f t="shared" si="198"/>
        <v>120000</v>
      </c>
      <c r="K261" s="62">
        <f t="shared" si="198"/>
        <v>120000</v>
      </c>
      <c r="L261" s="62">
        <f t="shared" si="198"/>
        <v>120000</v>
      </c>
      <c r="M261" s="62">
        <f t="shared" si="198"/>
        <v>120000</v>
      </c>
      <c r="N261" s="62">
        <f t="shared" si="198"/>
        <v>120000</v>
      </c>
      <c r="O261" s="62">
        <f t="shared" si="198"/>
        <v>120000</v>
      </c>
      <c r="P261" s="62">
        <f t="shared" si="198"/>
        <v>120000</v>
      </c>
      <c r="Q261" s="62">
        <f t="shared" si="198"/>
        <v>120000</v>
      </c>
      <c r="R261" s="62">
        <f t="shared" si="198"/>
        <v>120000</v>
      </c>
      <c r="S261" s="62">
        <f t="shared" si="198"/>
        <v>120000</v>
      </c>
      <c r="T261" s="62">
        <f t="shared" si="198"/>
        <v>120000</v>
      </c>
      <c r="U261" s="62">
        <f t="shared" si="198"/>
        <v>120000</v>
      </c>
      <c r="V261" s="62">
        <f t="shared" si="198"/>
        <v>120000</v>
      </c>
      <c r="W261" s="62">
        <f t="shared" si="198"/>
        <v>120000</v>
      </c>
      <c r="X261" s="62">
        <f t="shared" si="198"/>
        <v>120000</v>
      </c>
      <c r="Y261" s="62">
        <f t="shared" si="198"/>
        <v>120000</v>
      </c>
      <c r="Z261" s="62">
        <f t="shared" si="198"/>
        <v>120000</v>
      </c>
      <c r="AA261" s="62">
        <f t="shared" si="198"/>
        <v>120000</v>
      </c>
      <c r="AB261" s="62">
        <f t="shared" si="198"/>
        <v>120000</v>
      </c>
      <c r="AC261" s="62">
        <f t="shared" si="198"/>
        <v>120000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2344997.5856047659</v>
      </c>
      <c r="C264" s="63">
        <f t="shared" ref="C264:AC264" si="199">((1+C249)^C256)*C249/(((1+C249)^C256)-1)*(C245)</f>
        <v>2344217.1490089451</v>
      </c>
      <c r="D264" s="63">
        <f t="shared" si="199"/>
        <v>2343099.9714048514</v>
      </c>
      <c r="E264" s="63">
        <f t="shared" si="199"/>
        <v>2341501.7702787537</v>
      </c>
      <c r="F264" s="63">
        <f t="shared" si="199"/>
        <v>2339217.5882089725</v>
      </c>
      <c r="G264" s="63">
        <f t="shared" si="199"/>
        <v>2335957.5667631798</v>
      </c>
      <c r="H264" s="63">
        <f t="shared" si="199"/>
        <v>2331314.496453566</v>
      </c>
      <c r="I264" s="63">
        <f t="shared" si="199"/>
        <v>2324722.0022063456</v>
      </c>
      <c r="J264" s="63">
        <f t="shared" si="199"/>
        <v>2315404.1450861497</v>
      </c>
      <c r="K264" s="63">
        <f t="shared" si="199"/>
        <v>2302322.0417974619</v>
      </c>
      <c r="L264" s="63">
        <f t="shared" si="199"/>
        <v>2284133.1692756363</v>
      </c>
      <c r="M264" s="63">
        <f t="shared" si="199"/>
        <v>2259196.9054952883</v>
      </c>
      <c r="N264" s="63">
        <f t="shared" si="199"/>
        <v>2225685.2390364991</v>
      </c>
      <c r="O264" s="63">
        <f t="shared" si="199"/>
        <v>2181879.0169970216</v>
      </c>
      <c r="P264" s="63">
        <f t="shared" si="199"/>
        <v>2126712.4845508407</v>
      </c>
      <c r="Q264" s="63">
        <f t="shared" si="199"/>
        <v>2060514.2291709851</v>
      </c>
      <c r="R264" s="63">
        <f t="shared" si="199"/>
        <v>1985658.9860457699</v>
      </c>
      <c r="S264" s="63">
        <f t="shared" si="199"/>
        <v>1906634.6130018148</v>
      </c>
      <c r="T264" s="63">
        <f t="shared" si="199"/>
        <v>1829165.2918084206</v>
      </c>
      <c r="U264" s="63">
        <f t="shared" si="199"/>
        <v>1758643.3741320807</v>
      </c>
      <c r="V264" s="63">
        <f t="shared" si="199"/>
        <v>1698709.7866213897</v>
      </c>
      <c r="W264" s="63">
        <f t="shared" si="199"/>
        <v>1650713.7165227169</v>
      </c>
      <c r="X264" s="63">
        <f t="shared" si="199"/>
        <v>1614090.584819823</v>
      </c>
      <c r="Y264" s="63">
        <f t="shared" si="199"/>
        <v>1587169.645838788</v>
      </c>
      <c r="Z264" s="63">
        <f t="shared" si="199"/>
        <v>1567921.5639235359</v>
      </c>
      <c r="AA264" s="63">
        <f t="shared" si="199"/>
        <v>1554431.5010509547</v>
      </c>
      <c r="AB264" s="63">
        <f t="shared" si="199"/>
        <v>1545109.0384419363</v>
      </c>
      <c r="AC264" s="63">
        <f t="shared" si="199"/>
        <v>1538729.2127224542</v>
      </c>
    </row>
    <row r="265" spans="1:29" x14ac:dyDescent="0.25">
      <c r="A265" s="30" t="str">
        <f>A246</f>
        <v>Residual value (vehicle)</v>
      </c>
      <c r="B265" s="62">
        <f>((1+B249)^B256)*B249/(((1+B249)^B256)-1)*(B246)</f>
        <v>-117417.38992255888</v>
      </c>
      <c r="C265" s="62">
        <f t="shared" ref="C265:AC265" si="200">((1+C249)^C256)*C249/(((1+C249)^C256)-1)*(C246)</f>
        <v>-117450.83720523692</v>
      </c>
      <c r="D265" s="62">
        <f t="shared" si="200"/>
        <v>-117498.71624541239</v>
      </c>
      <c r="E265" s="62">
        <f t="shared" si="200"/>
        <v>-117567.21057938797</v>
      </c>
      <c r="F265" s="62">
        <f t="shared" si="200"/>
        <v>-117665.10409666432</v>
      </c>
      <c r="G265" s="62">
        <f t="shared" si="200"/>
        <v>-117804.81930148401</v>
      </c>
      <c r="H265" s="62">
        <f t="shared" si="200"/>
        <v>-118003.80802903889</v>
      </c>
      <c r="I265" s="62">
        <f t="shared" si="200"/>
        <v>-118286.34349677691</v>
      </c>
      <c r="J265" s="62">
        <f t="shared" si="200"/>
        <v>-118685.68023049959</v>
      </c>
      <c r="K265" s="62">
        <f t="shared" si="200"/>
        <v>-119246.34180001476</v>
      </c>
      <c r="L265" s="62">
        <f t="shared" si="200"/>
        <v>-120025.864908093</v>
      </c>
      <c r="M265" s="62">
        <f t="shared" si="200"/>
        <v>-121094.56192725079</v>
      </c>
      <c r="N265" s="62">
        <f t="shared" si="200"/>
        <v>-122530.77620405605</v>
      </c>
      <c r="O265" s="62">
        <f t="shared" si="200"/>
        <v>-124408.18572003364</v>
      </c>
      <c r="P265" s="62">
        <f t="shared" si="200"/>
        <v>-126772.46568201284</v>
      </c>
      <c r="Q265" s="62">
        <f t="shared" si="200"/>
        <v>-129609.53376972093</v>
      </c>
      <c r="R265" s="62">
        <f t="shared" si="200"/>
        <v>-132817.61561794442</v>
      </c>
      <c r="S265" s="62">
        <f t="shared" si="200"/>
        <v>-136204.37446268537</v>
      </c>
      <c r="T265" s="62">
        <f t="shared" si="200"/>
        <v>-139524.48822811653</v>
      </c>
      <c r="U265" s="62">
        <f t="shared" si="200"/>
        <v>-142546.8561285311</v>
      </c>
      <c r="V265" s="62">
        <f t="shared" si="200"/>
        <v>-145115.43845041786</v>
      </c>
      <c r="W265" s="62">
        <f t="shared" si="200"/>
        <v>-147172.41288321812</v>
      </c>
      <c r="X265" s="62">
        <f t="shared" si="200"/>
        <v>-148741.975670485</v>
      </c>
      <c r="Y265" s="62">
        <f t="shared" si="200"/>
        <v>-149895.73019824366</v>
      </c>
      <c r="Z265" s="62">
        <f t="shared" si="200"/>
        <v>-150720.64799461162</v>
      </c>
      <c r="AA265" s="62">
        <f t="shared" si="200"/>
        <v>-151298.79354629366</v>
      </c>
      <c r="AB265" s="62">
        <f t="shared" si="200"/>
        <v>-151698.32765810873</v>
      </c>
      <c r="AC265" s="62">
        <f t="shared" si="200"/>
        <v>-151971.74876037225</v>
      </c>
    </row>
    <row r="266" spans="1:29" x14ac:dyDescent="0.25">
      <c r="A266" s="30" t="str">
        <f>A247</f>
        <v>Capex costumization</v>
      </c>
      <c r="B266" s="62">
        <f>((1+B249)^B257)*B249/(((1+B249)^B257)-1)*(B247)</f>
        <v>78226.718212273947</v>
      </c>
      <c r="C266" s="62">
        <f t="shared" ref="C266:AC266" si="201">((1+C249)^C257)*C249/(((1+C249)^C257)-1)*(C247)</f>
        <v>78226.718212273947</v>
      </c>
      <c r="D266" s="62">
        <f t="shared" si="201"/>
        <v>78226.718212273947</v>
      </c>
      <c r="E266" s="62">
        <f t="shared" si="201"/>
        <v>78226.718212273947</v>
      </c>
      <c r="F266" s="62">
        <f t="shared" si="201"/>
        <v>78226.718212273947</v>
      </c>
      <c r="G266" s="62">
        <f t="shared" si="201"/>
        <v>78226.718212273947</v>
      </c>
      <c r="H266" s="62">
        <f t="shared" si="201"/>
        <v>78226.718212273947</v>
      </c>
      <c r="I266" s="62">
        <f t="shared" si="201"/>
        <v>78226.718212273947</v>
      </c>
      <c r="J266" s="62">
        <f t="shared" si="201"/>
        <v>78226.718212273947</v>
      </c>
      <c r="K266" s="62">
        <f t="shared" si="201"/>
        <v>78226.718212273947</v>
      </c>
      <c r="L266" s="62">
        <f t="shared" si="201"/>
        <v>78226.718212273947</v>
      </c>
      <c r="M266" s="62">
        <f t="shared" si="201"/>
        <v>78226.718212273947</v>
      </c>
      <c r="N266" s="62">
        <f t="shared" si="201"/>
        <v>78226.718212273947</v>
      </c>
      <c r="O266" s="62">
        <f t="shared" si="201"/>
        <v>78226.718212273947</v>
      </c>
      <c r="P266" s="62">
        <f t="shared" si="201"/>
        <v>78226.718212273947</v>
      </c>
      <c r="Q266" s="62">
        <f t="shared" si="201"/>
        <v>78226.718212273947</v>
      </c>
      <c r="R266" s="62">
        <f t="shared" si="201"/>
        <v>78226.718212273947</v>
      </c>
      <c r="S266" s="62">
        <f t="shared" si="201"/>
        <v>78226.718212273947</v>
      </c>
      <c r="T266" s="62">
        <f t="shared" si="201"/>
        <v>78226.718212273947</v>
      </c>
      <c r="U266" s="62">
        <f t="shared" si="201"/>
        <v>78226.718212273947</v>
      </c>
      <c r="V266" s="62">
        <f t="shared" si="201"/>
        <v>78226.718212273947</v>
      </c>
      <c r="W266" s="62">
        <f t="shared" si="201"/>
        <v>78226.718212273947</v>
      </c>
      <c r="X266" s="62">
        <f t="shared" si="201"/>
        <v>78226.718212273947</v>
      </c>
      <c r="Y266" s="62">
        <f t="shared" si="201"/>
        <v>78226.718212273947</v>
      </c>
      <c r="Z266" s="62">
        <f t="shared" si="201"/>
        <v>78226.718212273947</v>
      </c>
      <c r="AA266" s="62">
        <f t="shared" si="201"/>
        <v>78226.718212273947</v>
      </c>
      <c r="AB266" s="62">
        <f t="shared" si="201"/>
        <v>78226.718212273947</v>
      </c>
      <c r="AC266" s="62">
        <f t="shared" si="201"/>
        <v>78226.718212273947</v>
      </c>
    </row>
    <row r="267" spans="1:29" x14ac:dyDescent="0.25">
      <c r="A267" s="30" t="str">
        <f>A248</f>
        <v>Residual value (costumization)</v>
      </c>
      <c r="B267" s="62">
        <f>((1+B249)^B257)*B249/(((1+B249)^B257)-1)*(B248)</f>
        <v>-7822.6718212273945</v>
      </c>
      <c r="C267" s="62">
        <f t="shared" ref="C267:AC267" si="202">((1+C249)^C257)*C249/(((1+C249)^C257)-1)*(C248)</f>
        <v>-7822.6718212273945</v>
      </c>
      <c r="D267" s="62">
        <f t="shared" si="202"/>
        <v>-7822.6718212273945</v>
      </c>
      <c r="E267" s="62">
        <f t="shared" si="202"/>
        <v>-7822.6718212273945</v>
      </c>
      <c r="F267" s="62">
        <f t="shared" si="202"/>
        <v>-7822.6718212273945</v>
      </c>
      <c r="G267" s="62">
        <f t="shared" si="202"/>
        <v>-7822.6718212273945</v>
      </c>
      <c r="H267" s="62">
        <f t="shared" si="202"/>
        <v>-7822.6718212273945</v>
      </c>
      <c r="I267" s="62">
        <f t="shared" si="202"/>
        <v>-7822.6718212273945</v>
      </c>
      <c r="J267" s="62">
        <f t="shared" si="202"/>
        <v>-7822.6718212273945</v>
      </c>
      <c r="K267" s="62">
        <f t="shared" si="202"/>
        <v>-7822.6718212273945</v>
      </c>
      <c r="L267" s="62">
        <f t="shared" si="202"/>
        <v>-7822.6718212273945</v>
      </c>
      <c r="M267" s="62">
        <f t="shared" si="202"/>
        <v>-7822.6718212273945</v>
      </c>
      <c r="N267" s="62">
        <f t="shared" si="202"/>
        <v>-7822.6718212273945</v>
      </c>
      <c r="O267" s="62">
        <f t="shared" si="202"/>
        <v>-7822.6718212273945</v>
      </c>
      <c r="P267" s="62">
        <f t="shared" si="202"/>
        <v>-7822.6718212273945</v>
      </c>
      <c r="Q267" s="62">
        <f t="shared" si="202"/>
        <v>-7822.6718212273945</v>
      </c>
      <c r="R267" s="62">
        <f t="shared" si="202"/>
        <v>-7822.6718212273945</v>
      </c>
      <c r="S267" s="62">
        <f t="shared" si="202"/>
        <v>-7822.6718212273945</v>
      </c>
      <c r="T267" s="62">
        <f t="shared" si="202"/>
        <v>-7822.6718212273945</v>
      </c>
      <c r="U267" s="62">
        <f t="shared" si="202"/>
        <v>-7822.6718212273945</v>
      </c>
      <c r="V267" s="62">
        <f t="shared" si="202"/>
        <v>-7822.6718212273945</v>
      </c>
      <c r="W267" s="62">
        <f t="shared" si="202"/>
        <v>-7822.6718212273945</v>
      </c>
      <c r="X267" s="62">
        <f t="shared" si="202"/>
        <v>-7822.6718212273945</v>
      </c>
      <c r="Y267" s="62">
        <f t="shared" si="202"/>
        <v>-7822.6718212273945</v>
      </c>
      <c r="Z267" s="62">
        <f t="shared" si="202"/>
        <v>-7822.6718212273945</v>
      </c>
      <c r="AA267" s="62">
        <f t="shared" si="202"/>
        <v>-7822.6718212273945</v>
      </c>
      <c r="AB267" s="62">
        <f t="shared" si="202"/>
        <v>-7822.6718212273945</v>
      </c>
      <c r="AC267" s="62">
        <f t="shared" si="202"/>
        <v>-7822.6718212273945</v>
      </c>
    </row>
    <row r="268" spans="1:29" x14ac:dyDescent="0.25">
      <c r="A268" s="30" t="str">
        <f t="shared" ref="A268:AC268" si="203">A250</f>
        <v>Opex fix (admin, crew, insurance)</v>
      </c>
      <c r="B268" s="62">
        <f t="shared" si="203"/>
        <v>1208235.294117647</v>
      </c>
      <c r="C268" s="62">
        <f t="shared" si="203"/>
        <v>1208235.294117647</v>
      </c>
      <c r="D268" s="62">
        <f t="shared" si="203"/>
        <v>1208235.294117647</v>
      </c>
      <c r="E268" s="62">
        <f t="shared" si="203"/>
        <v>1208235.294117647</v>
      </c>
      <c r="F268" s="62">
        <f t="shared" si="203"/>
        <v>1208235.294117647</v>
      </c>
      <c r="G268" s="62">
        <f t="shared" si="203"/>
        <v>1208235.294117647</v>
      </c>
      <c r="H268" s="62">
        <f t="shared" si="203"/>
        <v>1208235.294117647</v>
      </c>
      <c r="I268" s="62">
        <f t="shared" si="203"/>
        <v>1208235.294117647</v>
      </c>
      <c r="J268" s="62">
        <f t="shared" si="203"/>
        <v>1208235.294117647</v>
      </c>
      <c r="K268" s="62">
        <f t="shared" si="203"/>
        <v>1208235.294117647</v>
      </c>
      <c r="L268" s="62">
        <f t="shared" si="203"/>
        <v>1208235.294117647</v>
      </c>
      <c r="M268" s="62">
        <f t="shared" si="203"/>
        <v>1208235.294117647</v>
      </c>
      <c r="N268" s="62">
        <f t="shared" si="203"/>
        <v>1208235.294117647</v>
      </c>
      <c r="O268" s="62">
        <f t="shared" si="203"/>
        <v>1208235.294117647</v>
      </c>
      <c r="P268" s="62">
        <f t="shared" si="203"/>
        <v>1208235.294117647</v>
      </c>
      <c r="Q268" s="62">
        <f t="shared" si="203"/>
        <v>1208235.294117647</v>
      </c>
      <c r="R268" s="62">
        <f t="shared" si="203"/>
        <v>1208235.294117647</v>
      </c>
      <c r="S268" s="62">
        <f t="shared" si="203"/>
        <v>1208235.294117647</v>
      </c>
      <c r="T268" s="62">
        <f t="shared" si="203"/>
        <v>1208235.294117647</v>
      </c>
      <c r="U268" s="62">
        <f t="shared" si="203"/>
        <v>1208235.294117647</v>
      </c>
      <c r="V268" s="62">
        <f t="shared" si="203"/>
        <v>1208235.294117647</v>
      </c>
      <c r="W268" s="62">
        <f t="shared" si="203"/>
        <v>1208235.294117647</v>
      </c>
      <c r="X268" s="62">
        <f t="shared" si="203"/>
        <v>1208235.294117647</v>
      </c>
      <c r="Y268" s="62">
        <f t="shared" si="203"/>
        <v>1208235.294117647</v>
      </c>
      <c r="Z268" s="62">
        <f t="shared" si="203"/>
        <v>1208235.294117647</v>
      </c>
      <c r="AA268" s="62">
        <f t="shared" si="203"/>
        <v>1208235.294117647</v>
      </c>
      <c r="AB268" s="62">
        <f t="shared" si="203"/>
        <v>1208235.294117647</v>
      </c>
      <c r="AC268" s="62">
        <f t="shared" si="203"/>
        <v>1208235.294117647</v>
      </c>
    </row>
    <row r="269" spans="1:29" x14ac:dyDescent="0.25">
      <c r="A269" s="30" t="str">
        <f t="shared" ref="A269:AC269" si="204">A251</f>
        <v>Opex maintenance &amp; repair</v>
      </c>
      <c r="B269" s="62">
        <f t="shared" si="204"/>
        <v>338823.5294117647</v>
      </c>
      <c r="C269" s="62">
        <f t="shared" si="204"/>
        <v>338823.5294117647</v>
      </c>
      <c r="D269" s="62">
        <f t="shared" si="204"/>
        <v>338823.5294117647</v>
      </c>
      <c r="E269" s="62">
        <f t="shared" si="204"/>
        <v>338823.5294117647</v>
      </c>
      <c r="F269" s="62">
        <f t="shared" si="204"/>
        <v>338823.5294117647</v>
      </c>
      <c r="G269" s="62">
        <f t="shared" si="204"/>
        <v>338823.5294117647</v>
      </c>
      <c r="H269" s="62">
        <f t="shared" si="204"/>
        <v>338823.5294117647</v>
      </c>
      <c r="I269" s="62">
        <f t="shared" si="204"/>
        <v>338823.5294117647</v>
      </c>
      <c r="J269" s="62">
        <f t="shared" si="204"/>
        <v>338823.5294117647</v>
      </c>
      <c r="K269" s="62">
        <f t="shared" si="204"/>
        <v>338823.5294117647</v>
      </c>
      <c r="L269" s="62">
        <f t="shared" si="204"/>
        <v>338823.5294117647</v>
      </c>
      <c r="M269" s="62">
        <f t="shared" si="204"/>
        <v>338823.5294117647</v>
      </c>
      <c r="N269" s="62">
        <f t="shared" si="204"/>
        <v>338823.5294117647</v>
      </c>
      <c r="O269" s="62">
        <f t="shared" si="204"/>
        <v>338823.5294117647</v>
      </c>
      <c r="P269" s="62">
        <f t="shared" si="204"/>
        <v>338823.5294117647</v>
      </c>
      <c r="Q269" s="62">
        <f t="shared" si="204"/>
        <v>338823.5294117647</v>
      </c>
      <c r="R269" s="62">
        <f t="shared" si="204"/>
        <v>338823.5294117647</v>
      </c>
      <c r="S269" s="62">
        <f t="shared" si="204"/>
        <v>338823.5294117647</v>
      </c>
      <c r="T269" s="62">
        <f t="shared" si="204"/>
        <v>338823.5294117647</v>
      </c>
      <c r="U269" s="62">
        <f t="shared" si="204"/>
        <v>338823.5294117647</v>
      </c>
      <c r="V269" s="62">
        <f t="shared" si="204"/>
        <v>338823.5294117647</v>
      </c>
      <c r="W269" s="62">
        <f t="shared" si="204"/>
        <v>338823.5294117647</v>
      </c>
      <c r="X269" s="62">
        <f t="shared" si="204"/>
        <v>338823.5294117647</v>
      </c>
      <c r="Y269" s="62">
        <f t="shared" si="204"/>
        <v>338823.5294117647</v>
      </c>
      <c r="Z269" s="62">
        <f t="shared" si="204"/>
        <v>338823.5294117647</v>
      </c>
      <c r="AA269" s="62">
        <f t="shared" si="204"/>
        <v>338823.5294117647</v>
      </c>
      <c r="AB269" s="62">
        <f t="shared" si="204"/>
        <v>338823.5294117647</v>
      </c>
      <c r="AC269" s="62">
        <f t="shared" si="204"/>
        <v>338823.5294117647</v>
      </c>
    </row>
    <row r="270" spans="1:29" x14ac:dyDescent="0.25">
      <c r="A270" s="30" t="str">
        <f>A252</f>
        <v>Opex var (mode-fees)</v>
      </c>
      <c r="B270" s="62">
        <f>B252*B261</f>
        <v>97536.682916217906</v>
      </c>
      <c r="C270" s="62">
        <f t="shared" ref="C270:AC270" si="205">C252*C261</f>
        <v>97536.682916217906</v>
      </c>
      <c r="D270" s="62">
        <f t="shared" si="205"/>
        <v>97536.682916217906</v>
      </c>
      <c r="E270" s="62">
        <f t="shared" si="205"/>
        <v>97536.682916217906</v>
      </c>
      <c r="F270" s="62">
        <f t="shared" si="205"/>
        <v>97536.682916217906</v>
      </c>
      <c r="G270" s="62">
        <f t="shared" si="205"/>
        <v>97536.682916217906</v>
      </c>
      <c r="H270" s="62">
        <f t="shared" si="205"/>
        <v>97536.682916217906</v>
      </c>
      <c r="I270" s="62">
        <f t="shared" si="205"/>
        <v>97536.682916217906</v>
      </c>
      <c r="J270" s="62">
        <f t="shared" si="205"/>
        <v>97536.682916217906</v>
      </c>
      <c r="K270" s="62">
        <f t="shared" si="205"/>
        <v>97536.682916217906</v>
      </c>
      <c r="L270" s="62">
        <f t="shared" si="205"/>
        <v>97536.682916217906</v>
      </c>
      <c r="M270" s="62">
        <f t="shared" si="205"/>
        <v>97536.682916217906</v>
      </c>
      <c r="N270" s="62">
        <f t="shared" si="205"/>
        <v>97536.682916217906</v>
      </c>
      <c r="O270" s="62">
        <f t="shared" si="205"/>
        <v>97536.682916217906</v>
      </c>
      <c r="P270" s="62">
        <f t="shared" si="205"/>
        <v>97536.682916217906</v>
      </c>
      <c r="Q270" s="62">
        <f t="shared" si="205"/>
        <v>97536.682916217906</v>
      </c>
      <c r="R270" s="62">
        <f t="shared" si="205"/>
        <v>97536.682916217906</v>
      </c>
      <c r="S270" s="62">
        <f t="shared" si="205"/>
        <v>97536.682916217906</v>
      </c>
      <c r="T270" s="62">
        <f t="shared" si="205"/>
        <v>97536.682916217906</v>
      </c>
      <c r="U270" s="62">
        <f t="shared" si="205"/>
        <v>97536.682916217906</v>
      </c>
      <c r="V270" s="62">
        <f t="shared" si="205"/>
        <v>97536.682916217906</v>
      </c>
      <c r="W270" s="62">
        <f t="shared" si="205"/>
        <v>97536.682916217906</v>
      </c>
      <c r="X270" s="62">
        <f t="shared" si="205"/>
        <v>97536.682916217906</v>
      </c>
      <c r="Y270" s="62">
        <f t="shared" si="205"/>
        <v>97536.682916217906</v>
      </c>
      <c r="Z270" s="62">
        <f t="shared" si="205"/>
        <v>97536.682916217906</v>
      </c>
      <c r="AA270" s="62">
        <f t="shared" si="205"/>
        <v>97536.682916217906</v>
      </c>
      <c r="AB270" s="62">
        <f t="shared" si="205"/>
        <v>97536.682916217906</v>
      </c>
      <c r="AC270" s="62">
        <f t="shared" si="205"/>
        <v>97536.682916217906</v>
      </c>
    </row>
    <row r="271" spans="1:29" x14ac:dyDescent="0.25">
      <c r="A271" s="30" t="str">
        <f>A254</f>
        <v>Fuel Cost</v>
      </c>
      <c r="B271" s="62">
        <f>B253*B254*B261</f>
        <v>17845029.253875535</v>
      </c>
      <c r="C271" s="62">
        <f t="shared" ref="C271:AC271" si="206">C253*C254*C261</f>
        <v>17785115.953080397</v>
      </c>
      <c r="D271" s="62">
        <f t="shared" si="206"/>
        <v>17700046.886573937</v>
      </c>
      <c r="E271" s="62">
        <f t="shared" si="206"/>
        <v>17579806.461384289</v>
      </c>
      <c r="F271" s="62">
        <f t="shared" si="206"/>
        <v>17410980.06532383</v>
      </c>
      <c r="G271" s="62">
        <f t="shared" si="206"/>
        <v>17176219.804991283</v>
      </c>
      <c r="H271" s="62">
        <f t="shared" si="206"/>
        <v>16854295.602220979</v>
      </c>
      <c r="I271" s="62">
        <f t="shared" si="206"/>
        <v>16421481.505382609</v>
      </c>
      <c r="J271" s="62">
        <f t="shared" si="206"/>
        <v>15855298.835074175</v>
      </c>
      <c r="K271" s="62">
        <f t="shared" si="206"/>
        <v>15141411.65600252</v>
      </c>
      <c r="L271" s="62">
        <f t="shared" si="206"/>
        <v>14283011.810414437</v>
      </c>
      <c r="M271" s="62">
        <f t="shared" si="206"/>
        <v>13309071.260926809</v>
      </c>
      <c r="N271" s="62">
        <f t="shared" si="206"/>
        <v>12275206.042576466</v>
      </c>
      <c r="O271" s="62">
        <f t="shared" si="206"/>
        <v>11252693.958574917</v>
      </c>
      <c r="P271" s="62">
        <f t="shared" si="206"/>
        <v>10308976.963766465</v>
      </c>
      <c r="Q271" s="62">
        <f t="shared" si="206"/>
        <v>9490323.2364750858</v>
      </c>
      <c r="R271" s="62">
        <f t="shared" si="206"/>
        <v>8815658.5920602549</v>
      </c>
      <c r="S271" s="62">
        <f t="shared" si="206"/>
        <v>8281548.0614046389</v>
      </c>
      <c r="T271" s="62">
        <f t="shared" si="206"/>
        <v>7871736.142613559</v>
      </c>
      <c r="U271" s="62">
        <f t="shared" si="206"/>
        <v>7565237.2602533894</v>
      </c>
      <c r="V271" s="62">
        <f t="shared" si="206"/>
        <v>7341030.934050587</v>
      </c>
      <c r="W271" s="62">
        <f t="shared" si="206"/>
        <v>7180196.3514853735</v>
      </c>
      <c r="X271" s="62">
        <f t="shared" si="206"/>
        <v>7066740.1900908714</v>
      </c>
      <c r="Y271" s="62">
        <f t="shared" si="206"/>
        <v>6987795.8310182355</v>
      </c>
      <c r="Z271" s="62">
        <f t="shared" si="206"/>
        <v>6933448.5096606603</v>
      </c>
      <c r="AA271" s="62">
        <f t="shared" si="206"/>
        <v>6896331.4482609052</v>
      </c>
      <c r="AB271" s="62">
        <f t="shared" si="206"/>
        <v>6871127.6642070804</v>
      </c>
      <c r="AC271" s="62">
        <f t="shared" si="206"/>
        <v>6854082.9591646334</v>
      </c>
    </row>
    <row r="272" spans="1:29" ht="15.75" thickBot="1" x14ac:dyDescent="0.3">
      <c r="A272" s="59" t="str">
        <f>A235</f>
        <v>Emission Cost</v>
      </c>
      <c r="B272" s="62">
        <f>B255*B261</f>
        <v>292744.32301910827</v>
      </c>
      <c r="C272" s="62">
        <f t="shared" ref="C272:AC272" si="207">C255*C261</f>
        <v>292465.55909594544</v>
      </c>
      <c r="D272" s="62">
        <f t="shared" si="207"/>
        <v>292066.51474890357</v>
      </c>
      <c r="E272" s="62">
        <f t="shared" si="207"/>
        <v>291495.65374840738</v>
      </c>
      <c r="F272" s="62">
        <f t="shared" si="207"/>
        <v>290679.76741196436</v>
      </c>
      <c r="G272" s="62">
        <f t="shared" si="207"/>
        <v>289515.32128951116</v>
      </c>
      <c r="H272" s="62">
        <f t="shared" si="207"/>
        <v>287856.86434123403</v>
      </c>
      <c r="I272" s="62">
        <f t="shared" si="207"/>
        <v>285502.09321744979</v>
      </c>
      <c r="J272" s="62">
        <f t="shared" si="207"/>
        <v>282173.85051303828</v>
      </c>
      <c r="K272" s="62">
        <f t="shared" si="207"/>
        <v>277501.05780251691</v>
      </c>
      <c r="L272" s="62">
        <f t="shared" si="207"/>
        <v>271004.17965861136</v>
      </c>
      <c r="M272" s="62">
        <f t="shared" si="207"/>
        <v>262097.20277201166</v>
      </c>
      <c r="N272" s="62">
        <f t="shared" si="207"/>
        <v>250127.18026947835</v>
      </c>
      <c r="O272" s="62">
        <f t="shared" si="207"/>
        <v>234480.04842038496</v>
      </c>
      <c r="P272" s="62">
        <f t="shared" si="207"/>
        <v>214775.13056499942</v>
      </c>
      <c r="Q272" s="62">
        <f t="shared" si="207"/>
        <v>191129.79476829237</v>
      </c>
      <c r="R272" s="62">
        <f t="shared" si="207"/>
        <v>164392.27200906764</v>
      </c>
      <c r="S272" s="62">
        <f t="shared" si="207"/>
        <v>136165.57893344958</v>
      </c>
      <c r="T272" s="62">
        <f t="shared" si="207"/>
        <v>108494.33438101113</v>
      </c>
      <c r="U272" s="62">
        <f t="shared" si="207"/>
        <v>83304.630892356668</v>
      </c>
      <c r="V272" s="62">
        <f t="shared" si="207"/>
        <v>61896.970009757802</v>
      </c>
      <c r="W272" s="62">
        <f t="shared" si="207"/>
        <v>44753.267537641594</v>
      </c>
      <c r="X272" s="62">
        <f t="shared" si="207"/>
        <v>31671.861659602866</v>
      </c>
      <c r="Y272" s="62">
        <f t="shared" si="207"/>
        <v>22055.979208976452</v>
      </c>
      <c r="Z272" s="62">
        <f t="shared" si="207"/>
        <v>15180.762366522398</v>
      </c>
      <c r="AA272" s="62">
        <f t="shared" si="207"/>
        <v>10362.25068958263</v>
      </c>
      <c r="AB272" s="62">
        <f t="shared" si="207"/>
        <v>7032.3629519435117</v>
      </c>
      <c r="AC272" s="62">
        <f t="shared" si="207"/>
        <v>4753.554838406355</v>
      </c>
    </row>
    <row r="273" spans="1:29" ht="15.75" thickBot="1" x14ac:dyDescent="0.3">
      <c r="A273" s="31" t="s">
        <v>209</v>
      </c>
      <c r="B273" s="64">
        <f>B264+B265+B266+B267+B268+B269+B270+B271+B272</f>
        <v>22080353.325413529</v>
      </c>
      <c r="C273" s="64">
        <f t="shared" ref="C273:AC273" si="208">C264+C265+C266+C267+C268+C269+C270+C271+C272</f>
        <v>22019347.376816727</v>
      </c>
      <c r="D273" s="64">
        <f t="shared" si="208"/>
        <v>21932714.209318958</v>
      </c>
      <c r="E273" s="64">
        <f t="shared" si="208"/>
        <v>21810236.22766874</v>
      </c>
      <c r="F273" s="64">
        <f t="shared" si="208"/>
        <v>21638211.869684782</v>
      </c>
      <c r="G273" s="64">
        <f t="shared" si="208"/>
        <v>21398887.426579162</v>
      </c>
      <c r="H273" s="64">
        <f t="shared" si="208"/>
        <v>21070462.707823414</v>
      </c>
      <c r="I273" s="64">
        <f t="shared" si="208"/>
        <v>20628418.810146306</v>
      </c>
      <c r="J273" s="64">
        <f t="shared" si="208"/>
        <v>20049190.70327954</v>
      </c>
      <c r="K273" s="64">
        <f t="shared" si="208"/>
        <v>19316987.966639161</v>
      </c>
      <c r="L273" s="64">
        <f t="shared" si="208"/>
        <v>18433122.847277269</v>
      </c>
      <c r="M273" s="64">
        <f t="shared" si="208"/>
        <v>17424270.360103533</v>
      </c>
      <c r="N273" s="64">
        <f t="shared" si="208"/>
        <v>16343487.238515062</v>
      </c>
      <c r="O273" s="64">
        <f t="shared" si="208"/>
        <v>15259644.391108966</v>
      </c>
      <c r="P273" s="64">
        <f t="shared" si="208"/>
        <v>14238691.666036967</v>
      </c>
      <c r="Q273" s="64">
        <f t="shared" si="208"/>
        <v>13327357.279481318</v>
      </c>
      <c r="R273" s="64">
        <f t="shared" si="208"/>
        <v>12547891.787333824</v>
      </c>
      <c r="S273" s="64">
        <f t="shared" si="208"/>
        <v>11903143.431713894</v>
      </c>
      <c r="T273" s="64">
        <f t="shared" si="208"/>
        <v>11384870.83341155</v>
      </c>
      <c r="U273" s="64">
        <f t="shared" si="208"/>
        <v>10979637.961985972</v>
      </c>
      <c r="V273" s="64">
        <f t="shared" si="208"/>
        <v>10671521.805067992</v>
      </c>
      <c r="W273" s="64">
        <f t="shared" si="208"/>
        <v>10443490.47549919</v>
      </c>
      <c r="X273" s="64">
        <f t="shared" si="208"/>
        <v>10278760.213736489</v>
      </c>
      <c r="Y273" s="64">
        <f t="shared" si="208"/>
        <v>10162125.278704433</v>
      </c>
      <c r="Z273" s="64">
        <f t="shared" si="208"/>
        <v>10080829.740792783</v>
      </c>
      <c r="AA273" s="64">
        <f t="shared" si="208"/>
        <v>10024825.959291825</v>
      </c>
      <c r="AB273" s="64">
        <f t="shared" si="208"/>
        <v>9986570.2907795273</v>
      </c>
      <c r="AC273" s="64">
        <f t="shared" si="208"/>
        <v>9960593.5308017973</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09">A264</f>
        <v>Capex vehicle</v>
      </c>
      <c r="B276" s="65">
        <f>((1+B249)^B256)*B249/(((1+B249)^B256)-1)*(B245)/B261</f>
        <v>19.541646546706382</v>
      </c>
      <c r="C276" s="65">
        <f t="shared" ref="C276:AC276" si="210">((1+C249)^C256)*C249/(((1+C249)^C256)-1)*(C245)/C261</f>
        <v>19.535142908407877</v>
      </c>
      <c r="D276" s="65">
        <f t="shared" si="210"/>
        <v>19.525833095040429</v>
      </c>
      <c r="E276" s="65">
        <f t="shared" si="210"/>
        <v>19.512514752322947</v>
      </c>
      <c r="F276" s="65">
        <f t="shared" si="210"/>
        <v>19.493479901741438</v>
      </c>
      <c r="G276" s="65">
        <f t="shared" si="210"/>
        <v>19.466313056359834</v>
      </c>
      <c r="H276" s="65">
        <f t="shared" si="210"/>
        <v>19.427620803779718</v>
      </c>
      <c r="I276" s="65">
        <f t="shared" si="210"/>
        <v>19.372683351719548</v>
      </c>
      <c r="J276" s="65">
        <f t="shared" si="210"/>
        <v>19.295034542384581</v>
      </c>
      <c r="K276" s="65">
        <f t="shared" si="210"/>
        <v>19.186017014978848</v>
      </c>
      <c r="L276" s="65">
        <f t="shared" si="210"/>
        <v>19.03444307729697</v>
      </c>
      <c r="M276" s="65">
        <f t="shared" si="210"/>
        <v>18.826640879127403</v>
      </c>
      <c r="N276" s="65">
        <f t="shared" si="210"/>
        <v>18.547376991970825</v>
      </c>
      <c r="O276" s="65">
        <f t="shared" si="210"/>
        <v>18.182325141641847</v>
      </c>
      <c r="P276" s="65">
        <f t="shared" si="210"/>
        <v>17.722604037923674</v>
      </c>
      <c r="Q276" s="65">
        <f t="shared" si="210"/>
        <v>17.170951909758209</v>
      </c>
      <c r="R276" s="65">
        <f t="shared" si="210"/>
        <v>16.547158217048082</v>
      </c>
      <c r="S276" s="65">
        <f t="shared" si="210"/>
        <v>15.888621775015123</v>
      </c>
      <c r="T276" s="65">
        <f t="shared" si="210"/>
        <v>15.243044098403505</v>
      </c>
      <c r="U276" s="65">
        <f t="shared" si="210"/>
        <v>14.655361451100672</v>
      </c>
      <c r="V276" s="65">
        <f t="shared" si="210"/>
        <v>14.15591488851158</v>
      </c>
      <c r="W276" s="65">
        <f t="shared" si="210"/>
        <v>13.755947637689308</v>
      </c>
      <c r="X276" s="65">
        <f t="shared" si="210"/>
        <v>13.450754873498525</v>
      </c>
      <c r="Y276" s="65">
        <f t="shared" si="210"/>
        <v>13.226413715323233</v>
      </c>
      <c r="Z276" s="65">
        <f t="shared" si="210"/>
        <v>13.066013032696132</v>
      </c>
      <c r="AA276" s="65">
        <f t="shared" si="210"/>
        <v>12.953595842091289</v>
      </c>
      <c r="AB276" s="65">
        <f t="shared" si="210"/>
        <v>12.875908653682803</v>
      </c>
      <c r="AC276" s="65">
        <f t="shared" si="210"/>
        <v>12.822743439353784</v>
      </c>
    </row>
    <row r="277" spans="1:29" x14ac:dyDescent="0.25">
      <c r="A277" s="30" t="str">
        <f t="shared" si="209"/>
        <v>Residual value (vehicle)</v>
      </c>
      <c r="B277" s="66">
        <f>((1+B249)^B256)*B249/(((1+B249)^B256)-1)*(B246)/B261</f>
        <v>-0.97847824935465733</v>
      </c>
      <c r="C277" s="66">
        <f t="shared" ref="C277:AC277" si="211">((1+C249)^C256)*C249/(((1+C249)^C256)-1)*(C246)/C261</f>
        <v>-0.9787569767103077</v>
      </c>
      <c r="D277" s="66">
        <f t="shared" si="211"/>
        <v>-0.97915596871176991</v>
      </c>
      <c r="E277" s="66">
        <f t="shared" si="211"/>
        <v>-0.97972675482823313</v>
      </c>
      <c r="F277" s="66">
        <f t="shared" si="211"/>
        <v>-0.98054253413886938</v>
      </c>
      <c r="G277" s="66">
        <f t="shared" si="211"/>
        <v>-0.98170682751236671</v>
      </c>
      <c r="H277" s="66">
        <f t="shared" si="211"/>
        <v>-0.98336506690865744</v>
      </c>
      <c r="I277" s="66">
        <f t="shared" si="211"/>
        <v>-0.98571952913980765</v>
      </c>
      <c r="J277" s="66">
        <f t="shared" si="211"/>
        <v>-0.98904733525416333</v>
      </c>
      <c r="K277" s="66">
        <f t="shared" si="211"/>
        <v>-0.99371951500012301</v>
      </c>
      <c r="L277" s="66">
        <f t="shared" si="211"/>
        <v>-1.0002155409007751</v>
      </c>
      <c r="M277" s="66">
        <f t="shared" si="211"/>
        <v>-1.0091213493937565</v>
      </c>
      <c r="N277" s="66">
        <f t="shared" si="211"/>
        <v>-1.021089801700467</v>
      </c>
      <c r="O277" s="66">
        <f t="shared" si="211"/>
        <v>-1.0367348810002803</v>
      </c>
      <c r="P277" s="66">
        <f t="shared" si="211"/>
        <v>-1.0564372140167737</v>
      </c>
      <c r="Q277" s="66">
        <f t="shared" si="211"/>
        <v>-1.0800794480810079</v>
      </c>
      <c r="R277" s="66">
        <f t="shared" si="211"/>
        <v>-1.1068134634828701</v>
      </c>
      <c r="S277" s="66">
        <f t="shared" si="211"/>
        <v>-1.1350364538557114</v>
      </c>
      <c r="T277" s="66">
        <f t="shared" si="211"/>
        <v>-1.1627040685676377</v>
      </c>
      <c r="U277" s="66">
        <f t="shared" si="211"/>
        <v>-1.1878904677377591</v>
      </c>
      <c r="V277" s="66">
        <f t="shared" si="211"/>
        <v>-1.2092953204201489</v>
      </c>
      <c r="W277" s="66">
        <f t="shared" si="211"/>
        <v>-1.2264367740268176</v>
      </c>
      <c r="X277" s="66">
        <f t="shared" si="211"/>
        <v>-1.2395164639207084</v>
      </c>
      <c r="Y277" s="66">
        <f t="shared" si="211"/>
        <v>-1.2491310849853638</v>
      </c>
      <c r="Z277" s="66">
        <f t="shared" si="211"/>
        <v>-1.2560053999550969</v>
      </c>
      <c r="AA277" s="66">
        <f t="shared" si="211"/>
        <v>-1.2608232795524472</v>
      </c>
      <c r="AB277" s="66">
        <f t="shared" si="211"/>
        <v>-1.2641527304842395</v>
      </c>
      <c r="AC277" s="66">
        <f t="shared" si="211"/>
        <v>-1.2664312396697688</v>
      </c>
    </row>
    <row r="278" spans="1:29" x14ac:dyDescent="0.25">
      <c r="A278" s="30" t="str">
        <f t="shared" si="209"/>
        <v>Capex costumization</v>
      </c>
      <c r="B278" s="66">
        <f>((1+B249)^B257)*B249/(((1+B249)^B257)-1)*(B247)/B261</f>
        <v>0.65188931843561626</v>
      </c>
      <c r="C278" s="66">
        <f t="shared" ref="C278:AC278" si="212">((1+C249)^C257)*C249/(((1+C249)^C257)-1)*(C247)/C261</f>
        <v>0.65188931843561626</v>
      </c>
      <c r="D278" s="66">
        <f t="shared" si="212"/>
        <v>0.65188931843561626</v>
      </c>
      <c r="E278" s="66">
        <f t="shared" si="212"/>
        <v>0.65188931843561626</v>
      </c>
      <c r="F278" s="66">
        <f t="shared" si="212"/>
        <v>0.65188931843561626</v>
      </c>
      <c r="G278" s="66">
        <f t="shared" si="212"/>
        <v>0.65188931843561626</v>
      </c>
      <c r="H278" s="66">
        <f t="shared" si="212"/>
        <v>0.65188931843561626</v>
      </c>
      <c r="I278" s="66">
        <f t="shared" si="212"/>
        <v>0.65188931843561626</v>
      </c>
      <c r="J278" s="66">
        <f t="shared" si="212"/>
        <v>0.65188931843561626</v>
      </c>
      <c r="K278" s="66">
        <f t="shared" si="212"/>
        <v>0.65188931843561626</v>
      </c>
      <c r="L278" s="66">
        <f t="shared" si="212"/>
        <v>0.65188931843561626</v>
      </c>
      <c r="M278" s="66">
        <f t="shared" si="212"/>
        <v>0.65188931843561626</v>
      </c>
      <c r="N278" s="66">
        <f t="shared" si="212"/>
        <v>0.65188931843561626</v>
      </c>
      <c r="O278" s="66">
        <f t="shared" si="212"/>
        <v>0.65188931843561626</v>
      </c>
      <c r="P278" s="66">
        <f t="shared" si="212"/>
        <v>0.65188931843561626</v>
      </c>
      <c r="Q278" s="66">
        <f t="shared" si="212"/>
        <v>0.65188931843561626</v>
      </c>
      <c r="R278" s="66">
        <f t="shared" si="212"/>
        <v>0.65188931843561626</v>
      </c>
      <c r="S278" s="66">
        <f t="shared" si="212"/>
        <v>0.65188931843561626</v>
      </c>
      <c r="T278" s="66">
        <f t="shared" si="212"/>
        <v>0.65188931843561626</v>
      </c>
      <c r="U278" s="66">
        <f t="shared" si="212"/>
        <v>0.65188931843561626</v>
      </c>
      <c r="V278" s="66">
        <f t="shared" si="212"/>
        <v>0.65188931843561626</v>
      </c>
      <c r="W278" s="66">
        <f t="shared" si="212"/>
        <v>0.65188931843561626</v>
      </c>
      <c r="X278" s="66">
        <f t="shared" si="212"/>
        <v>0.65188931843561626</v>
      </c>
      <c r="Y278" s="66">
        <f t="shared" si="212"/>
        <v>0.65188931843561626</v>
      </c>
      <c r="Z278" s="66">
        <f t="shared" si="212"/>
        <v>0.65188931843561626</v>
      </c>
      <c r="AA278" s="66">
        <f t="shared" si="212"/>
        <v>0.65188931843561626</v>
      </c>
      <c r="AB278" s="66">
        <f t="shared" si="212"/>
        <v>0.65188931843561626</v>
      </c>
      <c r="AC278" s="66">
        <f t="shared" si="212"/>
        <v>0.65188931843561626</v>
      </c>
    </row>
    <row r="279" spans="1:29" x14ac:dyDescent="0.25">
      <c r="A279" s="30" t="str">
        <f t="shared" si="209"/>
        <v>Residual value (costumization)</v>
      </c>
      <c r="B279" s="66">
        <f>((1+B249)^B257)*B249/(((1+B249)^B257)-1)*(B248)/B261</f>
        <v>-6.5188931843561615E-2</v>
      </c>
      <c r="C279" s="66">
        <f t="shared" ref="C279:AC279" si="213">((1+C249)^C257)*C249/(((1+C249)^C257)-1)*(C248)/C261</f>
        <v>-6.5188931843561615E-2</v>
      </c>
      <c r="D279" s="66">
        <f t="shared" si="213"/>
        <v>-6.5188931843561615E-2</v>
      </c>
      <c r="E279" s="66">
        <f t="shared" si="213"/>
        <v>-6.5188931843561615E-2</v>
      </c>
      <c r="F279" s="66">
        <f t="shared" si="213"/>
        <v>-6.5188931843561615E-2</v>
      </c>
      <c r="G279" s="66">
        <f t="shared" si="213"/>
        <v>-6.5188931843561615E-2</v>
      </c>
      <c r="H279" s="66">
        <f t="shared" si="213"/>
        <v>-6.5188931843561615E-2</v>
      </c>
      <c r="I279" s="66">
        <f t="shared" si="213"/>
        <v>-6.5188931843561615E-2</v>
      </c>
      <c r="J279" s="66">
        <f t="shared" si="213"/>
        <v>-6.5188931843561615E-2</v>
      </c>
      <c r="K279" s="66">
        <f t="shared" si="213"/>
        <v>-6.5188931843561615E-2</v>
      </c>
      <c r="L279" s="66">
        <f t="shared" si="213"/>
        <v>-6.5188931843561615E-2</v>
      </c>
      <c r="M279" s="66">
        <f t="shared" si="213"/>
        <v>-6.5188931843561615E-2</v>
      </c>
      <c r="N279" s="66">
        <f t="shared" si="213"/>
        <v>-6.5188931843561615E-2</v>
      </c>
      <c r="O279" s="66">
        <f t="shared" si="213"/>
        <v>-6.5188931843561615E-2</v>
      </c>
      <c r="P279" s="66">
        <f t="shared" si="213"/>
        <v>-6.5188931843561615E-2</v>
      </c>
      <c r="Q279" s="66">
        <f t="shared" si="213"/>
        <v>-6.5188931843561615E-2</v>
      </c>
      <c r="R279" s="66">
        <f t="shared" si="213"/>
        <v>-6.5188931843561615E-2</v>
      </c>
      <c r="S279" s="66">
        <f t="shared" si="213"/>
        <v>-6.5188931843561615E-2</v>
      </c>
      <c r="T279" s="66">
        <f t="shared" si="213"/>
        <v>-6.5188931843561615E-2</v>
      </c>
      <c r="U279" s="66">
        <f t="shared" si="213"/>
        <v>-6.5188931843561615E-2</v>
      </c>
      <c r="V279" s="66">
        <f t="shared" si="213"/>
        <v>-6.5188931843561615E-2</v>
      </c>
      <c r="W279" s="66">
        <f t="shared" si="213"/>
        <v>-6.5188931843561615E-2</v>
      </c>
      <c r="X279" s="66">
        <f t="shared" si="213"/>
        <v>-6.5188931843561615E-2</v>
      </c>
      <c r="Y279" s="66">
        <f t="shared" si="213"/>
        <v>-6.5188931843561615E-2</v>
      </c>
      <c r="Z279" s="66">
        <f t="shared" si="213"/>
        <v>-6.5188931843561615E-2</v>
      </c>
      <c r="AA279" s="66">
        <f t="shared" si="213"/>
        <v>-6.5188931843561615E-2</v>
      </c>
      <c r="AB279" s="66">
        <f t="shared" si="213"/>
        <v>-6.5188931843561615E-2</v>
      </c>
      <c r="AC279" s="66">
        <f t="shared" si="213"/>
        <v>-6.5188931843561615E-2</v>
      </c>
    </row>
    <row r="280" spans="1:29" x14ac:dyDescent="0.25">
      <c r="A280" s="30" t="str">
        <f t="shared" si="209"/>
        <v>Opex fix (admin, crew, insurance)</v>
      </c>
      <c r="B280" s="66">
        <f>B250/B261</f>
        <v>10.068627450980392</v>
      </c>
      <c r="C280" s="66">
        <f t="shared" ref="C280:AC280" si="214">C250/C261</f>
        <v>10.068627450980392</v>
      </c>
      <c r="D280" s="66">
        <f t="shared" si="214"/>
        <v>10.068627450980392</v>
      </c>
      <c r="E280" s="66">
        <f t="shared" si="214"/>
        <v>10.068627450980392</v>
      </c>
      <c r="F280" s="66">
        <f t="shared" si="214"/>
        <v>10.068627450980392</v>
      </c>
      <c r="G280" s="66">
        <f t="shared" si="214"/>
        <v>10.068627450980392</v>
      </c>
      <c r="H280" s="66">
        <f t="shared" si="214"/>
        <v>10.068627450980392</v>
      </c>
      <c r="I280" s="66">
        <f t="shared" si="214"/>
        <v>10.068627450980392</v>
      </c>
      <c r="J280" s="66">
        <f t="shared" si="214"/>
        <v>10.068627450980392</v>
      </c>
      <c r="K280" s="66">
        <f t="shared" si="214"/>
        <v>10.068627450980392</v>
      </c>
      <c r="L280" s="66">
        <f t="shared" si="214"/>
        <v>10.068627450980392</v>
      </c>
      <c r="M280" s="66">
        <f t="shared" si="214"/>
        <v>10.068627450980392</v>
      </c>
      <c r="N280" s="66">
        <f t="shared" si="214"/>
        <v>10.068627450980392</v>
      </c>
      <c r="O280" s="66">
        <f t="shared" si="214"/>
        <v>10.068627450980392</v>
      </c>
      <c r="P280" s="66">
        <f t="shared" si="214"/>
        <v>10.068627450980392</v>
      </c>
      <c r="Q280" s="66">
        <f t="shared" si="214"/>
        <v>10.068627450980392</v>
      </c>
      <c r="R280" s="66">
        <f t="shared" si="214"/>
        <v>10.068627450980392</v>
      </c>
      <c r="S280" s="66">
        <f t="shared" si="214"/>
        <v>10.068627450980392</v>
      </c>
      <c r="T280" s="66">
        <f t="shared" si="214"/>
        <v>10.068627450980392</v>
      </c>
      <c r="U280" s="66">
        <f t="shared" si="214"/>
        <v>10.068627450980392</v>
      </c>
      <c r="V280" s="66">
        <f t="shared" si="214"/>
        <v>10.068627450980392</v>
      </c>
      <c r="W280" s="66">
        <f t="shared" si="214"/>
        <v>10.068627450980392</v>
      </c>
      <c r="X280" s="66">
        <f t="shared" si="214"/>
        <v>10.068627450980392</v>
      </c>
      <c r="Y280" s="66">
        <f t="shared" si="214"/>
        <v>10.068627450980392</v>
      </c>
      <c r="Z280" s="66">
        <f t="shared" si="214"/>
        <v>10.068627450980392</v>
      </c>
      <c r="AA280" s="66">
        <f t="shared" si="214"/>
        <v>10.068627450980392</v>
      </c>
      <c r="AB280" s="66">
        <f t="shared" si="214"/>
        <v>10.068627450980392</v>
      </c>
      <c r="AC280" s="66">
        <f t="shared" si="214"/>
        <v>10.068627450980392</v>
      </c>
    </row>
    <row r="281" spans="1:29" x14ac:dyDescent="0.25">
      <c r="A281" s="30" t="str">
        <f t="shared" si="209"/>
        <v>Opex maintenance &amp; repair</v>
      </c>
      <c r="B281" s="66">
        <f>B251/B261</f>
        <v>2.8235294117647056</v>
      </c>
      <c r="C281" s="66">
        <f t="shared" ref="C281:AC281" si="215">C251/C261</f>
        <v>2.8235294117647056</v>
      </c>
      <c r="D281" s="66">
        <f t="shared" si="215"/>
        <v>2.8235294117647056</v>
      </c>
      <c r="E281" s="66">
        <f t="shared" si="215"/>
        <v>2.8235294117647056</v>
      </c>
      <c r="F281" s="66">
        <f t="shared" si="215"/>
        <v>2.8235294117647056</v>
      </c>
      <c r="G281" s="66">
        <f t="shared" si="215"/>
        <v>2.8235294117647056</v>
      </c>
      <c r="H281" s="66">
        <f t="shared" si="215"/>
        <v>2.8235294117647056</v>
      </c>
      <c r="I281" s="66">
        <f t="shared" si="215"/>
        <v>2.8235294117647056</v>
      </c>
      <c r="J281" s="66">
        <f t="shared" si="215"/>
        <v>2.8235294117647056</v>
      </c>
      <c r="K281" s="66">
        <f t="shared" si="215"/>
        <v>2.8235294117647056</v>
      </c>
      <c r="L281" s="66">
        <f t="shared" si="215"/>
        <v>2.8235294117647056</v>
      </c>
      <c r="M281" s="66">
        <f t="shared" si="215"/>
        <v>2.8235294117647056</v>
      </c>
      <c r="N281" s="66">
        <f t="shared" si="215"/>
        <v>2.8235294117647056</v>
      </c>
      <c r="O281" s="66">
        <f t="shared" si="215"/>
        <v>2.8235294117647056</v>
      </c>
      <c r="P281" s="66">
        <f t="shared" si="215"/>
        <v>2.8235294117647056</v>
      </c>
      <c r="Q281" s="66">
        <f t="shared" si="215"/>
        <v>2.8235294117647056</v>
      </c>
      <c r="R281" s="66">
        <f t="shared" si="215"/>
        <v>2.8235294117647056</v>
      </c>
      <c r="S281" s="66">
        <f t="shared" si="215"/>
        <v>2.8235294117647056</v>
      </c>
      <c r="T281" s="66">
        <f t="shared" si="215"/>
        <v>2.8235294117647056</v>
      </c>
      <c r="U281" s="66">
        <f t="shared" si="215"/>
        <v>2.8235294117647056</v>
      </c>
      <c r="V281" s="66">
        <f t="shared" si="215"/>
        <v>2.8235294117647056</v>
      </c>
      <c r="W281" s="66">
        <f t="shared" si="215"/>
        <v>2.8235294117647056</v>
      </c>
      <c r="X281" s="66">
        <f t="shared" si="215"/>
        <v>2.8235294117647056</v>
      </c>
      <c r="Y281" s="66">
        <f t="shared" si="215"/>
        <v>2.8235294117647056</v>
      </c>
      <c r="Z281" s="66">
        <f t="shared" si="215"/>
        <v>2.8235294117647056</v>
      </c>
      <c r="AA281" s="66">
        <f t="shared" si="215"/>
        <v>2.8235294117647056</v>
      </c>
      <c r="AB281" s="66">
        <f t="shared" si="215"/>
        <v>2.8235294117647056</v>
      </c>
      <c r="AC281" s="66">
        <f t="shared" si="215"/>
        <v>2.8235294117647056</v>
      </c>
    </row>
    <row r="282" spans="1:29" x14ac:dyDescent="0.25">
      <c r="A282" s="30" t="str">
        <f t="shared" si="209"/>
        <v>Opex var (mode-fees)</v>
      </c>
      <c r="B282" s="66">
        <f>B252*B261/B261</f>
        <v>0.81280569096848254</v>
      </c>
      <c r="C282" s="66">
        <f t="shared" ref="C282:AC282" si="216">C252*C261/C261</f>
        <v>0.81280569096848254</v>
      </c>
      <c r="D282" s="66">
        <f t="shared" si="216"/>
        <v>0.81280569096848254</v>
      </c>
      <c r="E282" s="66">
        <f t="shared" si="216"/>
        <v>0.81280569096848254</v>
      </c>
      <c r="F282" s="66">
        <f t="shared" si="216"/>
        <v>0.81280569096848254</v>
      </c>
      <c r="G282" s="66">
        <f t="shared" si="216"/>
        <v>0.81280569096848254</v>
      </c>
      <c r="H282" s="66">
        <f t="shared" si="216"/>
        <v>0.81280569096848254</v>
      </c>
      <c r="I282" s="66">
        <f t="shared" si="216"/>
        <v>0.81280569096848254</v>
      </c>
      <c r="J282" s="66">
        <f t="shared" si="216"/>
        <v>0.81280569096848254</v>
      </c>
      <c r="K282" s="66">
        <f t="shared" si="216"/>
        <v>0.81280569096848254</v>
      </c>
      <c r="L282" s="66">
        <f t="shared" si="216"/>
        <v>0.81280569096848254</v>
      </c>
      <c r="M282" s="66">
        <f t="shared" si="216"/>
        <v>0.81280569096848254</v>
      </c>
      <c r="N282" s="66">
        <f t="shared" si="216"/>
        <v>0.81280569096848254</v>
      </c>
      <c r="O282" s="66">
        <f t="shared" si="216"/>
        <v>0.81280569096848254</v>
      </c>
      <c r="P282" s="66">
        <f t="shared" si="216"/>
        <v>0.81280569096848254</v>
      </c>
      <c r="Q282" s="66">
        <f t="shared" si="216"/>
        <v>0.81280569096848254</v>
      </c>
      <c r="R282" s="66">
        <f t="shared" si="216"/>
        <v>0.81280569096848254</v>
      </c>
      <c r="S282" s="66">
        <f t="shared" si="216"/>
        <v>0.81280569096848254</v>
      </c>
      <c r="T282" s="66">
        <f t="shared" si="216"/>
        <v>0.81280569096848254</v>
      </c>
      <c r="U282" s="66">
        <f t="shared" si="216"/>
        <v>0.81280569096848254</v>
      </c>
      <c r="V282" s="66">
        <f t="shared" si="216"/>
        <v>0.81280569096848254</v>
      </c>
      <c r="W282" s="66">
        <f t="shared" si="216"/>
        <v>0.81280569096848254</v>
      </c>
      <c r="X282" s="66">
        <f t="shared" si="216"/>
        <v>0.81280569096848254</v>
      </c>
      <c r="Y282" s="66">
        <f t="shared" si="216"/>
        <v>0.81280569096848254</v>
      </c>
      <c r="Z282" s="66">
        <f t="shared" si="216"/>
        <v>0.81280569096848254</v>
      </c>
      <c r="AA282" s="66">
        <f t="shared" si="216"/>
        <v>0.81280569096848254</v>
      </c>
      <c r="AB282" s="66">
        <f t="shared" si="216"/>
        <v>0.81280569096848254</v>
      </c>
      <c r="AC282" s="66">
        <f t="shared" si="216"/>
        <v>0.81280569096848254</v>
      </c>
    </row>
    <row r="283" spans="1:29" x14ac:dyDescent="0.25">
      <c r="A283" s="30" t="str">
        <f t="shared" si="209"/>
        <v>Fuel Cost</v>
      </c>
      <c r="B283" s="66">
        <f>B253*B254*B261/B261</f>
        <v>148.70857711562945</v>
      </c>
      <c r="C283" s="66">
        <f t="shared" ref="C283:AC283" si="217">C253*C254*C261/C261</f>
        <v>148.2092996090033</v>
      </c>
      <c r="D283" s="66">
        <f t="shared" si="217"/>
        <v>147.50039072144946</v>
      </c>
      <c r="E283" s="66">
        <f t="shared" si="217"/>
        <v>146.49838717820242</v>
      </c>
      <c r="F283" s="66">
        <f t="shared" si="217"/>
        <v>145.09150054436526</v>
      </c>
      <c r="G283" s="66">
        <f t="shared" si="217"/>
        <v>143.13516504159401</v>
      </c>
      <c r="H283" s="66">
        <f t="shared" si="217"/>
        <v>140.45246335184149</v>
      </c>
      <c r="I283" s="66">
        <f t="shared" si="217"/>
        <v>136.84567921152174</v>
      </c>
      <c r="J283" s="66">
        <f t="shared" si="217"/>
        <v>132.12749029228479</v>
      </c>
      <c r="K283" s="66">
        <f t="shared" si="217"/>
        <v>126.17843046668766</v>
      </c>
      <c r="L283" s="66">
        <f t="shared" si="217"/>
        <v>119.02509842012032</v>
      </c>
      <c r="M283" s="66">
        <f t="shared" si="217"/>
        <v>110.90892717439007</v>
      </c>
      <c r="N283" s="66">
        <f t="shared" si="217"/>
        <v>102.29338368813721</v>
      </c>
      <c r="O283" s="66">
        <f t="shared" si="217"/>
        <v>93.772449654790975</v>
      </c>
      <c r="P283" s="66">
        <f t="shared" si="217"/>
        <v>85.908141364720535</v>
      </c>
      <c r="Q283" s="66">
        <f t="shared" si="217"/>
        <v>79.08602697062571</v>
      </c>
      <c r="R283" s="66">
        <f t="shared" si="217"/>
        <v>73.463821600502129</v>
      </c>
      <c r="S283" s="66">
        <f t="shared" si="217"/>
        <v>69.012900511705325</v>
      </c>
      <c r="T283" s="66">
        <f t="shared" si="217"/>
        <v>65.597801188446326</v>
      </c>
      <c r="U283" s="66">
        <f t="shared" si="217"/>
        <v>63.043643835444911</v>
      </c>
      <c r="V283" s="66">
        <f t="shared" si="217"/>
        <v>61.175257783754894</v>
      </c>
      <c r="W283" s="66">
        <f t="shared" si="217"/>
        <v>59.834969595711442</v>
      </c>
      <c r="X283" s="66">
        <f t="shared" si="217"/>
        <v>58.889501584090596</v>
      </c>
      <c r="Y283" s="66">
        <f t="shared" si="217"/>
        <v>58.231631925151966</v>
      </c>
      <c r="Z283" s="66">
        <f t="shared" si="217"/>
        <v>57.778737580505499</v>
      </c>
      <c r="AA283" s="66">
        <f t="shared" si="217"/>
        <v>57.469428735507542</v>
      </c>
      <c r="AB283" s="66">
        <f t="shared" si="217"/>
        <v>57.259397201725669</v>
      </c>
      <c r="AC283" s="66">
        <f t="shared" si="217"/>
        <v>57.11735799303861</v>
      </c>
    </row>
    <row r="284" spans="1:29" ht="15.75" thickBot="1" x14ac:dyDescent="0.3">
      <c r="A284" s="59" t="str">
        <f t="shared" ref="A284" si="218">A272</f>
        <v>Emission Cost</v>
      </c>
      <c r="B284" s="66">
        <f>B255</f>
        <v>2.4395360251592355</v>
      </c>
      <c r="C284" s="66">
        <f t="shared" ref="C284:AC284" si="219">C255</f>
        <v>2.437212992466212</v>
      </c>
      <c r="D284" s="66">
        <f t="shared" si="219"/>
        <v>2.4338876229075299</v>
      </c>
      <c r="E284" s="66">
        <f t="shared" si="219"/>
        <v>2.4291304479033946</v>
      </c>
      <c r="F284" s="66">
        <f t="shared" si="219"/>
        <v>2.422331395099703</v>
      </c>
      <c r="G284" s="66">
        <f t="shared" si="219"/>
        <v>2.4126276774125932</v>
      </c>
      <c r="H284" s="66">
        <f t="shared" si="219"/>
        <v>2.3988072028436171</v>
      </c>
      <c r="I284" s="66">
        <f t="shared" si="219"/>
        <v>2.379184110145415</v>
      </c>
      <c r="J284" s="66">
        <f t="shared" si="219"/>
        <v>2.3514487542753191</v>
      </c>
      <c r="K284" s="66">
        <f t="shared" si="219"/>
        <v>2.3125088150209741</v>
      </c>
      <c r="L284" s="66">
        <f t="shared" si="219"/>
        <v>2.2583681638217614</v>
      </c>
      <c r="M284" s="66">
        <f t="shared" si="219"/>
        <v>2.1841433564334305</v>
      </c>
      <c r="N284" s="66">
        <f t="shared" si="219"/>
        <v>2.0843931689123196</v>
      </c>
      <c r="O284" s="66">
        <f t="shared" si="219"/>
        <v>1.9540004035032079</v>
      </c>
      <c r="P284" s="66">
        <f t="shared" si="219"/>
        <v>1.7897927547083285</v>
      </c>
      <c r="Q284" s="66">
        <f t="shared" si="219"/>
        <v>1.5927482897357697</v>
      </c>
      <c r="R284" s="66">
        <f t="shared" si="219"/>
        <v>1.3699356000755636</v>
      </c>
      <c r="S284" s="66">
        <f t="shared" si="219"/>
        <v>1.1347131577787466</v>
      </c>
      <c r="T284" s="66">
        <f t="shared" si="219"/>
        <v>0.90411945317509268</v>
      </c>
      <c r="U284" s="66">
        <f t="shared" si="219"/>
        <v>0.69420525743630557</v>
      </c>
      <c r="V284" s="66">
        <f t="shared" si="219"/>
        <v>0.51580808341464834</v>
      </c>
      <c r="W284" s="66">
        <f t="shared" si="219"/>
        <v>0.37294389614701329</v>
      </c>
      <c r="X284" s="66">
        <f t="shared" si="219"/>
        <v>0.26393218049669054</v>
      </c>
      <c r="Y284" s="66">
        <f t="shared" si="219"/>
        <v>0.18379982674147044</v>
      </c>
      <c r="Z284" s="66">
        <f t="shared" si="219"/>
        <v>0.12650635305435332</v>
      </c>
      <c r="AA284" s="66">
        <f t="shared" si="219"/>
        <v>8.6352089079855254E-2</v>
      </c>
      <c r="AB284" s="66">
        <f t="shared" si="219"/>
        <v>5.8603024599529263E-2</v>
      </c>
      <c r="AC284" s="66">
        <f t="shared" si="219"/>
        <v>3.9612956986719627E-2</v>
      </c>
    </row>
    <row r="285" spans="1:29" ht="15.75" thickBot="1" x14ac:dyDescent="0.3">
      <c r="A285" s="31" t="s">
        <v>63</v>
      </c>
      <c r="B285" s="76">
        <f>B276+B277+B278-B279+B280+B281+B282+B283+B284</f>
        <v>184.13332224213318</v>
      </c>
      <c r="C285" s="76">
        <f t="shared" ref="C285:AC285" si="220">C276+C277+C278-C279+C280+C281+C282+C283+C284</f>
        <v>183.62493933715982</v>
      </c>
      <c r="D285" s="76">
        <f t="shared" si="220"/>
        <v>182.9029962746784</v>
      </c>
      <c r="E285" s="76">
        <f t="shared" si="220"/>
        <v>181.88234642759329</v>
      </c>
      <c r="F285" s="76">
        <f t="shared" si="220"/>
        <v>180.44881011106028</v>
      </c>
      <c r="G285" s="76">
        <f t="shared" si="220"/>
        <v>178.45443975184682</v>
      </c>
      <c r="H285" s="76">
        <f t="shared" si="220"/>
        <v>175.71756709554893</v>
      </c>
      <c r="I285" s="76">
        <f t="shared" si="220"/>
        <v>172.03386794823965</v>
      </c>
      <c r="J285" s="76">
        <f t="shared" si="220"/>
        <v>167.20696705768327</v>
      </c>
      <c r="K285" s="76">
        <f t="shared" si="220"/>
        <v>161.10527758568011</v>
      </c>
      <c r="L285" s="76">
        <f t="shared" si="220"/>
        <v>153.73973492433103</v>
      </c>
      <c r="M285" s="76">
        <f t="shared" si="220"/>
        <v>145.33263086454991</v>
      </c>
      <c r="N285" s="76">
        <f t="shared" si="220"/>
        <v>136.32610485131266</v>
      </c>
      <c r="O285" s="76">
        <f t="shared" si="220"/>
        <v>127.2940811229285</v>
      </c>
      <c r="P285" s="76">
        <f t="shared" si="220"/>
        <v>118.78614174732851</v>
      </c>
      <c r="Q285" s="76">
        <f t="shared" si="220"/>
        <v>111.19168852603143</v>
      </c>
      <c r="R285" s="76">
        <f t="shared" si="220"/>
        <v>104.69614275813566</v>
      </c>
      <c r="S285" s="76">
        <f t="shared" si="220"/>
        <v>99.323239794636237</v>
      </c>
      <c r="T285" s="76">
        <f t="shared" si="220"/>
        <v>95.004301475450049</v>
      </c>
      <c r="U285" s="76">
        <f t="shared" si="220"/>
        <v>91.627360880236893</v>
      </c>
      <c r="V285" s="76">
        <f t="shared" si="220"/>
        <v>89.059726239253735</v>
      </c>
      <c r="W285" s="76">
        <f t="shared" si="220"/>
        <v>87.159465159513701</v>
      </c>
      <c r="X285" s="76">
        <f t="shared" si="220"/>
        <v>85.786712978157865</v>
      </c>
      <c r="Y285" s="76">
        <f t="shared" si="220"/>
        <v>84.814755186224062</v>
      </c>
      <c r="Z285" s="76">
        <f t="shared" si="220"/>
        <v>84.13729237029365</v>
      </c>
      <c r="AA285" s="76">
        <f t="shared" si="220"/>
        <v>83.670594191118994</v>
      </c>
      <c r="AB285" s="76">
        <f t="shared" si="220"/>
        <v>83.351796953516526</v>
      </c>
      <c r="AC285" s="76">
        <f t="shared" si="220"/>
        <v>83.135323953702098</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21">A264</f>
        <v>Capex vehicle</v>
      </c>
      <c r="B288" s="65">
        <f>((1+B249)^B256)*B249/(((1+B249)^B256)-1)*(B245)/B261/(B258)</f>
        <v>2.0678991054715748E-3</v>
      </c>
      <c r="C288" s="65">
        <f t="shared" ref="C288:AC288" si="222">((1+C249)^C256)*C249/(((1+C249)^C256)-1)*(C245)/C261/(C258)</f>
        <v>2.0672108897786113E-3</v>
      </c>
      <c r="D288" s="65">
        <f t="shared" si="222"/>
        <v>2.0662257243429026E-3</v>
      </c>
      <c r="E288" s="65">
        <f t="shared" si="222"/>
        <v>2.0648163759071901E-3</v>
      </c>
      <c r="F288" s="65">
        <f t="shared" si="222"/>
        <v>2.0628021060043848E-3</v>
      </c>
      <c r="G288" s="65">
        <f t="shared" si="222"/>
        <v>2.0599273075513052E-3</v>
      </c>
      <c r="H288" s="65">
        <f t="shared" si="222"/>
        <v>2.0558328892888592E-3</v>
      </c>
      <c r="I288" s="65">
        <f t="shared" si="222"/>
        <v>2.0500194022983649E-3</v>
      </c>
      <c r="J288" s="65">
        <f t="shared" si="222"/>
        <v>2.0418025970777333E-3</v>
      </c>
      <c r="K288" s="65">
        <f t="shared" si="222"/>
        <v>2.0302663507914126E-3</v>
      </c>
      <c r="L288" s="65">
        <f t="shared" si="222"/>
        <v>2.0142267806663458E-3</v>
      </c>
      <c r="M288" s="65">
        <f t="shared" si="222"/>
        <v>1.9922371300663917E-3</v>
      </c>
      <c r="N288" s="65">
        <f t="shared" si="222"/>
        <v>1.9626853959757488E-3</v>
      </c>
      <c r="O288" s="65">
        <f t="shared" si="222"/>
        <v>1.9240555705441109E-3</v>
      </c>
      <c r="P288" s="65">
        <f t="shared" si="222"/>
        <v>1.8754078347009179E-3</v>
      </c>
      <c r="Q288" s="65">
        <f t="shared" si="222"/>
        <v>1.8170319481225618E-3</v>
      </c>
      <c r="R288" s="65">
        <f t="shared" si="222"/>
        <v>1.7510220335500617E-3</v>
      </c>
      <c r="S288" s="65">
        <f t="shared" si="222"/>
        <v>1.6813356375677379E-3</v>
      </c>
      <c r="T288" s="65">
        <f t="shared" si="222"/>
        <v>1.6130205395135985E-3</v>
      </c>
      <c r="U288" s="65">
        <f t="shared" si="222"/>
        <v>1.5508318995873728E-3</v>
      </c>
      <c r="V288" s="65">
        <f t="shared" si="222"/>
        <v>1.497980411482707E-3</v>
      </c>
      <c r="W288" s="65">
        <f t="shared" si="222"/>
        <v>1.4556558346761172E-3</v>
      </c>
      <c r="X288" s="65">
        <f t="shared" si="222"/>
        <v>1.423360304073918E-3</v>
      </c>
      <c r="Y288" s="65">
        <f t="shared" si="222"/>
        <v>1.3996204989760034E-3</v>
      </c>
      <c r="Z288" s="65">
        <f t="shared" si="222"/>
        <v>1.3826468817667865E-3</v>
      </c>
      <c r="AA288" s="65">
        <f t="shared" si="222"/>
        <v>1.370750882760983E-3</v>
      </c>
      <c r="AB288" s="65">
        <f t="shared" si="222"/>
        <v>1.3625300162627306E-3</v>
      </c>
      <c r="AC288" s="65">
        <f t="shared" si="222"/>
        <v>1.3569040676564852E-3</v>
      </c>
    </row>
    <row r="289" spans="1:29" x14ac:dyDescent="0.25">
      <c r="A289" s="30" t="str">
        <f t="shared" si="221"/>
        <v>Residual value (vehicle)</v>
      </c>
      <c r="B289" s="68">
        <f>((1+B249)^B256)*B249/(((1+B249)^B256)-1)*(B246)/B261/(B258)</f>
        <v>-1.0354267188938173E-4</v>
      </c>
      <c r="C289" s="68">
        <f t="shared" ref="C289:AC289" si="223">((1+C249)^C256)*C249/(((1+C249)^C256)-1)*(C246)/C261/(C258)</f>
        <v>-1.0357216684765161E-4</v>
      </c>
      <c r="D289" s="68">
        <f t="shared" si="223"/>
        <v>-1.0361438822346771E-4</v>
      </c>
      <c r="E289" s="68">
        <f t="shared" si="223"/>
        <v>-1.036747888707125E-4</v>
      </c>
      <c r="F289" s="68">
        <f t="shared" si="223"/>
        <v>-1.0376111472368988E-4</v>
      </c>
      <c r="G289" s="68">
        <f t="shared" si="223"/>
        <v>-1.0388432037167901E-4</v>
      </c>
      <c r="H289" s="68">
        <f t="shared" si="223"/>
        <v>-1.0405979544006957E-4</v>
      </c>
      <c r="I289" s="68">
        <f t="shared" si="223"/>
        <v>-1.0430894488251933E-4</v>
      </c>
      <c r="J289" s="68">
        <f t="shared" si="223"/>
        <v>-1.0466109367768924E-4</v>
      </c>
      <c r="K289" s="68">
        <f t="shared" si="223"/>
        <v>-1.0515550423281725E-4</v>
      </c>
      <c r="L289" s="68">
        <f t="shared" si="223"/>
        <v>-1.0584291438103441E-4</v>
      </c>
      <c r="M289" s="68">
        <f t="shared" si="223"/>
        <v>-1.067853279781753E-4</v>
      </c>
      <c r="N289" s="68">
        <f t="shared" si="223"/>
        <v>-1.0805183086777429E-4</v>
      </c>
      <c r="O289" s="68">
        <f t="shared" si="223"/>
        <v>-1.0970739481484449E-4</v>
      </c>
      <c r="P289" s="68">
        <f t="shared" si="223"/>
        <v>-1.1179229777955277E-4</v>
      </c>
      <c r="Q289" s="68">
        <f t="shared" si="223"/>
        <v>-1.1429412149005375E-4</v>
      </c>
      <c r="R289" s="68">
        <f t="shared" si="223"/>
        <v>-1.1712311782887515E-4</v>
      </c>
      <c r="S289" s="68">
        <f t="shared" si="223"/>
        <v>-1.2010967765668903E-4</v>
      </c>
      <c r="T289" s="68">
        <f t="shared" si="223"/>
        <v>-1.2303746757329499E-4</v>
      </c>
      <c r="U289" s="68">
        <f t="shared" si="223"/>
        <v>-1.2570269499870466E-4</v>
      </c>
      <c r="V289" s="68">
        <f t="shared" si="223"/>
        <v>-1.2796775877461892E-4</v>
      </c>
      <c r="W289" s="68">
        <f t="shared" si="223"/>
        <v>-1.2978166920918704E-4</v>
      </c>
      <c r="X289" s="68">
        <f t="shared" si="223"/>
        <v>-1.3116576337785275E-4</v>
      </c>
      <c r="Y289" s="68">
        <f t="shared" si="223"/>
        <v>-1.321831835963348E-4</v>
      </c>
      <c r="Z289" s="68">
        <f t="shared" si="223"/>
        <v>-1.3291062433387269E-4</v>
      </c>
      <c r="AA289" s="68">
        <f t="shared" si="223"/>
        <v>-1.3342045286269283E-4</v>
      </c>
      <c r="AB289" s="68">
        <f t="shared" si="223"/>
        <v>-1.3377277571261794E-4</v>
      </c>
      <c r="AC289" s="68">
        <f t="shared" si="223"/>
        <v>-1.3401388779574273E-4</v>
      </c>
    </row>
    <row r="290" spans="1:29" x14ac:dyDescent="0.25">
      <c r="A290" s="30" t="str">
        <f t="shared" si="221"/>
        <v>Capex costumization</v>
      </c>
      <c r="B290" s="66">
        <f>((1+B249)^B257)*B249/(((1+B249)^B257)-1)*(B247)/B261/(B258)</f>
        <v>6.8982996659853576E-5</v>
      </c>
      <c r="C290" s="66">
        <f t="shared" ref="C290:AC290" si="224">((1+C249)^C257)*C249/(((1+C249)^C257)-1)*(C247)/C261/(C258)</f>
        <v>6.8982996659853576E-5</v>
      </c>
      <c r="D290" s="66">
        <f t="shared" si="224"/>
        <v>6.8982996659853576E-5</v>
      </c>
      <c r="E290" s="66">
        <f t="shared" si="224"/>
        <v>6.8982996659853576E-5</v>
      </c>
      <c r="F290" s="66">
        <f t="shared" si="224"/>
        <v>6.8982996659853576E-5</v>
      </c>
      <c r="G290" s="66">
        <f t="shared" si="224"/>
        <v>6.8982996659853576E-5</v>
      </c>
      <c r="H290" s="66">
        <f t="shared" si="224"/>
        <v>6.8982996659853576E-5</v>
      </c>
      <c r="I290" s="66">
        <f t="shared" si="224"/>
        <v>6.8982996659853576E-5</v>
      </c>
      <c r="J290" s="66">
        <f t="shared" si="224"/>
        <v>6.8982996659853576E-5</v>
      </c>
      <c r="K290" s="66">
        <f t="shared" si="224"/>
        <v>6.8982996659853576E-5</v>
      </c>
      <c r="L290" s="66">
        <f t="shared" si="224"/>
        <v>6.8982996659853576E-5</v>
      </c>
      <c r="M290" s="66">
        <f t="shared" si="224"/>
        <v>6.8982996659853576E-5</v>
      </c>
      <c r="N290" s="66">
        <f t="shared" si="224"/>
        <v>6.8982996659853576E-5</v>
      </c>
      <c r="O290" s="66">
        <f t="shared" si="224"/>
        <v>6.8982996659853576E-5</v>
      </c>
      <c r="P290" s="66">
        <f t="shared" si="224"/>
        <v>6.8982996659853576E-5</v>
      </c>
      <c r="Q290" s="66">
        <f t="shared" si="224"/>
        <v>6.8982996659853576E-5</v>
      </c>
      <c r="R290" s="66">
        <f t="shared" si="224"/>
        <v>6.8982996659853576E-5</v>
      </c>
      <c r="S290" s="66">
        <f t="shared" si="224"/>
        <v>6.8982996659853576E-5</v>
      </c>
      <c r="T290" s="66">
        <f t="shared" si="224"/>
        <v>6.8982996659853576E-5</v>
      </c>
      <c r="U290" s="66">
        <f t="shared" si="224"/>
        <v>6.8982996659853576E-5</v>
      </c>
      <c r="V290" s="66">
        <f t="shared" si="224"/>
        <v>6.8982996659853576E-5</v>
      </c>
      <c r="W290" s="66">
        <f t="shared" si="224"/>
        <v>6.8982996659853576E-5</v>
      </c>
      <c r="X290" s="66">
        <f t="shared" si="224"/>
        <v>6.8982996659853576E-5</v>
      </c>
      <c r="Y290" s="66">
        <f t="shared" si="224"/>
        <v>6.8982996659853576E-5</v>
      </c>
      <c r="Z290" s="66">
        <f t="shared" si="224"/>
        <v>6.8982996659853576E-5</v>
      </c>
      <c r="AA290" s="66">
        <f t="shared" si="224"/>
        <v>6.8982996659853576E-5</v>
      </c>
      <c r="AB290" s="66">
        <f t="shared" si="224"/>
        <v>6.8982996659853576E-5</v>
      </c>
      <c r="AC290" s="66">
        <f t="shared" si="224"/>
        <v>6.8982996659853576E-5</v>
      </c>
    </row>
    <row r="291" spans="1:29" x14ac:dyDescent="0.25">
      <c r="A291" s="30" t="str">
        <f t="shared" si="221"/>
        <v>Residual value (costumization)</v>
      </c>
      <c r="B291" s="69">
        <f>((1+B249)^B257)*B249/(((1+B249)^B257)-1)*(B248)/B261/(B258)</f>
        <v>-6.8982996659853564E-6</v>
      </c>
      <c r="C291" s="69">
        <f t="shared" ref="C291:AC291" si="225">((1+C249)^C257)*C249/(((1+C249)^C257)-1)*(C248)/C261/(C258)</f>
        <v>-6.8982996659853564E-6</v>
      </c>
      <c r="D291" s="69">
        <f t="shared" si="225"/>
        <v>-6.8982996659853564E-6</v>
      </c>
      <c r="E291" s="69">
        <f t="shared" si="225"/>
        <v>-6.8982996659853564E-6</v>
      </c>
      <c r="F291" s="69">
        <f t="shared" si="225"/>
        <v>-6.8982996659853564E-6</v>
      </c>
      <c r="G291" s="69">
        <f t="shared" si="225"/>
        <v>-6.8982996659853564E-6</v>
      </c>
      <c r="H291" s="69">
        <f t="shared" si="225"/>
        <v>-6.8982996659853564E-6</v>
      </c>
      <c r="I291" s="69">
        <f t="shared" si="225"/>
        <v>-6.8982996659853564E-6</v>
      </c>
      <c r="J291" s="69">
        <f t="shared" si="225"/>
        <v>-6.8982996659853564E-6</v>
      </c>
      <c r="K291" s="69">
        <f t="shared" si="225"/>
        <v>-6.8982996659853564E-6</v>
      </c>
      <c r="L291" s="69">
        <f t="shared" si="225"/>
        <v>-6.8982996659853564E-6</v>
      </c>
      <c r="M291" s="69">
        <f t="shared" si="225"/>
        <v>-6.8982996659853564E-6</v>
      </c>
      <c r="N291" s="69">
        <f t="shared" si="225"/>
        <v>-6.8982996659853564E-6</v>
      </c>
      <c r="O291" s="69">
        <f t="shared" si="225"/>
        <v>-6.8982996659853564E-6</v>
      </c>
      <c r="P291" s="69">
        <f t="shared" si="225"/>
        <v>-6.8982996659853564E-6</v>
      </c>
      <c r="Q291" s="69">
        <f t="shared" si="225"/>
        <v>-6.8982996659853564E-6</v>
      </c>
      <c r="R291" s="69">
        <f t="shared" si="225"/>
        <v>-6.8982996659853564E-6</v>
      </c>
      <c r="S291" s="69">
        <f t="shared" si="225"/>
        <v>-6.8982996659853564E-6</v>
      </c>
      <c r="T291" s="69">
        <f t="shared" si="225"/>
        <v>-6.8982996659853564E-6</v>
      </c>
      <c r="U291" s="69">
        <f t="shared" si="225"/>
        <v>-6.8982996659853564E-6</v>
      </c>
      <c r="V291" s="69">
        <f t="shared" si="225"/>
        <v>-6.8982996659853564E-6</v>
      </c>
      <c r="W291" s="69">
        <f t="shared" si="225"/>
        <v>-6.8982996659853564E-6</v>
      </c>
      <c r="X291" s="69">
        <f t="shared" si="225"/>
        <v>-6.8982996659853564E-6</v>
      </c>
      <c r="Y291" s="69">
        <f t="shared" si="225"/>
        <v>-6.8982996659853564E-6</v>
      </c>
      <c r="Z291" s="69">
        <f t="shared" si="225"/>
        <v>-6.8982996659853564E-6</v>
      </c>
      <c r="AA291" s="69">
        <f t="shared" si="225"/>
        <v>-6.8982996659853564E-6</v>
      </c>
      <c r="AB291" s="69">
        <f t="shared" si="225"/>
        <v>-6.8982996659853564E-6</v>
      </c>
      <c r="AC291" s="69">
        <f t="shared" si="225"/>
        <v>-6.8982996659853564E-6</v>
      </c>
    </row>
    <row r="292" spans="1:29" x14ac:dyDescent="0.25">
      <c r="A292" s="30" t="str">
        <f t="shared" si="221"/>
        <v>Opex fix (admin, crew, insurance)</v>
      </c>
      <c r="B292" s="66">
        <f>B250/B261/(B258)</f>
        <v>1.0654632223259673E-3</v>
      </c>
      <c r="C292" s="66">
        <f t="shared" ref="C292:AC292" si="226">C250/C261/(C258)</f>
        <v>1.0654632223259673E-3</v>
      </c>
      <c r="D292" s="66">
        <f t="shared" si="226"/>
        <v>1.0654632223259673E-3</v>
      </c>
      <c r="E292" s="66">
        <f t="shared" si="226"/>
        <v>1.0654632223259673E-3</v>
      </c>
      <c r="F292" s="66">
        <f t="shared" si="226"/>
        <v>1.0654632223259673E-3</v>
      </c>
      <c r="G292" s="66">
        <f t="shared" si="226"/>
        <v>1.0654632223259673E-3</v>
      </c>
      <c r="H292" s="66">
        <f t="shared" si="226"/>
        <v>1.0654632223259673E-3</v>
      </c>
      <c r="I292" s="66">
        <f t="shared" si="226"/>
        <v>1.0654632223259673E-3</v>
      </c>
      <c r="J292" s="66">
        <f t="shared" si="226"/>
        <v>1.0654632223259673E-3</v>
      </c>
      <c r="K292" s="66">
        <f t="shared" si="226"/>
        <v>1.0654632223259673E-3</v>
      </c>
      <c r="L292" s="66">
        <f t="shared" si="226"/>
        <v>1.0654632223259673E-3</v>
      </c>
      <c r="M292" s="66">
        <f t="shared" si="226"/>
        <v>1.0654632223259673E-3</v>
      </c>
      <c r="N292" s="66">
        <f t="shared" si="226"/>
        <v>1.0654632223259673E-3</v>
      </c>
      <c r="O292" s="66">
        <f t="shared" si="226"/>
        <v>1.0654632223259673E-3</v>
      </c>
      <c r="P292" s="66">
        <f t="shared" si="226"/>
        <v>1.0654632223259673E-3</v>
      </c>
      <c r="Q292" s="66">
        <f t="shared" si="226"/>
        <v>1.0654632223259673E-3</v>
      </c>
      <c r="R292" s="66">
        <f t="shared" si="226"/>
        <v>1.0654632223259673E-3</v>
      </c>
      <c r="S292" s="66">
        <f t="shared" si="226"/>
        <v>1.0654632223259673E-3</v>
      </c>
      <c r="T292" s="66">
        <f t="shared" si="226"/>
        <v>1.0654632223259673E-3</v>
      </c>
      <c r="U292" s="66">
        <f t="shared" si="226"/>
        <v>1.0654632223259673E-3</v>
      </c>
      <c r="V292" s="66">
        <f t="shared" si="226"/>
        <v>1.0654632223259673E-3</v>
      </c>
      <c r="W292" s="66">
        <f t="shared" si="226"/>
        <v>1.0654632223259673E-3</v>
      </c>
      <c r="X292" s="66">
        <f t="shared" si="226"/>
        <v>1.0654632223259673E-3</v>
      </c>
      <c r="Y292" s="66">
        <f t="shared" si="226"/>
        <v>1.0654632223259673E-3</v>
      </c>
      <c r="Z292" s="66">
        <f t="shared" si="226"/>
        <v>1.0654632223259673E-3</v>
      </c>
      <c r="AA292" s="66">
        <f t="shared" si="226"/>
        <v>1.0654632223259673E-3</v>
      </c>
      <c r="AB292" s="66">
        <f t="shared" si="226"/>
        <v>1.0654632223259673E-3</v>
      </c>
      <c r="AC292" s="66">
        <f t="shared" si="226"/>
        <v>1.0654632223259673E-3</v>
      </c>
    </row>
    <row r="293" spans="1:29" x14ac:dyDescent="0.25">
      <c r="A293" s="30" t="str">
        <f t="shared" si="221"/>
        <v>Opex maintenance &amp; repair</v>
      </c>
      <c r="B293" s="66">
        <f>B251/B261/(B258)</f>
        <v>2.9878618113912231E-4</v>
      </c>
      <c r="C293" s="66">
        <f t="shared" ref="C293:AC293" si="227">C251/C261/(C258)</f>
        <v>2.9878618113912231E-4</v>
      </c>
      <c r="D293" s="66">
        <f t="shared" si="227"/>
        <v>2.9878618113912231E-4</v>
      </c>
      <c r="E293" s="66">
        <f t="shared" si="227"/>
        <v>2.9878618113912231E-4</v>
      </c>
      <c r="F293" s="66">
        <f t="shared" si="227"/>
        <v>2.9878618113912231E-4</v>
      </c>
      <c r="G293" s="66">
        <f t="shared" si="227"/>
        <v>2.9878618113912231E-4</v>
      </c>
      <c r="H293" s="66">
        <f t="shared" si="227"/>
        <v>2.9878618113912231E-4</v>
      </c>
      <c r="I293" s="66">
        <f t="shared" si="227"/>
        <v>2.9878618113912231E-4</v>
      </c>
      <c r="J293" s="66">
        <f t="shared" si="227"/>
        <v>2.9878618113912231E-4</v>
      </c>
      <c r="K293" s="66">
        <f t="shared" si="227"/>
        <v>2.9878618113912231E-4</v>
      </c>
      <c r="L293" s="66">
        <f t="shared" si="227"/>
        <v>2.9878618113912231E-4</v>
      </c>
      <c r="M293" s="66">
        <f t="shared" si="227"/>
        <v>2.9878618113912231E-4</v>
      </c>
      <c r="N293" s="66">
        <f t="shared" si="227"/>
        <v>2.9878618113912231E-4</v>
      </c>
      <c r="O293" s="66">
        <f t="shared" si="227"/>
        <v>2.9878618113912231E-4</v>
      </c>
      <c r="P293" s="66">
        <f t="shared" si="227"/>
        <v>2.9878618113912231E-4</v>
      </c>
      <c r="Q293" s="66">
        <f t="shared" si="227"/>
        <v>2.9878618113912231E-4</v>
      </c>
      <c r="R293" s="66">
        <f t="shared" si="227"/>
        <v>2.9878618113912231E-4</v>
      </c>
      <c r="S293" s="66">
        <f t="shared" si="227"/>
        <v>2.9878618113912231E-4</v>
      </c>
      <c r="T293" s="66">
        <f t="shared" si="227"/>
        <v>2.9878618113912231E-4</v>
      </c>
      <c r="U293" s="66">
        <f t="shared" si="227"/>
        <v>2.9878618113912231E-4</v>
      </c>
      <c r="V293" s="66">
        <f t="shared" si="227"/>
        <v>2.9878618113912231E-4</v>
      </c>
      <c r="W293" s="66">
        <f t="shared" si="227"/>
        <v>2.9878618113912231E-4</v>
      </c>
      <c r="X293" s="66">
        <f t="shared" si="227"/>
        <v>2.9878618113912231E-4</v>
      </c>
      <c r="Y293" s="66">
        <f t="shared" si="227"/>
        <v>2.9878618113912231E-4</v>
      </c>
      <c r="Z293" s="66">
        <f t="shared" si="227"/>
        <v>2.9878618113912231E-4</v>
      </c>
      <c r="AA293" s="66">
        <f t="shared" si="227"/>
        <v>2.9878618113912231E-4</v>
      </c>
      <c r="AB293" s="66">
        <f t="shared" si="227"/>
        <v>2.9878618113912231E-4</v>
      </c>
      <c r="AC293" s="66">
        <f t="shared" si="227"/>
        <v>2.9878618113912231E-4</v>
      </c>
    </row>
    <row r="294" spans="1:29" x14ac:dyDescent="0.25">
      <c r="A294" s="30" t="str">
        <f t="shared" si="221"/>
        <v>Opex var (mode-fees)</v>
      </c>
      <c r="B294" s="66">
        <f>B252*B261/B261/(B258)</f>
        <v>8.6011184229469056E-5</v>
      </c>
      <c r="C294" s="66">
        <f t="shared" ref="C294:AC294" si="228">C252*C261/C261/(C258)</f>
        <v>8.6011184229469056E-5</v>
      </c>
      <c r="D294" s="66">
        <f t="shared" si="228"/>
        <v>8.6011184229469056E-5</v>
      </c>
      <c r="E294" s="66">
        <f t="shared" si="228"/>
        <v>8.6011184229469056E-5</v>
      </c>
      <c r="F294" s="66">
        <f t="shared" si="228"/>
        <v>8.6011184229469056E-5</v>
      </c>
      <c r="G294" s="66">
        <f t="shared" si="228"/>
        <v>8.6011184229469056E-5</v>
      </c>
      <c r="H294" s="66">
        <f t="shared" si="228"/>
        <v>8.6011184229469056E-5</v>
      </c>
      <c r="I294" s="66">
        <f t="shared" si="228"/>
        <v>8.6011184229469056E-5</v>
      </c>
      <c r="J294" s="66">
        <f t="shared" si="228"/>
        <v>8.6011184229469056E-5</v>
      </c>
      <c r="K294" s="66">
        <f t="shared" si="228"/>
        <v>8.6011184229469056E-5</v>
      </c>
      <c r="L294" s="66">
        <f t="shared" si="228"/>
        <v>8.6011184229469056E-5</v>
      </c>
      <c r="M294" s="66">
        <f t="shared" si="228"/>
        <v>8.6011184229469056E-5</v>
      </c>
      <c r="N294" s="66">
        <f t="shared" si="228"/>
        <v>8.6011184229469056E-5</v>
      </c>
      <c r="O294" s="66">
        <f t="shared" si="228"/>
        <v>8.6011184229469056E-5</v>
      </c>
      <c r="P294" s="66">
        <f t="shared" si="228"/>
        <v>8.6011184229469056E-5</v>
      </c>
      <c r="Q294" s="66">
        <f t="shared" si="228"/>
        <v>8.6011184229469056E-5</v>
      </c>
      <c r="R294" s="66">
        <f t="shared" si="228"/>
        <v>8.6011184229469056E-5</v>
      </c>
      <c r="S294" s="66">
        <f t="shared" si="228"/>
        <v>8.6011184229469056E-5</v>
      </c>
      <c r="T294" s="66">
        <f t="shared" si="228"/>
        <v>8.6011184229469056E-5</v>
      </c>
      <c r="U294" s="66">
        <f t="shared" si="228"/>
        <v>8.6011184229469056E-5</v>
      </c>
      <c r="V294" s="66">
        <f t="shared" si="228"/>
        <v>8.6011184229469056E-5</v>
      </c>
      <c r="W294" s="66">
        <f t="shared" si="228"/>
        <v>8.6011184229469056E-5</v>
      </c>
      <c r="X294" s="66">
        <f t="shared" si="228"/>
        <v>8.6011184229469056E-5</v>
      </c>
      <c r="Y294" s="66">
        <f t="shared" si="228"/>
        <v>8.6011184229469056E-5</v>
      </c>
      <c r="Z294" s="66">
        <f t="shared" si="228"/>
        <v>8.6011184229469056E-5</v>
      </c>
      <c r="AA294" s="66">
        <f t="shared" si="228"/>
        <v>8.6011184229469056E-5</v>
      </c>
      <c r="AB294" s="66">
        <f t="shared" si="228"/>
        <v>8.6011184229469056E-5</v>
      </c>
      <c r="AC294" s="66">
        <f t="shared" si="228"/>
        <v>8.6011184229469056E-5</v>
      </c>
    </row>
    <row r="295" spans="1:29" x14ac:dyDescent="0.25">
      <c r="A295" s="30" t="str">
        <f t="shared" si="221"/>
        <v>Fuel Cost</v>
      </c>
      <c r="B295" s="66">
        <f>B253*B254*B261/B261/(B258)</f>
        <v>1.5736357366733275E-2</v>
      </c>
      <c r="C295" s="66">
        <f t="shared" ref="C295:AC295" si="229">C253*C254*C261/C261/(C258)</f>
        <v>1.5683523768148497E-2</v>
      </c>
      <c r="D295" s="66">
        <f t="shared" si="229"/>
        <v>1.5608506954650736E-2</v>
      </c>
      <c r="E295" s="66">
        <f t="shared" si="229"/>
        <v>1.5502474833672213E-2</v>
      </c>
      <c r="F295" s="66">
        <f t="shared" si="229"/>
        <v>1.5353597941202673E-2</v>
      </c>
      <c r="G295" s="66">
        <f t="shared" si="229"/>
        <v>1.5146578311279789E-2</v>
      </c>
      <c r="H295" s="66">
        <f t="shared" si="229"/>
        <v>1.48626945345864E-2</v>
      </c>
      <c r="I295" s="66">
        <f t="shared" si="229"/>
        <v>1.4481024255187486E-2</v>
      </c>
      <c r="J295" s="66">
        <f t="shared" si="229"/>
        <v>1.3981745004474581E-2</v>
      </c>
      <c r="K295" s="66">
        <f t="shared" si="229"/>
        <v>1.3352214864199753E-2</v>
      </c>
      <c r="L295" s="66">
        <f t="shared" si="229"/>
        <v>1.2595248510065642E-2</v>
      </c>
      <c r="M295" s="66">
        <f t="shared" si="229"/>
        <v>1.1736394409988367E-2</v>
      </c>
      <c r="N295" s="66">
        <f t="shared" si="229"/>
        <v>1.0824696686575366E-2</v>
      </c>
      <c r="O295" s="66">
        <f t="shared" si="229"/>
        <v>9.9230105454805265E-3</v>
      </c>
      <c r="P295" s="66">
        <f t="shared" si="229"/>
        <v>9.0908086100233362E-3</v>
      </c>
      <c r="Q295" s="66">
        <f t="shared" si="229"/>
        <v>8.3688917429233563E-3</v>
      </c>
      <c r="R295" s="66">
        <f t="shared" si="229"/>
        <v>7.7739493757145112E-3</v>
      </c>
      <c r="S295" s="66">
        <f t="shared" si="229"/>
        <v>7.3029524351010929E-3</v>
      </c>
      <c r="T295" s="66">
        <f t="shared" si="229"/>
        <v>6.9415662633276537E-3</v>
      </c>
      <c r="U295" s="66">
        <f t="shared" si="229"/>
        <v>6.6712850619518428E-3</v>
      </c>
      <c r="V295" s="66">
        <f t="shared" si="229"/>
        <v>6.473572252249195E-3</v>
      </c>
      <c r="W295" s="66">
        <f t="shared" si="229"/>
        <v>6.3317428143609992E-3</v>
      </c>
      <c r="X295" s="66">
        <f t="shared" si="229"/>
        <v>6.2316932893217557E-3</v>
      </c>
      <c r="Y295" s="66">
        <f t="shared" si="229"/>
        <v>6.1620774523970332E-3</v>
      </c>
      <c r="Z295" s="66">
        <f t="shared" si="229"/>
        <v>6.1141521249212169E-3</v>
      </c>
      <c r="AA295" s="66">
        <f t="shared" si="229"/>
        <v>6.0814210302124385E-3</v>
      </c>
      <c r="AB295" s="66">
        <f t="shared" si="229"/>
        <v>6.0591954710820812E-3</v>
      </c>
      <c r="AC295" s="66">
        <f t="shared" si="229"/>
        <v>6.0441648669882124E-3</v>
      </c>
    </row>
    <row r="296" spans="1:29" x14ac:dyDescent="0.25">
      <c r="A296" s="59" t="str">
        <f>A259</f>
        <v>Market failure (av. utilization)</v>
      </c>
      <c r="B296" s="66">
        <f t="shared" ref="B296:AC296" si="230">B285/B259-B285/B258</f>
        <v>1.7986160902772469E-2</v>
      </c>
      <c r="C296" s="66">
        <f t="shared" si="230"/>
        <v>1.7936502010955781E-2</v>
      </c>
      <c r="D296" s="66">
        <f t="shared" si="230"/>
        <v>1.7865982542093126E-2</v>
      </c>
      <c r="E296" s="66">
        <f t="shared" si="230"/>
        <v>1.776628536533268E-2</v>
      </c>
      <c r="F296" s="66">
        <f t="shared" si="230"/>
        <v>1.7626257397905767E-2</v>
      </c>
      <c r="G296" s="66">
        <f t="shared" si="230"/>
        <v>1.74314471064075E-2</v>
      </c>
      <c r="H296" s="66">
        <f t="shared" si="230"/>
        <v>1.7164109118002341E-2</v>
      </c>
      <c r="I296" s="66">
        <f t="shared" si="230"/>
        <v>1.6804285025469073E-2</v>
      </c>
      <c r="J296" s="66">
        <f t="shared" si="230"/>
        <v>1.633279287498738E-2</v>
      </c>
      <c r="K296" s="66">
        <f t="shared" si="230"/>
        <v>1.5736779251348483E-2</v>
      </c>
      <c r="L296" s="66">
        <f t="shared" si="230"/>
        <v>1.5017312324720981E-2</v>
      </c>
      <c r="M296" s="66">
        <f t="shared" si="230"/>
        <v>1.4196105578954813E-2</v>
      </c>
      <c r="N296" s="66">
        <f t="shared" si="230"/>
        <v>1.3316347238223458E-2</v>
      </c>
      <c r="O296" s="66">
        <f t="shared" si="230"/>
        <v>1.2434098278185934E-2</v>
      </c>
      <c r="P296" s="66">
        <f t="shared" si="230"/>
        <v>1.1603041928920978E-2</v>
      </c>
      <c r="Q296" s="66">
        <f t="shared" si="230"/>
        <v>1.0861214996437746E-2</v>
      </c>
      <c r="R296" s="66">
        <f t="shared" si="230"/>
        <v>1.0226729451344141E-2</v>
      </c>
      <c r="S296" s="66">
        <f t="shared" si="230"/>
        <v>9.7019037650438334E-3</v>
      </c>
      <c r="T296" s="66">
        <f t="shared" si="230"/>
        <v>9.2800294481514105E-3</v>
      </c>
      <c r="U296" s="66">
        <f t="shared" si="230"/>
        <v>8.9501695609510989E-3</v>
      </c>
      <c r="V296" s="66">
        <f t="shared" si="230"/>
        <v>8.6993627584130619E-3</v>
      </c>
      <c r="W296" s="66">
        <f t="shared" si="230"/>
        <v>8.5137450705263691E-3</v>
      </c>
      <c r="X296" s="66">
        <f t="shared" si="230"/>
        <v>8.3796545033609626E-3</v>
      </c>
      <c r="Y296" s="66">
        <f t="shared" si="230"/>
        <v>8.2847135713039373E-3</v>
      </c>
      <c r="Z296" s="66">
        <f t="shared" si="230"/>
        <v>8.2185389372692215E-3</v>
      </c>
      <c r="AA296" s="66">
        <f t="shared" si="230"/>
        <v>8.1729518135403162E-3</v>
      </c>
      <c r="AB296" s="66">
        <f t="shared" si="230"/>
        <v>8.1418116682311619E-3</v>
      </c>
      <c r="AC296" s="66">
        <f t="shared" si="230"/>
        <v>8.1206665644641875E-3</v>
      </c>
    </row>
    <row r="297" spans="1:29" x14ac:dyDescent="0.25">
      <c r="A297" s="59" t="str">
        <f>A260</f>
        <v>Payload loss (fuel)</v>
      </c>
      <c r="B297" s="66">
        <f>B285/(B258-B260)-B285/B258</f>
        <v>2.1639442580867196E-3</v>
      </c>
      <c r="C297" s="66">
        <f t="shared" ref="C297:AC297" si="231">C285/(C258-C260)-C285/C258</f>
        <v>2.157513903311481E-3</v>
      </c>
      <c r="D297" s="66">
        <f t="shared" si="231"/>
        <v>2.1483814963104107E-3</v>
      </c>
      <c r="E297" s="66">
        <f t="shared" si="231"/>
        <v>2.1354684737013366E-3</v>
      </c>
      <c r="F297" s="66">
        <f t="shared" si="231"/>
        <v>2.1173267231383852E-3</v>
      </c>
      <c r="G297" s="66">
        <f t="shared" si="231"/>
        <v>2.0920757454148085E-3</v>
      </c>
      <c r="H297" s="66">
        <f t="shared" si="231"/>
        <v>2.0573970918374498E-3</v>
      </c>
      <c r="I297" s="66">
        <f t="shared" si="231"/>
        <v>2.0106622803739982E-3</v>
      </c>
      <c r="J297" s="66">
        <f t="shared" si="231"/>
        <v>1.9492984874530037E-3</v>
      </c>
      <c r="K297" s="66">
        <f t="shared" si="231"/>
        <v>1.8714744042269658E-3</v>
      </c>
      <c r="L297" s="66">
        <f t="shared" si="231"/>
        <v>1.7770432372732244E-3</v>
      </c>
      <c r="M297" s="66">
        <f t="shared" si="231"/>
        <v>1.6683858785649531E-3</v>
      </c>
      <c r="N297" s="66">
        <f t="shared" si="231"/>
        <v>1.550542086358641E-3</v>
      </c>
      <c r="O297" s="66">
        <f t="shared" si="231"/>
        <v>1.430212045618896E-3</v>
      </c>
      <c r="P297" s="66">
        <f t="shared" si="231"/>
        <v>1.3139911712810887E-3</v>
      </c>
      <c r="Q297" s="66">
        <f t="shared" si="231"/>
        <v>1.2068855261932708E-3</v>
      </c>
      <c r="R297" s="66">
        <f t="shared" si="231"/>
        <v>1.111883247738716E-3</v>
      </c>
      <c r="S297" s="66">
        <f t="shared" si="231"/>
        <v>1.0303872500352779E-3</v>
      </c>
      <c r="T297" s="66">
        <f t="shared" si="231"/>
        <v>9.6276512918295684E-4</v>
      </c>
      <c r="U297" s="66">
        <f t="shared" si="231"/>
        <v>9.0858988557922238E-4</v>
      </c>
      <c r="V297" s="66">
        <f t="shared" si="231"/>
        <v>8.6670348548547292E-4</v>
      </c>
      <c r="W297" s="66">
        <f t="shared" si="231"/>
        <v>8.3537446971370354E-4</v>
      </c>
      <c r="X297" s="66">
        <f t="shared" si="231"/>
        <v>8.1259870778019501E-4</v>
      </c>
      <c r="Y297" s="66">
        <f t="shared" si="231"/>
        <v>7.9641338335904692E-4</v>
      </c>
      <c r="Z297" s="66">
        <f t="shared" si="231"/>
        <v>7.8510827203344229E-4</v>
      </c>
      <c r="AA297" s="66">
        <f t="shared" si="231"/>
        <v>7.7731077665581585E-4</v>
      </c>
      <c r="AB297" s="66">
        <f t="shared" si="231"/>
        <v>7.7198055243938614E-4</v>
      </c>
      <c r="AC297" s="66">
        <f t="shared" si="231"/>
        <v>7.6835960212508561E-4</v>
      </c>
    </row>
    <row r="298" spans="1:29" ht="15.75" thickBot="1" x14ac:dyDescent="0.3">
      <c r="A298" s="59" t="str">
        <f>A235</f>
        <v>Emission Cost</v>
      </c>
      <c r="B298" s="68">
        <f>B255*B261/B261/(B258)</f>
        <v>2.5815196033431064E-4</v>
      </c>
      <c r="C298" s="68">
        <f t="shared" ref="C298:AC298" si="232">C255*C261/C261/(C258)</f>
        <v>2.5790613676891132E-4</v>
      </c>
      <c r="D298" s="68">
        <f t="shared" si="232"/>
        <v>2.5755424581032062E-4</v>
      </c>
      <c r="E298" s="68">
        <f t="shared" si="232"/>
        <v>2.5705084104797826E-4</v>
      </c>
      <c r="F298" s="68">
        <f t="shared" si="232"/>
        <v>2.5633136456081513E-4</v>
      </c>
      <c r="G298" s="68">
        <f t="shared" si="232"/>
        <v>2.5530451612831671E-4</v>
      </c>
      <c r="H298" s="68">
        <f t="shared" si="232"/>
        <v>2.538420320469436E-4</v>
      </c>
      <c r="I298" s="68">
        <f t="shared" si="232"/>
        <v>2.5176551430110213E-4</v>
      </c>
      <c r="J298" s="68">
        <f t="shared" si="232"/>
        <v>2.4883055600797026E-4</v>
      </c>
      <c r="K298" s="68">
        <f t="shared" si="232"/>
        <v>2.4470992751544701E-4</v>
      </c>
      <c r="L298" s="68">
        <f t="shared" si="232"/>
        <v>2.3898075807637687E-4</v>
      </c>
      <c r="M298" s="68">
        <f t="shared" si="232"/>
        <v>2.3112628110406671E-4</v>
      </c>
      <c r="N298" s="68">
        <f t="shared" si="232"/>
        <v>2.2057070570500738E-4</v>
      </c>
      <c r="O298" s="68">
        <f t="shared" si="232"/>
        <v>2.0677252947123894E-4</v>
      </c>
      <c r="P298" s="68">
        <f t="shared" si="232"/>
        <v>1.8939605869929403E-4</v>
      </c>
      <c r="Q298" s="68">
        <f t="shared" si="232"/>
        <v>1.685447925646317E-4</v>
      </c>
      <c r="R298" s="68">
        <f t="shared" si="232"/>
        <v>1.4496673016672632E-4</v>
      </c>
      <c r="S298" s="68">
        <f t="shared" si="232"/>
        <v>1.2007546643161339E-4</v>
      </c>
      <c r="T298" s="68">
        <f t="shared" si="232"/>
        <v>9.5674016209004522E-5</v>
      </c>
      <c r="U298" s="68">
        <f t="shared" si="232"/>
        <v>7.3460873802783661E-5</v>
      </c>
      <c r="V298" s="68">
        <f t="shared" si="232"/>
        <v>5.4582865969804057E-5</v>
      </c>
      <c r="W298" s="68">
        <f t="shared" si="232"/>
        <v>3.9464962555239501E-5</v>
      </c>
      <c r="X298" s="68">
        <f t="shared" si="232"/>
        <v>2.7929331269491062E-5</v>
      </c>
      <c r="Y298" s="68">
        <f t="shared" si="232"/>
        <v>1.9449717115499516E-5</v>
      </c>
      <c r="Z298" s="68">
        <f t="shared" si="232"/>
        <v>1.3386915667127335E-5</v>
      </c>
      <c r="AA298" s="68">
        <f t="shared" si="232"/>
        <v>9.1377872042174873E-6</v>
      </c>
      <c r="AB298" s="68">
        <f t="shared" si="232"/>
        <v>6.2013782645004512E-6</v>
      </c>
      <c r="AC298" s="68">
        <f t="shared" si="232"/>
        <v>4.1918473001819709E-6</v>
      </c>
    </row>
    <row r="299" spans="1:29" ht="15.75" thickBot="1" x14ac:dyDescent="0.3">
      <c r="A299" s="31" t="s">
        <v>210</v>
      </c>
      <c r="B299" s="67">
        <f>B288+B289+B290+B291+B292+B293+B294+B295+B296+B297+B298</f>
        <v>3.9621316206197396E-2</v>
      </c>
      <c r="C299" s="67">
        <f t="shared" ref="C299:AC299" si="233">C288+C289+C290+C291+C292+C293+C294+C295+C296+C297+C298</f>
        <v>3.9511429826804056E-2</v>
      </c>
      <c r="D299" s="67">
        <f t="shared" si="233"/>
        <v>3.9355381859672467E-2</v>
      </c>
      <c r="E299" s="67">
        <f t="shared" si="233"/>
        <v>3.9134766385479115E-2</v>
      </c>
      <c r="F299" s="67">
        <f t="shared" si="233"/>
        <v>3.882489970277677E-2</v>
      </c>
      <c r="G299" s="67">
        <f t="shared" si="233"/>
        <v>3.8393793951098473E-2</v>
      </c>
      <c r="H299" s="67">
        <f t="shared" si="233"/>
        <v>3.7802161155010353E-2</v>
      </c>
      <c r="I299" s="67">
        <f t="shared" si="233"/>
        <v>3.7005792817435934E-2</v>
      </c>
      <c r="J299" s="67">
        <f t="shared" si="233"/>
        <v>3.5962153711011406E-2</v>
      </c>
      <c r="K299" s="67">
        <f t="shared" si="233"/>
        <v>3.4642634578537668E-2</v>
      </c>
      <c r="L299" s="67">
        <f t="shared" si="233"/>
        <v>3.3049313981109968E-2</v>
      </c>
      <c r="M299" s="67">
        <f t="shared" si="233"/>
        <v>3.1229809235388841E-2</v>
      </c>
      <c r="N299" s="67">
        <f t="shared" si="233"/>
        <v>2.9279135566658874E-2</v>
      </c>
      <c r="O299" s="67">
        <f t="shared" si="233"/>
        <v>2.7320786859174287E-2</v>
      </c>
      <c r="P299" s="67">
        <f t="shared" si="233"/>
        <v>2.5473198590534488E-2</v>
      </c>
      <c r="Q299" s="67">
        <f t="shared" si="233"/>
        <v>2.3820620169439938E-2</v>
      </c>
      <c r="R299" s="67">
        <f t="shared" si="233"/>
        <v>2.240377300537371E-2</v>
      </c>
      <c r="S299" s="67">
        <f t="shared" si="233"/>
        <v>2.1228890161211295E-2</v>
      </c>
      <c r="T299" s="67">
        <f t="shared" si="233"/>
        <v>2.0282363213499754E-2</v>
      </c>
      <c r="U299" s="67">
        <f t="shared" si="233"/>
        <v>1.9540979871562045E-2</v>
      </c>
      <c r="V299" s="67">
        <f t="shared" si="233"/>
        <v>1.8976579299514049E-2</v>
      </c>
      <c r="W299" s="67">
        <f t="shared" si="233"/>
        <v>1.8558546767311668E-2</v>
      </c>
      <c r="X299" s="67">
        <f t="shared" si="233"/>
        <v>1.8256415657116897E-2</v>
      </c>
      <c r="Y299" s="67">
        <f t="shared" si="233"/>
        <v>1.8042436724243615E-2</v>
      </c>
      <c r="Z299" s="67">
        <f t="shared" si="233"/>
        <v>1.7893267792012345E-2</v>
      </c>
      <c r="AA299" s="67">
        <f t="shared" si="233"/>
        <v>1.7790497122199506E-2</v>
      </c>
      <c r="AB299" s="67">
        <f t="shared" si="233"/>
        <v>1.772029159525567E-2</v>
      </c>
      <c r="AC299" s="67">
        <f t="shared" si="233"/>
        <v>1.7672618345426837E-2</v>
      </c>
    </row>
    <row r="301" spans="1:29" x14ac:dyDescent="0.25">
      <c r="B301" s="40"/>
    </row>
    <row r="324" spans="1:44" s="3" customFormat="1" ht="21" x14ac:dyDescent="0.35">
      <c r="A324" s="2" t="str">
        <f>'Parameter Input'!A192</f>
        <v>Short-sea:  Neo bulk</v>
      </c>
    </row>
    <row r="325" spans="1:44" s="3" customFormat="1" ht="21" x14ac:dyDescent="0.35">
      <c r="A325" s="2" t="s">
        <v>103</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Input'!$L$181</f>
        <v>30000000</v>
      </c>
      <c r="C334" s="42">
        <f>'Parameter Input'!$M$181</f>
        <v>19500000</v>
      </c>
      <c r="D334" s="1" t="s">
        <v>15</v>
      </c>
      <c r="L334" s="51">
        <f>'Parameter Input'!$O$181</f>
        <v>17</v>
      </c>
      <c r="M334" s="52">
        <v>0</v>
      </c>
      <c r="N334" s="52">
        <v>1</v>
      </c>
      <c r="O334" s="52">
        <f>'Parameter Input'!$P$181</f>
        <v>0.9</v>
      </c>
      <c r="P334" s="53">
        <f>'Parameter Input'!$Q$181</f>
        <v>0.4</v>
      </c>
      <c r="Q334" s="4">
        <f t="shared" ref="Q334:AR343" si="234">$N334+($M334-$N334)*((1/(1+EXP(-$P334*(Q$9-$L334)))^$O334))</f>
        <v>0.99780374543478534</v>
      </c>
      <c r="R334" s="4">
        <f t="shared" si="234"/>
        <v>0.99685359315256394</v>
      </c>
      <c r="S334" s="4">
        <f t="shared" si="234"/>
        <v>0.99549347132349975</v>
      </c>
      <c r="T334" s="4">
        <f t="shared" si="234"/>
        <v>0.99354772139898062</v>
      </c>
      <c r="U334" s="4">
        <f t="shared" si="234"/>
        <v>0.99076681540580536</v>
      </c>
      <c r="V334" s="4">
        <f t="shared" si="234"/>
        <v>0.9867978615748374</v>
      </c>
      <c r="W334" s="4">
        <f t="shared" si="234"/>
        <v>0.98114509762858249</v>
      </c>
      <c r="X334" s="4">
        <f t="shared" si="234"/>
        <v>0.97311898315872036</v>
      </c>
      <c r="Y334" s="4">
        <f t="shared" si="234"/>
        <v>0.96177484161592774</v>
      </c>
      <c r="Z334" s="4">
        <f t="shared" si="234"/>
        <v>0.94584787155511363</v>
      </c>
      <c r="AA334" s="4">
        <f t="shared" si="234"/>
        <v>0.92370360150141495</v>
      </c>
      <c r="AB334" s="4">
        <f t="shared" si="234"/>
        <v>0.89334463567658451</v>
      </c>
      <c r="AC334" s="4">
        <f t="shared" si="234"/>
        <v>0.85254543874327005</v>
      </c>
      <c r="AD334" s="4">
        <f t="shared" si="234"/>
        <v>0.79921300652623883</v>
      </c>
      <c r="AE334" s="4">
        <f t="shared" si="234"/>
        <v>0.73204982249993378</v>
      </c>
      <c r="AF334" s="4">
        <f t="shared" si="234"/>
        <v>0.65145592958786691</v>
      </c>
      <c r="AG334" s="4">
        <f t="shared" si="234"/>
        <v>0.56032247880849573</v>
      </c>
      <c r="AH334" s="4">
        <f t="shared" si="234"/>
        <v>0.46411326873185343</v>
      </c>
      <c r="AI334" s="4">
        <f t="shared" si="234"/>
        <v>0.36979727595523937</v>
      </c>
      <c r="AJ334" s="4">
        <f t="shared" si="234"/>
        <v>0.28393948637231203</v>
      </c>
      <c r="AK334" s="4">
        <f t="shared" si="234"/>
        <v>0.21097259161117732</v>
      </c>
      <c r="AL334" s="4">
        <f t="shared" si="234"/>
        <v>0.15253917653798199</v>
      </c>
      <c r="AM334" s="4">
        <f t="shared" si="234"/>
        <v>0.10795188737709993</v>
      </c>
      <c r="AN334" s="4">
        <f t="shared" si="234"/>
        <v>7.5176653938091809E-2</v>
      </c>
      <c r="AO334" s="4">
        <f t="shared" si="234"/>
        <v>5.1742836177502194E-2</v>
      </c>
      <c r="AP334" s="4">
        <f t="shared" si="234"/>
        <v>3.5319190625345942E-2</v>
      </c>
      <c r="AQ334" s="4">
        <f t="shared" si="234"/>
        <v>2.3969442072658165E-2</v>
      </c>
      <c r="AR334" s="4">
        <f t="shared" si="234"/>
        <v>1.6202243558389728E-2</v>
      </c>
    </row>
    <row r="335" spans="1:44" x14ac:dyDescent="0.25">
      <c r="A335" s="24" t="s">
        <v>28</v>
      </c>
      <c r="B335" s="60">
        <f>'Parameter Input'!$L$182</f>
        <v>-1500000</v>
      </c>
      <c r="C335" s="61">
        <f>'Parameter Input'!$M$182</f>
        <v>-1950000</v>
      </c>
      <c r="D335" s="1" t="s">
        <v>15</v>
      </c>
      <c r="L335" s="54">
        <f>'Parameter Input'!$O$182</f>
        <v>17</v>
      </c>
      <c r="M335" s="37">
        <v>0</v>
      </c>
      <c r="N335" s="37">
        <v>1</v>
      </c>
      <c r="O335" s="37">
        <f>'Parameter Input'!$P$182</f>
        <v>0.9</v>
      </c>
      <c r="P335" s="55">
        <f>'Parameter Input'!$Q$182</f>
        <v>0.4</v>
      </c>
      <c r="Q335" s="4">
        <f t="shared" si="234"/>
        <v>0.99780374543478534</v>
      </c>
      <c r="R335" s="4">
        <f t="shared" si="234"/>
        <v>0.99685359315256394</v>
      </c>
      <c r="S335" s="4">
        <f t="shared" si="234"/>
        <v>0.99549347132349975</v>
      </c>
      <c r="T335" s="4">
        <f t="shared" si="234"/>
        <v>0.99354772139898062</v>
      </c>
      <c r="U335" s="4">
        <f t="shared" si="234"/>
        <v>0.99076681540580536</v>
      </c>
      <c r="V335" s="4">
        <f t="shared" si="234"/>
        <v>0.9867978615748374</v>
      </c>
      <c r="W335" s="4">
        <f t="shared" si="234"/>
        <v>0.98114509762858249</v>
      </c>
      <c r="X335" s="4">
        <f t="shared" si="234"/>
        <v>0.97311898315872036</v>
      </c>
      <c r="Y335" s="4">
        <f t="shared" si="234"/>
        <v>0.96177484161592774</v>
      </c>
      <c r="Z335" s="4">
        <f t="shared" si="234"/>
        <v>0.94584787155511363</v>
      </c>
      <c r="AA335" s="4">
        <f t="shared" si="234"/>
        <v>0.92370360150141495</v>
      </c>
      <c r="AB335" s="4">
        <f t="shared" si="234"/>
        <v>0.89334463567658451</v>
      </c>
      <c r="AC335" s="4">
        <f t="shared" si="234"/>
        <v>0.85254543874327005</v>
      </c>
      <c r="AD335" s="4">
        <f t="shared" si="234"/>
        <v>0.79921300652623883</v>
      </c>
      <c r="AE335" s="4">
        <f t="shared" si="234"/>
        <v>0.73204982249993378</v>
      </c>
      <c r="AF335" s="4">
        <f t="shared" si="234"/>
        <v>0.65145592958786691</v>
      </c>
      <c r="AG335" s="4">
        <f t="shared" si="234"/>
        <v>0.56032247880849573</v>
      </c>
      <c r="AH335" s="4">
        <f t="shared" si="234"/>
        <v>0.46411326873185343</v>
      </c>
      <c r="AI335" s="4">
        <f t="shared" si="234"/>
        <v>0.36979727595523937</v>
      </c>
      <c r="AJ335" s="4">
        <f t="shared" si="234"/>
        <v>0.28393948637231203</v>
      </c>
      <c r="AK335" s="4">
        <f t="shared" si="234"/>
        <v>0.21097259161117732</v>
      </c>
      <c r="AL335" s="4">
        <f t="shared" si="234"/>
        <v>0.15253917653798199</v>
      </c>
      <c r="AM335" s="4">
        <f t="shared" si="234"/>
        <v>0.10795188737709993</v>
      </c>
      <c r="AN335" s="4">
        <f t="shared" si="234"/>
        <v>7.5176653938091809E-2</v>
      </c>
      <c r="AO335" s="4">
        <f t="shared" si="234"/>
        <v>5.1742836177502194E-2</v>
      </c>
      <c r="AP335" s="4">
        <f t="shared" si="234"/>
        <v>3.5319190625345942E-2</v>
      </c>
      <c r="AQ335" s="4">
        <f t="shared" si="234"/>
        <v>2.3969442072658165E-2</v>
      </c>
      <c r="AR335" s="4">
        <f t="shared" si="234"/>
        <v>1.6202243558389728E-2</v>
      </c>
    </row>
    <row r="336" spans="1:44" x14ac:dyDescent="0.25">
      <c r="A336" s="24" t="s">
        <v>14</v>
      </c>
      <c r="B336" s="60">
        <f>'Parameter Input'!B193</f>
        <v>1000000</v>
      </c>
      <c r="C336" s="61">
        <f>'Parameter Input'!C193</f>
        <v>1000000</v>
      </c>
      <c r="D336" s="1" t="s">
        <v>15</v>
      </c>
      <c r="L336" s="54">
        <f>'Parameter Input'!E193</f>
        <v>17</v>
      </c>
      <c r="M336" s="37">
        <v>0</v>
      </c>
      <c r="N336" s="37">
        <v>1</v>
      </c>
      <c r="O336" s="37">
        <f>'Parameter Input'!F193</f>
        <v>0.9</v>
      </c>
      <c r="P336" s="55">
        <f>'Parameter Input'!G193</f>
        <v>0.4</v>
      </c>
      <c r="Q336" s="4">
        <f t="shared" si="234"/>
        <v>0.99780374543478534</v>
      </c>
      <c r="R336" s="4">
        <f t="shared" si="234"/>
        <v>0.99685359315256394</v>
      </c>
      <c r="S336" s="4">
        <f t="shared" si="234"/>
        <v>0.99549347132349975</v>
      </c>
      <c r="T336" s="4">
        <f t="shared" si="234"/>
        <v>0.99354772139898062</v>
      </c>
      <c r="U336" s="4">
        <f t="shared" si="234"/>
        <v>0.99076681540580536</v>
      </c>
      <c r="V336" s="4">
        <f t="shared" si="234"/>
        <v>0.9867978615748374</v>
      </c>
      <c r="W336" s="4">
        <f t="shared" si="234"/>
        <v>0.98114509762858249</v>
      </c>
      <c r="X336" s="4">
        <f t="shared" si="234"/>
        <v>0.97311898315872036</v>
      </c>
      <c r="Y336" s="4">
        <f t="shared" si="234"/>
        <v>0.96177484161592774</v>
      </c>
      <c r="Z336" s="4">
        <f t="shared" si="234"/>
        <v>0.94584787155511363</v>
      </c>
      <c r="AA336" s="4">
        <f t="shared" si="234"/>
        <v>0.92370360150141495</v>
      </c>
      <c r="AB336" s="4">
        <f t="shared" si="234"/>
        <v>0.89334463567658451</v>
      </c>
      <c r="AC336" s="4">
        <f t="shared" si="234"/>
        <v>0.85254543874327005</v>
      </c>
      <c r="AD336" s="4">
        <f t="shared" si="234"/>
        <v>0.79921300652623883</v>
      </c>
      <c r="AE336" s="4">
        <f t="shared" si="234"/>
        <v>0.73204982249993378</v>
      </c>
      <c r="AF336" s="4">
        <f t="shared" si="234"/>
        <v>0.65145592958786691</v>
      </c>
      <c r="AG336" s="4">
        <f t="shared" si="234"/>
        <v>0.56032247880849573</v>
      </c>
      <c r="AH336" s="4">
        <f t="shared" si="234"/>
        <v>0.46411326873185343</v>
      </c>
      <c r="AI336" s="4">
        <f t="shared" si="234"/>
        <v>0.36979727595523937</v>
      </c>
      <c r="AJ336" s="4">
        <f t="shared" si="234"/>
        <v>0.28393948637231203</v>
      </c>
      <c r="AK336" s="4">
        <f t="shared" si="234"/>
        <v>0.21097259161117732</v>
      </c>
      <c r="AL336" s="4">
        <f t="shared" si="234"/>
        <v>0.15253917653798199</v>
      </c>
      <c r="AM336" s="4">
        <f t="shared" si="234"/>
        <v>0.10795188737709993</v>
      </c>
      <c r="AN336" s="4">
        <f t="shared" si="234"/>
        <v>7.5176653938091809E-2</v>
      </c>
      <c r="AO336" s="4">
        <f t="shared" si="234"/>
        <v>5.1742836177502194E-2</v>
      </c>
      <c r="AP336" s="4">
        <f t="shared" si="234"/>
        <v>3.5319190625345942E-2</v>
      </c>
      <c r="AQ336" s="4">
        <f t="shared" si="234"/>
        <v>2.3969442072658165E-2</v>
      </c>
      <c r="AR336" s="4">
        <f t="shared" si="234"/>
        <v>1.6202243558389728E-2</v>
      </c>
    </row>
    <row r="337" spans="1:44" x14ac:dyDescent="0.25">
      <c r="A337" s="24" t="s">
        <v>25</v>
      </c>
      <c r="B337" s="60">
        <f>'Parameter Input'!B194</f>
        <v>-100000</v>
      </c>
      <c r="C337" s="61">
        <f>'Parameter Input'!C194</f>
        <v>-100000</v>
      </c>
      <c r="D337" s="1" t="s">
        <v>15</v>
      </c>
      <c r="L337" s="54">
        <f>'Parameter Input'!E194</f>
        <v>17</v>
      </c>
      <c r="M337" s="37">
        <v>0</v>
      </c>
      <c r="N337" s="37">
        <v>1</v>
      </c>
      <c r="O337" s="37">
        <f>'Parameter Input'!F194</f>
        <v>0.9</v>
      </c>
      <c r="P337" s="55">
        <f>'Parameter Input'!G194</f>
        <v>0.4</v>
      </c>
      <c r="Q337" s="4">
        <f t="shared" si="234"/>
        <v>0.99780374543478534</v>
      </c>
      <c r="R337" s="4">
        <f t="shared" si="234"/>
        <v>0.99685359315256394</v>
      </c>
      <c r="S337" s="4">
        <f t="shared" si="234"/>
        <v>0.99549347132349975</v>
      </c>
      <c r="T337" s="4">
        <f t="shared" si="234"/>
        <v>0.99354772139898062</v>
      </c>
      <c r="U337" s="4">
        <f t="shared" si="234"/>
        <v>0.99076681540580536</v>
      </c>
      <c r="V337" s="4">
        <f t="shared" si="234"/>
        <v>0.9867978615748374</v>
      </c>
      <c r="W337" s="4">
        <f t="shared" si="234"/>
        <v>0.98114509762858249</v>
      </c>
      <c r="X337" s="4">
        <f t="shared" si="234"/>
        <v>0.97311898315872036</v>
      </c>
      <c r="Y337" s="4">
        <f t="shared" si="234"/>
        <v>0.96177484161592774</v>
      </c>
      <c r="Z337" s="4">
        <f t="shared" si="234"/>
        <v>0.94584787155511363</v>
      </c>
      <c r="AA337" s="4">
        <f t="shared" si="234"/>
        <v>0.92370360150141495</v>
      </c>
      <c r="AB337" s="4">
        <f t="shared" si="234"/>
        <v>0.89334463567658451</v>
      </c>
      <c r="AC337" s="4">
        <f t="shared" si="234"/>
        <v>0.85254543874327005</v>
      </c>
      <c r="AD337" s="4">
        <f t="shared" si="234"/>
        <v>0.79921300652623883</v>
      </c>
      <c r="AE337" s="4">
        <f t="shared" si="234"/>
        <v>0.73204982249993378</v>
      </c>
      <c r="AF337" s="4">
        <f t="shared" si="234"/>
        <v>0.65145592958786691</v>
      </c>
      <c r="AG337" s="4">
        <f t="shared" si="234"/>
        <v>0.56032247880849573</v>
      </c>
      <c r="AH337" s="4">
        <f t="shared" si="234"/>
        <v>0.46411326873185343</v>
      </c>
      <c r="AI337" s="4">
        <f t="shared" si="234"/>
        <v>0.36979727595523937</v>
      </c>
      <c r="AJ337" s="4">
        <f t="shared" si="234"/>
        <v>0.28393948637231203</v>
      </c>
      <c r="AK337" s="4">
        <f t="shared" si="234"/>
        <v>0.21097259161117732</v>
      </c>
      <c r="AL337" s="4">
        <f t="shared" si="234"/>
        <v>0.15253917653798199</v>
      </c>
      <c r="AM337" s="4">
        <f t="shared" si="234"/>
        <v>0.10795188737709993</v>
      </c>
      <c r="AN337" s="4">
        <f t="shared" si="234"/>
        <v>7.5176653938091809E-2</v>
      </c>
      <c r="AO337" s="4">
        <f t="shared" si="234"/>
        <v>5.1742836177502194E-2</v>
      </c>
      <c r="AP337" s="4">
        <f t="shared" si="234"/>
        <v>3.5319190625345942E-2</v>
      </c>
      <c r="AQ337" s="4">
        <f t="shared" si="234"/>
        <v>2.3969442072658165E-2</v>
      </c>
      <c r="AR337" s="4">
        <f t="shared" si="234"/>
        <v>1.6202243558389728E-2</v>
      </c>
    </row>
    <row r="338" spans="1:44" x14ac:dyDescent="0.25">
      <c r="A338" s="24" t="s">
        <v>79</v>
      </c>
      <c r="B338" s="92">
        <f>'Parameter Input'!$L$188</f>
        <v>0.06</v>
      </c>
      <c r="C338" s="91">
        <f>'Parameter Input'!$M$188</f>
        <v>0.06</v>
      </c>
      <c r="D338" s="1" t="s">
        <v>57</v>
      </c>
      <c r="L338" s="54">
        <f>'Parameter Input'!$O$188</f>
        <v>17</v>
      </c>
      <c r="M338" s="37">
        <v>0</v>
      </c>
      <c r="N338" s="37">
        <v>1</v>
      </c>
      <c r="O338" s="37">
        <f>'Parameter Input'!$P$188</f>
        <v>0.9</v>
      </c>
      <c r="P338" s="55">
        <f>'Parameter Input'!$Q$188</f>
        <v>0.4</v>
      </c>
      <c r="Q338" s="4">
        <f t="shared" si="234"/>
        <v>0.99780374543478534</v>
      </c>
      <c r="R338" s="4">
        <f t="shared" si="234"/>
        <v>0.99685359315256394</v>
      </c>
      <c r="S338" s="4">
        <f t="shared" si="234"/>
        <v>0.99549347132349975</v>
      </c>
      <c r="T338" s="4">
        <f t="shared" si="234"/>
        <v>0.99354772139898062</v>
      </c>
      <c r="U338" s="4">
        <f t="shared" si="234"/>
        <v>0.99076681540580536</v>
      </c>
      <c r="V338" s="4">
        <f t="shared" si="234"/>
        <v>0.9867978615748374</v>
      </c>
      <c r="W338" s="4">
        <f t="shared" si="234"/>
        <v>0.98114509762858249</v>
      </c>
      <c r="X338" s="4">
        <f t="shared" si="234"/>
        <v>0.97311898315872036</v>
      </c>
      <c r="Y338" s="4">
        <f t="shared" si="234"/>
        <v>0.96177484161592774</v>
      </c>
      <c r="Z338" s="4">
        <f t="shared" si="234"/>
        <v>0.94584787155511363</v>
      </c>
      <c r="AA338" s="4">
        <f t="shared" si="234"/>
        <v>0.92370360150141495</v>
      </c>
      <c r="AB338" s="4">
        <f t="shared" si="234"/>
        <v>0.89334463567658451</v>
      </c>
      <c r="AC338" s="4">
        <f t="shared" si="234"/>
        <v>0.85254543874327005</v>
      </c>
      <c r="AD338" s="4">
        <f t="shared" si="234"/>
        <v>0.79921300652623883</v>
      </c>
      <c r="AE338" s="4">
        <f t="shared" si="234"/>
        <v>0.73204982249993378</v>
      </c>
      <c r="AF338" s="4">
        <f t="shared" si="234"/>
        <v>0.65145592958786691</v>
      </c>
      <c r="AG338" s="4">
        <f t="shared" si="234"/>
        <v>0.56032247880849573</v>
      </c>
      <c r="AH338" s="4">
        <f t="shared" si="234"/>
        <v>0.46411326873185343</v>
      </c>
      <c r="AI338" s="4">
        <f t="shared" si="234"/>
        <v>0.36979727595523937</v>
      </c>
      <c r="AJ338" s="4">
        <f t="shared" si="234"/>
        <v>0.28393948637231203</v>
      </c>
      <c r="AK338" s="4">
        <f t="shared" si="234"/>
        <v>0.21097259161117732</v>
      </c>
      <c r="AL338" s="4">
        <f t="shared" si="234"/>
        <v>0.15253917653798199</v>
      </c>
      <c r="AM338" s="4">
        <f t="shared" si="234"/>
        <v>0.10795188737709993</v>
      </c>
      <c r="AN338" s="4">
        <f t="shared" si="234"/>
        <v>7.5176653938091809E-2</v>
      </c>
      <c r="AO338" s="4">
        <f t="shared" si="234"/>
        <v>5.1742836177502194E-2</v>
      </c>
      <c r="AP338" s="4">
        <f t="shared" si="234"/>
        <v>3.5319190625345942E-2</v>
      </c>
      <c r="AQ338" s="4">
        <f t="shared" si="234"/>
        <v>2.3969442072658165E-2</v>
      </c>
      <c r="AR338" s="4">
        <f t="shared" si="234"/>
        <v>1.6202243558389728E-2</v>
      </c>
    </row>
    <row r="339" spans="1:44" x14ac:dyDescent="0.25">
      <c r="A339" s="24" t="s">
        <v>37</v>
      </c>
      <c r="B339" s="60">
        <f>'Parameter Input'!B195</f>
        <v>1208235.294117647</v>
      </c>
      <c r="C339" s="61">
        <f>'Parameter Input'!C195</f>
        <v>1208235.294117647</v>
      </c>
      <c r="D339" s="1" t="s">
        <v>38</v>
      </c>
      <c r="L339" s="54">
        <f>'Parameter Input'!E195</f>
        <v>17</v>
      </c>
      <c r="M339" s="37">
        <v>0</v>
      </c>
      <c r="N339" s="37">
        <v>1</v>
      </c>
      <c r="O339" s="37">
        <f>'Parameter Input'!F195</f>
        <v>0.9</v>
      </c>
      <c r="P339" s="55">
        <f>'Parameter Input'!G195</f>
        <v>0.4</v>
      </c>
      <c r="Q339" s="4">
        <f t="shared" si="234"/>
        <v>0.99780374543478534</v>
      </c>
      <c r="R339" s="4">
        <f t="shared" si="234"/>
        <v>0.99685359315256394</v>
      </c>
      <c r="S339" s="4">
        <f t="shared" si="234"/>
        <v>0.99549347132349975</v>
      </c>
      <c r="T339" s="4">
        <f t="shared" si="234"/>
        <v>0.99354772139898062</v>
      </c>
      <c r="U339" s="4">
        <f t="shared" si="234"/>
        <v>0.99076681540580536</v>
      </c>
      <c r="V339" s="4">
        <f t="shared" si="234"/>
        <v>0.9867978615748374</v>
      </c>
      <c r="W339" s="4">
        <f t="shared" si="234"/>
        <v>0.98114509762858249</v>
      </c>
      <c r="X339" s="4">
        <f t="shared" si="234"/>
        <v>0.97311898315872036</v>
      </c>
      <c r="Y339" s="4">
        <f t="shared" si="234"/>
        <v>0.96177484161592774</v>
      </c>
      <c r="Z339" s="4">
        <f t="shared" si="234"/>
        <v>0.94584787155511363</v>
      </c>
      <c r="AA339" s="4">
        <f t="shared" si="234"/>
        <v>0.92370360150141495</v>
      </c>
      <c r="AB339" s="4">
        <f t="shared" si="234"/>
        <v>0.89334463567658451</v>
      </c>
      <c r="AC339" s="4">
        <f t="shared" si="234"/>
        <v>0.85254543874327005</v>
      </c>
      <c r="AD339" s="4">
        <f t="shared" si="234"/>
        <v>0.79921300652623883</v>
      </c>
      <c r="AE339" s="4">
        <f t="shared" si="234"/>
        <v>0.73204982249993378</v>
      </c>
      <c r="AF339" s="4">
        <f t="shared" si="234"/>
        <v>0.65145592958786691</v>
      </c>
      <c r="AG339" s="4">
        <f t="shared" si="234"/>
        <v>0.56032247880849573</v>
      </c>
      <c r="AH339" s="4">
        <f t="shared" si="234"/>
        <v>0.46411326873185343</v>
      </c>
      <c r="AI339" s="4">
        <f t="shared" si="234"/>
        <v>0.36979727595523937</v>
      </c>
      <c r="AJ339" s="4">
        <f t="shared" si="234"/>
        <v>0.28393948637231203</v>
      </c>
      <c r="AK339" s="4">
        <f t="shared" si="234"/>
        <v>0.21097259161117732</v>
      </c>
      <c r="AL339" s="4">
        <f t="shared" si="234"/>
        <v>0.15253917653798199</v>
      </c>
      <c r="AM339" s="4">
        <f t="shared" si="234"/>
        <v>0.10795188737709993</v>
      </c>
      <c r="AN339" s="4">
        <f t="shared" si="234"/>
        <v>7.5176653938091809E-2</v>
      </c>
      <c r="AO339" s="4">
        <f t="shared" si="234"/>
        <v>5.1742836177502194E-2</v>
      </c>
      <c r="AP339" s="4">
        <f t="shared" si="234"/>
        <v>3.5319190625345942E-2</v>
      </c>
      <c r="AQ339" s="4">
        <f t="shared" si="234"/>
        <v>2.3969442072658165E-2</v>
      </c>
      <c r="AR339" s="4">
        <f t="shared" si="234"/>
        <v>1.6202243558389728E-2</v>
      </c>
    </row>
    <row r="340" spans="1:44" x14ac:dyDescent="0.25">
      <c r="A340" s="24" t="s">
        <v>52</v>
      </c>
      <c r="B340" s="60">
        <f>'Parameter Input'!$L$184</f>
        <v>338823.5294117647</v>
      </c>
      <c r="C340" s="61">
        <f>'Parameter Input'!$M$184</f>
        <v>338823.5294117647</v>
      </c>
      <c r="D340" s="1" t="s">
        <v>38</v>
      </c>
      <c r="L340" s="54">
        <f>'Parameter Input'!$O$184</f>
        <v>17</v>
      </c>
      <c r="M340" s="37">
        <v>0</v>
      </c>
      <c r="N340" s="37">
        <v>1</v>
      </c>
      <c r="O340" s="37">
        <f>'Parameter Input'!$P$184</f>
        <v>0.9</v>
      </c>
      <c r="P340" s="55">
        <f>'Parameter Input'!$Q$184</f>
        <v>0.4</v>
      </c>
      <c r="Q340" s="4">
        <f t="shared" si="234"/>
        <v>0.99780374543478534</v>
      </c>
      <c r="R340" s="4">
        <f t="shared" si="234"/>
        <v>0.99685359315256394</v>
      </c>
      <c r="S340" s="4">
        <f t="shared" si="234"/>
        <v>0.99549347132349975</v>
      </c>
      <c r="T340" s="4">
        <f t="shared" si="234"/>
        <v>0.99354772139898062</v>
      </c>
      <c r="U340" s="4">
        <f t="shared" si="234"/>
        <v>0.99076681540580536</v>
      </c>
      <c r="V340" s="4">
        <f t="shared" si="234"/>
        <v>0.9867978615748374</v>
      </c>
      <c r="W340" s="4">
        <f t="shared" si="234"/>
        <v>0.98114509762858249</v>
      </c>
      <c r="X340" s="4">
        <f t="shared" si="234"/>
        <v>0.97311898315872036</v>
      </c>
      <c r="Y340" s="4">
        <f t="shared" si="234"/>
        <v>0.96177484161592774</v>
      </c>
      <c r="Z340" s="4">
        <f t="shared" si="234"/>
        <v>0.94584787155511363</v>
      </c>
      <c r="AA340" s="4">
        <f t="shared" si="234"/>
        <v>0.92370360150141495</v>
      </c>
      <c r="AB340" s="4">
        <f t="shared" si="234"/>
        <v>0.89334463567658451</v>
      </c>
      <c r="AC340" s="4">
        <f t="shared" si="234"/>
        <v>0.85254543874327005</v>
      </c>
      <c r="AD340" s="4">
        <f t="shared" si="234"/>
        <v>0.79921300652623883</v>
      </c>
      <c r="AE340" s="4">
        <f t="shared" si="234"/>
        <v>0.73204982249993378</v>
      </c>
      <c r="AF340" s="4">
        <f t="shared" si="234"/>
        <v>0.65145592958786691</v>
      </c>
      <c r="AG340" s="4">
        <f t="shared" si="234"/>
        <v>0.56032247880849573</v>
      </c>
      <c r="AH340" s="4">
        <f t="shared" si="234"/>
        <v>0.46411326873185343</v>
      </c>
      <c r="AI340" s="4">
        <f t="shared" si="234"/>
        <v>0.36979727595523937</v>
      </c>
      <c r="AJ340" s="4">
        <f t="shared" si="234"/>
        <v>0.28393948637231203</v>
      </c>
      <c r="AK340" s="4">
        <f t="shared" si="234"/>
        <v>0.21097259161117732</v>
      </c>
      <c r="AL340" s="4">
        <f t="shared" si="234"/>
        <v>0.15253917653798199</v>
      </c>
      <c r="AM340" s="4">
        <f t="shared" si="234"/>
        <v>0.10795188737709993</v>
      </c>
      <c r="AN340" s="4">
        <f t="shared" si="234"/>
        <v>7.5176653938091809E-2</v>
      </c>
      <c r="AO340" s="4">
        <f t="shared" si="234"/>
        <v>5.1742836177502194E-2</v>
      </c>
      <c r="AP340" s="4">
        <f t="shared" si="234"/>
        <v>3.5319190625345942E-2</v>
      </c>
      <c r="AQ340" s="4">
        <f t="shared" si="234"/>
        <v>2.3969442072658165E-2</v>
      </c>
      <c r="AR340" s="4">
        <f t="shared" si="234"/>
        <v>1.6202243558389728E-2</v>
      </c>
    </row>
    <row r="341" spans="1:44" x14ac:dyDescent="0.25">
      <c r="A341" s="24" t="s">
        <v>272</v>
      </c>
      <c r="B341" s="92">
        <f>'Parameter Input'!B200</f>
        <v>0.81280569096848254</v>
      </c>
      <c r="C341" s="61">
        <f>'Parameter Input'!C200</f>
        <v>0.81280569096848254</v>
      </c>
      <c r="D341" s="1" t="s">
        <v>76</v>
      </c>
      <c r="L341" s="54">
        <f>'Parameter Input'!E200</f>
        <v>17</v>
      </c>
      <c r="M341" s="37">
        <v>0</v>
      </c>
      <c r="N341" s="37">
        <v>1</v>
      </c>
      <c r="O341" s="37">
        <f>'Parameter Input'!F200</f>
        <v>0.9</v>
      </c>
      <c r="P341" s="55">
        <f>'Parameter Input'!G200</f>
        <v>0.4</v>
      </c>
      <c r="Q341" s="4">
        <f t="shared" si="234"/>
        <v>0.99780374543478534</v>
      </c>
      <c r="R341" s="4">
        <f t="shared" si="234"/>
        <v>0.99685359315256394</v>
      </c>
      <c r="S341" s="4">
        <f t="shared" si="234"/>
        <v>0.99549347132349975</v>
      </c>
      <c r="T341" s="4">
        <f t="shared" si="234"/>
        <v>0.99354772139898062</v>
      </c>
      <c r="U341" s="4">
        <f t="shared" si="234"/>
        <v>0.99076681540580536</v>
      </c>
      <c r="V341" s="4">
        <f t="shared" si="234"/>
        <v>0.9867978615748374</v>
      </c>
      <c r="W341" s="4">
        <f t="shared" si="234"/>
        <v>0.98114509762858249</v>
      </c>
      <c r="X341" s="4">
        <f t="shared" si="234"/>
        <v>0.97311898315872036</v>
      </c>
      <c r="Y341" s="4">
        <f t="shared" si="234"/>
        <v>0.96177484161592774</v>
      </c>
      <c r="Z341" s="4">
        <f t="shared" si="234"/>
        <v>0.94584787155511363</v>
      </c>
      <c r="AA341" s="4">
        <f t="shared" si="234"/>
        <v>0.92370360150141495</v>
      </c>
      <c r="AB341" s="4">
        <f t="shared" si="234"/>
        <v>0.89334463567658451</v>
      </c>
      <c r="AC341" s="4">
        <f t="shared" si="234"/>
        <v>0.85254543874327005</v>
      </c>
      <c r="AD341" s="4">
        <f t="shared" si="234"/>
        <v>0.79921300652623883</v>
      </c>
      <c r="AE341" s="4">
        <f t="shared" si="234"/>
        <v>0.73204982249993378</v>
      </c>
      <c r="AF341" s="4">
        <f t="shared" si="234"/>
        <v>0.65145592958786691</v>
      </c>
      <c r="AG341" s="4">
        <f t="shared" si="234"/>
        <v>0.56032247880849573</v>
      </c>
      <c r="AH341" s="4">
        <f t="shared" si="234"/>
        <v>0.46411326873185343</v>
      </c>
      <c r="AI341" s="4">
        <f t="shared" si="234"/>
        <v>0.36979727595523937</v>
      </c>
      <c r="AJ341" s="4">
        <f t="shared" si="234"/>
        <v>0.28393948637231203</v>
      </c>
      <c r="AK341" s="4">
        <f t="shared" si="234"/>
        <v>0.21097259161117732</v>
      </c>
      <c r="AL341" s="4">
        <f t="shared" si="234"/>
        <v>0.15253917653798199</v>
      </c>
      <c r="AM341" s="4">
        <f t="shared" si="234"/>
        <v>0.10795188737709993</v>
      </c>
      <c r="AN341" s="4">
        <f t="shared" si="234"/>
        <v>7.5176653938091809E-2</v>
      </c>
      <c r="AO341" s="4">
        <f t="shared" si="234"/>
        <v>5.1742836177502194E-2</v>
      </c>
      <c r="AP341" s="4">
        <f t="shared" si="234"/>
        <v>3.5319190625345942E-2</v>
      </c>
      <c r="AQ341" s="4">
        <f t="shared" si="234"/>
        <v>2.3969442072658165E-2</v>
      </c>
      <c r="AR341" s="4">
        <f t="shared" si="234"/>
        <v>1.6202243558389728E-2</v>
      </c>
    </row>
    <row r="342" spans="1:44" x14ac:dyDescent="0.25">
      <c r="A342" s="24" t="s">
        <v>59</v>
      </c>
      <c r="B342" s="60">
        <f>'Parameter Input'!$L$185</f>
        <v>589</v>
      </c>
      <c r="C342" s="61">
        <f>'Parameter Input'!$M$185</f>
        <v>519</v>
      </c>
      <c r="D342" s="1" t="s">
        <v>60</v>
      </c>
      <c r="L342" s="54">
        <f>'Parameter Input'!$O$185</f>
        <v>17</v>
      </c>
      <c r="M342" s="37">
        <v>0</v>
      </c>
      <c r="N342" s="37">
        <v>1</v>
      </c>
      <c r="O342" s="37">
        <f>'Parameter Input'!$P$185</f>
        <v>0.9</v>
      </c>
      <c r="P342" s="55">
        <f>'Parameter Input'!$Q$185</f>
        <v>0.4</v>
      </c>
      <c r="Q342" s="4">
        <f t="shared" si="234"/>
        <v>0.99780374543478534</v>
      </c>
      <c r="R342" s="4">
        <f t="shared" si="234"/>
        <v>0.99685359315256394</v>
      </c>
      <c r="S342" s="4">
        <f t="shared" si="234"/>
        <v>0.99549347132349975</v>
      </c>
      <c r="T342" s="4">
        <f t="shared" si="234"/>
        <v>0.99354772139898062</v>
      </c>
      <c r="U342" s="4">
        <f t="shared" si="234"/>
        <v>0.99076681540580536</v>
      </c>
      <c r="V342" s="4">
        <f t="shared" si="234"/>
        <v>0.9867978615748374</v>
      </c>
      <c r="W342" s="4">
        <f t="shared" si="234"/>
        <v>0.98114509762858249</v>
      </c>
      <c r="X342" s="4">
        <f t="shared" si="234"/>
        <v>0.97311898315872036</v>
      </c>
      <c r="Y342" s="4">
        <f t="shared" si="234"/>
        <v>0.96177484161592774</v>
      </c>
      <c r="Z342" s="4">
        <f t="shared" si="234"/>
        <v>0.94584787155511363</v>
      </c>
      <c r="AA342" s="4">
        <f t="shared" si="234"/>
        <v>0.92370360150141495</v>
      </c>
      <c r="AB342" s="4">
        <f t="shared" si="234"/>
        <v>0.89334463567658451</v>
      </c>
      <c r="AC342" s="4">
        <f t="shared" si="234"/>
        <v>0.85254543874327005</v>
      </c>
      <c r="AD342" s="4">
        <f t="shared" si="234"/>
        <v>0.79921300652623883</v>
      </c>
      <c r="AE342" s="4">
        <f t="shared" si="234"/>
        <v>0.73204982249993378</v>
      </c>
      <c r="AF342" s="4">
        <f t="shared" si="234"/>
        <v>0.65145592958786691</v>
      </c>
      <c r="AG342" s="4">
        <f t="shared" si="234"/>
        <v>0.56032247880849573</v>
      </c>
      <c r="AH342" s="4">
        <f t="shared" si="234"/>
        <v>0.46411326873185343</v>
      </c>
      <c r="AI342" s="4">
        <f t="shared" si="234"/>
        <v>0.36979727595523937</v>
      </c>
      <c r="AJ342" s="4">
        <f t="shared" si="234"/>
        <v>0.28393948637231203</v>
      </c>
      <c r="AK342" s="4">
        <f t="shared" si="234"/>
        <v>0.21097259161117732</v>
      </c>
      <c r="AL342" s="4">
        <f t="shared" si="234"/>
        <v>0.15253917653798199</v>
      </c>
      <c r="AM342" s="4">
        <f t="shared" si="234"/>
        <v>0.10795188737709993</v>
      </c>
      <c r="AN342" s="4">
        <f t="shared" si="234"/>
        <v>7.5176653938091809E-2</v>
      </c>
      <c r="AO342" s="4">
        <f t="shared" si="234"/>
        <v>5.1742836177502194E-2</v>
      </c>
      <c r="AP342" s="4">
        <f t="shared" si="234"/>
        <v>3.5319190625345942E-2</v>
      </c>
      <c r="AQ342" s="4">
        <f t="shared" si="234"/>
        <v>2.3969442072658165E-2</v>
      </c>
      <c r="AR342" s="4">
        <f t="shared" si="234"/>
        <v>1.6202243558389728E-2</v>
      </c>
    </row>
    <row r="343" spans="1:44" x14ac:dyDescent="0.25">
      <c r="A343" s="24" t="s">
        <v>67</v>
      </c>
      <c r="B343" s="78">
        <f>'Parameter Input'!$L$186</f>
        <v>0.2544561408768215</v>
      </c>
      <c r="C343" s="61">
        <f>'Parameter Input'!$M$186</f>
        <v>0.10949010032952979</v>
      </c>
      <c r="D343" s="1" t="s">
        <v>68</v>
      </c>
      <c r="L343" s="54">
        <f>'Parameter Input'!$O$186</f>
        <v>12</v>
      </c>
      <c r="M343" s="37">
        <v>0</v>
      </c>
      <c r="N343" s="37">
        <v>1</v>
      </c>
      <c r="O343" s="37">
        <f>'Parameter Input'!$P$186</f>
        <v>0.9</v>
      </c>
      <c r="P343" s="55">
        <f>'Parameter Input'!$Q$186</f>
        <v>0.4</v>
      </c>
      <c r="Q343" s="4">
        <f t="shared" si="234"/>
        <v>0.9867978615748374</v>
      </c>
      <c r="R343" s="4">
        <f t="shared" si="234"/>
        <v>0.98114509762858249</v>
      </c>
      <c r="S343" s="4">
        <f t="shared" si="234"/>
        <v>0.97311898315872036</v>
      </c>
      <c r="T343" s="4">
        <f t="shared" ref="T343:AI350" si="235">$N343+($M343-$N343)*((1/(1+EXP(-$P343*(T$9-$L343)))^$O343))</f>
        <v>0.96177484161592774</v>
      </c>
      <c r="U343" s="4">
        <f t="shared" si="235"/>
        <v>0.94584787155511363</v>
      </c>
      <c r="V343" s="4">
        <f t="shared" si="235"/>
        <v>0.92370360150141495</v>
      </c>
      <c r="W343" s="4">
        <f t="shared" si="235"/>
        <v>0.89334463567658451</v>
      </c>
      <c r="X343" s="4">
        <f t="shared" si="235"/>
        <v>0.85254543874327005</v>
      </c>
      <c r="Y343" s="4">
        <f t="shared" si="235"/>
        <v>0.79921300652623883</v>
      </c>
      <c r="Z343" s="4">
        <f t="shared" si="235"/>
        <v>0.73204982249993378</v>
      </c>
      <c r="AA343" s="4">
        <f t="shared" si="235"/>
        <v>0.65145592958786691</v>
      </c>
      <c r="AB343" s="4">
        <f t="shared" si="235"/>
        <v>0.56032247880849573</v>
      </c>
      <c r="AC343" s="4">
        <f t="shared" si="235"/>
        <v>0.46411326873185343</v>
      </c>
      <c r="AD343" s="4">
        <f t="shared" si="235"/>
        <v>0.36979727595523937</v>
      </c>
      <c r="AE343" s="4">
        <f t="shared" si="235"/>
        <v>0.28393948637231203</v>
      </c>
      <c r="AF343" s="4">
        <f t="shared" si="235"/>
        <v>0.21097259161117732</v>
      </c>
      <c r="AG343" s="4">
        <f t="shared" si="235"/>
        <v>0.15253917653798199</v>
      </c>
      <c r="AH343" s="4">
        <f t="shared" si="235"/>
        <v>0.10795188737709993</v>
      </c>
      <c r="AI343" s="4">
        <f t="shared" si="235"/>
        <v>7.5176653938091809E-2</v>
      </c>
      <c r="AJ343" s="4">
        <f t="shared" ref="AJ343:AR350" si="236">$N343+($M343-$N343)*((1/(1+EXP(-$P343*(AJ$9-$L343)))^$O343))</f>
        <v>5.1742836177502194E-2</v>
      </c>
      <c r="AK343" s="4">
        <f t="shared" si="236"/>
        <v>3.5319190625345942E-2</v>
      </c>
      <c r="AL343" s="4">
        <f t="shared" si="236"/>
        <v>2.3969442072658165E-2</v>
      </c>
      <c r="AM343" s="4">
        <f t="shared" si="236"/>
        <v>1.6202243558389728E-2</v>
      </c>
      <c r="AN343" s="4">
        <f t="shared" si="236"/>
        <v>1.0922240564108399E-2</v>
      </c>
      <c r="AO343" s="4">
        <f t="shared" si="236"/>
        <v>7.3493212906090566E-3</v>
      </c>
      <c r="AP343" s="4">
        <f t="shared" si="236"/>
        <v>4.9390262185057265E-3</v>
      </c>
      <c r="AQ343" s="4">
        <f t="shared" si="236"/>
        <v>3.3164275492956197E-3</v>
      </c>
      <c r="AR343" s="4">
        <f t="shared" si="236"/>
        <v>2.2256362146679809E-3</v>
      </c>
    </row>
    <row r="344" spans="1:44" x14ac:dyDescent="0.25">
      <c r="A344" s="24" t="s">
        <v>206</v>
      </c>
      <c r="B344" s="115">
        <f>'Parameter Input'!$L$189</f>
        <v>2.4449056603773585</v>
      </c>
      <c r="C344" s="116">
        <f>'Parameter Input'!$M$189</f>
        <v>0</v>
      </c>
      <c r="D344" s="1" t="s">
        <v>76</v>
      </c>
      <c r="L344" s="54">
        <f>'Parameter Input'!$O$189</f>
        <v>17</v>
      </c>
      <c r="M344" s="37">
        <v>0</v>
      </c>
      <c r="N344" s="37">
        <v>1</v>
      </c>
      <c r="O344" s="37">
        <f>'Parameter Input'!$P$189</f>
        <v>0.9</v>
      </c>
      <c r="P344" s="55">
        <f>'Parameter Input'!$Q$189</f>
        <v>0.4</v>
      </c>
      <c r="Q344" s="4">
        <f t="shared" ref="Q344:AR344" si="237">$N344+($M344-$N344)*((1/(1+EXP(-$P344*(Q$9-$L344)))^$O344))</f>
        <v>0.99780374543478534</v>
      </c>
      <c r="R344" s="4">
        <f t="shared" si="237"/>
        <v>0.99685359315256394</v>
      </c>
      <c r="S344" s="4">
        <f t="shared" si="237"/>
        <v>0.99549347132349975</v>
      </c>
      <c r="T344" s="4">
        <f t="shared" si="237"/>
        <v>0.99354772139898062</v>
      </c>
      <c r="U344" s="4">
        <f t="shared" si="237"/>
        <v>0.99076681540580536</v>
      </c>
      <c r="V344" s="4">
        <f t="shared" si="237"/>
        <v>0.9867978615748374</v>
      </c>
      <c r="W344" s="4">
        <f t="shared" si="237"/>
        <v>0.98114509762858249</v>
      </c>
      <c r="X344" s="4">
        <f t="shared" si="237"/>
        <v>0.97311898315872036</v>
      </c>
      <c r="Y344" s="4">
        <f t="shared" si="237"/>
        <v>0.96177484161592774</v>
      </c>
      <c r="Z344" s="4">
        <f t="shared" si="237"/>
        <v>0.94584787155511363</v>
      </c>
      <c r="AA344" s="4">
        <f t="shared" si="237"/>
        <v>0.92370360150141495</v>
      </c>
      <c r="AB344" s="4">
        <f t="shared" si="237"/>
        <v>0.89334463567658451</v>
      </c>
      <c r="AC344" s="4">
        <f t="shared" si="237"/>
        <v>0.85254543874327005</v>
      </c>
      <c r="AD344" s="4">
        <f t="shared" si="237"/>
        <v>0.79921300652623883</v>
      </c>
      <c r="AE344" s="4">
        <f t="shared" si="237"/>
        <v>0.73204982249993378</v>
      </c>
      <c r="AF344" s="4">
        <f t="shared" si="237"/>
        <v>0.65145592958786691</v>
      </c>
      <c r="AG344" s="4">
        <f t="shared" si="237"/>
        <v>0.56032247880849573</v>
      </c>
      <c r="AH344" s="4">
        <f t="shared" si="237"/>
        <v>0.46411326873185343</v>
      </c>
      <c r="AI344" s="4">
        <f t="shared" si="237"/>
        <v>0.36979727595523937</v>
      </c>
      <c r="AJ344" s="4">
        <f t="shared" si="237"/>
        <v>0.28393948637231203</v>
      </c>
      <c r="AK344" s="4">
        <f t="shared" si="237"/>
        <v>0.21097259161117732</v>
      </c>
      <c r="AL344" s="4">
        <f t="shared" si="237"/>
        <v>0.15253917653798199</v>
      </c>
      <c r="AM344" s="4">
        <f t="shared" si="237"/>
        <v>0.10795188737709993</v>
      </c>
      <c r="AN344" s="4">
        <f t="shared" si="237"/>
        <v>7.5176653938091809E-2</v>
      </c>
      <c r="AO344" s="4">
        <f t="shared" si="237"/>
        <v>5.1742836177502194E-2</v>
      </c>
      <c r="AP344" s="4">
        <f t="shared" si="237"/>
        <v>3.5319190625345942E-2</v>
      </c>
      <c r="AQ344" s="4">
        <f t="shared" si="237"/>
        <v>2.3969442072658165E-2</v>
      </c>
      <c r="AR344" s="4">
        <f t="shared" si="237"/>
        <v>1.6202243558389728E-2</v>
      </c>
    </row>
    <row r="345" spans="1:44" x14ac:dyDescent="0.25">
      <c r="A345" s="24" t="s">
        <v>41</v>
      </c>
      <c r="B345" s="60">
        <f>'Parameter Input'!$L$183</f>
        <v>25</v>
      </c>
      <c r="C345" s="61">
        <f>'Parameter Input'!$M$183</f>
        <v>25</v>
      </c>
      <c r="D345" s="1" t="s">
        <v>42</v>
      </c>
      <c r="L345" s="54">
        <f>'Parameter Input'!$O$183</f>
        <v>17</v>
      </c>
      <c r="M345" s="37">
        <v>0</v>
      </c>
      <c r="N345" s="37">
        <v>1</v>
      </c>
      <c r="O345" s="37">
        <f>'Parameter Input'!$P$183</f>
        <v>0.9</v>
      </c>
      <c r="P345" s="55">
        <f>'Parameter Input'!$Q$183</f>
        <v>0.4</v>
      </c>
      <c r="Q345" s="4">
        <f t="shared" ref="Q345:AF350" si="238">$N345+($M345-$N345)*((1/(1+EXP(-$P345*(Q$9-$L345)))^$O345))</f>
        <v>0.99780374543478534</v>
      </c>
      <c r="R345" s="4">
        <f t="shared" si="238"/>
        <v>0.99685359315256394</v>
      </c>
      <c r="S345" s="4">
        <f t="shared" si="238"/>
        <v>0.99549347132349975</v>
      </c>
      <c r="T345" s="4">
        <f t="shared" si="238"/>
        <v>0.99354772139898062</v>
      </c>
      <c r="U345" s="4">
        <f t="shared" si="238"/>
        <v>0.99076681540580536</v>
      </c>
      <c r="V345" s="4">
        <f t="shared" si="238"/>
        <v>0.9867978615748374</v>
      </c>
      <c r="W345" s="4">
        <f t="shared" si="238"/>
        <v>0.98114509762858249</v>
      </c>
      <c r="X345" s="4">
        <f t="shared" si="238"/>
        <v>0.97311898315872036</v>
      </c>
      <c r="Y345" s="4">
        <f t="shared" si="238"/>
        <v>0.96177484161592774</v>
      </c>
      <c r="Z345" s="4">
        <f t="shared" si="238"/>
        <v>0.94584787155511363</v>
      </c>
      <c r="AA345" s="4">
        <f t="shared" si="238"/>
        <v>0.92370360150141495</v>
      </c>
      <c r="AB345" s="4">
        <f t="shared" si="238"/>
        <v>0.89334463567658451</v>
      </c>
      <c r="AC345" s="4">
        <f t="shared" si="238"/>
        <v>0.85254543874327005</v>
      </c>
      <c r="AD345" s="4">
        <f t="shared" si="238"/>
        <v>0.79921300652623883</v>
      </c>
      <c r="AE345" s="4">
        <f t="shared" si="238"/>
        <v>0.73204982249993378</v>
      </c>
      <c r="AF345" s="4">
        <f t="shared" si="238"/>
        <v>0.65145592958786691</v>
      </c>
      <c r="AG345" s="4">
        <f t="shared" si="235"/>
        <v>0.56032247880849573</v>
      </c>
      <c r="AH345" s="4">
        <f t="shared" si="235"/>
        <v>0.46411326873185343</v>
      </c>
      <c r="AI345" s="4">
        <f t="shared" si="235"/>
        <v>0.36979727595523937</v>
      </c>
      <c r="AJ345" s="4">
        <f t="shared" si="236"/>
        <v>0.28393948637231203</v>
      </c>
      <c r="AK345" s="4">
        <f t="shared" si="236"/>
        <v>0.21097259161117732</v>
      </c>
      <c r="AL345" s="4">
        <f t="shared" si="236"/>
        <v>0.15253917653798199</v>
      </c>
      <c r="AM345" s="4">
        <f t="shared" si="236"/>
        <v>0.10795188737709993</v>
      </c>
      <c r="AN345" s="4">
        <f t="shared" si="236"/>
        <v>7.5176653938091809E-2</v>
      </c>
      <c r="AO345" s="4">
        <f t="shared" si="236"/>
        <v>5.1742836177502194E-2</v>
      </c>
      <c r="AP345" s="4">
        <f t="shared" si="236"/>
        <v>3.5319190625345942E-2</v>
      </c>
      <c r="AQ345" s="4">
        <f t="shared" si="236"/>
        <v>2.3969442072658165E-2</v>
      </c>
      <c r="AR345" s="4">
        <f t="shared" si="236"/>
        <v>1.6202243558389728E-2</v>
      </c>
    </row>
    <row r="346" spans="1:44" x14ac:dyDescent="0.25">
      <c r="A346" s="24" t="s">
        <v>70</v>
      </c>
      <c r="B346" s="60">
        <f>'Parameter Input'!B199</f>
        <v>25</v>
      </c>
      <c r="C346" s="61">
        <f>'Parameter Input'!C199</f>
        <v>25</v>
      </c>
      <c r="D346" s="1" t="s">
        <v>42</v>
      </c>
      <c r="L346" s="54">
        <f>'Parameter Input'!E199</f>
        <v>17</v>
      </c>
      <c r="M346" s="37">
        <v>0</v>
      </c>
      <c r="N346" s="37">
        <v>1</v>
      </c>
      <c r="O346" s="37">
        <f>'Parameter Input'!F199</f>
        <v>0.9</v>
      </c>
      <c r="P346" s="55">
        <f>'Parameter Input'!G199</f>
        <v>0.4</v>
      </c>
      <c r="Q346" s="4">
        <f t="shared" si="238"/>
        <v>0.99780374543478534</v>
      </c>
      <c r="R346" s="4">
        <f t="shared" si="238"/>
        <v>0.99685359315256394</v>
      </c>
      <c r="S346" s="4">
        <f t="shared" si="238"/>
        <v>0.99549347132349975</v>
      </c>
      <c r="T346" s="4">
        <f t="shared" si="238"/>
        <v>0.99354772139898062</v>
      </c>
      <c r="U346" s="4">
        <f t="shared" si="238"/>
        <v>0.99076681540580536</v>
      </c>
      <c r="V346" s="4">
        <f t="shared" si="238"/>
        <v>0.9867978615748374</v>
      </c>
      <c r="W346" s="4">
        <f t="shared" si="238"/>
        <v>0.98114509762858249</v>
      </c>
      <c r="X346" s="4">
        <f t="shared" si="238"/>
        <v>0.97311898315872036</v>
      </c>
      <c r="Y346" s="4">
        <f t="shared" si="238"/>
        <v>0.96177484161592774</v>
      </c>
      <c r="Z346" s="4">
        <f t="shared" si="238"/>
        <v>0.94584787155511363</v>
      </c>
      <c r="AA346" s="4">
        <f t="shared" si="238"/>
        <v>0.92370360150141495</v>
      </c>
      <c r="AB346" s="4">
        <f t="shared" si="238"/>
        <v>0.89334463567658451</v>
      </c>
      <c r="AC346" s="4">
        <f t="shared" si="238"/>
        <v>0.85254543874327005</v>
      </c>
      <c r="AD346" s="4">
        <f t="shared" si="238"/>
        <v>0.79921300652623883</v>
      </c>
      <c r="AE346" s="4">
        <f t="shared" si="238"/>
        <v>0.73204982249993378</v>
      </c>
      <c r="AF346" s="4">
        <f t="shared" si="238"/>
        <v>0.65145592958786691</v>
      </c>
      <c r="AG346" s="4">
        <f t="shared" si="235"/>
        <v>0.56032247880849573</v>
      </c>
      <c r="AH346" s="4">
        <f t="shared" si="235"/>
        <v>0.46411326873185343</v>
      </c>
      <c r="AI346" s="4">
        <f t="shared" si="235"/>
        <v>0.36979727595523937</v>
      </c>
      <c r="AJ346" s="4">
        <f t="shared" si="236"/>
        <v>0.28393948637231203</v>
      </c>
      <c r="AK346" s="4">
        <f t="shared" si="236"/>
        <v>0.21097259161117732</v>
      </c>
      <c r="AL346" s="4">
        <f t="shared" si="236"/>
        <v>0.15253917653798199</v>
      </c>
      <c r="AM346" s="4">
        <f t="shared" si="236"/>
        <v>0.10795188737709993</v>
      </c>
      <c r="AN346" s="4">
        <f t="shared" si="236"/>
        <v>7.5176653938091809E-2</v>
      </c>
      <c r="AO346" s="4">
        <f t="shared" si="236"/>
        <v>5.1742836177502194E-2</v>
      </c>
      <c r="AP346" s="4">
        <f t="shared" si="236"/>
        <v>3.5319190625345942E-2</v>
      </c>
      <c r="AQ346" s="4">
        <f t="shared" si="236"/>
        <v>2.3969442072658165E-2</v>
      </c>
      <c r="AR346" s="4">
        <f t="shared" si="236"/>
        <v>1.6202243558389728E-2</v>
      </c>
    </row>
    <row r="347" spans="1:44" x14ac:dyDescent="0.25">
      <c r="A347" s="24" t="s">
        <v>207</v>
      </c>
      <c r="B347" s="43">
        <f>'Parameter Input'!B196</f>
        <v>9450</v>
      </c>
      <c r="C347" s="44">
        <f>'Parameter Input'!C196</f>
        <v>9450</v>
      </c>
      <c r="D347" s="1" t="s">
        <v>49</v>
      </c>
      <c r="L347" s="54">
        <f>'Parameter Input'!E196</f>
        <v>17</v>
      </c>
      <c r="M347" s="37">
        <v>0</v>
      </c>
      <c r="N347" s="37">
        <v>1</v>
      </c>
      <c r="O347" s="37">
        <f>'Parameter Input'!F196</f>
        <v>0.9</v>
      </c>
      <c r="P347" s="55">
        <f>'Parameter Input'!G196</f>
        <v>0.4</v>
      </c>
      <c r="Q347" s="4">
        <f t="shared" si="238"/>
        <v>0.99780374543478534</v>
      </c>
      <c r="R347" s="4">
        <f t="shared" si="238"/>
        <v>0.99685359315256394</v>
      </c>
      <c r="S347" s="4">
        <f t="shared" si="238"/>
        <v>0.99549347132349975</v>
      </c>
      <c r="T347" s="4">
        <f t="shared" si="238"/>
        <v>0.99354772139898062</v>
      </c>
      <c r="U347" s="4">
        <f t="shared" si="238"/>
        <v>0.99076681540580536</v>
      </c>
      <c r="V347" s="4">
        <f t="shared" si="238"/>
        <v>0.9867978615748374</v>
      </c>
      <c r="W347" s="4">
        <f t="shared" si="238"/>
        <v>0.98114509762858249</v>
      </c>
      <c r="X347" s="4">
        <f t="shared" si="238"/>
        <v>0.97311898315872036</v>
      </c>
      <c r="Y347" s="4">
        <f t="shared" si="238"/>
        <v>0.96177484161592774</v>
      </c>
      <c r="Z347" s="4">
        <f t="shared" si="238"/>
        <v>0.94584787155511363</v>
      </c>
      <c r="AA347" s="4">
        <f t="shared" si="238"/>
        <v>0.92370360150141495</v>
      </c>
      <c r="AB347" s="4">
        <f t="shared" si="238"/>
        <v>0.89334463567658451</v>
      </c>
      <c r="AC347" s="4">
        <f t="shared" si="238"/>
        <v>0.85254543874327005</v>
      </c>
      <c r="AD347" s="4">
        <f t="shared" si="238"/>
        <v>0.79921300652623883</v>
      </c>
      <c r="AE347" s="4">
        <f t="shared" si="238"/>
        <v>0.73204982249993378</v>
      </c>
      <c r="AF347" s="4">
        <f t="shared" si="238"/>
        <v>0.65145592958786691</v>
      </c>
      <c r="AG347" s="4">
        <f t="shared" si="235"/>
        <v>0.56032247880849573</v>
      </c>
      <c r="AH347" s="4">
        <f t="shared" si="235"/>
        <v>0.46411326873185343</v>
      </c>
      <c r="AI347" s="4">
        <f t="shared" si="235"/>
        <v>0.36979727595523937</v>
      </c>
      <c r="AJ347" s="4">
        <f t="shared" si="236"/>
        <v>0.28393948637231203</v>
      </c>
      <c r="AK347" s="4">
        <f t="shared" si="236"/>
        <v>0.21097259161117732</v>
      </c>
      <c r="AL347" s="4">
        <f t="shared" si="236"/>
        <v>0.15253917653798199</v>
      </c>
      <c r="AM347" s="4">
        <f t="shared" si="236"/>
        <v>0.10795188737709993</v>
      </c>
      <c r="AN347" s="4">
        <f t="shared" si="236"/>
        <v>7.5176653938091809E-2</v>
      </c>
      <c r="AO347" s="4">
        <f t="shared" si="236"/>
        <v>5.1742836177502194E-2</v>
      </c>
      <c r="AP347" s="4">
        <f t="shared" si="236"/>
        <v>3.5319190625345942E-2</v>
      </c>
      <c r="AQ347" s="4">
        <f t="shared" si="236"/>
        <v>2.3969442072658165E-2</v>
      </c>
      <c r="AR347" s="4">
        <f t="shared" si="236"/>
        <v>1.6202243558389728E-2</v>
      </c>
    </row>
    <row r="348" spans="1:44" x14ac:dyDescent="0.25">
      <c r="A348" s="24" t="s">
        <v>56</v>
      </c>
      <c r="B348" s="45">
        <f>'Parameter Input'!B197</f>
        <v>0.68</v>
      </c>
      <c r="C348" s="46">
        <f>'Parameter Input'!C197</f>
        <v>0.68</v>
      </c>
      <c r="D348" s="1" t="s">
        <v>57</v>
      </c>
      <c r="L348" s="54">
        <f>'Parameter Input'!E197</f>
        <v>17</v>
      </c>
      <c r="M348" s="37">
        <v>0</v>
      </c>
      <c r="N348" s="37">
        <v>1</v>
      </c>
      <c r="O348" s="37">
        <f>'Parameter Input'!F197</f>
        <v>0.9</v>
      </c>
      <c r="P348" s="55">
        <f>'Parameter Input'!G197</f>
        <v>0.4</v>
      </c>
      <c r="Q348" s="4">
        <f t="shared" si="238"/>
        <v>0.99780374543478534</v>
      </c>
      <c r="R348" s="4">
        <f t="shared" si="238"/>
        <v>0.99685359315256394</v>
      </c>
      <c r="S348" s="4">
        <f t="shared" si="238"/>
        <v>0.99549347132349975</v>
      </c>
      <c r="T348" s="4">
        <f t="shared" si="238"/>
        <v>0.99354772139898062</v>
      </c>
      <c r="U348" s="4">
        <f t="shared" si="238"/>
        <v>0.99076681540580536</v>
      </c>
      <c r="V348" s="4">
        <f t="shared" si="238"/>
        <v>0.9867978615748374</v>
      </c>
      <c r="W348" s="4">
        <f t="shared" si="238"/>
        <v>0.98114509762858249</v>
      </c>
      <c r="X348" s="4">
        <f t="shared" si="238"/>
        <v>0.97311898315872036</v>
      </c>
      <c r="Y348" s="4">
        <f t="shared" si="238"/>
        <v>0.96177484161592774</v>
      </c>
      <c r="Z348" s="4">
        <f t="shared" si="238"/>
        <v>0.94584787155511363</v>
      </c>
      <c r="AA348" s="4">
        <f t="shared" si="238"/>
        <v>0.92370360150141495</v>
      </c>
      <c r="AB348" s="4">
        <f t="shared" si="238"/>
        <v>0.89334463567658451</v>
      </c>
      <c r="AC348" s="4">
        <f t="shared" si="238"/>
        <v>0.85254543874327005</v>
      </c>
      <c r="AD348" s="4">
        <f t="shared" si="238"/>
        <v>0.79921300652623883</v>
      </c>
      <c r="AE348" s="4">
        <f t="shared" si="238"/>
        <v>0.73204982249993378</v>
      </c>
      <c r="AF348" s="4">
        <f t="shared" si="238"/>
        <v>0.65145592958786691</v>
      </c>
      <c r="AG348" s="4">
        <f t="shared" si="235"/>
        <v>0.56032247880849573</v>
      </c>
      <c r="AH348" s="4">
        <f t="shared" si="235"/>
        <v>0.46411326873185343</v>
      </c>
      <c r="AI348" s="4">
        <f t="shared" si="235"/>
        <v>0.36979727595523937</v>
      </c>
      <c r="AJ348" s="4">
        <f t="shared" si="236"/>
        <v>0.28393948637231203</v>
      </c>
      <c r="AK348" s="4">
        <f t="shared" si="236"/>
        <v>0.21097259161117732</v>
      </c>
      <c r="AL348" s="4">
        <f t="shared" si="236"/>
        <v>0.15253917653798199</v>
      </c>
      <c r="AM348" s="4">
        <f t="shared" si="236"/>
        <v>0.10795188737709993</v>
      </c>
      <c r="AN348" s="4">
        <f t="shared" si="236"/>
        <v>7.5176653938091809E-2</v>
      </c>
      <c r="AO348" s="4">
        <f t="shared" si="236"/>
        <v>5.1742836177502194E-2</v>
      </c>
      <c r="AP348" s="4">
        <f t="shared" si="236"/>
        <v>3.5319190625345942E-2</v>
      </c>
      <c r="AQ348" s="4">
        <f t="shared" si="236"/>
        <v>2.3969442072658165E-2</v>
      </c>
      <c r="AR348" s="4">
        <f t="shared" si="236"/>
        <v>1.6202243558389728E-2</v>
      </c>
    </row>
    <row r="349" spans="1:44" x14ac:dyDescent="0.25">
      <c r="A349" s="24" t="s">
        <v>73</v>
      </c>
      <c r="B349" s="45">
        <f>'Parameter Input'!$L$187</f>
        <v>0.1</v>
      </c>
      <c r="C349" s="46">
        <f>'Parameter Input'!$M$187</f>
        <v>0.08</v>
      </c>
      <c r="D349" s="1" t="s">
        <v>57</v>
      </c>
      <c r="L349" s="54">
        <f>'Parameter Input'!$O$187</f>
        <v>17</v>
      </c>
      <c r="M349" s="37">
        <v>0</v>
      </c>
      <c r="N349" s="37">
        <v>1</v>
      </c>
      <c r="O349" s="37">
        <f>'Parameter Input'!$P$187</f>
        <v>0.9</v>
      </c>
      <c r="P349" s="55">
        <f>'Parameter Input'!$Q$187</f>
        <v>0.4</v>
      </c>
      <c r="Q349" s="4">
        <f t="shared" si="238"/>
        <v>0.99780374543478534</v>
      </c>
      <c r="R349" s="4">
        <f t="shared" si="238"/>
        <v>0.99685359315256394</v>
      </c>
      <c r="S349" s="4">
        <f t="shared" si="238"/>
        <v>0.99549347132349975</v>
      </c>
      <c r="T349" s="4">
        <f t="shared" si="238"/>
        <v>0.99354772139898062</v>
      </c>
      <c r="U349" s="4">
        <f t="shared" si="238"/>
        <v>0.99076681540580536</v>
      </c>
      <c r="V349" s="4">
        <f t="shared" si="238"/>
        <v>0.9867978615748374</v>
      </c>
      <c r="W349" s="4">
        <f t="shared" si="238"/>
        <v>0.98114509762858249</v>
      </c>
      <c r="X349" s="4">
        <f t="shared" si="238"/>
        <v>0.97311898315872036</v>
      </c>
      <c r="Y349" s="4">
        <f t="shared" si="238"/>
        <v>0.96177484161592774</v>
      </c>
      <c r="Z349" s="4">
        <f t="shared" si="238"/>
        <v>0.94584787155511363</v>
      </c>
      <c r="AA349" s="4">
        <f t="shared" si="238"/>
        <v>0.92370360150141495</v>
      </c>
      <c r="AB349" s="4">
        <f t="shared" si="238"/>
        <v>0.89334463567658451</v>
      </c>
      <c r="AC349" s="4">
        <f t="shared" si="238"/>
        <v>0.85254543874327005</v>
      </c>
      <c r="AD349" s="4">
        <f t="shared" si="238"/>
        <v>0.79921300652623883</v>
      </c>
      <c r="AE349" s="4">
        <f t="shared" si="238"/>
        <v>0.73204982249993378</v>
      </c>
      <c r="AF349" s="4">
        <f t="shared" si="238"/>
        <v>0.65145592958786691</v>
      </c>
      <c r="AG349" s="4">
        <f t="shared" si="235"/>
        <v>0.56032247880849573</v>
      </c>
      <c r="AH349" s="4">
        <f t="shared" si="235"/>
        <v>0.46411326873185343</v>
      </c>
      <c r="AI349" s="4">
        <f t="shared" si="235"/>
        <v>0.36979727595523937</v>
      </c>
      <c r="AJ349" s="4">
        <f t="shared" si="236"/>
        <v>0.28393948637231203</v>
      </c>
      <c r="AK349" s="4">
        <f t="shared" si="236"/>
        <v>0.21097259161117732</v>
      </c>
      <c r="AL349" s="4">
        <f t="shared" si="236"/>
        <v>0.15253917653798199</v>
      </c>
      <c r="AM349" s="4">
        <f t="shared" si="236"/>
        <v>0.10795188737709993</v>
      </c>
      <c r="AN349" s="4">
        <f t="shared" si="236"/>
        <v>7.5176653938091809E-2</v>
      </c>
      <c r="AO349" s="4">
        <f t="shared" si="236"/>
        <v>5.1742836177502194E-2</v>
      </c>
      <c r="AP349" s="4">
        <f t="shared" si="236"/>
        <v>3.5319190625345942E-2</v>
      </c>
      <c r="AQ349" s="4">
        <f t="shared" si="236"/>
        <v>2.3969442072658165E-2</v>
      </c>
      <c r="AR349" s="4">
        <f t="shared" si="236"/>
        <v>1.6202243558389728E-2</v>
      </c>
    </row>
    <row r="350" spans="1:44" ht="15.75" thickBot="1" x14ac:dyDescent="0.3">
      <c r="A350" s="24" t="s">
        <v>64</v>
      </c>
      <c r="B350" s="49">
        <f>'Parameter Input'!B198</f>
        <v>120000</v>
      </c>
      <c r="C350" s="50">
        <f>'Parameter Input'!C198</f>
        <v>120000</v>
      </c>
      <c r="D350" s="1" t="s">
        <v>65</v>
      </c>
      <c r="L350" s="56">
        <f>'Parameter Input'!E198</f>
        <v>17</v>
      </c>
      <c r="M350" s="57">
        <v>0</v>
      </c>
      <c r="N350" s="57">
        <v>1</v>
      </c>
      <c r="O350" s="57">
        <f>'Parameter Input'!F198</f>
        <v>0.9</v>
      </c>
      <c r="P350" s="58">
        <f>'Parameter Input'!G198</f>
        <v>0.4</v>
      </c>
      <c r="Q350" s="4">
        <f t="shared" si="238"/>
        <v>0.99780374543478534</v>
      </c>
      <c r="R350" s="4">
        <f t="shared" si="238"/>
        <v>0.99685359315256394</v>
      </c>
      <c r="S350" s="4">
        <f t="shared" si="238"/>
        <v>0.99549347132349975</v>
      </c>
      <c r="T350" s="4">
        <f t="shared" si="238"/>
        <v>0.99354772139898062</v>
      </c>
      <c r="U350" s="4">
        <f t="shared" si="238"/>
        <v>0.99076681540580536</v>
      </c>
      <c r="V350" s="4">
        <f t="shared" si="238"/>
        <v>0.9867978615748374</v>
      </c>
      <c r="W350" s="4">
        <f t="shared" si="238"/>
        <v>0.98114509762858249</v>
      </c>
      <c r="X350" s="4">
        <f t="shared" si="238"/>
        <v>0.97311898315872036</v>
      </c>
      <c r="Y350" s="4">
        <f t="shared" si="238"/>
        <v>0.96177484161592774</v>
      </c>
      <c r="Z350" s="4">
        <f t="shared" si="238"/>
        <v>0.94584787155511363</v>
      </c>
      <c r="AA350" s="4">
        <f t="shared" si="238"/>
        <v>0.92370360150141495</v>
      </c>
      <c r="AB350" s="4">
        <f t="shared" si="238"/>
        <v>0.89334463567658451</v>
      </c>
      <c r="AC350" s="4">
        <f t="shared" si="238"/>
        <v>0.85254543874327005</v>
      </c>
      <c r="AD350" s="4">
        <f t="shared" si="238"/>
        <v>0.79921300652623883</v>
      </c>
      <c r="AE350" s="4">
        <f t="shared" si="238"/>
        <v>0.73204982249993378</v>
      </c>
      <c r="AF350" s="4">
        <f t="shared" si="238"/>
        <v>0.65145592958786691</v>
      </c>
      <c r="AG350" s="4">
        <f t="shared" si="235"/>
        <v>0.56032247880849573</v>
      </c>
      <c r="AH350" s="4">
        <f t="shared" si="235"/>
        <v>0.46411326873185343</v>
      </c>
      <c r="AI350" s="4">
        <f t="shared" si="235"/>
        <v>0.36979727595523937</v>
      </c>
      <c r="AJ350" s="4">
        <f t="shared" si="236"/>
        <v>0.28393948637231203</v>
      </c>
      <c r="AK350" s="4">
        <f t="shared" si="236"/>
        <v>0.21097259161117732</v>
      </c>
      <c r="AL350" s="4">
        <f t="shared" si="236"/>
        <v>0.15253917653798199</v>
      </c>
      <c r="AM350" s="4">
        <f t="shared" si="236"/>
        <v>0.10795188737709993</v>
      </c>
      <c r="AN350" s="4">
        <f t="shared" si="236"/>
        <v>7.5176653938091809E-2</v>
      </c>
      <c r="AO350" s="4">
        <f t="shared" si="236"/>
        <v>5.1742836177502194E-2</v>
      </c>
      <c r="AP350" s="4">
        <f t="shared" si="236"/>
        <v>3.5319190625345942E-2</v>
      </c>
      <c r="AQ350" s="4">
        <f t="shared" si="236"/>
        <v>2.3969442072658165E-2</v>
      </c>
      <c r="AR350" s="4">
        <f t="shared" si="236"/>
        <v>1.6202243558389728E-2</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39">A334</f>
        <v>Capex vehicle</v>
      </c>
      <c r="B354" s="62">
        <f t="shared" ref="B354:B363" si="240">$B334+($C334-$B334)*(1-Q334)</f>
        <v>29976939.327065244</v>
      </c>
      <c r="C354" s="62">
        <f t="shared" ref="C354:C363" si="241">$B334+($C334-$B334)*(1-R334)</f>
        <v>29966962.72810192</v>
      </c>
      <c r="D354" s="62">
        <f t="shared" ref="D354:D363" si="242">$B334+($C334-$B334)*(1-S334)</f>
        <v>29952681.448896747</v>
      </c>
      <c r="E354" s="62">
        <f t="shared" ref="E354:E363" si="243">$B334+($C334-$B334)*(1-T334)</f>
        <v>29932251.074689295</v>
      </c>
      <c r="F354" s="62">
        <f t="shared" ref="F354:F363" si="244">$B334+($C334-$B334)*(1-U334)</f>
        <v>29903051.561760955</v>
      </c>
      <c r="G354" s="62">
        <f t="shared" ref="G354:G363" si="245">$B334+($C334-$B334)*(1-V334)</f>
        <v>29861377.546535794</v>
      </c>
      <c r="H354" s="62">
        <f t="shared" ref="H354:H363" si="246">$B334+($C334-$B334)*(1-W334)</f>
        <v>29802023.525100116</v>
      </c>
      <c r="I354" s="62">
        <f t="shared" ref="I354:I363" si="247">$B334+($C334-$B334)*(1-X334)</f>
        <v>29717749.323166564</v>
      </c>
      <c r="J354" s="62">
        <f t="shared" ref="J354:J363" si="248">$B334+($C334-$B334)*(1-Y334)</f>
        <v>29598635.836967241</v>
      </c>
      <c r="K354" s="62">
        <f t="shared" ref="K354:K363" si="249">$B334+($C334-$B334)*(1-Z334)</f>
        <v>29431402.651328694</v>
      </c>
      <c r="L354" s="62">
        <f t="shared" ref="L354:L363" si="250">$B334+($C334-$B334)*(1-AA334)</f>
        <v>29198887.815764856</v>
      </c>
      <c r="M354" s="62">
        <f t="shared" ref="M354:M363" si="251">$B334+($C334-$B334)*(1-AB334)</f>
        <v>28880118.674604136</v>
      </c>
      <c r="N354" s="62">
        <f t="shared" ref="N354:N363" si="252">$B334+($C334-$B334)*(1-AC334)</f>
        <v>28451727.106804334</v>
      </c>
      <c r="O354" s="62">
        <f t="shared" ref="O354:O363" si="253">$B334+($C334-$B334)*(1-AD334)</f>
        <v>27891736.568525508</v>
      </c>
      <c r="P354" s="62">
        <f t="shared" ref="P354:P363" si="254">$B334+($C334-$B334)*(1-AE334)</f>
        <v>27186523.136249304</v>
      </c>
      <c r="Q354" s="62">
        <f t="shared" ref="Q354:Q363" si="255">$B334+($C334-$B334)*(1-AF334)</f>
        <v>26340287.260672603</v>
      </c>
      <c r="R354" s="62">
        <f t="shared" ref="R354:R363" si="256">$B334+($C334-$B334)*(1-AG334)</f>
        <v>25383386.027489204</v>
      </c>
      <c r="S354" s="62">
        <f t="shared" ref="S354:S363" si="257">$B334+($C334-$B334)*(1-AH334)</f>
        <v>24373189.321684461</v>
      </c>
      <c r="T354" s="62">
        <f t="shared" ref="T354:T363" si="258">$B334+($C334-$B334)*(1-AI334)</f>
        <v>23382871.397530012</v>
      </c>
      <c r="U354" s="62">
        <f t="shared" ref="U354:U363" si="259">$B334+($C334-$B334)*(1-AJ334)</f>
        <v>22481364.606909275</v>
      </c>
      <c r="V354" s="62">
        <f t="shared" ref="V354:V363" si="260">$B334+($C334-$B334)*(1-AK334)</f>
        <v>21715212.211917363</v>
      </c>
      <c r="W354" s="62">
        <f t="shared" ref="W354:W363" si="261">$B334+($C334-$B334)*(1-AL334)</f>
        <v>21101661.353648812</v>
      </c>
      <c r="X354" s="62">
        <f t="shared" ref="X354:X363" si="262">$B334+($C334-$B334)*(1-AM334)</f>
        <v>20633494.81745955</v>
      </c>
      <c r="Y354" s="62">
        <f t="shared" ref="Y354:Y363" si="263">$B334+($C334-$B334)*(1-AN334)</f>
        <v>20289354.866349965</v>
      </c>
      <c r="Z354" s="62">
        <f t="shared" ref="Z354:Z363" si="264">$B334+($C334-$B334)*(1-AO334)</f>
        <v>20043299.779863775</v>
      </c>
      <c r="AA354" s="62">
        <f t="shared" ref="AA354:AA363" si="265">$B334+($C334-$B334)*(1-AP334)</f>
        <v>19870851.501566134</v>
      </c>
      <c r="AB354" s="62">
        <f t="shared" ref="AB354:AB363" si="266">$B334+($C334-$B334)*(1-AQ334)</f>
        <v>19751679.141762912</v>
      </c>
      <c r="AC354" s="62">
        <f t="shared" ref="AC354:AC363" si="267">$B334+($C334-$B334)*(1-AR334)</f>
        <v>19670123.557363093</v>
      </c>
    </row>
    <row r="355" spans="1:29" x14ac:dyDescent="0.25">
      <c r="A355" s="30" t="str">
        <f t="shared" si="239"/>
        <v>Residual value (vehicle)</v>
      </c>
      <c r="B355" s="62">
        <f t="shared" si="240"/>
        <v>-1500988.3145543465</v>
      </c>
      <c r="C355" s="62">
        <f t="shared" si="241"/>
        <v>-1501415.8830813463</v>
      </c>
      <c r="D355" s="62">
        <f t="shared" si="242"/>
        <v>-1502027.9379044252</v>
      </c>
      <c r="E355" s="62">
        <f t="shared" si="243"/>
        <v>-1502903.5253704586</v>
      </c>
      <c r="F355" s="62">
        <f t="shared" si="244"/>
        <v>-1504154.9330673877</v>
      </c>
      <c r="G355" s="62">
        <f t="shared" si="245"/>
        <v>-1505940.9622913231</v>
      </c>
      <c r="H355" s="62">
        <f t="shared" si="246"/>
        <v>-1508484.7060671379</v>
      </c>
      <c r="I355" s="62">
        <f t="shared" si="247"/>
        <v>-1512096.4575785759</v>
      </c>
      <c r="J355" s="62">
        <f t="shared" si="248"/>
        <v>-1517201.3212728326</v>
      </c>
      <c r="K355" s="62">
        <f t="shared" si="249"/>
        <v>-1524368.4578001988</v>
      </c>
      <c r="L355" s="62">
        <f t="shared" si="250"/>
        <v>-1534333.3793243633</v>
      </c>
      <c r="M355" s="62">
        <f t="shared" si="251"/>
        <v>-1547994.9139455371</v>
      </c>
      <c r="N355" s="62">
        <f t="shared" si="252"/>
        <v>-1566354.5525655285</v>
      </c>
      <c r="O355" s="62">
        <f t="shared" si="253"/>
        <v>-1590354.1470631924</v>
      </c>
      <c r="P355" s="62">
        <f t="shared" si="254"/>
        <v>-1620577.5798750299</v>
      </c>
      <c r="Q355" s="62">
        <f t="shared" si="255"/>
        <v>-1656844.8316854599</v>
      </c>
      <c r="R355" s="62">
        <f t="shared" si="256"/>
        <v>-1697854.8845361769</v>
      </c>
      <c r="S355" s="62">
        <f t="shared" si="257"/>
        <v>-1741149.0290706661</v>
      </c>
      <c r="T355" s="62">
        <f t="shared" si="258"/>
        <v>-1783591.2258201423</v>
      </c>
      <c r="U355" s="62">
        <f t="shared" si="259"/>
        <v>-1822227.2311324596</v>
      </c>
      <c r="V355" s="62">
        <f t="shared" si="260"/>
        <v>-1855062.3337749701</v>
      </c>
      <c r="W355" s="62">
        <f t="shared" si="261"/>
        <v>-1881357.370557908</v>
      </c>
      <c r="X355" s="62">
        <f t="shared" si="262"/>
        <v>-1901421.650680305</v>
      </c>
      <c r="Y355" s="62">
        <f t="shared" si="263"/>
        <v>-1916170.5057278587</v>
      </c>
      <c r="Z355" s="62">
        <f t="shared" si="264"/>
        <v>-1926715.723720124</v>
      </c>
      <c r="AA355" s="62">
        <f t="shared" si="265"/>
        <v>-1934106.3642185943</v>
      </c>
      <c r="AB355" s="62">
        <f t="shared" si="266"/>
        <v>-1939213.7510673038</v>
      </c>
      <c r="AC355" s="62">
        <f t="shared" si="267"/>
        <v>-1942708.9903987246</v>
      </c>
    </row>
    <row r="356" spans="1:29" x14ac:dyDescent="0.25">
      <c r="A356" s="30" t="str">
        <f t="shared" si="239"/>
        <v>Capex costumization</v>
      </c>
      <c r="B356" s="62">
        <f t="shared" si="240"/>
        <v>1000000</v>
      </c>
      <c r="C356" s="62">
        <f t="shared" si="241"/>
        <v>1000000</v>
      </c>
      <c r="D356" s="62">
        <f t="shared" si="242"/>
        <v>1000000</v>
      </c>
      <c r="E356" s="62">
        <f t="shared" si="243"/>
        <v>1000000</v>
      </c>
      <c r="F356" s="62">
        <f t="shared" si="244"/>
        <v>1000000</v>
      </c>
      <c r="G356" s="62">
        <f t="shared" si="245"/>
        <v>1000000</v>
      </c>
      <c r="H356" s="62">
        <f t="shared" si="246"/>
        <v>1000000</v>
      </c>
      <c r="I356" s="62">
        <f t="shared" si="247"/>
        <v>1000000</v>
      </c>
      <c r="J356" s="62">
        <f t="shared" si="248"/>
        <v>1000000</v>
      </c>
      <c r="K356" s="62">
        <f t="shared" si="249"/>
        <v>1000000</v>
      </c>
      <c r="L356" s="62">
        <f t="shared" si="250"/>
        <v>1000000</v>
      </c>
      <c r="M356" s="62">
        <f t="shared" si="251"/>
        <v>1000000</v>
      </c>
      <c r="N356" s="62">
        <f t="shared" si="252"/>
        <v>1000000</v>
      </c>
      <c r="O356" s="62">
        <f t="shared" si="253"/>
        <v>1000000</v>
      </c>
      <c r="P356" s="62">
        <f t="shared" si="254"/>
        <v>1000000</v>
      </c>
      <c r="Q356" s="62">
        <f t="shared" si="255"/>
        <v>1000000</v>
      </c>
      <c r="R356" s="62">
        <f t="shared" si="256"/>
        <v>1000000</v>
      </c>
      <c r="S356" s="62">
        <f t="shared" si="257"/>
        <v>1000000</v>
      </c>
      <c r="T356" s="62">
        <f t="shared" si="258"/>
        <v>1000000</v>
      </c>
      <c r="U356" s="62">
        <f t="shared" si="259"/>
        <v>1000000</v>
      </c>
      <c r="V356" s="62">
        <f t="shared" si="260"/>
        <v>1000000</v>
      </c>
      <c r="W356" s="62">
        <f t="shared" si="261"/>
        <v>1000000</v>
      </c>
      <c r="X356" s="62">
        <f t="shared" si="262"/>
        <v>1000000</v>
      </c>
      <c r="Y356" s="62">
        <f t="shared" si="263"/>
        <v>1000000</v>
      </c>
      <c r="Z356" s="62">
        <f t="shared" si="264"/>
        <v>1000000</v>
      </c>
      <c r="AA356" s="62">
        <f t="shared" si="265"/>
        <v>1000000</v>
      </c>
      <c r="AB356" s="62">
        <f t="shared" si="266"/>
        <v>1000000</v>
      </c>
      <c r="AC356" s="62">
        <f t="shared" si="267"/>
        <v>1000000</v>
      </c>
    </row>
    <row r="357" spans="1:29" x14ac:dyDescent="0.25">
      <c r="A357" s="30" t="str">
        <f t="shared" si="239"/>
        <v>Residual value (costumization)</v>
      </c>
      <c r="B357" s="62">
        <f t="shared" si="240"/>
        <v>-100000</v>
      </c>
      <c r="C357" s="62">
        <f t="shared" si="241"/>
        <v>-100000</v>
      </c>
      <c r="D357" s="62">
        <f t="shared" si="242"/>
        <v>-100000</v>
      </c>
      <c r="E357" s="62">
        <f t="shared" si="243"/>
        <v>-100000</v>
      </c>
      <c r="F357" s="62">
        <f t="shared" si="244"/>
        <v>-100000</v>
      </c>
      <c r="G357" s="62">
        <f t="shared" si="245"/>
        <v>-100000</v>
      </c>
      <c r="H357" s="62">
        <f t="shared" si="246"/>
        <v>-100000</v>
      </c>
      <c r="I357" s="62">
        <f t="shared" si="247"/>
        <v>-100000</v>
      </c>
      <c r="J357" s="62">
        <f t="shared" si="248"/>
        <v>-100000</v>
      </c>
      <c r="K357" s="62">
        <f t="shared" si="249"/>
        <v>-100000</v>
      </c>
      <c r="L357" s="62">
        <f t="shared" si="250"/>
        <v>-100000</v>
      </c>
      <c r="M357" s="62">
        <f t="shared" si="251"/>
        <v>-100000</v>
      </c>
      <c r="N357" s="62">
        <f t="shared" si="252"/>
        <v>-100000</v>
      </c>
      <c r="O357" s="62">
        <f t="shared" si="253"/>
        <v>-100000</v>
      </c>
      <c r="P357" s="62">
        <f t="shared" si="254"/>
        <v>-100000</v>
      </c>
      <c r="Q357" s="62">
        <f t="shared" si="255"/>
        <v>-100000</v>
      </c>
      <c r="R357" s="62">
        <f t="shared" si="256"/>
        <v>-100000</v>
      </c>
      <c r="S357" s="62">
        <f t="shared" si="257"/>
        <v>-100000</v>
      </c>
      <c r="T357" s="62">
        <f t="shared" si="258"/>
        <v>-100000</v>
      </c>
      <c r="U357" s="62">
        <f t="shared" si="259"/>
        <v>-100000</v>
      </c>
      <c r="V357" s="62">
        <f t="shared" si="260"/>
        <v>-100000</v>
      </c>
      <c r="W357" s="62">
        <f t="shared" si="261"/>
        <v>-100000</v>
      </c>
      <c r="X357" s="62">
        <f t="shared" si="262"/>
        <v>-100000</v>
      </c>
      <c r="Y357" s="62">
        <f t="shared" si="263"/>
        <v>-100000</v>
      </c>
      <c r="Z357" s="62">
        <f t="shared" si="264"/>
        <v>-100000</v>
      </c>
      <c r="AA357" s="62">
        <f t="shared" si="265"/>
        <v>-100000</v>
      </c>
      <c r="AB357" s="62">
        <f t="shared" si="266"/>
        <v>-100000</v>
      </c>
      <c r="AC357" s="62">
        <f t="shared" si="267"/>
        <v>-100000</v>
      </c>
    </row>
    <row r="358" spans="1:29" x14ac:dyDescent="0.25">
      <c r="A358" s="30" t="str">
        <f t="shared" si="239"/>
        <v>WACC</v>
      </c>
      <c r="B358" s="62">
        <f t="shared" si="240"/>
        <v>0.06</v>
      </c>
      <c r="C358" s="62">
        <f t="shared" si="241"/>
        <v>0.06</v>
      </c>
      <c r="D358" s="62">
        <f t="shared" si="242"/>
        <v>0.06</v>
      </c>
      <c r="E358" s="62">
        <f t="shared" si="243"/>
        <v>0.06</v>
      </c>
      <c r="F358" s="62">
        <f t="shared" si="244"/>
        <v>0.06</v>
      </c>
      <c r="G358" s="62">
        <f t="shared" si="245"/>
        <v>0.06</v>
      </c>
      <c r="H358" s="62">
        <f t="shared" si="246"/>
        <v>0.06</v>
      </c>
      <c r="I358" s="62">
        <f t="shared" si="247"/>
        <v>0.06</v>
      </c>
      <c r="J358" s="62">
        <f t="shared" si="248"/>
        <v>0.06</v>
      </c>
      <c r="K358" s="62">
        <f t="shared" si="249"/>
        <v>0.06</v>
      </c>
      <c r="L358" s="62">
        <f t="shared" si="250"/>
        <v>0.06</v>
      </c>
      <c r="M358" s="62">
        <f t="shared" si="251"/>
        <v>0.06</v>
      </c>
      <c r="N358" s="62">
        <f t="shared" si="252"/>
        <v>0.06</v>
      </c>
      <c r="O358" s="62">
        <f t="shared" si="253"/>
        <v>0.06</v>
      </c>
      <c r="P358" s="62">
        <f t="shared" si="254"/>
        <v>0.06</v>
      </c>
      <c r="Q358" s="62">
        <f t="shared" si="255"/>
        <v>0.06</v>
      </c>
      <c r="R358" s="62">
        <f t="shared" si="256"/>
        <v>0.06</v>
      </c>
      <c r="S358" s="62">
        <f t="shared" si="257"/>
        <v>0.06</v>
      </c>
      <c r="T358" s="62">
        <f t="shared" si="258"/>
        <v>0.06</v>
      </c>
      <c r="U358" s="62">
        <f t="shared" si="259"/>
        <v>0.06</v>
      </c>
      <c r="V358" s="62">
        <f t="shared" si="260"/>
        <v>0.06</v>
      </c>
      <c r="W358" s="62">
        <f t="shared" si="261"/>
        <v>0.06</v>
      </c>
      <c r="X358" s="62">
        <f t="shared" si="262"/>
        <v>0.06</v>
      </c>
      <c r="Y358" s="62">
        <f t="shared" si="263"/>
        <v>0.06</v>
      </c>
      <c r="Z358" s="62">
        <f t="shared" si="264"/>
        <v>0.06</v>
      </c>
      <c r="AA358" s="62">
        <f t="shared" si="265"/>
        <v>0.06</v>
      </c>
      <c r="AB358" s="62">
        <f t="shared" si="266"/>
        <v>0.06</v>
      </c>
      <c r="AC358" s="62">
        <f t="shared" si="267"/>
        <v>0.06</v>
      </c>
    </row>
    <row r="359" spans="1:29" x14ac:dyDescent="0.25">
      <c r="A359" s="30" t="str">
        <f t="shared" si="239"/>
        <v>Opex fix (admin, crew, insurance)</v>
      </c>
      <c r="B359" s="62">
        <f t="shared" si="240"/>
        <v>1208235.294117647</v>
      </c>
      <c r="C359" s="62">
        <f t="shared" si="241"/>
        <v>1208235.294117647</v>
      </c>
      <c r="D359" s="62">
        <f t="shared" si="242"/>
        <v>1208235.294117647</v>
      </c>
      <c r="E359" s="62">
        <f t="shared" si="243"/>
        <v>1208235.294117647</v>
      </c>
      <c r="F359" s="62">
        <f t="shared" si="244"/>
        <v>1208235.294117647</v>
      </c>
      <c r="G359" s="62">
        <f t="shared" si="245"/>
        <v>1208235.294117647</v>
      </c>
      <c r="H359" s="62">
        <f t="shared" si="246"/>
        <v>1208235.294117647</v>
      </c>
      <c r="I359" s="62">
        <f t="shared" si="247"/>
        <v>1208235.294117647</v>
      </c>
      <c r="J359" s="62">
        <f t="shared" si="248"/>
        <v>1208235.294117647</v>
      </c>
      <c r="K359" s="62">
        <f t="shared" si="249"/>
        <v>1208235.294117647</v>
      </c>
      <c r="L359" s="62">
        <f t="shared" si="250"/>
        <v>1208235.294117647</v>
      </c>
      <c r="M359" s="62">
        <f t="shared" si="251"/>
        <v>1208235.294117647</v>
      </c>
      <c r="N359" s="62">
        <f t="shared" si="252"/>
        <v>1208235.294117647</v>
      </c>
      <c r="O359" s="62">
        <f t="shared" si="253"/>
        <v>1208235.294117647</v>
      </c>
      <c r="P359" s="62">
        <f t="shared" si="254"/>
        <v>1208235.294117647</v>
      </c>
      <c r="Q359" s="62">
        <f t="shared" si="255"/>
        <v>1208235.294117647</v>
      </c>
      <c r="R359" s="62">
        <f t="shared" si="256"/>
        <v>1208235.294117647</v>
      </c>
      <c r="S359" s="62">
        <f t="shared" si="257"/>
        <v>1208235.294117647</v>
      </c>
      <c r="T359" s="62">
        <f t="shared" si="258"/>
        <v>1208235.294117647</v>
      </c>
      <c r="U359" s="62">
        <f t="shared" si="259"/>
        <v>1208235.294117647</v>
      </c>
      <c r="V359" s="62">
        <f t="shared" si="260"/>
        <v>1208235.294117647</v>
      </c>
      <c r="W359" s="62">
        <f t="shared" si="261"/>
        <v>1208235.294117647</v>
      </c>
      <c r="X359" s="62">
        <f t="shared" si="262"/>
        <v>1208235.294117647</v>
      </c>
      <c r="Y359" s="62">
        <f t="shared" si="263"/>
        <v>1208235.294117647</v>
      </c>
      <c r="Z359" s="62">
        <f t="shared" si="264"/>
        <v>1208235.294117647</v>
      </c>
      <c r="AA359" s="62">
        <f t="shared" si="265"/>
        <v>1208235.294117647</v>
      </c>
      <c r="AB359" s="62">
        <f t="shared" si="266"/>
        <v>1208235.294117647</v>
      </c>
      <c r="AC359" s="62">
        <f t="shared" si="267"/>
        <v>1208235.294117647</v>
      </c>
    </row>
    <row r="360" spans="1:29" x14ac:dyDescent="0.25">
      <c r="A360" s="30" t="str">
        <f t="shared" si="239"/>
        <v>Opex maintenance &amp; repair</v>
      </c>
      <c r="B360" s="62">
        <f t="shared" si="240"/>
        <v>338823.5294117647</v>
      </c>
      <c r="C360" s="62">
        <f t="shared" si="241"/>
        <v>338823.5294117647</v>
      </c>
      <c r="D360" s="62">
        <f t="shared" si="242"/>
        <v>338823.5294117647</v>
      </c>
      <c r="E360" s="62">
        <f t="shared" si="243"/>
        <v>338823.5294117647</v>
      </c>
      <c r="F360" s="62">
        <f t="shared" si="244"/>
        <v>338823.5294117647</v>
      </c>
      <c r="G360" s="62">
        <f t="shared" si="245"/>
        <v>338823.5294117647</v>
      </c>
      <c r="H360" s="62">
        <f t="shared" si="246"/>
        <v>338823.5294117647</v>
      </c>
      <c r="I360" s="62">
        <f t="shared" si="247"/>
        <v>338823.5294117647</v>
      </c>
      <c r="J360" s="62">
        <f t="shared" si="248"/>
        <v>338823.5294117647</v>
      </c>
      <c r="K360" s="62">
        <f t="shared" si="249"/>
        <v>338823.5294117647</v>
      </c>
      <c r="L360" s="62">
        <f t="shared" si="250"/>
        <v>338823.5294117647</v>
      </c>
      <c r="M360" s="62">
        <f t="shared" si="251"/>
        <v>338823.5294117647</v>
      </c>
      <c r="N360" s="62">
        <f t="shared" si="252"/>
        <v>338823.5294117647</v>
      </c>
      <c r="O360" s="62">
        <f t="shared" si="253"/>
        <v>338823.5294117647</v>
      </c>
      <c r="P360" s="62">
        <f t="shared" si="254"/>
        <v>338823.5294117647</v>
      </c>
      <c r="Q360" s="62">
        <f t="shared" si="255"/>
        <v>338823.5294117647</v>
      </c>
      <c r="R360" s="62">
        <f t="shared" si="256"/>
        <v>338823.5294117647</v>
      </c>
      <c r="S360" s="62">
        <f t="shared" si="257"/>
        <v>338823.5294117647</v>
      </c>
      <c r="T360" s="62">
        <f t="shared" si="258"/>
        <v>338823.5294117647</v>
      </c>
      <c r="U360" s="62">
        <f t="shared" si="259"/>
        <v>338823.5294117647</v>
      </c>
      <c r="V360" s="62">
        <f t="shared" si="260"/>
        <v>338823.5294117647</v>
      </c>
      <c r="W360" s="62">
        <f t="shared" si="261"/>
        <v>338823.5294117647</v>
      </c>
      <c r="X360" s="62">
        <f t="shared" si="262"/>
        <v>338823.5294117647</v>
      </c>
      <c r="Y360" s="62">
        <f t="shared" si="263"/>
        <v>338823.5294117647</v>
      </c>
      <c r="Z360" s="62">
        <f t="shared" si="264"/>
        <v>338823.5294117647</v>
      </c>
      <c r="AA360" s="62">
        <f t="shared" si="265"/>
        <v>338823.5294117647</v>
      </c>
      <c r="AB360" s="62">
        <f t="shared" si="266"/>
        <v>338823.5294117647</v>
      </c>
      <c r="AC360" s="62">
        <f t="shared" si="267"/>
        <v>338823.5294117647</v>
      </c>
    </row>
    <row r="361" spans="1:29" x14ac:dyDescent="0.25">
      <c r="A361" s="30" t="str">
        <f t="shared" si="239"/>
        <v>Opex var (mode-fees)</v>
      </c>
      <c r="B361" s="62">
        <f t="shared" si="240"/>
        <v>0.81280569096848254</v>
      </c>
      <c r="C361" s="62">
        <f t="shared" si="241"/>
        <v>0.81280569096848254</v>
      </c>
      <c r="D361" s="62">
        <f t="shared" si="242"/>
        <v>0.81280569096848254</v>
      </c>
      <c r="E361" s="62">
        <f t="shared" si="243"/>
        <v>0.81280569096848254</v>
      </c>
      <c r="F361" s="62">
        <f t="shared" si="244"/>
        <v>0.81280569096848254</v>
      </c>
      <c r="G361" s="62">
        <f t="shared" si="245"/>
        <v>0.81280569096848254</v>
      </c>
      <c r="H361" s="62">
        <f t="shared" si="246"/>
        <v>0.81280569096848254</v>
      </c>
      <c r="I361" s="62">
        <f t="shared" si="247"/>
        <v>0.81280569096848254</v>
      </c>
      <c r="J361" s="62">
        <f t="shared" si="248"/>
        <v>0.81280569096848254</v>
      </c>
      <c r="K361" s="62">
        <f t="shared" si="249"/>
        <v>0.81280569096848254</v>
      </c>
      <c r="L361" s="62">
        <f t="shared" si="250"/>
        <v>0.81280569096848254</v>
      </c>
      <c r="M361" s="62">
        <f t="shared" si="251"/>
        <v>0.81280569096848254</v>
      </c>
      <c r="N361" s="62">
        <f t="shared" si="252"/>
        <v>0.81280569096848254</v>
      </c>
      <c r="O361" s="62">
        <f t="shared" si="253"/>
        <v>0.81280569096848254</v>
      </c>
      <c r="P361" s="62">
        <f t="shared" si="254"/>
        <v>0.81280569096848254</v>
      </c>
      <c r="Q361" s="62">
        <f t="shared" si="255"/>
        <v>0.81280569096848254</v>
      </c>
      <c r="R361" s="62">
        <f t="shared" si="256"/>
        <v>0.81280569096848254</v>
      </c>
      <c r="S361" s="62">
        <f t="shared" si="257"/>
        <v>0.81280569096848254</v>
      </c>
      <c r="T361" s="62">
        <f t="shared" si="258"/>
        <v>0.81280569096848254</v>
      </c>
      <c r="U361" s="62">
        <f t="shared" si="259"/>
        <v>0.81280569096848254</v>
      </c>
      <c r="V361" s="62">
        <f t="shared" si="260"/>
        <v>0.81280569096848254</v>
      </c>
      <c r="W361" s="62">
        <f t="shared" si="261"/>
        <v>0.81280569096848254</v>
      </c>
      <c r="X361" s="62">
        <f t="shared" si="262"/>
        <v>0.81280569096848254</v>
      </c>
      <c r="Y361" s="62">
        <f t="shared" si="263"/>
        <v>0.81280569096848254</v>
      </c>
      <c r="Z361" s="62">
        <f t="shared" si="264"/>
        <v>0.81280569096848254</v>
      </c>
      <c r="AA361" s="62">
        <f t="shared" si="265"/>
        <v>0.81280569096848254</v>
      </c>
      <c r="AB361" s="62">
        <f t="shared" si="266"/>
        <v>0.81280569096848254</v>
      </c>
      <c r="AC361" s="62">
        <f t="shared" si="267"/>
        <v>0.81280569096848254</v>
      </c>
    </row>
    <row r="362" spans="1:29" x14ac:dyDescent="0.25">
      <c r="A362" s="30" t="str">
        <f t="shared" si="239"/>
        <v>Fuel Economy</v>
      </c>
      <c r="B362" s="62">
        <f t="shared" si="240"/>
        <v>588.84626218043502</v>
      </c>
      <c r="C362" s="62">
        <f t="shared" si="241"/>
        <v>588.7797515206795</v>
      </c>
      <c r="D362" s="62">
        <f t="shared" si="242"/>
        <v>588.68454299264499</v>
      </c>
      <c r="E362" s="62">
        <f t="shared" si="243"/>
        <v>588.54834049792862</v>
      </c>
      <c r="F362" s="62">
        <f t="shared" si="244"/>
        <v>588.35367707840635</v>
      </c>
      <c r="G362" s="62">
        <f t="shared" si="245"/>
        <v>588.07585031023859</v>
      </c>
      <c r="H362" s="62">
        <f t="shared" si="246"/>
        <v>587.68015683400074</v>
      </c>
      <c r="I362" s="62">
        <f t="shared" si="247"/>
        <v>587.11832882111048</v>
      </c>
      <c r="J362" s="62">
        <f t="shared" si="248"/>
        <v>586.32423891311498</v>
      </c>
      <c r="K362" s="62">
        <f t="shared" si="249"/>
        <v>585.20935100885799</v>
      </c>
      <c r="L362" s="62">
        <f t="shared" si="250"/>
        <v>583.65925210509909</v>
      </c>
      <c r="M362" s="62">
        <f t="shared" si="251"/>
        <v>581.53412449736095</v>
      </c>
      <c r="N362" s="62">
        <f t="shared" si="252"/>
        <v>578.67818071202885</v>
      </c>
      <c r="O362" s="62">
        <f t="shared" si="253"/>
        <v>574.94491045683674</v>
      </c>
      <c r="P362" s="62">
        <f t="shared" si="254"/>
        <v>570.24348757499536</v>
      </c>
      <c r="Q362" s="62">
        <f t="shared" si="255"/>
        <v>564.60191507115064</v>
      </c>
      <c r="R362" s="62">
        <f t="shared" si="256"/>
        <v>558.22257351659471</v>
      </c>
      <c r="S362" s="62">
        <f t="shared" si="257"/>
        <v>551.48792881122972</v>
      </c>
      <c r="T362" s="62">
        <f t="shared" si="258"/>
        <v>544.8858093168667</v>
      </c>
      <c r="U362" s="62">
        <f t="shared" si="259"/>
        <v>538.87576404606182</v>
      </c>
      <c r="V362" s="62">
        <f t="shared" si="260"/>
        <v>533.76808141278241</v>
      </c>
      <c r="W362" s="62">
        <f t="shared" si="261"/>
        <v>529.67774235765876</v>
      </c>
      <c r="X362" s="62">
        <f t="shared" si="262"/>
        <v>526.55663211639694</v>
      </c>
      <c r="Y362" s="62">
        <f t="shared" si="263"/>
        <v>524.26236577566647</v>
      </c>
      <c r="Z362" s="62">
        <f t="shared" si="264"/>
        <v>522.6219985324251</v>
      </c>
      <c r="AA362" s="62">
        <f t="shared" si="265"/>
        <v>521.47234334377424</v>
      </c>
      <c r="AB362" s="62">
        <f t="shared" si="266"/>
        <v>520.67786094508608</v>
      </c>
      <c r="AC362" s="62">
        <f t="shared" si="267"/>
        <v>520.13415704908732</v>
      </c>
    </row>
    <row r="363" spans="1:29" x14ac:dyDescent="0.25">
      <c r="A363" s="30" t="str">
        <f t="shared" si="239"/>
        <v>Fuel Cost</v>
      </c>
      <c r="B363" s="62">
        <f t="shared" si="240"/>
        <v>0.25254227914256844</v>
      </c>
      <c r="C363" s="62">
        <f t="shared" si="241"/>
        <v>0.25172282033513138</v>
      </c>
      <c r="D363" s="62">
        <f t="shared" si="242"/>
        <v>0.25055930629945611</v>
      </c>
      <c r="E363" s="62">
        <f t="shared" si="243"/>
        <v>0.24891479101658942</v>
      </c>
      <c r="F363" s="62">
        <f t="shared" si="244"/>
        <v>0.24660592122895794</v>
      </c>
      <c r="G363" s="62">
        <f t="shared" si="245"/>
        <v>0.24339575407846328</v>
      </c>
      <c r="H363" s="62">
        <f t="shared" si="246"/>
        <v>0.23899473500772708</v>
      </c>
      <c r="I363" s="62">
        <f t="shared" si="247"/>
        <v>0.23308023697079527</v>
      </c>
      <c r="J363" s="62">
        <f t="shared" si="248"/>
        <v>0.22534884543953543</v>
      </c>
      <c r="K363" s="62">
        <f t="shared" si="249"/>
        <v>0.21561246458069289</v>
      </c>
      <c r="L363" s="62">
        <f t="shared" si="250"/>
        <v>0.20392908703293811</v>
      </c>
      <c r="M363" s="62">
        <f t="shared" si="251"/>
        <v>0.19071783151204119</v>
      </c>
      <c r="N363" s="62">
        <f t="shared" si="252"/>
        <v>0.17677076326304775</v>
      </c>
      <c r="O363" s="62">
        <f t="shared" si="253"/>
        <v>0.16309814722993504</v>
      </c>
      <c r="P363" s="62">
        <f t="shared" si="254"/>
        <v>0.15065168342395555</v>
      </c>
      <c r="Q363" s="62">
        <f t="shared" si="255"/>
        <v>0.14007396159940294</v>
      </c>
      <c r="R363" s="62">
        <f t="shared" si="256"/>
        <v>0.13160310078058535</v>
      </c>
      <c r="S363" s="62">
        <f t="shared" si="257"/>
        <v>0.12513945801219511</v>
      </c>
      <c r="T363" s="62">
        <f t="shared" si="258"/>
        <v>0.1203881621925289</v>
      </c>
      <c r="U363" s="62">
        <f t="shared" si="259"/>
        <v>0.11699105441686944</v>
      </c>
      <c r="V363" s="62">
        <f t="shared" si="260"/>
        <v>0.11461018354982119</v>
      </c>
      <c r="W363" s="62">
        <f t="shared" si="261"/>
        <v>0.11296485544093068</v>
      </c>
      <c r="X363" s="62">
        <f t="shared" si="262"/>
        <v>0.11183887542617238</v>
      </c>
      <c r="Y363" s="62">
        <f t="shared" si="263"/>
        <v>0.11107345429801357</v>
      </c>
      <c r="Z363" s="62">
        <f t="shared" si="264"/>
        <v>0.11055550233773928</v>
      </c>
      <c r="AA363" s="62">
        <f t="shared" si="265"/>
        <v>0.11020609140458582</v>
      </c>
      <c r="AB363" s="62">
        <f t="shared" si="266"/>
        <v>0.10997086970011311</v>
      </c>
      <c r="AC363" s="62">
        <f t="shared" si="267"/>
        <v>0.10981274199926885</v>
      </c>
    </row>
    <row r="364" spans="1:29" x14ac:dyDescent="0.25">
      <c r="A364" s="30" t="str">
        <f t="shared" ref="A364" si="268">A344</f>
        <v>Emission Cost</v>
      </c>
      <c r="B364" s="66">
        <f>$B344+($C344-$B344)*(1-Q344)</f>
        <v>2.4395360251592355</v>
      </c>
      <c r="C364" s="66">
        <f t="shared" ref="C364:AC364" si="269">$B344+($C344-$B344)*(1-R344)</f>
        <v>2.437212992466212</v>
      </c>
      <c r="D364" s="66">
        <f t="shared" si="269"/>
        <v>2.4338876229075299</v>
      </c>
      <c r="E364" s="66">
        <f t="shared" si="269"/>
        <v>2.4291304479033946</v>
      </c>
      <c r="F364" s="66">
        <f t="shared" si="269"/>
        <v>2.422331395099703</v>
      </c>
      <c r="G364" s="66">
        <f t="shared" si="269"/>
        <v>2.4126276774125932</v>
      </c>
      <c r="H364" s="66">
        <f t="shared" si="269"/>
        <v>2.3988072028436171</v>
      </c>
      <c r="I364" s="66">
        <f t="shared" si="269"/>
        <v>2.379184110145415</v>
      </c>
      <c r="J364" s="66">
        <f t="shared" si="269"/>
        <v>2.3514487542753191</v>
      </c>
      <c r="K364" s="66">
        <f t="shared" si="269"/>
        <v>2.3125088150209741</v>
      </c>
      <c r="L364" s="66">
        <f t="shared" si="269"/>
        <v>2.2583681638217614</v>
      </c>
      <c r="M364" s="66">
        <f t="shared" si="269"/>
        <v>2.1841433564334305</v>
      </c>
      <c r="N364" s="66">
        <f t="shared" si="269"/>
        <v>2.0843931689123196</v>
      </c>
      <c r="O364" s="66">
        <f t="shared" si="269"/>
        <v>1.9540004035032079</v>
      </c>
      <c r="P364" s="66">
        <f t="shared" si="269"/>
        <v>1.7897927547083285</v>
      </c>
      <c r="Q364" s="66">
        <f t="shared" si="269"/>
        <v>1.5927482897357697</v>
      </c>
      <c r="R364" s="66">
        <f t="shared" si="269"/>
        <v>1.3699356000755636</v>
      </c>
      <c r="S364" s="66">
        <f t="shared" si="269"/>
        <v>1.1347131577787466</v>
      </c>
      <c r="T364" s="66">
        <f t="shared" si="269"/>
        <v>0.90411945317509268</v>
      </c>
      <c r="U364" s="66">
        <f t="shared" si="269"/>
        <v>0.69420525743630557</v>
      </c>
      <c r="V364" s="66">
        <f t="shared" si="269"/>
        <v>0.51580808341464834</v>
      </c>
      <c r="W364" s="66">
        <f t="shared" si="269"/>
        <v>0.37294389614701329</v>
      </c>
      <c r="X364" s="66">
        <f t="shared" si="269"/>
        <v>0.26393218049669054</v>
      </c>
      <c r="Y364" s="66">
        <f t="shared" si="269"/>
        <v>0.18379982674147044</v>
      </c>
      <c r="Z364" s="66">
        <f t="shared" si="269"/>
        <v>0.12650635305435332</v>
      </c>
      <c r="AA364" s="66">
        <f t="shared" si="269"/>
        <v>8.6352089079855254E-2</v>
      </c>
      <c r="AB364" s="66">
        <f t="shared" si="269"/>
        <v>5.8603024599529263E-2</v>
      </c>
      <c r="AC364" s="66">
        <f t="shared" si="269"/>
        <v>3.9612956986719627E-2</v>
      </c>
    </row>
    <row r="365" spans="1:29" x14ac:dyDescent="0.25">
      <c r="A365" s="30" t="str">
        <f>A345</f>
        <v>Lifetime vehicle</v>
      </c>
      <c r="B365" s="62">
        <f>$B345+($C345-$B345)*(1-Q345)</f>
        <v>25</v>
      </c>
      <c r="C365" s="62">
        <f t="shared" ref="C365:L367" si="270">$B345+($C345-$B345)*(1-R345)</f>
        <v>25</v>
      </c>
      <c r="D365" s="62">
        <f t="shared" si="270"/>
        <v>25</v>
      </c>
      <c r="E365" s="62">
        <f t="shared" si="270"/>
        <v>25</v>
      </c>
      <c r="F365" s="62">
        <f t="shared" si="270"/>
        <v>25</v>
      </c>
      <c r="G365" s="62">
        <f t="shared" si="270"/>
        <v>25</v>
      </c>
      <c r="H365" s="62">
        <f t="shared" si="270"/>
        <v>25</v>
      </c>
      <c r="I365" s="62">
        <f t="shared" si="270"/>
        <v>25</v>
      </c>
      <c r="J365" s="62">
        <f t="shared" si="270"/>
        <v>25</v>
      </c>
      <c r="K365" s="62">
        <f t="shared" si="270"/>
        <v>25</v>
      </c>
      <c r="L365" s="62">
        <f t="shared" si="270"/>
        <v>25</v>
      </c>
      <c r="M365" s="62">
        <f t="shared" ref="M365:V367" si="271">$B345+($C345-$B345)*(1-AB345)</f>
        <v>25</v>
      </c>
      <c r="N365" s="62">
        <f t="shared" si="271"/>
        <v>25</v>
      </c>
      <c r="O365" s="62">
        <f t="shared" si="271"/>
        <v>25</v>
      </c>
      <c r="P365" s="62">
        <f t="shared" si="271"/>
        <v>25</v>
      </c>
      <c r="Q365" s="62">
        <f t="shared" si="271"/>
        <v>25</v>
      </c>
      <c r="R365" s="62">
        <f t="shared" si="271"/>
        <v>25</v>
      </c>
      <c r="S365" s="62">
        <f t="shared" si="271"/>
        <v>25</v>
      </c>
      <c r="T365" s="62">
        <f t="shared" si="271"/>
        <v>25</v>
      </c>
      <c r="U365" s="62">
        <f t="shared" si="271"/>
        <v>25</v>
      </c>
      <c r="V365" s="62">
        <f t="shared" si="271"/>
        <v>25</v>
      </c>
      <c r="W365" s="62">
        <f t="shared" ref="W365:AC367" si="272">$B345+($C345-$B345)*(1-AL345)</f>
        <v>25</v>
      </c>
      <c r="X365" s="62">
        <f t="shared" si="272"/>
        <v>25</v>
      </c>
      <c r="Y365" s="62">
        <f t="shared" si="272"/>
        <v>25</v>
      </c>
      <c r="Z365" s="62">
        <f t="shared" si="272"/>
        <v>25</v>
      </c>
      <c r="AA365" s="62">
        <f t="shared" si="272"/>
        <v>25</v>
      </c>
      <c r="AB365" s="62">
        <f t="shared" si="272"/>
        <v>25</v>
      </c>
      <c r="AC365" s="62">
        <f t="shared" si="272"/>
        <v>25</v>
      </c>
    </row>
    <row r="366" spans="1:29" x14ac:dyDescent="0.25">
      <c r="A366" s="30" t="str">
        <f>A346</f>
        <v>Lifetime costumization</v>
      </c>
      <c r="B366" s="62">
        <f>$B346+($C346-$B346)*(1-Q346)</f>
        <v>25</v>
      </c>
      <c r="C366" s="62">
        <f t="shared" si="270"/>
        <v>25</v>
      </c>
      <c r="D366" s="62">
        <f t="shared" si="270"/>
        <v>25</v>
      </c>
      <c r="E366" s="62">
        <f t="shared" si="270"/>
        <v>25</v>
      </c>
      <c r="F366" s="62">
        <f t="shared" si="270"/>
        <v>25</v>
      </c>
      <c r="G366" s="62">
        <f t="shared" si="270"/>
        <v>25</v>
      </c>
      <c r="H366" s="62">
        <f t="shared" si="270"/>
        <v>25</v>
      </c>
      <c r="I366" s="62">
        <f t="shared" si="270"/>
        <v>25</v>
      </c>
      <c r="J366" s="62">
        <f t="shared" si="270"/>
        <v>25</v>
      </c>
      <c r="K366" s="62">
        <f t="shared" si="270"/>
        <v>25</v>
      </c>
      <c r="L366" s="62">
        <f t="shared" si="270"/>
        <v>25</v>
      </c>
      <c r="M366" s="62">
        <f t="shared" si="271"/>
        <v>25</v>
      </c>
      <c r="N366" s="62">
        <f t="shared" si="271"/>
        <v>25</v>
      </c>
      <c r="O366" s="62">
        <f t="shared" si="271"/>
        <v>25</v>
      </c>
      <c r="P366" s="62">
        <f t="shared" si="271"/>
        <v>25</v>
      </c>
      <c r="Q366" s="62">
        <f t="shared" si="271"/>
        <v>25</v>
      </c>
      <c r="R366" s="62">
        <f t="shared" si="271"/>
        <v>25</v>
      </c>
      <c r="S366" s="62">
        <f t="shared" si="271"/>
        <v>25</v>
      </c>
      <c r="T366" s="62">
        <f t="shared" si="271"/>
        <v>25</v>
      </c>
      <c r="U366" s="62">
        <f t="shared" si="271"/>
        <v>25</v>
      </c>
      <c r="V366" s="62">
        <f t="shared" si="271"/>
        <v>25</v>
      </c>
      <c r="W366" s="62">
        <f t="shared" si="272"/>
        <v>25</v>
      </c>
      <c r="X366" s="62">
        <f t="shared" si="272"/>
        <v>25</v>
      </c>
      <c r="Y366" s="62">
        <f t="shared" si="272"/>
        <v>25</v>
      </c>
      <c r="Z366" s="62">
        <f t="shared" si="272"/>
        <v>25</v>
      </c>
      <c r="AA366" s="62">
        <f t="shared" si="272"/>
        <v>25</v>
      </c>
      <c r="AB366" s="62">
        <f t="shared" si="272"/>
        <v>25</v>
      </c>
      <c r="AC366" s="62">
        <f t="shared" si="272"/>
        <v>25</v>
      </c>
    </row>
    <row r="367" spans="1:29" x14ac:dyDescent="0.25">
      <c r="A367" s="30" t="str">
        <f>A347</f>
        <v>Tonnage .</v>
      </c>
      <c r="B367" s="62">
        <f>$B347+($C347-$B347)*(1-Q347)</f>
        <v>9450</v>
      </c>
      <c r="C367" s="62">
        <f t="shared" si="270"/>
        <v>9450</v>
      </c>
      <c r="D367" s="62">
        <f t="shared" si="270"/>
        <v>9450</v>
      </c>
      <c r="E367" s="62">
        <f t="shared" si="270"/>
        <v>9450</v>
      </c>
      <c r="F367" s="62">
        <f t="shared" si="270"/>
        <v>9450</v>
      </c>
      <c r="G367" s="62">
        <f t="shared" si="270"/>
        <v>9450</v>
      </c>
      <c r="H367" s="62">
        <f t="shared" si="270"/>
        <v>9450</v>
      </c>
      <c r="I367" s="62">
        <f t="shared" si="270"/>
        <v>9450</v>
      </c>
      <c r="J367" s="62">
        <f t="shared" si="270"/>
        <v>9450</v>
      </c>
      <c r="K367" s="62">
        <f t="shared" si="270"/>
        <v>9450</v>
      </c>
      <c r="L367" s="62">
        <f t="shared" si="270"/>
        <v>9450</v>
      </c>
      <c r="M367" s="62">
        <f t="shared" si="271"/>
        <v>9450</v>
      </c>
      <c r="N367" s="62">
        <f t="shared" si="271"/>
        <v>9450</v>
      </c>
      <c r="O367" s="62">
        <f t="shared" si="271"/>
        <v>9450</v>
      </c>
      <c r="P367" s="62">
        <f t="shared" si="271"/>
        <v>9450</v>
      </c>
      <c r="Q367" s="62">
        <f t="shared" si="271"/>
        <v>9450</v>
      </c>
      <c r="R367" s="62">
        <f t="shared" si="271"/>
        <v>9450</v>
      </c>
      <c r="S367" s="62">
        <f t="shared" si="271"/>
        <v>9450</v>
      </c>
      <c r="T367" s="62">
        <f t="shared" si="271"/>
        <v>9450</v>
      </c>
      <c r="U367" s="62">
        <f t="shared" si="271"/>
        <v>9450</v>
      </c>
      <c r="V367" s="62">
        <f t="shared" si="271"/>
        <v>9450</v>
      </c>
      <c r="W367" s="62">
        <f t="shared" si="272"/>
        <v>9450</v>
      </c>
      <c r="X367" s="62">
        <f t="shared" si="272"/>
        <v>9450</v>
      </c>
      <c r="Y367" s="62">
        <f t="shared" si="272"/>
        <v>9450</v>
      </c>
      <c r="Z367" s="62">
        <f t="shared" si="272"/>
        <v>9450</v>
      </c>
      <c r="AA367" s="62">
        <f t="shared" si="272"/>
        <v>9450</v>
      </c>
      <c r="AB367" s="62">
        <f t="shared" si="272"/>
        <v>9450</v>
      </c>
      <c r="AC367" s="62">
        <f t="shared" si="272"/>
        <v>9450</v>
      </c>
    </row>
    <row r="368" spans="1:29" x14ac:dyDescent="0.25">
      <c r="A368" s="30" t="str">
        <f>A348</f>
        <v>Market failure (av. utilization)</v>
      </c>
      <c r="B368" s="62">
        <f t="shared" ref="B368:K369" si="273">($B348+($C348-$B348)*(1-Q348))*B$44</f>
        <v>6426.0000000000009</v>
      </c>
      <c r="C368" s="62">
        <f t="shared" si="273"/>
        <v>6426.0000000000009</v>
      </c>
      <c r="D368" s="62">
        <f t="shared" si="273"/>
        <v>6426.0000000000009</v>
      </c>
      <c r="E368" s="62">
        <f t="shared" si="273"/>
        <v>6426.0000000000009</v>
      </c>
      <c r="F368" s="62">
        <f t="shared" si="273"/>
        <v>6426.0000000000009</v>
      </c>
      <c r="G368" s="62">
        <f t="shared" si="273"/>
        <v>6426.0000000000009</v>
      </c>
      <c r="H368" s="62">
        <f t="shared" si="273"/>
        <v>6426.0000000000009</v>
      </c>
      <c r="I368" s="62">
        <f t="shared" si="273"/>
        <v>6426.0000000000009</v>
      </c>
      <c r="J368" s="62">
        <f t="shared" si="273"/>
        <v>6426.0000000000009</v>
      </c>
      <c r="K368" s="62">
        <f t="shared" si="273"/>
        <v>6426.0000000000009</v>
      </c>
      <c r="L368" s="62">
        <f t="shared" ref="L368:U369" si="274">($B348+($C348-$B348)*(1-AA348))*L$44</f>
        <v>6426.0000000000009</v>
      </c>
      <c r="M368" s="62">
        <f t="shared" si="274"/>
        <v>6426.0000000000009</v>
      </c>
      <c r="N368" s="62">
        <f t="shared" si="274"/>
        <v>6426.0000000000009</v>
      </c>
      <c r="O368" s="62">
        <f t="shared" si="274"/>
        <v>6426.0000000000009</v>
      </c>
      <c r="P368" s="62">
        <f t="shared" si="274"/>
        <v>6426.0000000000009</v>
      </c>
      <c r="Q368" s="62">
        <f t="shared" si="274"/>
        <v>6426.0000000000009</v>
      </c>
      <c r="R368" s="62">
        <f t="shared" si="274"/>
        <v>6426.0000000000009</v>
      </c>
      <c r="S368" s="62">
        <f t="shared" si="274"/>
        <v>6426.0000000000009</v>
      </c>
      <c r="T368" s="62">
        <f t="shared" si="274"/>
        <v>6426.0000000000009</v>
      </c>
      <c r="U368" s="62">
        <f t="shared" si="274"/>
        <v>6426.0000000000009</v>
      </c>
      <c r="V368" s="62">
        <f t="shared" ref="V368:AC369" si="275">($B348+($C348-$B348)*(1-AK348))*V$44</f>
        <v>6426.0000000000009</v>
      </c>
      <c r="W368" s="62">
        <f t="shared" si="275"/>
        <v>6426.0000000000009</v>
      </c>
      <c r="X368" s="62">
        <f t="shared" si="275"/>
        <v>6426.0000000000009</v>
      </c>
      <c r="Y368" s="62">
        <f t="shared" si="275"/>
        <v>6426.0000000000009</v>
      </c>
      <c r="Z368" s="62">
        <f t="shared" si="275"/>
        <v>6426.0000000000009</v>
      </c>
      <c r="AA368" s="62">
        <f t="shared" si="275"/>
        <v>6426.0000000000009</v>
      </c>
      <c r="AB368" s="62">
        <f t="shared" si="275"/>
        <v>6426.0000000000009</v>
      </c>
      <c r="AC368" s="62">
        <f t="shared" si="275"/>
        <v>6426.0000000000009</v>
      </c>
    </row>
    <row r="369" spans="1:29" x14ac:dyDescent="0.25">
      <c r="A369" s="30" t="s">
        <v>73</v>
      </c>
      <c r="B369" s="62">
        <f t="shared" si="273"/>
        <v>944.5849078871745</v>
      </c>
      <c r="C369" s="62">
        <f t="shared" si="273"/>
        <v>944.40532910583465</v>
      </c>
      <c r="D369" s="62">
        <f t="shared" si="273"/>
        <v>944.14826608014141</v>
      </c>
      <c r="E369" s="62">
        <f t="shared" si="273"/>
        <v>943.78051934440748</v>
      </c>
      <c r="F369" s="62">
        <f t="shared" si="273"/>
        <v>943.25492811169715</v>
      </c>
      <c r="G369" s="62">
        <f t="shared" si="273"/>
        <v>942.50479583764434</v>
      </c>
      <c r="H369" s="62">
        <f t="shared" si="273"/>
        <v>941.43642345180217</v>
      </c>
      <c r="I369" s="62">
        <f t="shared" si="273"/>
        <v>939.91948781699818</v>
      </c>
      <c r="J369" s="62">
        <f t="shared" si="273"/>
        <v>937.77544506541028</v>
      </c>
      <c r="K369" s="62">
        <f t="shared" si="273"/>
        <v>934.76524772391656</v>
      </c>
      <c r="L369" s="62">
        <f t="shared" si="274"/>
        <v>930.57998068376753</v>
      </c>
      <c r="M369" s="62">
        <f t="shared" si="274"/>
        <v>924.84213614287444</v>
      </c>
      <c r="N369" s="62">
        <f t="shared" si="274"/>
        <v>917.13108792247806</v>
      </c>
      <c r="O369" s="62">
        <f t="shared" si="274"/>
        <v>907.05125823345929</v>
      </c>
      <c r="P369" s="62">
        <f t="shared" si="274"/>
        <v>894.35741645248754</v>
      </c>
      <c r="Q369" s="62">
        <f t="shared" si="274"/>
        <v>879.12517069210696</v>
      </c>
      <c r="R369" s="62">
        <f t="shared" si="274"/>
        <v>861.90094849480568</v>
      </c>
      <c r="S369" s="62">
        <f t="shared" si="274"/>
        <v>843.71740779032029</v>
      </c>
      <c r="T369" s="62">
        <f t="shared" si="274"/>
        <v>825.89168515554024</v>
      </c>
      <c r="U369" s="62">
        <f t="shared" si="274"/>
        <v>809.66456292436703</v>
      </c>
      <c r="V369" s="62">
        <f t="shared" si="275"/>
        <v>795.87381981451244</v>
      </c>
      <c r="W369" s="62">
        <f t="shared" si="275"/>
        <v>784.82990436567866</v>
      </c>
      <c r="X369" s="62">
        <f t="shared" si="275"/>
        <v>776.40290671427192</v>
      </c>
      <c r="Y369" s="62">
        <f t="shared" si="275"/>
        <v>770.20838759429932</v>
      </c>
      <c r="Z369" s="62">
        <f t="shared" si="275"/>
        <v>765.77939603754794</v>
      </c>
      <c r="AA369" s="62">
        <f t="shared" si="275"/>
        <v>762.6753270281904</v>
      </c>
      <c r="AB369" s="62">
        <f t="shared" si="275"/>
        <v>760.53022455173243</v>
      </c>
      <c r="AC369" s="62">
        <f t="shared" si="275"/>
        <v>759.0622240325356</v>
      </c>
    </row>
    <row r="370" spans="1:29" x14ac:dyDescent="0.25">
      <c r="A370" s="30" t="str">
        <f>A350</f>
        <v>Annual Mileage</v>
      </c>
      <c r="B370" s="62">
        <f t="shared" ref="B370:AC370" si="276">$B350+($C350-$B350)*(1-Q350)</f>
        <v>120000</v>
      </c>
      <c r="C370" s="62">
        <f t="shared" si="276"/>
        <v>120000</v>
      </c>
      <c r="D370" s="62">
        <f t="shared" si="276"/>
        <v>120000</v>
      </c>
      <c r="E370" s="62">
        <f t="shared" si="276"/>
        <v>120000</v>
      </c>
      <c r="F370" s="62">
        <f t="shared" si="276"/>
        <v>120000</v>
      </c>
      <c r="G370" s="62">
        <f t="shared" si="276"/>
        <v>120000</v>
      </c>
      <c r="H370" s="62">
        <f t="shared" si="276"/>
        <v>120000</v>
      </c>
      <c r="I370" s="62">
        <f t="shared" si="276"/>
        <v>120000</v>
      </c>
      <c r="J370" s="62">
        <f t="shared" si="276"/>
        <v>120000</v>
      </c>
      <c r="K370" s="62">
        <f t="shared" si="276"/>
        <v>120000</v>
      </c>
      <c r="L370" s="62">
        <f t="shared" si="276"/>
        <v>120000</v>
      </c>
      <c r="M370" s="62">
        <f t="shared" si="276"/>
        <v>120000</v>
      </c>
      <c r="N370" s="62">
        <f t="shared" si="276"/>
        <v>120000</v>
      </c>
      <c r="O370" s="62">
        <f t="shared" si="276"/>
        <v>120000</v>
      </c>
      <c r="P370" s="62">
        <f t="shared" si="276"/>
        <v>120000</v>
      </c>
      <c r="Q370" s="62">
        <f t="shared" si="276"/>
        <v>120000</v>
      </c>
      <c r="R370" s="62">
        <f t="shared" si="276"/>
        <v>120000</v>
      </c>
      <c r="S370" s="62">
        <f t="shared" si="276"/>
        <v>120000</v>
      </c>
      <c r="T370" s="62">
        <f t="shared" si="276"/>
        <v>120000</v>
      </c>
      <c r="U370" s="62">
        <f t="shared" si="276"/>
        <v>120000</v>
      </c>
      <c r="V370" s="62">
        <f t="shared" si="276"/>
        <v>120000</v>
      </c>
      <c r="W370" s="62">
        <f t="shared" si="276"/>
        <v>120000</v>
      </c>
      <c r="X370" s="62">
        <f t="shared" si="276"/>
        <v>120000</v>
      </c>
      <c r="Y370" s="62">
        <f t="shared" si="276"/>
        <v>120000</v>
      </c>
      <c r="Z370" s="62">
        <f t="shared" si="276"/>
        <v>120000</v>
      </c>
      <c r="AA370" s="62">
        <f t="shared" si="276"/>
        <v>120000</v>
      </c>
      <c r="AB370" s="62">
        <f t="shared" si="276"/>
        <v>120000</v>
      </c>
      <c r="AC370" s="62">
        <f t="shared" si="276"/>
        <v>120000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2344997.5856047659</v>
      </c>
      <c r="C373" s="63">
        <f t="shared" ref="C373:AC373" si="277">((1+C358)^C365)*C358/(((1+C358)^C365)-1)*(C354)</f>
        <v>2344217.1490089451</v>
      </c>
      <c r="D373" s="63">
        <f t="shared" si="277"/>
        <v>2343099.9714048514</v>
      </c>
      <c r="E373" s="63">
        <f t="shared" si="277"/>
        <v>2341501.7702787537</v>
      </c>
      <c r="F373" s="63">
        <f t="shared" si="277"/>
        <v>2339217.5882089725</v>
      </c>
      <c r="G373" s="63">
        <f t="shared" si="277"/>
        <v>2335957.5667631798</v>
      </c>
      <c r="H373" s="63">
        <f t="shared" si="277"/>
        <v>2331314.496453566</v>
      </c>
      <c r="I373" s="63">
        <f t="shared" si="277"/>
        <v>2324722.0022063456</v>
      </c>
      <c r="J373" s="63">
        <f t="shared" si="277"/>
        <v>2315404.1450861497</v>
      </c>
      <c r="K373" s="63">
        <f t="shared" si="277"/>
        <v>2302322.0417974619</v>
      </c>
      <c r="L373" s="63">
        <f t="shared" si="277"/>
        <v>2284133.1692756363</v>
      </c>
      <c r="M373" s="63">
        <f t="shared" si="277"/>
        <v>2259196.9054952883</v>
      </c>
      <c r="N373" s="63">
        <f t="shared" si="277"/>
        <v>2225685.2390364991</v>
      </c>
      <c r="O373" s="63">
        <f t="shared" si="277"/>
        <v>2181879.0169970216</v>
      </c>
      <c r="P373" s="63">
        <f t="shared" si="277"/>
        <v>2126712.4845508407</v>
      </c>
      <c r="Q373" s="63">
        <f t="shared" si="277"/>
        <v>2060514.2291709851</v>
      </c>
      <c r="R373" s="63">
        <f t="shared" si="277"/>
        <v>1985658.9860457699</v>
      </c>
      <c r="S373" s="63">
        <f t="shared" si="277"/>
        <v>1906634.6130018148</v>
      </c>
      <c r="T373" s="63">
        <f t="shared" si="277"/>
        <v>1829165.2918084206</v>
      </c>
      <c r="U373" s="63">
        <f t="shared" si="277"/>
        <v>1758643.3741320807</v>
      </c>
      <c r="V373" s="63">
        <f t="shared" si="277"/>
        <v>1698709.7866213897</v>
      </c>
      <c r="W373" s="63">
        <f t="shared" si="277"/>
        <v>1650713.7165227169</v>
      </c>
      <c r="X373" s="63">
        <f t="shared" si="277"/>
        <v>1614090.584819823</v>
      </c>
      <c r="Y373" s="63">
        <f t="shared" si="277"/>
        <v>1587169.645838788</v>
      </c>
      <c r="Z373" s="63">
        <f t="shared" si="277"/>
        <v>1567921.5639235359</v>
      </c>
      <c r="AA373" s="63">
        <f t="shared" si="277"/>
        <v>1554431.5010509547</v>
      </c>
      <c r="AB373" s="63">
        <f t="shared" si="277"/>
        <v>1545109.0384419363</v>
      </c>
      <c r="AC373" s="63">
        <f t="shared" si="277"/>
        <v>1538729.2127224542</v>
      </c>
    </row>
    <row r="374" spans="1:29" x14ac:dyDescent="0.25">
      <c r="A374" s="30" t="str">
        <f>A355</f>
        <v>Residual value (vehicle)</v>
      </c>
      <c r="B374" s="62">
        <f>((1+B358)^B365)*B358/(((1+B358)^B365)-1)*(B355)</f>
        <v>-117417.38992255888</v>
      </c>
      <c r="C374" s="62">
        <f t="shared" ref="C374:AC374" si="278">((1+C358)^C365)*C358/(((1+C358)^C365)-1)*(C355)</f>
        <v>-117450.83720523692</v>
      </c>
      <c r="D374" s="62">
        <f t="shared" si="278"/>
        <v>-117498.71624541239</v>
      </c>
      <c r="E374" s="62">
        <f t="shared" si="278"/>
        <v>-117567.21057938797</v>
      </c>
      <c r="F374" s="62">
        <f t="shared" si="278"/>
        <v>-117665.10409666432</v>
      </c>
      <c r="G374" s="62">
        <f t="shared" si="278"/>
        <v>-117804.81930148401</v>
      </c>
      <c r="H374" s="62">
        <f t="shared" si="278"/>
        <v>-118003.80802903889</v>
      </c>
      <c r="I374" s="62">
        <f t="shared" si="278"/>
        <v>-118286.34349677691</v>
      </c>
      <c r="J374" s="62">
        <f t="shared" si="278"/>
        <v>-118685.68023049959</v>
      </c>
      <c r="K374" s="62">
        <f t="shared" si="278"/>
        <v>-119246.34180001476</v>
      </c>
      <c r="L374" s="62">
        <f t="shared" si="278"/>
        <v>-120025.864908093</v>
      </c>
      <c r="M374" s="62">
        <f t="shared" si="278"/>
        <v>-121094.56192725079</v>
      </c>
      <c r="N374" s="62">
        <f t="shared" si="278"/>
        <v>-122530.77620405605</v>
      </c>
      <c r="O374" s="62">
        <f t="shared" si="278"/>
        <v>-124408.18572003364</v>
      </c>
      <c r="P374" s="62">
        <f t="shared" si="278"/>
        <v>-126772.46568201284</v>
      </c>
      <c r="Q374" s="62">
        <f t="shared" si="278"/>
        <v>-129609.53376972093</v>
      </c>
      <c r="R374" s="62">
        <f t="shared" si="278"/>
        <v>-132817.61561794442</v>
      </c>
      <c r="S374" s="62">
        <f t="shared" si="278"/>
        <v>-136204.37446268537</v>
      </c>
      <c r="T374" s="62">
        <f t="shared" si="278"/>
        <v>-139524.48822811653</v>
      </c>
      <c r="U374" s="62">
        <f t="shared" si="278"/>
        <v>-142546.8561285311</v>
      </c>
      <c r="V374" s="62">
        <f t="shared" si="278"/>
        <v>-145115.43845041786</v>
      </c>
      <c r="W374" s="62">
        <f t="shared" si="278"/>
        <v>-147172.41288321812</v>
      </c>
      <c r="X374" s="62">
        <f t="shared" si="278"/>
        <v>-148741.975670485</v>
      </c>
      <c r="Y374" s="62">
        <f t="shared" si="278"/>
        <v>-149895.73019824366</v>
      </c>
      <c r="Z374" s="62">
        <f t="shared" si="278"/>
        <v>-150720.64799461162</v>
      </c>
      <c r="AA374" s="62">
        <f t="shared" si="278"/>
        <v>-151298.79354629366</v>
      </c>
      <c r="AB374" s="62">
        <f t="shared" si="278"/>
        <v>-151698.32765810873</v>
      </c>
      <c r="AC374" s="62">
        <f t="shared" si="278"/>
        <v>-151971.74876037225</v>
      </c>
    </row>
    <row r="375" spans="1:29" x14ac:dyDescent="0.25">
      <c r="A375" s="30" t="str">
        <f>A356</f>
        <v>Capex costumization</v>
      </c>
      <c r="B375" s="62">
        <f>((1+B358)^B366)*B358/(((1+B358)^B366)-1)*(B356)</f>
        <v>78226.718212273947</v>
      </c>
      <c r="C375" s="62">
        <f t="shared" ref="C375:AC375" si="279">((1+C358)^C366)*C358/(((1+C358)^C366)-1)*(C356)</f>
        <v>78226.718212273947</v>
      </c>
      <c r="D375" s="62">
        <f t="shared" si="279"/>
        <v>78226.718212273947</v>
      </c>
      <c r="E375" s="62">
        <f t="shared" si="279"/>
        <v>78226.718212273947</v>
      </c>
      <c r="F375" s="62">
        <f t="shared" si="279"/>
        <v>78226.718212273947</v>
      </c>
      <c r="G375" s="62">
        <f t="shared" si="279"/>
        <v>78226.718212273947</v>
      </c>
      <c r="H375" s="62">
        <f t="shared" si="279"/>
        <v>78226.718212273947</v>
      </c>
      <c r="I375" s="62">
        <f t="shared" si="279"/>
        <v>78226.718212273947</v>
      </c>
      <c r="J375" s="62">
        <f t="shared" si="279"/>
        <v>78226.718212273947</v>
      </c>
      <c r="K375" s="62">
        <f t="shared" si="279"/>
        <v>78226.718212273947</v>
      </c>
      <c r="L375" s="62">
        <f t="shared" si="279"/>
        <v>78226.718212273947</v>
      </c>
      <c r="M375" s="62">
        <f t="shared" si="279"/>
        <v>78226.718212273947</v>
      </c>
      <c r="N375" s="62">
        <f t="shared" si="279"/>
        <v>78226.718212273947</v>
      </c>
      <c r="O375" s="62">
        <f t="shared" si="279"/>
        <v>78226.718212273947</v>
      </c>
      <c r="P375" s="62">
        <f t="shared" si="279"/>
        <v>78226.718212273947</v>
      </c>
      <c r="Q375" s="62">
        <f t="shared" si="279"/>
        <v>78226.718212273947</v>
      </c>
      <c r="R375" s="62">
        <f t="shared" si="279"/>
        <v>78226.718212273947</v>
      </c>
      <c r="S375" s="62">
        <f t="shared" si="279"/>
        <v>78226.718212273947</v>
      </c>
      <c r="T375" s="62">
        <f t="shared" si="279"/>
        <v>78226.718212273947</v>
      </c>
      <c r="U375" s="62">
        <f t="shared" si="279"/>
        <v>78226.718212273947</v>
      </c>
      <c r="V375" s="62">
        <f t="shared" si="279"/>
        <v>78226.718212273947</v>
      </c>
      <c r="W375" s="62">
        <f t="shared" si="279"/>
        <v>78226.718212273947</v>
      </c>
      <c r="X375" s="62">
        <f t="shared" si="279"/>
        <v>78226.718212273947</v>
      </c>
      <c r="Y375" s="62">
        <f t="shared" si="279"/>
        <v>78226.718212273947</v>
      </c>
      <c r="Z375" s="62">
        <f t="shared" si="279"/>
        <v>78226.718212273947</v>
      </c>
      <c r="AA375" s="62">
        <f t="shared" si="279"/>
        <v>78226.718212273947</v>
      </c>
      <c r="AB375" s="62">
        <f t="shared" si="279"/>
        <v>78226.718212273947</v>
      </c>
      <c r="AC375" s="62">
        <f t="shared" si="279"/>
        <v>78226.718212273947</v>
      </c>
    </row>
    <row r="376" spans="1:29" x14ac:dyDescent="0.25">
      <c r="A376" s="30" t="str">
        <f>A357</f>
        <v>Residual value (costumization)</v>
      </c>
      <c r="B376" s="62">
        <f>((1+B358)^B366)*B358/(((1+B358)^B366)-1)*(B357)</f>
        <v>-7822.6718212273945</v>
      </c>
      <c r="C376" s="62">
        <f t="shared" ref="C376:AC376" si="280">((1+C358)^C366)*C358/(((1+C358)^C366)-1)*(C357)</f>
        <v>-7822.6718212273945</v>
      </c>
      <c r="D376" s="62">
        <f t="shared" si="280"/>
        <v>-7822.6718212273945</v>
      </c>
      <c r="E376" s="62">
        <f t="shared" si="280"/>
        <v>-7822.6718212273945</v>
      </c>
      <c r="F376" s="62">
        <f t="shared" si="280"/>
        <v>-7822.6718212273945</v>
      </c>
      <c r="G376" s="62">
        <f t="shared" si="280"/>
        <v>-7822.6718212273945</v>
      </c>
      <c r="H376" s="62">
        <f t="shared" si="280"/>
        <v>-7822.6718212273945</v>
      </c>
      <c r="I376" s="62">
        <f t="shared" si="280"/>
        <v>-7822.6718212273945</v>
      </c>
      <c r="J376" s="62">
        <f t="shared" si="280"/>
        <v>-7822.6718212273945</v>
      </c>
      <c r="K376" s="62">
        <f t="shared" si="280"/>
        <v>-7822.6718212273945</v>
      </c>
      <c r="L376" s="62">
        <f t="shared" si="280"/>
        <v>-7822.6718212273945</v>
      </c>
      <c r="M376" s="62">
        <f t="shared" si="280"/>
        <v>-7822.6718212273945</v>
      </c>
      <c r="N376" s="62">
        <f t="shared" si="280"/>
        <v>-7822.6718212273945</v>
      </c>
      <c r="O376" s="62">
        <f t="shared" si="280"/>
        <v>-7822.6718212273945</v>
      </c>
      <c r="P376" s="62">
        <f t="shared" si="280"/>
        <v>-7822.6718212273945</v>
      </c>
      <c r="Q376" s="62">
        <f t="shared" si="280"/>
        <v>-7822.6718212273945</v>
      </c>
      <c r="R376" s="62">
        <f t="shared" si="280"/>
        <v>-7822.6718212273945</v>
      </c>
      <c r="S376" s="62">
        <f t="shared" si="280"/>
        <v>-7822.6718212273945</v>
      </c>
      <c r="T376" s="62">
        <f t="shared" si="280"/>
        <v>-7822.6718212273945</v>
      </c>
      <c r="U376" s="62">
        <f t="shared" si="280"/>
        <v>-7822.6718212273945</v>
      </c>
      <c r="V376" s="62">
        <f t="shared" si="280"/>
        <v>-7822.6718212273945</v>
      </c>
      <c r="W376" s="62">
        <f t="shared" si="280"/>
        <v>-7822.6718212273945</v>
      </c>
      <c r="X376" s="62">
        <f t="shared" si="280"/>
        <v>-7822.6718212273945</v>
      </c>
      <c r="Y376" s="62">
        <f t="shared" si="280"/>
        <v>-7822.6718212273945</v>
      </c>
      <c r="Z376" s="62">
        <f t="shared" si="280"/>
        <v>-7822.6718212273945</v>
      </c>
      <c r="AA376" s="62">
        <f t="shared" si="280"/>
        <v>-7822.6718212273945</v>
      </c>
      <c r="AB376" s="62">
        <f t="shared" si="280"/>
        <v>-7822.6718212273945</v>
      </c>
      <c r="AC376" s="62">
        <f t="shared" si="280"/>
        <v>-7822.6718212273945</v>
      </c>
    </row>
    <row r="377" spans="1:29" x14ac:dyDescent="0.25">
      <c r="A377" s="30" t="str">
        <f t="shared" ref="A377:AC377" si="281">A359</f>
        <v>Opex fix (admin, crew, insurance)</v>
      </c>
      <c r="B377" s="62">
        <f t="shared" si="281"/>
        <v>1208235.294117647</v>
      </c>
      <c r="C377" s="62">
        <f t="shared" si="281"/>
        <v>1208235.294117647</v>
      </c>
      <c r="D377" s="62">
        <f t="shared" si="281"/>
        <v>1208235.294117647</v>
      </c>
      <c r="E377" s="62">
        <f t="shared" si="281"/>
        <v>1208235.294117647</v>
      </c>
      <c r="F377" s="62">
        <f t="shared" si="281"/>
        <v>1208235.294117647</v>
      </c>
      <c r="G377" s="62">
        <f t="shared" si="281"/>
        <v>1208235.294117647</v>
      </c>
      <c r="H377" s="62">
        <f t="shared" si="281"/>
        <v>1208235.294117647</v>
      </c>
      <c r="I377" s="62">
        <f t="shared" si="281"/>
        <v>1208235.294117647</v>
      </c>
      <c r="J377" s="62">
        <f t="shared" si="281"/>
        <v>1208235.294117647</v>
      </c>
      <c r="K377" s="62">
        <f t="shared" si="281"/>
        <v>1208235.294117647</v>
      </c>
      <c r="L377" s="62">
        <f t="shared" si="281"/>
        <v>1208235.294117647</v>
      </c>
      <c r="M377" s="62">
        <f t="shared" si="281"/>
        <v>1208235.294117647</v>
      </c>
      <c r="N377" s="62">
        <f t="shared" si="281"/>
        <v>1208235.294117647</v>
      </c>
      <c r="O377" s="62">
        <f t="shared" si="281"/>
        <v>1208235.294117647</v>
      </c>
      <c r="P377" s="62">
        <f t="shared" si="281"/>
        <v>1208235.294117647</v>
      </c>
      <c r="Q377" s="62">
        <f t="shared" si="281"/>
        <v>1208235.294117647</v>
      </c>
      <c r="R377" s="62">
        <f t="shared" si="281"/>
        <v>1208235.294117647</v>
      </c>
      <c r="S377" s="62">
        <f t="shared" si="281"/>
        <v>1208235.294117647</v>
      </c>
      <c r="T377" s="62">
        <f t="shared" si="281"/>
        <v>1208235.294117647</v>
      </c>
      <c r="U377" s="62">
        <f t="shared" si="281"/>
        <v>1208235.294117647</v>
      </c>
      <c r="V377" s="62">
        <f t="shared" si="281"/>
        <v>1208235.294117647</v>
      </c>
      <c r="W377" s="62">
        <f t="shared" si="281"/>
        <v>1208235.294117647</v>
      </c>
      <c r="X377" s="62">
        <f t="shared" si="281"/>
        <v>1208235.294117647</v>
      </c>
      <c r="Y377" s="62">
        <f t="shared" si="281"/>
        <v>1208235.294117647</v>
      </c>
      <c r="Z377" s="62">
        <f t="shared" si="281"/>
        <v>1208235.294117647</v>
      </c>
      <c r="AA377" s="62">
        <f t="shared" si="281"/>
        <v>1208235.294117647</v>
      </c>
      <c r="AB377" s="62">
        <f t="shared" si="281"/>
        <v>1208235.294117647</v>
      </c>
      <c r="AC377" s="62">
        <f t="shared" si="281"/>
        <v>1208235.294117647</v>
      </c>
    </row>
    <row r="378" spans="1:29" x14ac:dyDescent="0.25">
      <c r="A378" s="30" t="str">
        <f t="shared" ref="A378:AC378" si="282">A360</f>
        <v>Opex maintenance &amp; repair</v>
      </c>
      <c r="B378" s="62">
        <f t="shared" si="282"/>
        <v>338823.5294117647</v>
      </c>
      <c r="C378" s="62">
        <f t="shared" si="282"/>
        <v>338823.5294117647</v>
      </c>
      <c r="D378" s="62">
        <f t="shared" si="282"/>
        <v>338823.5294117647</v>
      </c>
      <c r="E378" s="62">
        <f t="shared" si="282"/>
        <v>338823.5294117647</v>
      </c>
      <c r="F378" s="62">
        <f t="shared" si="282"/>
        <v>338823.5294117647</v>
      </c>
      <c r="G378" s="62">
        <f t="shared" si="282"/>
        <v>338823.5294117647</v>
      </c>
      <c r="H378" s="62">
        <f t="shared" si="282"/>
        <v>338823.5294117647</v>
      </c>
      <c r="I378" s="62">
        <f t="shared" si="282"/>
        <v>338823.5294117647</v>
      </c>
      <c r="J378" s="62">
        <f t="shared" si="282"/>
        <v>338823.5294117647</v>
      </c>
      <c r="K378" s="62">
        <f t="shared" si="282"/>
        <v>338823.5294117647</v>
      </c>
      <c r="L378" s="62">
        <f t="shared" si="282"/>
        <v>338823.5294117647</v>
      </c>
      <c r="M378" s="62">
        <f t="shared" si="282"/>
        <v>338823.5294117647</v>
      </c>
      <c r="N378" s="62">
        <f t="shared" si="282"/>
        <v>338823.5294117647</v>
      </c>
      <c r="O378" s="62">
        <f t="shared" si="282"/>
        <v>338823.5294117647</v>
      </c>
      <c r="P378" s="62">
        <f t="shared" si="282"/>
        <v>338823.5294117647</v>
      </c>
      <c r="Q378" s="62">
        <f t="shared" si="282"/>
        <v>338823.5294117647</v>
      </c>
      <c r="R378" s="62">
        <f t="shared" si="282"/>
        <v>338823.5294117647</v>
      </c>
      <c r="S378" s="62">
        <f t="shared" si="282"/>
        <v>338823.5294117647</v>
      </c>
      <c r="T378" s="62">
        <f t="shared" si="282"/>
        <v>338823.5294117647</v>
      </c>
      <c r="U378" s="62">
        <f t="shared" si="282"/>
        <v>338823.5294117647</v>
      </c>
      <c r="V378" s="62">
        <f t="shared" si="282"/>
        <v>338823.5294117647</v>
      </c>
      <c r="W378" s="62">
        <f t="shared" si="282"/>
        <v>338823.5294117647</v>
      </c>
      <c r="X378" s="62">
        <f t="shared" si="282"/>
        <v>338823.5294117647</v>
      </c>
      <c r="Y378" s="62">
        <f t="shared" si="282"/>
        <v>338823.5294117647</v>
      </c>
      <c r="Z378" s="62">
        <f t="shared" si="282"/>
        <v>338823.5294117647</v>
      </c>
      <c r="AA378" s="62">
        <f t="shared" si="282"/>
        <v>338823.5294117647</v>
      </c>
      <c r="AB378" s="62">
        <f t="shared" si="282"/>
        <v>338823.5294117647</v>
      </c>
      <c r="AC378" s="62">
        <f t="shared" si="282"/>
        <v>338823.5294117647</v>
      </c>
    </row>
    <row r="379" spans="1:29" x14ac:dyDescent="0.25">
      <c r="A379" s="30" t="str">
        <f>A361</f>
        <v>Opex var (mode-fees)</v>
      </c>
      <c r="B379" s="62">
        <f>B361*B370</f>
        <v>97536.682916217906</v>
      </c>
      <c r="C379" s="62">
        <f t="shared" ref="C379:AC379" si="283">C361*C370</f>
        <v>97536.682916217906</v>
      </c>
      <c r="D379" s="62">
        <f t="shared" si="283"/>
        <v>97536.682916217906</v>
      </c>
      <c r="E379" s="62">
        <f t="shared" si="283"/>
        <v>97536.682916217906</v>
      </c>
      <c r="F379" s="62">
        <f t="shared" si="283"/>
        <v>97536.682916217906</v>
      </c>
      <c r="G379" s="62">
        <f t="shared" si="283"/>
        <v>97536.682916217906</v>
      </c>
      <c r="H379" s="62">
        <f t="shared" si="283"/>
        <v>97536.682916217906</v>
      </c>
      <c r="I379" s="62">
        <f t="shared" si="283"/>
        <v>97536.682916217906</v>
      </c>
      <c r="J379" s="62">
        <f t="shared" si="283"/>
        <v>97536.682916217906</v>
      </c>
      <c r="K379" s="62">
        <f t="shared" si="283"/>
        <v>97536.682916217906</v>
      </c>
      <c r="L379" s="62">
        <f t="shared" si="283"/>
        <v>97536.682916217906</v>
      </c>
      <c r="M379" s="62">
        <f t="shared" si="283"/>
        <v>97536.682916217906</v>
      </c>
      <c r="N379" s="62">
        <f t="shared" si="283"/>
        <v>97536.682916217906</v>
      </c>
      <c r="O379" s="62">
        <f t="shared" si="283"/>
        <v>97536.682916217906</v>
      </c>
      <c r="P379" s="62">
        <f t="shared" si="283"/>
        <v>97536.682916217906</v>
      </c>
      <c r="Q379" s="62">
        <f t="shared" si="283"/>
        <v>97536.682916217906</v>
      </c>
      <c r="R379" s="62">
        <f t="shared" si="283"/>
        <v>97536.682916217906</v>
      </c>
      <c r="S379" s="62">
        <f t="shared" si="283"/>
        <v>97536.682916217906</v>
      </c>
      <c r="T379" s="62">
        <f t="shared" si="283"/>
        <v>97536.682916217906</v>
      </c>
      <c r="U379" s="62">
        <f t="shared" si="283"/>
        <v>97536.682916217906</v>
      </c>
      <c r="V379" s="62">
        <f t="shared" si="283"/>
        <v>97536.682916217906</v>
      </c>
      <c r="W379" s="62">
        <f t="shared" si="283"/>
        <v>97536.682916217906</v>
      </c>
      <c r="X379" s="62">
        <f t="shared" si="283"/>
        <v>97536.682916217906</v>
      </c>
      <c r="Y379" s="62">
        <f t="shared" si="283"/>
        <v>97536.682916217906</v>
      </c>
      <c r="Z379" s="62">
        <f t="shared" si="283"/>
        <v>97536.682916217906</v>
      </c>
      <c r="AA379" s="62">
        <f t="shared" si="283"/>
        <v>97536.682916217906</v>
      </c>
      <c r="AB379" s="62">
        <f t="shared" si="283"/>
        <v>97536.682916217906</v>
      </c>
      <c r="AC379" s="62">
        <f t="shared" si="283"/>
        <v>97536.682916217906</v>
      </c>
    </row>
    <row r="380" spans="1:29" x14ac:dyDescent="0.25">
      <c r="A380" s="30" t="str">
        <f>A363</f>
        <v>Fuel Cost</v>
      </c>
      <c r="B380" s="62">
        <f>B362*B363*B370</f>
        <v>17845029.253875535</v>
      </c>
      <c r="C380" s="62">
        <f t="shared" ref="C380:AC380" si="284">C362*C363*C370</f>
        <v>17785115.953080397</v>
      </c>
      <c r="D380" s="62">
        <f t="shared" si="284"/>
        <v>17700046.886573937</v>
      </c>
      <c r="E380" s="62">
        <f t="shared" si="284"/>
        <v>17579806.461384289</v>
      </c>
      <c r="F380" s="62">
        <f t="shared" si="284"/>
        <v>17410980.06532383</v>
      </c>
      <c r="G380" s="62">
        <f t="shared" si="284"/>
        <v>17176219.804991283</v>
      </c>
      <c r="H380" s="62">
        <f t="shared" si="284"/>
        <v>16854295.602220979</v>
      </c>
      <c r="I380" s="62">
        <f t="shared" si="284"/>
        <v>16421481.505382609</v>
      </c>
      <c r="J380" s="62">
        <f t="shared" si="284"/>
        <v>15855298.835074175</v>
      </c>
      <c r="K380" s="62">
        <f t="shared" si="284"/>
        <v>15141411.65600252</v>
      </c>
      <c r="L380" s="62">
        <f t="shared" si="284"/>
        <v>14283011.810414437</v>
      </c>
      <c r="M380" s="62">
        <f t="shared" si="284"/>
        <v>13309071.260926809</v>
      </c>
      <c r="N380" s="62">
        <f t="shared" si="284"/>
        <v>12275206.042576466</v>
      </c>
      <c r="O380" s="62">
        <f t="shared" si="284"/>
        <v>11252693.958574917</v>
      </c>
      <c r="P380" s="62">
        <f t="shared" si="284"/>
        <v>10308976.963766465</v>
      </c>
      <c r="Q380" s="62">
        <f t="shared" si="284"/>
        <v>9490323.2364750858</v>
      </c>
      <c r="R380" s="62">
        <f t="shared" si="284"/>
        <v>8815658.5920602549</v>
      </c>
      <c r="S380" s="62">
        <f t="shared" si="284"/>
        <v>8281548.0614046389</v>
      </c>
      <c r="T380" s="62">
        <f t="shared" si="284"/>
        <v>7871736.142613559</v>
      </c>
      <c r="U380" s="62">
        <f t="shared" si="284"/>
        <v>7565237.2602533894</v>
      </c>
      <c r="V380" s="62">
        <f t="shared" si="284"/>
        <v>7341030.934050587</v>
      </c>
      <c r="W380" s="62">
        <f t="shared" si="284"/>
        <v>7180196.3514853735</v>
      </c>
      <c r="X380" s="62">
        <f t="shared" si="284"/>
        <v>7066740.1900908714</v>
      </c>
      <c r="Y380" s="62">
        <f t="shared" si="284"/>
        <v>6987795.8310182355</v>
      </c>
      <c r="Z380" s="62">
        <f t="shared" si="284"/>
        <v>6933448.5096606603</v>
      </c>
      <c r="AA380" s="62">
        <f t="shared" si="284"/>
        <v>6896331.4482609052</v>
      </c>
      <c r="AB380" s="62">
        <f t="shared" si="284"/>
        <v>6871127.6642070804</v>
      </c>
      <c r="AC380" s="62">
        <f t="shared" si="284"/>
        <v>6854082.9591646334</v>
      </c>
    </row>
    <row r="381" spans="1:29" ht="15.75" thickBot="1" x14ac:dyDescent="0.3">
      <c r="A381" s="59" t="str">
        <f>A344</f>
        <v>Emission Cost</v>
      </c>
      <c r="B381" s="62">
        <f>B364*B370</f>
        <v>292744.32301910827</v>
      </c>
      <c r="C381" s="62">
        <f t="shared" ref="C381:AC381" si="285">C364*C370</f>
        <v>292465.55909594544</v>
      </c>
      <c r="D381" s="62">
        <f t="shared" si="285"/>
        <v>292066.51474890357</v>
      </c>
      <c r="E381" s="62">
        <f t="shared" si="285"/>
        <v>291495.65374840738</v>
      </c>
      <c r="F381" s="62">
        <f t="shared" si="285"/>
        <v>290679.76741196436</v>
      </c>
      <c r="G381" s="62">
        <f t="shared" si="285"/>
        <v>289515.32128951116</v>
      </c>
      <c r="H381" s="62">
        <f t="shared" si="285"/>
        <v>287856.86434123403</v>
      </c>
      <c r="I381" s="62">
        <f t="shared" si="285"/>
        <v>285502.09321744979</v>
      </c>
      <c r="J381" s="62">
        <f t="shared" si="285"/>
        <v>282173.85051303828</v>
      </c>
      <c r="K381" s="62">
        <f t="shared" si="285"/>
        <v>277501.05780251691</v>
      </c>
      <c r="L381" s="62">
        <f t="shared" si="285"/>
        <v>271004.17965861136</v>
      </c>
      <c r="M381" s="62">
        <f t="shared" si="285"/>
        <v>262097.20277201166</v>
      </c>
      <c r="N381" s="62">
        <f t="shared" si="285"/>
        <v>250127.18026947835</v>
      </c>
      <c r="O381" s="62">
        <f t="shared" si="285"/>
        <v>234480.04842038496</v>
      </c>
      <c r="P381" s="62">
        <f t="shared" si="285"/>
        <v>214775.13056499942</v>
      </c>
      <c r="Q381" s="62">
        <f t="shared" si="285"/>
        <v>191129.79476829237</v>
      </c>
      <c r="R381" s="62">
        <f t="shared" si="285"/>
        <v>164392.27200906764</v>
      </c>
      <c r="S381" s="62">
        <f t="shared" si="285"/>
        <v>136165.57893344958</v>
      </c>
      <c r="T381" s="62">
        <f t="shared" si="285"/>
        <v>108494.33438101113</v>
      </c>
      <c r="U381" s="62">
        <f t="shared" si="285"/>
        <v>83304.630892356668</v>
      </c>
      <c r="V381" s="62">
        <f t="shared" si="285"/>
        <v>61896.970009757802</v>
      </c>
      <c r="W381" s="62">
        <f t="shared" si="285"/>
        <v>44753.267537641594</v>
      </c>
      <c r="X381" s="62">
        <f t="shared" si="285"/>
        <v>31671.861659602866</v>
      </c>
      <c r="Y381" s="62">
        <f t="shared" si="285"/>
        <v>22055.979208976452</v>
      </c>
      <c r="Z381" s="62">
        <f t="shared" si="285"/>
        <v>15180.762366522398</v>
      </c>
      <c r="AA381" s="62">
        <f t="shared" si="285"/>
        <v>10362.25068958263</v>
      </c>
      <c r="AB381" s="62">
        <f t="shared" si="285"/>
        <v>7032.3629519435117</v>
      </c>
      <c r="AC381" s="62">
        <f t="shared" si="285"/>
        <v>4753.554838406355</v>
      </c>
    </row>
    <row r="382" spans="1:29" ht="15.75" thickBot="1" x14ac:dyDescent="0.3">
      <c r="A382" s="31" t="s">
        <v>209</v>
      </c>
      <c r="B382" s="64">
        <f>B373+B374+B375+B376+B377+B378+B379+B380+B381</f>
        <v>22080353.325413529</v>
      </c>
      <c r="C382" s="64">
        <f t="shared" ref="C382:AC382" si="286">C373+C374+C375+C376+C377+C378+C379+C380+C381</f>
        <v>22019347.376816727</v>
      </c>
      <c r="D382" s="64">
        <f t="shared" si="286"/>
        <v>21932714.209318958</v>
      </c>
      <c r="E382" s="64">
        <f t="shared" si="286"/>
        <v>21810236.22766874</v>
      </c>
      <c r="F382" s="64">
        <f t="shared" si="286"/>
        <v>21638211.869684782</v>
      </c>
      <c r="G382" s="64">
        <f t="shared" si="286"/>
        <v>21398887.426579162</v>
      </c>
      <c r="H382" s="64">
        <f t="shared" si="286"/>
        <v>21070462.707823414</v>
      </c>
      <c r="I382" s="64">
        <f t="shared" si="286"/>
        <v>20628418.810146306</v>
      </c>
      <c r="J382" s="64">
        <f t="shared" si="286"/>
        <v>20049190.70327954</v>
      </c>
      <c r="K382" s="64">
        <f t="shared" si="286"/>
        <v>19316987.966639161</v>
      </c>
      <c r="L382" s="64">
        <f t="shared" si="286"/>
        <v>18433122.847277269</v>
      </c>
      <c r="M382" s="64">
        <f t="shared" si="286"/>
        <v>17424270.360103533</v>
      </c>
      <c r="N382" s="64">
        <f t="shared" si="286"/>
        <v>16343487.238515062</v>
      </c>
      <c r="O382" s="64">
        <f t="shared" si="286"/>
        <v>15259644.391108966</v>
      </c>
      <c r="P382" s="64">
        <f t="shared" si="286"/>
        <v>14238691.666036967</v>
      </c>
      <c r="Q382" s="64">
        <f t="shared" si="286"/>
        <v>13327357.279481318</v>
      </c>
      <c r="R382" s="64">
        <f t="shared" si="286"/>
        <v>12547891.787333824</v>
      </c>
      <c r="S382" s="64">
        <f t="shared" si="286"/>
        <v>11903143.431713894</v>
      </c>
      <c r="T382" s="64">
        <f t="shared" si="286"/>
        <v>11384870.83341155</v>
      </c>
      <c r="U382" s="64">
        <f t="shared" si="286"/>
        <v>10979637.961985972</v>
      </c>
      <c r="V382" s="64">
        <f t="shared" si="286"/>
        <v>10671521.805067992</v>
      </c>
      <c r="W382" s="64">
        <f t="shared" si="286"/>
        <v>10443490.47549919</v>
      </c>
      <c r="X382" s="64">
        <f t="shared" si="286"/>
        <v>10278760.213736489</v>
      </c>
      <c r="Y382" s="64">
        <f t="shared" si="286"/>
        <v>10162125.278704433</v>
      </c>
      <c r="Z382" s="64">
        <f t="shared" si="286"/>
        <v>10080829.740792783</v>
      </c>
      <c r="AA382" s="64">
        <f t="shared" si="286"/>
        <v>10024825.959291825</v>
      </c>
      <c r="AB382" s="64">
        <f t="shared" si="286"/>
        <v>9986570.2907795273</v>
      </c>
      <c r="AC382" s="64">
        <f t="shared" si="286"/>
        <v>9960593.5308017973</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287">A373</f>
        <v>Capex vehicle</v>
      </c>
      <c r="B385" s="65">
        <f>((1+B358)^B365)*B358/(((1+B358)^B365)-1)*(B354)/B370</f>
        <v>19.541646546706382</v>
      </c>
      <c r="C385" s="65">
        <f t="shared" ref="C385:AC385" si="288">((1+C358)^C365)*C358/(((1+C358)^C365)-1)*(C354)/C370</f>
        <v>19.535142908407877</v>
      </c>
      <c r="D385" s="65">
        <f t="shared" si="288"/>
        <v>19.525833095040429</v>
      </c>
      <c r="E385" s="65">
        <f t="shared" si="288"/>
        <v>19.512514752322947</v>
      </c>
      <c r="F385" s="65">
        <f t="shared" si="288"/>
        <v>19.493479901741438</v>
      </c>
      <c r="G385" s="65">
        <f t="shared" si="288"/>
        <v>19.466313056359834</v>
      </c>
      <c r="H385" s="65">
        <f t="shared" si="288"/>
        <v>19.427620803779718</v>
      </c>
      <c r="I385" s="65">
        <f t="shared" si="288"/>
        <v>19.372683351719548</v>
      </c>
      <c r="J385" s="65">
        <f t="shared" si="288"/>
        <v>19.295034542384581</v>
      </c>
      <c r="K385" s="65">
        <f t="shared" si="288"/>
        <v>19.186017014978848</v>
      </c>
      <c r="L385" s="65">
        <f t="shared" si="288"/>
        <v>19.03444307729697</v>
      </c>
      <c r="M385" s="65">
        <f t="shared" si="288"/>
        <v>18.826640879127403</v>
      </c>
      <c r="N385" s="65">
        <f t="shared" si="288"/>
        <v>18.547376991970825</v>
      </c>
      <c r="O385" s="65">
        <f t="shared" si="288"/>
        <v>18.182325141641847</v>
      </c>
      <c r="P385" s="65">
        <f t="shared" si="288"/>
        <v>17.722604037923674</v>
      </c>
      <c r="Q385" s="65">
        <f t="shared" si="288"/>
        <v>17.170951909758209</v>
      </c>
      <c r="R385" s="65">
        <f t="shared" si="288"/>
        <v>16.547158217048082</v>
      </c>
      <c r="S385" s="65">
        <f t="shared" si="288"/>
        <v>15.888621775015123</v>
      </c>
      <c r="T385" s="65">
        <f t="shared" si="288"/>
        <v>15.243044098403505</v>
      </c>
      <c r="U385" s="65">
        <f t="shared" si="288"/>
        <v>14.655361451100672</v>
      </c>
      <c r="V385" s="65">
        <f t="shared" si="288"/>
        <v>14.15591488851158</v>
      </c>
      <c r="W385" s="65">
        <f t="shared" si="288"/>
        <v>13.755947637689308</v>
      </c>
      <c r="X385" s="65">
        <f t="shared" si="288"/>
        <v>13.450754873498525</v>
      </c>
      <c r="Y385" s="65">
        <f t="shared" si="288"/>
        <v>13.226413715323233</v>
      </c>
      <c r="Z385" s="65">
        <f t="shared" si="288"/>
        <v>13.066013032696132</v>
      </c>
      <c r="AA385" s="65">
        <f t="shared" si="288"/>
        <v>12.953595842091289</v>
      </c>
      <c r="AB385" s="65">
        <f t="shared" si="288"/>
        <v>12.875908653682803</v>
      </c>
      <c r="AC385" s="65">
        <f t="shared" si="288"/>
        <v>12.822743439353784</v>
      </c>
    </row>
    <row r="386" spans="1:29" x14ac:dyDescent="0.25">
      <c r="A386" s="30" t="str">
        <f t="shared" si="287"/>
        <v>Residual value (vehicle)</v>
      </c>
      <c r="B386" s="66">
        <f>((1+B358)^B365)*B358/(((1+B358)^B365)-1)*(B355)/B370</f>
        <v>-0.97847824935465733</v>
      </c>
      <c r="C386" s="66">
        <f t="shared" ref="C386:AC386" si="289">((1+C358)^C365)*C358/(((1+C358)^C365)-1)*(C355)/C370</f>
        <v>-0.9787569767103077</v>
      </c>
      <c r="D386" s="66">
        <f t="shared" si="289"/>
        <v>-0.97915596871176991</v>
      </c>
      <c r="E386" s="66">
        <f t="shared" si="289"/>
        <v>-0.97972675482823313</v>
      </c>
      <c r="F386" s="66">
        <f t="shared" si="289"/>
        <v>-0.98054253413886938</v>
      </c>
      <c r="G386" s="66">
        <f t="shared" si="289"/>
        <v>-0.98170682751236671</v>
      </c>
      <c r="H386" s="66">
        <f t="shared" si="289"/>
        <v>-0.98336506690865744</v>
      </c>
      <c r="I386" s="66">
        <f t="shared" si="289"/>
        <v>-0.98571952913980765</v>
      </c>
      <c r="J386" s="66">
        <f t="shared" si="289"/>
        <v>-0.98904733525416333</v>
      </c>
      <c r="K386" s="66">
        <f t="shared" si="289"/>
        <v>-0.99371951500012301</v>
      </c>
      <c r="L386" s="66">
        <f t="shared" si="289"/>
        <v>-1.0002155409007751</v>
      </c>
      <c r="M386" s="66">
        <f t="shared" si="289"/>
        <v>-1.0091213493937565</v>
      </c>
      <c r="N386" s="66">
        <f t="shared" si="289"/>
        <v>-1.021089801700467</v>
      </c>
      <c r="O386" s="66">
        <f t="shared" si="289"/>
        <v>-1.0367348810002803</v>
      </c>
      <c r="P386" s="66">
        <f t="shared" si="289"/>
        <v>-1.0564372140167737</v>
      </c>
      <c r="Q386" s="66">
        <f t="shared" si="289"/>
        <v>-1.0800794480810079</v>
      </c>
      <c r="R386" s="66">
        <f t="shared" si="289"/>
        <v>-1.1068134634828701</v>
      </c>
      <c r="S386" s="66">
        <f t="shared" si="289"/>
        <v>-1.1350364538557114</v>
      </c>
      <c r="T386" s="66">
        <f t="shared" si="289"/>
        <v>-1.1627040685676377</v>
      </c>
      <c r="U386" s="66">
        <f t="shared" si="289"/>
        <v>-1.1878904677377591</v>
      </c>
      <c r="V386" s="66">
        <f t="shared" si="289"/>
        <v>-1.2092953204201489</v>
      </c>
      <c r="W386" s="66">
        <f t="shared" si="289"/>
        <v>-1.2264367740268176</v>
      </c>
      <c r="X386" s="66">
        <f t="shared" si="289"/>
        <v>-1.2395164639207084</v>
      </c>
      <c r="Y386" s="66">
        <f t="shared" si="289"/>
        <v>-1.2491310849853638</v>
      </c>
      <c r="Z386" s="66">
        <f t="shared" si="289"/>
        <v>-1.2560053999550969</v>
      </c>
      <c r="AA386" s="66">
        <f t="shared" si="289"/>
        <v>-1.2608232795524472</v>
      </c>
      <c r="AB386" s="66">
        <f t="shared" si="289"/>
        <v>-1.2641527304842395</v>
      </c>
      <c r="AC386" s="66">
        <f t="shared" si="289"/>
        <v>-1.2664312396697688</v>
      </c>
    </row>
    <row r="387" spans="1:29" x14ac:dyDescent="0.25">
      <c r="A387" s="30" t="str">
        <f t="shared" si="287"/>
        <v>Capex costumization</v>
      </c>
      <c r="B387" s="66">
        <f>((1+B358)^B366)*B358/(((1+B358)^B366)-1)*(B356)/B370</f>
        <v>0.65188931843561626</v>
      </c>
      <c r="C387" s="66">
        <f t="shared" ref="C387:AC387" si="290">((1+C358)^C366)*C358/(((1+C358)^C366)-1)*(C356)/C370</f>
        <v>0.65188931843561626</v>
      </c>
      <c r="D387" s="66">
        <f t="shared" si="290"/>
        <v>0.65188931843561626</v>
      </c>
      <c r="E387" s="66">
        <f t="shared" si="290"/>
        <v>0.65188931843561626</v>
      </c>
      <c r="F387" s="66">
        <f t="shared" si="290"/>
        <v>0.65188931843561626</v>
      </c>
      <c r="G387" s="66">
        <f t="shared" si="290"/>
        <v>0.65188931843561626</v>
      </c>
      <c r="H387" s="66">
        <f t="shared" si="290"/>
        <v>0.65188931843561626</v>
      </c>
      <c r="I387" s="66">
        <f t="shared" si="290"/>
        <v>0.65188931843561626</v>
      </c>
      <c r="J387" s="66">
        <f t="shared" si="290"/>
        <v>0.65188931843561626</v>
      </c>
      <c r="K387" s="66">
        <f t="shared" si="290"/>
        <v>0.65188931843561626</v>
      </c>
      <c r="L387" s="66">
        <f t="shared" si="290"/>
        <v>0.65188931843561626</v>
      </c>
      <c r="M387" s="66">
        <f t="shared" si="290"/>
        <v>0.65188931843561626</v>
      </c>
      <c r="N387" s="66">
        <f t="shared" si="290"/>
        <v>0.65188931843561626</v>
      </c>
      <c r="O387" s="66">
        <f t="shared" si="290"/>
        <v>0.65188931843561626</v>
      </c>
      <c r="P387" s="66">
        <f t="shared" si="290"/>
        <v>0.65188931843561626</v>
      </c>
      <c r="Q387" s="66">
        <f t="shared" si="290"/>
        <v>0.65188931843561626</v>
      </c>
      <c r="R387" s="66">
        <f t="shared" si="290"/>
        <v>0.65188931843561626</v>
      </c>
      <c r="S387" s="66">
        <f t="shared" si="290"/>
        <v>0.65188931843561626</v>
      </c>
      <c r="T387" s="66">
        <f t="shared" si="290"/>
        <v>0.65188931843561626</v>
      </c>
      <c r="U387" s="66">
        <f t="shared" si="290"/>
        <v>0.65188931843561626</v>
      </c>
      <c r="V387" s="66">
        <f t="shared" si="290"/>
        <v>0.65188931843561626</v>
      </c>
      <c r="W387" s="66">
        <f t="shared" si="290"/>
        <v>0.65188931843561626</v>
      </c>
      <c r="X387" s="66">
        <f t="shared" si="290"/>
        <v>0.65188931843561626</v>
      </c>
      <c r="Y387" s="66">
        <f t="shared" si="290"/>
        <v>0.65188931843561626</v>
      </c>
      <c r="Z387" s="66">
        <f t="shared" si="290"/>
        <v>0.65188931843561626</v>
      </c>
      <c r="AA387" s="66">
        <f t="shared" si="290"/>
        <v>0.65188931843561626</v>
      </c>
      <c r="AB387" s="66">
        <f t="shared" si="290"/>
        <v>0.65188931843561626</v>
      </c>
      <c r="AC387" s="66">
        <f t="shared" si="290"/>
        <v>0.65188931843561626</v>
      </c>
    </row>
    <row r="388" spans="1:29" x14ac:dyDescent="0.25">
      <c r="A388" s="30" t="str">
        <f t="shared" si="287"/>
        <v>Residual value (costumization)</v>
      </c>
      <c r="B388" s="66">
        <f>((1+B358)^B366)*B358/(((1+B358)^B366)-1)*(B357)/B370</f>
        <v>-6.5188931843561615E-2</v>
      </c>
      <c r="C388" s="66">
        <f t="shared" ref="C388:AC388" si="291">((1+C358)^C366)*C358/(((1+C358)^C366)-1)*(C357)/C370</f>
        <v>-6.5188931843561615E-2</v>
      </c>
      <c r="D388" s="66">
        <f t="shared" si="291"/>
        <v>-6.5188931843561615E-2</v>
      </c>
      <c r="E388" s="66">
        <f t="shared" si="291"/>
        <v>-6.5188931843561615E-2</v>
      </c>
      <c r="F388" s="66">
        <f t="shared" si="291"/>
        <v>-6.5188931843561615E-2</v>
      </c>
      <c r="G388" s="66">
        <f t="shared" si="291"/>
        <v>-6.5188931843561615E-2</v>
      </c>
      <c r="H388" s="66">
        <f t="shared" si="291"/>
        <v>-6.5188931843561615E-2</v>
      </c>
      <c r="I388" s="66">
        <f t="shared" si="291"/>
        <v>-6.5188931843561615E-2</v>
      </c>
      <c r="J388" s="66">
        <f t="shared" si="291"/>
        <v>-6.5188931843561615E-2</v>
      </c>
      <c r="K388" s="66">
        <f t="shared" si="291"/>
        <v>-6.5188931843561615E-2</v>
      </c>
      <c r="L388" s="66">
        <f t="shared" si="291"/>
        <v>-6.5188931843561615E-2</v>
      </c>
      <c r="M388" s="66">
        <f t="shared" si="291"/>
        <v>-6.5188931843561615E-2</v>
      </c>
      <c r="N388" s="66">
        <f t="shared" si="291"/>
        <v>-6.5188931843561615E-2</v>
      </c>
      <c r="O388" s="66">
        <f t="shared" si="291"/>
        <v>-6.5188931843561615E-2</v>
      </c>
      <c r="P388" s="66">
        <f t="shared" si="291"/>
        <v>-6.5188931843561615E-2</v>
      </c>
      <c r="Q388" s="66">
        <f t="shared" si="291"/>
        <v>-6.5188931843561615E-2</v>
      </c>
      <c r="R388" s="66">
        <f t="shared" si="291"/>
        <v>-6.5188931843561615E-2</v>
      </c>
      <c r="S388" s="66">
        <f t="shared" si="291"/>
        <v>-6.5188931843561615E-2</v>
      </c>
      <c r="T388" s="66">
        <f t="shared" si="291"/>
        <v>-6.5188931843561615E-2</v>
      </c>
      <c r="U388" s="66">
        <f t="shared" si="291"/>
        <v>-6.5188931843561615E-2</v>
      </c>
      <c r="V388" s="66">
        <f t="shared" si="291"/>
        <v>-6.5188931843561615E-2</v>
      </c>
      <c r="W388" s="66">
        <f t="shared" si="291"/>
        <v>-6.5188931843561615E-2</v>
      </c>
      <c r="X388" s="66">
        <f t="shared" si="291"/>
        <v>-6.5188931843561615E-2</v>
      </c>
      <c r="Y388" s="66">
        <f t="shared" si="291"/>
        <v>-6.5188931843561615E-2</v>
      </c>
      <c r="Z388" s="66">
        <f t="shared" si="291"/>
        <v>-6.5188931843561615E-2</v>
      </c>
      <c r="AA388" s="66">
        <f t="shared" si="291"/>
        <v>-6.5188931843561615E-2</v>
      </c>
      <c r="AB388" s="66">
        <f t="shared" si="291"/>
        <v>-6.5188931843561615E-2</v>
      </c>
      <c r="AC388" s="66">
        <f t="shared" si="291"/>
        <v>-6.5188931843561615E-2</v>
      </c>
    </row>
    <row r="389" spans="1:29" x14ac:dyDescent="0.25">
      <c r="A389" s="30" t="str">
        <f t="shared" si="287"/>
        <v>Opex fix (admin, crew, insurance)</v>
      </c>
      <c r="B389" s="66">
        <f>B359/B370</f>
        <v>10.068627450980392</v>
      </c>
      <c r="C389" s="66">
        <f t="shared" ref="C389:AC389" si="292">C359/C370</f>
        <v>10.068627450980392</v>
      </c>
      <c r="D389" s="66">
        <f t="shared" si="292"/>
        <v>10.068627450980392</v>
      </c>
      <c r="E389" s="66">
        <f t="shared" si="292"/>
        <v>10.068627450980392</v>
      </c>
      <c r="F389" s="66">
        <f t="shared" si="292"/>
        <v>10.068627450980392</v>
      </c>
      <c r="G389" s="66">
        <f t="shared" si="292"/>
        <v>10.068627450980392</v>
      </c>
      <c r="H389" s="66">
        <f t="shared" si="292"/>
        <v>10.068627450980392</v>
      </c>
      <c r="I389" s="66">
        <f t="shared" si="292"/>
        <v>10.068627450980392</v>
      </c>
      <c r="J389" s="66">
        <f t="shared" si="292"/>
        <v>10.068627450980392</v>
      </c>
      <c r="K389" s="66">
        <f t="shared" si="292"/>
        <v>10.068627450980392</v>
      </c>
      <c r="L389" s="66">
        <f t="shared" si="292"/>
        <v>10.068627450980392</v>
      </c>
      <c r="M389" s="66">
        <f t="shared" si="292"/>
        <v>10.068627450980392</v>
      </c>
      <c r="N389" s="66">
        <f t="shared" si="292"/>
        <v>10.068627450980392</v>
      </c>
      <c r="O389" s="66">
        <f t="shared" si="292"/>
        <v>10.068627450980392</v>
      </c>
      <c r="P389" s="66">
        <f t="shared" si="292"/>
        <v>10.068627450980392</v>
      </c>
      <c r="Q389" s="66">
        <f t="shared" si="292"/>
        <v>10.068627450980392</v>
      </c>
      <c r="R389" s="66">
        <f t="shared" si="292"/>
        <v>10.068627450980392</v>
      </c>
      <c r="S389" s="66">
        <f t="shared" si="292"/>
        <v>10.068627450980392</v>
      </c>
      <c r="T389" s="66">
        <f t="shared" si="292"/>
        <v>10.068627450980392</v>
      </c>
      <c r="U389" s="66">
        <f t="shared" si="292"/>
        <v>10.068627450980392</v>
      </c>
      <c r="V389" s="66">
        <f t="shared" si="292"/>
        <v>10.068627450980392</v>
      </c>
      <c r="W389" s="66">
        <f t="shared" si="292"/>
        <v>10.068627450980392</v>
      </c>
      <c r="X389" s="66">
        <f t="shared" si="292"/>
        <v>10.068627450980392</v>
      </c>
      <c r="Y389" s="66">
        <f t="shared" si="292"/>
        <v>10.068627450980392</v>
      </c>
      <c r="Z389" s="66">
        <f t="shared" si="292"/>
        <v>10.068627450980392</v>
      </c>
      <c r="AA389" s="66">
        <f t="shared" si="292"/>
        <v>10.068627450980392</v>
      </c>
      <c r="AB389" s="66">
        <f t="shared" si="292"/>
        <v>10.068627450980392</v>
      </c>
      <c r="AC389" s="66">
        <f t="shared" si="292"/>
        <v>10.068627450980392</v>
      </c>
    </row>
    <row r="390" spans="1:29" x14ac:dyDescent="0.25">
      <c r="A390" s="30" t="str">
        <f t="shared" si="287"/>
        <v>Opex maintenance &amp; repair</v>
      </c>
      <c r="B390" s="66">
        <f>B360/B370</f>
        <v>2.8235294117647056</v>
      </c>
      <c r="C390" s="66">
        <f t="shared" ref="C390:AC390" si="293">C360/C370</f>
        <v>2.8235294117647056</v>
      </c>
      <c r="D390" s="66">
        <f t="shared" si="293"/>
        <v>2.8235294117647056</v>
      </c>
      <c r="E390" s="66">
        <f t="shared" si="293"/>
        <v>2.8235294117647056</v>
      </c>
      <c r="F390" s="66">
        <f t="shared" si="293"/>
        <v>2.8235294117647056</v>
      </c>
      <c r="G390" s="66">
        <f t="shared" si="293"/>
        <v>2.8235294117647056</v>
      </c>
      <c r="H390" s="66">
        <f t="shared" si="293"/>
        <v>2.8235294117647056</v>
      </c>
      <c r="I390" s="66">
        <f t="shared" si="293"/>
        <v>2.8235294117647056</v>
      </c>
      <c r="J390" s="66">
        <f t="shared" si="293"/>
        <v>2.8235294117647056</v>
      </c>
      <c r="K390" s="66">
        <f t="shared" si="293"/>
        <v>2.8235294117647056</v>
      </c>
      <c r="L390" s="66">
        <f t="shared" si="293"/>
        <v>2.8235294117647056</v>
      </c>
      <c r="M390" s="66">
        <f t="shared" si="293"/>
        <v>2.8235294117647056</v>
      </c>
      <c r="N390" s="66">
        <f t="shared" si="293"/>
        <v>2.8235294117647056</v>
      </c>
      <c r="O390" s="66">
        <f t="shared" si="293"/>
        <v>2.8235294117647056</v>
      </c>
      <c r="P390" s="66">
        <f t="shared" si="293"/>
        <v>2.8235294117647056</v>
      </c>
      <c r="Q390" s="66">
        <f t="shared" si="293"/>
        <v>2.8235294117647056</v>
      </c>
      <c r="R390" s="66">
        <f t="shared" si="293"/>
        <v>2.8235294117647056</v>
      </c>
      <c r="S390" s="66">
        <f t="shared" si="293"/>
        <v>2.8235294117647056</v>
      </c>
      <c r="T390" s="66">
        <f t="shared" si="293"/>
        <v>2.8235294117647056</v>
      </c>
      <c r="U390" s="66">
        <f t="shared" si="293"/>
        <v>2.8235294117647056</v>
      </c>
      <c r="V390" s="66">
        <f t="shared" si="293"/>
        <v>2.8235294117647056</v>
      </c>
      <c r="W390" s="66">
        <f t="shared" si="293"/>
        <v>2.8235294117647056</v>
      </c>
      <c r="X390" s="66">
        <f t="shared" si="293"/>
        <v>2.8235294117647056</v>
      </c>
      <c r="Y390" s="66">
        <f t="shared" si="293"/>
        <v>2.8235294117647056</v>
      </c>
      <c r="Z390" s="66">
        <f t="shared" si="293"/>
        <v>2.8235294117647056</v>
      </c>
      <c r="AA390" s="66">
        <f t="shared" si="293"/>
        <v>2.8235294117647056</v>
      </c>
      <c r="AB390" s="66">
        <f t="shared" si="293"/>
        <v>2.8235294117647056</v>
      </c>
      <c r="AC390" s="66">
        <f t="shared" si="293"/>
        <v>2.8235294117647056</v>
      </c>
    </row>
    <row r="391" spans="1:29" x14ac:dyDescent="0.25">
      <c r="A391" s="30" t="str">
        <f t="shared" si="287"/>
        <v>Opex var (mode-fees)</v>
      </c>
      <c r="B391" s="66">
        <f>B361*B370/B370</f>
        <v>0.81280569096848254</v>
      </c>
      <c r="C391" s="66">
        <f t="shared" ref="C391:AC391" si="294">C361*C370/C370</f>
        <v>0.81280569096848254</v>
      </c>
      <c r="D391" s="66">
        <f t="shared" si="294"/>
        <v>0.81280569096848254</v>
      </c>
      <c r="E391" s="66">
        <f t="shared" si="294"/>
        <v>0.81280569096848254</v>
      </c>
      <c r="F391" s="66">
        <f t="shared" si="294"/>
        <v>0.81280569096848254</v>
      </c>
      <c r="G391" s="66">
        <f t="shared" si="294"/>
        <v>0.81280569096848254</v>
      </c>
      <c r="H391" s="66">
        <f t="shared" si="294"/>
        <v>0.81280569096848254</v>
      </c>
      <c r="I391" s="66">
        <f t="shared" si="294"/>
        <v>0.81280569096848254</v>
      </c>
      <c r="J391" s="66">
        <f t="shared" si="294"/>
        <v>0.81280569096848254</v>
      </c>
      <c r="K391" s="66">
        <f t="shared" si="294"/>
        <v>0.81280569096848254</v>
      </c>
      <c r="L391" s="66">
        <f t="shared" si="294"/>
        <v>0.81280569096848254</v>
      </c>
      <c r="M391" s="66">
        <f t="shared" si="294"/>
        <v>0.81280569096848254</v>
      </c>
      <c r="N391" s="66">
        <f t="shared" si="294"/>
        <v>0.81280569096848254</v>
      </c>
      <c r="O391" s="66">
        <f t="shared" si="294"/>
        <v>0.81280569096848254</v>
      </c>
      <c r="P391" s="66">
        <f t="shared" si="294"/>
        <v>0.81280569096848254</v>
      </c>
      <c r="Q391" s="66">
        <f t="shared" si="294"/>
        <v>0.81280569096848254</v>
      </c>
      <c r="R391" s="66">
        <f t="shared" si="294"/>
        <v>0.81280569096848254</v>
      </c>
      <c r="S391" s="66">
        <f t="shared" si="294"/>
        <v>0.81280569096848254</v>
      </c>
      <c r="T391" s="66">
        <f t="shared" si="294"/>
        <v>0.81280569096848254</v>
      </c>
      <c r="U391" s="66">
        <f t="shared" si="294"/>
        <v>0.81280569096848254</v>
      </c>
      <c r="V391" s="66">
        <f t="shared" si="294"/>
        <v>0.81280569096848254</v>
      </c>
      <c r="W391" s="66">
        <f t="shared" si="294"/>
        <v>0.81280569096848254</v>
      </c>
      <c r="X391" s="66">
        <f t="shared" si="294"/>
        <v>0.81280569096848254</v>
      </c>
      <c r="Y391" s="66">
        <f t="shared" si="294"/>
        <v>0.81280569096848254</v>
      </c>
      <c r="Z391" s="66">
        <f t="shared" si="294"/>
        <v>0.81280569096848254</v>
      </c>
      <c r="AA391" s="66">
        <f t="shared" si="294"/>
        <v>0.81280569096848254</v>
      </c>
      <c r="AB391" s="66">
        <f t="shared" si="294"/>
        <v>0.81280569096848254</v>
      </c>
      <c r="AC391" s="66">
        <f t="shared" si="294"/>
        <v>0.81280569096848254</v>
      </c>
    </row>
    <row r="392" spans="1:29" x14ac:dyDescent="0.25">
      <c r="A392" s="30" t="str">
        <f t="shared" si="287"/>
        <v>Fuel Cost</v>
      </c>
      <c r="B392" s="66">
        <f>B362*B363*B370/B370</f>
        <v>148.70857711562945</v>
      </c>
      <c r="C392" s="66">
        <f t="shared" ref="C392:AC392" si="295">C362*C363*C370/C370</f>
        <v>148.2092996090033</v>
      </c>
      <c r="D392" s="66">
        <f t="shared" si="295"/>
        <v>147.50039072144946</v>
      </c>
      <c r="E392" s="66">
        <f t="shared" si="295"/>
        <v>146.49838717820242</v>
      </c>
      <c r="F392" s="66">
        <f t="shared" si="295"/>
        <v>145.09150054436526</v>
      </c>
      <c r="G392" s="66">
        <f t="shared" si="295"/>
        <v>143.13516504159401</v>
      </c>
      <c r="H392" s="66">
        <f t="shared" si="295"/>
        <v>140.45246335184149</v>
      </c>
      <c r="I392" s="66">
        <f t="shared" si="295"/>
        <v>136.84567921152174</v>
      </c>
      <c r="J392" s="66">
        <f t="shared" si="295"/>
        <v>132.12749029228479</v>
      </c>
      <c r="K392" s="66">
        <f t="shared" si="295"/>
        <v>126.17843046668766</v>
      </c>
      <c r="L392" s="66">
        <f t="shared" si="295"/>
        <v>119.02509842012032</v>
      </c>
      <c r="M392" s="66">
        <f t="shared" si="295"/>
        <v>110.90892717439007</v>
      </c>
      <c r="N392" s="66">
        <f t="shared" si="295"/>
        <v>102.29338368813721</v>
      </c>
      <c r="O392" s="66">
        <f t="shared" si="295"/>
        <v>93.772449654790975</v>
      </c>
      <c r="P392" s="66">
        <f t="shared" si="295"/>
        <v>85.908141364720535</v>
      </c>
      <c r="Q392" s="66">
        <f t="shared" si="295"/>
        <v>79.08602697062571</v>
      </c>
      <c r="R392" s="66">
        <f t="shared" si="295"/>
        <v>73.463821600502129</v>
      </c>
      <c r="S392" s="66">
        <f t="shared" si="295"/>
        <v>69.012900511705325</v>
      </c>
      <c r="T392" s="66">
        <f t="shared" si="295"/>
        <v>65.597801188446326</v>
      </c>
      <c r="U392" s="66">
        <f t="shared" si="295"/>
        <v>63.043643835444911</v>
      </c>
      <c r="V392" s="66">
        <f t="shared" si="295"/>
        <v>61.175257783754894</v>
      </c>
      <c r="W392" s="66">
        <f t="shared" si="295"/>
        <v>59.834969595711442</v>
      </c>
      <c r="X392" s="66">
        <f t="shared" si="295"/>
        <v>58.889501584090596</v>
      </c>
      <c r="Y392" s="66">
        <f t="shared" si="295"/>
        <v>58.231631925151966</v>
      </c>
      <c r="Z392" s="66">
        <f t="shared" si="295"/>
        <v>57.778737580505499</v>
      </c>
      <c r="AA392" s="66">
        <f t="shared" si="295"/>
        <v>57.469428735507542</v>
      </c>
      <c r="AB392" s="66">
        <f t="shared" si="295"/>
        <v>57.259397201725669</v>
      </c>
      <c r="AC392" s="66">
        <f t="shared" si="295"/>
        <v>57.11735799303861</v>
      </c>
    </row>
    <row r="393" spans="1:29" ht="15.75" thickBot="1" x14ac:dyDescent="0.3">
      <c r="A393" s="59" t="str">
        <f t="shared" ref="A393" si="296">A381</f>
        <v>Emission Cost</v>
      </c>
      <c r="B393" s="66">
        <f>B364</f>
        <v>2.4395360251592355</v>
      </c>
      <c r="C393" s="66">
        <f t="shared" ref="C393:AC393" si="297">C364</f>
        <v>2.437212992466212</v>
      </c>
      <c r="D393" s="66">
        <f t="shared" si="297"/>
        <v>2.4338876229075299</v>
      </c>
      <c r="E393" s="66">
        <f t="shared" si="297"/>
        <v>2.4291304479033946</v>
      </c>
      <c r="F393" s="66">
        <f t="shared" si="297"/>
        <v>2.422331395099703</v>
      </c>
      <c r="G393" s="66">
        <f t="shared" si="297"/>
        <v>2.4126276774125932</v>
      </c>
      <c r="H393" s="66">
        <f t="shared" si="297"/>
        <v>2.3988072028436171</v>
      </c>
      <c r="I393" s="66">
        <f t="shared" si="297"/>
        <v>2.379184110145415</v>
      </c>
      <c r="J393" s="66">
        <f t="shared" si="297"/>
        <v>2.3514487542753191</v>
      </c>
      <c r="K393" s="66">
        <f t="shared" si="297"/>
        <v>2.3125088150209741</v>
      </c>
      <c r="L393" s="66">
        <f t="shared" si="297"/>
        <v>2.2583681638217614</v>
      </c>
      <c r="M393" s="66">
        <f t="shared" si="297"/>
        <v>2.1841433564334305</v>
      </c>
      <c r="N393" s="66">
        <f t="shared" si="297"/>
        <v>2.0843931689123196</v>
      </c>
      <c r="O393" s="66">
        <f t="shared" si="297"/>
        <v>1.9540004035032079</v>
      </c>
      <c r="P393" s="66">
        <f t="shared" si="297"/>
        <v>1.7897927547083285</v>
      </c>
      <c r="Q393" s="66">
        <f t="shared" si="297"/>
        <v>1.5927482897357697</v>
      </c>
      <c r="R393" s="66">
        <f t="shared" si="297"/>
        <v>1.3699356000755636</v>
      </c>
      <c r="S393" s="66">
        <f t="shared" si="297"/>
        <v>1.1347131577787466</v>
      </c>
      <c r="T393" s="66">
        <f t="shared" si="297"/>
        <v>0.90411945317509268</v>
      </c>
      <c r="U393" s="66">
        <f t="shared" si="297"/>
        <v>0.69420525743630557</v>
      </c>
      <c r="V393" s="66">
        <f t="shared" si="297"/>
        <v>0.51580808341464834</v>
      </c>
      <c r="W393" s="66">
        <f t="shared" si="297"/>
        <v>0.37294389614701329</v>
      </c>
      <c r="X393" s="66">
        <f t="shared" si="297"/>
        <v>0.26393218049669054</v>
      </c>
      <c r="Y393" s="66">
        <f t="shared" si="297"/>
        <v>0.18379982674147044</v>
      </c>
      <c r="Z393" s="66">
        <f t="shared" si="297"/>
        <v>0.12650635305435332</v>
      </c>
      <c r="AA393" s="66">
        <f t="shared" si="297"/>
        <v>8.6352089079855254E-2</v>
      </c>
      <c r="AB393" s="66">
        <f t="shared" si="297"/>
        <v>5.8603024599529263E-2</v>
      </c>
      <c r="AC393" s="66">
        <f t="shared" si="297"/>
        <v>3.9612956986719627E-2</v>
      </c>
    </row>
    <row r="394" spans="1:29" ht="15.75" thickBot="1" x14ac:dyDescent="0.3">
      <c r="A394" s="31" t="s">
        <v>63</v>
      </c>
      <c r="B394" s="76">
        <f>B385+B386+B387-B388+B389+B390+B391+B392+B393</f>
        <v>184.13332224213318</v>
      </c>
      <c r="C394" s="76">
        <f t="shared" ref="C394:AC394" si="298">C385+C386+C387-C388+C389+C390+C391+C392+C393</f>
        <v>183.62493933715982</v>
      </c>
      <c r="D394" s="76">
        <f t="shared" si="298"/>
        <v>182.9029962746784</v>
      </c>
      <c r="E394" s="76">
        <f t="shared" si="298"/>
        <v>181.88234642759329</v>
      </c>
      <c r="F394" s="76">
        <f t="shared" si="298"/>
        <v>180.44881011106028</v>
      </c>
      <c r="G394" s="76">
        <f t="shared" si="298"/>
        <v>178.45443975184682</v>
      </c>
      <c r="H394" s="76">
        <f t="shared" si="298"/>
        <v>175.71756709554893</v>
      </c>
      <c r="I394" s="76">
        <f t="shared" si="298"/>
        <v>172.03386794823965</v>
      </c>
      <c r="J394" s="76">
        <f t="shared" si="298"/>
        <v>167.20696705768327</v>
      </c>
      <c r="K394" s="76">
        <f t="shared" si="298"/>
        <v>161.10527758568011</v>
      </c>
      <c r="L394" s="76">
        <f t="shared" si="298"/>
        <v>153.73973492433103</v>
      </c>
      <c r="M394" s="76">
        <f t="shared" si="298"/>
        <v>145.33263086454991</v>
      </c>
      <c r="N394" s="76">
        <f t="shared" si="298"/>
        <v>136.32610485131266</v>
      </c>
      <c r="O394" s="76">
        <f t="shared" si="298"/>
        <v>127.2940811229285</v>
      </c>
      <c r="P394" s="76">
        <f t="shared" si="298"/>
        <v>118.78614174732851</v>
      </c>
      <c r="Q394" s="76">
        <f t="shared" si="298"/>
        <v>111.19168852603143</v>
      </c>
      <c r="R394" s="76">
        <f t="shared" si="298"/>
        <v>104.69614275813566</v>
      </c>
      <c r="S394" s="76">
        <f t="shared" si="298"/>
        <v>99.323239794636237</v>
      </c>
      <c r="T394" s="76">
        <f t="shared" si="298"/>
        <v>95.004301475450049</v>
      </c>
      <c r="U394" s="76">
        <f t="shared" si="298"/>
        <v>91.627360880236893</v>
      </c>
      <c r="V394" s="76">
        <f t="shared" si="298"/>
        <v>89.059726239253735</v>
      </c>
      <c r="W394" s="76">
        <f t="shared" si="298"/>
        <v>87.159465159513701</v>
      </c>
      <c r="X394" s="76">
        <f t="shared" si="298"/>
        <v>85.786712978157865</v>
      </c>
      <c r="Y394" s="76">
        <f t="shared" si="298"/>
        <v>84.814755186224062</v>
      </c>
      <c r="Z394" s="76">
        <f t="shared" si="298"/>
        <v>84.13729237029365</v>
      </c>
      <c r="AA394" s="76">
        <f t="shared" si="298"/>
        <v>83.670594191118994</v>
      </c>
      <c r="AB394" s="76">
        <f t="shared" si="298"/>
        <v>83.351796953516526</v>
      </c>
      <c r="AC394" s="76">
        <f t="shared" si="298"/>
        <v>83.135323953702098</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299">A373</f>
        <v>Capex vehicle</v>
      </c>
      <c r="B397" s="65">
        <f>((1+B358)^B365)*B358/(((1+B358)^B365)-1)*(B354)/B370/(B367)</f>
        <v>2.0678991054715748E-3</v>
      </c>
      <c r="C397" s="65">
        <f t="shared" ref="C397:AC397" si="300">((1+C358)^C365)*C358/(((1+C358)^C365)-1)*(C354)/C370/(C367)</f>
        <v>2.0672108897786113E-3</v>
      </c>
      <c r="D397" s="65">
        <f t="shared" si="300"/>
        <v>2.0662257243429026E-3</v>
      </c>
      <c r="E397" s="65">
        <f t="shared" si="300"/>
        <v>2.0648163759071901E-3</v>
      </c>
      <c r="F397" s="65">
        <f t="shared" si="300"/>
        <v>2.0628021060043848E-3</v>
      </c>
      <c r="G397" s="65">
        <f t="shared" si="300"/>
        <v>2.0599273075513052E-3</v>
      </c>
      <c r="H397" s="65">
        <f t="shared" si="300"/>
        <v>2.0558328892888592E-3</v>
      </c>
      <c r="I397" s="65">
        <f t="shared" si="300"/>
        <v>2.0500194022983649E-3</v>
      </c>
      <c r="J397" s="65">
        <f t="shared" si="300"/>
        <v>2.0418025970777333E-3</v>
      </c>
      <c r="K397" s="65">
        <f t="shared" si="300"/>
        <v>2.0302663507914126E-3</v>
      </c>
      <c r="L397" s="65">
        <f t="shared" si="300"/>
        <v>2.0142267806663458E-3</v>
      </c>
      <c r="M397" s="65">
        <f t="shared" si="300"/>
        <v>1.9922371300663917E-3</v>
      </c>
      <c r="N397" s="65">
        <f t="shared" si="300"/>
        <v>1.9626853959757488E-3</v>
      </c>
      <c r="O397" s="65">
        <f t="shared" si="300"/>
        <v>1.9240555705441109E-3</v>
      </c>
      <c r="P397" s="65">
        <f t="shared" si="300"/>
        <v>1.8754078347009179E-3</v>
      </c>
      <c r="Q397" s="65">
        <f t="shared" si="300"/>
        <v>1.8170319481225618E-3</v>
      </c>
      <c r="R397" s="65">
        <f t="shared" si="300"/>
        <v>1.7510220335500617E-3</v>
      </c>
      <c r="S397" s="65">
        <f t="shared" si="300"/>
        <v>1.6813356375677379E-3</v>
      </c>
      <c r="T397" s="65">
        <f t="shared" si="300"/>
        <v>1.6130205395135985E-3</v>
      </c>
      <c r="U397" s="65">
        <f t="shared" si="300"/>
        <v>1.5508318995873728E-3</v>
      </c>
      <c r="V397" s="65">
        <f t="shared" si="300"/>
        <v>1.497980411482707E-3</v>
      </c>
      <c r="W397" s="65">
        <f t="shared" si="300"/>
        <v>1.4556558346761172E-3</v>
      </c>
      <c r="X397" s="65">
        <f t="shared" si="300"/>
        <v>1.423360304073918E-3</v>
      </c>
      <c r="Y397" s="65">
        <f t="shared" si="300"/>
        <v>1.3996204989760034E-3</v>
      </c>
      <c r="Z397" s="65">
        <f t="shared" si="300"/>
        <v>1.3826468817667865E-3</v>
      </c>
      <c r="AA397" s="65">
        <f t="shared" si="300"/>
        <v>1.370750882760983E-3</v>
      </c>
      <c r="AB397" s="65">
        <f t="shared" si="300"/>
        <v>1.3625300162627306E-3</v>
      </c>
      <c r="AC397" s="65">
        <f t="shared" si="300"/>
        <v>1.3569040676564852E-3</v>
      </c>
    </row>
    <row r="398" spans="1:29" x14ac:dyDescent="0.25">
      <c r="A398" s="30" t="str">
        <f t="shared" si="299"/>
        <v>Residual value (vehicle)</v>
      </c>
      <c r="B398" s="68">
        <f>((1+B358)^B365)*B358/(((1+B358)^B365)-1)*(B355)/B370/(B367)</f>
        <v>-1.0354267188938173E-4</v>
      </c>
      <c r="C398" s="68">
        <f t="shared" ref="C398:AC398" si="301">((1+C358)^C365)*C358/(((1+C358)^C365)-1)*(C355)/C370/(C367)</f>
        <v>-1.0357216684765161E-4</v>
      </c>
      <c r="D398" s="68">
        <f t="shared" si="301"/>
        <v>-1.0361438822346771E-4</v>
      </c>
      <c r="E398" s="68">
        <f t="shared" si="301"/>
        <v>-1.036747888707125E-4</v>
      </c>
      <c r="F398" s="68">
        <f t="shared" si="301"/>
        <v>-1.0376111472368988E-4</v>
      </c>
      <c r="G398" s="68">
        <f t="shared" si="301"/>
        <v>-1.0388432037167901E-4</v>
      </c>
      <c r="H398" s="68">
        <f t="shared" si="301"/>
        <v>-1.0405979544006957E-4</v>
      </c>
      <c r="I398" s="68">
        <f t="shared" si="301"/>
        <v>-1.0430894488251933E-4</v>
      </c>
      <c r="J398" s="68">
        <f t="shared" si="301"/>
        <v>-1.0466109367768924E-4</v>
      </c>
      <c r="K398" s="68">
        <f t="shared" si="301"/>
        <v>-1.0515550423281725E-4</v>
      </c>
      <c r="L398" s="68">
        <f t="shared" si="301"/>
        <v>-1.0584291438103441E-4</v>
      </c>
      <c r="M398" s="68">
        <f t="shared" si="301"/>
        <v>-1.067853279781753E-4</v>
      </c>
      <c r="N398" s="68">
        <f t="shared" si="301"/>
        <v>-1.0805183086777429E-4</v>
      </c>
      <c r="O398" s="68">
        <f t="shared" si="301"/>
        <v>-1.0970739481484449E-4</v>
      </c>
      <c r="P398" s="68">
        <f t="shared" si="301"/>
        <v>-1.1179229777955277E-4</v>
      </c>
      <c r="Q398" s="68">
        <f t="shared" si="301"/>
        <v>-1.1429412149005375E-4</v>
      </c>
      <c r="R398" s="68">
        <f t="shared" si="301"/>
        <v>-1.1712311782887515E-4</v>
      </c>
      <c r="S398" s="68">
        <f t="shared" si="301"/>
        <v>-1.2010967765668903E-4</v>
      </c>
      <c r="T398" s="68">
        <f t="shared" si="301"/>
        <v>-1.2303746757329499E-4</v>
      </c>
      <c r="U398" s="68">
        <f t="shared" si="301"/>
        <v>-1.2570269499870466E-4</v>
      </c>
      <c r="V398" s="68">
        <f t="shared" si="301"/>
        <v>-1.2796775877461892E-4</v>
      </c>
      <c r="W398" s="68">
        <f t="shared" si="301"/>
        <v>-1.2978166920918704E-4</v>
      </c>
      <c r="X398" s="68">
        <f t="shared" si="301"/>
        <v>-1.3116576337785275E-4</v>
      </c>
      <c r="Y398" s="68">
        <f t="shared" si="301"/>
        <v>-1.321831835963348E-4</v>
      </c>
      <c r="Z398" s="68">
        <f t="shared" si="301"/>
        <v>-1.3291062433387269E-4</v>
      </c>
      <c r="AA398" s="68">
        <f t="shared" si="301"/>
        <v>-1.3342045286269283E-4</v>
      </c>
      <c r="AB398" s="68">
        <f t="shared" si="301"/>
        <v>-1.3377277571261794E-4</v>
      </c>
      <c r="AC398" s="68">
        <f t="shared" si="301"/>
        <v>-1.3401388779574273E-4</v>
      </c>
    </row>
    <row r="399" spans="1:29" x14ac:dyDescent="0.25">
      <c r="A399" s="30" t="str">
        <f t="shared" si="299"/>
        <v>Capex costumization</v>
      </c>
      <c r="B399" s="66">
        <f>((1+B358)^B366)*B358/(((1+B358)^B366)-1)*(B356)/B370/(B367)</f>
        <v>6.8982996659853576E-5</v>
      </c>
      <c r="C399" s="66">
        <f t="shared" ref="C399:AC399" si="302">((1+C358)^C366)*C358/(((1+C358)^C366)-1)*(C356)/C370/(C367)</f>
        <v>6.8982996659853576E-5</v>
      </c>
      <c r="D399" s="66">
        <f t="shared" si="302"/>
        <v>6.8982996659853576E-5</v>
      </c>
      <c r="E399" s="66">
        <f t="shared" si="302"/>
        <v>6.8982996659853576E-5</v>
      </c>
      <c r="F399" s="66">
        <f t="shared" si="302"/>
        <v>6.8982996659853576E-5</v>
      </c>
      <c r="G399" s="66">
        <f t="shared" si="302"/>
        <v>6.8982996659853576E-5</v>
      </c>
      <c r="H399" s="66">
        <f t="shared" si="302"/>
        <v>6.8982996659853576E-5</v>
      </c>
      <c r="I399" s="66">
        <f t="shared" si="302"/>
        <v>6.8982996659853576E-5</v>
      </c>
      <c r="J399" s="66">
        <f t="shared" si="302"/>
        <v>6.8982996659853576E-5</v>
      </c>
      <c r="K399" s="66">
        <f t="shared" si="302"/>
        <v>6.8982996659853576E-5</v>
      </c>
      <c r="L399" s="66">
        <f t="shared" si="302"/>
        <v>6.8982996659853576E-5</v>
      </c>
      <c r="M399" s="66">
        <f t="shared" si="302"/>
        <v>6.8982996659853576E-5</v>
      </c>
      <c r="N399" s="66">
        <f t="shared" si="302"/>
        <v>6.8982996659853576E-5</v>
      </c>
      <c r="O399" s="66">
        <f t="shared" si="302"/>
        <v>6.8982996659853576E-5</v>
      </c>
      <c r="P399" s="66">
        <f t="shared" si="302"/>
        <v>6.8982996659853576E-5</v>
      </c>
      <c r="Q399" s="66">
        <f t="shared" si="302"/>
        <v>6.8982996659853576E-5</v>
      </c>
      <c r="R399" s="66">
        <f t="shared" si="302"/>
        <v>6.8982996659853576E-5</v>
      </c>
      <c r="S399" s="66">
        <f t="shared" si="302"/>
        <v>6.8982996659853576E-5</v>
      </c>
      <c r="T399" s="66">
        <f t="shared" si="302"/>
        <v>6.8982996659853576E-5</v>
      </c>
      <c r="U399" s="66">
        <f t="shared" si="302"/>
        <v>6.8982996659853576E-5</v>
      </c>
      <c r="V399" s="66">
        <f t="shared" si="302"/>
        <v>6.8982996659853576E-5</v>
      </c>
      <c r="W399" s="66">
        <f t="shared" si="302"/>
        <v>6.8982996659853576E-5</v>
      </c>
      <c r="X399" s="66">
        <f t="shared" si="302"/>
        <v>6.8982996659853576E-5</v>
      </c>
      <c r="Y399" s="66">
        <f t="shared" si="302"/>
        <v>6.8982996659853576E-5</v>
      </c>
      <c r="Z399" s="66">
        <f t="shared" si="302"/>
        <v>6.8982996659853576E-5</v>
      </c>
      <c r="AA399" s="66">
        <f t="shared" si="302"/>
        <v>6.8982996659853576E-5</v>
      </c>
      <c r="AB399" s="66">
        <f t="shared" si="302"/>
        <v>6.8982996659853576E-5</v>
      </c>
      <c r="AC399" s="66">
        <f t="shared" si="302"/>
        <v>6.8982996659853576E-5</v>
      </c>
    </row>
    <row r="400" spans="1:29" x14ac:dyDescent="0.25">
      <c r="A400" s="30" t="str">
        <f t="shared" si="299"/>
        <v>Residual value (costumization)</v>
      </c>
      <c r="B400" s="69">
        <f>((1+B358)^B366)*B358/(((1+B358)^B366)-1)*(B357)/B370/(B367)</f>
        <v>-6.8982996659853564E-6</v>
      </c>
      <c r="C400" s="69">
        <f t="shared" ref="C400:AC400" si="303">((1+C358)^C366)*C358/(((1+C358)^C366)-1)*(C357)/C370/(C367)</f>
        <v>-6.8982996659853564E-6</v>
      </c>
      <c r="D400" s="69">
        <f t="shared" si="303"/>
        <v>-6.8982996659853564E-6</v>
      </c>
      <c r="E400" s="69">
        <f t="shared" si="303"/>
        <v>-6.8982996659853564E-6</v>
      </c>
      <c r="F400" s="69">
        <f t="shared" si="303"/>
        <v>-6.8982996659853564E-6</v>
      </c>
      <c r="G400" s="69">
        <f t="shared" si="303"/>
        <v>-6.8982996659853564E-6</v>
      </c>
      <c r="H400" s="69">
        <f t="shared" si="303"/>
        <v>-6.8982996659853564E-6</v>
      </c>
      <c r="I400" s="69">
        <f t="shared" si="303"/>
        <v>-6.8982996659853564E-6</v>
      </c>
      <c r="J400" s="69">
        <f t="shared" si="303"/>
        <v>-6.8982996659853564E-6</v>
      </c>
      <c r="K400" s="69">
        <f t="shared" si="303"/>
        <v>-6.8982996659853564E-6</v>
      </c>
      <c r="L400" s="69">
        <f t="shared" si="303"/>
        <v>-6.8982996659853564E-6</v>
      </c>
      <c r="M400" s="69">
        <f t="shared" si="303"/>
        <v>-6.8982996659853564E-6</v>
      </c>
      <c r="N400" s="69">
        <f t="shared" si="303"/>
        <v>-6.8982996659853564E-6</v>
      </c>
      <c r="O400" s="69">
        <f t="shared" si="303"/>
        <v>-6.8982996659853564E-6</v>
      </c>
      <c r="P400" s="69">
        <f t="shared" si="303"/>
        <v>-6.8982996659853564E-6</v>
      </c>
      <c r="Q400" s="69">
        <f t="shared" si="303"/>
        <v>-6.8982996659853564E-6</v>
      </c>
      <c r="R400" s="69">
        <f t="shared" si="303"/>
        <v>-6.8982996659853564E-6</v>
      </c>
      <c r="S400" s="69">
        <f t="shared" si="303"/>
        <v>-6.8982996659853564E-6</v>
      </c>
      <c r="T400" s="69">
        <f t="shared" si="303"/>
        <v>-6.8982996659853564E-6</v>
      </c>
      <c r="U400" s="69">
        <f t="shared" si="303"/>
        <v>-6.8982996659853564E-6</v>
      </c>
      <c r="V400" s="69">
        <f t="shared" si="303"/>
        <v>-6.8982996659853564E-6</v>
      </c>
      <c r="W400" s="69">
        <f t="shared" si="303"/>
        <v>-6.8982996659853564E-6</v>
      </c>
      <c r="X400" s="69">
        <f t="shared" si="303"/>
        <v>-6.8982996659853564E-6</v>
      </c>
      <c r="Y400" s="69">
        <f t="shared" si="303"/>
        <v>-6.8982996659853564E-6</v>
      </c>
      <c r="Z400" s="69">
        <f t="shared" si="303"/>
        <v>-6.8982996659853564E-6</v>
      </c>
      <c r="AA400" s="69">
        <f t="shared" si="303"/>
        <v>-6.8982996659853564E-6</v>
      </c>
      <c r="AB400" s="69">
        <f t="shared" si="303"/>
        <v>-6.8982996659853564E-6</v>
      </c>
      <c r="AC400" s="69">
        <f t="shared" si="303"/>
        <v>-6.8982996659853564E-6</v>
      </c>
    </row>
    <row r="401" spans="1:29" x14ac:dyDescent="0.25">
      <c r="A401" s="30" t="str">
        <f t="shared" si="299"/>
        <v>Opex fix (admin, crew, insurance)</v>
      </c>
      <c r="B401" s="66">
        <f>B359/B370/(B367)</f>
        <v>1.0654632223259673E-3</v>
      </c>
      <c r="C401" s="66">
        <f t="shared" ref="C401:AC401" si="304">C359/C370/(C367)</f>
        <v>1.0654632223259673E-3</v>
      </c>
      <c r="D401" s="66">
        <f t="shared" si="304"/>
        <v>1.0654632223259673E-3</v>
      </c>
      <c r="E401" s="66">
        <f t="shared" si="304"/>
        <v>1.0654632223259673E-3</v>
      </c>
      <c r="F401" s="66">
        <f t="shared" si="304"/>
        <v>1.0654632223259673E-3</v>
      </c>
      <c r="G401" s="66">
        <f t="shared" si="304"/>
        <v>1.0654632223259673E-3</v>
      </c>
      <c r="H401" s="66">
        <f t="shared" si="304"/>
        <v>1.0654632223259673E-3</v>
      </c>
      <c r="I401" s="66">
        <f t="shared" si="304"/>
        <v>1.0654632223259673E-3</v>
      </c>
      <c r="J401" s="66">
        <f t="shared" si="304"/>
        <v>1.0654632223259673E-3</v>
      </c>
      <c r="K401" s="66">
        <f t="shared" si="304"/>
        <v>1.0654632223259673E-3</v>
      </c>
      <c r="L401" s="66">
        <f t="shared" si="304"/>
        <v>1.0654632223259673E-3</v>
      </c>
      <c r="M401" s="66">
        <f t="shared" si="304"/>
        <v>1.0654632223259673E-3</v>
      </c>
      <c r="N401" s="66">
        <f t="shared" si="304"/>
        <v>1.0654632223259673E-3</v>
      </c>
      <c r="O401" s="66">
        <f t="shared" si="304"/>
        <v>1.0654632223259673E-3</v>
      </c>
      <c r="P401" s="66">
        <f t="shared" si="304"/>
        <v>1.0654632223259673E-3</v>
      </c>
      <c r="Q401" s="66">
        <f t="shared" si="304"/>
        <v>1.0654632223259673E-3</v>
      </c>
      <c r="R401" s="66">
        <f t="shared" si="304"/>
        <v>1.0654632223259673E-3</v>
      </c>
      <c r="S401" s="66">
        <f t="shared" si="304"/>
        <v>1.0654632223259673E-3</v>
      </c>
      <c r="T401" s="66">
        <f t="shared" si="304"/>
        <v>1.0654632223259673E-3</v>
      </c>
      <c r="U401" s="66">
        <f t="shared" si="304"/>
        <v>1.0654632223259673E-3</v>
      </c>
      <c r="V401" s="66">
        <f t="shared" si="304"/>
        <v>1.0654632223259673E-3</v>
      </c>
      <c r="W401" s="66">
        <f t="shared" si="304"/>
        <v>1.0654632223259673E-3</v>
      </c>
      <c r="X401" s="66">
        <f t="shared" si="304"/>
        <v>1.0654632223259673E-3</v>
      </c>
      <c r="Y401" s="66">
        <f t="shared" si="304"/>
        <v>1.0654632223259673E-3</v>
      </c>
      <c r="Z401" s="66">
        <f t="shared" si="304"/>
        <v>1.0654632223259673E-3</v>
      </c>
      <c r="AA401" s="66">
        <f t="shared" si="304"/>
        <v>1.0654632223259673E-3</v>
      </c>
      <c r="AB401" s="66">
        <f t="shared" si="304"/>
        <v>1.0654632223259673E-3</v>
      </c>
      <c r="AC401" s="66">
        <f t="shared" si="304"/>
        <v>1.0654632223259673E-3</v>
      </c>
    </row>
    <row r="402" spans="1:29" x14ac:dyDescent="0.25">
      <c r="A402" s="30" t="str">
        <f t="shared" si="299"/>
        <v>Opex maintenance &amp; repair</v>
      </c>
      <c r="B402" s="66">
        <f>B360/B370/(B367)</f>
        <v>2.9878618113912231E-4</v>
      </c>
      <c r="C402" s="66">
        <f t="shared" ref="C402:AC402" si="305">C360/C370/(C367)</f>
        <v>2.9878618113912231E-4</v>
      </c>
      <c r="D402" s="66">
        <f t="shared" si="305"/>
        <v>2.9878618113912231E-4</v>
      </c>
      <c r="E402" s="66">
        <f t="shared" si="305"/>
        <v>2.9878618113912231E-4</v>
      </c>
      <c r="F402" s="66">
        <f t="shared" si="305"/>
        <v>2.9878618113912231E-4</v>
      </c>
      <c r="G402" s="66">
        <f t="shared" si="305"/>
        <v>2.9878618113912231E-4</v>
      </c>
      <c r="H402" s="66">
        <f t="shared" si="305"/>
        <v>2.9878618113912231E-4</v>
      </c>
      <c r="I402" s="66">
        <f t="shared" si="305"/>
        <v>2.9878618113912231E-4</v>
      </c>
      <c r="J402" s="66">
        <f t="shared" si="305"/>
        <v>2.9878618113912231E-4</v>
      </c>
      <c r="K402" s="66">
        <f t="shared" si="305"/>
        <v>2.9878618113912231E-4</v>
      </c>
      <c r="L402" s="66">
        <f t="shared" si="305"/>
        <v>2.9878618113912231E-4</v>
      </c>
      <c r="M402" s="66">
        <f t="shared" si="305"/>
        <v>2.9878618113912231E-4</v>
      </c>
      <c r="N402" s="66">
        <f t="shared" si="305"/>
        <v>2.9878618113912231E-4</v>
      </c>
      <c r="O402" s="66">
        <f t="shared" si="305"/>
        <v>2.9878618113912231E-4</v>
      </c>
      <c r="P402" s="66">
        <f t="shared" si="305"/>
        <v>2.9878618113912231E-4</v>
      </c>
      <c r="Q402" s="66">
        <f t="shared" si="305"/>
        <v>2.9878618113912231E-4</v>
      </c>
      <c r="R402" s="66">
        <f t="shared" si="305"/>
        <v>2.9878618113912231E-4</v>
      </c>
      <c r="S402" s="66">
        <f t="shared" si="305"/>
        <v>2.9878618113912231E-4</v>
      </c>
      <c r="T402" s="66">
        <f t="shared" si="305"/>
        <v>2.9878618113912231E-4</v>
      </c>
      <c r="U402" s="66">
        <f t="shared" si="305"/>
        <v>2.9878618113912231E-4</v>
      </c>
      <c r="V402" s="66">
        <f t="shared" si="305"/>
        <v>2.9878618113912231E-4</v>
      </c>
      <c r="W402" s="66">
        <f t="shared" si="305"/>
        <v>2.9878618113912231E-4</v>
      </c>
      <c r="X402" s="66">
        <f t="shared" si="305"/>
        <v>2.9878618113912231E-4</v>
      </c>
      <c r="Y402" s="66">
        <f t="shared" si="305"/>
        <v>2.9878618113912231E-4</v>
      </c>
      <c r="Z402" s="66">
        <f t="shared" si="305"/>
        <v>2.9878618113912231E-4</v>
      </c>
      <c r="AA402" s="66">
        <f t="shared" si="305"/>
        <v>2.9878618113912231E-4</v>
      </c>
      <c r="AB402" s="66">
        <f t="shared" si="305"/>
        <v>2.9878618113912231E-4</v>
      </c>
      <c r="AC402" s="66">
        <f t="shared" si="305"/>
        <v>2.9878618113912231E-4</v>
      </c>
    </row>
    <row r="403" spans="1:29" x14ac:dyDescent="0.25">
      <c r="A403" s="30" t="str">
        <f t="shared" si="299"/>
        <v>Opex var (mode-fees)</v>
      </c>
      <c r="B403" s="66">
        <f>B361*B370/B370/(B367)</f>
        <v>8.6011184229469056E-5</v>
      </c>
      <c r="C403" s="66">
        <f t="shared" ref="C403:AC403" si="306">C361*C370/C370/(C367)</f>
        <v>8.6011184229469056E-5</v>
      </c>
      <c r="D403" s="66">
        <f t="shared" si="306"/>
        <v>8.6011184229469056E-5</v>
      </c>
      <c r="E403" s="66">
        <f t="shared" si="306"/>
        <v>8.6011184229469056E-5</v>
      </c>
      <c r="F403" s="66">
        <f t="shared" si="306"/>
        <v>8.6011184229469056E-5</v>
      </c>
      <c r="G403" s="66">
        <f t="shared" si="306"/>
        <v>8.6011184229469056E-5</v>
      </c>
      <c r="H403" s="66">
        <f t="shared" si="306"/>
        <v>8.6011184229469056E-5</v>
      </c>
      <c r="I403" s="66">
        <f t="shared" si="306"/>
        <v>8.6011184229469056E-5</v>
      </c>
      <c r="J403" s="66">
        <f t="shared" si="306"/>
        <v>8.6011184229469056E-5</v>
      </c>
      <c r="K403" s="66">
        <f t="shared" si="306"/>
        <v>8.6011184229469056E-5</v>
      </c>
      <c r="L403" s="66">
        <f t="shared" si="306"/>
        <v>8.6011184229469056E-5</v>
      </c>
      <c r="M403" s="66">
        <f t="shared" si="306"/>
        <v>8.6011184229469056E-5</v>
      </c>
      <c r="N403" s="66">
        <f t="shared" si="306"/>
        <v>8.6011184229469056E-5</v>
      </c>
      <c r="O403" s="66">
        <f t="shared" si="306"/>
        <v>8.6011184229469056E-5</v>
      </c>
      <c r="P403" s="66">
        <f t="shared" si="306"/>
        <v>8.6011184229469056E-5</v>
      </c>
      <c r="Q403" s="66">
        <f t="shared" si="306"/>
        <v>8.6011184229469056E-5</v>
      </c>
      <c r="R403" s="66">
        <f t="shared" si="306"/>
        <v>8.6011184229469056E-5</v>
      </c>
      <c r="S403" s="66">
        <f t="shared" si="306"/>
        <v>8.6011184229469056E-5</v>
      </c>
      <c r="T403" s="66">
        <f t="shared" si="306"/>
        <v>8.6011184229469056E-5</v>
      </c>
      <c r="U403" s="66">
        <f t="shared" si="306"/>
        <v>8.6011184229469056E-5</v>
      </c>
      <c r="V403" s="66">
        <f t="shared" si="306"/>
        <v>8.6011184229469056E-5</v>
      </c>
      <c r="W403" s="66">
        <f t="shared" si="306"/>
        <v>8.6011184229469056E-5</v>
      </c>
      <c r="X403" s="66">
        <f t="shared" si="306"/>
        <v>8.6011184229469056E-5</v>
      </c>
      <c r="Y403" s="66">
        <f t="shared" si="306"/>
        <v>8.6011184229469056E-5</v>
      </c>
      <c r="Z403" s="66">
        <f t="shared" si="306"/>
        <v>8.6011184229469056E-5</v>
      </c>
      <c r="AA403" s="66">
        <f t="shared" si="306"/>
        <v>8.6011184229469056E-5</v>
      </c>
      <c r="AB403" s="66">
        <f t="shared" si="306"/>
        <v>8.6011184229469056E-5</v>
      </c>
      <c r="AC403" s="66">
        <f t="shared" si="306"/>
        <v>8.6011184229469056E-5</v>
      </c>
    </row>
    <row r="404" spans="1:29" x14ac:dyDescent="0.25">
      <c r="A404" s="30" t="str">
        <f t="shared" si="299"/>
        <v>Fuel Cost</v>
      </c>
      <c r="B404" s="66">
        <f>B362*B363*B370/B370/(B367)</f>
        <v>1.5736357366733275E-2</v>
      </c>
      <c r="C404" s="66">
        <f t="shared" ref="C404:AC404" si="307">C362*C363*C370/C370/(C367)</f>
        <v>1.5683523768148497E-2</v>
      </c>
      <c r="D404" s="66">
        <f t="shared" si="307"/>
        <v>1.5608506954650736E-2</v>
      </c>
      <c r="E404" s="66">
        <f t="shared" si="307"/>
        <v>1.5502474833672213E-2</v>
      </c>
      <c r="F404" s="66">
        <f t="shared" si="307"/>
        <v>1.5353597941202673E-2</v>
      </c>
      <c r="G404" s="66">
        <f t="shared" si="307"/>
        <v>1.5146578311279789E-2</v>
      </c>
      <c r="H404" s="66">
        <f t="shared" si="307"/>
        <v>1.48626945345864E-2</v>
      </c>
      <c r="I404" s="66">
        <f t="shared" si="307"/>
        <v>1.4481024255187486E-2</v>
      </c>
      <c r="J404" s="66">
        <f t="shared" si="307"/>
        <v>1.3981745004474581E-2</v>
      </c>
      <c r="K404" s="66">
        <f t="shared" si="307"/>
        <v>1.3352214864199753E-2</v>
      </c>
      <c r="L404" s="66">
        <f t="shared" si="307"/>
        <v>1.2595248510065642E-2</v>
      </c>
      <c r="M404" s="66">
        <f t="shared" si="307"/>
        <v>1.1736394409988367E-2</v>
      </c>
      <c r="N404" s="66">
        <f t="shared" si="307"/>
        <v>1.0824696686575366E-2</v>
      </c>
      <c r="O404" s="66">
        <f t="shared" si="307"/>
        <v>9.9230105454805265E-3</v>
      </c>
      <c r="P404" s="66">
        <f t="shared" si="307"/>
        <v>9.0908086100233362E-3</v>
      </c>
      <c r="Q404" s="66">
        <f t="shared" si="307"/>
        <v>8.3688917429233563E-3</v>
      </c>
      <c r="R404" s="66">
        <f t="shared" si="307"/>
        <v>7.7739493757145112E-3</v>
      </c>
      <c r="S404" s="66">
        <f t="shared" si="307"/>
        <v>7.3029524351010929E-3</v>
      </c>
      <c r="T404" s="66">
        <f t="shared" si="307"/>
        <v>6.9415662633276537E-3</v>
      </c>
      <c r="U404" s="66">
        <f t="shared" si="307"/>
        <v>6.6712850619518428E-3</v>
      </c>
      <c r="V404" s="66">
        <f t="shared" si="307"/>
        <v>6.473572252249195E-3</v>
      </c>
      <c r="W404" s="66">
        <f t="shared" si="307"/>
        <v>6.3317428143609992E-3</v>
      </c>
      <c r="X404" s="66">
        <f t="shared" si="307"/>
        <v>6.2316932893217557E-3</v>
      </c>
      <c r="Y404" s="66">
        <f t="shared" si="307"/>
        <v>6.1620774523970332E-3</v>
      </c>
      <c r="Z404" s="66">
        <f t="shared" si="307"/>
        <v>6.1141521249212169E-3</v>
      </c>
      <c r="AA404" s="66">
        <f t="shared" si="307"/>
        <v>6.0814210302124385E-3</v>
      </c>
      <c r="AB404" s="66">
        <f t="shared" si="307"/>
        <v>6.0591954710820812E-3</v>
      </c>
      <c r="AC404" s="66">
        <f t="shared" si="307"/>
        <v>6.0441648669882124E-3</v>
      </c>
    </row>
    <row r="405" spans="1:29" x14ac:dyDescent="0.25">
      <c r="A405" s="59" t="str">
        <f>A368</f>
        <v>Market failure (av. utilization)</v>
      </c>
      <c r="B405" s="66">
        <f t="shared" ref="B405:AC405" si="308">B394/B368-B394/B367</f>
        <v>9.1694153621977269E-3</v>
      </c>
      <c r="C405" s="66">
        <f t="shared" si="308"/>
        <v>9.1440990644088248E-3</v>
      </c>
      <c r="D405" s="66">
        <f t="shared" si="308"/>
        <v>9.1081479626357077E-3</v>
      </c>
      <c r="E405" s="66">
        <f t="shared" si="308"/>
        <v>9.0573219509539095E-3</v>
      </c>
      <c r="F405" s="66">
        <f t="shared" si="308"/>
        <v>8.9859351440303853E-3</v>
      </c>
      <c r="G405" s="66">
        <f t="shared" si="308"/>
        <v>8.8866200934626452E-3</v>
      </c>
      <c r="H405" s="66">
        <f t="shared" si="308"/>
        <v>8.7503301385894253E-3</v>
      </c>
      <c r="I405" s="66">
        <f t="shared" si="308"/>
        <v>8.5668904051410914E-3</v>
      </c>
      <c r="J405" s="66">
        <f t="shared" si="308"/>
        <v>8.3265218578366974E-3</v>
      </c>
      <c r="K405" s="66">
        <f t="shared" si="308"/>
        <v>8.0226717751972626E-3</v>
      </c>
      <c r="L405" s="66">
        <f t="shared" si="308"/>
        <v>7.6558847145636322E-3</v>
      </c>
      <c r="M405" s="66">
        <f t="shared" si="308"/>
        <v>7.237230295153432E-3</v>
      </c>
      <c r="N405" s="66">
        <f t="shared" si="308"/>
        <v>6.7887260430158775E-3</v>
      </c>
      <c r="O405" s="66">
        <f t="shared" si="308"/>
        <v>6.3389520633889071E-3</v>
      </c>
      <c r="P405" s="66">
        <f t="shared" si="308"/>
        <v>5.9152762774891243E-3</v>
      </c>
      <c r="Q405" s="66">
        <f t="shared" si="308"/>
        <v>5.5370899981839472E-3</v>
      </c>
      <c r="R405" s="66">
        <f t="shared" si="308"/>
        <v>5.2136267791166192E-3</v>
      </c>
      <c r="S405" s="66">
        <f t="shared" si="308"/>
        <v>4.9460685861007752E-3</v>
      </c>
      <c r="T405" s="66">
        <f t="shared" si="308"/>
        <v>4.7309954049399323E-3</v>
      </c>
      <c r="U405" s="66">
        <f t="shared" si="308"/>
        <v>4.5628315408770288E-3</v>
      </c>
      <c r="V405" s="66">
        <f t="shared" si="308"/>
        <v>4.4349692493870496E-3</v>
      </c>
      <c r="W405" s="66">
        <f t="shared" si="308"/>
        <v>4.3403406241899114E-3</v>
      </c>
      <c r="X405" s="66">
        <f t="shared" si="308"/>
        <v>4.2719807272036271E-3</v>
      </c>
      <c r="Y405" s="66">
        <f t="shared" si="308"/>
        <v>4.223579467723575E-3</v>
      </c>
      <c r="Z405" s="66">
        <f t="shared" si="308"/>
        <v>4.1898433797843068E-3</v>
      </c>
      <c r="AA405" s="66">
        <f t="shared" si="308"/>
        <v>4.1666028853342765E-3</v>
      </c>
      <c r="AB405" s="66">
        <f t="shared" si="308"/>
        <v>4.1507275171374525E-3</v>
      </c>
      <c r="AC405" s="66">
        <f t="shared" si="308"/>
        <v>4.1399476603150732E-3</v>
      </c>
    </row>
    <row r="406" spans="1:29" x14ac:dyDescent="0.25">
      <c r="A406" s="59" t="str">
        <f>A369</f>
        <v>Payload loss (fuel)</v>
      </c>
      <c r="B406" s="66">
        <f>B394/(B367-B369)-B394/B367</f>
        <v>2.1639442580867196E-3</v>
      </c>
      <c r="C406" s="66">
        <f t="shared" ref="C406:AC406" si="309">C394/(C367-C369)-C394/C367</f>
        <v>2.157513903311481E-3</v>
      </c>
      <c r="D406" s="66">
        <f t="shared" si="309"/>
        <v>2.1483814963104107E-3</v>
      </c>
      <c r="E406" s="66">
        <f t="shared" si="309"/>
        <v>2.1354684737013366E-3</v>
      </c>
      <c r="F406" s="66">
        <f t="shared" si="309"/>
        <v>2.1173267231383852E-3</v>
      </c>
      <c r="G406" s="66">
        <f t="shared" si="309"/>
        <v>2.0920757454148085E-3</v>
      </c>
      <c r="H406" s="66">
        <f t="shared" si="309"/>
        <v>2.0573970918374498E-3</v>
      </c>
      <c r="I406" s="66">
        <f t="shared" si="309"/>
        <v>2.0106622803739982E-3</v>
      </c>
      <c r="J406" s="66">
        <f t="shared" si="309"/>
        <v>1.9492984874530037E-3</v>
      </c>
      <c r="K406" s="66">
        <f t="shared" si="309"/>
        <v>1.8714744042269658E-3</v>
      </c>
      <c r="L406" s="66">
        <f t="shared" si="309"/>
        <v>1.7770432372732244E-3</v>
      </c>
      <c r="M406" s="66">
        <f t="shared" si="309"/>
        <v>1.6683858785649531E-3</v>
      </c>
      <c r="N406" s="66">
        <f t="shared" si="309"/>
        <v>1.550542086358641E-3</v>
      </c>
      <c r="O406" s="66">
        <f t="shared" si="309"/>
        <v>1.430212045618896E-3</v>
      </c>
      <c r="P406" s="66">
        <f t="shared" si="309"/>
        <v>1.3139911712810887E-3</v>
      </c>
      <c r="Q406" s="66">
        <f t="shared" si="309"/>
        <v>1.2068855261932708E-3</v>
      </c>
      <c r="R406" s="66">
        <f t="shared" si="309"/>
        <v>1.111883247738716E-3</v>
      </c>
      <c r="S406" s="66">
        <f t="shared" si="309"/>
        <v>1.0303872500352779E-3</v>
      </c>
      <c r="T406" s="66">
        <f t="shared" si="309"/>
        <v>9.6276512918295684E-4</v>
      </c>
      <c r="U406" s="66">
        <f t="shared" si="309"/>
        <v>9.0858988557922238E-4</v>
      </c>
      <c r="V406" s="66">
        <f t="shared" si="309"/>
        <v>8.6670348548547292E-4</v>
      </c>
      <c r="W406" s="66">
        <f t="shared" si="309"/>
        <v>8.3537446971370354E-4</v>
      </c>
      <c r="X406" s="66">
        <f t="shared" si="309"/>
        <v>8.1259870778019501E-4</v>
      </c>
      <c r="Y406" s="66">
        <f t="shared" si="309"/>
        <v>7.9641338335904692E-4</v>
      </c>
      <c r="Z406" s="66">
        <f t="shared" si="309"/>
        <v>7.8510827203344229E-4</v>
      </c>
      <c r="AA406" s="66">
        <f t="shared" si="309"/>
        <v>7.7731077665581585E-4</v>
      </c>
      <c r="AB406" s="66">
        <f t="shared" si="309"/>
        <v>7.7198055243938614E-4</v>
      </c>
      <c r="AC406" s="66">
        <f t="shared" si="309"/>
        <v>7.6835960212508561E-4</v>
      </c>
    </row>
    <row r="407" spans="1:29" ht="15.75" thickBot="1" x14ac:dyDescent="0.3">
      <c r="A407" s="59" t="str">
        <f>A344</f>
        <v>Emission Cost</v>
      </c>
      <c r="B407" s="68">
        <f>B364*B370/B370/(B367)</f>
        <v>2.5815196033431064E-4</v>
      </c>
      <c r="C407" s="68">
        <f t="shared" ref="C407:AC407" si="310">C364*C370/C370/(C367)</f>
        <v>2.5790613676891132E-4</v>
      </c>
      <c r="D407" s="68">
        <f t="shared" si="310"/>
        <v>2.5755424581032062E-4</v>
      </c>
      <c r="E407" s="68">
        <f t="shared" si="310"/>
        <v>2.5705084104797826E-4</v>
      </c>
      <c r="F407" s="68">
        <f t="shared" si="310"/>
        <v>2.5633136456081513E-4</v>
      </c>
      <c r="G407" s="68">
        <f t="shared" si="310"/>
        <v>2.5530451612831671E-4</v>
      </c>
      <c r="H407" s="68">
        <f t="shared" si="310"/>
        <v>2.538420320469436E-4</v>
      </c>
      <c r="I407" s="68">
        <f t="shared" si="310"/>
        <v>2.5176551430110213E-4</v>
      </c>
      <c r="J407" s="68">
        <f t="shared" si="310"/>
        <v>2.4883055600797026E-4</v>
      </c>
      <c r="K407" s="68">
        <f t="shared" si="310"/>
        <v>2.4470992751544701E-4</v>
      </c>
      <c r="L407" s="68">
        <f t="shared" si="310"/>
        <v>2.3898075807637687E-4</v>
      </c>
      <c r="M407" s="68">
        <f t="shared" si="310"/>
        <v>2.3112628110406671E-4</v>
      </c>
      <c r="N407" s="68">
        <f t="shared" si="310"/>
        <v>2.2057070570500738E-4</v>
      </c>
      <c r="O407" s="68">
        <f t="shared" si="310"/>
        <v>2.0677252947123894E-4</v>
      </c>
      <c r="P407" s="68">
        <f t="shared" si="310"/>
        <v>1.8939605869929403E-4</v>
      </c>
      <c r="Q407" s="68">
        <f t="shared" si="310"/>
        <v>1.685447925646317E-4</v>
      </c>
      <c r="R407" s="68">
        <f t="shared" si="310"/>
        <v>1.4496673016672632E-4</v>
      </c>
      <c r="S407" s="68">
        <f t="shared" si="310"/>
        <v>1.2007546643161339E-4</v>
      </c>
      <c r="T407" s="68">
        <f t="shared" si="310"/>
        <v>9.5674016209004522E-5</v>
      </c>
      <c r="U407" s="68">
        <f t="shared" si="310"/>
        <v>7.3460873802783661E-5</v>
      </c>
      <c r="V407" s="68">
        <f t="shared" si="310"/>
        <v>5.4582865969804057E-5</v>
      </c>
      <c r="W407" s="68">
        <f t="shared" si="310"/>
        <v>3.9464962555239501E-5</v>
      </c>
      <c r="X407" s="68">
        <f t="shared" si="310"/>
        <v>2.7929331269491062E-5</v>
      </c>
      <c r="Y407" s="68">
        <f t="shared" si="310"/>
        <v>1.9449717115499516E-5</v>
      </c>
      <c r="Z407" s="68">
        <f t="shared" si="310"/>
        <v>1.3386915667127335E-5</v>
      </c>
      <c r="AA407" s="68">
        <f t="shared" si="310"/>
        <v>9.1377872042174873E-6</v>
      </c>
      <c r="AB407" s="68">
        <f t="shared" si="310"/>
        <v>6.2013782645004512E-6</v>
      </c>
      <c r="AC407" s="68">
        <f t="shared" si="310"/>
        <v>4.1918473001819709E-6</v>
      </c>
    </row>
    <row r="408" spans="1:29" ht="15.75" thickBot="1" x14ac:dyDescent="0.3">
      <c r="A408" s="31" t="s">
        <v>210</v>
      </c>
      <c r="B408" s="67">
        <f>B397+B398+B399+B400+B401+B402+B403+B404+B405+B406+B407</f>
        <v>3.0804570665622654E-2</v>
      </c>
      <c r="C408" s="67">
        <f t="shared" ref="C408:AC408" si="311">C397+C398+C399+C400+C401+C402+C403+C404+C405+C406+C407</f>
        <v>3.07190268802571E-2</v>
      </c>
      <c r="D408" s="67">
        <f t="shared" si="311"/>
        <v>3.0597547280215038E-2</v>
      </c>
      <c r="E408" s="67">
        <f t="shared" si="311"/>
        <v>3.0425802971100344E-2</v>
      </c>
      <c r="F408" s="67">
        <f t="shared" si="311"/>
        <v>3.0184577448901382E-2</v>
      </c>
      <c r="G408" s="67">
        <f t="shared" si="311"/>
        <v>2.9848966938153611E-2</v>
      </c>
      <c r="H408" s="67">
        <f t="shared" si="311"/>
        <v>2.9388382175597434E-2</v>
      </c>
      <c r="I408" s="67">
        <f t="shared" si="311"/>
        <v>2.8768398197107952E-2</v>
      </c>
      <c r="J408" s="67">
        <f t="shared" si="311"/>
        <v>2.7955882693860724E-2</v>
      </c>
      <c r="K408" s="67">
        <f t="shared" si="311"/>
        <v>2.6928527102386447E-2</v>
      </c>
      <c r="L408" s="67">
        <f t="shared" si="311"/>
        <v>2.5687886370952612E-2</v>
      </c>
      <c r="M408" s="67">
        <f t="shared" si="311"/>
        <v>2.427093395158746E-2</v>
      </c>
      <c r="N408" s="67">
        <f t="shared" si="311"/>
        <v>2.2751514371451294E-2</v>
      </c>
      <c r="O408" s="67">
        <f t="shared" si="311"/>
        <v>2.1225640644377264E-2</v>
      </c>
      <c r="P408" s="67">
        <f t="shared" si="311"/>
        <v>1.9785432939102631E-2</v>
      </c>
      <c r="Q408" s="67">
        <f t="shared" si="311"/>
        <v>1.849649517118614E-2</v>
      </c>
      <c r="R408" s="67">
        <f t="shared" si="311"/>
        <v>1.7390670333146188E-2</v>
      </c>
      <c r="S408" s="67">
        <f t="shared" si="311"/>
        <v>1.6473054982268233E-2</v>
      </c>
      <c r="T408" s="67">
        <f t="shared" si="311"/>
        <v>1.5733329170288274E-2</v>
      </c>
      <c r="U408" s="67">
        <f t="shared" si="311"/>
        <v>1.5153641851487975E-2</v>
      </c>
      <c r="V408" s="67">
        <f t="shared" si="311"/>
        <v>1.4712185790488037E-2</v>
      </c>
      <c r="W408" s="67">
        <f t="shared" si="311"/>
        <v>1.4385142320975212E-2</v>
      </c>
      <c r="X408" s="67">
        <f t="shared" si="311"/>
        <v>1.414874188095956E-2</v>
      </c>
      <c r="Y408" s="67">
        <f t="shared" si="311"/>
        <v>1.3981302620663251E-2</v>
      </c>
      <c r="Z408" s="67">
        <f t="shared" si="311"/>
        <v>1.3864572234527434E-2</v>
      </c>
      <c r="AA408" s="67">
        <f t="shared" si="311"/>
        <v>1.3784148193993467E-2</v>
      </c>
      <c r="AB408" s="67">
        <f t="shared" si="311"/>
        <v>1.3729207444161961E-2</v>
      </c>
      <c r="AC408" s="67">
        <f t="shared" si="311"/>
        <v>1.3691899441277723E-2</v>
      </c>
    </row>
    <row r="410" spans="1:29" x14ac:dyDescent="0.25">
      <c r="B410" s="40"/>
    </row>
  </sheetData>
  <conditionalFormatting sqref="Q11:AR20 Q22:AR27">
    <cfRule type="colorScale" priority="40">
      <colorScale>
        <cfvo type="min"/>
        <cfvo type="max"/>
        <color rgb="FFFF7128"/>
        <color rgb="FFFFEF9C"/>
      </colorScale>
    </cfRule>
    <cfRule type="colorScale" priority="36">
      <colorScale>
        <cfvo type="min"/>
        <cfvo type="max"/>
        <color rgb="FFFF7128"/>
        <color rgb="FFFFEF9C"/>
      </colorScale>
    </cfRule>
    <cfRule type="colorScale" priority="37">
      <colorScale>
        <cfvo type="min"/>
        <cfvo type="percentile" val="50"/>
        <cfvo type="max"/>
        <color rgb="FFF8696B"/>
        <color rgb="FFFFEB84"/>
        <color rgb="FF63BE7B"/>
      </colorScale>
    </cfRule>
    <cfRule type="colorScale" priority="38">
      <colorScale>
        <cfvo type="min"/>
        <cfvo type="percentile" val="50"/>
        <cfvo type="max"/>
        <color theme="5" tint="-0.249977111117893"/>
        <color theme="7" tint="0.79998168889431442"/>
        <color theme="7" tint="0.39997558519241921"/>
      </colorScale>
    </cfRule>
    <cfRule type="colorScale" priority="39">
      <colorScale>
        <cfvo type="min"/>
        <cfvo type="percentile" val="50"/>
        <cfvo type="max"/>
        <color rgb="FFF8696B"/>
        <color rgb="FFFFEB84"/>
        <color rgb="FF63BE7B"/>
      </colorScale>
    </cfRule>
  </conditionalFormatting>
  <conditionalFormatting sqref="Q21:AR21">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117:AR126 Q128:AR133">
    <cfRule type="colorScale" priority="31">
      <colorScale>
        <cfvo type="min"/>
        <cfvo type="max"/>
        <color rgb="FFFF7128"/>
        <color rgb="FFFFEF9C"/>
      </colorScale>
    </cfRule>
    <cfRule type="colorScale" priority="32">
      <colorScale>
        <cfvo type="min"/>
        <cfvo type="percentile" val="50"/>
        <cfvo type="max"/>
        <color rgb="FFF8696B"/>
        <color rgb="FFFFEB84"/>
        <color rgb="FF63BE7B"/>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127:AR127">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225:AR234 Q236:AR241">
    <cfRule type="colorScale" priority="29">
      <colorScale>
        <cfvo type="min"/>
        <cfvo type="percentile" val="50"/>
        <cfvo type="max"/>
        <color rgb="FFF8696B"/>
        <color rgb="FFFFEB84"/>
        <color rgb="FF63BE7B"/>
      </colorScale>
    </cfRule>
    <cfRule type="colorScale" priority="28">
      <colorScale>
        <cfvo type="min"/>
        <cfvo type="percentile" val="50"/>
        <cfvo type="max"/>
        <color theme="5" tint="-0.249977111117893"/>
        <color theme="7" tint="0.79998168889431442"/>
        <color theme="7" tint="0.39997558519241921"/>
      </colorScale>
    </cfRule>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30">
      <colorScale>
        <cfvo type="min"/>
        <cfvo type="max"/>
        <color rgb="FFFF7128"/>
        <color rgb="FFFFEF9C"/>
      </colorScale>
    </cfRule>
  </conditionalFormatting>
  <conditionalFormatting sqref="Q235:AR235">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334:AR343 Q345:AR350">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344:AR344">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1">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D9677-50D1-4585-B806-139FD919656C}">
  <sheetPr>
    <tabColor theme="5"/>
  </sheetPr>
  <dimension ref="A1:AR410"/>
  <sheetViews>
    <sheetView topLeftCell="A349" zoomScale="70" zoomScaleNormal="70" workbookViewId="0">
      <selection activeCell="A341" sqref="A341"/>
    </sheetView>
  </sheetViews>
  <sheetFormatPr defaultColWidth="9.140625" defaultRowHeight="15" x14ac:dyDescent="0.25"/>
  <cols>
    <col min="1" max="1" width="38.5703125" style="4" customWidth="1"/>
    <col min="2" max="4" width="14.85546875" style="4" bestFit="1" customWidth="1"/>
    <col min="5" max="5" width="28" style="4" bestFit="1" customWidth="1"/>
    <col min="6" max="11" width="14.85546875" style="4" bestFit="1" customWidth="1"/>
    <col min="12" max="12" width="24.42578125" style="4" bestFit="1" customWidth="1"/>
    <col min="13" max="29" width="14.85546875" style="4" bestFit="1" customWidth="1"/>
    <col min="30" max="44" width="13.5703125" style="4" bestFit="1" customWidth="1"/>
    <col min="45" max="16384" width="9.140625" style="4"/>
  </cols>
  <sheetData>
    <row r="1" spans="1:44" s="3" customFormat="1" ht="21" x14ac:dyDescent="0.35">
      <c r="A1" s="2" t="str">
        <f>'Parameter Input'!A155</f>
        <v>Short-sea: Dry bulk</v>
      </c>
    </row>
    <row r="2" spans="1:44" s="3" customFormat="1" ht="21" x14ac:dyDescent="0.35">
      <c r="A2" s="2" t="s">
        <v>186</v>
      </c>
    </row>
    <row r="3" spans="1:44" x14ac:dyDescent="0.25">
      <c r="A3" s="33" t="s">
        <v>195</v>
      </c>
    </row>
    <row r="4" spans="1:44" x14ac:dyDescent="0.25">
      <c r="A4" s="33" t="s">
        <v>196</v>
      </c>
    </row>
    <row r="5" spans="1:44" ht="15.75" thickBot="1" x14ac:dyDescent="0.3">
      <c r="A5" s="34" t="s">
        <v>197</v>
      </c>
      <c r="B5" s="34"/>
    </row>
    <row r="6" spans="1:44" ht="15.75" thickBot="1" x14ac:dyDescent="0.3">
      <c r="A6" s="39" t="s">
        <v>198</v>
      </c>
      <c r="B6" s="35"/>
    </row>
    <row r="7" spans="1:44" ht="15.75" thickBot="1" x14ac:dyDescent="0.3">
      <c r="A7" s="38" t="s">
        <v>199</v>
      </c>
      <c r="B7" s="36"/>
    </row>
    <row r="8" spans="1:44" ht="15.75" thickBot="1" x14ac:dyDescent="0.3"/>
    <row r="9" spans="1:44"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18</v>
      </c>
      <c r="B11" s="41">
        <f>'Parameter Input'!$L$193</f>
        <v>30000000</v>
      </c>
      <c r="C11" s="42">
        <f>'Parameter Input'!$M$193</f>
        <v>18000000</v>
      </c>
      <c r="D11" s="1" t="s">
        <v>15</v>
      </c>
      <c r="L11" s="51">
        <f>'Parameter Input'!$O$193</f>
        <v>17</v>
      </c>
      <c r="M11" s="52">
        <v>0</v>
      </c>
      <c r="N11" s="52">
        <v>1</v>
      </c>
      <c r="O11" s="52">
        <f>'Parameter Input'!$P$193</f>
        <v>0.9</v>
      </c>
      <c r="P11" s="53">
        <f>'Parameter Input'!$Q$193</f>
        <v>0.4</v>
      </c>
      <c r="Q11" s="4">
        <f t="shared" ref="Q11:AR20" si="0">$N11+($M11-$N11)*((1/(1+EXP(-$P11*(Q$9-$L11)))^$O11))</f>
        <v>0.99780374543478534</v>
      </c>
      <c r="R11" s="4">
        <f t="shared" si="0"/>
        <v>0.99685359315256394</v>
      </c>
      <c r="S11" s="4">
        <f t="shared" si="0"/>
        <v>0.99549347132349975</v>
      </c>
      <c r="T11" s="4">
        <f t="shared" si="0"/>
        <v>0.99354772139898062</v>
      </c>
      <c r="U11" s="4">
        <f t="shared" si="0"/>
        <v>0.99076681540580536</v>
      </c>
      <c r="V11" s="4">
        <f t="shared" si="0"/>
        <v>0.9867978615748374</v>
      </c>
      <c r="W11" s="4">
        <f t="shared" si="0"/>
        <v>0.98114509762858249</v>
      </c>
      <c r="X11" s="4">
        <f t="shared" si="0"/>
        <v>0.97311898315872036</v>
      </c>
      <c r="Y11" s="4">
        <f t="shared" si="0"/>
        <v>0.96177484161592774</v>
      </c>
      <c r="Z11" s="4">
        <f t="shared" si="0"/>
        <v>0.94584787155511363</v>
      </c>
      <c r="AA11" s="4">
        <f t="shared" si="0"/>
        <v>0.92370360150141495</v>
      </c>
      <c r="AB11" s="4">
        <f t="shared" si="0"/>
        <v>0.89334463567658451</v>
      </c>
      <c r="AC11" s="4">
        <f t="shared" si="0"/>
        <v>0.85254543874327005</v>
      </c>
      <c r="AD11" s="4">
        <f t="shared" si="0"/>
        <v>0.79921300652623883</v>
      </c>
      <c r="AE11" s="4">
        <f t="shared" si="0"/>
        <v>0.73204982249993378</v>
      </c>
      <c r="AF11" s="4">
        <f t="shared" si="0"/>
        <v>0.65145592958786691</v>
      </c>
      <c r="AG11" s="4">
        <f t="shared" si="0"/>
        <v>0.56032247880849573</v>
      </c>
      <c r="AH11" s="4">
        <f t="shared" si="0"/>
        <v>0.46411326873185343</v>
      </c>
      <c r="AI11" s="4">
        <f t="shared" si="0"/>
        <v>0.36979727595523937</v>
      </c>
      <c r="AJ11" s="4">
        <f t="shared" si="0"/>
        <v>0.28393948637231203</v>
      </c>
      <c r="AK11" s="4">
        <f t="shared" si="0"/>
        <v>0.21097259161117732</v>
      </c>
      <c r="AL11" s="4">
        <f t="shared" si="0"/>
        <v>0.15253917653798199</v>
      </c>
      <c r="AM11" s="4">
        <f t="shared" si="0"/>
        <v>0.10795188737709993</v>
      </c>
      <c r="AN11" s="4">
        <f t="shared" si="0"/>
        <v>7.5176653938091809E-2</v>
      </c>
      <c r="AO11" s="4">
        <f t="shared" si="0"/>
        <v>5.1742836177502194E-2</v>
      </c>
      <c r="AP11" s="4">
        <f t="shared" si="0"/>
        <v>3.5319190625345942E-2</v>
      </c>
      <c r="AQ11" s="4">
        <f t="shared" si="0"/>
        <v>2.3969442072658165E-2</v>
      </c>
      <c r="AR11" s="4">
        <f t="shared" si="0"/>
        <v>1.6202243558389728E-2</v>
      </c>
    </row>
    <row r="12" spans="1:44" x14ac:dyDescent="0.25">
      <c r="A12" s="24" t="s">
        <v>28</v>
      </c>
      <c r="B12" s="60">
        <f>'Parameter Input'!$L$194</f>
        <v>-1500000</v>
      </c>
      <c r="C12" s="61">
        <f>'Parameter Input'!$M$194</f>
        <v>-1800000</v>
      </c>
      <c r="D12" s="1" t="s">
        <v>15</v>
      </c>
      <c r="L12" s="54">
        <f>'Parameter Input'!$O$194</f>
        <v>17</v>
      </c>
      <c r="M12" s="37">
        <v>0</v>
      </c>
      <c r="N12" s="37">
        <v>1</v>
      </c>
      <c r="O12" s="37">
        <f>'Parameter Input'!$P$194</f>
        <v>0.9</v>
      </c>
      <c r="P12" s="55">
        <f>'Parameter Input'!$Q$194</f>
        <v>0.4</v>
      </c>
      <c r="Q12" s="4">
        <f t="shared" si="0"/>
        <v>0.99780374543478534</v>
      </c>
      <c r="R12" s="4">
        <f t="shared" si="0"/>
        <v>0.99685359315256394</v>
      </c>
      <c r="S12" s="4">
        <f t="shared" si="0"/>
        <v>0.99549347132349975</v>
      </c>
      <c r="T12" s="4">
        <f t="shared" si="0"/>
        <v>0.99354772139898062</v>
      </c>
      <c r="U12" s="4">
        <f t="shared" si="0"/>
        <v>0.99076681540580536</v>
      </c>
      <c r="V12" s="4">
        <f t="shared" si="0"/>
        <v>0.9867978615748374</v>
      </c>
      <c r="W12" s="4">
        <f t="shared" si="0"/>
        <v>0.98114509762858249</v>
      </c>
      <c r="X12" s="4">
        <f t="shared" si="0"/>
        <v>0.97311898315872036</v>
      </c>
      <c r="Y12" s="4">
        <f t="shared" si="0"/>
        <v>0.96177484161592774</v>
      </c>
      <c r="Z12" s="4">
        <f t="shared" si="0"/>
        <v>0.94584787155511363</v>
      </c>
      <c r="AA12" s="4">
        <f t="shared" si="0"/>
        <v>0.92370360150141495</v>
      </c>
      <c r="AB12" s="4">
        <f t="shared" si="0"/>
        <v>0.89334463567658451</v>
      </c>
      <c r="AC12" s="4">
        <f t="shared" si="0"/>
        <v>0.85254543874327005</v>
      </c>
      <c r="AD12" s="4">
        <f t="shared" si="0"/>
        <v>0.79921300652623883</v>
      </c>
      <c r="AE12" s="4">
        <f t="shared" si="0"/>
        <v>0.73204982249993378</v>
      </c>
      <c r="AF12" s="4">
        <f t="shared" si="0"/>
        <v>0.65145592958786691</v>
      </c>
      <c r="AG12" s="4">
        <f t="shared" si="0"/>
        <v>0.56032247880849573</v>
      </c>
      <c r="AH12" s="4">
        <f t="shared" si="0"/>
        <v>0.46411326873185343</v>
      </c>
      <c r="AI12" s="4">
        <f t="shared" si="0"/>
        <v>0.36979727595523937</v>
      </c>
      <c r="AJ12" s="4">
        <f t="shared" si="0"/>
        <v>0.28393948637231203</v>
      </c>
      <c r="AK12" s="4">
        <f t="shared" si="0"/>
        <v>0.21097259161117732</v>
      </c>
      <c r="AL12" s="4">
        <f t="shared" si="0"/>
        <v>0.15253917653798199</v>
      </c>
      <c r="AM12" s="4">
        <f t="shared" si="0"/>
        <v>0.10795188737709993</v>
      </c>
      <c r="AN12" s="4">
        <f t="shared" si="0"/>
        <v>7.5176653938091809E-2</v>
      </c>
      <c r="AO12" s="4">
        <f t="shared" si="0"/>
        <v>5.1742836177502194E-2</v>
      </c>
      <c r="AP12" s="4">
        <f t="shared" si="0"/>
        <v>3.5319190625345942E-2</v>
      </c>
      <c r="AQ12" s="4">
        <f t="shared" si="0"/>
        <v>2.3969442072658165E-2</v>
      </c>
      <c r="AR12" s="4">
        <f t="shared" si="0"/>
        <v>1.6202243558389728E-2</v>
      </c>
    </row>
    <row r="13" spans="1:44" x14ac:dyDescent="0.25">
      <c r="A13" s="24" t="s">
        <v>14</v>
      </c>
      <c r="B13" s="60">
        <f>'Parameter Input'!B156</f>
        <v>1000000</v>
      </c>
      <c r="C13" s="61">
        <f>'Parameter Input'!C156</f>
        <v>1000000</v>
      </c>
      <c r="D13" s="1" t="s">
        <v>15</v>
      </c>
      <c r="L13" s="54">
        <f>'Parameter Input'!E156</f>
        <v>17</v>
      </c>
      <c r="M13" s="37">
        <v>0</v>
      </c>
      <c r="N13" s="37">
        <v>1</v>
      </c>
      <c r="O13" s="37">
        <f>'Parameter Input'!F156</f>
        <v>0.9</v>
      </c>
      <c r="P13" s="55">
        <f>'Parameter Input'!G156</f>
        <v>0.4</v>
      </c>
      <c r="Q13" s="4">
        <f t="shared" si="0"/>
        <v>0.99780374543478534</v>
      </c>
      <c r="R13" s="4">
        <f t="shared" si="0"/>
        <v>0.99685359315256394</v>
      </c>
      <c r="S13" s="4">
        <f t="shared" si="0"/>
        <v>0.99549347132349975</v>
      </c>
      <c r="T13" s="4">
        <f t="shared" si="0"/>
        <v>0.99354772139898062</v>
      </c>
      <c r="U13" s="4">
        <f t="shared" si="0"/>
        <v>0.99076681540580536</v>
      </c>
      <c r="V13" s="4">
        <f t="shared" si="0"/>
        <v>0.9867978615748374</v>
      </c>
      <c r="W13" s="4">
        <f t="shared" si="0"/>
        <v>0.98114509762858249</v>
      </c>
      <c r="X13" s="4">
        <f t="shared" si="0"/>
        <v>0.97311898315872036</v>
      </c>
      <c r="Y13" s="4">
        <f t="shared" si="0"/>
        <v>0.96177484161592774</v>
      </c>
      <c r="Z13" s="4">
        <f t="shared" si="0"/>
        <v>0.94584787155511363</v>
      </c>
      <c r="AA13" s="4">
        <f t="shared" si="0"/>
        <v>0.92370360150141495</v>
      </c>
      <c r="AB13" s="4">
        <f t="shared" si="0"/>
        <v>0.89334463567658451</v>
      </c>
      <c r="AC13" s="4">
        <f t="shared" si="0"/>
        <v>0.85254543874327005</v>
      </c>
      <c r="AD13" s="4">
        <f t="shared" si="0"/>
        <v>0.79921300652623883</v>
      </c>
      <c r="AE13" s="4">
        <f t="shared" si="0"/>
        <v>0.73204982249993378</v>
      </c>
      <c r="AF13" s="4">
        <f t="shared" si="0"/>
        <v>0.65145592958786691</v>
      </c>
      <c r="AG13" s="4">
        <f t="shared" si="0"/>
        <v>0.56032247880849573</v>
      </c>
      <c r="AH13" s="4">
        <f t="shared" si="0"/>
        <v>0.46411326873185343</v>
      </c>
      <c r="AI13" s="4">
        <f t="shared" si="0"/>
        <v>0.36979727595523937</v>
      </c>
      <c r="AJ13" s="4">
        <f t="shared" si="0"/>
        <v>0.28393948637231203</v>
      </c>
      <c r="AK13" s="4">
        <f t="shared" si="0"/>
        <v>0.21097259161117732</v>
      </c>
      <c r="AL13" s="4">
        <f t="shared" si="0"/>
        <v>0.15253917653798199</v>
      </c>
      <c r="AM13" s="4">
        <f t="shared" si="0"/>
        <v>0.10795188737709993</v>
      </c>
      <c r="AN13" s="4">
        <f t="shared" si="0"/>
        <v>7.5176653938091809E-2</v>
      </c>
      <c r="AO13" s="4">
        <f t="shared" si="0"/>
        <v>5.1742836177502194E-2</v>
      </c>
      <c r="AP13" s="4">
        <f t="shared" si="0"/>
        <v>3.5319190625345942E-2</v>
      </c>
      <c r="AQ13" s="4">
        <f t="shared" si="0"/>
        <v>2.3969442072658165E-2</v>
      </c>
      <c r="AR13" s="4">
        <f t="shared" si="0"/>
        <v>1.6202243558389728E-2</v>
      </c>
    </row>
    <row r="14" spans="1:44" x14ac:dyDescent="0.25">
      <c r="A14" s="24" t="s">
        <v>25</v>
      </c>
      <c r="B14" s="60">
        <f>'Parameter Input'!B157</f>
        <v>-100000</v>
      </c>
      <c r="C14" s="61">
        <f>'Parameter Input'!C157</f>
        <v>-100000</v>
      </c>
      <c r="D14" s="1" t="s">
        <v>15</v>
      </c>
      <c r="L14" s="54">
        <f>'Parameter Input'!E157</f>
        <v>17</v>
      </c>
      <c r="M14" s="37">
        <v>0</v>
      </c>
      <c r="N14" s="37">
        <v>1</v>
      </c>
      <c r="O14" s="37">
        <f>'Parameter Input'!F157</f>
        <v>0.9</v>
      </c>
      <c r="P14" s="55">
        <f>'Parameter Input'!G157</f>
        <v>0.4</v>
      </c>
      <c r="Q14" s="4">
        <f t="shared" si="0"/>
        <v>0.99780374543478534</v>
      </c>
      <c r="R14" s="4">
        <f t="shared" si="0"/>
        <v>0.99685359315256394</v>
      </c>
      <c r="S14" s="4">
        <f t="shared" si="0"/>
        <v>0.99549347132349975</v>
      </c>
      <c r="T14" s="4">
        <f t="shared" si="0"/>
        <v>0.99354772139898062</v>
      </c>
      <c r="U14" s="4">
        <f t="shared" si="0"/>
        <v>0.99076681540580536</v>
      </c>
      <c r="V14" s="4">
        <f t="shared" si="0"/>
        <v>0.9867978615748374</v>
      </c>
      <c r="W14" s="4">
        <f t="shared" si="0"/>
        <v>0.98114509762858249</v>
      </c>
      <c r="X14" s="4">
        <f t="shared" si="0"/>
        <v>0.97311898315872036</v>
      </c>
      <c r="Y14" s="4">
        <f t="shared" si="0"/>
        <v>0.96177484161592774</v>
      </c>
      <c r="Z14" s="4">
        <f t="shared" si="0"/>
        <v>0.94584787155511363</v>
      </c>
      <c r="AA14" s="4">
        <f t="shared" si="0"/>
        <v>0.92370360150141495</v>
      </c>
      <c r="AB14" s="4">
        <f t="shared" si="0"/>
        <v>0.89334463567658451</v>
      </c>
      <c r="AC14" s="4">
        <f t="shared" si="0"/>
        <v>0.85254543874327005</v>
      </c>
      <c r="AD14" s="4">
        <f t="shared" si="0"/>
        <v>0.79921300652623883</v>
      </c>
      <c r="AE14" s="4">
        <f t="shared" si="0"/>
        <v>0.73204982249993378</v>
      </c>
      <c r="AF14" s="4">
        <f t="shared" si="0"/>
        <v>0.65145592958786691</v>
      </c>
      <c r="AG14" s="4">
        <f t="shared" si="0"/>
        <v>0.56032247880849573</v>
      </c>
      <c r="AH14" s="4">
        <f t="shared" si="0"/>
        <v>0.46411326873185343</v>
      </c>
      <c r="AI14" s="4">
        <f t="shared" si="0"/>
        <v>0.36979727595523937</v>
      </c>
      <c r="AJ14" s="4">
        <f t="shared" si="0"/>
        <v>0.28393948637231203</v>
      </c>
      <c r="AK14" s="4">
        <f t="shared" si="0"/>
        <v>0.21097259161117732</v>
      </c>
      <c r="AL14" s="4">
        <f t="shared" si="0"/>
        <v>0.15253917653798199</v>
      </c>
      <c r="AM14" s="4">
        <f t="shared" si="0"/>
        <v>0.10795188737709993</v>
      </c>
      <c r="AN14" s="4">
        <f t="shared" si="0"/>
        <v>7.5176653938091809E-2</v>
      </c>
      <c r="AO14" s="4">
        <f t="shared" si="0"/>
        <v>5.1742836177502194E-2</v>
      </c>
      <c r="AP14" s="4">
        <f t="shared" si="0"/>
        <v>3.5319190625345942E-2</v>
      </c>
      <c r="AQ14" s="4">
        <f t="shared" si="0"/>
        <v>2.3969442072658165E-2</v>
      </c>
      <c r="AR14" s="4">
        <f t="shared" si="0"/>
        <v>1.6202243558389728E-2</v>
      </c>
    </row>
    <row r="15" spans="1:44" x14ac:dyDescent="0.25">
      <c r="A15" s="24" t="s">
        <v>79</v>
      </c>
      <c r="B15" s="92">
        <f>'Parameter Input'!$L$200</f>
        <v>0.06</v>
      </c>
      <c r="C15" s="91">
        <f>'Parameter Input'!$M$200</f>
        <v>0.06</v>
      </c>
      <c r="D15" s="1" t="s">
        <v>57</v>
      </c>
      <c r="L15" s="54">
        <f>'Parameter Input'!$O$200</f>
        <v>17</v>
      </c>
      <c r="M15" s="37">
        <v>0</v>
      </c>
      <c r="N15" s="37">
        <v>1</v>
      </c>
      <c r="O15" s="37">
        <f>'Parameter Input'!$P$200</f>
        <v>0.9</v>
      </c>
      <c r="P15" s="55">
        <f>'Parameter Input'!$Q$200</f>
        <v>0.4</v>
      </c>
      <c r="Q15" s="4">
        <f t="shared" si="0"/>
        <v>0.99780374543478534</v>
      </c>
      <c r="R15" s="4">
        <f t="shared" si="0"/>
        <v>0.99685359315256394</v>
      </c>
      <c r="S15" s="4">
        <f t="shared" si="0"/>
        <v>0.99549347132349975</v>
      </c>
      <c r="T15" s="4">
        <f t="shared" si="0"/>
        <v>0.99354772139898062</v>
      </c>
      <c r="U15" s="4">
        <f t="shared" si="0"/>
        <v>0.99076681540580536</v>
      </c>
      <c r="V15" s="4">
        <f t="shared" si="0"/>
        <v>0.9867978615748374</v>
      </c>
      <c r="W15" s="4">
        <f t="shared" si="0"/>
        <v>0.98114509762858249</v>
      </c>
      <c r="X15" s="4">
        <f t="shared" si="0"/>
        <v>0.97311898315872036</v>
      </c>
      <c r="Y15" s="4">
        <f t="shared" si="0"/>
        <v>0.96177484161592774</v>
      </c>
      <c r="Z15" s="4">
        <f t="shared" si="0"/>
        <v>0.94584787155511363</v>
      </c>
      <c r="AA15" s="4">
        <f t="shared" si="0"/>
        <v>0.92370360150141495</v>
      </c>
      <c r="AB15" s="4">
        <f t="shared" si="0"/>
        <v>0.89334463567658451</v>
      </c>
      <c r="AC15" s="4">
        <f t="shared" si="0"/>
        <v>0.85254543874327005</v>
      </c>
      <c r="AD15" s="4">
        <f t="shared" si="0"/>
        <v>0.79921300652623883</v>
      </c>
      <c r="AE15" s="4">
        <f t="shared" si="0"/>
        <v>0.73204982249993378</v>
      </c>
      <c r="AF15" s="4">
        <f t="shared" si="0"/>
        <v>0.65145592958786691</v>
      </c>
      <c r="AG15" s="4">
        <f t="shared" si="0"/>
        <v>0.56032247880849573</v>
      </c>
      <c r="AH15" s="4">
        <f t="shared" si="0"/>
        <v>0.46411326873185343</v>
      </c>
      <c r="AI15" s="4">
        <f t="shared" si="0"/>
        <v>0.36979727595523937</v>
      </c>
      <c r="AJ15" s="4">
        <f t="shared" si="0"/>
        <v>0.28393948637231203</v>
      </c>
      <c r="AK15" s="4">
        <f t="shared" si="0"/>
        <v>0.21097259161117732</v>
      </c>
      <c r="AL15" s="4">
        <f t="shared" si="0"/>
        <v>0.15253917653798199</v>
      </c>
      <c r="AM15" s="4">
        <f t="shared" si="0"/>
        <v>0.10795188737709993</v>
      </c>
      <c r="AN15" s="4">
        <f t="shared" si="0"/>
        <v>7.5176653938091809E-2</v>
      </c>
      <c r="AO15" s="4">
        <f t="shared" si="0"/>
        <v>5.1742836177502194E-2</v>
      </c>
      <c r="AP15" s="4">
        <f t="shared" si="0"/>
        <v>3.5319190625345942E-2</v>
      </c>
      <c r="AQ15" s="4">
        <f t="shared" si="0"/>
        <v>2.3969442072658165E-2</v>
      </c>
      <c r="AR15" s="4">
        <f t="shared" si="0"/>
        <v>1.6202243558389728E-2</v>
      </c>
    </row>
    <row r="16" spans="1:44" x14ac:dyDescent="0.25">
      <c r="A16" s="24" t="s">
        <v>37</v>
      </c>
      <c r="B16" s="60">
        <f>'Parameter Input'!B158</f>
        <v>1208235.294117647</v>
      </c>
      <c r="C16" s="61">
        <f>'Parameter Input'!C158</f>
        <v>1208235.294117647</v>
      </c>
      <c r="D16" s="1" t="s">
        <v>38</v>
      </c>
      <c r="L16" s="54">
        <f>'Parameter Input'!E158</f>
        <v>17</v>
      </c>
      <c r="M16" s="37">
        <v>0</v>
      </c>
      <c r="N16" s="37">
        <v>1</v>
      </c>
      <c r="O16" s="37">
        <f>'Parameter Input'!F158</f>
        <v>0.9</v>
      </c>
      <c r="P16" s="55">
        <f>'Parameter Input'!G158</f>
        <v>0.4</v>
      </c>
      <c r="Q16" s="4">
        <f t="shared" si="0"/>
        <v>0.99780374543478534</v>
      </c>
      <c r="R16" s="4">
        <f t="shared" si="0"/>
        <v>0.99685359315256394</v>
      </c>
      <c r="S16" s="4">
        <f t="shared" si="0"/>
        <v>0.99549347132349975</v>
      </c>
      <c r="T16" s="4">
        <f t="shared" si="0"/>
        <v>0.99354772139898062</v>
      </c>
      <c r="U16" s="4">
        <f t="shared" si="0"/>
        <v>0.99076681540580536</v>
      </c>
      <c r="V16" s="4">
        <f t="shared" si="0"/>
        <v>0.9867978615748374</v>
      </c>
      <c r="W16" s="4">
        <f t="shared" si="0"/>
        <v>0.98114509762858249</v>
      </c>
      <c r="X16" s="4">
        <f t="shared" si="0"/>
        <v>0.97311898315872036</v>
      </c>
      <c r="Y16" s="4">
        <f t="shared" si="0"/>
        <v>0.96177484161592774</v>
      </c>
      <c r="Z16" s="4">
        <f t="shared" si="0"/>
        <v>0.94584787155511363</v>
      </c>
      <c r="AA16" s="4">
        <f t="shared" si="0"/>
        <v>0.92370360150141495</v>
      </c>
      <c r="AB16" s="4">
        <f t="shared" si="0"/>
        <v>0.89334463567658451</v>
      </c>
      <c r="AC16" s="4">
        <f t="shared" si="0"/>
        <v>0.85254543874327005</v>
      </c>
      <c r="AD16" s="4">
        <f t="shared" si="0"/>
        <v>0.79921300652623883</v>
      </c>
      <c r="AE16" s="4">
        <f t="shared" si="0"/>
        <v>0.73204982249993378</v>
      </c>
      <c r="AF16" s="4">
        <f t="shared" si="0"/>
        <v>0.65145592958786691</v>
      </c>
      <c r="AG16" s="4">
        <f t="shared" si="0"/>
        <v>0.56032247880849573</v>
      </c>
      <c r="AH16" s="4">
        <f t="shared" si="0"/>
        <v>0.46411326873185343</v>
      </c>
      <c r="AI16" s="4">
        <f t="shared" si="0"/>
        <v>0.36979727595523937</v>
      </c>
      <c r="AJ16" s="4">
        <f t="shared" si="0"/>
        <v>0.28393948637231203</v>
      </c>
      <c r="AK16" s="4">
        <f t="shared" si="0"/>
        <v>0.21097259161117732</v>
      </c>
      <c r="AL16" s="4">
        <f t="shared" si="0"/>
        <v>0.15253917653798199</v>
      </c>
      <c r="AM16" s="4">
        <f t="shared" si="0"/>
        <v>0.10795188737709993</v>
      </c>
      <c r="AN16" s="4">
        <f t="shared" si="0"/>
        <v>7.5176653938091809E-2</v>
      </c>
      <c r="AO16" s="4">
        <f t="shared" si="0"/>
        <v>5.1742836177502194E-2</v>
      </c>
      <c r="AP16" s="4">
        <f t="shared" si="0"/>
        <v>3.5319190625345942E-2</v>
      </c>
      <c r="AQ16" s="4">
        <f t="shared" si="0"/>
        <v>2.3969442072658165E-2</v>
      </c>
      <c r="AR16" s="4">
        <f t="shared" si="0"/>
        <v>1.6202243558389728E-2</v>
      </c>
    </row>
    <row r="17" spans="1:44" x14ac:dyDescent="0.25">
      <c r="A17" s="24" t="s">
        <v>52</v>
      </c>
      <c r="B17" s="60">
        <f>'Parameter Input'!$L$196</f>
        <v>338823.5294117647</v>
      </c>
      <c r="C17" s="61">
        <f>'Parameter Input'!$M$196</f>
        <v>338823.5294117647</v>
      </c>
      <c r="D17" s="1" t="s">
        <v>38</v>
      </c>
      <c r="L17" s="54">
        <f>'Parameter Input'!$O$196</f>
        <v>17</v>
      </c>
      <c r="M17" s="37">
        <v>0</v>
      </c>
      <c r="N17" s="37">
        <v>1</v>
      </c>
      <c r="O17" s="37">
        <f>'Parameter Input'!$P$196</f>
        <v>0.9</v>
      </c>
      <c r="P17" s="55">
        <f>'Parameter Input'!$Q$196</f>
        <v>0.4</v>
      </c>
      <c r="Q17" s="4">
        <f t="shared" si="0"/>
        <v>0.99780374543478534</v>
      </c>
      <c r="R17" s="4">
        <f t="shared" si="0"/>
        <v>0.99685359315256394</v>
      </c>
      <c r="S17" s="4">
        <f t="shared" si="0"/>
        <v>0.99549347132349975</v>
      </c>
      <c r="T17" s="4">
        <f t="shared" si="0"/>
        <v>0.99354772139898062</v>
      </c>
      <c r="U17" s="4">
        <f t="shared" si="0"/>
        <v>0.99076681540580536</v>
      </c>
      <c r="V17" s="4">
        <f t="shared" si="0"/>
        <v>0.9867978615748374</v>
      </c>
      <c r="W17" s="4">
        <f t="shared" si="0"/>
        <v>0.98114509762858249</v>
      </c>
      <c r="X17" s="4">
        <f t="shared" si="0"/>
        <v>0.97311898315872036</v>
      </c>
      <c r="Y17" s="4">
        <f t="shared" si="0"/>
        <v>0.96177484161592774</v>
      </c>
      <c r="Z17" s="4">
        <f t="shared" si="0"/>
        <v>0.94584787155511363</v>
      </c>
      <c r="AA17" s="4">
        <f t="shared" si="0"/>
        <v>0.92370360150141495</v>
      </c>
      <c r="AB17" s="4">
        <f t="shared" si="0"/>
        <v>0.89334463567658451</v>
      </c>
      <c r="AC17" s="4">
        <f t="shared" si="0"/>
        <v>0.85254543874327005</v>
      </c>
      <c r="AD17" s="4">
        <f t="shared" si="0"/>
        <v>0.79921300652623883</v>
      </c>
      <c r="AE17" s="4">
        <f t="shared" si="0"/>
        <v>0.73204982249993378</v>
      </c>
      <c r="AF17" s="4">
        <f t="shared" si="0"/>
        <v>0.65145592958786691</v>
      </c>
      <c r="AG17" s="4">
        <f t="shared" si="0"/>
        <v>0.56032247880849573</v>
      </c>
      <c r="AH17" s="4">
        <f t="shared" si="0"/>
        <v>0.46411326873185343</v>
      </c>
      <c r="AI17" s="4">
        <f t="shared" si="0"/>
        <v>0.36979727595523937</v>
      </c>
      <c r="AJ17" s="4">
        <f t="shared" si="0"/>
        <v>0.28393948637231203</v>
      </c>
      <c r="AK17" s="4">
        <f t="shared" si="0"/>
        <v>0.21097259161117732</v>
      </c>
      <c r="AL17" s="4">
        <f t="shared" si="0"/>
        <v>0.15253917653798199</v>
      </c>
      <c r="AM17" s="4">
        <f t="shared" si="0"/>
        <v>0.10795188737709993</v>
      </c>
      <c r="AN17" s="4">
        <f t="shared" si="0"/>
        <v>7.5176653938091809E-2</v>
      </c>
      <c r="AO17" s="4">
        <f t="shared" si="0"/>
        <v>5.1742836177502194E-2</v>
      </c>
      <c r="AP17" s="4">
        <f t="shared" si="0"/>
        <v>3.5319190625345942E-2</v>
      </c>
      <c r="AQ17" s="4">
        <f t="shared" si="0"/>
        <v>2.3969442072658165E-2</v>
      </c>
      <c r="AR17" s="4">
        <f t="shared" si="0"/>
        <v>1.6202243558389728E-2</v>
      </c>
    </row>
    <row r="18" spans="1:44" x14ac:dyDescent="0.25">
      <c r="A18" s="24" t="s">
        <v>272</v>
      </c>
      <c r="B18" s="92">
        <f>'Parameter Input'!B163</f>
        <v>0.8458018624557011</v>
      </c>
      <c r="C18" s="61">
        <f>'Parameter Input'!C163</f>
        <v>0.8458018624557011</v>
      </c>
      <c r="D18" s="1" t="s">
        <v>76</v>
      </c>
      <c r="L18" s="54">
        <f>'Parameter Input'!E163</f>
        <v>17</v>
      </c>
      <c r="M18" s="37">
        <v>0</v>
      </c>
      <c r="N18" s="37">
        <v>1</v>
      </c>
      <c r="O18" s="37">
        <f>'Parameter Input'!F163</f>
        <v>0.9</v>
      </c>
      <c r="P18" s="55">
        <f>'Parameter Input'!G163</f>
        <v>0.4</v>
      </c>
      <c r="Q18" s="4">
        <f t="shared" si="0"/>
        <v>0.99780374543478534</v>
      </c>
      <c r="R18" s="4">
        <f t="shared" si="0"/>
        <v>0.99685359315256394</v>
      </c>
      <c r="S18" s="4">
        <f t="shared" si="0"/>
        <v>0.99549347132349975</v>
      </c>
      <c r="T18" s="4">
        <f t="shared" si="0"/>
        <v>0.99354772139898062</v>
      </c>
      <c r="U18" s="4">
        <f t="shared" si="0"/>
        <v>0.99076681540580536</v>
      </c>
      <c r="V18" s="4">
        <f t="shared" si="0"/>
        <v>0.9867978615748374</v>
      </c>
      <c r="W18" s="4">
        <f t="shared" si="0"/>
        <v>0.98114509762858249</v>
      </c>
      <c r="X18" s="4">
        <f t="shared" si="0"/>
        <v>0.97311898315872036</v>
      </c>
      <c r="Y18" s="4">
        <f t="shared" si="0"/>
        <v>0.96177484161592774</v>
      </c>
      <c r="Z18" s="4">
        <f t="shared" si="0"/>
        <v>0.94584787155511363</v>
      </c>
      <c r="AA18" s="4">
        <f t="shared" si="0"/>
        <v>0.92370360150141495</v>
      </c>
      <c r="AB18" s="4">
        <f t="shared" si="0"/>
        <v>0.89334463567658451</v>
      </c>
      <c r="AC18" s="4">
        <f t="shared" si="0"/>
        <v>0.85254543874327005</v>
      </c>
      <c r="AD18" s="4">
        <f t="shared" si="0"/>
        <v>0.79921300652623883</v>
      </c>
      <c r="AE18" s="4">
        <f t="shared" si="0"/>
        <v>0.73204982249993378</v>
      </c>
      <c r="AF18" s="4">
        <f t="shared" si="0"/>
        <v>0.65145592958786691</v>
      </c>
      <c r="AG18" s="4">
        <f t="shared" si="0"/>
        <v>0.56032247880849573</v>
      </c>
      <c r="AH18" s="4">
        <f t="shared" si="0"/>
        <v>0.46411326873185343</v>
      </c>
      <c r="AI18" s="4">
        <f t="shared" si="0"/>
        <v>0.36979727595523937</v>
      </c>
      <c r="AJ18" s="4">
        <f t="shared" si="0"/>
        <v>0.28393948637231203</v>
      </c>
      <c r="AK18" s="4">
        <f t="shared" si="0"/>
        <v>0.21097259161117732</v>
      </c>
      <c r="AL18" s="4">
        <f t="shared" si="0"/>
        <v>0.15253917653798199</v>
      </c>
      <c r="AM18" s="4">
        <f t="shared" si="0"/>
        <v>0.10795188737709993</v>
      </c>
      <c r="AN18" s="4">
        <f t="shared" si="0"/>
        <v>7.5176653938091809E-2</v>
      </c>
      <c r="AO18" s="4">
        <f t="shared" si="0"/>
        <v>5.1742836177502194E-2</v>
      </c>
      <c r="AP18" s="4">
        <f t="shared" si="0"/>
        <v>3.5319190625345942E-2</v>
      </c>
      <c r="AQ18" s="4">
        <f t="shared" si="0"/>
        <v>2.3969442072658165E-2</v>
      </c>
      <c r="AR18" s="4">
        <f t="shared" si="0"/>
        <v>1.6202243558389728E-2</v>
      </c>
    </row>
    <row r="19" spans="1:44" x14ac:dyDescent="0.25">
      <c r="A19" s="24" t="s">
        <v>59</v>
      </c>
      <c r="B19" s="60">
        <f>'Parameter Input'!$L$197</f>
        <v>589</v>
      </c>
      <c r="C19" s="61">
        <f>'Parameter Input'!$M$197</f>
        <v>519</v>
      </c>
      <c r="D19" s="1" t="s">
        <v>60</v>
      </c>
      <c r="L19" s="54">
        <f>'Parameter Input'!$O$197</f>
        <v>17</v>
      </c>
      <c r="M19" s="37">
        <v>0</v>
      </c>
      <c r="N19" s="37">
        <v>1</v>
      </c>
      <c r="O19" s="37">
        <f>'Parameter Input'!$P$197</f>
        <v>0.9</v>
      </c>
      <c r="P19" s="55">
        <f>'Parameter Input'!$Q$197</f>
        <v>0.4</v>
      </c>
      <c r="Q19" s="4">
        <f t="shared" si="0"/>
        <v>0.99780374543478534</v>
      </c>
      <c r="R19" s="4">
        <f t="shared" si="0"/>
        <v>0.99685359315256394</v>
      </c>
      <c r="S19" s="4">
        <f t="shared" si="0"/>
        <v>0.99549347132349975</v>
      </c>
      <c r="T19" s="4">
        <f t="shared" si="0"/>
        <v>0.99354772139898062</v>
      </c>
      <c r="U19" s="4">
        <f t="shared" si="0"/>
        <v>0.99076681540580536</v>
      </c>
      <c r="V19" s="4">
        <f t="shared" si="0"/>
        <v>0.9867978615748374</v>
      </c>
      <c r="W19" s="4">
        <f t="shared" si="0"/>
        <v>0.98114509762858249</v>
      </c>
      <c r="X19" s="4">
        <f t="shared" si="0"/>
        <v>0.97311898315872036</v>
      </c>
      <c r="Y19" s="4">
        <f t="shared" si="0"/>
        <v>0.96177484161592774</v>
      </c>
      <c r="Z19" s="4">
        <f t="shared" si="0"/>
        <v>0.94584787155511363</v>
      </c>
      <c r="AA19" s="4">
        <f t="shared" si="0"/>
        <v>0.92370360150141495</v>
      </c>
      <c r="AB19" s="4">
        <f t="shared" si="0"/>
        <v>0.89334463567658451</v>
      </c>
      <c r="AC19" s="4">
        <f t="shared" si="0"/>
        <v>0.85254543874327005</v>
      </c>
      <c r="AD19" s="4">
        <f t="shared" si="0"/>
        <v>0.79921300652623883</v>
      </c>
      <c r="AE19" s="4">
        <f t="shared" si="0"/>
        <v>0.73204982249993378</v>
      </c>
      <c r="AF19" s="4">
        <f t="shared" si="0"/>
        <v>0.65145592958786691</v>
      </c>
      <c r="AG19" s="4">
        <f t="shared" si="0"/>
        <v>0.56032247880849573</v>
      </c>
      <c r="AH19" s="4">
        <f t="shared" si="0"/>
        <v>0.46411326873185343</v>
      </c>
      <c r="AI19" s="4">
        <f t="shared" si="0"/>
        <v>0.36979727595523937</v>
      </c>
      <c r="AJ19" s="4">
        <f t="shared" si="0"/>
        <v>0.28393948637231203</v>
      </c>
      <c r="AK19" s="4">
        <f t="shared" si="0"/>
        <v>0.21097259161117732</v>
      </c>
      <c r="AL19" s="4">
        <f t="shared" si="0"/>
        <v>0.15253917653798199</v>
      </c>
      <c r="AM19" s="4">
        <f t="shared" si="0"/>
        <v>0.10795188737709993</v>
      </c>
      <c r="AN19" s="4">
        <f t="shared" si="0"/>
        <v>7.5176653938091809E-2</v>
      </c>
      <c r="AO19" s="4">
        <f t="shared" si="0"/>
        <v>5.1742836177502194E-2</v>
      </c>
      <c r="AP19" s="4">
        <f t="shared" si="0"/>
        <v>3.5319190625345942E-2</v>
      </c>
      <c r="AQ19" s="4">
        <f t="shared" si="0"/>
        <v>2.3969442072658165E-2</v>
      </c>
      <c r="AR19" s="4">
        <f t="shared" si="0"/>
        <v>1.6202243558389728E-2</v>
      </c>
    </row>
    <row r="20" spans="1:44" x14ac:dyDescent="0.25">
      <c r="A20" s="24" t="s">
        <v>67</v>
      </c>
      <c r="B20" s="78">
        <f>'Parameter Input'!$L$198</f>
        <v>0.23976160758395154</v>
      </c>
      <c r="C20" s="61">
        <f>'Parameter Input'!$M$198</f>
        <v>0.11428118371505049</v>
      </c>
      <c r="D20" s="1" t="s">
        <v>68</v>
      </c>
      <c r="L20" s="54">
        <f>'Parameter Input'!$O$198</f>
        <v>14</v>
      </c>
      <c r="M20" s="37">
        <v>0</v>
      </c>
      <c r="N20" s="37">
        <v>1</v>
      </c>
      <c r="O20" s="37">
        <f>'Parameter Input'!$P$198</f>
        <v>0.9</v>
      </c>
      <c r="P20" s="55">
        <f>'Parameter Input'!$Q$198</f>
        <v>0.4</v>
      </c>
      <c r="Q20" s="4">
        <f t="shared" si="0"/>
        <v>0.99354772139898062</v>
      </c>
      <c r="R20" s="4">
        <f t="shared" si="0"/>
        <v>0.99076681540580536</v>
      </c>
      <c r="S20" s="4">
        <f t="shared" si="0"/>
        <v>0.9867978615748374</v>
      </c>
      <c r="T20" s="4">
        <f t="shared" ref="T20:AR27" si="1">$N20+($M20-$N20)*((1/(1+EXP(-$P20*(T$9-$L20)))^$O20))</f>
        <v>0.98114509762858249</v>
      </c>
      <c r="U20" s="4">
        <f t="shared" si="1"/>
        <v>0.97311898315872036</v>
      </c>
      <c r="V20" s="4">
        <f t="shared" si="1"/>
        <v>0.96177484161592774</v>
      </c>
      <c r="W20" s="4">
        <f t="shared" si="1"/>
        <v>0.94584787155511363</v>
      </c>
      <c r="X20" s="4">
        <f t="shared" si="1"/>
        <v>0.92370360150141495</v>
      </c>
      <c r="Y20" s="4">
        <f t="shared" si="1"/>
        <v>0.89334463567658451</v>
      </c>
      <c r="Z20" s="4">
        <f t="shared" si="1"/>
        <v>0.85254543874327005</v>
      </c>
      <c r="AA20" s="4">
        <f t="shared" si="1"/>
        <v>0.79921300652623883</v>
      </c>
      <c r="AB20" s="4">
        <f t="shared" si="1"/>
        <v>0.73204982249993378</v>
      </c>
      <c r="AC20" s="4">
        <f t="shared" si="1"/>
        <v>0.65145592958786691</v>
      </c>
      <c r="AD20" s="4">
        <f t="shared" si="1"/>
        <v>0.56032247880849573</v>
      </c>
      <c r="AE20" s="4">
        <f t="shared" si="1"/>
        <v>0.46411326873185343</v>
      </c>
      <c r="AF20" s="4">
        <f t="shared" si="1"/>
        <v>0.36979727595523937</v>
      </c>
      <c r="AG20" s="4">
        <f t="shared" si="1"/>
        <v>0.28393948637231203</v>
      </c>
      <c r="AH20" s="4">
        <f t="shared" si="1"/>
        <v>0.21097259161117732</v>
      </c>
      <c r="AI20" s="4">
        <f t="shared" si="1"/>
        <v>0.15253917653798199</v>
      </c>
      <c r="AJ20" s="4">
        <f t="shared" si="1"/>
        <v>0.10795188737709993</v>
      </c>
      <c r="AK20" s="4">
        <f t="shared" si="1"/>
        <v>7.5176653938091809E-2</v>
      </c>
      <c r="AL20" s="4">
        <f t="shared" si="1"/>
        <v>5.1742836177502194E-2</v>
      </c>
      <c r="AM20" s="4">
        <f t="shared" si="1"/>
        <v>3.5319190625345942E-2</v>
      </c>
      <c r="AN20" s="4">
        <f t="shared" si="1"/>
        <v>2.3969442072658165E-2</v>
      </c>
      <c r="AO20" s="4">
        <f t="shared" si="1"/>
        <v>1.6202243558389728E-2</v>
      </c>
      <c r="AP20" s="4">
        <f t="shared" si="1"/>
        <v>1.0922240564108399E-2</v>
      </c>
      <c r="AQ20" s="4">
        <f t="shared" si="1"/>
        <v>7.3493212906090566E-3</v>
      </c>
      <c r="AR20" s="4">
        <f t="shared" si="1"/>
        <v>4.9390262185057265E-3</v>
      </c>
    </row>
    <row r="21" spans="1:44" x14ac:dyDescent="0.25">
      <c r="A21" s="24" t="s">
        <v>206</v>
      </c>
      <c r="B21" s="115">
        <f>'Parameter Input'!$L$201</f>
        <v>2.4919230769230767</v>
      </c>
      <c r="C21" s="116">
        <f>'Parameter Input'!$M$201</f>
        <v>0</v>
      </c>
      <c r="D21" s="1" t="s">
        <v>76</v>
      </c>
      <c r="L21" s="54">
        <f>'Parameter Input'!$O$201</f>
        <v>17</v>
      </c>
      <c r="M21" s="37">
        <v>0</v>
      </c>
      <c r="N21" s="37">
        <v>1</v>
      </c>
      <c r="O21" s="37">
        <f>'Parameter Input'!$P$201</f>
        <v>0.9</v>
      </c>
      <c r="P21" s="55">
        <f>'Parameter Input'!$Q$201</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41</v>
      </c>
      <c r="B22" s="60">
        <f>'Parameter Input'!$L$195</f>
        <v>25</v>
      </c>
      <c r="C22" s="61">
        <f>'Parameter Input'!$M$195</f>
        <v>25</v>
      </c>
      <c r="D22" s="1" t="s">
        <v>42</v>
      </c>
      <c r="L22" s="54">
        <f>'Parameter Input'!$O$195</f>
        <v>17</v>
      </c>
      <c r="M22" s="37">
        <v>0</v>
      </c>
      <c r="N22" s="37">
        <v>1</v>
      </c>
      <c r="O22" s="37">
        <f>'Parameter Input'!$P$195</f>
        <v>0.9</v>
      </c>
      <c r="P22" s="55">
        <f>'Parameter Input'!$Q$195</f>
        <v>0.4</v>
      </c>
      <c r="Q22" s="4">
        <f t="shared" ref="Q22:AF27" si="3">$N22+($M22-$N22)*((1/(1+EXP(-$P22*(Q$9-$L22)))^$O22))</f>
        <v>0.99780374543478534</v>
      </c>
      <c r="R22" s="4">
        <f t="shared" si="3"/>
        <v>0.99685359315256394</v>
      </c>
      <c r="S22" s="4">
        <f t="shared" si="3"/>
        <v>0.99549347132349975</v>
      </c>
      <c r="T22" s="4">
        <f t="shared" si="3"/>
        <v>0.99354772139898062</v>
      </c>
      <c r="U22" s="4">
        <f t="shared" si="3"/>
        <v>0.99076681540580536</v>
      </c>
      <c r="V22" s="4">
        <f t="shared" si="3"/>
        <v>0.9867978615748374</v>
      </c>
      <c r="W22" s="4">
        <f t="shared" si="3"/>
        <v>0.98114509762858249</v>
      </c>
      <c r="X22" s="4">
        <f t="shared" si="3"/>
        <v>0.97311898315872036</v>
      </c>
      <c r="Y22" s="4">
        <f t="shared" si="3"/>
        <v>0.96177484161592774</v>
      </c>
      <c r="Z22" s="4">
        <f t="shared" si="3"/>
        <v>0.94584787155511363</v>
      </c>
      <c r="AA22" s="4">
        <f t="shared" si="3"/>
        <v>0.92370360150141495</v>
      </c>
      <c r="AB22" s="4">
        <f t="shared" si="3"/>
        <v>0.89334463567658451</v>
      </c>
      <c r="AC22" s="4">
        <f t="shared" si="3"/>
        <v>0.85254543874327005</v>
      </c>
      <c r="AD22" s="4">
        <f t="shared" si="3"/>
        <v>0.79921300652623883</v>
      </c>
      <c r="AE22" s="4">
        <f t="shared" si="3"/>
        <v>0.73204982249993378</v>
      </c>
      <c r="AF22" s="4">
        <f t="shared" si="3"/>
        <v>0.65145592958786691</v>
      </c>
      <c r="AG22" s="4">
        <f t="shared" si="1"/>
        <v>0.56032247880849573</v>
      </c>
      <c r="AH22" s="4">
        <f t="shared" si="1"/>
        <v>0.46411326873185343</v>
      </c>
      <c r="AI22" s="4">
        <f t="shared" si="1"/>
        <v>0.36979727595523937</v>
      </c>
      <c r="AJ22" s="4">
        <f t="shared" si="1"/>
        <v>0.28393948637231203</v>
      </c>
      <c r="AK22" s="4">
        <f t="shared" si="1"/>
        <v>0.21097259161117732</v>
      </c>
      <c r="AL22" s="4">
        <f t="shared" si="1"/>
        <v>0.15253917653798199</v>
      </c>
      <c r="AM22" s="4">
        <f t="shared" si="1"/>
        <v>0.10795188737709993</v>
      </c>
      <c r="AN22" s="4">
        <f t="shared" si="1"/>
        <v>7.5176653938091809E-2</v>
      </c>
      <c r="AO22" s="4">
        <f t="shared" si="1"/>
        <v>5.1742836177502194E-2</v>
      </c>
      <c r="AP22" s="4">
        <f t="shared" si="1"/>
        <v>3.5319190625345942E-2</v>
      </c>
      <c r="AQ22" s="4">
        <f t="shared" si="1"/>
        <v>2.3969442072658165E-2</v>
      </c>
      <c r="AR22" s="4">
        <f t="shared" si="1"/>
        <v>1.6202243558389728E-2</v>
      </c>
    </row>
    <row r="23" spans="1:44" x14ac:dyDescent="0.25">
      <c r="A23" s="24" t="s">
        <v>70</v>
      </c>
      <c r="B23" s="60">
        <f>'Parameter Input'!B162</f>
        <v>25</v>
      </c>
      <c r="C23" s="61">
        <f>'Parameter Input'!C162</f>
        <v>25</v>
      </c>
      <c r="D23" s="1" t="s">
        <v>42</v>
      </c>
      <c r="L23" s="54">
        <f>'Parameter Input'!E162</f>
        <v>17</v>
      </c>
      <c r="M23" s="37">
        <v>0</v>
      </c>
      <c r="N23" s="37">
        <v>1</v>
      </c>
      <c r="O23" s="37">
        <f>'Parameter Input'!F162</f>
        <v>0.9</v>
      </c>
      <c r="P23" s="55">
        <f>'Parameter Input'!G162</f>
        <v>0.4</v>
      </c>
      <c r="Q23" s="4">
        <f t="shared" si="3"/>
        <v>0.99780374543478534</v>
      </c>
      <c r="R23" s="4">
        <f t="shared" si="3"/>
        <v>0.99685359315256394</v>
      </c>
      <c r="S23" s="4">
        <f t="shared" si="3"/>
        <v>0.99549347132349975</v>
      </c>
      <c r="T23" s="4">
        <f t="shared" si="3"/>
        <v>0.99354772139898062</v>
      </c>
      <c r="U23" s="4">
        <f t="shared" si="3"/>
        <v>0.99076681540580536</v>
      </c>
      <c r="V23" s="4">
        <f t="shared" si="3"/>
        <v>0.9867978615748374</v>
      </c>
      <c r="W23" s="4">
        <f t="shared" si="3"/>
        <v>0.98114509762858249</v>
      </c>
      <c r="X23" s="4">
        <f t="shared" si="3"/>
        <v>0.97311898315872036</v>
      </c>
      <c r="Y23" s="4">
        <f t="shared" si="3"/>
        <v>0.96177484161592774</v>
      </c>
      <c r="Z23" s="4">
        <f t="shared" si="3"/>
        <v>0.94584787155511363</v>
      </c>
      <c r="AA23" s="4">
        <f t="shared" si="3"/>
        <v>0.92370360150141495</v>
      </c>
      <c r="AB23" s="4">
        <f t="shared" si="3"/>
        <v>0.89334463567658451</v>
      </c>
      <c r="AC23" s="4">
        <f t="shared" si="3"/>
        <v>0.85254543874327005</v>
      </c>
      <c r="AD23" s="4">
        <f t="shared" si="3"/>
        <v>0.79921300652623883</v>
      </c>
      <c r="AE23" s="4">
        <f t="shared" si="3"/>
        <v>0.73204982249993378</v>
      </c>
      <c r="AF23" s="4">
        <f t="shared" si="3"/>
        <v>0.65145592958786691</v>
      </c>
      <c r="AG23" s="4">
        <f t="shared" si="1"/>
        <v>0.56032247880849573</v>
      </c>
      <c r="AH23" s="4">
        <f t="shared" si="1"/>
        <v>0.46411326873185343</v>
      </c>
      <c r="AI23" s="4">
        <f t="shared" si="1"/>
        <v>0.36979727595523937</v>
      </c>
      <c r="AJ23" s="4">
        <f t="shared" si="1"/>
        <v>0.28393948637231203</v>
      </c>
      <c r="AK23" s="4">
        <f t="shared" si="1"/>
        <v>0.21097259161117732</v>
      </c>
      <c r="AL23" s="4">
        <f t="shared" si="1"/>
        <v>0.15253917653798199</v>
      </c>
      <c r="AM23" s="4">
        <f t="shared" si="1"/>
        <v>0.10795188737709993</v>
      </c>
      <c r="AN23" s="4">
        <f t="shared" si="1"/>
        <v>7.5176653938091809E-2</v>
      </c>
      <c r="AO23" s="4">
        <f t="shared" si="1"/>
        <v>5.1742836177502194E-2</v>
      </c>
      <c r="AP23" s="4">
        <f t="shared" si="1"/>
        <v>3.5319190625345942E-2</v>
      </c>
      <c r="AQ23" s="4">
        <f t="shared" si="1"/>
        <v>2.3969442072658165E-2</v>
      </c>
      <c r="AR23" s="4">
        <f t="shared" si="1"/>
        <v>1.6202243558389728E-2</v>
      </c>
    </row>
    <row r="24" spans="1:44" x14ac:dyDescent="0.25">
      <c r="A24" s="24" t="s">
        <v>207</v>
      </c>
      <c r="B24" s="43">
        <f>'Parameter Input'!B159</f>
        <v>9450</v>
      </c>
      <c r="C24" s="44">
        <f>'Parameter Input'!C159</f>
        <v>9450</v>
      </c>
      <c r="D24" s="1" t="s">
        <v>49</v>
      </c>
      <c r="L24" s="54">
        <f>'Parameter Input'!E159</f>
        <v>17</v>
      </c>
      <c r="M24" s="37">
        <v>0</v>
      </c>
      <c r="N24" s="37">
        <v>1</v>
      </c>
      <c r="O24" s="37">
        <f>'Parameter Input'!F159</f>
        <v>0.9</v>
      </c>
      <c r="P24" s="55">
        <f>'Parameter Input'!G159</f>
        <v>0.4</v>
      </c>
      <c r="Q24" s="4">
        <f t="shared" si="3"/>
        <v>0.99780374543478534</v>
      </c>
      <c r="R24" s="4">
        <f t="shared" si="3"/>
        <v>0.99685359315256394</v>
      </c>
      <c r="S24" s="4">
        <f t="shared" si="3"/>
        <v>0.99549347132349975</v>
      </c>
      <c r="T24" s="4">
        <f t="shared" si="3"/>
        <v>0.99354772139898062</v>
      </c>
      <c r="U24" s="4">
        <f t="shared" si="3"/>
        <v>0.99076681540580536</v>
      </c>
      <c r="V24" s="4">
        <f t="shared" si="3"/>
        <v>0.9867978615748374</v>
      </c>
      <c r="W24" s="4">
        <f t="shared" si="3"/>
        <v>0.98114509762858249</v>
      </c>
      <c r="X24" s="4">
        <f t="shared" si="3"/>
        <v>0.97311898315872036</v>
      </c>
      <c r="Y24" s="4">
        <f t="shared" si="3"/>
        <v>0.96177484161592774</v>
      </c>
      <c r="Z24" s="4">
        <f t="shared" si="3"/>
        <v>0.94584787155511363</v>
      </c>
      <c r="AA24" s="4">
        <f t="shared" si="3"/>
        <v>0.92370360150141495</v>
      </c>
      <c r="AB24" s="4">
        <f t="shared" si="3"/>
        <v>0.89334463567658451</v>
      </c>
      <c r="AC24" s="4">
        <f t="shared" si="3"/>
        <v>0.85254543874327005</v>
      </c>
      <c r="AD24" s="4">
        <f t="shared" si="3"/>
        <v>0.79921300652623883</v>
      </c>
      <c r="AE24" s="4">
        <f t="shared" si="3"/>
        <v>0.73204982249993378</v>
      </c>
      <c r="AF24" s="4">
        <f t="shared" si="3"/>
        <v>0.65145592958786691</v>
      </c>
      <c r="AG24" s="4">
        <f t="shared" si="1"/>
        <v>0.56032247880849573</v>
      </c>
      <c r="AH24" s="4">
        <f t="shared" si="1"/>
        <v>0.46411326873185343</v>
      </c>
      <c r="AI24" s="4">
        <f t="shared" si="1"/>
        <v>0.36979727595523937</v>
      </c>
      <c r="AJ24" s="4">
        <f t="shared" si="1"/>
        <v>0.28393948637231203</v>
      </c>
      <c r="AK24" s="4">
        <f t="shared" si="1"/>
        <v>0.21097259161117732</v>
      </c>
      <c r="AL24" s="4">
        <f t="shared" si="1"/>
        <v>0.15253917653798199</v>
      </c>
      <c r="AM24" s="4">
        <f t="shared" si="1"/>
        <v>0.10795188737709993</v>
      </c>
      <c r="AN24" s="4">
        <f t="shared" si="1"/>
        <v>7.5176653938091809E-2</v>
      </c>
      <c r="AO24" s="4">
        <f t="shared" si="1"/>
        <v>5.1742836177502194E-2</v>
      </c>
      <c r="AP24" s="4">
        <f t="shared" si="1"/>
        <v>3.5319190625345942E-2</v>
      </c>
      <c r="AQ24" s="4">
        <f t="shared" si="1"/>
        <v>2.3969442072658165E-2</v>
      </c>
      <c r="AR24" s="4">
        <f t="shared" si="1"/>
        <v>1.6202243558389728E-2</v>
      </c>
    </row>
    <row r="25" spans="1:44" x14ac:dyDescent="0.25">
      <c r="A25" s="24" t="s">
        <v>56</v>
      </c>
      <c r="B25" s="45">
        <f>'Parameter Input'!B160</f>
        <v>0.68</v>
      </c>
      <c r="C25" s="46">
        <f>'Parameter Input'!C160</f>
        <v>0.68</v>
      </c>
      <c r="D25" s="1" t="s">
        <v>57</v>
      </c>
      <c r="L25" s="54">
        <f>'Parameter Input'!E160</f>
        <v>17</v>
      </c>
      <c r="M25" s="37">
        <v>0</v>
      </c>
      <c r="N25" s="37">
        <v>1</v>
      </c>
      <c r="O25" s="37">
        <f>'Parameter Input'!F160</f>
        <v>0.9</v>
      </c>
      <c r="P25" s="55">
        <f>'Parameter Input'!G160</f>
        <v>0.4</v>
      </c>
      <c r="Q25" s="4">
        <f t="shared" si="3"/>
        <v>0.99780374543478534</v>
      </c>
      <c r="R25" s="4">
        <f t="shared" si="3"/>
        <v>0.99685359315256394</v>
      </c>
      <c r="S25" s="4">
        <f t="shared" si="3"/>
        <v>0.99549347132349975</v>
      </c>
      <c r="T25" s="4">
        <f t="shared" si="3"/>
        <v>0.99354772139898062</v>
      </c>
      <c r="U25" s="4">
        <f t="shared" si="3"/>
        <v>0.99076681540580536</v>
      </c>
      <c r="V25" s="4">
        <f t="shared" si="3"/>
        <v>0.9867978615748374</v>
      </c>
      <c r="W25" s="4">
        <f t="shared" si="3"/>
        <v>0.98114509762858249</v>
      </c>
      <c r="X25" s="4">
        <f t="shared" si="3"/>
        <v>0.97311898315872036</v>
      </c>
      <c r="Y25" s="4">
        <f t="shared" si="3"/>
        <v>0.96177484161592774</v>
      </c>
      <c r="Z25" s="4">
        <f t="shared" si="3"/>
        <v>0.94584787155511363</v>
      </c>
      <c r="AA25" s="4">
        <f t="shared" si="3"/>
        <v>0.92370360150141495</v>
      </c>
      <c r="AB25" s="4">
        <f t="shared" si="3"/>
        <v>0.89334463567658451</v>
      </c>
      <c r="AC25" s="4">
        <f t="shared" si="3"/>
        <v>0.85254543874327005</v>
      </c>
      <c r="AD25" s="4">
        <f t="shared" si="3"/>
        <v>0.79921300652623883</v>
      </c>
      <c r="AE25" s="4">
        <f t="shared" si="3"/>
        <v>0.73204982249993378</v>
      </c>
      <c r="AF25" s="4">
        <f t="shared" si="3"/>
        <v>0.65145592958786691</v>
      </c>
      <c r="AG25" s="4">
        <f t="shared" si="1"/>
        <v>0.56032247880849573</v>
      </c>
      <c r="AH25" s="4">
        <f t="shared" si="1"/>
        <v>0.46411326873185343</v>
      </c>
      <c r="AI25" s="4">
        <f t="shared" si="1"/>
        <v>0.36979727595523937</v>
      </c>
      <c r="AJ25" s="4">
        <f t="shared" si="1"/>
        <v>0.28393948637231203</v>
      </c>
      <c r="AK25" s="4">
        <f t="shared" si="1"/>
        <v>0.21097259161117732</v>
      </c>
      <c r="AL25" s="4">
        <f t="shared" si="1"/>
        <v>0.15253917653798199</v>
      </c>
      <c r="AM25" s="4">
        <f t="shared" si="1"/>
        <v>0.10795188737709993</v>
      </c>
      <c r="AN25" s="4">
        <f t="shared" si="1"/>
        <v>7.5176653938091809E-2</v>
      </c>
      <c r="AO25" s="4">
        <f t="shared" si="1"/>
        <v>5.1742836177502194E-2</v>
      </c>
      <c r="AP25" s="4">
        <f t="shared" si="1"/>
        <v>3.5319190625345942E-2</v>
      </c>
      <c r="AQ25" s="4">
        <f t="shared" si="1"/>
        <v>2.3969442072658165E-2</v>
      </c>
      <c r="AR25" s="4">
        <f t="shared" si="1"/>
        <v>1.6202243558389728E-2</v>
      </c>
    </row>
    <row r="26" spans="1:44" x14ac:dyDescent="0.25">
      <c r="A26" s="24" t="s">
        <v>73</v>
      </c>
      <c r="B26" s="45">
        <f>'Parameter Input'!$L$199</f>
        <v>0.08</v>
      </c>
      <c r="C26" s="46">
        <f>'Parameter Input'!$M$199</f>
        <v>7.0000000000000007E-2</v>
      </c>
      <c r="D26" s="1" t="s">
        <v>57</v>
      </c>
      <c r="L26" s="54">
        <f>'Parameter Input'!$O$199</f>
        <v>17</v>
      </c>
      <c r="M26" s="37">
        <v>0</v>
      </c>
      <c r="N26" s="37">
        <v>1</v>
      </c>
      <c r="O26" s="37">
        <f>'Parameter Input'!$P$199</f>
        <v>0.9</v>
      </c>
      <c r="P26" s="55">
        <f>'Parameter Input'!$Q$199</f>
        <v>0.4</v>
      </c>
      <c r="Q26" s="4">
        <f t="shared" si="3"/>
        <v>0.99780374543478534</v>
      </c>
      <c r="R26" s="4">
        <f t="shared" si="3"/>
        <v>0.99685359315256394</v>
      </c>
      <c r="S26" s="4">
        <f t="shared" si="3"/>
        <v>0.99549347132349975</v>
      </c>
      <c r="T26" s="4">
        <f t="shared" si="3"/>
        <v>0.99354772139898062</v>
      </c>
      <c r="U26" s="4">
        <f t="shared" si="3"/>
        <v>0.99076681540580536</v>
      </c>
      <c r="V26" s="4">
        <f t="shared" si="3"/>
        <v>0.9867978615748374</v>
      </c>
      <c r="W26" s="4">
        <f t="shared" si="3"/>
        <v>0.98114509762858249</v>
      </c>
      <c r="X26" s="4">
        <f t="shared" si="3"/>
        <v>0.97311898315872036</v>
      </c>
      <c r="Y26" s="4">
        <f t="shared" si="3"/>
        <v>0.96177484161592774</v>
      </c>
      <c r="Z26" s="4">
        <f t="shared" si="3"/>
        <v>0.94584787155511363</v>
      </c>
      <c r="AA26" s="4">
        <f t="shared" si="3"/>
        <v>0.92370360150141495</v>
      </c>
      <c r="AB26" s="4">
        <f t="shared" si="3"/>
        <v>0.89334463567658451</v>
      </c>
      <c r="AC26" s="4">
        <f t="shared" si="3"/>
        <v>0.85254543874327005</v>
      </c>
      <c r="AD26" s="4">
        <f t="shared" si="3"/>
        <v>0.79921300652623883</v>
      </c>
      <c r="AE26" s="4">
        <f t="shared" si="3"/>
        <v>0.73204982249993378</v>
      </c>
      <c r="AF26" s="4">
        <f t="shared" si="3"/>
        <v>0.65145592958786691</v>
      </c>
      <c r="AG26" s="4">
        <f t="shared" si="1"/>
        <v>0.56032247880849573</v>
      </c>
      <c r="AH26" s="4">
        <f t="shared" si="1"/>
        <v>0.46411326873185343</v>
      </c>
      <c r="AI26" s="4">
        <f t="shared" si="1"/>
        <v>0.36979727595523937</v>
      </c>
      <c r="AJ26" s="4">
        <f t="shared" si="1"/>
        <v>0.28393948637231203</v>
      </c>
      <c r="AK26" s="4">
        <f t="shared" si="1"/>
        <v>0.21097259161117732</v>
      </c>
      <c r="AL26" s="4">
        <f t="shared" si="1"/>
        <v>0.15253917653798199</v>
      </c>
      <c r="AM26" s="4">
        <f t="shared" si="1"/>
        <v>0.10795188737709993</v>
      </c>
      <c r="AN26" s="4">
        <f t="shared" si="1"/>
        <v>7.5176653938091809E-2</v>
      </c>
      <c r="AO26" s="4">
        <f t="shared" si="1"/>
        <v>5.1742836177502194E-2</v>
      </c>
      <c r="AP26" s="4">
        <f t="shared" si="1"/>
        <v>3.5319190625345942E-2</v>
      </c>
      <c r="AQ26" s="4">
        <f t="shared" si="1"/>
        <v>2.3969442072658165E-2</v>
      </c>
      <c r="AR26" s="4">
        <f t="shared" si="1"/>
        <v>1.6202243558389728E-2</v>
      </c>
    </row>
    <row r="27" spans="1:44" ht="15.75" thickBot="1" x14ac:dyDescent="0.3">
      <c r="A27" s="24" t="s">
        <v>64</v>
      </c>
      <c r="B27" s="49">
        <f>'Parameter Input'!B161</f>
        <v>120000</v>
      </c>
      <c r="C27" s="50">
        <f>'Parameter Input'!C161</f>
        <v>120000</v>
      </c>
      <c r="D27" s="1" t="s">
        <v>65</v>
      </c>
      <c r="L27" s="56">
        <f>'Parameter Input'!E161</f>
        <v>17</v>
      </c>
      <c r="M27" s="57">
        <v>0</v>
      </c>
      <c r="N27" s="57">
        <v>1</v>
      </c>
      <c r="O27" s="57">
        <f>'Parameter Input'!F161</f>
        <v>0.9</v>
      </c>
      <c r="P27" s="58">
        <f>'Parameter Input'!G161</f>
        <v>0.4</v>
      </c>
      <c r="Q27" s="4">
        <f t="shared" si="3"/>
        <v>0.99780374543478534</v>
      </c>
      <c r="R27" s="4">
        <f t="shared" si="3"/>
        <v>0.99685359315256394</v>
      </c>
      <c r="S27" s="4">
        <f t="shared" si="3"/>
        <v>0.99549347132349975</v>
      </c>
      <c r="T27" s="4">
        <f t="shared" si="3"/>
        <v>0.99354772139898062</v>
      </c>
      <c r="U27" s="4">
        <f t="shared" si="3"/>
        <v>0.99076681540580536</v>
      </c>
      <c r="V27" s="4">
        <f t="shared" si="3"/>
        <v>0.9867978615748374</v>
      </c>
      <c r="W27" s="4">
        <f t="shared" si="3"/>
        <v>0.98114509762858249</v>
      </c>
      <c r="X27" s="4">
        <f t="shared" si="3"/>
        <v>0.97311898315872036</v>
      </c>
      <c r="Y27" s="4">
        <f t="shared" si="3"/>
        <v>0.96177484161592774</v>
      </c>
      <c r="Z27" s="4">
        <f t="shared" si="3"/>
        <v>0.94584787155511363</v>
      </c>
      <c r="AA27" s="4">
        <f t="shared" si="3"/>
        <v>0.92370360150141495</v>
      </c>
      <c r="AB27" s="4">
        <f t="shared" si="3"/>
        <v>0.89334463567658451</v>
      </c>
      <c r="AC27" s="4">
        <f t="shared" si="3"/>
        <v>0.85254543874327005</v>
      </c>
      <c r="AD27" s="4">
        <f t="shared" si="3"/>
        <v>0.79921300652623883</v>
      </c>
      <c r="AE27" s="4">
        <f t="shared" si="3"/>
        <v>0.73204982249993378</v>
      </c>
      <c r="AF27" s="4">
        <f t="shared" si="3"/>
        <v>0.65145592958786691</v>
      </c>
      <c r="AG27" s="4">
        <f t="shared" si="1"/>
        <v>0.56032247880849573</v>
      </c>
      <c r="AH27" s="4">
        <f t="shared" si="1"/>
        <v>0.46411326873185343</v>
      </c>
      <c r="AI27" s="4">
        <f t="shared" si="1"/>
        <v>0.36979727595523937</v>
      </c>
      <c r="AJ27" s="4">
        <f t="shared" si="1"/>
        <v>0.28393948637231203</v>
      </c>
      <c r="AK27" s="4">
        <f t="shared" si="1"/>
        <v>0.21097259161117732</v>
      </c>
      <c r="AL27" s="4">
        <f t="shared" si="1"/>
        <v>0.15253917653798199</v>
      </c>
      <c r="AM27" s="4">
        <f t="shared" si="1"/>
        <v>0.10795188737709993</v>
      </c>
      <c r="AN27" s="4">
        <f t="shared" si="1"/>
        <v>7.5176653938091809E-2</v>
      </c>
      <c r="AO27" s="4">
        <f t="shared" si="1"/>
        <v>5.1742836177502194E-2</v>
      </c>
      <c r="AP27" s="4">
        <f t="shared" si="1"/>
        <v>3.5319190625345942E-2</v>
      </c>
      <c r="AQ27" s="4">
        <f t="shared" si="1"/>
        <v>2.3969442072658165E-2</v>
      </c>
      <c r="AR27" s="4">
        <f t="shared" si="1"/>
        <v>1.6202243558389728E-2</v>
      </c>
    </row>
    <row r="28" spans="1:44" x14ac:dyDescent="0.25">
      <c r="A28" s="25"/>
      <c r="B28" s="40"/>
    </row>
    <row r="29" spans="1:44" ht="15.75" thickBot="1" x14ac:dyDescent="0.3"/>
    <row r="30" spans="1:44"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0" si="4">A11</f>
        <v>Capex vehicle</v>
      </c>
      <c r="B31" s="62">
        <f t="shared" ref="B31:B39" si="5">$B11+($C11-$B11)*(1-Q11)</f>
        <v>29973644.945217423</v>
      </c>
      <c r="C31" s="62">
        <f t="shared" ref="C31:C39" si="6">$B11+($C11-$B11)*(1-R11)</f>
        <v>29962243.117830768</v>
      </c>
      <c r="D31" s="62">
        <f t="shared" ref="D31:D39" si="7">$B11+($C11-$B11)*(1-S11)</f>
        <v>29945921.655881997</v>
      </c>
      <c r="E31" s="62">
        <f t="shared" ref="E31:E39" si="8">$B11+($C11-$B11)*(1-T11)</f>
        <v>29922572.656787768</v>
      </c>
      <c r="F31" s="62">
        <f t="shared" ref="F31:F39" si="9">$B11+($C11-$B11)*(1-U11)</f>
        <v>29889201.784869663</v>
      </c>
      <c r="G31" s="62">
        <f t="shared" ref="G31:G39" si="10">$B11+($C11-$B11)*(1-V11)</f>
        <v>29841574.338898048</v>
      </c>
      <c r="H31" s="62">
        <f t="shared" ref="H31:H39" si="11">$B11+($C11-$B11)*(1-W11)</f>
        <v>29773741.171542991</v>
      </c>
      <c r="I31" s="62">
        <f t="shared" ref="I31:I39" si="12">$B11+($C11-$B11)*(1-X11)</f>
        <v>29677427.797904644</v>
      </c>
      <c r="J31" s="62">
        <f t="shared" ref="J31:J39" si="13">$B11+($C11-$B11)*(1-Y11)</f>
        <v>29541298.099391133</v>
      </c>
      <c r="K31" s="62">
        <f t="shared" ref="K31:K39" si="14">$B11+($C11-$B11)*(1-Z11)</f>
        <v>29350174.458661363</v>
      </c>
      <c r="L31" s="62">
        <f t="shared" ref="L31:L39" si="15">$B11+($C11-$B11)*(1-AA11)</f>
        <v>29084443.218016978</v>
      </c>
      <c r="M31" s="62">
        <f t="shared" ref="M31:M39" si="16">$B11+($C11-$B11)*(1-AB11)</f>
        <v>28720135.628119014</v>
      </c>
      <c r="N31" s="62">
        <f t="shared" ref="N31:N39" si="17">$B11+($C11-$B11)*(1-AC11)</f>
        <v>28230545.26491924</v>
      </c>
      <c r="O31" s="62">
        <f t="shared" ref="O31:O39" si="18">$B11+($C11-$B11)*(1-AD11)</f>
        <v>27590556.078314867</v>
      </c>
      <c r="P31" s="62">
        <f t="shared" ref="P31:P39" si="19">$B11+($C11-$B11)*(1-AE11)</f>
        <v>26784597.869999204</v>
      </c>
      <c r="Q31" s="62">
        <f t="shared" ref="Q31:Q39" si="20">$B11+($C11-$B11)*(1-AF11)</f>
        <v>25817471.155054402</v>
      </c>
      <c r="R31" s="62">
        <f t="shared" ref="R31:R39" si="21">$B11+($C11-$B11)*(1-AG11)</f>
        <v>24723869.74570195</v>
      </c>
      <c r="S31" s="62">
        <f t="shared" ref="S31:S39" si="22">$B11+($C11-$B11)*(1-AH11)</f>
        <v>23569359.224782243</v>
      </c>
      <c r="T31" s="62">
        <f t="shared" ref="T31:T39" si="23">$B11+($C11-$B11)*(1-AI11)</f>
        <v>22437567.311462872</v>
      </c>
      <c r="U31" s="62">
        <f t="shared" ref="U31:U39" si="24">$B11+($C11-$B11)*(1-AJ11)</f>
        <v>21407273.836467743</v>
      </c>
      <c r="V31" s="62">
        <f t="shared" ref="V31:V39" si="25">$B11+($C11-$B11)*(1-AK11)</f>
        <v>20531671.099334128</v>
      </c>
      <c r="W31" s="62">
        <f t="shared" ref="W31:W39" si="26">$B11+($C11-$B11)*(1-AL11)</f>
        <v>19830470.118455783</v>
      </c>
      <c r="X31" s="62">
        <f t="shared" ref="X31:X39" si="27">$B11+($C11-$B11)*(1-AM11)</f>
        <v>19295422.648525201</v>
      </c>
      <c r="Y31" s="62">
        <f t="shared" ref="Y31:Y39" si="28">$B11+($C11-$B11)*(1-AN11)</f>
        <v>18902119.8472571</v>
      </c>
      <c r="Z31" s="62">
        <f t="shared" ref="Z31:Z39" si="29">$B11+($C11-$B11)*(1-AO11)</f>
        <v>18620914.034130026</v>
      </c>
      <c r="AA31" s="62">
        <f t="shared" ref="AA31:AA39" si="30">$B11+($C11-$B11)*(1-AP11)</f>
        <v>18423830.287504151</v>
      </c>
      <c r="AB31" s="62">
        <f t="shared" ref="AB31:AB39" si="31">$B11+($C11-$B11)*(1-AQ11)</f>
        <v>18287633.304871898</v>
      </c>
      <c r="AC31" s="62">
        <f t="shared" ref="AC31:AC39" si="32">$B11+($C11-$B11)*(1-AR11)</f>
        <v>18194426.922700677</v>
      </c>
    </row>
    <row r="32" spans="1:44" x14ac:dyDescent="0.25">
      <c r="A32" s="30" t="str">
        <f t="shared" si="4"/>
        <v>Residual value (vehicle)</v>
      </c>
      <c r="B32" s="62">
        <f t="shared" si="5"/>
        <v>-1500658.8763695643</v>
      </c>
      <c r="C32" s="62">
        <f t="shared" si="6"/>
        <v>-1500943.9220542307</v>
      </c>
      <c r="D32" s="62">
        <f t="shared" si="7"/>
        <v>-1501351.95860295</v>
      </c>
      <c r="E32" s="62">
        <f t="shared" si="8"/>
        <v>-1501935.6835803059</v>
      </c>
      <c r="F32" s="62">
        <f t="shared" si="9"/>
        <v>-1502769.9553782584</v>
      </c>
      <c r="G32" s="62">
        <f t="shared" si="10"/>
        <v>-1503960.6415275487</v>
      </c>
      <c r="H32" s="62">
        <f t="shared" si="11"/>
        <v>-1505656.4707114252</v>
      </c>
      <c r="I32" s="62">
        <f t="shared" si="12"/>
        <v>-1508064.3050523838</v>
      </c>
      <c r="J32" s="62">
        <f t="shared" si="13"/>
        <v>-1511467.5475152216</v>
      </c>
      <c r="K32" s="62">
        <f t="shared" si="14"/>
        <v>-1516245.6385334658</v>
      </c>
      <c r="L32" s="62">
        <f t="shared" si="15"/>
        <v>-1522888.9195495755</v>
      </c>
      <c r="M32" s="62">
        <f t="shared" si="16"/>
        <v>-1531996.6092970246</v>
      </c>
      <c r="N32" s="62">
        <f t="shared" si="17"/>
        <v>-1544236.368377019</v>
      </c>
      <c r="O32" s="62">
        <f t="shared" si="18"/>
        <v>-1560236.0980421284</v>
      </c>
      <c r="P32" s="62">
        <f t="shared" si="19"/>
        <v>-1580385.0532500199</v>
      </c>
      <c r="Q32" s="62">
        <f t="shared" si="20"/>
        <v>-1604563.22112364</v>
      </c>
      <c r="R32" s="62">
        <f t="shared" si="21"/>
        <v>-1631903.2563574512</v>
      </c>
      <c r="S32" s="62">
        <f t="shared" si="22"/>
        <v>-1660766.019380444</v>
      </c>
      <c r="T32" s="62">
        <f t="shared" si="23"/>
        <v>-1689060.8172134282</v>
      </c>
      <c r="U32" s="62">
        <f t="shared" si="24"/>
        <v>-1714818.1540883065</v>
      </c>
      <c r="V32" s="62">
        <f t="shared" si="25"/>
        <v>-1736708.2225166468</v>
      </c>
      <c r="W32" s="62">
        <f t="shared" si="26"/>
        <v>-1754238.2470386054</v>
      </c>
      <c r="X32" s="62">
        <f t="shared" si="27"/>
        <v>-1767614.43378687</v>
      </c>
      <c r="Y32" s="62">
        <f t="shared" si="28"/>
        <v>-1777447.0038185725</v>
      </c>
      <c r="Z32" s="62">
        <f t="shared" si="29"/>
        <v>-1784477.1491467494</v>
      </c>
      <c r="AA32" s="62">
        <f t="shared" si="30"/>
        <v>-1789404.2428123963</v>
      </c>
      <c r="AB32" s="62">
        <f t="shared" si="31"/>
        <v>-1792809.1673782025</v>
      </c>
      <c r="AC32" s="62">
        <f t="shared" si="32"/>
        <v>-1795139.3269324831</v>
      </c>
    </row>
    <row r="33" spans="1:29" x14ac:dyDescent="0.25">
      <c r="A33" s="30" t="str">
        <f t="shared" si="4"/>
        <v>Capex costumization</v>
      </c>
      <c r="B33" s="62">
        <f t="shared" si="5"/>
        <v>1000000</v>
      </c>
      <c r="C33" s="62">
        <f t="shared" si="6"/>
        <v>1000000</v>
      </c>
      <c r="D33" s="62">
        <f t="shared" si="7"/>
        <v>1000000</v>
      </c>
      <c r="E33" s="62">
        <f t="shared" si="8"/>
        <v>1000000</v>
      </c>
      <c r="F33" s="62">
        <f t="shared" si="9"/>
        <v>1000000</v>
      </c>
      <c r="G33" s="62">
        <f t="shared" si="10"/>
        <v>1000000</v>
      </c>
      <c r="H33" s="62">
        <f t="shared" si="11"/>
        <v>1000000</v>
      </c>
      <c r="I33" s="62">
        <f t="shared" si="12"/>
        <v>1000000</v>
      </c>
      <c r="J33" s="62">
        <f t="shared" si="13"/>
        <v>1000000</v>
      </c>
      <c r="K33" s="62">
        <f t="shared" si="14"/>
        <v>1000000</v>
      </c>
      <c r="L33" s="62">
        <f t="shared" si="15"/>
        <v>1000000</v>
      </c>
      <c r="M33" s="62">
        <f t="shared" si="16"/>
        <v>1000000</v>
      </c>
      <c r="N33" s="62">
        <f t="shared" si="17"/>
        <v>1000000</v>
      </c>
      <c r="O33" s="62">
        <f t="shared" si="18"/>
        <v>1000000</v>
      </c>
      <c r="P33" s="62">
        <f t="shared" si="19"/>
        <v>1000000</v>
      </c>
      <c r="Q33" s="62">
        <f t="shared" si="20"/>
        <v>1000000</v>
      </c>
      <c r="R33" s="62">
        <f t="shared" si="21"/>
        <v>1000000</v>
      </c>
      <c r="S33" s="62">
        <f t="shared" si="22"/>
        <v>1000000</v>
      </c>
      <c r="T33" s="62">
        <f t="shared" si="23"/>
        <v>1000000</v>
      </c>
      <c r="U33" s="62">
        <f t="shared" si="24"/>
        <v>1000000</v>
      </c>
      <c r="V33" s="62">
        <f t="shared" si="25"/>
        <v>1000000</v>
      </c>
      <c r="W33" s="62">
        <f t="shared" si="26"/>
        <v>1000000</v>
      </c>
      <c r="X33" s="62">
        <f t="shared" si="27"/>
        <v>1000000</v>
      </c>
      <c r="Y33" s="62">
        <f t="shared" si="28"/>
        <v>1000000</v>
      </c>
      <c r="Z33" s="62">
        <f t="shared" si="29"/>
        <v>1000000</v>
      </c>
      <c r="AA33" s="62">
        <f t="shared" si="30"/>
        <v>1000000</v>
      </c>
      <c r="AB33" s="62">
        <f t="shared" si="31"/>
        <v>1000000</v>
      </c>
      <c r="AC33" s="62">
        <f t="shared" si="32"/>
        <v>1000000</v>
      </c>
    </row>
    <row r="34" spans="1:29" x14ac:dyDescent="0.25">
      <c r="A34" s="30" t="str">
        <f t="shared" si="4"/>
        <v>Residual value (costumization)</v>
      </c>
      <c r="B34" s="62">
        <f t="shared" si="5"/>
        <v>-100000</v>
      </c>
      <c r="C34" s="62">
        <f t="shared" si="6"/>
        <v>-100000</v>
      </c>
      <c r="D34" s="62">
        <f t="shared" si="7"/>
        <v>-100000</v>
      </c>
      <c r="E34" s="62">
        <f t="shared" si="8"/>
        <v>-100000</v>
      </c>
      <c r="F34" s="62">
        <f t="shared" si="9"/>
        <v>-100000</v>
      </c>
      <c r="G34" s="62">
        <f t="shared" si="10"/>
        <v>-100000</v>
      </c>
      <c r="H34" s="62">
        <f t="shared" si="11"/>
        <v>-100000</v>
      </c>
      <c r="I34" s="62">
        <f t="shared" si="12"/>
        <v>-100000</v>
      </c>
      <c r="J34" s="62">
        <f t="shared" si="13"/>
        <v>-100000</v>
      </c>
      <c r="K34" s="62">
        <f t="shared" si="14"/>
        <v>-100000</v>
      </c>
      <c r="L34" s="62">
        <f t="shared" si="15"/>
        <v>-100000</v>
      </c>
      <c r="M34" s="62">
        <f t="shared" si="16"/>
        <v>-100000</v>
      </c>
      <c r="N34" s="62">
        <f t="shared" si="17"/>
        <v>-100000</v>
      </c>
      <c r="O34" s="62">
        <f t="shared" si="18"/>
        <v>-100000</v>
      </c>
      <c r="P34" s="62">
        <f t="shared" si="19"/>
        <v>-100000</v>
      </c>
      <c r="Q34" s="62">
        <f t="shared" si="20"/>
        <v>-100000</v>
      </c>
      <c r="R34" s="62">
        <f t="shared" si="21"/>
        <v>-100000</v>
      </c>
      <c r="S34" s="62">
        <f t="shared" si="22"/>
        <v>-100000</v>
      </c>
      <c r="T34" s="62">
        <f t="shared" si="23"/>
        <v>-100000</v>
      </c>
      <c r="U34" s="62">
        <f t="shared" si="24"/>
        <v>-100000</v>
      </c>
      <c r="V34" s="62">
        <f t="shared" si="25"/>
        <v>-100000</v>
      </c>
      <c r="W34" s="62">
        <f t="shared" si="26"/>
        <v>-100000</v>
      </c>
      <c r="X34" s="62">
        <f t="shared" si="27"/>
        <v>-100000</v>
      </c>
      <c r="Y34" s="62">
        <f t="shared" si="28"/>
        <v>-100000</v>
      </c>
      <c r="Z34" s="62">
        <f t="shared" si="29"/>
        <v>-100000</v>
      </c>
      <c r="AA34" s="62">
        <f t="shared" si="30"/>
        <v>-100000</v>
      </c>
      <c r="AB34" s="62">
        <f t="shared" si="31"/>
        <v>-100000</v>
      </c>
      <c r="AC34" s="62">
        <f t="shared" si="32"/>
        <v>-100000</v>
      </c>
    </row>
    <row r="35" spans="1:29" x14ac:dyDescent="0.25">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25">
      <c r="A36" s="30" t="str">
        <f t="shared" si="4"/>
        <v>Opex fix (admin, crew, insurance)</v>
      </c>
      <c r="B36" s="62">
        <f t="shared" si="5"/>
        <v>1208235.294117647</v>
      </c>
      <c r="C36" s="62">
        <f t="shared" si="6"/>
        <v>1208235.294117647</v>
      </c>
      <c r="D36" s="62">
        <f t="shared" si="7"/>
        <v>1208235.294117647</v>
      </c>
      <c r="E36" s="62">
        <f t="shared" si="8"/>
        <v>1208235.294117647</v>
      </c>
      <c r="F36" s="62">
        <f t="shared" si="9"/>
        <v>1208235.294117647</v>
      </c>
      <c r="G36" s="62">
        <f t="shared" si="10"/>
        <v>1208235.294117647</v>
      </c>
      <c r="H36" s="62">
        <f t="shared" si="11"/>
        <v>1208235.294117647</v>
      </c>
      <c r="I36" s="62">
        <f t="shared" si="12"/>
        <v>1208235.294117647</v>
      </c>
      <c r="J36" s="62">
        <f t="shared" si="13"/>
        <v>1208235.294117647</v>
      </c>
      <c r="K36" s="62">
        <f t="shared" si="14"/>
        <v>1208235.294117647</v>
      </c>
      <c r="L36" s="62">
        <f t="shared" si="15"/>
        <v>1208235.294117647</v>
      </c>
      <c r="M36" s="62">
        <f t="shared" si="16"/>
        <v>1208235.294117647</v>
      </c>
      <c r="N36" s="62">
        <f t="shared" si="17"/>
        <v>1208235.294117647</v>
      </c>
      <c r="O36" s="62">
        <f t="shared" si="18"/>
        <v>1208235.294117647</v>
      </c>
      <c r="P36" s="62">
        <f t="shared" si="19"/>
        <v>1208235.294117647</v>
      </c>
      <c r="Q36" s="62">
        <f t="shared" si="20"/>
        <v>1208235.294117647</v>
      </c>
      <c r="R36" s="62">
        <f t="shared" si="21"/>
        <v>1208235.294117647</v>
      </c>
      <c r="S36" s="62">
        <f t="shared" si="22"/>
        <v>1208235.294117647</v>
      </c>
      <c r="T36" s="62">
        <f t="shared" si="23"/>
        <v>1208235.294117647</v>
      </c>
      <c r="U36" s="62">
        <f t="shared" si="24"/>
        <v>1208235.294117647</v>
      </c>
      <c r="V36" s="62">
        <f t="shared" si="25"/>
        <v>1208235.294117647</v>
      </c>
      <c r="W36" s="62">
        <f t="shared" si="26"/>
        <v>1208235.294117647</v>
      </c>
      <c r="X36" s="62">
        <f t="shared" si="27"/>
        <v>1208235.294117647</v>
      </c>
      <c r="Y36" s="62">
        <f t="shared" si="28"/>
        <v>1208235.294117647</v>
      </c>
      <c r="Z36" s="62">
        <f t="shared" si="29"/>
        <v>1208235.294117647</v>
      </c>
      <c r="AA36" s="62">
        <f t="shared" si="30"/>
        <v>1208235.294117647</v>
      </c>
      <c r="AB36" s="62">
        <f t="shared" si="31"/>
        <v>1208235.294117647</v>
      </c>
      <c r="AC36" s="62">
        <f t="shared" si="32"/>
        <v>1208235.294117647</v>
      </c>
    </row>
    <row r="37" spans="1:29" x14ac:dyDescent="0.25">
      <c r="A37" s="30" t="str">
        <f t="shared" si="4"/>
        <v>Opex maintenance &amp; repair</v>
      </c>
      <c r="B37" s="62">
        <f t="shared" si="5"/>
        <v>338823.5294117647</v>
      </c>
      <c r="C37" s="62">
        <f t="shared" si="6"/>
        <v>338823.5294117647</v>
      </c>
      <c r="D37" s="62">
        <f t="shared" si="7"/>
        <v>338823.5294117647</v>
      </c>
      <c r="E37" s="62">
        <f t="shared" si="8"/>
        <v>338823.5294117647</v>
      </c>
      <c r="F37" s="62">
        <f t="shared" si="9"/>
        <v>338823.5294117647</v>
      </c>
      <c r="G37" s="62">
        <f t="shared" si="10"/>
        <v>338823.5294117647</v>
      </c>
      <c r="H37" s="62">
        <f t="shared" si="11"/>
        <v>338823.5294117647</v>
      </c>
      <c r="I37" s="62">
        <f t="shared" si="12"/>
        <v>338823.5294117647</v>
      </c>
      <c r="J37" s="62">
        <f t="shared" si="13"/>
        <v>338823.5294117647</v>
      </c>
      <c r="K37" s="62">
        <f t="shared" si="14"/>
        <v>338823.5294117647</v>
      </c>
      <c r="L37" s="62">
        <f t="shared" si="15"/>
        <v>338823.5294117647</v>
      </c>
      <c r="M37" s="62">
        <f t="shared" si="16"/>
        <v>338823.5294117647</v>
      </c>
      <c r="N37" s="62">
        <f t="shared" si="17"/>
        <v>338823.5294117647</v>
      </c>
      <c r="O37" s="62">
        <f t="shared" si="18"/>
        <v>338823.5294117647</v>
      </c>
      <c r="P37" s="62">
        <f t="shared" si="19"/>
        <v>338823.5294117647</v>
      </c>
      <c r="Q37" s="62">
        <f t="shared" si="20"/>
        <v>338823.5294117647</v>
      </c>
      <c r="R37" s="62">
        <f t="shared" si="21"/>
        <v>338823.5294117647</v>
      </c>
      <c r="S37" s="62">
        <f t="shared" si="22"/>
        <v>338823.5294117647</v>
      </c>
      <c r="T37" s="62">
        <f t="shared" si="23"/>
        <v>338823.5294117647</v>
      </c>
      <c r="U37" s="62">
        <f t="shared" si="24"/>
        <v>338823.5294117647</v>
      </c>
      <c r="V37" s="62">
        <f t="shared" si="25"/>
        <v>338823.5294117647</v>
      </c>
      <c r="W37" s="62">
        <f t="shared" si="26"/>
        <v>338823.5294117647</v>
      </c>
      <c r="X37" s="62">
        <f t="shared" si="27"/>
        <v>338823.5294117647</v>
      </c>
      <c r="Y37" s="62">
        <f t="shared" si="28"/>
        <v>338823.5294117647</v>
      </c>
      <c r="Z37" s="62">
        <f t="shared" si="29"/>
        <v>338823.5294117647</v>
      </c>
      <c r="AA37" s="62">
        <f t="shared" si="30"/>
        <v>338823.5294117647</v>
      </c>
      <c r="AB37" s="62">
        <f t="shared" si="31"/>
        <v>338823.5294117647</v>
      </c>
      <c r="AC37" s="62">
        <f t="shared" si="32"/>
        <v>338823.5294117647</v>
      </c>
    </row>
    <row r="38" spans="1:29" x14ac:dyDescent="0.25">
      <c r="A38" s="30" t="str">
        <f t="shared" si="4"/>
        <v>Opex var (mode-fees)</v>
      </c>
      <c r="B38" s="62">
        <f t="shared" si="5"/>
        <v>0.8458018624557011</v>
      </c>
      <c r="C38" s="62">
        <f t="shared" si="6"/>
        <v>0.8458018624557011</v>
      </c>
      <c r="D38" s="62">
        <f t="shared" si="7"/>
        <v>0.8458018624557011</v>
      </c>
      <c r="E38" s="62">
        <f t="shared" si="8"/>
        <v>0.8458018624557011</v>
      </c>
      <c r="F38" s="62">
        <f t="shared" si="9"/>
        <v>0.8458018624557011</v>
      </c>
      <c r="G38" s="62">
        <f t="shared" si="10"/>
        <v>0.8458018624557011</v>
      </c>
      <c r="H38" s="62">
        <f t="shared" si="11"/>
        <v>0.8458018624557011</v>
      </c>
      <c r="I38" s="62">
        <f t="shared" si="12"/>
        <v>0.8458018624557011</v>
      </c>
      <c r="J38" s="62">
        <f t="shared" si="13"/>
        <v>0.8458018624557011</v>
      </c>
      <c r="K38" s="62">
        <f t="shared" si="14"/>
        <v>0.8458018624557011</v>
      </c>
      <c r="L38" s="62">
        <f t="shared" si="15"/>
        <v>0.8458018624557011</v>
      </c>
      <c r="M38" s="62">
        <f t="shared" si="16"/>
        <v>0.8458018624557011</v>
      </c>
      <c r="N38" s="62">
        <f t="shared" si="17"/>
        <v>0.8458018624557011</v>
      </c>
      <c r="O38" s="62">
        <f t="shared" si="18"/>
        <v>0.8458018624557011</v>
      </c>
      <c r="P38" s="62">
        <f t="shared" si="19"/>
        <v>0.8458018624557011</v>
      </c>
      <c r="Q38" s="62">
        <f t="shared" si="20"/>
        <v>0.8458018624557011</v>
      </c>
      <c r="R38" s="62">
        <f t="shared" si="21"/>
        <v>0.8458018624557011</v>
      </c>
      <c r="S38" s="62">
        <f t="shared" si="22"/>
        <v>0.8458018624557011</v>
      </c>
      <c r="T38" s="62">
        <f t="shared" si="23"/>
        <v>0.8458018624557011</v>
      </c>
      <c r="U38" s="62">
        <f t="shared" si="24"/>
        <v>0.8458018624557011</v>
      </c>
      <c r="V38" s="62">
        <f t="shared" si="25"/>
        <v>0.8458018624557011</v>
      </c>
      <c r="W38" s="62">
        <f t="shared" si="26"/>
        <v>0.8458018624557011</v>
      </c>
      <c r="X38" s="62">
        <f t="shared" si="27"/>
        <v>0.8458018624557011</v>
      </c>
      <c r="Y38" s="62">
        <f t="shared" si="28"/>
        <v>0.8458018624557011</v>
      </c>
      <c r="Z38" s="62">
        <f t="shared" si="29"/>
        <v>0.8458018624557011</v>
      </c>
      <c r="AA38" s="62">
        <f t="shared" si="30"/>
        <v>0.8458018624557011</v>
      </c>
      <c r="AB38" s="62">
        <f t="shared" si="31"/>
        <v>0.8458018624557011</v>
      </c>
      <c r="AC38" s="62">
        <f t="shared" si="32"/>
        <v>0.8458018624557011</v>
      </c>
    </row>
    <row r="39" spans="1:29" x14ac:dyDescent="0.25">
      <c r="A39" s="30" t="str">
        <f t="shared" si="4"/>
        <v>Fuel Economy</v>
      </c>
      <c r="B39" s="62">
        <f t="shared" si="5"/>
        <v>588.84626218043502</v>
      </c>
      <c r="C39" s="62">
        <f t="shared" si="6"/>
        <v>588.7797515206795</v>
      </c>
      <c r="D39" s="62">
        <f t="shared" si="7"/>
        <v>588.68454299264499</v>
      </c>
      <c r="E39" s="62">
        <f t="shared" si="8"/>
        <v>588.54834049792862</v>
      </c>
      <c r="F39" s="62">
        <f t="shared" si="9"/>
        <v>588.35367707840635</v>
      </c>
      <c r="G39" s="62">
        <f t="shared" si="10"/>
        <v>588.07585031023859</v>
      </c>
      <c r="H39" s="62">
        <f t="shared" si="11"/>
        <v>587.68015683400074</v>
      </c>
      <c r="I39" s="62">
        <f t="shared" si="12"/>
        <v>587.11832882111048</v>
      </c>
      <c r="J39" s="62">
        <f t="shared" si="13"/>
        <v>586.32423891311498</v>
      </c>
      <c r="K39" s="62">
        <f t="shared" si="14"/>
        <v>585.20935100885799</v>
      </c>
      <c r="L39" s="62">
        <f t="shared" si="15"/>
        <v>583.65925210509909</v>
      </c>
      <c r="M39" s="62">
        <f t="shared" si="16"/>
        <v>581.53412449736095</v>
      </c>
      <c r="N39" s="62">
        <f t="shared" si="17"/>
        <v>578.67818071202885</v>
      </c>
      <c r="O39" s="62">
        <f t="shared" si="18"/>
        <v>574.94491045683674</v>
      </c>
      <c r="P39" s="62">
        <f t="shared" si="19"/>
        <v>570.24348757499536</v>
      </c>
      <c r="Q39" s="62">
        <f t="shared" si="20"/>
        <v>564.60191507115064</v>
      </c>
      <c r="R39" s="62">
        <f t="shared" si="21"/>
        <v>558.22257351659471</v>
      </c>
      <c r="S39" s="62">
        <f t="shared" si="22"/>
        <v>551.48792881122972</v>
      </c>
      <c r="T39" s="62">
        <f t="shared" si="23"/>
        <v>544.8858093168667</v>
      </c>
      <c r="U39" s="62">
        <f t="shared" si="24"/>
        <v>538.87576404606182</v>
      </c>
      <c r="V39" s="62">
        <f t="shared" si="25"/>
        <v>533.76808141278241</v>
      </c>
      <c r="W39" s="62">
        <f t="shared" si="26"/>
        <v>529.67774235765876</v>
      </c>
      <c r="X39" s="62">
        <f t="shared" si="27"/>
        <v>526.55663211639694</v>
      </c>
      <c r="Y39" s="62">
        <f t="shared" si="28"/>
        <v>524.26236577566647</v>
      </c>
      <c r="Z39" s="62">
        <f t="shared" si="29"/>
        <v>522.6219985324251</v>
      </c>
      <c r="AA39" s="62">
        <f t="shared" si="30"/>
        <v>521.47234334377424</v>
      </c>
      <c r="AB39" s="62">
        <f t="shared" si="31"/>
        <v>520.67786094508608</v>
      </c>
      <c r="AC39" s="62">
        <f t="shared" si="32"/>
        <v>520.13415704908732</v>
      </c>
    </row>
    <row r="40" spans="1:29" x14ac:dyDescent="0.25">
      <c r="A40" s="30" t="str">
        <f t="shared" si="4"/>
        <v>Fuel Cost</v>
      </c>
      <c r="B40" s="62">
        <f>$B20+($C20-$B20)*(1-Q20)</f>
        <v>0.23895197293017539</v>
      </c>
      <c r="C40" s="62">
        <f>$B20+($C20-$B20)*(1-R20)</f>
        <v>0.23860302366741218</v>
      </c>
      <c r="D40" s="62">
        <f>$B20+($C20-$B20)*(1-S20)</f>
        <v>0.23810499765838622</v>
      </c>
      <c r="E40" s="62">
        <f t="shared" ref="E40:AC40" si="33">$B20+($C20-$B20)*(1-T20)</f>
        <v>0.23739568644237932</v>
      </c>
      <c r="F40" s="62">
        <f t="shared" si="33"/>
        <v>0.23638856619668069</v>
      </c>
      <c r="G40" s="62">
        <f t="shared" si="33"/>
        <v>0.23496509850746228</v>
      </c>
      <c r="H40" s="62">
        <f t="shared" si="33"/>
        <v>0.23296657555328404</v>
      </c>
      <c r="I40" s="62">
        <f t="shared" si="33"/>
        <v>0.2301879031606785</v>
      </c>
      <c r="J40" s="62">
        <f t="shared" si="33"/>
        <v>0.22637844726075729</v>
      </c>
      <c r="K40" s="62">
        <f t="shared" si="33"/>
        <v>0.22125894673605423</v>
      </c>
      <c r="L40" s="62">
        <f t="shared" si="33"/>
        <v>0.21456677053550172</v>
      </c>
      <c r="M40" s="62">
        <f t="shared" si="33"/>
        <v>0.20613910573549596</v>
      </c>
      <c r="N40" s="62">
        <f t="shared" si="33"/>
        <v>0.19602614989164499</v>
      </c>
      <c r="O40" s="62">
        <f t="shared" si="33"/>
        <v>0.18459068585921384</v>
      </c>
      <c r="P40" s="62">
        <f t="shared" si="33"/>
        <v>0.17251831339870463</v>
      </c>
      <c r="Q40" s="62">
        <f t="shared" si="33"/>
        <v>0.16068350264747888</v>
      </c>
      <c r="R40" s="62">
        <f t="shared" si="33"/>
        <v>0.14991003081816623</v>
      </c>
      <c r="S40" s="62">
        <f t="shared" si="33"/>
        <v>0.14075411393514156</v>
      </c>
      <c r="T40" s="62">
        <f t="shared" si="33"/>
        <v>0.1334218642436496</v>
      </c>
      <c r="U40" s="62">
        <f t="shared" si="33"/>
        <v>0.12782703230057685</v>
      </c>
      <c r="V40" s="62">
        <f t="shared" si="33"/>
        <v>0.12371438211624793</v>
      </c>
      <c r="W40" s="62">
        <f t="shared" si="33"/>
        <v>0.12077389673078255</v>
      </c>
      <c r="X40" s="62">
        <f t="shared" si="33"/>
        <v>0.1187130507254254</v>
      </c>
      <c r="Y40" s="62">
        <f t="shared" si="33"/>
        <v>0.11728887946622869</v>
      </c>
      <c r="Z40" s="62">
        <f t="shared" si="33"/>
        <v>0.11631424810438439</v>
      </c>
      <c r="AA40" s="62">
        <f t="shared" si="33"/>
        <v>0.11565171109063289</v>
      </c>
      <c r="AB40" s="62">
        <f t="shared" si="33"/>
        <v>0.11520337966574483</v>
      </c>
      <c r="AC40" s="62">
        <f t="shared" si="33"/>
        <v>0.11490093481844818</v>
      </c>
    </row>
    <row r="41" spans="1:29" x14ac:dyDescent="0.25">
      <c r="A41" s="30" t="str">
        <f t="shared" ref="A41" si="34">A21</f>
        <v>Emission Cost</v>
      </c>
      <c r="B41" s="66">
        <f>$B21+($C21-$B21)*(1-Q21)</f>
        <v>2.4864501794892204</v>
      </c>
      <c r="C41" s="66">
        <f t="shared" ref="C41:AC41" si="35">$B21+($C21-$B21)*(1-R21)</f>
        <v>2.4840824730905622</v>
      </c>
      <c r="D41" s="66">
        <f t="shared" si="35"/>
        <v>2.4806931541172901</v>
      </c>
      <c r="E41" s="66">
        <f t="shared" si="35"/>
        <v>2.4758444949784595</v>
      </c>
      <c r="F41" s="66">
        <f t="shared" si="35"/>
        <v>2.4689146911593123</v>
      </c>
      <c r="G41" s="66">
        <f t="shared" si="35"/>
        <v>2.4590243635166811</v>
      </c>
      <c r="H41" s="66">
        <f t="shared" si="35"/>
        <v>2.4449381105906096</v>
      </c>
      <c r="I41" s="66">
        <f t="shared" si="35"/>
        <v>2.4249376507251341</v>
      </c>
      <c r="J41" s="66">
        <f t="shared" si="35"/>
        <v>2.3966689226267675</v>
      </c>
      <c r="K41" s="66">
        <f t="shared" si="35"/>
        <v>2.3569801383867617</v>
      </c>
      <c r="L41" s="66">
        <f t="shared" si="35"/>
        <v>2.3017983208183335</v>
      </c>
      <c r="M41" s="66">
        <f t="shared" si="35"/>
        <v>2.2261461132879194</v>
      </c>
      <c r="N41" s="66">
        <f t="shared" si="35"/>
        <v>2.1244776529298637</v>
      </c>
      <c r="O41" s="66">
        <f t="shared" si="35"/>
        <v>1.991577334339808</v>
      </c>
      <c r="P41" s="66">
        <f t="shared" si="35"/>
        <v>1.824211846145027</v>
      </c>
      <c r="Q41" s="66">
        <f t="shared" si="35"/>
        <v>1.6233780645383806</v>
      </c>
      <c r="R41" s="66">
        <f t="shared" si="35"/>
        <v>1.396280515461632</v>
      </c>
      <c r="S41" s="66">
        <f t="shared" si="35"/>
        <v>1.156534564659107</v>
      </c>
      <c r="T41" s="66">
        <f t="shared" si="35"/>
        <v>0.92150636573615219</v>
      </c>
      <c r="U41" s="66">
        <f t="shared" si="35"/>
        <v>0.70755535854084983</v>
      </c>
      <c r="V41" s="66">
        <f t="shared" si="35"/>
        <v>0.52572746963416073</v>
      </c>
      <c r="W41" s="66">
        <f t="shared" si="35"/>
        <v>0.38011589414984037</v>
      </c>
      <c r="X41" s="66">
        <f t="shared" si="35"/>
        <v>0.26900779935239649</v>
      </c>
      <c r="Y41" s="66">
        <f t="shared" si="35"/>
        <v>0.18733443879419109</v>
      </c>
      <c r="Z41" s="66">
        <f t="shared" si="35"/>
        <v>0.12893916753616796</v>
      </c>
      <c r="AA41" s="66">
        <f t="shared" si="35"/>
        <v>8.8012706177544864E-2</v>
      </c>
      <c r="AB41" s="66">
        <f t="shared" si="35"/>
        <v>5.9730005841827971E-2</v>
      </c>
      <c r="AC41" s="66">
        <f t="shared" si="35"/>
        <v>4.0374744621079817E-2</v>
      </c>
    </row>
    <row r="42" spans="1:29" x14ac:dyDescent="0.25">
      <c r="A42" s="30" t="str">
        <f>A22</f>
        <v>Lifetime vehicle</v>
      </c>
      <c r="B42" s="62">
        <f>$B22+($C22-$B22)*(1-Q22)</f>
        <v>25</v>
      </c>
      <c r="C42" s="62">
        <f t="shared" ref="C42:L44" si="36">$B22+($C22-$B22)*(1-R22)</f>
        <v>25</v>
      </c>
      <c r="D42" s="62">
        <f t="shared" si="36"/>
        <v>25</v>
      </c>
      <c r="E42" s="62">
        <f t="shared" si="36"/>
        <v>25</v>
      </c>
      <c r="F42" s="62">
        <f t="shared" si="36"/>
        <v>25</v>
      </c>
      <c r="G42" s="62">
        <f t="shared" si="36"/>
        <v>25</v>
      </c>
      <c r="H42" s="62">
        <f t="shared" si="36"/>
        <v>25</v>
      </c>
      <c r="I42" s="62">
        <f t="shared" si="36"/>
        <v>25</v>
      </c>
      <c r="J42" s="62">
        <f t="shared" si="36"/>
        <v>25</v>
      </c>
      <c r="K42" s="62">
        <f t="shared" si="36"/>
        <v>25</v>
      </c>
      <c r="L42" s="62">
        <f t="shared" si="36"/>
        <v>25</v>
      </c>
      <c r="M42" s="62">
        <f t="shared" ref="M42:V44" si="37">$B22+($C22-$B22)*(1-AB22)</f>
        <v>25</v>
      </c>
      <c r="N42" s="62">
        <f t="shared" si="37"/>
        <v>25</v>
      </c>
      <c r="O42" s="62">
        <f t="shared" si="37"/>
        <v>25</v>
      </c>
      <c r="P42" s="62">
        <f t="shared" si="37"/>
        <v>25</v>
      </c>
      <c r="Q42" s="62">
        <f t="shared" si="37"/>
        <v>25</v>
      </c>
      <c r="R42" s="62">
        <f t="shared" si="37"/>
        <v>25</v>
      </c>
      <c r="S42" s="62">
        <f t="shared" si="37"/>
        <v>25</v>
      </c>
      <c r="T42" s="62">
        <f t="shared" si="37"/>
        <v>25</v>
      </c>
      <c r="U42" s="62">
        <f t="shared" si="37"/>
        <v>25</v>
      </c>
      <c r="V42" s="62">
        <f t="shared" si="37"/>
        <v>25</v>
      </c>
      <c r="W42" s="62">
        <f t="shared" ref="W42:AC44" si="38">$B22+($C22-$B22)*(1-AL22)</f>
        <v>25</v>
      </c>
      <c r="X42" s="62">
        <f t="shared" si="38"/>
        <v>25</v>
      </c>
      <c r="Y42" s="62">
        <f t="shared" si="38"/>
        <v>25</v>
      </c>
      <c r="Z42" s="62">
        <f t="shared" si="38"/>
        <v>25</v>
      </c>
      <c r="AA42" s="62">
        <f t="shared" si="38"/>
        <v>25</v>
      </c>
      <c r="AB42" s="62">
        <f t="shared" si="38"/>
        <v>25</v>
      </c>
      <c r="AC42" s="62">
        <f t="shared" si="38"/>
        <v>25</v>
      </c>
    </row>
    <row r="43" spans="1:29" x14ac:dyDescent="0.25">
      <c r="A43" s="30" t="str">
        <f>A23</f>
        <v>Lifetime costumization</v>
      </c>
      <c r="B43" s="62">
        <f>$B23+($C23-$B23)*(1-Q23)</f>
        <v>25</v>
      </c>
      <c r="C43" s="62">
        <f t="shared" si="36"/>
        <v>25</v>
      </c>
      <c r="D43" s="62">
        <f t="shared" si="36"/>
        <v>25</v>
      </c>
      <c r="E43" s="62">
        <f t="shared" si="36"/>
        <v>25</v>
      </c>
      <c r="F43" s="62">
        <f t="shared" si="36"/>
        <v>25</v>
      </c>
      <c r="G43" s="62">
        <f t="shared" si="36"/>
        <v>25</v>
      </c>
      <c r="H43" s="62">
        <f t="shared" si="36"/>
        <v>25</v>
      </c>
      <c r="I43" s="62">
        <f t="shared" si="36"/>
        <v>25</v>
      </c>
      <c r="J43" s="62">
        <f t="shared" si="36"/>
        <v>25</v>
      </c>
      <c r="K43" s="62">
        <f t="shared" si="36"/>
        <v>25</v>
      </c>
      <c r="L43" s="62">
        <f t="shared" si="36"/>
        <v>25</v>
      </c>
      <c r="M43" s="62">
        <f t="shared" si="37"/>
        <v>25</v>
      </c>
      <c r="N43" s="62">
        <f t="shared" si="37"/>
        <v>25</v>
      </c>
      <c r="O43" s="62">
        <f t="shared" si="37"/>
        <v>25</v>
      </c>
      <c r="P43" s="62">
        <f t="shared" si="37"/>
        <v>25</v>
      </c>
      <c r="Q43" s="62">
        <f t="shared" si="37"/>
        <v>25</v>
      </c>
      <c r="R43" s="62">
        <f t="shared" si="37"/>
        <v>25</v>
      </c>
      <c r="S43" s="62">
        <f t="shared" si="37"/>
        <v>25</v>
      </c>
      <c r="T43" s="62">
        <f t="shared" si="37"/>
        <v>25</v>
      </c>
      <c r="U43" s="62">
        <f t="shared" si="37"/>
        <v>25</v>
      </c>
      <c r="V43" s="62">
        <f t="shared" si="37"/>
        <v>25</v>
      </c>
      <c r="W43" s="62">
        <f t="shared" si="38"/>
        <v>25</v>
      </c>
      <c r="X43" s="62">
        <f t="shared" si="38"/>
        <v>25</v>
      </c>
      <c r="Y43" s="62">
        <f t="shared" si="38"/>
        <v>25</v>
      </c>
      <c r="Z43" s="62">
        <f t="shared" si="38"/>
        <v>25</v>
      </c>
      <c r="AA43" s="62">
        <f t="shared" si="38"/>
        <v>25</v>
      </c>
      <c r="AB43" s="62">
        <f t="shared" si="38"/>
        <v>25</v>
      </c>
      <c r="AC43" s="62">
        <f t="shared" si="38"/>
        <v>25</v>
      </c>
    </row>
    <row r="44" spans="1:29" x14ac:dyDescent="0.25">
      <c r="A44" s="30" t="str">
        <f>A24</f>
        <v>Tonnage .</v>
      </c>
      <c r="B44" s="62">
        <f>$B24+($C24-$B24)*(1-Q24)</f>
        <v>9450</v>
      </c>
      <c r="C44" s="62">
        <f t="shared" si="36"/>
        <v>9450</v>
      </c>
      <c r="D44" s="62">
        <f t="shared" si="36"/>
        <v>9450</v>
      </c>
      <c r="E44" s="62">
        <f t="shared" si="36"/>
        <v>9450</v>
      </c>
      <c r="F44" s="62">
        <f t="shared" si="36"/>
        <v>9450</v>
      </c>
      <c r="G44" s="62">
        <f t="shared" si="36"/>
        <v>9450</v>
      </c>
      <c r="H44" s="62">
        <f t="shared" si="36"/>
        <v>9450</v>
      </c>
      <c r="I44" s="62">
        <f t="shared" si="36"/>
        <v>9450</v>
      </c>
      <c r="J44" s="62">
        <f t="shared" si="36"/>
        <v>9450</v>
      </c>
      <c r="K44" s="62">
        <f t="shared" si="36"/>
        <v>9450</v>
      </c>
      <c r="L44" s="62">
        <f t="shared" si="36"/>
        <v>9450</v>
      </c>
      <c r="M44" s="62">
        <f t="shared" si="37"/>
        <v>9450</v>
      </c>
      <c r="N44" s="62">
        <f t="shared" si="37"/>
        <v>9450</v>
      </c>
      <c r="O44" s="62">
        <f t="shared" si="37"/>
        <v>9450</v>
      </c>
      <c r="P44" s="62">
        <f t="shared" si="37"/>
        <v>9450</v>
      </c>
      <c r="Q44" s="62">
        <f t="shared" si="37"/>
        <v>9450</v>
      </c>
      <c r="R44" s="62">
        <f t="shared" si="37"/>
        <v>9450</v>
      </c>
      <c r="S44" s="62">
        <f t="shared" si="37"/>
        <v>9450</v>
      </c>
      <c r="T44" s="62">
        <f t="shared" si="37"/>
        <v>9450</v>
      </c>
      <c r="U44" s="62">
        <f t="shared" si="37"/>
        <v>9450</v>
      </c>
      <c r="V44" s="62">
        <f t="shared" si="37"/>
        <v>9450</v>
      </c>
      <c r="W44" s="62">
        <f t="shared" si="38"/>
        <v>9450</v>
      </c>
      <c r="X44" s="62">
        <f t="shared" si="38"/>
        <v>9450</v>
      </c>
      <c r="Y44" s="62">
        <f t="shared" si="38"/>
        <v>9450</v>
      </c>
      <c r="Z44" s="62">
        <f t="shared" si="38"/>
        <v>9450</v>
      </c>
      <c r="AA44" s="62">
        <f t="shared" si="38"/>
        <v>9450</v>
      </c>
      <c r="AB44" s="62">
        <f t="shared" si="38"/>
        <v>9450</v>
      </c>
      <c r="AC44" s="62">
        <f t="shared" si="38"/>
        <v>9450</v>
      </c>
    </row>
    <row r="45" spans="1:29" x14ac:dyDescent="0.25">
      <c r="A45" s="30" t="str">
        <f>A25</f>
        <v>Market failure (av. utilization)</v>
      </c>
      <c r="B45" s="62">
        <f t="shared" ref="B45:K46" si="39">($B25+($C25-$B25)*(1-Q25))*B$44</f>
        <v>6426.0000000000009</v>
      </c>
      <c r="C45" s="62">
        <f t="shared" si="39"/>
        <v>6426.0000000000009</v>
      </c>
      <c r="D45" s="62">
        <f t="shared" si="39"/>
        <v>6426.0000000000009</v>
      </c>
      <c r="E45" s="62">
        <f t="shared" si="39"/>
        <v>6426.0000000000009</v>
      </c>
      <c r="F45" s="62">
        <f t="shared" si="39"/>
        <v>6426.0000000000009</v>
      </c>
      <c r="G45" s="62">
        <f t="shared" si="39"/>
        <v>6426.0000000000009</v>
      </c>
      <c r="H45" s="62">
        <f t="shared" si="39"/>
        <v>6426.0000000000009</v>
      </c>
      <c r="I45" s="62">
        <f t="shared" si="39"/>
        <v>6426.0000000000009</v>
      </c>
      <c r="J45" s="62">
        <f t="shared" si="39"/>
        <v>6426.0000000000009</v>
      </c>
      <c r="K45" s="62">
        <f t="shared" si="39"/>
        <v>6426.0000000000009</v>
      </c>
      <c r="L45" s="62">
        <f t="shared" ref="L45:U46" si="40">($B25+($C25-$B25)*(1-AA25))*L$44</f>
        <v>6426.0000000000009</v>
      </c>
      <c r="M45" s="62">
        <f t="shared" si="40"/>
        <v>6426.0000000000009</v>
      </c>
      <c r="N45" s="62">
        <f t="shared" si="40"/>
        <v>6426.0000000000009</v>
      </c>
      <c r="O45" s="62">
        <f t="shared" si="40"/>
        <v>6426.0000000000009</v>
      </c>
      <c r="P45" s="62">
        <f t="shared" si="40"/>
        <v>6426.0000000000009</v>
      </c>
      <c r="Q45" s="62">
        <f t="shared" si="40"/>
        <v>6426.0000000000009</v>
      </c>
      <c r="R45" s="62">
        <f t="shared" si="40"/>
        <v>6426.0000000000009</v>
      </c>
      <c r="S45" s="62">
        <f t="shared" si="40"/>
        <v>6426.0000000000009</v>
      </c>
      <c r="T45" s="62">
        <f t="shared" si="40"/>
        <v>6426.0000000000009</v>
      </c>
      <c r="U45" s="62">
        <f t="shared" si="40"/>
        <v>6426.0000000000009</v>
      </c>
      <c r="V45" s="62">
        <f t="shared" ref="V45:AC46" si="41">($B25+($C25-$B25)*(1-AK25))*V$44</f>
        <v>6426.0000000000009</v>
      </c>
      <c r="W45" s="62">
        <f t="shared" si="41"/>
        <v>6426.0000000000009</v>
      </c>
      <c r="X45" s="62">
        <f t="shared" si="41"/>
        <v>6426.0000000000009</v>
      </c>
      <c r="Y45" s="62">
        <f t="shared" si="41"/>
        <v>6426.0000000000009</v>
      </c>
      <c r="Z45" s="62">
        <f t="shared" si="41"/>
        <v>6426.0000000000009</v>
      </c>
      <c r="AA45" s="62">
        <f t="shared" si="41"/>
        <v>6426.0000000000009</v>
      </c>
      <c r="AB45" s="62">
        <f t="shared" si="41"/>
        <v>6426.0000000000009</v>
      </c>
      <c r="AC45" s="62">
        <f t="shared" si="41"/>
        <v>6426.0000000000009</v>
      </c>
    </row>
    <row r="46" spans="1:29" x14ac:dyDescent="0.25">
      <c r="A46" s="30" t="s">
        <v>73</v>
      </c>
      <c r="B46" s="62">
        <f t="shared" si="39"/>
        <v>755.79245394358725</v>
      </c>
      <c r="C46" s="62">
        <f t="shared" si="39"/>
        <v>755.70266455291733</v>
      </c>
      <c r="D46" s="62">
        <f t="shared" si="39"/>
        <v>755.57413304007082</v>
      </c>
      <c r="E46" s="62">
        <f t="shared" si="39"/>
        <v>755.39025967220368</v>
      </c>
      <c r="F46" s="62">
        <f t="shared" si="39"/>
        <v>755.12746405584869</v>
      </c>
      <c r="G46" s="62">
        <f t="shared" si="39"/>
        <v>754.75239791882211</v>
      </c>
      <c r="H46" s="62">
        <f t="shared" si="39"/>
        <v>754.21821172590103</v>
      </c>
      <c r="I46" s="62">
        <f t="shared" si="39"/>
        <v>753.45974390849915</v>
      </c>
      <c r="J46" s="62">
        <f t="shared" si="39"/>
        <v>752.3877225327052</v>
      </c>
      <c r="K46" s="62">
        <f t="shared" si="39"/>
        <v>750.88262386195834</v>
      </c>
      <c r="L46" s="62">
        <f t="shared" si="40"/>
        <v>748.78999034188371</v>
      </c>
      <c r="M46" s="62">
        <f t="shared" si="40"/>
        <v>745.92106807143728</v>
      </c>
      <c r="N46" s="62">
        <f t="shared" si="40"/>
        <v>742.06554396123909</v>
      </c>
      <c r="O46" s="62">
        <f t="shared" si="40"/>
        <v>737.02562911672953</v>
      </c>
      <c r="P46" s="62">
        <f t="shared" si="40"/>
        <v>730.67870822624377</v>
      </c>
      <c r="Q46" s="62">
        <f t="shared" si="40"/>
        <v>723.06258534605354</v>
      </c>
      <c r="R46" s="62">
        <f t="shared" si="40"/>
        <v>714.45047424740278</v>
      </c>
      <c r="S46" s="62">
        <f t="shared" si="40"/>
        <v>705.35870389516015</v>
      </c>
      <c r="T46" s="62">
        <f t="shared" si="40"/>
        <v>696.44584257777012</v>
      </c>
      <c r="U46" s="62">
        <f t="shared" si="40"/>
        <v>688.33228146218346</v>
      </c>
      <c r="V46" s="62">
        <f t="shared" si="41"/>
        <v>681.43690990725634</v>
      </c>
      <c r="W46" s="62">
        <f t="shared" si="41"/>
        <v>675.91495218283933</v>
      </c>
      <c r="X46" s="62">
        <f t="shared" si="41"/>
        <v>671.70145335713607</v>
      </c>
      <c r="Y46" s="62">
        <f t="shared" si="41"/>
        <v>668.60419379714972</v>
      </c>
      <c r="Z46" s="62">
        <f t="shared" si="41"/>
        <v>666.38969801877408</v>
      </c>
      <c r="AA46" s="62">
        <f t="shared" si="41"/>
        <v>664.83766351409531</v>
      </c>
      <c r="AB46" s="62">
        <f t="shared" si="41"/>
        <v>663.76511227586627</v>
      </c>
      <c r="AC46" s="62">
        <f t="shared" si="41"/>
        <v>663.03111201626791</v>
      </c>
    </row>
    <row r="47" spans="1:29" x14ac:dyDescent="0.25">
      <c r="A47" s="30" t="str">
        <f>A27</f>
        <v>Annual Mileage</v>
      </c>
      <c r="B47" s="62">
        <f t="shared" ref="B47:AC47" si="42">$B27+($C27-$B27)*(1-Q27)</f>
        <v>120000</v>
      </c>
      <c r="C47" s="62">
        <f t="shared" si="42"/>
        <v>120000</v>
      </c>
      <c r="D47" s="62">
        <f t="shared" si="42"/>
        <v>120000</v>
      </c>
      <c r="E47" s="62">
        <f t="shared" si="42"/>
        <v>120000</v>
      </c>
      <c r="F47" s="62">
        <f t="shared" si="42"/>
        <v>120000</v>
      </c>
      <c r="G47" s="62">
        <f t="shared" si="42"/>
        <v>120000</v>
      </c>
      <c r="H47" s="62">
        <f t="shared" si="42"/>
        <v>120000</v>
      </c>
      <c r="I47" s="62">
        <f t="shared" si="42"/>
        <v>120000</v>
      </c>
      <c r="J47" s="62">
        <f t="shared" si="42"/>
        <v>120000</v>
      </c>
      <c r="K47" s="62">
        <f t="shared" si="42"/>
        <v>120000</v>
      </c>
      <c r="L47" s="62">
        <f t="shared" si="42"/>
        <v>120000</v>
      </c>
      <c r="M47" s="62">
        <f t="shared" si="42"/>
        <v>120000</v>
      </c>
      <c r="N47" s="62">
        <f t="shared" si="42"/>
        <v>120000</v>
      </c>
      <c r="O47" s="62">
        <f t="shared" si="42"/>
        <v>120000</v>
      </c>
      <c r="P47" s="62">
        <f t="shared" si="42"/>
        <v>120000</v>
      </c>
      <c r="Q47" s="62">
        <f t="shared" si="42"/>
        <v>120000</v>
      </c>
      <c r="R47" s="62">
        <f t="shared" si="42"/>
        <v>120000</v>
      </c>
      <c r="S47" s="62">
        <f t="shared" si="42"/>
        <v>120000</v>
      </c>
      <c r="T47" s="62">
        <f t="shared" si="42"/>
        <v>120000</v>
      </c>
      <c r="U47" s="62">
        <f t="shared" si="42"/>
        <v>120000</v>
      </c>
      <c r="V47" s="62">
        <f t="shared" si="42"/>
        <v>120000</v>
      </c>
      <c r="W47" s="62">
        <f t="shared" si="42"/>
        <v>120000</v>
      </c>
      <c r="X47" s="62">
        <f t="shared" si="42"/>
        <v>120000</v>
      </c>
      <c r="Y47" s="62">
        <f t="shared" si="42"/>
        <v>120000</v>
      </c>
      <c r="Z47" s="62">
        <f t="shared" si="42"/>
        <v>120000</v>
      </c>
      <c r="AA47" s="62">
        <f t="shared" si="42"/>
        <v>120000</v>
      </c>
      <c r="AB47" s="62">
        <f t="shared" si="42"/>
        <v>120000</v>
      </c>
      <c r="AC47" s="62">
        <f t="shared" si="42"/>
        <v>120000</v>
      </c>
    </row>
    <row r="48" spans="1:29"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2344739.8769242726</v>
      </c>
      <c r="C50" s="63">
        <f t="shared" ref="C50:AC50" si="43">((1+C35)^C42)*C35/(((1+C35)^C42)-1)*(C31)</f>
        <v>2343847.949386192</v>
      </c>
      <c r="D50" s="63">
        <f t="shared" si="43"/>
        <v>2342571.1749815131</v>
      </c>
      <c r="E50" s="63">
        <f t="shared" si="43"/>
        <v>2340744.6594088301</v>
      </c>
      <c r="F50" s="63">
        <f t="shared" si="43"/>
        <v>2338134.1656147949</v>
      </c>
      <c r="G50" s="63">
        <f t="shared" si="43"/>
        <v>2334408.426819603</v>
      </c>
      <c r="H50" s="63">
        <f t="shared" si="43"/>
        <v>2329102.0607514726</v>
      </c>
      <c r="I50" s="63">
        <f t="shared" si="43"/>
        <v>2321567.7816117923</v>
      </c>
      <c r="J50" s="63">
        <f t="shared" si="43"/>
        <v>2310918.8020458543</v>
      </c>
      <c r="K50" s="63">
        <f t="shared" si="43"/>
        <v>2295967.8268587827</v>
      </c>
      <c r="L50" s="63">
        <f t="shared" si="43"/>
        <v>2275180.5439766962</v>
      </c>
      <c r="M50" s="63">
        <f t="shared" si="43"/>
        <v>2246681.9567991556</v>
      </c>
      <c r="N50" s="63">
        <f t="shared" si="43"/>
        <v>2208382.9094176819</v>
      </c>
      <c r="O50" s="63">
        <f t="shared" si="43"/>
        <v>2158318.6556582791</v>
      </c>
      <c r="P50" s="63">
        <f t="shared" si="43"/>
        <v>2095271.1900055008</v>
      </c>
      <c r="Q50" s="63">
        <f t="shared" si="43"/>
        <v>2019616.0409999515</v>
      </c>
      <c r="R50" s="63">
        <f t="shared" si="43"/>
        <v>1934067.1917139916</v>
      </c>
      <c r="S50" s="63">
        <f t="shared" si="43"/>
        <v>1843753.6225209001</v>
      </c>
      <c r="T50" s="63">
        <f t="shared" si="43"/>
        <v>1755217.2554427353</v>
      </c>
      <c r="U50" s="63">
        <f t="shared" si="43"/>
        <v>1674620.7780983469</v>
      </c>
      <c r="V50" s="63">
        <f t="shared" si="43"/>
        <v>1606125.2495146997</v>
      </c>
      <c r="W50" s="63">
        <f t="shared" si="43"/>
        <v>1551272.5979733593</v>
      </c>
      <c r="X50" s="63">
        <f t="shared" si="43"/>
        <v>1509417.5903129096</v>
      </c>
      <c r="Y50" s="63">
        <f t="shared" si="43"/>
        <v>1478650.8029060119</v>
      </c>
      <c r="Z50" s="63">
        <f t="shared" si="43"/>
        <v>1456652.995002867</v>
      </c>
      <c r="AA50" s="63">
        <f t="shared" si="43"/>
        <v>1441235.7802913454</v>
      </c>
      <c r="AB50" s="63">
        <f t="shared" si="43"/>
        <v>1430581.5373096101</v>
      </c>
      <c r="AC50" s="63">
        <f t="shared" si="43"/>
        <v>1423290.3079159164</v>
      </c>
    </row>
    <row r="51" spans="1:29" x14ac:dyDescent="0.25">
      <c r="A51" s="30" t="str">
        <f>A32</f>
        <v>Residual value (vehicle)</v>
      </c>
      <c r="B51" s="62">
        <f>((1+B35)^B42)*B35/(((1+B35)^B42)-1)*(B32)</f>
        <v>-117391.61905450956</v>
      </c>
      <c r="C51" s="62">
        <f t="shared" ref="C51:AC51" si="44">((1+C35)^C42)*C35/(((1+C35)^C42)-1)*(C32)</f>
        <v>-117413.91724296159</v>
      </c>
      <c r="D51" s="62">
        <f t="shared" si="44"/>
        <v>-117445.83660307855</v>
      </c>
      <c r="E51" s="62">
        <f t="shared" si="44"/>
        <v>-117491.49949239564</v>
      </c>
      <c r="F51" s="62">
        <f t="shared" si="44"/>
        <v>-117556.76183724651</v>
      </c>
      <c r="G51" s="62">
        <f t="shared" si="44"/>
        <v>-117649.9053071263</v>
      </c>
      <c r="H51" s="62">
        <f t="shared" si="44"/>
        <v>-117782.56445882957</v>
      </c>
      <c r="I51" s="62">
        <f t="shared" si="44"/>
        <v>-117970.92143732157</v>
      </c>
      <c r="J51" s="62">
        <f t="shared" si="44"/>
        <v>-118237.14592647002</v>
      </c>
      <c r="K51" s="62">
        <f t="shared" si="44"/>
        <v>-118610.92030614681</v>
      </c>
      <c r="L51" s="62">
        <f t="shared" si="44"/>
        <v>-119130.60237819898</v>
      </c>
      <c r="M51" s="62">
        <f t="shared" si="44"/>
        <v>-119843.06705763748</v>
      </c>
      <c r="N51" s="62">
        <f t="shared" si="44"/>
        <v>-120800.54324217433</v>
      </c>
      <c r="O51" s="62">
        <f t="shared" si="44"/>
        <v>-122052.1495861594</v>
      </c>
      <c r="P51" s="62">
        <f t="shared" si="44"/>
        <v>-123628.33622747887</v>
      </c>
      <c r="Q51" s="62">
        <f t="shared" si="44"/>
        <v>-125519.71495261759</v>
      </c>
      <c r="R51" s="62">
        <f t="shared" si="44"/>
        <v>-127658.43618476659</v>
      </c>
      <c r="S51" s="62">
        <f t="shared" si="44"/>
        <v>-129916.27541459388</v>
      </c>
      <c r="T51" s="62">
        <f t="shared" si="44"/>
        <v>-132129.68459154799</v>
      </c>
      <c r="U51" s="62">
        <f t="shared" si="44"/>
        <v>-134144.59652515771</v>
      </c>
      <c r="V51" s="62">
        <f t="shared" si="44"/>
        <v>-135856.98473974891</v>
      </c>
      <c r="W51" s="62">
        <f t="shared" si="44"/>
        <v>-137228.30102828241</v>
      </c>
      <c r="X51" s="62">
        <f t="shared" si="44"/>
        <v>-138274.67621979365</v>
      </c>
      <c r="Y51" s="62">
        <f t="shared" si="44"/>
        <v>-139043.84590496609</v>
      </c>
      <c r="Z51" s="62">
        <f t="shared" si="44"/>
        <v>-139593.79110254472</v>
      </c>
      <c r="AA51" s="62">
        <f t="shared" si="44"/>
        <v>-139979.22147033276</v>
      </c>
      <c r="AB51" s="62">
        <f t="shared" si="44"/>
        <v>-140245.57754487614</v>
      </c>
      <c r="AC51" s="62">
        <f t="shared" si="44"/>
        <v>-140427.85827971846</v>
      </c>
    </row>
    <row r="52" spans="1:29" x14ac:dyDescent="0.25">
      <c r="A52" s="30" t="str">
        <f>A33</f>
        <v>Capex costumization</v>
      </c>
      <c r="B52" s="62">
        <f>((1+B35)^B43)*B35/(((1+B35)^B43)-1)*(B33)</f>
        <v>78226.718212273947</v>
      </c>
      <c r="C52" s="62">
        <f t="shared" ref="C52:AC52" si="45">((1+C35)^C43)*C35/(((1+C35)^C43)-1)*(C33)</f>
        <v>78226.718212273947</v>
      </c>
      <c r="D52" s="62">
        <f t="shared" si="45"/>
        <v>78226.718212273947</v>
      </c>
      <c r="E52" s="62">
        <f t="shared" si="45"/>
        <v>78226.718212273947</v>
      </c>
      <c r="F52" s="62">
        <f t="shared" si="45"/>
        <v>78226.718212273947</v>
      </c>
      <c r="G52" s="62">
        <f t="shared" si="45"/>
        <v>78226.718212273947</v>
      </c>
      <c r="H52" s="62">
        <f t="shared" si="45"/>
        <v>78226.718212273947</v>
      </c>
      <c r="I52" s="62">
        <f t="shared" si="45"/>
        <v>78226.718212273947</v>
      </c>
      <c r="J52" s="62">
        <f t="shared" si="45"/>
        <v>78226.718212273947</v>
      </c>
      <c r="K52" s="62">
        <f t="shared" si="45"/>
        <v>78226.718212273947</v>
      </c>
      <c r="L52" s="62">
        <f t="shared" si="45"/>
        <v>78226.718212273947</v>
      </c>
      <c r="M52" s="62">
        <f t="shared" si="45"/>
        <v>78226.718212273947</v>
      </c>
      <c r="N52" s="62">
        <f t="shared" si="45"/>
        <v>78226.718212273947</v>
      </c>
      <c r="O52" s="62">
        <f t="shared" si="45"/>
        <v>78226.718212273947</v>
      </c>
      <c r="P52" s="62">
        <f t="shared" si="45"/>
        <v>78226.718212273947</v>
      </c>
      <c r="Q52" s="62">
        <f t="shared" si="45"/>
        <v>78226.718212273947</v>
      </c>
      <c r="R52" s="62">
        <f t="shared" si="45"/>
        <v>78226.718212273947</v>
      </c>
      <c r="S52" s="62">
        <f t="shared" si="45"/>
        <v>78226.718212273947</v>
      </c>
      <c r="T52" s="62">
        <f t="shared" si="45"/>
        <v>78226.718212273947</v>
      </c>
      <c r="U52" s="62">
        <f t="shared" si="45"/>
        <v>78226.718212273947</v>
      </c>
      <c r="V52" s="62">
        <f t="shared" si="45"/>
        <v>78226.718212273947</v>
      </c>
      <c r="W52" s="62">
        <f t="shared" si="45"/>
        <v>78226.718212273947</v>
      </c>
      <c r="X52" s="62">
        <f t="shared" si="45"/>
        <v>78226.718212273947</v>
      </c>
      <c r="Y52" s="62">
        <f t="shared" si="45"/>
        <v>78226.718212273947</v>
      </c>
      <c r="Z52" s="62">
        <f t="shared" si="45"/>
        <v>78226.718212273947</v>
      </c>
      <c r="AA52" s="62">
        <f t="shared" si="45"/>
        <v>78226.718212273947</v>
      </c>
      <c r="AB52" s="62">
        <f t="shared" si="45"/>
        <v>78226.718212273947</v>
      </c>
      <c r="AC52" s="62">
        <f t="shared" si="45"/>
        <v>78226.718212273947</v>
      </c>
    </row>
    <row r="53" spans="1:29" x14ac:dyDescent="0.25">
      <c r="A53" s="30" t="str">
        <f>A34</f>
        <v>Residual value (costumization)</v>
      </c>
      <c r="B53" s="62">
        <f>((1+B35)^B43)*B35/(((1+B35)^B43)-1)*(B34)</f>
        <v>-7822.6718212273945</v>
      </c>
      <c r="C53" s="62">
        <f t="shared" ref="C53:AC53" si="46">((1+C35)^C43)*C35/(((1+C35)^C43)-1)*(C34)</f>
        <v>-7822.6718212273945</v>
      </c>
      <c r="D53" s="62">
        <f t="shared" si="46"/>
        <v>-7822.6718212273945</v>
      </c>
      <c r="E53" s="62">
        <f t="shared" si="46"/>
        <v>-7822.6718212273945</v>
      </c>
      <c r="F53" s="62">
        <f t="shared" si="46"/>
        <v>-7822.6718212273945</v>
      </c>
      <c r="G53" s="62">
        <f t="shared" si="46"/>
        <v>-7822.6718212273945</v>
      </c>
      <c r="H53" s="62">
        <f t="shared" si="46"/>
        <v>-7822.6718212273945</v>
      </c>
      <c r="I53" s="62">
        <f t="shared" si="46"/>
        <v>-7822.6718212273945</v>
      </c>
      <c r="J53" s="62">
        <f t="shared" si="46"/>
        <v>-7822.6718212273945</v>
      </c>
      <c r="K53" s="62">
        <f t="shared" si="46"/>
        <v>-7822.6718212273945</v>
      </c>
      <c r="L53" s="62">
        <f t="shared" si="46"/>
        <v>-7822.6718212273945</v>
      </c>
      <c r="M53" s="62">
        <f t="shared" si="46"/>
        <v>-7822.6718212273945</v>
      </c>
      <c r="N53" s="62">
        <f t="shared" si="46"/>
        <v>-7822.6718212273945</v>
      </c>
      <c r="O53" s="62">
        <f t="shared" si="46"/>
        <v>-7822.6718212273945</v>
      </c>
      <c r="P53" s="62">
        <f t="shared" si="46"/>
        <v>-7822.6718212273945</v>
      </c>
      <c r="Q53" s="62">
        <f t="shared" si="46"/>
        <v>-7822.6718212273945</v>
      </c>
      <c r="R53" s="62">
        <f t="shared" si="46"/>
        <v>-7822.6718212273945</v>
      </c>
      <c r="S53" s="62">
        <f t="shared" si="46"/>
        <v>-7822.6718212273945</v>
      </c>
      <c r="T53" s="62">
        <f t="shared" si="46"/>
        <v>-7822.6718212273945</v>
      </c>
      <c r="U53" s="62">
        <f t="shared" si="46"/>
        <v>-7822.6718212273945</v>
      </c>
      <c r="V53" s="62">
        <f t="shared" si="46"/>
        <v>-7822.6718212273945</v>
      </c>
      <c r="W53" s="62">
        <f t="shared" si="46"/>
        <v>-7822.6718212273945</v>
      </c>
      <c r="X53" s="62">
        <f t="shared" si="46"/>
        <v>-7822.6718212273945</v>
      </c>
      <c r="Y53" s="62">
        <f t="shared" si="46"/>
        <v>-7822.6718212273945</v>
      </c>
      <c r="Z53" s="62">
        <f t="shared" si="46"/>
        <v>-7822.6718212273945</v>
      </c>
      <c r="AA53" s="62">
        <f t="shared" si="46"/>
        <v>-7822.6718212273945</v>
      </c>
      <c r="AB53" s="62">
        <f t="shared" si="46"/>
        <v>-7822.6718212273945</v>
      </c>
      <c r="AC53" s="62">
        <f t="shared" si="46"/>
        <v>-7822.6718212273945</v>
      </c>
    </row>
    <row r="54" spans="1:29" x14ac:dyDescent="0.25">
      <c r="A54" s="30" t="str">
        <f t="shared" ref="A54:AC54" si="47">A36</f>
        <v>Opex fix (admin, crew, insurance)</v>
      </c>
      <c r="B54" s="62">
        <f t="shared" si="47"/>
        <v>1208235.294117647</v>
      </c>
      <c r="C54" s="62">
        <f t="shared" si="47"/>
        <v>1208235.294117647</v>
      </c>
      <c r="D54" s="62">
        <f t="shared" si="47"/>
        <v>1208235.294117647</v>
      </c>
      <c r="E54" s="62">
        <f t="shared" si="47"/>
        <v>1208235.294117647</v>
      </c>
      <c r="F54" s="62">
        <f t="shared" si="47"/>
        <v>1208235.294117647</v>
      </c>
      <c r="G54" s="62">
        <f t="shared" si="47"/>
        <v>1208235.294117647</v>
      </c>
      <c r="H54" s="62">
        <f t="shared" si="47"/>
        <v>1208235.294117647</v>
      </c>
      <c r="I54" s="62">
        <f t="shared" si="47"/>
        <v>1208235.294117647</v>
      </c>
      <c r="J54" s="62">
        <f t="shared" si="47"/>
        <v>1208235.294117647</v>
      </c>
      <c r="K54" s="62">
        <f t="shared" si="47"/>
        <v>1208235.294117647</v>
      </c>
      <c r="L54" s="62">
        <f t="shared" si="47"/>
        <v>1208235.294117647</v>
      </c>
      <c r="M54" s="62">
        <f t="shared" si="47"/>
        <v>1208235.294117647</v>
      </c>
      <c r="N54" s="62">
        <f t="shared" si="47"/>
        <v>1208235.294117647</v>
      </c>
      <c r="O54" s="62">
        <f t="shared" si="47"/>
        <v>1208235.294117647</v>
      </c>
      <c r="P54" s="62">
        <f t="shared" si="47"/>
        <v>1208235.294117647</v>
      </c>
      <c r="Q54" s="62">
        <f t="shared" si="47"/>
        <v>1208235.294117647</v>
      </c>
      <c r="R54" s="62">
        <f t="shared" si="47"/>
        <v>1208235.294117647</v>
      </c>
      <c r="S54" s="62">
        <f t="shared" si="47"/>
        <v>1208235.294117647</v>
      </c>
      <c r="T54" s="62">
        <f t="shared" si="47"/>
        <v>1208235.294117647</v>
      </c>
      <c r="U54" s="62">
        <f t="shared" si="47"/>
        <v>1208235.294117647</v>
      </c>
      <c r="V54" s="62">
        <f t="shared" si="47"/>
        <v>1208235.294117647</v>
      </c>
      <c r="W54" s="62">
        <f t="shared" si="47"/>
        <v>1208235.294117647</v>
      </c>
      <c r="X54" s="62">
        <f t="shared" si="47"/>
        <v>1208235.294117647</v>
      </c>
      <c r="Y54" s="62">
        <f t="shared" si="47"/>
        <v>1208235.294117647</v>
      </c>
      <c r="Z54" s="62">
        <f t="shared" si="47"/>
        <v>1208235.294117647</v>
      </c>
      <c r="AA54" s="62">
        <f t="shared" si="47"/>
        <v>1208235.294117647</v>
      </c>
      <c r="AB54" s="62">
        <f t="shared" si="47"/>
        <v>1208235.294117647</v>
      </c>
      <c r="AC54" s="62">
        <f t="shared" si="47"/>
        <v>1208235.294117647</v>
      </c>
    </row>
    <row r="55" spans="1:29" x14ac:dyDescent="0.25">
      <c r="A55" s="30" t="str">
        <f t="shared" ref="A55:AC55" si="48">A37</f>
        <v>Opex maintenance &amp; repair</v>
      </c>
      <c r="B55" s="62">
        <f t="shared" si="48"/>
        <v>338823.5294117647</v>
      </c>
      <c r="C55" s="62">
        <f t="shared" si="48"/>
        <v>338823.5294117647</v>
      </c>
      <c r="D55" s="62">
        <f t="shared" si="48"/>
        <v>338823.5294117647</v>
      </c>
      <c r="E55" s="62">
        <f t="shared" si="48"/>
        <v>338823.5294117647</v>
      </c>
      <c r="F55" s="62">
        <f t="shared" si="48"/>
        <v>338823.5294117647</v>
      </c>
      <c r="G55" s="62">
        <f t="shared" si="48"/>
        <v>338823.5294117647</v>
      </c>
      <c r="H55" s="62">
        <f t="shared" si="48"/>
        <v>338823.5294117647</v>
      </c>
      <c r="I55" s="62">
        <f t="shared" si="48"/>
        <v>338823.5294117647</v>
      </c>
      <c r="J55" s="62">
        <f t="shared" si="48"/>
        <v>338823.5294117647</v>
      </c>
      <c r="K55" s="62">
        <f t="shared" si="48"/>
        <v>338823.5294117647</v>
      </c>
      <c r="L55" s="62">
        <f t="shared" si="48"/>
        <v>338823.5294117647</v>
      </c>
      <c r="M55" s="62">
        <f t="shared" si="48"/>
        <v>338823.5294117647</v>
      </c>
      <c r="N55" s="62">
        <f t="shared" si="48"/>
        <v>338823.5294117647</v>
      </c>
      <c r="O55" s="62">
        <f t="shared" si="48"/>
        <v>338823.5294117647</v>
      </c>
      <c r="P55" s="62">
        <f t="shared" si="48"/>
        <v>338823.5294117647</v>
      </c>
      <c r="Q55" s="62">
        <f t="shared" si="48"/>
        <v>338823.5294117647</v>
      </c>
      <c r="R55" s="62">
        <f t="shared" si="48"/>
        <v>338823.5294117647</v>
      </c>
      <c r="S55" s="62">
        <f t="shared" si="48"/>
        <v>338823.5294117647</v>
      </c>
      <c r="T55" s="62">
        <f t="shared" si="48"/>
        <v>338823.5294117647</v>
      </c>
      <c r="U55" s="62">
        <f t="shared" si="48"/>
        <v>338823.5294117647</v>
      </c>
      <c r="V55" s="62">
        <f t="shared" si="48"/>
        <v>338823.5294117647</v>
      </c>
      <c r="W55" s="62">
        <f t="shared" si="48"/>
        <v>338823.5294117647</v>
      </c>
      <c r="X55" s="62">
        <f t="shared" si="48"/>
        <v>338823.5294117647</v>
      </c>
      <c r="Y55" s="62">
        <f t="shared" si="48"/>
        <v>338823.5294117647</v>
      </c>
      <c r="Z55" s="62">
        <f t="shared" si="48"/>
        <v>338823.5294117647</v>
      </c>
      <c r="AA55" s="62">
        <f t="shared" si="48"/>
        <v>338823.5294117647</v>
      </c>
      <c r="AB55" s="62">
        <f t="shared" si="48"/>
        <v>338823.5294117647</v>
      </c>
      <c r="AC55" s="62">
        <f t="shared" si="48"/>
        <v>338823.5294117647</v>
      </c>
    </row>
    <row r="56" spans="1:29" x14ac:dyDescent="0.25">
      <c r="A56" s="30" t="str">
        <f>A38</f>
        <v>Opex var (mode-fees)</v>
      </c>
      <c r="B56" s="62">
        <f>B38*B47</f>
        <v>101496.22349468413</v>
      </c>
      <c r="C56" s="62">
        <f t="shared" ref="C56:AC56" si="49">C38*C47</f>
        <v>101496.22349468413</v>
      </c>
      <c r="D56" s="62">
        <f t="shared" si="49"/>
        <v>101496.22349468413</v>
      </c>
      <c r="E56" s="62">
        <f t="shared" si="49"/>
        <v>101496.22349468413</v>
      </c>
      <c r="F56" s="62">
        <f t="shared" si="49"/>
        <v>101496.22349468413</v>
      </c>
      <c r="G56" s="62">
        <f t="shared" si="49"/>
        <v>101496.22349468413</v>
      </c>
      <c r="H56" s="62">
        <f t="shared" si="49"/>
        <v>101496.22349468413</v>
      </c>
      <c r="I56" s="62">
        <f t="shared" si="49"/>
        <v>101496.22349468413</v>
      </c>
      <c r="J56" s="62">
        <f t="shared" si="49"/>
        <v>101496.22349468413</v>
      </c>
      <c r="K56" s="62">
        <f t="shared" si="49"/>
        <v>101496.22349468413</v>
      </c>
      <c r="L56" s="62">
        <f t="shared" si="49"/>
        <v>101496.22349468413</v>
      </c>
      <c r="M56" s="62">
        <f t="shared" si="49"/>
        <v>101496.22349468413</v>
      </c>
      <c r="N56" s="62">
        <f t="shared" si="49"/>
        <v>101496.22349468413</v>
      </c>
      <c r="O56" s="62">
        <f t="shared" si="49"/>
        <v>101496.22349468413</v>
      </c>
      <c r="P56" s="62">
        <f t="shared" si="49"/>
        <v>101496.22349468413</v>
      </c>
      <c r="Q56" s="62">
        <f t="shared" si="49"/>
        <v>101496.22349468413</v>
      </c>
      <c r="R56" s="62">
        <f t="shared" si="49"/>
        <v>101496.22349468413</v>
      </c>
      <c r="S56" s="62">
        <f t="shared" si="49"/>
        <v>101496.22349468413</v>
      </c>
      <c r="T56" s="62">
        <f t="shared" si="49"/>
        <v>101496.22349468413</v>
      </c>
      <c r="U56" s="62">
        <f t="shared" si="49"/>
        <v>101496.22349468413</v>
      </c>
      <c r="V56" s="62">
        <f t="shared" si="49"/>
        <v>101496.22349468413</v>
      </c>
      <c r="W56" s="62">
        <f t="shared" si="49"/>
        <v>101496.22349468413</v>
      </c>
      <c r="X56" s="62">
        <f t="shared" si="49"/>
        <v>101496.22349468413</v>
      </c>
      <c r="Y56" s="62">
        <f t="shared" si="49"/>
        <v>101496.22349468413</v>
      </c>
      <c r="Z56" s="62">
        <f t="shared" si="49"/>
        <v>101496.22349468413</v>
      </c>
      <c r="AA56" s="62">
        <f t="shared" si="49"/>
        <v>101496.22349468413</v>
      </c>
      <c r="AB56" s="62">
        <f t="shared" si="49"/>
        <v>101496.22349468413</v>
      </c>
      <c r="AC56" s="62">
        <f t="shared" si="49"/>
        <v>101496.22349468413</v>
      </c>
    </row>
    <row r="57" spans="1:29" x14ac:dyDescent="0.25">
      <c r="A57" s="30" t="str">
        <f>A40</f>
        <v>Fuel Cost</v>
      </c>
      <c r="B57" s="62">
        <f>B39*B40*B47</f>
        <v>16884717.132068913</v>
      </c>
      <c r="C57" s="62">
        <f t="shared" ref="C57:AC57" si="50">C39*C40*C47</f>
        <v>16858155.478437811</v>
      </c>
      <c r="D57" s="62">
        <f t="shared" si="50"/>
        <v>16820247.807695027</v>
      </c>
      <c r="E57" s="62">
        <f t="shared" si="50"/>
        <v>16766260.475643475</v>
      </c>
      <c r="F57" s="62">
        <f t="shared" si="50"/>
        <v>16689609.856933123</v>
      </c>
      <c r="G57" s="62">
        <f t="shared" si="50"/>
        <v>16581276.011760581</v>
      </c>
      <c r="H57" s="62">
        <f t="shared" si="50"/>
        <v>16429180.038988085</v>
      </c>
      <c r="I57" s="62">
        <f t="shared" si="50"/>
        <v>16217704.442223981</v>
      </c>
      <c r="J57" s="62">
        <f t="shared" si="50"/>
        <v>15927740.49557955</v>
      </c>
      <c r="K57" s="62">
        <f t="shared" si="50"/>
        <v>15537936.554917173</v>
      </c>
      <c r="L57" s="62">
        <f t="shared" si="50"/>
        <v>15028065.698082881</v>
      </c>
      <c r="M57" s="62">
        <f t="shared" si="50"/>
        <v>14385230.925427267</v>
      </c>
      <c r="N57" s="62">
        <f t="shared" si="50"/>
        <v>13612326.694953671</v>
      </c>
      <c r="O57" s="62">
        <f t="shared" si="50"/>
        <v>12735537.042299014</v>
      </c>
      <c r="P57" s="62">
        <f t="shared" si="50"/>
        <v>11805293.364364006</v>
      </c>
      <c r="Q57" s="62">
        <f t="shared" si="50"/>
        <v>10886665.597812826</v>
      </c>
      <c r="R57" s="62">
        <f t="shared" si="50"/>
        <v>10041979.583912253</v>
      </c>
      <c r="S57" s="62">
        <f t="shared" si="50"/>
        <v>9314903.3718901277</v>
      </c>
      <c r="T57" s="62">
        <f t="shared" si="50"/>
        <v>8723961.6574759353</v>
      </c>
      <c r="U57" s="62">
        <f t="shared" si="50"/>
        <v>8265946.7636056766</v>
      </c>
      <c r="V57" s="62">
        <f t="shared" si="50"/>
        <v>7924174.6062428998</v>
      </c>
      <c r="W57" s="62">
        <f t="shared" si="50"/>
        <v>7676549.3947317516</v>
      </c>
      <c r="X57" s="62">
        <f t="shared" si="50"/>
        <v>7501097.3013891587</v>
      </c>
      <c r="Y57" s="62">
        <f t="shared" si="50"/>
        <v>7378817.4513770454</v>
      </c>
      <c r="Z57" s="62">
        <f t="shared" si="50"/>
        <v>7294606.1762531642</v>
      </c>
      <c r="AA57" s="62">
        <f t="shared" si="50"/>
        <v>7237100.2552979402</v>
      </c>
      <c r="AB57" s="62">
        <f t="shared" si="50"/>
        <v>7198061.9157605572</v>
      </c>
      <c r="AC57" s="62">
        <f t="shared" si="50"/>
        <v>7171668.1051134812</v>
      </c>
    </row>
    <row r="58" spans="1:29" ht="15.75" thickBot="1" x14ac:dyDescent="0.3">
      <c r="A58" s="59" t="str">
        <f>A21</f>
        <v>Emission Cost</v>
      </c>
      <c r="B58" s="62">
        <f>B41*B47</f>
        <v>298374.02153870644</v>
      </c>
      <c r="C58" s="62">
        <f t="shared" ref="C58:AC58" si="51">C41*C47</f>
        <v>298089.89677086746</v>
      </c>
      <c r="D58" s="62">
        <f t="shared" si="51"/>
        <v>297683.17849407479</v>
      </c>
      <c r="E58" s="62">
        <f t="shared" si="51"/>
        <v>297101.33939741511</v>
      </c>
      <c r="F58" s="62">
        <f t="shared" si="51"/>
        <v>296269.7629391175</v>
      </c>
      <c r="G58" s="62">
        <f t="shared" si="51"/>
        <v>295082.92362200172</v>
      </c>
      <c r="H58" s="62">
        <f t="shared" si="51"/>
        <v>293392.57327087317</v>
      </c>
      <c r="I58" s="62">
        <f t="shared" si="51"/>
        <v>290992.51808701607</v>
      </c>
      <c r="J58" s="62">
        <f t="shared" si="51"/>
        <v>287600.2707152121</v>
      </c>
      <c r="K58" s="62">
        <f t="shared" si="51"/>
        <v>282837.61660641141</v>
      </c>
      <c r="L58" s="62">
        <f t="shared" si="51"/>
        <v>276215.79849820002</v>
      </c>
      <c r="M58" s="62">
        <f t="shared" si="51"/>
        <v>267137.53359455033</v>
      </c>
      <c r="N58" s="62">
        <f t="shared" si="51"/>
        <v>254937.31835158364</v>
      </c>
      <c r="O58" s="62">
        <f t="shared" si="51"/>
        <v>238989.28012077697</v>
      </c>
      <c r="P58" s="62">
        <f t="shared" si="51"/>
        <v>218905.42153740322</v>
      </c>
      <c r="Q58" s="62">
        <f t="shared" si="51"/>
        <v>194805.36774460567</v>
      </c>
      <c r="R58" s="62">
        <f t="shared" si="51"/>
        <v>167553.66185539585</v>
      </c>
      <c r="S58" s="62">
        <f t="shared" si="51"/>
        <v>138784.14775909283</v>
      </c>
      <c r="T58" s="62">
        <f t="shared" si="51"/>
        <v>110580.76388833826</v>
      </c>
      <c r="U58" s="62">
        <f t="shared" si="51"/>
        <v>84906.643024901976</v>
      </c>
      <c r="V58" s="62">
        <f t="shared" si="51"/>
        <v>63087.296356099287</v>
      </c>
      <c r="W58" s="62">
        <f t="shared" si="51"/>
        <v>45613.907297980848</v>
      </c>
      <c r="X58" s="62">
        <f t="shared" si="51"/>
        <v>32280.935922287579</v>
      </c>
      <c r="Y58" s="62">
        <f t="shared" si="51"/>
        <v>22480.132655302932</v>
      </c>
      <c r="Z58" s="62">
        <f t="shared" si="51"/>
        <v>15472.700104340156</v>
      </c>
      <c r="AA58" s="62">
        <f t="shared" si="51"/>
        <v>10561.524741305384</v>
      </c>
      <c r="AB58" s="62">
        <f t="shared" si="51"/>
        <v>7167.6007010193562</v>
      </c>
      <c r="AC58" s="62">
        <f t="shared" si="51"/>
        <v>4844.9693545295777</v>
      </c>
    </row>
    <row r="59" spans="1:29" ht="15.75" thickBot="1" x14ac:dyDescent="0.3">
      <c r="A59" s="31" t="s">
        <v>209</v>
      </c>
      <c r="B59" s="64">
        <f>B50+B51+B52+B53+B54+B55+B56+B57+B58</f>
        <v>21129398.504892524</v>
      </c>
      <c r="C59" s="64">
        <f t="shared" ref="C59:AC59" si="52">C50+C51+C52+C53+C54+C55+C56+C57+C58</f>
        <v>21101638.500767052</v>
      </c>
      <c r="D59" s="64">
        <f t="shared" si="52"/>
        <v>21062015.417982679</v>
      </c>
      <c r="E59" s="64">
        <f t="shared" si="52"/>
        <v>21005574.068372466</v>
      </c>
      <c r="F59" s="64">
        <f t="shared" si="52"/>
        <v>20925416.11706493</v>
      </c>
      <c r="G59" s="64">
        <f t="shared" si="52"/>
        <v>20812076.550310202</v>
      </c>
      <c r="H59" s="64">
        <f t="shared" si="52"/>
        <v>20652851.201966744</v>
      </c>
      <c r="I59" s="64">
        <f t="shared" si="52"/>
        <v>20431252.91390061</v>
      </c>
      <c r="J59" s="64">
        <f t="shared" si="52"/>
        <v>20126981.515829287</v>
      </c>
      <c r="K59" s="64">
        <f t="shared" si="52"/>
        <v>19717090.171491362</v>
      </c>
      <c r="L59" s="64">
        <f t="shared" si="52"/>
        <v>19179290.53159472</v>
      </c>
      <c r="M59" s="64">
        <f t="shared" si="52"/>
        <v>18498166.442178477</v>
      </c>
      <c r="N59" s="64">
        <f t="shared" si="52"/>
        <v>17673805.472895905</v>
      </c>
      <c r="O59" s="64">
        <f t="shared" si="52"/>
        <v>16729751.921907054</v>
      </c>
      <c r="P59" s="64">
        <f t="shared" si="52"/>
        <v>15714800.733094573</v>
      </c>
      <c r="Q59" s="64">
        <f t="shared" si="52"/>
        <v>14694526.38501991</v>
      </c>
      <c r="R59" s="64">
        <f t="shared" si="52"/>
        <v>13734901.094712017</v>
      </c>
      <c r="S59" s="64">
        <f t="shared" si="52"/>
        <v>12886483.960170669</v>
      </c>
      <c r="T59" s="64">
        <f t="shared" si="52"/>
        <v>12176589.085630605</v>
      </c>
      <c r="U59" s="64">
        <f t="shared" si="52"/>
        <v>11610288.68161891</v>
      </c>
      <c r="V59" s="64">
        <f t="shared" si="52"/>
        <v>11176489.260789091</v>
      </c>
      <c r="W59" s="64">
        <f t="shared" si="52"/>
        <v>10855166.69238995</v>
      </c>
      <c r="X59" s="64">
        <f t="shared" si="52"/>
        <v>10623480.244819704</v>
      </c>
      <c r="Y59" s="64">
        <f t="shared" si="52"/>
        <v>10459863.634448536</v>
      </c>
      <c r="Z59" s="64">
        <f t="shared" si="52"/>
        <v>10346097.17367297</v>
      </c>
      <c r="AA59" s="64">
        <f t="shared" si="52"/>
        <v>10267877.432275401</v>
      </c>
      <c r="AB59" s="64">
        <f t="shared" si="52"/>
        <v>10214524.569641452</v>
      </c>
      <c r="AC59" s="64">
        <f t="shared" si="52"/>
        <v>10178334.617519351</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53">A50</f>
        <v>Capex vehicle</v>
      </c>
      <c r="B62" s="65">
        <f>((1+B35)^B42)*B35/(((1+B35)^B42)-1)*(B31)/B47</f>
        <v>19.539498974368939</v>
      </c>
      <c r="C62" s="65">
        <f t="shared" ref="C62:AC62" si="54">((1+C35)^C42)*C35/(((1+C35)^C42)-1)*(C31)/C47</f>
        <v>19.532066244884934</v>
      </c>
      <c r="D62" s="65">
        <f t="shared" si="54"/>
        <v>19.521426458179274</v>
      </c>
      <c r="E62" s="65">
        <f t="shared" si="54"/>
        <v>19.506205495073583</v>
      </c>
      <c r="F62" s="65">
        <f t="shared" si="54"/>
        <v>19.484451380123293</v>
      </c>
      <c r="G62" s="65">
        <f t="shared" si="54"/>
        <v>19.453403556830025</v>
      </c>
      <c r="H62" s="65">
        <f t="shared" si="54"/>
        <v>19.409183839595606</v>
      </c>
      <c r="I62" s="65">
        <f t="shared" si="54"/>
        <v>19.346398180098269</v>
      </c>
      <c r="J62" s="65">
        <f t="shared" si="54"/>
        <v>19.257656683715453</v>
      </c>
      <c r="K62" s="65">
        <f t="shared" si="54"/>
        <v>19.133065223823188</v>
      </c>
      <c r="L62" s="65">
        <f t="shared" si="54"/>
        <v>18.959837866472469</v>
      </c>
      <c r="M62" s="65">
        <f t="shared" si="54"/>
        <v>18.722349639992963</v>
      </c>
      <c r="N62" s="65">
        <f t="shared" si="54"/>
        <v>18.403190911814015</v>
      </c>
      <c r="O62" s="65">
        <f t="shared" si="54"/>
        <v>17.985988797152327</v>
      </c>
      <c r="P62" s="65">
        <f t="shared" si="54"/>
        <v>17.460593250045839</v>
      </c>
      <c r="Q62" s="65">
        <f t="shared" si="54"/>
        <v>16.830133674999598</v>
      </c>
      <c r="R62" s="65">
        <f t="shared" si="54"/>
        <v>16.117226597616597</v>
      </c>
      <c r="S62" s="65">
        <f t="shared" si="54"/>
        <v>15.364613521007501</v>
      </c>
      <c r="T62" s="65">
        <f t="shared" si="54"/>
        <v>14.626810462022794</v>
      </c>
      <c r="U62" s="65">
        <f t="shared" si="54"/>
        <v>13.955173150819558</v>
      </c>
      <c r="V62" s="65">
        <f t="shared" si="54"/>
        <v>13.384377079289164</v>
      </c>
      <c r="W62" s="65">
        <f t="shared" si="54"/>
        <v>12.927271649777994</v>
      </c>
      <c r="X62" s="65">
        <f t="shared" si="54"/>
        <v>12.578479919274246</v>
      </c>
      <c r="Y62" s="65">
        <f t="shared" si="54"/>
        <v>12.322090024216767</v>
      </c>
      <c r="Z62" s="65">
        <f t="shared" si="54"/>
        <v>12.138774958357224</v>
      </c>
      <c r="AA62" s="65">
        <f t="shared" si="54"/>
        <v>12.010298169094545</v>
      </c>
      <c r="AB62" s="65">
        <f t="shared" si="54"/>
        <v>11.921512810913416</v>
      </c>
      <c r="AC62" s="65">
        <f t="shared" si="54"/>
        <v>11.860752565965971</v>
      </c>
    </row>
    <row r="63" spans="1:29" x14ac:dyDescent="0.25">
      <c r="A63" s="30" t="str">
        <f t="shared" si="53"/>
        <v>Residual value (vehicle)</v>
      </c>
      <c r="B63" s="66">
        <f>((1+B35)^B42)*B35/(((1+B35)^B42)-1)*(B32)/B47</f>
        <v>-0.97826349212091301</v>
      </c>
      <c r="C63" s="66">
        <f t="shared" ref="C63:AC63" si="55">((1+C35)^C42)*C35/(((1+C35)^C42)-1)*(C32)/C47</f>
        <v>-0.97844931035801319</v>
      </c>
      <c r="D63" s="66">
        <f t="shared" si="55"/>
        <v>-0.97871530502565462</v>
      </c>
      <c r="E63" s="66">
        <f t="shared" si="55"/>
        <v>-0.97909582910329696</v>
      </c>
      <c r="F63" s="66">
        <f t="shared" si="55"/>
        <v>-0.9796396819770542</v>
      </c>
      <c r="G63" s="66">
        <f t="shared" si="55"/>
        <v>-0.98041587755938586</v>
      </c>
      <c r="H63" s="66">
        <f t="shared" si="55"/>
        <v>-0.98152137049024646</v>
      </c>
      <c r="I63" s="66">
        <f t="shared" si="55"/>
        <v>-0.98309101197767967</v>
      </c>
      <c r="J63" s="66">
        <f t="shared" si="55"/>
        <v>-0.98530954938725024</v>
      </c>
      <c r="K63" s="66">
        <f t="shared" si="55"/>
        <v>-0.9884243358845568</v>
      </c>
      <c r="L63" s="66">
        <f t="shared" si="55"/>
        <v>-0.99275501981832481</v>
      </c>
      <c r="M63" s="66">
        <f t="shared" si="55"/>
        <v>-0.99869222548031233</v>
      </c>
      <c r="N63" s="66">
        <f t="shared" si="55"/>
        <v>-1.0066711936847861</v>
      </c>
      <c r="O63" s="66">
        <f t="shared" si="55"/>
        <v>-1.0171012465513283</v>
      </c>
      <c r="P63" s="66">
        <f t="shared" si="55"/>
        <v>-1.0302361352289906</v>
      </c>
      <c r="Q63" s="66">
        <f t="shared" si="55"/>
        <v>-1.0459976246051466</v>
      </c>
      <c r="R63" s="66">
        <f t="shared" si="55"/>
        <v>-1.0638203015397216</v>
      </c>
      <c r="S63" s="66">
        <f t="shared" si="55"/>
        <v>-1.082635628454949</v>
      </c>
      <c r="T63" s="66">
        <f t="shared" si="55"/>
        <v>-1.1010807049295666</v>
      </c>
      <c r="U63" s="66">
        <f t="shared" si="55"/>
        <v>-1.1178716377096476</v>
      </c>
      <c r="V63" s="66">
        <f t="shared" si="55"/>
        <v>-1.1321415394979075</v>
      </c>
      <c r="W63" s="66">
        <f t="shared" si="55"/>
        <v>-1.1435691752356867</v>
      </c>
      <c r="X63" s="66">
        <f t="shared" si="55"/>
        <v>-1.1522889684982804</v>
      </c>
      <c r="Y63" s="66">
        <f t="shared" si="55"/>
        <v>-1.1586987158747175</v>
      </c>
      <c r="Z63" s="66">
        <f t="shared" si="55"/>
        <v>-1.1632815925212061</v>
      </c>
      <c r="AA63" s="66">
        <f t="shared" si="55"/>
        <v>-1.1664935122527731</v>
      </c>
      <c r="AB63" s="66">
        <f t="shared" si="55"/>
        <v>-1.1687131462073013</v>
      </c>
      <c r="AC63" s="66">
        <f t="shared" si="55"/>
        <v>-1.1702321523309871</v>
      </c>
    </row>
    <row r="64" spans="1:29" x14ac:dyDescent="0.25">
      <c r="A64" s="30" t="str">
        <f t="shared" si="53"/>
        <v>Capex costumization</v>
      </c>
      <c r="B64" s="66">
        <f>((1+B35)^B43)*B35/(((1+B35)^B43)-1)*(B33)/B47</f>
        <v>0.65188931843561626</v>
      </c>
      <c r="C64" s="66">
        <f t="shared" ref="C64:AC64" si="56">((1+C35)^C43)*C35/(((1+C35)^C43)-1)*(C33)/C47</f>
        <v>0.65188931843561626</v>
      </c>
      <c r="D64" s="66">
        <f t="shared" si="56"/>
        <v>0.65188931843561626</v>
      </c>
      <c r="E64" s="66">
        <f t="shared" si="56"/>
        <v>0.65188931843561626</v>
      </c>
      <c r="F64" s="66">
        <f t="shared" si="56"/>
        <v>0.65188931843561626</v>
      </c>
      <c r="G64" s="66">
        <f t="shared" si="56"/>
        <v>0.65188931843561626</v>
      </c>
      <c r="H64" s="66">
        <f t="shared" si="56"/>
        <v>0.65188931843561626</v>
      </c>
      <c r="I64" s="66">
        <f t="shared" si="56"/>
        <v>0.65188931843561626</v>
      </c>
      <c r="J64" s="66">
        <f t="shared" si="56"/>
        <v>0.65188931843561626</v>
      </c>
      <c r="K64" s="66">
        <f t="shared" si="56"/>
        <v>0.65188931843561626</v>
      </c>
      <c r="L64" s="66">
        <f t="shared" si="56"/>
        <v>0.65188931843561626</v>
      </c>
      <c r="M64" s="66">
        <f t="shared" si="56"/>
        <v>0.65188931843561626</v>
      </c>
      <c r="N64" s="66">
        <f t="shared" si="56"/>
        <v>0.65188931843561626</v>
      </c>
      <c r="O64" s="66">
        <f t="shared" si="56"/>
        <v>0.65188931843561626</v>
      </c>
      <c r="P64" s="66">
        <f t="shared" si="56"/>
        <v>0.65188931843561626</v>
      </c>
      <c r="Q64" s="66">
        <f t="shared" si="56"/>
        <v>0.65188931843561626</v>
      </c>
      <c r="R64" s="66">
        <f t="shared" si="56"/>
        <v>0.65188931843561626</v>
      </c>
      <c r="S64" s="66">
        <f t="shared" si="56"/>
        <v>0.65188931843561626</v>
      </c>
      <c r="T64" s="66">
        <f t="shared" si="56"/>
        <v>0.65188931843561626</v>
      </c>
      <c r="U64" s="66">
        <f t="shared" si="56"/>
        <v>0.65188931843561626</v>
      </c>
      <c r="V64" s="66">
        <f t="shared" si="56"/>
        <v>0.65188931843561626</v>
      </c>
      <c r="W64" s="66">
        <f t="shared" si="56"/>
        <v>0.65188931843561626</v>
      </c>
      <c r="X64" s="66">
        <f t="shared" si="56"/>
        <v>0.65188931843561626</v>
      </c>
      <c r="Y64" s="66">
        <f t="shared" si="56"/>
        <v>0.65188931843561626</v>
      </c>
      <c r="Z64" s="66">
        <f t="shared" si="56"/>
        <v>0.65188931843561626</v>
      </c>
      <c r="AA64" s="66">
        <f t="shared" si="56"/>
        <v>0.65188931843561626</v>
      </c>
      <c r="AB64" s="66">
        <f t="shared" si="56"/>
        <v>0.65188931843561626</v>
      </c>
      <c r="AC64" s="66">
        <f t="shared" si="56"/>
        <v>0.65188931843561626</v>
      </c>
    </row>
    <row r="65" spans="1:29" x14ac:dyDescent="0.25">
      <c r="A65" s="30" t="str">
        <f t="shared" si="53"/>
        <v>Residual value (costumization)</v>
      </c>
      <c r="B65" s="66">
        <f>((1+B35)^B43)*B35/(((1+B35)^B43)-1)*(B34)/B47</f>
        <v>-6.5188931843561615E-2</v>
      </c>
      <c r="C65" s="66">
        <f t="shared" ref="C65:AC65" si="57">((1+C35)^C43)*C35/(((1+C35)^C43)-1)*(C34)/C47</f>
        <v>-6.5188931843561615E-2</v>
      </c>
      <c r="D65" s="66">
        <f t="shared" si="57"/>
        <v>-6.5188931843561615E-2</v>
      </c>
      <c r="E65" s="66">
        <f t="shared" si="57"/>
        <v>-6.5188931843561615E-2</v>
      </c>
      <c r="F65" s="66">
        <f t="shared" si="57"/>
        <v>-6.5188931843561615E-2</v>
      </c>
      <c r="G65" s="66">
        <f t="shared" si="57"/>
        <v>-6.5188931843561615E-2</v>
      </c>
      <c r="H65" s="66">
        <f t="shared" si="57"/>
        <v>-6.5188931843561615E-2</v>
      </c>
      <c r="I65" s="66">
        <f t="shared" si="57"/>
        <v>-6.5188931843561615E-2</v>
      </c>
      <c r="J65" s="66">
        <f t="shared" si="57"/>
        <v>-6.5188931843561615E-2</v>
      </c>
      <c r="K65" s="66">
        <f t="shared" si="57"/>
        <v>-6.5188931843561615E-2</v>
      </c>
      <c r="L65" s="66">
        <f t="shared" si="57"/>
        <v>-6.5188931843561615E-2</v>
      </c>
      <c r="M65" s="66">
        <f t="shared" si="57"/>
        <v>-6.5188931843561615E-2</v>
      </c>
      <c r="N65" s="66">
        <f t="shared" si="57"/>
        <v>-6.5188931843561615E-2</v>
      </c>
      <c r="O65" s="66">
        <f t="shared" si="57"/>
        <v>-6.5188931843561615E-2</v>
      </c>
      <c r="P65" s="66">
        <f t="shared" si="57"/>
        <v>-6.5188931843561615E-2</v>
      </c>
      <c r="Q65" s="66">
        <f t="shared" si="57"/>
        <v>-6.5188931843561615E-2</v>
      </c>
      <c r="R65" s="66">
        <f t="shared" si="57"/>
        <v>-6.5188931843561615E-2</v>
      </c>
      <c r="S65" s="66">
        <f t="shared" si="57"/>
        <v>-6.5188931843561615E-2</v>
      </c>
      <c r="T65" s="66">
        <f t="shared" si="57"/>
        <v>-6.5188931843561615E-2</v>
      </c>
      <c r="U65" s="66">
        <f t="shared" si="57"/>
        <v>-6.5188931843561615E-2</v>
      </c>
      <c r="V65" s="66">
        <f t="shared" si="57"/>
        <v>-6.5188931843561615E-2</v>
      </c>
      <c r="W65" s="66">
        <f t="shared" si="57"/>
        <v>-6.5188931843561615E-2</v>
      </c>
      <c r="X65" s="66">
        <f t="shared" si="57"/>
        <v>-6.5188931843561615E-2</v>
      </c>
      <c r="Y65" s="66">
        <f t="shared" si="57"/>
        <v>-6.5188931843561615E-2</v>
      </c>
      <c r="Z65" s="66">
        <f t="shared" si="57"/>
        <v>-6.5188931843561615E-2</v>
      </c>
      <c r="AA65" s="66">
        <f t="shared" si="57"/>
        <v>-6.5188931843561615E-2</v>
      </c>
      <c r="AB65" s="66">
        <f t="shared" si="57"/>
        <v>-6.5188931843561615E-2</v>
      </c>
      <c r="AC65" s="66">
        <f t="shared" si="57"/>
        <v>-6.5188931843561615E-2</v>
      </c>
    </row>
    <row r="66" spans="1:29" x14ac:dyDescent="0.25">
      <c r="A66" s="30" t="str">
        <f t="shared" si="53"/>
        <v>Opex fix (admin, crew, insurance)</v>
      </c>
      <c r="B66" s="66">
        <f>B36/B47</f>
        <v>10.068627450980392</v>
      </c>
      <c r="C66" s="66">
        <f t="shared" ref="C66:AC66" si="58">C36/C47</f>
        <v>10.068627450980392</v>
      </c>
      <c r="D66" s="66">
        <f t="shared" si="58"/>
        <v>10.068627450980392</v>
      </c>
      <c r="E66" s="66">
        <f t="shared" si="58"/>
        <v>10.068627450980392</v>
      </c>
      <c r="F66" s="66">
        <f t="shared" si="58"/>
        <v>10.068627450980392</v>
      </c>
      <c r="G66" s="66">
        <f t="shared" si="58"/>
        <v>10.068627450980392</v>
      </c>
      <c r="H66" s="66">
        <f t="shared" si="58"/>
        <v>10.068627450980392</v>
      </c>
      <c r="I66" s="66">
        <f t="shared" si="58"/>
        <v>10.068627450980392</v>
      </c>
      <c r="J66" s="66">
        <f t="shared" si="58"/>
        <v>10.068627450980392</v>
      </c>
      <c r="K66" s="66">
        <f t="shared" si="58"/>
        <v>10.068627450980392</v>
      </c>
      <c r="L66" s="66">
        <f t="shared" si="58"/>
        <v>10.068627450980392</v>
      </c>
      <c r="M66" s="66">
        <f t="shared" si="58"/>
        <v>10.068627450980392</v>
      </c>
      <c r="N66" s="66">
        <f t="shared" si="58"/>
        <v>10.068627450980392</v>
      </c>
      <c r="O66" s="66">
        <f t="shared" si="58"/>
        <v>10.068627450980392</v>
      </c>
      <c r="P66" s="66">
        <f t="shared" si="58"/>
        <v>10.068627450980392</v>
      </c>
      <c r="Q66" s="66">
        <f t="shared" si="58"/>
        <v>10.068627450980392</v>
      </c>
      <c r="R66" s="66">
        <f t="shared" si="58"/>
        <v>10.068627450980392</v>
      </c>
      <c r="S66" s="66">
        <f t="shared" si="58"/>
        <v>10.068627450980392</v>
      </c>
      <c r="T66" s="66">
        <f t="shared" si="58"/>
        <v>10.068627450980392</v>
      </c>
      <c r="U66" s="66">
        <f t="shared" si="58"/>
        <v>10.068627450980392</v>
      </c>
      <c r="V66" s="66">
        <f t="shared" si="58"/>
        <v>10.068627450980392</v>
      </c>
      <c r="W66" s="66">
        <f t="shared" si="58"/>
        <v>10.068627450980392</v>
      </c>
      <c r="X66" s="66">
        <f t="shared" si="58"/>
        <v>10.068627450980392</v>
      </c>
      <c r="Y66" s="66">
        <f t="shared" si="58"/>
        <v>10.068627450980392</v>
      </c>
      <c r="Z66" s="66">
        <f t="shared" si="58"/>
        <v>10.068627450980392</v>
      </c>
      <c r="AA66" s="66">
        <f t="shared" si="58"/>
        <v>10.068627450980392</v>
      </c>
      <c r="AB66" s="66">
        <f t="shared" si="58"/>
        <v>10.068627450980392</v>
      </c>
      <c r="AC66" s="66">
        <f t="shared" si="58"/>
        <v>10.068627450980392</v>
      </c>
    </row>
    <row r="67" spans="1:29" x14ac:dyDescent="0.25">
      <c r="A67" s="30" t="str">
        <f t="shared" si="53"/>
        <v>Opex maintenance &amp; repair</v>
      </c>
      <c r="B67" s="66">
        <f>B37/B47</f>
        <v>2.8235294117647056</v>
      </c>
      <c r="C67" s="66">
        <f t="shared" ref="C67:AC67" si="59">C37/C47</f>
        <v>2.8235294117647056</v>
      </c>
      <c r="D67" s="66">
        <f t="shared" si="59"/>
        <v>2.8235294117647056</v>
      </c>
      <c r="E67" s="66">
        <f t="shared" si="59"/>
        <v>2.8235294117647056</v>
      </c>
      <c r="F67" s="66">
        <f t="shared" si="59"/>
        <v>2.8235294117647056</v>
      </c>
      <c r="G67" s="66">
        <f t="shared" si="59"/>
        <v>2.8235294117647056</v>
      </c>
      <c r="H67" s="66">
        <f t="shared" si="59"/>
        <v>2.8235294117647056</v>
      </c>
      <c r="I67" s="66">
        <f t="shared" si="59"/>
        <v>2.8235294117647056</v>
      </c>
      <c r="J67" s="66">
        <f t="shared" si="59"/>
        <v>2.8235294117647056</v>
      </c>
      <c r="K67" s="66">
        <f t="shared" si="59"/>
        <v>2.8235294117647056</v>
      </c>
      <c r="L67" s="66">
        <f t="shared" si="59"/>
        <v>2.8235294117647056</v>
      </c>
      <c r="M67" s="66">
        <f t="shared" si="59"/>
        <v>2.8235294117647056</v>
      </c>
      <c r="N67" s="66">
        <f t="shared" si="59"/>
        <v>2.8235294117647056</v>
      </c>
      <c r="O67" s="66">
        <f t="shared" si="59"/>
        <v>2.8235294117647056</v>
      </c>
      <c r="P67" s="66">
        <f t="shared" si="59"/>
        <v>2.8235294117647056</v>
      </c>
      <c r="Q67" s="66">
        <f t="shared" si="59"/>
        <v>2.8235294117647056</v>
      </c>
      <c r="R67" s="66">
        <f t="shared" si="59"/>
        <v>2.8235294117647056</v>
      </c>
      <c r="S67" s="66">
        <f t="shared" si="59"/>
        <v>2.8235294117647056</v>
      </c>
      <c r="T67" s="66">
        <f t="shared" si="59"/>
        <v>2.8235294117647056</v>
      </c>
      <c r="U67" s="66">
        <f t="shared" si="59"/>
        <v>2.8235294117647056</v>
      </c>
      <c r="V67" s="66">
        <f t="shared" si="59"/>
        <v>2.8235294117647056</v>
      </c>
      <c r="W67" s="66">
        <f t="shared" si="59"/>
        <v>2.8235294117647056</v>
      </c>
      <c r="X67" s="66">
        <f t="shared" si="59"/>
        <v>2.8235294117647056</v>
      </c>
      <c r="Y67" s="66">
        <f t="shared" si="59"/>
        <v>2.8235294117647056</v>
      </c>
      <c r="Z67" s="66">
        <f t="shared" si="59"/>
        <v>2.8235294117647056</v>
      </c>
      <c r="AA67" s="66">
        <f t="shared" si="59"/>
        <v>2.8235294117647056</v>
      </c>
      <c r="AB67" s="66">
        <f t="shared" si="59"/>
        <v>2.8235294117647056</v>
      </c>
      <c r="AC67" s="66">
        <f t="shared" si="59"/>
        <v>2.8235294117647056</v>
      </c>
    </row>
    <row r="68" spans="1:29" x14ac:dyDescent="0.25">
      <c r="A68" s="30" t="str">
        <f t="shared" si="53"/>
        <v>Opex var (mode-fees)</v>
      </c>
      <c r="B68" s="66">
        <f>B38*B47/B47</f>
        <v>0.8458018624557011</v>
      </c>
      <c r="C68" s="66">
        <f t="shared" ref="C68:AC68" si="60">C38*C47/C47</f>
        <v>0.8458018624557011</v>
      </c>
      <c r="D68" s="66">
        <f t="shared" si="60"/>
        <v>0.8458018624557011</v>
      </c>
      <c r="E68" s="66">
        <f t="shared" si="60"/>
        <v>0.8458018624557011</v>
      </c>
      <c r="F68" s="66">
        <f t="shared" si="60"/>
        <v>0.8458018624557011</v>
      </c>
      <c r="G68" s="66">
        <f t="shared" si="60"/>
        <v>0.8458018624557011</v>
      </c>
      <c r="H68" s="66">
        <f t="shared" si="60"/>
        <v>0.8458018624557011</v>
      </c>
      <c r="I68" s="66">
        <f t="shared" si="60"/>
        <v>0.8458018624557011</v>
      </c>
      <c r="J68" s="66">
        <f t="shared" si="60"/>
        <v>0.8458018624557011</v>
      </c>
      <c r="K68" s="66">
        <f t="shared" si="60"/>
        <v>0.8458018624557011</v>
      </c>
      <c r="L68" s="66">
        <f t="shared" si="60"/>
        <v>0.8458018624557011</v>
      </c>
      <c r="M68" s="66">
        <f t="shared" si="60"/>
        <v>0.8458018624557011</v>
      </c>
      <c r="N68" s="66">
        <f t="shared" si="60"/>
        <v>0.8458018624557011</v>
      </c>
      <c r="O68" s="66">
        <f t="shared" si="60"/>
        <v>0.8458018624557011</v>
      </c>
      <c r="P68" s="66">
        <f t="shared" si="60"/>
        <v>0.8458018624557011</v>
      </c>
      <c r="Q68" s="66">
        <f t="shared" si="60"/>
        <v>0.8458018624557011</v>
      </c>
      <c r="R68" s="66">
        <f t="shared" si="60"/>
        <v>0.8458018624557011</v>
      </c>
      <c r="S68" s="66">
        <f t="shared" si="60"/>
        <v>0.8458018624557011</v>
      </c>
      <c r="T68" s="66">
        <f t="shared" si="60"/>
        <v>0.8458018624557011</v>
      </c>
      <c r="U68" s="66">
        <f t="shared" si="60"/>
        <v>0.8458018624557011</v>
      </c>
      <c r="V68" s="66">
        <f t="shared" si="60"/>
        <v>0.8458018624557011</v>
      </c>
      <c r="W68" s="66">
        <f t="shared" si="60"/>
        <v>0.8458018624557011</v>
      </c>
      <c r="X68" s="66">
        <f t="shared" si="60"/>
        <v>0.8458018624557011</v>
      </c>
      <c r="Y68" s="66">
        <f t="shared" si="60"/>
        <v>0.8458018624557011</v>
      </c>
      <c r="Z68" s="66">
        <f t="shared" si="60"/>
        <v>0.8458018624557011</v>
      </c>
      <c r="AA68" s="66">
        <f t="shared" si="60"/>
        <v>0.8458018624557011</v>
      </c>
      <c r="AB68" s="66">
        <f t="shared" si="60"/>
        <v>0.8458018624557011</v>
      </c>
      <c r="AC68" s="66">
        <f t="shared" si="60"/>
        <v>0.8458018624557011</v>
      </c>
    </row>
    <row r="69" spans="1:29" x14ac:dyDescent="0.25">
      <c r="A69" s="30" t="str">
        <f t="shared" si="53"/>
        <v>Fuel Cost</v>
      </c>
      <c r="B69" s="66">
        <f>B39*B40*B47/B47</f>
        <v>140.70597610057428</v>
      </c>
      <c r="C69" s="66">
        <f t="shared" ref="C69:AC69" si="61">C39*C40*C47/C47</f>
        <v>140.48462898698176</v>
      </c>
      <c r="D69" s="66">
        <f t="shared" si="61"/>
        <v>140.1687317307919</v>
      </c>
      <c r="E69" s="66">
        <f t="shared" si="61"/>
        <v>139.71883729702895</v>
      </c>
      <c r="F69" s="66">
        <f t="shared" si="61"/>
        <v>139.08008214110936</v>
      </c>
      <c r="G69" s="66">
        <f t="shared" si="61"/>
        <v>138.17730009800485</v>
      </c>
      <c r="H69" s="66">
        <f t="shared" si="61"/>
        <v>136.90983365823405</v>
      </c>
      <c r="I69" s="66">
        <f t="shared" si="61"/>
        <v>135.14753701853317</v>
      </c>
      <c r="J69" s="66">
        <f t="shared" si="61"/>
        <v>132.73117079649626</v>
      </c>
      <c r="K69" s="66">
        <f t="shared" si="61"/>
        <v>129.48280462430978</v>
      </c>
      <c r="L69" s="66">
        <f t="shared" si="61"/>
        <v>125.23388081735735</v>
      </c>
      <c r="M69" s="66">
        <f t="shared" si="61"/>
        <v>119.87692437856056</v>
      </c>
      <c r="N69" s="66">
        <f t="shared" si="61"/>
        <v>113.43605579128059</v>
      </c>
      <c r="O69" s="66">
        <f t="shared" si="61"/>
        <v>106.12947535249178</v>
      </c>
      <c r="P69" s="66">
        <f t="shared" si="61"/>
        <v>98.377444703033376</v>
      </c>
      <c r="Q69" s="66">
        <f t="shared" si="61"/>
        <v>90.722213315106885</v>
      </c>
      <c r="R69" s="66">
        <f t="shared" si="61"/>
        <v>83.683163199268776</v>
      </c>
      <c r="S69" s="66">
        <f t="shared" si="61"/>
        <v>77.624194765751071</v>
      </c>
      <c r="T69" s="66">
        <f t="shared" si="61"/>
        <v>72.69968047896613</v>
      </c>
      <c r="U69" s="66">
        <f t="shared" si="61"/>
        <v>68.882889696713974</v>
      </c>
      <c r="V69" s="66">
        <f t="shared" si="61"/>
        <v>66.034788385357501</v>
      </c>
      <c r="W69" s="66">
        <f t="shared" si="61"/>
        <v>63.971244956097934</v>
      </c>
      <c r="X69" s="66">
        <f t="shared" si="61"/>
        <v>62.509144178242991</v>
      </c>
      <c r="Y69" s="66">
        <f t="shared" si="61"/>
        <v>61.490145428142043</v>
      </c>
      <c r="Z69" s="66">
        <f t="shared" si="61"/>
        <v>60.788384802109704</v>
      </c>
      <c r="AA69" s="66">
        <f t="shared" si="61"/>
        <v>60.3091687941495</v>
      </c>
      <c r="AB69" s="66">
        <f t="shared" si="61"/>
        <v>59.983849298004642</v>
      </c>
      <c r="AC69" s="66">
        <f t="shared" si="61"/>
        <v>59.763900875945673</v>
      </c>
    </row>
    <row r="70" spans="1:29" ht="15.75" thickBot="1" x14ac:dyDescent="0.3">
      <c r="A70" s="59" t="str">
        <f t="shared" ref="A70" si="62">A58</f>
        <v>Emission Cost</v>
      </c>
      <c r="B70" s="66">
        <f>B41</f>
        <v>2.4864501794892204</v>
      </c>
      <c r="C70" s="66">
        <f t="shared" ref="C70:AC70" si="63">C41</f>
        <v>2.4840824730905622</v>
      </c>
      <c r="D70" s="66">
        <f t="shared" si="63"/>
        <v>2.4806931541172901</v>
      </c>
      <c r="E70" s="66">
        <f t="shared" si="63"/>
        <v>2.4758444949784595</v>
      </c>
      <c r="F70" s="66">
        <f t="shared" si="63"/>
        <v>2.4689146911593123</v>
      </c>
      <c r="G70" s="66">
        <f t="shared" si="63"/>
        <v>2.4590243635166811</v>
      </c>
      <c r="H70" s="66">
        <f t="shared" si="63"/>
        <v>2.4449381105906096</v>
      </c>
      <c r="I70" s="66">
        <f t="shared" si="63"/>
        <v>2.4249376507251341</v>
      </c>
      <c r="J70" s="66">
        <f t="shared" si="63"/>
        <v>2.3966689226267675</v>
      </c>
      <c r="K70" s="66">
        <f t="shared" si="63"/>
        <v>2.3569801383867617</v>
      </c>
      <c r="L70" s="66">
        <f t="shared" si="63"/>
        <v>2.3017983208183335</v>
      </c>
      <c r="M70" s="66">
        <f t="shared" si="63"/>
        <v>2.2261461132879194</v>
      </c>
      <c r="N70" s="66">
        <f t="shared" si="63"/>
        <v>2.1244776529298637</v>
      </c>
      <c r="O70" s="66">
        <f t="shared" si="63"/>
        <v>1.991577334339808</v>
      </c>
      <c r="P70" s="66">
        <f t="shared" si="63"/>
        <v>1.824211846145027</v>
      </c>
      <c r="Q70" s="66">
        <f t="shared" si="63"/>
        <v>1.6233780645383806</v>
      </c>
      <c r="R70" s="66">
        <f t="shared" si="63"/>
        <v>1.396280515461632</v>
      </c>
      <c r="S70" s="66">
        <f t="shared" si="63"/>
        <v>1.156534564659107</v>
      </c>
      <c r="T70" s="66">
        <f t="shared" si="63"/>
        <v>0.92150636573615219</v>
      </c>
      <c r="U70" s="66">
        <f t="shared" si="63"/>
        <v>0.70755535854084983</v>
      </c>
      <c r="V70" s="66">
        <f t="shared" si="63"/>
        <v>0.52572746963416073</v>
      </c>
      <c r="W70" s="66">
        <f t="shared" si="63"/>
        <v>0.38011589414984037</v>
      </c>
      <c r="X70" s="66">
        <f t="shared" si="63"/>
        <v>0.26900779935239649</v>
      </c>
      <c r="Y70" s="66">
        <f t="shared" si="63"/>
        <v>0.18733443879419109</v>
      </c>
      <c r="Z70" s="66">
        <f t="shared" si="63"/>
        <v>0.12893916753616796</v>
      </c>
      <c r="AA70" s="66">
        <f t="shared" si="63"/>
        <v>8.8012706177544864E-2</v>
      </c>
      <c r="AB70" s="66">
        <f t="shared" si="63"/>
        <v>5.9730005841827971E-2</v>
      </c>
      <c r="AC70" s="66">
        <f t="shared" si="63"/>
        <v>4.0374744621079817E-2</v>
      </c>
    </row>
    <row r="71" spans="1:29" ht="15.75" thickBot="1" x14ac:dyDescent="0.3">
      <c r="A71" s="31" t="s">
        <v>63</v>
      </c>
      <c r="B71" s="76">
        <f>B62+B63+B64-B65+B66+B67+B68+B69+B70</f>
        <v>176.20869873779151</v>
      </c>
      <c r="C71" s="76">
        <f t="shared" ref="C71:AC71" si="64">C62+C63+C64-C65+C66+C67+C68+C69+C70</f>
        <v>175.97736537007921</v>
      </c>
      <c r="D71" s="76">
        <f t="shared" si="64"/>
        <v>175.64717301354278</v>
      </c>
      <c r="E71" s="76">
        <f t="shared" si="64"/>
        <v>175.17682843345767</v>
      </c>
      <c r="F71" s="76">
        <f t="shared" si="64"/>
        <v>174.50884550589487</v>
      </c>
      <c r="G71" s="76">
        <f t="shared" si="64"/>
        <v>173.56434911627213</v>
      </c>
      <c r="H71" s="76">
        <f t="shared" si="64"/>
        <v>172.23747121341</v>
      </c>
      <c r="I71" s="76">
        <f t="shared" si="64"/>
        <v>170.39081881285887</v>
      </c>
      <c r="J71" s="76">
        <f t="shared" si="64"/>
        <v>167.8552238289312</v>
      </c>
      <c r="K71" s="76">
        <f t="shared" si="64"/>
        <v>164.43946262611516</v>
      </c>
      <c r="L71" s="76">
        <f t="shared" si="64"/>
        <v>159.95779896030979</v>
      </c>
      <c r="M71" s="76">
        <f t="shared" si="64"/>
        <v>154.2817648818411</v>
      </c>
      <c r="N71" s="76">
        <f t="shared" si="64"/>
        <v>147.41209013781966</v>
      </c>
      <c r="O71" s="76">
        <f t="shared" si="64"/>
        <v>139.54497721291256</v>
      </c>
      <c r="P71" s="76">
        <f t="shared" si="64"/>
        <v>131.08705063947522</v>
      </c>
      <c r="Q71" s="76">
        <f t="shared" si="64"/>
        <v>122.58476440551969</v>
      </c>
      <c r="R71" s="76">
        <f t="shared" si="64"/>
        <v>114.58788698628726</v>
      </c>
      <c r="S71" s="76">
        <f t="shared" si="64"/>
        <v>107.51774419844271</v>
      </c>
      <c r="T71" s="76">
        <f t="shared" si="64"/>
        <v>101.60195357727548</v>
      </c>
      <c r="U71" s="76">
        <f t="shared" si="64"/>
        <v>96.88278354384471</v>
      </c>
      <c r="V71" s="76">
        <f t="shared" si="64"/>
        <v>93.267788370262892</v>
      </c>
      <c r="W71" s="76">
        <f t="shared" si="64"/>
        <v>90.590100300270052</v>
      </c>
      <c r="X71" s="76">
        <f t="shared" si="64"/>
        <v>88.659379903851331</v>
      </c>
      <c r="Y71" s="76">
        <f t="shared" si="64"/>
        <v>87.295908150758265</v>
      </c>
      <c r="Z71" s="76">
        <f t="shared" si="64"/>
        <v>86.347854310961878</v>
      </c>
      <c r="AA71" s="76">
        <f t="shared" si="64"/>
        <v>85.696023132648804</v>
      </c>
      <c r="AB71" s="76">
        <f t="shared" si="64"/>
        <v>85.251415944032559</v>
      </c>
      <c r="AC71" s="76">
        <f t="shared" si="64"/>
        <v>84.949833009681711</v>
      </c>
    </row>
    <row r="72" spans="1:29" ht="15.75" thickBot="1" x14ac:dyDescent="0.3"/>
    <row r="73" spans="1:29" ht="15.75" thickBot="1" x14ac:dyDescent="0.3">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5">A50</f>
        <v>Capex vehicle</v>
      </c>
      <c r="B74" s="65">
        <f>((1+B35)^B42)*B35/(((1+B35)^B42)-1)*(B31)/B47/(B44)</f>
        <v>2.0676718491395704E-3</v>
      </c>
      <c r="C74" s="65">
        <f t="shared" ref="C74:AC74" si="66">((1+C35)^C42)*C35/(((1+C35)^C42)-1)*(C31)/C47/(C44)</f>
        <v>2.0668853169190406E-3</v>
      </c>
      <c r="D74" s="65">
        <f t="shared" si="66"/>
        <v>2.0657594135639443E-3</v>
      </c>
      <c r="E74" s="65">
        <f t="shared" si="66"/>
        <v>2.064148729637416E-3</v>
      </c>
      <c r="F74" s="65">
        <f t="shared" si="66"/>
        <v>2.0618467068913536E-3</v>
      </c>
      <c r="G74" s="65">
        <f t="shared" si="66"/>
        <v>2.0585612229449763E-3</v>
      </c>
      <c r="H74" s="65">
        <f t="shared" si="66"/>
        <v>2.0538818877878949E-3</v>
      </c>
      <c r="I74" s="65">
        <f t="shared" si="66"/>
        <v>2.0472379026559013E-3</v>
      </c>
      <c r="J74" s="65">
        <f t="shared" si="66"/>
        <v>2.0378472681180375E-3</v>
      </c>
      <c r="K74" s="65">
        <f t="shared" si="66"/>
        <v>2.0246629866479565E-3</v>
      </c>
      <c r="L74" s="65">
        <f t="shared" si="66"/>
        <v>2.0063320493621663E-3</v>
      </c>
      <c r="M74" s="65">
        <f t="shared" si="66"/>
        <v>1.9812010201050753E-3</v>
      </c>
      <c r="N74" s="65">
        <f t="shared" si="66"/>
        <v>1.9474276097157688E-3</v>
      </c>
      <c r="O74" s="65">
        <f t="shared" si="66"/>
        <v>1.9032792377938971E-3</v>
      </c>
      <c r="P74" s="65">
        <f t="shared" si="66"/>
        <v>1.8476818254016762E-3</v>
      </c>
      <c r="Q74" s="65">
        <f t="shared" si="66"/>
        <v>1.7809665264549839E-3</v>
      </c>
      <c r="R74" s="65">
        <f t="shared" si="66"/>
        <v>1.7055266240864123E-3</v>
      </c>
      <c r="S74" s="65">
        <f t="shared" si="66"/>
        <v>1.6258850286780425E-3</v>
      </c>
      <c r="T74" s="65">
        <f t="shared" si="66"/>
        <v>1.547810630901883E-3</v>
      </c>
      <c r="U74" s="65">
        <f t="shared" si="66"/>
        <v>1.4767378995576251E-3</v>
      </c>
      <c r="V74" s="65">
        <f t="shared" si="66"/>
        <v>1.4163361988665782E-3</v>
      </c>
      <c r="W74" s="65">
        <f t="shared" si="66"/>
        <v>1.3679652539447613E-3</v>
      </c>
      <c r="X74" s="65">
        <f t="shared" si="66"/>
        <v>1.3310560761136767E-3</v>
      </c>
      <c r="Y74" s="65">
        <f t="shared" si="66"/>
        <v>1.3039248702874885E-3</v>
      </c>
      <c r="Z74" s="65">
        <f t="shared" si="66"/>
        <v>1.2845264506198121E-3</v>
      </c>
      <c r="AA74" s="65">
        <f t="shared" si="66"/>
        <v>1.270931023184608E-3</v>
      </c>
      <c r="AB74" s="65">
        <f t="shared" si="66"/>
        <v>1.2615357471866049E-3</v>
      </c>
      <c r="AC74" s="65">
        <f t="shared" si="66"/>
        <v>1.2551060916366106E-3</v>
      </c>
    </row>
    <row r="75" spans="1:29" x14ac:dyDescent="0.25">
      <c r="A75" s="30" t="str">
        <f t="shared" si="65"/>
        <v>Residual value (vehicle)</v>
      </c>
      <c r="B75" s="68">
        <f>((1+B35)^B42)*B35/(((1+B35)^B42)-1)*(B32)/B47/(B44)</f>
        <v>-1.0351994625618128E-4</v>
      </c>
      <c r="C75" s="68">
        <f t="shared" ref="C75:AC75" si="67">((1+C35)^C42)*C35/(((1+C35)^C42)-1)*(C32)/C47/(C44)</f>
        <v>-1.0353960956169452E-4</v>
      </c>
      <c r="D75" s="68">
        <f t="shared" si="67"/>
        <v>-1.0356775714557191E-4</v>
      </c>
      <c r="E75" s="68">
        <f t="shared" si="67"/>
        <v>-1.0360802424373513E-4</v>
      </c>
      <c r="F75" s="68">
        <f t="shared" si="67"/>
        <v>-1.0366557481238669E-4</v>
      </c>
      <c r="G75" s="68">
        <f t="shared" si="67"/>
        <v>-1.0374771191104613E-4</v>
      </c>
      <c r="H75" s="68">
        <f t="shared" si="67"/>
        <v>-1.0386469528997317E-4</v>
      </c>
      <c r="I75" s="68">
        <f t="shared" si="67"/>
        <v>-1.0403079491827298E-4</v>
      </c>
      <c r="J75" s="68">
        <f t="shared" si="67"/>
        <v>-1.042655607817196E-4</v>
      </c>
      <c r="K75" s="68">
        <f t="shared" si="67"/>
        <v>-1.0459516781847161E-4</v>
      </c>
      <c r="L75" s="68">
        <f t="shared" si="67"/>
        <v>-1.0505344125061638E-4</v>
      </c>
      <c r="M75" s="68">
        <f t="shared" si="67"/>
        <v>-1.0568171698204363E-4</v>
      </c>
      <c r="N75" s="68">
        <f t="shared" si="67"/>
        <v>-1.0652605224177631E-4</v>
      </c>
      <c r="O75" s="68">
        <f t="shared" si="67"/>
        <v>-1.076297615398231E-4</v>
      </c>
      <c r="P75" s="68">
        <f t="shared" si="67"/>
        <v>-1.0901969684962864E-4</v>
      </c>
      <c r="Q75" s="68">
        <f t="shared" si="67"/>
        <v>-1.1068757932329594E-4</v>
      </c>
      <c r="R75" s="68">
        <f t="shared" si="67"/>
        <v>-1.1257357688251022E-4</v>
      </c>
      <c r="S75" s="68">
        <f t="shared" si="67"/>
        <v>-1.1456461676771947E-4</v>
      </c>
      <c r="T75" s="68">
        <f t="shared" si="67"/>
        <v>-1.1651647671212345E-4</v>
      </c>
      <c r="U75" s="68">
        <f t="shared" si="67"/>
        <v>-1.182932949957299E-4</v>
      </c>
      <c r="V75" s="68">
        <f t="shared" si="67"/>
        <v>-1.1980333751300609E-4</v>
      </c>
      <c r="W75" s="68">
        <f t="shared" si="67"/>
        <v>-1.210126111360515E-4</v>
      </c>
      <c r="X75" s="68">
        <f t="shared" si="67"/>
        <v>-1.2193534058182861E-4</v>
      </c>
      <c r="Y75" s="68">
        <f t="shared" si="67"/>
        <v>-1.2261362072748334E-4</v>
      </c>
      <c r="Z75" s="68">
        <f t="shared" si="67"/>
        <v>-1.2309858121917525E-4</v>
      </c>
      <c r="AA75" s="68">
        <f t="shared" si="67"/>
        <v>-1.2343846690505536E-4</v>
      </c>
      <c r="AB75" s="68">
        <f t="shared" si="67"/>
        <v>-1.2367334880500542E-4</v>
      </c>
      <c r="AC75" s="68">
        <f t="shared" si="67"/>
        <v>-1.2383409019375524E-4</v>
      </c>
    </row>
    <row r="76" spans="1:29" x14ac:dyDescent="0.25">
      <c r="A76" s="30" t="str">
        <f t="shared" si="65"/>
        <v>Capex costumization</v>
      </c>
      <c r="B76" s="66">
        <f>((1+B35)^B43)*B35/(((1+B35)^B43)-1)*(B33)/B47/(B44)</f>
        <v>6.8982996659853576E-5</v>
      </c>
      <c r="C76" s="66">
        <f t="shared" ref="C76:AC76" si="68">((1+C35)^C43)*C35/(((1+C35)^C43)-1)*(C33)/C47/(C44)</f>
        <v>6.8982996659853576E-5</v>
      </c>
      <c r="D76" s="66">
        <f t="shared" si="68"/>
        <v>6.8982996659853576E-5</v>
      </c>
      <c r="E76" s="66">
        <f t="shared" si="68"/>
        <v>6.8982996659853576E-5</v>
      </c>
      <c r="F76" s="66">
        <f t="shared" si="68"/>
        <v>6.8982996659853576E-5</v>
      </c>
      <c r="G76" s="66">
        <f t="shared" si="68"/>
        <v>6.8982996659853576E-5</v>
      </c>
      <c r="H76" s="66">
        <f t="shared" si="68"/>
        <v>6.8982996659853576E-5</v>
      </c>
      <c r="I76" s="66">
        <f t="shared" si="68"/>
        <v>6.8982996659853576E-5</v>
      </c>
      <c r="J76" s="66">
        <f t="shared" si="68"/>
        <v>6.8982996659853576E-5</v>
      </c>
      <c r="K76" s="66">
        <f t="shared" si="68"/>
        <v>6.8982996659853576E-5</v>
      </c>
      <c r="L76" s="66">
        <f t="shared" si="68"/>
        <v>6.8982996659853576E-5</v>
      </c>
      <c r="M76" s="66">
        <f t="shared" si="68"/>
        <v>6.8982996659853576E-5</v>
      </c>
      <c r="N76" s="66">
        <f t="shared" si="68"/>
        <v>6.8982996659853576E-5</v>
      </c>
      <c r="O76" s="66">
        <f t="shared" si="68"/>
        <v>6.8982996659853576E-5</v>
      </c>
      <c r="P76" s="66">
        <f t="shared" si="68"/>
        <v>6.8982996659853576E-5</v>
      </c>
      <c r="Q76" s="66">
        <f t="shared" si="68"/>
        <v>6.8982996659853576E-5</v>
      </c>
      <c r="R76" s="66">
        <f t="shared" si="68"/>
        <v>6.8982996659853576E-5</v>
      </c>
      <c r="S76" s="66">
        <f t="shared" si="68"/>
        <v>6.8982996659853576E-5</v>
      </c>
      <c r="T76" s="66">
        <f t="shared" si="68"/>
        <v>6.8982996659853576E-5</v>
      </c>
      <c r="U76" s="66">
        <f t="shared" si="68"/>
        <v>6.8982996659853576E-5</v>
      </c>
      <c r="V76" s="66">
        <f t="shared" si="68"/>
        <v>6.8982996659853576E-5</v>
      </c>
      <c r="W76" s="66">
        <f t="shared" si="68"/>
        <v>6.8982996659853576E-5</v>
      </c>
      <c r="X76" s="66">
        <f t="shared" si="68"/>
        <v>6.8982996659853576E-5</v>
      </c>
      <c r="Y76" s="66">
        <f t="shared" si="68"/>
        <v>6.8982996659853576E-5</v>
      </c>
      <c r="Z76" s="66">
        <f t="shared" si="68"/>
        <v>6.8982996659853576E-5</v>
      </c>
      <c r="AA76" s="66">
        <f t="shared" si="68"/>
        <v>6.8982996659853576E-5</v>
      </c>
      <c r="AB76" s="66">
        <f t="shared" si="68"/>
        <v>6.8982996659853576E-5</v>
      </c>
      <c r="AC76" s="66">
        <f t="shared" si="68"/>
        <v>6.8982996659853576E-5</v>
      </c>
    </row>
    <row r="77" spans="1:29" x14ac:dyDescent="0.25">
      <c r="A77" s="30" t="str">
        <f t="shared" si="65"/>
        <v>Residual value (costumization)</v>
      </c>
      <c r="B77" s="69">
        <f>((1+B35)^B43)*B35/(((1+B35)^B43)-1)*(B34)/B47/(B44)</f>
        <v>-6.8982996659853564E-6</v>
      </c>
      <c r="C77" s="69">
        <f t="shared" ref="C77:AC77" si="69">((1+C35)^C43)*C35/(((1+C35)^C43)-1)*(C34)/C47/(C44)</f>
        <v>-6.8982996659853564E-6</v>
      </c>
      <c r="D77" s="69">
        <f t="shared" si="69"/>
        <v>-6.8982996659853564E-6</v>
      </c>
      <c r="E77" s="69">
        <f t="shared" si="69"/>
        <v>-6.8982996659853564E-6</v>
      </c>
      <c r="F77" s="69">
        <f t="shared" si="69"/>
        <v>-6.8982996659853564E-6</v>
      </c>
      <c r="G77" s="69">
        <f t="shared" si="69"/>
        <v>-6.8982996659853564E-6</v>
      </c>
      <c r="H77" s="69">
        <f t="shared" si="69"/>
        <v>-6.8982996659853564E-6</v>
      </c>
      <c r="I77" s="69">
        <f t="shared" si="69"/>
        <v>-6.8982996659853564E-6</v>
      </c>
      <c r="J77" s="69">
        <f t="shared" si="69"/>
        <v>-6.8982996659853564E-6</v>
      </c>
      <c r="K77" s="69">
        <f t="shared" si="69"/>
        <v>-6.8982996659853564E-6</v>
      </c>
      <c r="L77" s="69">
        <f t="shared" si="69"/>
        <v>-6.8982996659853564E-6</v>
      </c>
      <c r="M77" s="69">
        <f t="shared" si="69"/>
        <v>-6.8982996659853564E-6</v>
      </c>
      <c r="N77" s="69">
        <f t="shared" si="69"/>
        <v>-6.8982996659853564E-6</v>
      </c>
      <c r="O77" s="69">
        <f t="shared" si="69"/>
        <v>-6.8982996659853564E-6</v>
      </c>
      <c r="P77" s="69">
        <f t="shared" si="69"/>
        <v>-6.8982996659853564E-6</v>
      </c>
      <c r="Q77" s="69">
        <f t="shared" si="69"/>
        <v>-6.8982996659853564E-6</v>
      </c>
      <c r="R77" s="69">
        <f t="shared" si="69"/>
        <v>-6.8982996659853564E-6</v>
      </c>
      <c r="S77" s="69">
        <f t="shared" si="69"/>
        <v>-6.8982996659853564E-6</v>
      </c>
      <c r="T77" s="69">
        <f t="shared" si="69"/>
        <v>-6.8982996659853564E-6</v>
      </c>
      <c r="U77" s="69">
        <f t="shared" si="69"/>
        <v>-6.8982996659853564E-6</v>
      </c>
      <c r="V77" s="69">
        <f t="shared" si="69"/>
        <v>-6.8982996659853564E-6</v>
      </c>
      <c r="W77" s="69">
        <f t="shared" si="69"/>
        <v>-6.8982996659853564E-6</v>
      </c>
      <c r="X77" s="69">
        <f t="shared" si="69"/>
        <v>-6.8982996659853564E-6</v>
      </c>
      <c r="Y77" s="69">
        <f t="shared" si="69"/>
        <v>-6.8982996659853564E-6</v>
      </c>
      <c r="Z77" s="69">
        <f t="shared" si="69"/>
        <v>-6.8982996659853564E-6</v>
      </c>
      <c r="AA77" s="69">
        <f t="shared" si="69"/>
        <v>-6.8982996659853564E-6</v>
      </c>
      <c r="AB77" s="69">
        <f t="shared" si="69"/>
        <v>-6.8982996659853564E-6</v>
      </c>
      <c r="AC77" s="69">
        <f t="shared" si="69"/>
        <v>-6.8982996659853564E-6</v>
      </c>
    </row>
    <row r="78" spans="1:29" x14ac:dyDescent="0.25">
      <c r="A78" s="30" t="str">
        <f t="shared" si="65"/>
        <v>Opex fix (admin, crew, insurance)</v>
      </c>
      <c r="B78" s="66">
        <f>B36/B47/(B44)</f>
        <v>1.0654632223259673E-3</v>
      </c>
      <c r="C78" s="66">
        <f t="shared" ref="C78:AC78" si="70">C36/C47/(C44)</f>
        <v>1.0654632223259673E-3</v>
      </c>
      <c r="D78" s="66">
        <f t="shared" si="70"/>
        <v>1.0654632223259673E-3</v>
      </c>
      <c r="E78" s="66">
        <f t="shared" si="70"/>
        <v>1.0654632223259673E-3</v>
      </c>
      <c r="F78" s="66">
        <f t="shared" si="70"/>
        <v>1.0654632223259673E-3</v>
      </c>
      <c r="G78" s="66">
        <f t="shared" si="70"/>
        <v>1.0654632223259673E-3</v>
      </c>
      <c r="H78" s="66">
        <f t="shared" si="70"/>
        <v>1.0654632223259673E-3</v>
      </c>
      <c r="I78" s="66">
        <f t="shared" si="70"/>
        <v>1.0654632223259673E-3</v>
      </c>
      <c r="J78" s="66">
        <f t="shared" si="70"/>
        <v>1.0654632223259673E-3</v>
      </c>
      <c r="K78" s="66">
        <f t="shared" si="70"/>
        <v>1.0654632223259673E-3</v>
      </c>
      <c r="L78" s="66">
        <f t="shared" si="70"/>
        <v>1.0654632223259673E-3</v>
      </c>
      <c r="M78" s="66">
        <f t="shared" si="70"/>
        <v>1.0654632223259673E-3</v>
      </c>
      <c r="N78" s="66">
        <f t="shared" si="70"/>
        <v>1.0654632223259673E-3</v>
      </c>
      <c r="O78" s="66">
        <f t="shared" si="70"/>
        <v>1.0654632223259673E-3</v>
      </c>
      <c r="P78" s="66">
        <f t="shared" si="70"/>
        <v>1.0654632223259673E-3</v>
      </c>
      <c r="Q78" s="66">
        <f t="shared" si="70"/>
        <v>1.0654632223259673E-3</v>
      </c>
      <c r="R78" s="66">
        <f t="shared" si="70"/>
        <v>1.0654632223259673E-3</v>
      </c>
      <c r="S78" s="66">
        <f t="shared" si="70"/>
        <v>1.0654632223259673E-3</v>
      </c>
      <c r="T78" s="66">
        <f t="shared" si="70"/>
        <v>1.0654632223259673E-3</v>
      </c>
      <c r="U78" s="66">
        <f t="shared" si="70"/>
        <v>1.0654632223259673E-3</v>
      </c>
      <c r="V78" s="66">
        <f t="shared" si="70"/>
        <v>1.0654632223259673E-3</v>
      </c>
      <c r="W78" s="66">
        <f t="shared" si="70"/>
        <v>1.0654632223259673E-3</v>
      </c>
      <c r="X78" s="66">
        <f t="shared" si="70"/>
        <v>1.0654632223259673E-3</v>
      </c>
      <c r="Y78" s="66">
        <f t="shared" si="70"/>
        <v>1.0654632223259673E-3</v>
      </c>
      <c r="Z78" s="66">
        <f t="shared" si="70"/>
        <v>1.0654632223259673E-3</v>
      </c>
      <c r="AA78" s="66">
        <f t="shared" si="70"/>
        <v>1.0654632223259673E-3</v>
      </c>
      <c r="AB78" s="66">
        <f t="shared" si="70"/>
        <v>1.0654632223259673E-3</v>
      </c>
      <c r="AC78" s="66">
        <f t="shared" si="70"/>
        <v>1.0654632223259673E-3</v>
      </c>
    </row>
    <row r="79" spans="1:29" x14ac:dyDescent="0.25">
      <c r="A79" s="30" t="str">
        <f t="shared" si="65"/>
        <v>Opex maintenance &amp; repair</v>
      </c>
      <c r="B79" s="66">
        <f>B37/B47/(B44)</f>
        <v>2.9878618113912231E-4</v>
      </c>
      <c r="C79" s="66">
        <f t="shared" ref="C79:AC79" si="71">C37/C47/(C44)</f>
        <v>2.9878618113912231E-4</v>
      </c>
      <c r="D79" s="66">
        <f t="shared" si="71"/>
        <v>2.9878618113912231E-4</v>
      </c>
      <c r="E79" s="66">
        <f t="shared" si="71"/>
        <v>2.9878618113912231E-4</v>
      </c>
      <c r="F79" s="66">
        <f t="shared" si="71"/>
        <v>2.9878618113912231E-4</v>
      </c>
      <c r="G79" s="66">
        <f t="shared" si="71"/>
        <v>2.9878618113912231E-4</v>
      </c>
      <c r="H79" s="66">
        <f t="shared" si="71"/>
        <v>2.9878618113912231E-4</v>
      </c>
      <c r="I79" s="66">
        <f t="shared" si="71"/>
        <v>2.9878618113912231E-4</v>
      </c>
      <c r="J79" s="66">
        <f t="shared" si="71"/>
        <v>2.9878618113912231E-4</v>
      </c>
      <c r="K79" s="66">
        <f t="shared" si="71"/>
        <v>2.9878618113912231E-4</v>
      </c>
      <c r="L79" s="66">
        <f t="shared" si="71"/>
        <v>2.9878618113912231E-4</v>
      </c>
      <c r="M79" s="66">
        <f t="shared" si="71"/>
        <v>2.9878618113912231E-4</v>
      </c>
      <c r="N79" s="66">
        <f t="shared" si="71"/>
        <v>2.9878618113912231E-4</v>
      </c>
      <c r="O79" s="66">
        <f t="shared" si="71"/>
        <v>2.9878618113912231E-4</v>
      </c>
      <c r="P79" s="66">
        <f t="shared" si="71"/>
        <v>2.9878618113912231E-4</v>
      </c>
      <c r="Q79" s="66">
        <f t="shared" si="71"/>
        <v>2.9878618113912231E-4</v>
      </c>
      <c r="R79" s="66">
        <f t="shared" si="71"/>
        <v>2.9878618113912231E-4</v>
      </c>
      <c r="S79" s="66">
        <f t="shared" si="71"/>
        <v>2.9878618113912231E-4</v>
      </c>
      <c r="T79" s="66">
        <f t="shared" si="71"/>
        <v>2.9878618113912231E-4</v>
      </c>
      <c r="U79" s="66">
        <f t="shared" si="71"/>
        <v>2.9878618113912231E-4</v>
      </c>
      <c r="V79" s="66">
        <f t="shared" si="71"/>
        <v>2.9878618113912231E-4</v>
      </c>
      <c r="W79" s="66">
        <f t="shared" si="71"/>
        <v>2.9878618113912231E-4</v>
      </c>
      <c r="X79" s="66">
        <f t="shared" si="71"/>
        <v>2.9878618113912231E-4</v>
      </c>
      <c r="Y79" s="66">
        <f t="shared" si="71"/>
        <v>2.9878618113912231E-4</v>
      </c>
      <c r="Z79" s="66">
        <f t="shared" si="71"/>
        <v>2.9878618113912231E-4</v>
      </c>
      <c r="AA79" s="66">
        <f t="shared" si="71"/>
        <v>2.9878618113912231E-4</v>
      </c>
      <c r="AB79" s="66">
        <f t="shared" si="71"/>
        <v>2.9878618113912231E-4</v>
      </c>
      <c r="AC79" s="66">
        <f t="shared" si="71"/>
        <v>2.9878618113912231E-4</v>
      </c>
    </row>
    <row r="80" spans="1:29" x14ac:dyDescent="0.25">
      <c r="A80" s="30" t="str">
        <f t="shared" si="65"/>
        <v>Opex var (mode-fees)</v>
      </c>
      <c r="B80" s="66">
        <f>B38*B47/B47/(B44)</f>
        <v>8.9502842587904882E-5</v>
      </c>
      <c r="C80" s="66">
        <f t="shared" ref="C80:AC80" si="72">C38*C47/C47/(C44)</f>
        <v>8.9502842587904882E-5</v>
      </c>
      <c r="D80" s="66">
        <f t="shared" si="72"/>
        <v>8.9502842587904882E-5</v>
      </c>
      <c r="E80" s="66">
        <f t="shared" si="72"/>
        <v>8.9502842587904882E-5</v>
      </c>
      <c r="F80" s="66">
        <f t="shared" si="72"/>
        <v>8.9502842587904882E-5</v>
      </c>
      <c r="G80" s="66">
        <f t="shared" si="72"/>
        <v>8.9502842587904882E-5</v>
      </c>
      <c r="H80" s="66">
        <f t="shared" si="72"/>
        <v>8.9502842587904882E-5</v>
      </c>
      <c r="I80" s="66">
        <f t="shared" si="72"/>
        <v>8.9502842587904882E-5</v>
      </c>
      <c r="J80" s="66">
        <f t="shared" si="72"/>
        <v>8.9502842587904882E-5</v>
      </c>
      <c r="K80" s="66">
        <f t="shared" si="72"/>
        <v>8.9502842587904882E-5</v>
      </c>
      <c r="L80" s="66">
        <f t="shared" si="72"/>
        <v>8.9502842587904882E-5</v>
      </c>
      <c r="M80" s="66">
        <f t="shared" si="72"/>
        <v>8.9502842587904882E-5</v>
      </c>
      <c r="N80" s="66">
        <f t="shared" si="72"/>
        <v>8.9502842587904882E-5</v>
      </c>
      <c r="O80" s="66">
        <f t="shared" si="72"/>
        <v>8.9502842587904882E-5</v>
      </c>
      <c r="P80" s="66">
        <f t="shared" si="72"/>
        <v>8.9502842587904882E-5</v>
      </c>
      <c r="Q80" s="66">
        <f t="shared" si="72"/>
        <v>8.9502842587904882E-5</v>
      </c>
      <c r="R80" s="66">
        <f t="shared" si="72"/>
        <v>8.9502842587904882E-5</v>
      </c>
      <c r="S80" s="66">
        <f t="shared" si="72"/>
        <v>8.9502842587904882E-5</v>
      </c>
      <c r="T80" s="66">
        <f t="shared" si="72"/>
        <v>8.9502842587904882E-5</v>
      </c>
      <c r="U80" s="66">
        <f t="shared" si="72"/>
        <v>8.9502842587904882E-5</v>
      </c>
      <c r="V80" s="66">
        <f t="shared" si="72"/>
        <v>8.9502842587904882E-5</v>
      </c>
      <c r="W80" s="66">
        <f t="shared" si="72"/>
        <v>8.9502842587904882E-5</v>
      </c>
      <c r="X80" s="66">
        <f t="shared" si="72"/>
        <v>8.9502842587904882E-5</v>
      </c>
      <c r="Y80" s="66">
        <f t="shared" si="72"/>
        <v>8.9502842587904882E-5</v>
      </c>
      <c r="Z80" s="66">
        <f t="shared" si="72"/>
        <v>8.9502842587904882E-5</v>
      </c>
      <c r="AA80" s="66">
        <f t="shared" si="72"/>
        <v>8.9502842587904882E-5</v>
      </c>
      <c r="AB80" s="66">
        <f t="shared" si="72"/>
        <v>8.9502842587904882E-5</v>
      </c>
      <c r="AC80" s="66">
        <f t="shared" si="72"/>
        <v>8.9502842587904882E-5</v>
      </c>
    </row>
    <row r="81" spans="1:29" x14ac:dyDescent="0.25">
      <c r="A81" s="30" t="str">
        <f t="shared" si="65"/>
        <v>Fuel Cost</v>
      </c>
      <c r="B81" s="66">
        <f>B39*B40*B47/B47/(B44)</f>
        <v>1.488952128048405E-2</v>
      </c>
      <c r="C81" s="66">
        <f t="shared" ref="C81:AC81" si="73">C39*C40*C47/C47/(C44)</f>
        <v>1.4866098305500716E-2</v>
      </c>
      <c r="D81" s="66">
        <f t="shared" si="73"/>
        <v>1.4832670024422423E-2</v>
      </c>
      <c r="E81" s="66">
        <f t="shared" si="73"/>
        <v>1.4785062147833752E-2</v>
      </c>
      <c r="F81" s="66">
        <f t="shared" si="73"/>
        <v>1.4717469009641201E-2</v>
      </c>
      <c r="G81" s="66">
        <f t="shared" si="73"/>
        <v>1.4621936518307392E-2</v>
      </c>
      <c r="H81" s="66">
        <f t="shared" si="73"/>
        <v>1.4487813085527412E-2</v>
      </c>
      <c r="I81" s="66">
        <f t="shared" si="73"/>
        <v>1.4301326668627849E-2</v>
      </c>
      <c r="J81" s="66">
        <f t="shared" si="73"/>
        <v>1.4045626539311773E-2</v>
      </c>
      <c r="K81" s="66">
        <f t="shared" si="73"/>
        <v>1.3701884087228548E-2</v>
      </c>
      <c r="L81" s="66">
        <f t="shared" si="73"/>
        <v>1.3252262520355275E-2</v>
      </c>
      <c r="M81" s="66">
        <f t="shared" si="73"/>
        <v>1.2685388823128101E-2</v>
      </c>
      <c r="N81" s="66">
        <f t="shared" si="73"/>
        <v>1.200381542764874E-2</v>
      </c>
      <c r="O81" s="66">
        <f t="shared" si="73"/>
        <v>1.1230632312432993E-2</v>
      </c>
      <c r="P81" s="66">
        <f t="shared" si="73"/>
        <v>1.0410311608786601E-2</v>
      </c>
      <c r="Q81" s="66">
        <f t="shared" si="73"/>
        <v>9.6002342132388233E-3</v>
      </c>
      <c r="R81" s="66">
        <f t="shared" si="73"/>
        <v>8.8553611851078066E-3</v>
      </c>
      <c r="S81" s="66">
        <f t="shared" si="73"/>
        <v>8.2142005043122825E-3</v>
      </c>
      <c r="T81" s="66">
        <f t="shared" si="73"/>
        <v>7.6930878813720772E-3</v>
      </c>
      <c r="U81" s="66">
        <f t="shared" si="73"/>
        <v>7.2891946769009499E-3</v>
      </c>
      <c r="V81" s="66">
        <f t="shared" si="73"/>
        <v>6.9878082947468258E-3</v>
      </c>
      <c r="W81" s="66">
        <f t="shared" si="73"/>
        <v>6.7694439106981939E-3</v>
      </c>
      <c r="X81" s="66">
        <f t="shared" si="73"/>
        <v>6.6147242516659249E-3</v>
      </c>
      <c r="Y81" s="66">
        <f t="shared" si="73"/>
        <v>6.5068936960996871E-3</v>
      </c>
      <c r="Z81" s="66">
        <f t="shared" si="73"/>
        <v>6.4326333123925616E-3</v>
      </c>
      <c r="AA81" s="66">
        <f t="shared" si="73"/>
        <v>6.3819226237195239E-3</v>
      </c>
      <c r="AB81" s="66">
        <f t="shared" si="73"/>
        <v>6.3474972802121318E-3</v>
      </c>
      <c r="AC81" s="66">
        <f t="shared" si="73"/>
        <v>6.3242223149148858E-3</v>
      </c>
    </row>
    <row r="82" spans="1:29" x14ac:dyDescent="0.25">
      <c r="A82" s="59" t="str">
        <f>A45</f>
        <v>Market failure (av. utilization)</v>
      </c>
      <c r="B82" s="66">
        <f t="shared" ref="B82:AC82" si="74">B71/B45-B71/B44</f>
        <v>8.774787363226462E-3</v>
      </c>
      <c r="C82" s="66">
        <f t="shared" si="74"/>
        <v>8.763267494308332E-3</v>
      </c>
      <c r="D82" s="66">
        <f t="shared" si="74"/>
        <v>8.7468246754331853E-3</v>
      </c>
      <c r="E82" s="66">
        <f t="shared" si="74"/>
        <v>8.7234025986160021E-3</v>
      </c>
      <c r="F82" s="66">
        <f t="shared" si="74"/>
        <v>8.6901385872838986E-3</v>
      </c>
      <c r="G82" s="66">
        <f t="shared" si="74"/>
        <v>8.643104842391388E-3</v>
      </c>
      <c r="H82" s="66">
        <f t="shared" si="74"/>
        <v>8.5770293788190455E-3</v>
      </c>
      <c r="I82" s="66">
        <f t="shared" si="74"/>
        <v>8.4850703423770338E-3</v>
      </c>
      <c r="J82" s="66">
        <f t="shared" si="74"/>
        <v>8.3588035520164895E-3</v>
      </c>
      <c r="K82" s="66">
        <f t="shared" si="74"/>
        <v>8.1887065111043954E-3</v>
      </c>
      <c r="L82" s="66">
        <f t="shared" si="74"/>
        <v>7.9655299824617359E-3</v>
      </c>
      <c r="M82" s="66">
        <f t="shared" si="74"/>
        <v>7.6828765580748727E-3</v>
      </c>
      <c r="N82" s="66">
        <f t="shared" si="74"/>
        <v>7.3407825776691978E-3</v>
      </c>
      <c r="O82" s="66">
        <f t="shared" si="74"/>
        <v>6.9490184730986622E-3</v>
      </c>
      <c r="P82" s="66">
        <f t="shared" si="74"/>
        <v>6.5278332095599217E-3</v>
      </c>
      <c r="Q82" s="66">
        <f t="shared" si="74"/>
        <v>6.1044389370940363E-3</v>
      </c>
      <c r="R82" s="66">
        <f t="shared" si="74"/>
        <v>5.7062128595723478E-3</v>
      </c>
      <c r="S82" s="66">
        <f t="shared" si="74"/>
        <v>5.3541360322909501E-3</v>
      </c>
      <c r="T82" s="66">
        <f t="shared" si="74"/>
        <v>5.0595432842714186E-3</v>
      </c>
      <c r="U82" s="66">
        <f t="shared" si="74"/>
        <v>4.8245394855322577E-3</v>
      </c>
      <c r="V82" s="66">
        <f t="shared" si="74"/>
        <v>4.6445210517404474E-3</v>
      </c>
      <c r="W82" s="66">
        <f t="shared" si="74"/>
        <v>4.5111783529546232E-3</v>
      </c>
      <c r="X82" s="66">
        <f t="shared" si="74"/>
        <v>4.4150329239390617E-3</v>
      </c>
      <c r="Y82" s="66">
        <f t="shared" si="74"/>
        <v>4.3471351709061055E-3</v>
      </c>
      <c r="Z82" s="66">
        <f t="shared" si="74"/>
        <v>4.2999242731882638E-3</v>
      </c>
      <c r="AA82" s="66">
        <f t="shared" si="74"/>
        <v>4.2674645817690031E-3</v>
      </c>
      <c r="AB82" s="66">
        <f t="shared" si="74"/>
        <v>4.24532416777006E-3</v>
      </c>
      <c r="AC82" s="66">
        <f t="shared" si="74"/>
        <v>4.2303060322281573E-3</v>
      </c>
    </row>
    <row r="83" spans="1:29" x14ac:dyDescent="0.25">
      <c r="A83" s="59" t="str">
        <f>A46</f>
        <v>Payload loss (fuel)</v>
      </c>
      <c r="B83" s="66">
        <f>B71/(B44-B46)-B71/B44</f>
        <v>1.6209442703982065E-3</v>
      </c>
      <c r="C83" s="66">
        <f t="shared" ref="C83:AC83" si="75">C71/(C44-C46)-C71/C44</f>
        <v>1.618607199958242E-3</v>
      </c>
      <c r="D83" s="66">
        <f t="shared" si="75"/>
        <v>1.615271492995389E-3</v>
      </c>
      <c r="E83" s="66">
        <f t="shared" si="75"/>
        <v>1.610520057353803E-3</v>
      </c>
      <c r="F83" s="66">
        <f t="shared" si="75"/>
        <v>1.6037722070089723E-3</v>
      </c>
      <c r="G83" s="66">
        <f t="shared" si="75"/>
        <v>1.5942310510349174E-3</v>
      </c>
      <c r="H83" s="66">
        <f t="shared" si="75"/>
        <v>1.5808265231040119E-3</v>
      </c>
      <c r="I83" s="66">
        <f t="shared" si="75"/>
        <v>1.5621686694098462E-3</v>
      </c>
      <c r="J83" s="66">
        <f t="shared" si="75"/>
        <v>1.5365429677490251E-3</v>
      </c>
      <c r="K83" s="66">
        <f t="shared" si="75"/>
        <v>1.502004051228762E-3</v>
      </c>
      <c r="L83" s="66">
        <f t="shared" si="75"/>
        <v>1.4566458990223213E-3</v>
      </c>
      <c r="M83" s="66">
        <f t="shared" si="75"/>
        <v>1.3991131637669657E-3</v>
      </c>
      <c r="N83" s="66">
        <f t="shared" si="75"/>
        <v>1.3293165467323925E-3</v>
      </c>
      <c r="O83" s="66">
        <f t="shared" si="75"/>
        <v>1.2491038707876136E-3</v>
      </c>
      <c r="P83" s="66">
        <f t="shared" si="75"/>
        <v>1.162443236935479E-3</v>
      </c>
      <c r="Q83" s="66">
        <f t="shared" si="75"/>
        <v>1.0747778721464998E-3</v>
      </c>
      <c r="R83" s="66">
        <f t="shared" si="75"/>
        <v>9.9171938208083947E-4</v>
      </c>
      <c r="S83" s="66">
        <f t="shared" si="75"/>
        <v>9.1773303663488827E-4</v>
      </c>
      <c r="T83" s="66">
        <f t="shared" si="75"/>
        <v>8.5540774323151006E-4</v>
      </c>
      <c r="U83" s="66">
        <f t="shared" si="75"/>
        <v>8.0542695212189666E-4</v>
      </c>
      <c r="V83" s="66">
        <f t="shared" si="75"/>
        <v>7.6700305250474408E-4</v>
      </c>
      <c r="W83" s="66">
        <f t="shared" si="75"/>
        <v>7.3848069385352641E-4</v>
      </c>
      <c r="X83" s="66">
        <f t="shared" si="75"/>
        <v>7.1789151778424085E-4</v>
      </c>
      <c r="Y83" s="66">
        <f t="shared" si="75"/>
        <v>7.0334373368786604E-4</v>
      </c>
      <c r="Z83" s="66">
        <f t="shared" si="75"/>
        <v>6.9322618162975629E-4</v>
      </c>
      <c r="AA83" s="66">
        <f t="shared" si="75"/>
        <v>6.8626947689000815E-4</v>
      </c>
      <c r="AB83" s="66">
        <f t="shared" si="75"/>
        <v>6.8152439370923468E-4</v>
      </c>
      <c r="AC83" s="66">
        <f t="shared" si="75"/>
        <v>6.7830581461089494E-4</v>
      </c>
    </row>
    <row r="84" spans="1:29" ht="15.75" thickBot="1" x14ac:dyDescent="0.3">
      <c r="A84" s="59" t="str">
        <f>A21</f>
        <v>Emission Cost</v>
      </c>
      <c r="B84" s="68">
        <f>B41*B47/B47/(B44)</f>
        <v>2.6311642110997044E-4</v>
      </c>
      <c r="C84" s="68">
        <f t="shared" ref="C84:AC84" si="76">C41*C47/C47/(C44)</f>
        <v>2.6286587016831347E-4</v>
      </c>
      <c r="D84" s="68">
        <f t="shared" si="76"/>
        <v>2.625072120759037E-4</v>
      </c>
      <c r="E84" s="68">
        <f t="shared" si="76"/>
        <v>2.6199412645274697E-4</v>
      </c>
      <c r="F84" s="68">
        <f t="shared" si="76"/>
        <v>2.6126081387929228E-4</v>
      </c>
      <c r="G84" s="68">
        <f t="shared" si="76"/>
        <v>2.6021421836155354E-4</v>
      </c>
      <c r="H84" s="68">
        <f t="shared" si="76"/>
        <v>2.587236095863079E-4</v>
      </c>
      <c r="I84" s="68">
        <f t="shared" si="76"/>
        <v>2.566071588068925E-4</v>
      </c>
      <c r="J84" s="68">
        <f t="shared" si="76"/>
        <v>2.5361575900812355E-4</v>
      </c>
      <c r="K84" s="68">
        <f t="shared" si="76"/>
        <v>2.4941588765997478E-4</v>
      </c>
      <c r="L84" s="68">
        <f t="shared" si="76"/>
        <v>2.4357654188553792E-4</v>
      </c>
      <c r="M84" s="68">
        <f t="shared" si="76"/>
        <v>2.3557101727914492E-4</v>
      </c>
      <c r="N84" s="68">
        <f t="shared" si="76"/>
        <v>2.2481245004548822E-4</v>
      </c>
      <c r="O84" s="68">
        <f t="shared" si="76"/>
        <v>2.1074892426876276E-4</v>
      </c>
      <c r="P84" s="68">
        <f t="shared" si="76"/>
        <v>1.9303829059735733E-4</v>
      </c>
      <c r="Q84" s="68">
        <f t="shared" si="76"/>
        <v>1.7178603857549002E-4</v>
      </c>
      <c r="R84" s="68">
        <f t="shared" si="76"/>
        <v>1.4775455190070181E-4</v>
      </c>
      <c r="S84" s="68">
        <f t="shared" si="76"/>
        <v>1.2238461001683673E-4</v>
      </c>
      <c r="T84" s="68">
        <f t="shared" si="76"/>
        <v>9.7513901136100757E-5</v>
      </c>
      <c r="U84" s="68">
        <f t="shared" si="76"/>
        <v>7.4873582914375649E-5</v>
      </c>
      <c r="V84" s="68">
        <f t="shared" si="76"/>
        <v>5.5632536469223359E-5</v>
      </c>
      <c r="W84" s="68">
        <f t="shared" si="76"/>
        <v>4.0223904142840252E-5</v>
      </c>
      <c r="X84" s="68">
        <f t="shared" si="76"/>
        <v>2.8466433793904391E-5</v>
      </c>
      <c r="Y84" s="68">
        <f t="shared" si="76"/>
        <v>1.9823750136951439E-5</v>
      </c>
      <c r="Z84" s="68">
        <f t="shared" si="76"/>
        <v>1.3644356353033646E-5</v>
      </c>
      <c r="AA84" s="68">
        <f t="shared" si="76"/>
        <v>9.3135138812216792E-6</v>
      </c>
      <c r="AB84" s="68">
        <f t="shared" si="76"/>
        <v>6.3206355388177748E-6</v>
      </c>
      <c r="AC84" s="68">
        <f t="shared" si="76"/>
        <v>4.2724597482624145E-6</v>
      </c>
    </row>
    <row r="85" spans="1:29" ht="15.75" thickBot="1" x14ac:dyDescent="0.3">
      <c r="A85" s="31" t="s">
        <v>210</v>
      </c>
      <c r="B85" s="67">
        <f>B74+B75+B76+B77+B78+B79+B80+B81+B82+B83+B84</f>
        <v>2.902835818114894E-2</v>
      </c>
      <c r="C85" s="67">
        <f t="shared" ref="C85:AC85" si="77">C74+C75+C76+C77+C78+C79+C80+C81+C82+C83+C84</f>
        <v>2.8990021520339811E-2</v>
      </c>
      <c r="D85" s="67">
        <f t="shared" si="77"/>
        <v>2.8935302004392136E-2</v>
      </c>
      <c r="E85" s="67">
        <f t="shared" si="77"/>
        <v>2.8857356578696845E-2</v>
      </c>
      <c r="F85" s="67">
        <f t="shared" si="77"/>
        <v>2.8746658692939197E-2</v>
      </c>
      <c r="G85" s="67">
        <f t="shared" si="77"/>
        <v>2.8590137084176043E-2</v>
      </c>
      <c r="H85" s="67">
        <f t="shared" si="77"/>
        <v>2.837024673258156E-2</v>
      </c>
      <c r="I85" s="67">
        <f t="shared" si="77"/>
        <v>2.8064216890006113E-2</v>
      </c>
      <c r="J85" s="67">
        <f t="shared" si="77"/>
        <v>2.7644007468468592E-2</v>
      </c>
      <c r="K85" s="67">
        <f t="shared" si="77"/>
        <v>2.7077915299098029E-2</v>
      </c>
      <c r="L85" s="67">
        <f t="shared" si="77"/>
        <v>2.6335130494883285E-2</v>
      </c>
      <c r="M85" s="67">
        <f t="shared" si="77"/>
        <v>2.5394305808418977E-2</v>
      </c>
      <c r="N85" s="67">
        <f t="shared" si="77"/>
        <v>2.4255465502616674E-2</v>
      </c>
      <c r="O85" s="67">
        <f t="shared" si="77"/>
        <v>2.2950989999888968E-2</v>
      </c>
      <c r="P85" s="67">
        <f t="shared" si="77"/>
        <v>2.1548125417478269E-2</v>
      </c>
      <c r="Q85" s="67">
        <f t="shared" si="77"/>
        <v>2.0137352951233402E-2</v>
      </c>
      <c r="R85" s="67">
        <f t="shared" si="77"/>
        <v>1.8809837968912464E-2</v>
      </c>
      <c r="S85" s="67">
        <f t="shared" si="77"/>
        <v>1.763561153821214E-2</v>
      </c>
      <c r="T85" s="67">
        <f t="shared" si="77"/>
        <v>1.665268390724773E-2</v>
      </c>
      <c r="U85" s="67">
        <f t="shared" si="77"/>
        <v>1.5868316245078239E-2</v>
      </c>
      <c r="V85" s="67">
        <f t="shared" si="77"/>
        <v>1.5267334739861674E-2</v>
      </c>
      <c r="W85" s="67">
        <f t="shared" si="77"/>
        <v>1.4822116447504755E-2</v>
      </c>
      <c r="X85" s="67">
        <f t="shared" si="77"/>
        <v>1.4501072805761843E-2</v>
      </c>
      <c r="Y85" s="67">
        <f t="shared" si="77"/>
        <v>1.4274344543437479E-2</v>
      </c>
      <c r="Z85" s="67">
        <f t="shared" si="77"/>
        <v>1.4116692936011114E-2</v>
      </c>
      <c r="AA85" s="67">
        <f t="shared" si="77"/>
        <v>1.400829969558617E-2</v>
      </c>
      <c r="AB85" s="67">
        <f t="shared" si="77"/>
        <v>1.3934365818658707E-2</v>
      </c>
      <c r="AC85" s="67">
        <f t="shared" si="77"/>
        <v>1.3884215565991918E-2</v>
      </c>
    </row>
    <row r="87" spans="1:29" x14ac:dyDescent="0.25">
      <c r="B87" s="40"/>
    </row>
    <row r="107" spans="1:2" s="3" customFormat="1" ht="21" x14ac:dyDescent="0.35">
      <c r="A107" s="2" t="str">
        <f>'Parameter Input'!A167</f>
        <v>Short-sea: Container</v>
      </c>
    </row>
    <row r="108" spans="1:2" s="3" customFormat="1" ht="21" x14ac:dyDescent="0.35">
      <c r="A108" s="2" t="s">
        <v>186</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Input'!$L$193</f>
        <v>30000000</v>
      </c>
      <c r="C117" s="42">
        <f>'Parameter Input'!$M$193</f>
        <v>18000000</v>
      </c>
      <c r="D117" s="1" t="s">
        <v>15</v>
      </c>
      <c r="L117" s="51">
        <f>'Parameter Input'!$O$193</f>
        <v>17</v>
      </c>
      <c r="M117" s="52">
        <v>0</v>
      </c>
      <c r="N117" s="52">
        <v>1</v>
      </c>
      <c r="O117" s="52">
        <f>'Parameter Input'!$P$193</f>
        <v>0.9</v>
      </c>
      <c r="P117" s="53">
        <f>'Parameter Input'!$Q$193</f>
        <v>0.4</v>
      </c>
      <c r="Q117" s="4">
        <f t="shared" ref="Q117:AR126" si="78">$N117+($M117-$N117)*((1/(1+EXP(-$P117*(Q$9-$L117)))^$O117))</f>
        <v>0.99780374543478534</v>
      </c>
      <c r="R117" s="4">
        <f t="shared" si="78"/>
        <v>0.99685359315256394</v>
      </c>
      <c r="S117" s="4">
        <f t="shared" si="78"/>
        <v>0.99549347132349975</v>
      </c>
      <c r="T117" s="4">
        <f t="shared" si="78"/>
        <v>0.99354772139898062</v>
      </c>
      <c r="U117" s="4">
        <f t="shared" si="78"/>
        <v>0.99076681540580536</v>
      </c>
      <c r="V117" s="4">
        <f t="shared" si="78"/>
        <v>0.9867978615748374</v>
      </c>
      <c r="W117" s="4">
        <f t="shared" si="78"/>
        <v>0.98114509762858249</v>
      </c>
      <c r="X117" s="4">
        <f t="shared" si="78"/>
        <v>0.97311898315872036</v>
      </c>
      <c r="Y117" s="4">
        <f t="shared" si="78"/>
        <v>0.96177484161592774</v>
      </c>
      <c r="Z117" s="4">
        <f t="shared" si="78"/>
        <v>0.94584787155511363</v>
      </c>
      <c r="AA117" s="4">
        <f t="shared" si="78"/>
        <v>0.92370360150141495</v>
      </c>
      <c r="AB117" s="4">
        <f t="shared" si="78"/>
        <v>0.89334463567658451</v>
      </c>
      <c r="AC117" s="4">
        <f t="shared" si="78"/>
        <v>0.85254543874327005</v>
      </c>
      <c r="AD117" s="4">
        <f t="shared" si="78"/>
        <v>0.79921300652623883</v>
      </c>
      <c r="AE117" s="4">
        <f t="shared" si="78"/>
        <v>0.73204982249993378</v>
      </c>
      <c r="AF117" s="4">
        <f t="shared" si="78"/>
        <v>0.65145592958786691</v>
      </c>
      <c r="AG117" s="4">
        <f t="shared" si="78"/>
        <v>0.56032247880849573</v>
      </c>
      <c r="AH117" s="4">
        <f t="shared" si="78"/>
        <v>0.46411326873185343</v>
      </c>
      <c r="AI117" s="4">
        <f t="shared" si="78"/>
        <v>0.36979727595523937</v>
      </c>
      <c r="AJ117" s="4">
        <f t="shared" si="78"/>
        <v>0.28393948637231203</v>
      </c>
      <c r="AK117" s="4">
        <f t="shared" si="78"/>
        <v>0.21097259161117732</v>
      </c>
      <c r="AL117" s="4">
        <f t="shared" si="78"/>
        <v>0.15253917653798199</v>
      </c>
      <c r="AM117" s="4">
        <f t="shared" si="78"/>
        <v>0.10795188737709993</v>
      </c>
      <c r="AN117" s="4">
        <f t="shared" si="78"/>
        <v>7.5176653938091809E-2</v>
      </c>
      <c r="AO117" s="4">
        <f t="shared" si="78"/>
        <v>5.1742836177502194E-2</v>
      </c>
      <c r="AP117" s="4">
        <f t="shared" si="78"/>
        <v>3.5319190625345942E-2</v>
      </c>
      <c r="AQ117" s="4">
        <f t="shared" si="78"/>
        <v>2.3969442072658165E-2</v>
      </c>
      <c r="AR117" s="4">
        <f t="shared" si="78"/>
        <v>1.6202243558389728E-2</v>
      </c>
    </row>
    <row r="118" spans="1:44" x14ac:dyDescent="0.25">
      <c r="A118" s="24" t="s">
        <v>28</v>
      </c>
      <c r="B118" s="60">
        <f>'Parameter Input'!$L$194</f>
        <v>-1500000</v>
      </c>
      <c r="C118" s="61">
        <f>'Parameter Input'!$M$194</f>
        <v>-1800000</v>
      </c>
      <c r="D118" s="1" t="s">
        <v>15</v>
      </c>
      <c r="L118" s="54">
        <f>'Parameter Input'!$O$194</f>
        <v>17</v>
      </c>
      <c r="M118" s="37">
        <v>0</v>
      </c>
      <c r="N118" s="37">
        <v>1</v>
      </c>
      <c r="O118" s="37">
        <f>'Parameter Input'!$P$194</f>
        <v>0.9</v>
      </c>
      <c r="P118" s="55">
        <f>'Parameter Input'!$Q$194</f>
        <v>0.4</v>
      </c>
      <c r="Q118" s="4">
        <f t="shared" si="78"/>
        <v>0.99780374543478534</v>
      </c>
      <c r="R118" s="4">
        <f t="shared" si="78"/>
        <v>0.99685359315256394</v>
      </c>
      <c r="S118" s="4">
        <f t="shared" si="78"/>
        <v>0.99549347132349975</v>
      </c>
      <c r="T118" s="4">
        <f t="shared" si="78"/>
        <v>0.99354772139898062</v>
      </c>
      <c r="U118" s="4">
        <f t="shared" si="78"/>
        <v>0.99076681540580536</v>
      </c>
      <c r="V118" s="4">
        <f t="shared" si="78"/>
        <v>0.9867978615748374</v>
      </c>
      <c r="W118" s="4">
        <f t="shared" si="78"/>
        <v>0.98114509762858249</v>
      </c>
      <c r="X118" s="4">
        <f t="shared" si="78"/>
        <v>0.97311898315872036</v>
      </c>
      <c r="Y118" s="4">
        <f t="shared" si="78"/>
        <v>0.96177484161592774</v>
      </c>
      <c r="Z118" s="4">
        <f t="shared" si="78"/>
        <v>0.94584787155511363</v>
      </c>
      <c r="AA118" s="4">
        <f t="shared" si="78"/>
        <v>0.92370360150141495</v>
      </c>
      <c r="AB118" s="4">
        <f t="shared" si="78"/>
        <v>0.89334463567658451</v>
      </c>
      <c r="AC118" s="4">
        <f t="shared" si="78"/>
        <v>0.85254543874327005</v>
      </c>
      <c r="AD118" s="4">
        <f t="shared" si="78"/>
        <v>0.79921300652623883</v>
      </c>
      <c r="AE118" s="4">
        <f t="shared" si="78"/>
        <v>0.73204982249993378</v>
      </c>
      <c r="AF118" s="4">
        <f t="shared" si="78"/>
        <v>0.65145592958786691</v>
      </c>
      <c r="AG118" s="4">
        <f t="shared" si="78"/>
        <v>0.56032247880849573</v>
      </c>
      <c r="AH118" s="4">
        <f t="shared" si="78"/>
        <v>0.46411326873185343</v>
      </c>
      <c r="AI118" s="4">
        <f t="shared" si="78"/>
        <v>0.36979727595523937</v>
      </c>
      <c r="AJ118" s="4">
        <f t="shared" si="78"/>
        <v>0.28393948637231203</v>
      </c>
      <c r="AK118" s="4">
        <f t="shared" si="78"/>
        <v>0.21097259161117732</v>
      </c>
      <c r="AL118" s="4">
        <f t="shared" si="78"/>
        <v>0.15253917653798199</v>
      </c>
      <c r="AM118" s="4">
        <f t="shared" si="78"/>
        <v>0.10795188737709993</v>
      </c>
      <c r="AN118" s="4">
        <f t="shared" si="78"/>
        <v>7.5176653938091809E-2</v>
      </c>
      <c r="AO118" s="4">
        <f t="shared" si="78"/>
        <v>5.1742836177502194E-2</v>
      </c>
      <c r="AP118" s="4">
        <f t="shared" si="78"/>
        <v>3.5319190625345942E-2</v>
      </c>
      <c r="AQ118" s="4">
        <f t="shared" si="78"/>
        <v>2.3969442072658165E-2</v>
      </c>
      <c r="AR118" s="4">
        <f t="shared" si="78"/>
        <v>1.6202243558389728E-2</v>
      </c>
    </row>
    <row r="119" spans="1:44" x14ac:dyDescent="0.25">
      <c r="A119" s="24" t="s">
        <v>14</v>
      </c>
      <c r="B119" s="60">
        <f>'Parameter Input'!B168</f>
        <v>5000000</v>
      </c>
      <c r="C119" s="61">
        <f>'Parameter Input'!C168</f>
        <v>5000000</v>
      </c>
      <c r="D119" s="1" t="s">
        <v>15</v>
      </c>
      <c r="L119" s="54">
        <f>'Parameter Input'!E168</f>
        <v>17</v>
      </c>
      <c r="M119" s="37">
        <v>0</v>
      </c>
      <c r="N119" s="37">
        <v>1</v>
      </c>
      <c r="O119" s="37">
        <f>'Parameter Input'!F168</f>
        <v>0.9</v>
      </c>
      <c r="P119" s="55">
        <f>'Parameter Input'!G168</f>
        <v>0.4</v>
      </c>
      <c r="Q119" s="4">
        <f t="shared" si="78"/>
        <v>0.99780374543478534</v>
      </c>
      <c r="R119" s="4">
        <f t="shared" si="78"/>
        <v>0.99685359315256394</v>
      </c>
      <c r="S119" s="4">
        <f t="shared" si="78"/>
        <v>0.99549347132349975</v>
      </c>
      <c r="T119" s="4">
        <f t="shared" si="78"/>
        <v>0.99354772139898062</v>
      </c>
      <c r="U119" s="4">
        <f t="shared" si="78"/>
        <v>0.99076681540580536</v>
      </c>
      <c r="V119" s="4">
        <f t="shared" si="78"/>
        <v>0.9867978615748374</v>
      </c>
      <c r="W119" s="4">
        <f t="shared" si="78"/>
        <v>0.98114509762858249</v>
      </c>
      <c r="X119" s="4">
        <f t="shared" si="78"/>
        <v>0.97311898315872036</v>
      </c>
      <c r="Y119" s="4">
        <f t="shared" si="78"/>
        <v>0.96177484161592774</v>
      </c>
      <c r="Z119" s="4">
        <f t="shared" si="78"/>
        <v>0.94584787155511363</v>
      </c>
      <c r="AA119" s="4">
        <f t="shared" si="78"/>
        <v>0.92370360150141495</v>
      </c>
      <c r="AB119" s="4">
        <f t="shared" si="78"/>
        <v>0.89334463567658451</v>
      </c>
      <c r="AC119" s="4">
        <f t="shared" si="78"/>
        <v>0.85254543874327005</v>
      </c>
      <c r="AD119" s="4">
        <f t="shared" si="78"/>
        <v>0.79921300652623883</v>
      </c>
      <c r="AE119" s="4">
        <f t="shared" si="78"/>
        <v>0.73204982249993378</v>
      </c>
      <c r="AF119" s="4">
        <f t="shared" si="78"/>
        <v>0.65145592958786691</v>
      </c>
      <c r="AG119" s="4">
        <f t="shared" si="78"/>
        <v>0.56032247880849573</v>
      </c>
      <c r="AH119" s="4">
        <f t="shared" si="78"/>
        <v>0.46411326873185343</v>
      </c>
      <c r="AI119" s="4">
        <f t="shared" si="78"/>
        <v>0.36979727595523937</v>
      </c>
      <c r="AJ119" s="4">
        <f t="shared" si="78"/>
        <v>0.28393948637231203</v>
      </c>
      <c r="AK119" s="4">
        <f t="shared" si="78"/>
        <v>0.21097259161117732</v>
      </c>
      <c r="AL119" s="4">
        <f t="shared" si="78"/>
        <v>0.15253917653798199</v>
      </c>
      <c r="AM119" s="4">
        <f t="shared" si="78"/>
        <v>0.10795188737709993</v>
      </c>
      <c r="AN119" s="4">
        <f t="shared" si="78"/>
        <v>7.5176653938091809E-2</v>
      </c>
      <c r="AO119" s="4">
        <f t="shared" si="78"/>
        <v>5.1742836177502194E-2</v>
      </c>
      <c r="AP119" s="4">
        <f t="shared" si="78"/>
        <v>3.5319190625345942E-2</v>
      </c>
      <c r="AQ119" s="4">
        <f t="shared" si="78"/>
        <v>2.3969442072658165E-2</v>
      </c>
      <c r="AR119" s="4">
        <f t="shared" si="78"/>
        <v>1.6202243558389728E-2</v>
      </c>
    </row>
    <row r="120" spans="1:44" x14ac:dyDescent="0.25">
      <c r="A120" s="24" t="s">
        <v>25</v>
      </c>
      <c r="B120" s="60">
        <f>'Parameter Input'!B169</f>
        <v>-500000</v>
      </c>
      <c r="C120" s="61">
        <f>'Parameter Input'!C169</f>
        <v>-500000</v>
      </c>
      <c r="D120" s="1" t="s">
        <v>15</v>
      </c>
      <c r="L120" s="54">
        <f>'Parameter Input'!E169</f>
        <v>17</v>
      </c>
      <c r="M120" s="37">
        <v>0</v>
      </c>
      <c r="N120" s="37">
        <v>1</v>
      </c>
      <c r="O120" s="37">
        <f>'Parameter Input'!F169</f>
        <v>0.9</v>
      </c>
      <c r="P120" s="55">
        <f>'Parameter Input'!G169</f>
        <v>0.4</v>
      </c>
      <c r="Q120" s="4">
        <f t="shared" si="78"/>
        <v>0.99780374543478534</v>
      </c>
      <c r="R120" s="4">
        <f t="shared" si="78"/>
        <v>0.99685359315256394</v>
      </c>
      <c r="S120" s="4">
        <f t="shared" si="78"/>
        <v>0.99549347132349975</v>
      </c>
      <c r="T120" s="4">
        <f t="shared" si="78"/>
        <v>0.99354772139898062</v>
      </c>
      <c r="U120" s="4">
        <f t="shared" si="78"/>
        <v>0.99076681540580536</v>
      </c>
      <c r="V120" s="4">
        <f t="shared" si="78"/>
        <v>0.9867978615748374</v>
      </c>
      <c r="W120" s="4">
        <f t="shared" si="78"/>
        <v>0.98114509762858249</v>
      </c>
      <c r="X120" s="4">
        <f t="shared" si="78"/>
        <v>0.97311898315872036</v>
      </c>
      <c r="Y120" s="4">
        <f t="shared" si="78"/>
        <v>0.96177484161592774</v>
      </c>
      <c r="Z120" s="4">
        <f t="shared" si="78"/>
        <v>0.94584787155511363</v>
      </c>
      <c r="AA120" s="4">
        <f t="shared" si="78"/>
        <v>0.92370360150141495</v>
      </c>
      <c r="AB120" s="4">
        <f t="shared" si="78"/>
        <v>0.89334463567658451</v>
      </c>
      <c r="AC120" s="4">
        <f t="shared" si="78"/>
        <v>0.85254543874327005</v>
      </c>
      <c r="AD120" s="4">
        <f t="shared" si="78"/>
        <v>0.79921300652623883</v>
      </c>
      <c r="AE120" s="4">
        <f t="shared" si="78"/>
        <v>0.73204982249993378</v>
      </c>
      <c r="AF120" s="4">
        <f t="shared" si="78"/>
        <v>0.65145592958786691</v>
      </c>
      <c r="AG120" s="4">
        <f t="shared" si="78"/>
        <v>0.56032247880849573</v>
      </c>
      <c r="AH120" s="4">
        <f t="shared" si="78"/>
        <v>0.46411326873185343</v>
      </c>
      <c r="AI120" s="4">
        <f t="shared" si="78"/>
        <v>0.36979727595523937</v>
      </c>
      <c r="AJ120" s="4">
        <f t="shared" si="78"/>
        <v>0.28393948637231203</v>
      </c>
      <c r="AK120" s="4">
        <f t="shared" si="78"/>
        <v>0.21097259161117732</v>
      </c>
      <c r="AL120" s="4">
        <f t="shared" si="78"/>
        <v>0.15253917653798199</v>
      </c>
      <c r="AM120" s="4">
        <f t="shared" si="78"/>
        <v>0.10795188737709993</v>
      </c>
      <c r="AN120" s="4">
        <f t="shared" si="78"/>
        <v>7.5176653938091809E-2</v>
      </c>
      <c r="AO120" s="4">
        <f t="shared" si="78"/>
        <v>5.1742836177502194E-2</v>
      </c>
      <c r="AP120" s="4">
        <f t="shared" si="78"/>
        <v>3.5319190625345942E-2</v>
      </c>
      <c r="AQ120" s="4">
        <f t="shared" si="78"/>
        <v>2.3969442072658165E-2</v>
      </c>
      <c r="AR120" s="4">
        <f t="shared" si="78"/>
        <v>1.6202243558389728E-2</v>
      </c>
    </row>
    <row r="121" spans="1:44" x14ac:dyDescent="0.25">
      <c r="A121" s="24" t="s">
        <v>79</v>
      </c>
      <c r="B121" s="92">
        <f>'Parameter Input'!$L$200</f>
        <v>0.06</v>
      </c>
      <c r="C121" s="91">
        <f>'Parameter Input'!$M$200</f>
        <v>0.06</v>
      </c>
      <c r="D121" s="1" t="s">
        <v>57</v>
      </c>
      <c r="L121" s="54">
        <f>'Parameter Input'!$O$200</f>
        <v>17</v>
      </c>
      <c r="M121" s="37">
        <v>0</v>
      </c>
      <c r="N121" s="37">
        <v>1</v>
      </c>
      <c r="O121" s="37">
        <f>'Parameter Input'!$P$200</f>
        <v>0.9</v>
      </c>
      <c r="P121" s="55">
        <f>'Parameter Input'!$Q$200</f>
        <v>0.4</v>
      </c>
      <c r="Q121" s="4">
        <f t="shared" si="78"/>
        <v>0.99780374543478534</v>
      </c>
      <c r="R121" s="4">
        <f t="shared" si="78"/>
        <v>0.99685359315256394</v>
      </c>
      <c r="S121" s="4">
        <f t="shared" si="78"/>
        <v>0.99549347132349975</v>
      </c>
      <c r="T121" s="4">
        <f t="shared" si="78"/>
        <v>0.99354772139898062</v>
      </c>
      <c r="U121" s="4">
        <f t="shared" si="78"/>
        <v>0.99076681540580536</v>
      </c>
      <c r="V121" s="4">
        <f t="shared" si="78"/>
        <v>0.9867978615748374</v>
      </c>
      <c r="W121" s="4">
        <f t="shared" si="78"/>
        <v>0.98114509762858249</v>
      </c>
      <c r="X121" s="4">
        <f t="shared" si="78"/>
        <v>0.97311898315872036</v>
      </c>
      <c r="Y121" s="4">
        <f t="shared" si="78"/>
        <v>0.96177484161592774</v>
      </c>
      <c r="Z121" s="4">
        <f t="shared" si="78"/>
        <v>0.94584787155511363</v>
      </c>
      <c r="AA121" s="4">
        <f t="shared" si="78"/>
        <v>0.92370360150141495</v>
      </c>
      <c r="AB121" s="4">
        <f t="shared" si="78"/>
        <v>0.89334463567658451</v>
      </c>
      <c r="AC121" s="4">
        <f t="shared" si="78"/>
        <v>0.85254543874327005</v>
      </c>
      <c r="AD121" s="4">
        <f t="shared" si="78"/>
        <v>0.79921300652623883</v>
      </c>
      <c r="AE121" s="4">
        <f t="shared" si="78"/>
        <v>0.73204982249993378</v>
      </c>
      <c r="AF121" s="4">
        <f t="shared" si="78"/>
        <v>0.65145592958786691</v>
      </c>
      <c r="AG121" s="4">
        <f t="shared" si="78"/>
        <v>0.56032247880849573</v>
      </c>
      <c r="AH121" s="4">
        <f t="shared" si="78"/>
        <v>0.46411326873185343</v>
      </c>
      <c r="AI121" s="4">
        <f t="shared" si="78"/>
        <v>0.36979727595523937</v>
      </c>
      <c r="AJ121" s="4">
        <f t="shared" si="78"/>
        <v>0.28393948637231203</v>
      </c>
      <c r="AK121" s="4">
        <f t="shared" si="78"/>
        <v>0.21097259161117732</v>
      </c>
      <c r="AL121" s="4">
        <f t="shared" si="78"/>
        <v>0.15253917653798199</v>
      </c>
      <c r="AM121" s="4">
        <f t="shared" si="78"/>
        <v>0.10795188737709993</v>
      </c>
      <c r="AN121" s="4">
        <f t="shared" si="78"/>
        <v>7.5176653938091809E-2</v>
      </c>
      <c r="AO121" s="4">
        <f t="shared" si="78"/>
        <v>5.1742836177502194E-2</v>
      </c>
      <c r="AP121" s="4">
        <f t="shared" si="78"/>
        <v>3.5319190625345942E-2</v>
      </c>
      <c r="AQ121" s="4">
        <f t="shared" si="78"/>
        <v>2.3969442072658165E-2</v>
      </c>
      <c r="AR121" s="4">
        <f t="shared" si="78"/>
        <v>1.6202243558389728E-2</v>
      </c>
    </row>
    <row r="122" spans="1:44" x14ac:dyDescent="0.25">
      <c r="A122" s="24" t="s">
        <v>37</v>
      </c>
      <c r="B122" s="60">
        <f>'Parameter Input'!B170</f>
        <v>1208235.294117647</v>
      </c>
      <c r="C122" s="61">
        <f>'Parameter Input'!C170</f>
        <v>1208235.294117647</v>
      </c>
      <c r="D122" s="1" t="s">
        <v>38</v>
      </c>
      <c r="L122" s="54">
        <f>'Parameter Input'!E170</f>
        <v>17</v>
      </c>
      <c r="M122" s="37">
        <v>0</v>
      </c>
      <c r="N122" s="37">
        <v>1</v>
      </c>
      <c r="O122" s="37">
        <f>'Parameter Input'!F170</f>
        <v>0.9</v>
      </c>
      <c r="P122" s="55">
        <f>'Parameter Input'!G170</f>
        <v>0.4</v>
      </c>
      <c r="Q122" s="4">
        <f t="shared" si="78"/>
        <v>0.99780374543478534</v>
      </c>
      <c r="R122" s="4">
        <f t="shared" si="78"/>
        <v>0.99685359315256394</v>
      </c>
      <c r="S122" s="4">
        <f t="shared" si="78"/>
        <v>0.99549347132349975</v>
      </c>
      <c r="T122" s="4">
        <f t="shared" si="78"/>
        <v>0.99354772139898062</v>
      </c>
      <c r="U122" s="4">
        <f t="shared" si="78"/>
        <v>0.99076681540580536</v>
      </c>
      <c r="V122" s="4">
        <f t="shared" si="78"/>
        <v>0.9867978615748374</v>
      </c>
      <c r="W122" s="4">
        <f t="shared" si="78"/>
        <v>0.98114509762858249</v>
      </c>
      <c r="X122" s="4">
        <f t="shared" si="78"/>
        <v>0.97311898315872036</v>
      </c>
      <c r="Y122" s="4">
        <f t="shared" si="78"/>
        <v>0.96177484161592774</v>
      </c>
      <c r="Z122" s="4">
        <f t="shared" si="78"/>
        <v>0.94584787155511363</v>
      </c>
      <c r="AA122" s="4">
        <f t="shared" si="78"/>
        <v>0.92370360150141495</v>
      </c>
      <c r="AB122" s="4">
        <f t="shared" si="78"/>
        <v>0.89334463567658451</v>
      </c>
      <c r="AC122" s="4">
        <f t="shared" si="78"/>
        <v>0.85254543874327005</v>
      </c>
      <c r="AD122" s="4">
        <f t="shared" si="78"/>
        <v>0.79921300652623883</v>
      </c>
      <c r="AE122" s="4">
        <f t="shared" si="78"/>
        <v>0.73204982249993378</v>
      </c>
      <c r="AF122" s="4">
        <f t="shared" si="78"/>
        <v>0.65145592958786691</v>
      </c>
      <c r="AG122" s="4">
        <f t="shared" si="78"/>
        <v>0.56032247880849573</v>
      </c>
      <c r="AH122" s="4">
        <f t="shared" si="78"/>
        <v>0.46411326873185343</v>
      </c>
      <c r="AI122" s="4">
        <f t="shared" si="78"/>
        <v>0.36979727595523937</v>
      </c>
      <c r="AJ122" s="4">
        <f t="shared" si="78"/>
        <v>0.28393948637231203</v>
      </c>
      <c r="AK122" s="4">
        <f t="shared" si="78"/>
        <v>0.21097259161117732</v>
      </c>
      <c r="AL122" s="4">
        <f t="shared" si="78"/>
        <v>0.15253917653798199</v>
      </c>
      <c r="AM122" s="4">
        <f t="shared" si="78"/>
        <v>0.10795188737709993</v>
      </c>
      <c r="AN122" s="4">
        <f t="shared" si="78"/>
        <v>7.5176653938091809E-2</v>
      </c>
      <c r="AO122" s="4">
        <f t="shared" si="78"/>
        <v>5.1742836177502194E-2</v>
      </c>
      <c r="AP122" s="4">
        <f t="shared" si="78"/>
        <v>3.5319190625345942E-2</v>
      </c>
      <c r="AQ122" s="4">
        <f t="shared" si="78"/>
        <v>2.3969442072658165E-2</v>
      </c>
      <c r="AR122" s="4">
        <f t="shared" si="78"/>
        <v>1.6202243558389728E-2</v>
      </c>
    </row>
    <row r="123" spans="1:44" x14ac:dyDescent="0.25">
      <c r="A123" s="24" t="s">
        <v>52</v>
      </c>
      <c r="B123" s="60">
        <f>'Parameter Input'!$L$196</f>
        <v>338823.5294117647</v>
      </c>
      <c r="C123" s="61">
        <f>'Parameter Input'!$M$196</f>
        <v>338823.5294117647</v>
      </c>
      <c r="D123" s="1" t="s">
        <v>38</v>
      </c>
      <c r="L123" s="54">
        <f>'Parameter Input'!$O$196</f>
        <v>17</v>
      </c>
      <c r="M123" s="37">
        <v>0</v>
      </c>
      <c r="N123" s="37">
        <v>1</v>
      </c>
      <c r="O123" s="37">
        <f>'Parameter Input'!$P$196</f>
        <v>0.9</v>
      </c>
      <c r="P123" s="55">
        <f>'Parameter Input'!$Q$196</f>
        <v>0.4</v>
      </c>
      <c r="Q123" s="4">
        <f t="shared" si="78"/>
        <v>0.99780374543478534</v>
      </c>
      <c r="R123" s="4">
        <f t="shared" si="78"/>
        <v>0.99685359315256394</v>
      </c>
      <c r="S123" s="4">
        <f t="shared" si="78"/>
        <v>0.99549347132349975</v>
      </c>
      <c r="T123" s="4">
        <f t="shared" si="78"/>
        <v>0.99354772139898062</v>
      </c>
      <c r="U123" s="4">
        <f t="shared" si="78"/>
        <v>0.99076681540580536</v>
      </c>
      <c r="V123" s="4">
        <f t="shared" si="78"/>
        <v>0.9867978615748374</v>
      </c>
      <c r="W123" s="4">
        <f t="shared" si="78"/>
        <v>0.98114509762858249</v>
      </c>
      <c r="X123" s="4">
        <f t="shared" si="78"/>
        <v>0.97311898315872036</v>
      </c>
      <c r="Y123" s="4">
        <f t="shared" si="78"/>
        <v>0.96177484161592774</v>
      </c>
      <c r="Z123" s="4">
        <f t="shared" si="78"/>
        <v>0.94584787155511363</v>
      </c>
      <c r="AA123" s="4">
        <f t="shared" si="78"/>
        <v>0.92370360150141495</v>
      </c>
      <c r="AB123" s="4">
        <f t="shared" si="78"/>
        <v>0.89334463567658451</v>
      </c>
      <c r="AC123" s="4">
        <f t="shared" si="78"/>
        <v>0.85254543874327005</v>
      </c>
      <c r="AD123" s="4">
        <f t="shared" si="78"/>
        <v>0.79921300652623883</v>
      </c>
      <c r="AE123" s="4">
        <f t="shared" si="78"/>
        <v>0.73204982249993378</v>
      </c>
      <c r="AF123" s="4">
        <f t="shared" si="78"/>
        <v>0.65145592958786691</v>
      </c>
      <c r="AG123" s="4">
        <f t="shared" si="78"/>
        <v>0.56032247880849573</v>
      </c>
      <c r="AH123" s="4">
        <f t="shared" si="78"/>
        <v>0.46411326873185343</v>
      </c>
      <c r="AI123" s="4">
        <f t="shared" si="78"/>
        <v>0.36979727595523937</v>
      </c>
      <c r="AJ123" s="4">
        <f t="shared" si="78"/>
        <v>0.28393948637231203</v>
      </c>
      <c r="AK123" s="4">
        <f t="shared" si="78"/>
        <v>0.21097259161117732</v>
      </c>
      <c r="AL123" s="4">
        <f t="shared" si="78"/>
        <v>0.15253917653798199</v>
      </c>
      <c r="AM123" s="4">
        <f t="shared" si="78"/>
        <v>0.10795188737709993</v>
      </c>
      <c r="AN123" s="4">
        <f t="shared" si="78"/>
        <v>7.5176653938091809E-2</v>
      </c>
      <c r="AO123" s="4">
        <f t="shared" si="78"/>
        <v>5.1742836177502194E-2</v>
      </c>
      <c r="AP123" s="4">
        <f t="shared" si="78"/>
        <v>3.5319190625345942E-2</v>
      </c>
      <c r="AQ123" s="4">
        <f t="shared" si="78"/>
        <v>2.3969442072658165E-2</v>
      </c>
      <c r="AR123" s="4">
        <f t="shared" si="78"/>
        <v>1.6202243558389728E-2</v>
      </c>
    </row>
    <row r="124" spans="1:44" x14ac:dyDescent="0.25">
      <c r="A124" s="24" t="s">
        <v>272</v>
      </c>
      <c r="B124" s="92">
        <f>'Parameter Input'!B175</f>
        <v>1.6886890630966982</v>
      </c>
      <c r="C124" s="61">
        <f>'Parameter Input'!C175</f>
        <v>1.6886890630966982</v>
      </c>
      <c r="D124" s="1" t="s">
        <v>76</v>
      </c>
      <c r="L124" s="54">
        <f>'Parameter Input'!E175</f>
        <v>17</v>
      </c>
      <c r="M124" s="37">
        <v>0</v>
      </c>
      <c r="N124" s="37">
        <v>1</v>
      </c>
      <c r="O124" s="37">
        <f>'Parameter Input'!F175</f>
        <v>0.9</v>
      </c>
      <c r="P124" s="55">
        <f>'Parameter Input'!G175</f>
        <v>0.4</v>
      </c>
      <c r="Q124" s="4">
        <f t="shared" si="78"/>
        <v>0.99780374543478534</v>
      </c>
      <c r="R124" s="4">
        <f t="shared" si="78"/>
        <v>0.99685359315256394</v>
      </c>
      <c r="S124" s="4">
        <f t="shared" si="78"/>
        <v>0.99549347132349975</v>
      </c>
      <c r="T124" s="4">
        <f t="shared" si="78"/>
        <v>0.99354772139898062</v>
      </c>
      <c r="U124" s="4">
        <f t="shared" si="78"/>
        <v>0.99076681540580536</v>
      </c>
      <c r="V124" s="4">
        <f t="shared" si="78"/>
        <v>0.9867978615748374</v>
      </c>
      <c r="W124" s="4">
        <f t="shared" si="78"/>
        <v>0.98114509762858249</v>
      </c>
      <c r="X124" s="4">
        <f t="shared" si="78"/>
        <v>0.97311898315872036</v>
      </c>
      <c r="Y124" s="4">
        <f t="shared" si="78"/>
        <v>0.96177484161592774</v>
      </c>
      <c r="Z124" s="4">
        <f t="shared" si="78"/>
        <v>0.94584787155511363</v>
      </c>
      <c r="AA124" s="4">
        <f t="shared" si="78"/>
        <v>0.92370360150141495</v>
      </c>
      <c r="AB124" s="4">
        <f t="shared" si="78"/>
        <v>0.89334463567658451</v>
      </c>
      <c r="AC124" s="4">
        <f t="shared" si="78"/>
        <v>0.85254543874327005</v>
      </c>
      <c r="AD124" s="4">
        <f t="shared" si="78"/>
        <v>0.79921300652623883</v>
      </c>
      <c r="AE124" s="4">
        <f t="shared" si="78"/>
        <v>0.73204982249993378</v>
      </c>
      <c r="AF124" s="4">
        <f t="shared" si="78"/>
        <v>0.65145592958786691</v>
      </c>
      <c r="AG124" s="4">
        <f t="shared" si="78"/>
        <v>0.56032247880849573</v>
      </c>
      <c r="AH124" s="4">
        <f t="shared" si="78"/>
        <v>0.46411326873185343</v>
      </c>
      <c r="AI124" s="4">
        <f t="shared" si="78"/>
        <v>0.36979727595523937</v>
      </c>
      <c r="AJ124" s="4">
        <f t="shared" si="78"/>
        <v>0.28393948637231203</v>
      </c>
      <c r="AK124" s="4">
        <f t="shared" si="78"/>
        <v>0.21097259161117732</v>
      </c>
      <c r="AL124" s="4">
        <f t="shared" si="78"/>
        <v>0.15253917653798199</v>
      </c>
      <c r="AM124" s="4">
        <f t="shared" si="78"/>
        <v>0.10795188737709993</v>
      </c>
      <c r="AN124" s="4">
        <f t="shared" si="78"/>
        <v>7.5176653938091809E-2</v>
      </c>
      <c r="AO124" s="4">
        <f t="shared" si="78"/>
        <v>5.1742836177502194E-2</v>
      </c>
      <c r="AP124" s="4">
        <f t="shared" si="78"/>
        <v>3.5319190625345942E-2</v>
      </c>
      <c r="AQ124" s="4">
        <f t="shared" si="78"/>
        <v>2.3969442072658165E-2</v>
      </c>
      <c r="AR124" s="4">
        <f t="shared" si="78"/>
        <v>1.6202243558389728E-2</v>
      </c>
    </row>
    <row r="125" spans="1:44" x14ac:dyDescent="0.25">
      <c r="A125" s="24" t="s">
        <v>59</v>
      </c>
      <c r="B125" s="60">
        <f>'Parameter Input'!$L$197</f>
        <v>589</v>
      </c>
      <c r="C125" s="61">
        <f>'Parameter Input'!$M$197</f>
        <v>519</v>
      </c>
      <c r="D125" s="1" t="s">
        <v>60</v>
      </c>
      <c r="L125" s="54">
        <f>'Parameter Input'!$O$197</f>
        <v>17</v>
      </c>
      <c r="M125" s="37">
        <v>0</v>
      </c>
      <c r="N125" s="37">
        <v>1</v>
      </c>
      <c r="O125" s="37">
        <f>'Parameter Input'!$P$197</f>
        <v>0.9</v>
      </c>
      <c r="P125" s="55">
        <f>'Parameter Input'!$Q$197</f>
        <v>0.4</v>
      </c>
      <c r="Q125" s="4">
        <f t="shared" si="78"/>
        <v>0.99780374543478534</v>
      </c>
      <c r="R125" s="4">
        <f t="shared" si="78"/>
        <v>0.99685359315256394</v>
      </c>
      <c r="S125" s="4">
        <f t="shared" si="78"/>
        <v>0.99549347132349975</v>
      </c>
      <c r="T125" s="4">
        <f t="shared" si="78"/>
        <v>0.99354772139898062</v>
      </c>
      <c r="U125" s="4">
        <f t="shared" si="78"/>
        <v>0.99076681540580536</v>
      </c>
      <c r="V125" s="4">
        <f t="shared" si="78"/>
        <v>0.9867978615748374</v>
      </c>
      <c r="W125" s="4">
        <f t="shared" si="78"/>
        <v>0.98114509762858249</v>
      </c>
      <c r="X125" s="4">
        <f t="shared" si="78"/>
        <v>0.97311898315872036</v>
      </c>
      <c r="Y125" s="4">
        <f t="shared" si="78"/>
        <v>0.96177484161592774</v>
      </c>
      <c r="Z125" s="4">
        <f t="shared" si="78"/>
        <v>0.94584787155511363</v>
      </c>
      <c r="AA125" s="4">
        <f t="shared" si="78"/>
        <v>0.92370360150141495</v>
      </c>
      <c r="AB125" s="4">
        <f t="shared" si="78"/>
        <v>0.89334463567658451</v>
      </c>
      <c r="AC125" s="4">
        <f t="shared" si="78"/>
        <v>0.85254543874327005</v>
      </c>
      <c r="AD125" s="4">
        <f t="shared" si="78"/>
        <v>0.79921300652623883</v>
      </c>
      <c r="AE125" s="4">
        <f t="shared" si="78"/>
        <v>0.73204982249993378</v>
      </c>
      <c r="AF125" s="4">
        <f t="shared" si="78"/>
        <v>0.65145592958786691</v>
      </c>
      <c r="AG125" s="4">
        <f t="shared" si="78"/>
        <v>0.56032247880849573</v>
      </c>
      <c r="AH125" s="4">
        <f t="shared" si="78"/>
        <v>0.46411326873185343</v>
      </c>
      <c r="AI125" s="4">
        <f t="shared" si="78"/>
        <v>0.36979727595523937</v>
      </c>
      <c r="AJ125" s="4">
        <f t="shared" si="78"/>
        <v>0.28393948637231203</v>
      </c>
      <c r="AK125" s="4">
        <f t="shared" si="78"/>
        <v>0.21097259161117732</v>
      </c>
      <c r="AL125" s="4">
        <f t="shared" si="78"/>
        <v>0.15253917653798199</v>
      </c>
      <c r="AM125" s="4">
        <f t="shared" si="78"/>
        <v>0.10795188737709993</v>
      </c>
      <c r="AN125" s="4">
        <f t="shared" si="78"/>
        <v>7.5176653938091809E-2</v>
      </c>
      <c r="AO125" s="4">
        <f t="shared" si="78"/>
        <v>5.1742836177502194E-2</v>
      </c>
      <c r="AP125" s="4">
        <f t="shared" si="78"/>
        <v>3.5319190625345942E-2</v>
      </c>
      <c r="AQ125" s="4">
        <f t="shared" si="78"/>
        <v>2.3969442072658165E-2</v>
      </c>
      <c r="AR125" s="4">
        <f t="shared" si="78"/>
        <v>1.6202243558389728E-2</v>
      </c>
    </row>
    <row r="126" spans="1:44" x14ac:dyDescent="0.25">
      <c r="A126" s="24" t="s">
        <v>67</v>
      </c>
      <c r="B126" s="78">
        <f>'Parameter Input'!$L$198</f>
        <v>0.23976160758395154</v>
      </c>
      <c r="C126" s="61">
        <f>'Parameter Input'!$M$198</f>
        <v>0.11428118371505049</v>
      </c>
      <c r="D126" s="1" t="s">
        <v>68</v>
      </c>
      <c r="L126" s="54">
        <f>'Parameter Input'!$O$198</f>
        <v>14</v>
      </c>
      <c r="M126" s="37">
        <v>0</v>
      </c>
      <c r="N126" s="37">
        <v>1</v>
      </c>
      <c r="O126" s="37">
        <f>'Parameter Input'!$P$198</f>
        <v>0.9</v>
      </c>
      <c r="P126" s="55">
        <f>'Parameter Input'!$Q$198</f>
        <v>0.4</v>
      </c>
      <c r="Q126" s="4">
        <f t="shared" si="78"/>
        <v>0.99354772139898062</v>
      </c>
      <c r="R126" s="4">
        <f t="shared" si="78"/>
        <v>0.99076681540580536</v>
      </c>
      <c r="S126" s="4">
        <f t="shared" si="78"/>
        <v>0.9867978615748374</v>
      </c>
      <c r="T126" s="4">
        <f t="shared" ref="T126:AI133" si="79">$N126+($M126-$N126)*((1/(1+EXP(-$P126*(T$9-$L126)))^$O126))</f>
        <v>0.98114509762858249</v>
      </c>
      <c r="U126" s="4">
        <f t="shared" si="79"/>
        <v>0.97311898315872036</v>
      </c>
      <c r="V126" s="4">
        <f t="shared" si="79"/>
        <v>0.96177484161592774</v>
      </c>
      <c r="W126" s="4">
        <f t="shared" si="79"/>
        <v>0.94584787155511363</v>
      </c>
      <c r="X126" s="4">
        <f t="shared" si="79"/>
        <v>0.92370360150141495</v>
      </c>
      <c r="Y126" s="4">
        <f t="shared" si="79"/>
        <v>0.89334463567658451</v>
      </c>
      <c r="Z126" s="4">
        <f t="shared" si="79"/>
        <v>0.85254543874327005</v>
      </c>
      <c r="AA126" s="4">
        <f t="shared" si="79"/>
        <v>0.79921300652623883</v>
      </c>
      <c r="AB126" s="4">
        <f t="shared" si="79"/>
        <v>0.73204982249993378</v>
      </c>
      <c r="AC126" s="4">
        <f t="shared" si="79"/>
        <v>0.65145592958786691</v>
      </c>
      <c r="AD126" s="4">
        <f t="shared" si="79"/>
        <v>0.56032247880849573</v>
      </c>
      <c r="AE126" s="4">
        <f t="shared" si="79"/>
        <v>0.46411326873185343</v>
      </c>
      <c r="AF126" s="4">
        <f t="shared" si="79"/>
        <v>0.36979727595523937</v>
      </c>
      <c r="AG126" s="4">
        <f t="shared" si="79"/>
        <v>0.28393948637231203</v>
      </c>
      <c r="AH126" s="4">
        <f t="shared" si="79"/>
        <v>0.21097259161117732</v>
      </c>
      <c r="AI126" s="4">
        <f t="shared" si="79"/>
        <v>0.15253917653798199</v>
      </c>
      <c r="AJ126" s="4">
        <f t="shared" ref="AJ126:AR133" si="80">$N126+($M126-$N126)*((1/(1+EXP(-$P126*(AJ$9-$L126)))^$O126))</f>
        <v>0.10795188737709993</v>
      </c>
      <c r="AK126" s="4">
        <f t="shared" si="80"/>
        <v>7.5176653938091809E-2</v>
      </c>
      <c r="AL126" s="4">
        <f t="shared" si="80"/>
        <v>5.1742836177502194E-2</v>
      </c>
      <c r="AM126" s="4">
        <f t="shared" si="80"/>
        <v>3.5319190625345942E-2</v>
      </c>
      <c r="AN126" s="4">
        <f t="shared" si="80"/>
        <v>2.3969442072658165E-2</v>
      </c>
      <c r="AO126" s="4">
        <f t="shared" si="80"/>
        <v>1.6202243558389728E-2</v>
      </c>
      <c r="AP126" s="4">
        <f t="shared" si="80"/>
        <v>1.0922240564108399E-2</v>
      </c>
      <c r="AQ126" s="4">
        <f t="shared" si="80"/>
        <v>7.3493212906090566E-3</v>
      </c>
      <c r="AR126" s="4">
        <f t="shared" si="80"/>
        <v>4.9390262185057265E-3</v>
      </c>
    </row>
    <row r="127" spans="1:44" x14ac:dyDescent="0.25">
      <c r="A127" s="24" t="s">
        <v>206</v>
      </c>
      <c r="B127" s="115">
        <f>'Parameter Input'!$L$201</f>
        <v>2.4919230769230767</v>
      </c>
      <c r="C127" s="116">
        <f>'Parameter Input'!$M$201</f>
        <v>0</v>
      </c>
      <c r="D127" s="1" t="s">
        <v>76</v>
      </c>
      <c r="L127" s="54">
        <f>'Parameter Input'!$O$201</f>
        <v>17</v>
      </c>
      <c r="M127" s="37">
        <v>0</v>
      </c>
      <c r="N127" s="37">
        <v>1</v>
      </c>
      <c r="O127" s="37">
        <f>'Parameter Input'!$P$201</f>
        <v>0.9</v>
      </c>
      <c r="P127" s="55">
        <f>'Parameter Input'!$Q$201</f>
        <v>0.4</v>
      </c>
      <c r="Q127" s="4">
        <f t="shared" ref="Q127:AR127" si="81">$N127+($M127-$N127)*((1/(1+EXP(-$P127*(Q$9-$L127)))^$O127))</f>
        <v>0.99780374543478534</v>
      </c>
      <c r="R127" s="4">
        <f t="shared" si="81"/>
        <v>0.99685359315256394</v>
      </c>
      <c r="S127" s="4">
        <f t="shared" si="81"/>
        <v>0.99549347132349975</v>
      </c>
      <c r="T127" s="4">
        <f t="shared" si="81"/>
        <v>0.99354772139898062</v>
      </c>
      <c r="U127" s="4">
        <f t="shared" si="81"/>
        <v>0.99076681540580536</v>
      </c>
      <c r="V127" s="4">
        <f t="shared" si="81"/>
        <v>0.9867978615748374</v>
      </c>
      <c r="W127" s="4">
        <f t="shared" si="81"/>
        <v>0.98114509762858249</v>
      </c>
      <c r="X127" s="4">
        <f t="shared" si="81"/>
        <v>0.97311898315872036</v>
      </c>
      <c r="Y127" s="4">
        <f t="shared" si="81"/>
        <v>0.96177484161592774</v>
      </c>
      <c r="Z127" s="4">
        <f t="shared" si="81"/>
        <v>0.94584787155511363</v>
      </c>
      <c r="AA127" s="4">
        <f t="shared" si="81"/>
        <v>0.92370360150141495</v>
      </c>
      <c r="AB127" s="4">
        <f t="shared" si="81"/>
        <v>0.89334463567658451</v>
      </c>
      <c r="AC127" s="4">
        <f t="shared" si="81"/>
        <v>0.85254543874327005</v>
      </c>
      <c r="AD127" s="4">
        <f t="shared" si="81"/>
        <v>0.79921300652623883</v>
      </c>
      <c r="AE127" s="4">
        <f t="shared" si="81"/>
        <v>0.73204982249993378</v>
      </c>
      <c r="AF127" s="4">
        <f t="shared" si="81"/>
        <v>0.65145592958786691</v>
      </c>
      <c r="AG127" s="4">
        <f t="shared" si="81"/>
        <v>0.56032247880849573</v>
      </c>
      <c r="AH127" s="4">
        <f t="shared" si="81"/>
        <v>0.46411326873185343</v>
      </c>
      <c r="AI127" s="4">
        <f t="shared" si="81"/>
        <v>0.36979727595523937</v>
      </c>
      <c r="AJ127" s="4">
        <f t="shared" si="81"/>
        <v>0.28393948637231203</v>
      </c>
      <c r="AK127" s="4">
        <f t="shared" si="81"/>
        <v>0.21097259161117732</v>
      </c>
      <c r="AL127" s="4">
        <f t="shared" si="81"/>
        <v>0.15253917653798199</v>
      </c>
      <c r="AM127" s="4">
        <f t="shared" si="81"/>
        <v>0.10795188737709993</v>
      </c>
      <c r="AN127" s="4">
        <f t="shared" si="81"/>
        <v>7.5176653938091809E-2</v>
      </c>
      <c r="AO127" s="4">
        <f t="shared" si="81"/>
        <v>5.1742836177502194E-2</v>
      </c>
      <c r="AP127" s="4">
        <f t="shared" si="81"/>
        <v>3.5319190625345942E-2</v>
      </c>
      <c r="AQ127" s="4">
        <f t="shared" si="81"/>
        <v>2.3969442072658165E-2</v>
      </c>
      <c r="AR127" s="4">
        <f t="shared" si="81"/>
        <v>1.6202243558389728E-2</v>
      </c>
    </row>
    <row r="128" spans="1:44" x14ac:dyDescent="0.25">
      <c r="A128" s="24" t="s">
        <v>41</v>
      </c>
      <c r="B128" s="60">
        <f>'Parameter Input'!$L$195</f>
        <v>25</v>
      </c>
      <c r="C128" s="61">
        <f>'Parameter Input'!$M$195</f>
        <v>25</v>
      </c>
      <c r="D128" s="1" t="s">
        <v>42</v>
      </c>
      <c r="L128" s="54">
        <f>'Parameter Input'!$O$195</f>
        <v>17</v>
      </c>
      <c r="M128" s="37">
        <v>0</v>
      </c>
      <c r="N128" s="37">
        <v>1</v>
      </c>
      <c r="O128" s="37">
        <f>'Parameter Input'!$P$195</f>
        <v>0.9</v>
      </c>
      <c r="P128" s="55">
        <f>'Parameter Input'!$Q$195</f>
        <v>0.4</v>
      </c>
      <c r="Q128" s="4">
        <f t="shared" ref="Q128:AF133" si="82">$N128+($M128-$N128)*((1/(1+EXP(-$P128*(Q$9-$L128)))^$O128))</f>
        <v>0.99780374543478534</v>
      </c>
      <c r="R128" s="4">
        <f t="shared" si="82"/>
        <v>0.99685359315256394</v>
      </c>
      <c r="S128" s="4">
        <f t="shared" si="82"/>
        <v>0.99549347132349975</v>
      </c>
      <c r="T128" s="4">
        <f t="shared" si="82"/>
        <v>0.99354772139898062</v>
      </c>
      <c r="U128" s="4">
        <f t="shared" si="82"/>
        <v>0.99076681540580536</v>
      </c>
      <c r="V128" s="4">
        <f t="shared" si="82"/>
        <v>0.9867978615748374</v>
      </c>
      <c r="W128" s="4">
        <f t="shared" si="82"/>
        <v>0.98114509762858249</v>
      </c>
      <c r="X128" s="4">
        <f t="shared" si="82"/>
        <v>0.97311898315872036</v>
      </c>
      <c r="Y128" s="4">
        <f t="shared" si="82"/>
        <v>0.96177484161592774</v>
      </c>
      <c r="Z128" s="4">
        <f t="shared" si="82"/>
        <v>0.94584787155511363</v>
      </c>
      <c r="AA128" s="4">
        <f t="shared" si="82"/>
        <v>0.92370360150141495</v>
      </c>
      <c r="AB128" s="4">
        <f t="shared" si="82"/>
        <v>0.89334463567658451</v>
      </c>
      <c r="AC128" s="4">
        <f t="shared" si="82"/>
        <v>0.85254543874327005</v>
      </c>
      <c r="AD128" s="4">
        <f t="shared" si="82"/>
        <v>0.79921300652623883</v>
      </c>
      <c r="AE128" s="4">
        <f t="shared" si="82"/>
        <v>0.73204982249993378</v>
      </c>
      <c r="AF128" s="4">
        <f t="shared" si="82"/>
        <v>0.65145592958786691</v>
      </c>
      <c r="AG128" s="4">
        <f t="shared" si="79"/>
        <v>0.56032247880849573</v>
      </c>
      <c r="AH128" s="4">
        <f t="shared" si="79"/>
        <v>0.46411326873185343</v>
      </c>
      <c r="AI128" s="4">
        <f t="shared" si="79"/>
        <v>0.36979727595523937</v>
      </c>
      <c r="AJ128" s="4">
        <f t="shared" si="80"/>
        <v>0.28393948637231203</v>
      </c>
      <c r="AK128" s="4">
        <f t="shared" si="80"/>
        <v>0.21097259161117732</v>
      </c>
      <c r="AL128" s="4">
        <f t="shared" si="80"/>
        <v>0.15253917653798199</v>
      </c>
      <c r="AM128" s="4">
        <f t="shared" si="80"/>
        <v>0.10795188737709993</v>
      </c>
      <c r="AN128" s="4">
        <f t="shared" si="80"/>
        <v>7.5176653938091809E-2</v>
      </c>
      <c r="AO128" s="4">
        <f t="shared" si="80"/>
        <v>5.1742836177502194E-2</v>
      </c>
      <c r="AP128" s="4">
        <f t="shared" si="80"/>
        <v>3.5319190625345942E-2</v>
      </c>
      <c r="AQ128" s="4">
        <f t="shared" si="80"/>
        <v>2.3969442072658165E-2</v>
      </c>
      <c r="AR128" s="4">
        <f t="shared" si="80"/>
        <v>1.6202243558389728E-2</v>
      </c>
    </row>
    <row r="129" spans="1:44" x14ac:dyDescent="0.25">
      <c r="A129" s="24" t="s">
        <v>70</v>
      </c>
      <c r="B129" s="60">
        <f>'Parameter Input'!B174</f>
        <v>25</v>
      </c>
      <c r="C129" s="61">
        <f>'Parameter Input'!C174</f>
        <v>25</v>
      </c>
      <c r="D129" s="1" t="s">
        <v>42</v>
      </c>
      <c r="L129" s="54">
        <f>'Parameter Input'!E174</f>
        <v>17</v>
      </c>
      <c r="M129" s="37">
        <v>0</v>
      </c>
      <c r="N129" s="37">
        <v>1</v>
      </c>
      <c r="O129" s="37">
        <f>'Parameter Input'!F174</f>
        <v>0.9</v>
      </c>
      <c r="P129" s="55">
        <f>'Parameter Input'!G174</f>
        <v>0.4</v>
      </c>
      <c r="Q129" s="4">
        <f t="shared" si="82"/>
        <v>0.99780374543478534</v>
      </c>
      <c r="R129" s="4">
        <f t="shared" si="82"/>
        <v>0.99685359315256394</v>
      </c>
      <c r="S129" s="4">
        <f t="shared" si="82"/>
        <v>0.99549347132349975</v>
      </c>
      <c r="T129" s="4">
        <f t="shared" si="82"/>
        <v>0.99354772139898062</v>
      </c>
      <c r="U129" s="4">
        <f t="shared" si="82"/>
        <v>0.99076681540580536</v>
      </c>
      <c r="V129" s="4">
        <f t="shared" si="82"/>
        <v>0.9867978615748374</v>
      </c>
      <c r="W129" s="4">
        <f t="shared" si="82"/>
        <v>0.98114509762858249</v>
      </c>
      <c r="X129" s="4">
        <f t="shared" si="82"/>
        <v>0.97311898315872036</v>
      </c>
      <c r="Y129" s="4">
        <f t="shared" si="82"/>
        <v>0.96177484161592774</v>
      </c>
      <c r="Z129" s="4">
        <f t="shared" si="82"/>
        <v>0.94584787155511363</v>
      </c>
      <c r="AA129" s="4">
        <f t="shared" si="82"/>
        <v>0.92370360150141495</v>
      </c>
      <c r="AB129" s="4">
        <f t="shared" si="82"/>
        <v>0.89334463567658451</v>
      </c>
      <c r="AC129" s="4">
        <f t="shared" si="82"/>
        <v>0.85254543874327005</v>
      </c>
      <c r="AD129" s="4">
        <f t="shared" si="82"/>
        <v>0.79921300652623883</v>
      </c>
      <c r="AE129" s="4">
        <f t="shared" si="82"/>
        <v>0.73204982249993378</v>
      </c>
      <c r="AF129" s="4">
        <f t="shared" si="82"/>
        <v>0.65145592958786691</v>
      </c>
      <c r="AG129" s="4">
        <f t="shared" si="79"/>
        <v>0.56032247880849573</v>
      </c>
      <c r="AH129" s="4">
        <f t="shared" si="79"/>
        <v>0.46411326873185343</v>
      </c>
      <c r="AI129" s="4">
        <f t="shared" si="79"/>
        <v>0.36979727595523937</v>
      </c>
      <c r="AJ129" s="4">
        <f t="shared" si="80"/>
        <v>0.28393948637231203</v>
      </c>
      <c r="AK129" s="4">
        <f t="shared" si="80"/>
        <v>0.21097259161117732</v>
      </c>
      <c r="AL129" s="4">
        <f t="shared" si="80"/>
        <v>0.15253917653798199</v>
      </c>
      <c r="AM129" s="4">
        <f t="shared" si="80"/>
        <v>0.10795188737709993</v>
      </c>
      <c r="AN129" s="4">
        <f t="shared" si="80"/>
        <v>7.5176653938091809E-2</v>
      </c>
      <c r="AO129" s="4">
        <f t="shared" si="80"/>
        <v>5.1742836177502194E-2</v>
      </c>
      <c r="AP129" s="4">
        <f t="shared" si="80"/>
        <v>3.5319190625345942E-2</v>
      </c>
      <c r="AQ129" s="4">
        <f t="shared" si="80"/>
        <v>2.3969442072658165E-2</v>
      </c>
      <c r="AR129" s="4">
        <f t="shared" si="80"/>
        <v>1.6202243558389728E-2</v>
      </c>
    </row>
    <row r="130" spans="1:44" x14ac:dyDescent="0.25">
      <c r="A130" s="24" t="s">
        <v>207</v>
      </c>
      <c r="B130" s="43">
        <f>'Parameter Input'!B171</f>
        <v>9450</v>
      </c>
      <c r="C130" s="44">
        <f>'Parameter Input'!C171</f>
        <v>9450</v>
      </c>
      <c r="D130" s="1" t="s">
        <v>49</v>
      </c>
      <c r="L130" s="54">
        <f>'Parameter Input'!E171</f>
        <v>17</v>
      </c>
      <c r="M130" s="37">
        <v>0</v>
      </c>
      <c r="N130" s="37">
        <v>1</v>
      </c>
      <c r="O130" s="37">
        <f>'Parameter Input'!F171</f>
        <v>0.9</v>
      </c>
      <c r="P130" s="55">
        <f>'Parameter Input'!G171</f>
        <v>0.4</v>
      </c>
      <c r="Q130" s="4">
        <f t="shared" si="82"/>
        <v>0.99780374543478534</v>
      </c>
      <c r="R130" s="4">
        <f t="shared" si="82"/>
        <v>0.99685359315256394</v>
      </c>
      <c r="S130" s="4">
        <f t="shared" si="82"/>
        <v>0.99549347132349975</v>
      </c>
      <c r="T130" s="4">
        <f t="shared" si="82"/>
        <v>0.99354772139898062</v>
      </c>
      <c r="U130" s="4">
        <f t="shared" si="82"/>
        <v>0.99076681540580536</v>
      </c>
      <c r="V130" s="4">
        <f t="shared" si="82"/>
        <v>0.9867978615748374</v>
      </c>
      <c r="W130" s="4">
        <f t="shared" si="82"/>
        <v>0.98114509762858249</v>
      </c>
      <c r="X130" s="4">
        <f t="shared" si="82"/>
        <v>0.97311898315872036</v>
      </c>
      <c r="Y130" s="4">
        <f t="shared" si="82"/>
        <v>0.96177484161592774</v>
      </c>
      <c r="Z130" s="4">
        <f t="shared" si="82"/>
        <v>0.94584787155511363</v>
      </c>
      <c r="AA130" s="4">
        <f t="shared" si="82"/>
        <v>0.92370360150141495</v>
      </c>
      <c r="AB130" s="4">
        <f t="shared" si="82"/>
        <v>0.89334463567658451</v>
      </c>
      <c r="AC130" s="4">
        <f t="shared" si="82"/>
        <v>0.85254543874327005</v>
      </c>
      <c r="AD130" s="4">
        <f t="shared" si="82"/>
        <v>0.79921300652623883</v>
      </c>
      <c r="AE130" s="4">
        <f t="shared" si="82"/>
        <v>0.73204982249993378</v>
      </c>
      <c r="AF130" s="4">
        <f t="shared" si="82"/>
        <v>0.65145592958786691</v>
      </c>
      <c r="AG130" s="4">
        <f t="shared" si="79"/>
        <v>0.56032247880849573</v>
      </c>
      <c r="AH130" s="4">
        <f t="shared" si="79"/>
        <v>0.46411326873185343</v>
      </c>
      <c r="AI130" s="4">
        <f t="shared" si="79"/>
        <v>0.36979727595523937</v>
      </c>
      <c r="AJ130" s="4">
        <f t="shared" si="80"/>
        <v>0.28393948637231203</v>
      </c>
      <c r="AK130" s="4">
        <f t="shared" si="80"/>
        <v>0.21097259161117732</v>
      </c>
      <c r="AL130" s="4">
        <f t="shared" si="80"/>
        <v>0.15253917653798199</v>
      </c>
      <c r="AM130" s="4">
        <f t="shared" si="80"/>
        <v>0.10795188737709993</v>
      </c>
      <c r="AN130" s="4">
        <f t="shared" si="80"/>
        <v>7.5176653938091809E-2</v>
      </c>
      <c r="AO130" s="4">
        <f t="shared" si="80"/>
        <v>5.1742836177502194E-2</v>
      </c>
      <c r="AP130" s="4">
        <f t="shared" si="80"/>
        <v>3.5319190625345942E-2</v>
      </c>
      <c r="AQ130" s="4">
        <f t="shared" si="80"/>
        <v>2.3969442072658165E-2</v>
      </c>
      <c r="AR130" s="4">
        <f t="shared" si="80"/>
        <v>1.6202243558389728E-2</v>
      </c>
    </row>
    <row r="131" spans="1:44" x14ac:dyDescent="0.25">
      <c r="A131" s="24" t="s">
        <v>56</v>
      </c>
      <c r="B131" s="45">
        <f>'Parameter Input'!B172</f>
        <v>0.57333333333333336</v>
      </c>
      <c r="C131" s="46">
        <f>'Parameter Input'!C172</f>
        <v>0.57333333333333336</v>
      </c>
      <c r="D131" s="1" t="s">
        <v>57</v>
      </c>
      <c r="L131" s="54">
        <f>'Parameter Input'!E172</f>
        <v>17</v>
      </c>
      <c r="M131" s="37">
        <v>0</v>
      </c>
      <c r="N131" s="37">
        <v>1</v>
      </c>
      <c r="O131" s="37">
        <f>'Parameter Input'!F172</f>
        <v>0.9</v>
      </c>
      <c r="P131" s="55">
        <f>'Parameter Input'!G172</f>
        <v>0.4</v>
      </c>
      <c r="Q131" s="4">
        <f t="shared" si="82"/>
        <v>0.99780374543478534</v>
      </c>
      <c r="R131" s="4">
        <f t="shared" si="82"/>
        <v>0.99685359315256394</v>
      </c>
      <c r="S131" s="4">
        <f t="shared" si="82"/>
        <v>0.99549347132349975</v>
      </c>
      <c r="T131" s="4">
        <f t="shared" si="82"/>
        <v>0.99354772139898062</v>
      </c>
      <c r="U131" s="4">
        <f t="shared" si="82"/>
        <v>0.99076681540580536</v>
      </c>
      <c r="V131" s="4">
        <f t="shared" si="82"/>
        <v>0.9867978615748374</v>
      </c>
      <c r="W131" s="4">
        <f t="shared" si="82"/>
        <v>0.98114509762858249</v>
      </c>
      <c r="X131" s="4">
        <f t="shared" si="82"/>
        <v>0.97311898315872036</v>
      </c>
      <c r="Y131" s="4">
        <f t="shared" si="82"/>
        <v>0.96177484161592774</v>
      </c>
      <c r="Z131" s="4">
        <f t="shared" si="82"/>
        <v>0.94584787155511363</v>
      </c>
      <c r="AA131" s="4">
        <f t="shared" si="82"/>
        <v>0.92370360150141495</v>
      </c>
      <c r="AB131" s="4">
        <f t="shared" si="82"/>
        <v>0.89334463567658451</v>
      </c>
      <c r="AC131" s="4">
        <f t="shared" si="82"/>
        <v>0.85254543874327005</v>
      </c>
      <c r="AD131" s="4">
        <f t="shared" si="82"/>
        <v>0.79921300652623883</v>
      </c>
      <c r="AE131" s="4">
        <f t="shared" si="82"/>
        <v>0.73204982249993378</v>
      </c>
      <c r="AF131" s="4">
        <f t="shared" si="82"/>
        <v>0.65145592958786691</v>
      </c>
      <c r="AG131" s="4">
        <f t="shared" si="79"/>
        <v>0.56032247880849573</v>
      </c>
      <c r="AH131" s="4">
        <f t="shared" si="79"/>
        <v>0.46411326873185343</v>
      </c>
      <c r="AI131" s="4">
        <f t="shared" si="79"/>
        <v>0.36979727595523937</v>
      </c>
      <c r="AJ131" s="4">
        <f t="shared" si="80"/>
        <v>0.28393948637231203</v>
      </c>
      <c r="AK131" s="4">
        <f t="shared" si="80"/>
        <v>0.21097259161117732</v>
      </c>
      <c r="AL131" s="4">
        <f t="shared" si="80"/>
        <v>0.15253917653798199</v>
      </c>
      <c r="AM131" s="4">
        <f t="shared" si="80"/>
        <v>0.10795188737709993</v>
      </c>
      <c r="AN131" s="4">
        <f t="shared" si="80"/>
        <v>7.5176653938091809E-2</v>
      </c>
      <c r="AO131" s="4">
        <f t="shared" si="80"/>
        <v>5.1742836177502194E-2</v>
      </c>
      <c r="AP131" s="4">
        <f t="shared" si="80"/>
        <v>3.5319190625345942E-2</v>
      </c>
      <c r="AQ131" s="4">
        <f t="shared" si="80"/>
        <v>2.3969442072658165E-2</v>
      </c>
      <c r="AR131" s="4">
        <f t="shared" si="80"/>
        <v>1.6202243558389728E-2</v>
      </c>
    </row>
    <row r="132" spans="1:44" x14ac:dyDescent="0.25">
      <c r="A132" s="24" t="s">
        <v>73</v>
      </c>
      <c r="B132" s="45">
        <f>'Parameter Input'!$L$199</f>
        <v>0.08</v>
      </c>
      <c r="C132" s="46">
        <f>'Parameter Input'!$M$199</f>
        <v>7.0000000000000007E-2</v>
      </c>
      <c r="D132" s="1" t="s">
        <v>57</v>
      </c>
      <c r="L132" s="54">
        <f>'Parameter Input'!$O$199</f>
        <v>17</v>
      </c>
      <c r="M132" s="37">
        <v>0</v>
      </c>
      <c r="N132" s="37">
        <v>1</v>
      </c>
      <c r="O132" s="37">
        <f>'Parameter Input'!$P$199</f>
        <v>0.9</v>
      </c>
      <c r="P132" s="55">
        <f>'Parameter Input'!$Q$199</f>
        <v>0.4</v>
      </c>
      <c r="Q132" s="4">
        <f t="shared" si="82"/>
        <v>0.99780374543478534</v>
      </c>
      <c r="R132" s="4">
        <f t="shared" si="82"/>
        <v>0.99685359315256394</v>
      </c>
      <c r="S132" s="4">
        <f t="shared" si="82"/>
        <v>0.99549347132349975</v>
      </c>
      <c r="T132" s="4">
        <f t="shared" si="82"/>
        <v>0.99354772139898062</v>
      </c>
      <c r="U132" s="4">
        <f t="shared" si="82"/>
        <v>0.99076681540580536</v>
      </c>
      <c r="V132" s="4">
        <f t="shared" si="82"/>
        <v>0.9867978615748374</v>
      </c>
      <c r="W132" s="4">
        <f t="shared" si="82"/>
        <v>0.98114509762858249</v>
      </c>
      <c r="X132" s="4">
        <f t="shared" si="82"/>
        <v>0.97311898315872036</v>
      </c>
      <c r="Y132" s="4">
        <f t="shared" si="82"/>
        <v>0.96177484161592774</v>
      </c>
      <c r="Z132" s="4">
        <f t="shared" si="82"/>
        <v>0.94584787155511363</v>
      </c>
      <c r="AA132" s="4">
        <f t="shared" si="82"/>
        <v>0.92370360150141495</v>
      </c>
      <c r="AB132" s="4">
        <f t="shared" si="82"/>
        <v>0.89334463567658451</v>
      </c>
      <c r="AC132" s="4">
        <f t="shared" si="82"/>
        <v>0.85254543874327005</v>
      </c>
      <c r="AD132" s="4">
        <f t="shared" si="82"/>
        <v>0.79921300652623883</v>
      </c>
      <c r="AE132" s="4">
        <f t="shared" si="82"/>
        <v>0.73204982249993378</v>
      </c>
      <c r="AF132" s="4">
        <f t="shared" si="82"/>
        <v>0.65145592958786691</v>
      </c>
      <c r="AG132" s="4">
        <f t="shared" si="79"/>
        <v>0.56032247880849573</v>
      </c>
      <c r="AH132" s="4">
        <f t="shared" si="79"/>
        <v>0.46411326873185343</v>
      </c>
      <c r="AI132" s="4">
        <f t="shared" si="79"/>
        <v>0.36979727595523937</v>
      </c>
      <c r="AJ132" s="4">
        <f t="shared" si="80"/>
        <v>0.28393948637231203</v>
      </c>
      <c r="AK132" s="4">
        <f t="shared" si="80"/>
        <v>0.21097259161117732</v>
      </c>
      <c r="AL132" s="4">
        <f t="shared" si="80"/>
        <v>0.15253917653798199</v>
      </c>
      <c r="AM132" s="4">
        <f t="shared" si="80"/>
        <v>0.10795188737709993</v>
      </c>
      <c r="AN132" s="4">
        <f t="shared" si="80"/>
        <v>7.5176653938091809E-2</v>
      </c>
      <c r="AO132" s="4">
        <f t="shared" si="80"/>
        <v>5.1742836177502194E-2</v>
      </c>
      <c r="AP132" s="4">
        <f t="shared" si="80"/>
        <v>3.5319190625345942E-2</v>
      </c>
      <c r="AQ132" s="4">
        <f t="shared" si="80"/>
        <v>2.3969442072658165E-2</v>
      </c>
      <c r="AR132" s="4">
        <f t="shared" si="80"/>
        <v>1.6202243558389728E-2</v>
      </c>
    </row>
    <row r="133" spans="1:44" ht="15.75" thickBot="1" x14ac:dyDescent="0.3">
      <c r="A133" s="24" t="s">
        <v>64</v>
      </c>
      <c r="B133" s="49">
        <f>'Parameter Input'!B173</f>
        <v>120000</v>
      </c>
      <c r="C133" s="50">
        <f>'Parameter Input'!C173</f>
        <v>120000</v>
      </c>
      <c r="D133" s="1" t="s">
        <v>65</v>
      </c>
      <c r="L133" s="56">
        <f>'Parameter Input'!E173</f>
        <v>17</v>
      </c>
      <c r="M133" s="57">
        <v>0</v>
      </c>
      <c r="N133" s="57">
        <v>1</v>
      </c>
      <c r="O133" s="57">
        <f>'Parameter Input'!F173</f>
        <v>0.9</v>
      </c>
      <c r="P133" s="58">
        <f>'Parameter Input'!G173</f>
        <v>0.4</v>
      </c>
      <c r="Q133" s="4">
        <f t="shared" si="82"/>
        <v>0.99780374543478534</v>
      </c>
      <c r="R133" s="4">
        <f t="shared" si="82"/>
        <v>0.99685359315256394</v>
      </c>
      <c r="S133" s="4">
        <f t="shared" si="82"/>
        <v>0.99549347132349975</v>
      </c>
      <c r="T133" s="4">
        <f t="shared" si="82"/>
        <v>0.99354772139898062</v>
      </c>
      <c r="U133" s="4">
        <f t="shared" si="82"/>
        <v>0.99076681540580536</v>
      </c>
      <c r="V133" s="4">
        <f t="shared" si="82"/>
        <v>0.9867978615748374</v>
      </c>
      <c r="W133" s="4">
        <f t="shared" si="82"/>
        <v>0.98114509762858249</v>
      </c>
      <c r="X133" s="4">
        <f t="shared" si="82"/>
        <v>0.97311898315872036</v>
      </c>
      <c r="Y133" s="4">
        <f t="shared" si="82"/>
        <v>0.96177484161592774</v>
      </c>
      <c r="Z133" s="4">
        <f t="shared" si="82"/>
        <v>0.94584787155511363</v>
      </c>
      <c r="AA133" s="4">
        <f t="shared" si="82"/>
        <v>0.92370360150141495</v>
      </c>
      <c r="AB133" s="4">
        <f t="shared" si="82"/>
        <v>0.89334463567658451</v>
      </c>
      <c r="AC133" s="4">
        <f t="shared" si="82"/>
        <v>0.85254543874327005</v>
      </c>
      <c r="AD133" s="4">
        <f t="shared" si="82"/>
        <v>0.79921300652623883</v>
      </c>
      <c r="AE133" s="4">
        <f t="shared" si="82"/>
        <v>0.73204982249993378</v>
      </c>
      <c r="AF133" s="4">
        <f t="shared" si="82"/>
        <v>0.65145592958786691</v>
      </c>
      <c r="AG133" s="4">
        <f t="shared" si="79"/>
        <v>0.56032247880849573</v>
      </c>
      <c r="AH133" s="4">
        <f t="shared" si="79"/>
        <v>0.46411326873185343</v>
      </c>
      <c r="AI133" s="4">
        <f t="shared" si="79"/>
        <v>0.36979727595523937</v>
      </c>
      <c r="AJ133" s="4">
        <f t="shared" si="80"/>
        <v>0.28393948637231203</v>
      </c>
      <c r="AK133" s="4">
        <f t="shared" si="80"/>
        <v>0.21097259161117732</v>
      </c>
      <c r="AL133" s="4">
        <f t="shared" si="80"/>
        <v>0.15253917653798199</v>
      </c>
      <c r="AM133" s="4">
        <f t="shared" si="80"/>
        <v>0.10795188737709993</v>
      </c>
      <c r="AN133" s="4">
        <f t="shared" si="80"/>
        <v>7.5176653938091809E-2</v>
      </c>
      <c r="AO133" s="4">
        <f t="shared" si="80"/>
        <v>5.1742836177502194E-2</v>
      </c>
      <c r="AP133" s="4">
        <f t="shared" si="80"/>
        <v>3.5319190625345942E-2</v>
      </c>
      <c r="AQ133" s="4">
        <f t="shared" si="80"/>
        <v>2.3969442072658165E-2</v>
      </c>
      <c r="AR133" s="4">
        <f t="shared" si="80"/>
        <v>1.6202243558389728E-2</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83">A117</f>
        <v>Capex vehicle</v>
      </c>
      <c r="B137" s="62">
        <f t="shared" ref="B137:B146" si="84">$B117+($C117-$B117)*(1-Q117)</f>
        <v>29973644.945217423</v>
      </c>
      <c r="C137" s="62">
        <f t="shared" ref="C137:C146" si="85">$B117+($C117-$B117)*(1-R117)</f>
        <v>29962243.117830768</v>
      </c>
      <c r="D137" s="62">
        <f t="shared" ref="D137:D146" si="86">$B117+($C117-$B117)*(1-S117)</f>
        <v>29945921.655881997</v>
      </c>
      <c r="E137" s="62">
        <f t="shared" ref="E137:E146" si="87">$B117+($C117-$B117)*(1-T117)</f>
        <v>29922572.656787768</v>
      </c>
      <c r="F137" s="62">
        <f t="shared" ref="F137:F146" si="88">$B117+($C117-$B117)*(1-U117)</f>
        <v>29889201.784869663</v>
      </c>
      <c r="G137" s="62">
        <f t="shared" ref="G137:G146" si="89">$B117+($C117-$B117)*(1-V117)</f>
        <v>29841574.338898048</v>
      </c>
      <c r="H137" s="62">
        <f t="shared" ref="H137:H146" si="90">$B117+($C117-$B117)*(1-W117)</f>
        <v>29773741.171542991</v>
      </c>
      <c r="I137" s="62">
        <f t="shared" ref="I137:I146" si="91">$B117+($C117-$B117)*(1-X117)</f>
        <v>29677427.797904644</v>
      </c>
      <c r="J137" s="62">
        <f t="shared" ref="J137:J146" si="92">$B117+($C117-$B117)*(1-Y117)</f>
        <v>29541298.099391133</v>
      </c>
      <c r="K137" s="62">
        <f t="shared" ref="K137:K146" si="93">$B117+($C117-$B117)*(1-Z117)</f>
        <v>29350174.458661363</v>
      </c>
      <c r="L137" s="62">
        <f t="shared" ref="L137:L146" si="94">$B117+($C117-$B117)*(1-AA117)</f>
        <v>29084443.218016978</v>
      </c>
      <c r="M137" s="62">
        <f t="shared" ref="M137:M146" si="95">$B117+($C117-$B117)*(1-AB117)</f>
        <v>28720135.628119014</v>
      </c>
      <c r="N137" s="62">
        <f t="shared" ref="N137:N146" si="96">$B117+($C117-$B117)*(1-AC117)</f>
        <v>28230545.26491924</v>
      </c>
      <c r="O137" s="62">
        <f t="shared" ref="O137:O146" si="97">$B117+($C117-$B117)*(1-AD117)</f>
        <v>27590556.078314867</v>
      </c>
      <c r="P137" s="62">
        <f t="shared" ref="P137:P146" si="98">$B117+($C117-$B117)*(1-AE117)</f>
        <v>26784597.869999204</v>
      </c>
      <c r="Q137" s="62">
        <f t="shared" ref="Q137:Q146" si="99">$B117+($C117-$B117)*(1-AF117)</f>
        <v>25817471.155054402</v>
      </c>
      <c r="R137" s="62">
        <f t="shared" ref="R137:R146" si="100">$B117+($C117-$B117)*(1-AG117)</f>
        <v>24723869.74570195</v>
      </c>
      <c r="S137" s="62">
        <f t="shared" ref="S137:S146" si="101">$B117+($C117-$B117)*(1-AH117)</f>
        <v>23569359.224782243</v>
      </c>
      <c r="T137" s="62">
        <f t="shared" ref="T137:T146" si="102">$B117+($C117-$B117)*(1-AI117)</f>
        <v>22437567.311462872</v>
      </c>
      <c r="U137" s="62">
        <f t="shared" ref="U137:U146" si="103">$B117+($C117-$B117)*(1-AJ117)</f>
        <v>21407273.836467743</v>
      </c>
      <c r="V137" s="62">
        <f t="shared" ref="V137:V146" si="104">$B117+($C117-$B117)*(1-AK117)</f>
        <v>20531671.099334128</v>
      </c>
      <c r="W137" s="62">
        <f t="shared" ref="W137:W146" si="105">$B117+($C117-$B117)*(1-AL117)</f>
        <v>19830470.118455783</v>
      </c>
      <c r="X137" s="62">
        <f t="shared" ref="X137:X146" si="106">$B117+($C117-$B117)*(1-AM117)</f>
        <v>19295422.648525201</v>
      </c>
      <c r="Y137" s="62">
        <f t="shared" ref="Y137:Y146" si="107">$B117+($C117-$B117)*(1-AN117)</f>
        <v>18902119.8472571</v>
      </c>
      <c r="Z137" s="62">
        <f t="shared" ref="Z137:Z146" si="108">$B117+($C117-$B117)*(1-AO117)</f>
        <v>18620914.034130026</v>
      </c>
      <c r="AA137" s="62">
        <f t="shared" ref="AA137:AA146" si="109">$B117+($C117-$B117)*(1-AP117)</f>
        <v>18423830.287504151</v>
      </c>
      <c r="AB137" s="62">
        <f t="shared" ref="AB137:AB146" si="110">$B117+($C117-$B117)*(1-AQ117)</f>
        <v>18287633.304871898</v>
      </c>
      <c r="AC137" s="62">
        <f t="shared" ref="AC137:AC146" si="111">$B117+($C117-$B117)*(1-AR117)</f>
        <v>18194426.922700677</v>
      </c>
    </row>
    <row r="138" spans="1:44" x14ac:dyDescent="0.25">
      <c r="A138" s="30" t="str">
        <f t="shared" si="83"/>
        <v>Residual value (vehicle)</v>
      </c>
      <c r="B138" s="62">
        <f t="shared" si="84"/>
        <v>-1500658.8763695643</v>
      </c>
      <c r="C138" s="62">
        <f t="shared" si="85"/>
        <v>-1500943.9220542307</v>
      </c>
      <c r="D138" s="62">
        <f t="shared" si="86"/>
        <v>-1501351.95860295</v>
      </c>
      <c r="E138" s="62">
        <f t="shared" si="87"/>
        <v>-1501935.6835803059</v>
      </c>
      <c r="F138" s="62">
        <f t="shared" si="88"/>
        <v>-1502769.9553782584</v>
      </c>
      <c r="G138" s="62">
        <f t="shared" si="89"/>
        <v>-1503960.6415275487</v>
      </c>
      <c r="H138" s="62">
        <f t="shared" si="90"/>
        <v>-1505656.4707114252</v>
      </c>
      <c r="I138" s="62">
        <f t="shared" si="91"/>
        <v>-1508064.3050523838</v>
      </c>
      <c r="J138" s="62">
        <f t="shared" si="92"/>
        <v>-1511467.5475152216</v>
      </c>
      <c r="K138" s="62">
        <f t="shared" si="93"/>
        <v>-1516245.6385334658</v>
      </c>
      <c r="L138" s="62">
        <f t="shared" si="94"/>
        <v>-1522888.9195495755</v>
      </c>
      <c r="M138" s="62">
        <f t="shared" si="95"/>
        <v>-1531996.6092970246</v>
      </c>
      <c r="N138" s="62">
        <f t="shared" si="96"/>
        <v>-1544236.368377019</v>
      </c>
      <c r="O138" s="62">
        <f t="shared" si="97"/>
        <v>-1560236.0980421284</v>
      </c>
      <c r="P138" s="62">
        <f t="shared" si="98"/>
        <v>-1580385.0532500199</v>
      </c>
      <c r="Q138" s="62">
        <f t="shared" si="99"/>
        <v>-1604563.22112364</v>
      </c>
      <c r="R138" s="62">
        <f t="shared" si="100"/>
        <v>-1631903.2563574512</v>
      </c>
      <c r="S138" s="62">
        <f t="shared" si="101"/>
        <v>-1660766.019380444</v>
      </c>
      <c r="T138" s="62">
        <f t="shared" si="102"/>
        <v>-1689060.8172134282</v>
      </c>
      <c r="U138" s="62">
        <f t="shared" si="103"/>
        <v>-1714818.1540883065</v>
      </c>
      <c r="V138" s="62">
        <f t="shared" si="104"/>
        <v>-1736708.2225166468</v>
      </c>
      <c r="W138" s="62">
        <f t="shared" si="105"/>
        <v>-1754238.2470386054</v>
      </c>
      <c r="X138" s="62">
        <f t="shared" si="106"/>
        <v>-1767614.43378687</v>
      </c>
      <c r="Y138" s="62">
        <f t="shared" si="107"/>
        <v>-1777447.0038185725</v>
      </c>
      <c r="Z138" s="62">
        <f t="shared" si="108"/>
        <v>-1784477.1491467494</v>
      </c>
      <c r="AA138" s="62">
        <f t="shared" si="109"/>
        <v>-1789404.2428123963</v>
      </c>
      <c r="AB138" s="62">
        <f t="shared" si="110"/>
        <v>-1792809.1673782025</v>
      </c>
      <c r="AC138" s="62">
        <f t="shared" si="111"/>
        <v>-1795139.3269324831</v>
      </c>
    </row>
    <row r="139" spans="1:44" x14ac:dyDescent="0.25">
      <c r="A139" s="30" t="str">
        <f t="shared" si="83"/>
        <v>Capex costumization</v>
      </c>
      <c r="B139" s="62">
        <f t="shared" si="84"/>
        <v>5000000</v>
      </c>
      <c r="C139" s="62">
        <f t="shared" si="85"/>
        <v>5000000</v>
      </c>
      <c r="D139" s="62">
        <f t="shared" si="86"/>
        <v>5000000</v>
      </c>
      <c r="E139" s="62">
        <f t="shared" si="87"/>
        <v>5000000</v>
      </c>
      <c r="F139" s="62">
        <f t="shared" si="88"/>
        <v>5000000</v>
      </c>
      <c r="G139" s="62">
        <f t="shared" si="89"/>
        <v>5000000</v>
      </c>
      <c r="H139" s="62">
        <f t="shared" si="90"/>
        <v>5000000</v>
      </c>
      <c r="I139" s="62">
        <f t="shared" si="91"/>
        <v>5000000</v>
      </c>
      <c r="J139" s="62">
        <f t="shared" si="92"/>
        <v>5000000</v>
      </c>
      <c r="K139" s="62">
        <f t="shared" si="93"/>
        <v>5000000</v>
      </c>
      <c r="L139" s="62">
        <f t="shared" si="94"/>
        <v>5000000</v>
      </c>
      <c r="M139" s="62">
        <f t="shared" si="95"/>
        <v>5000000</v>
      </c>
      <c r="N139" s="62">
        <f t="shared" si="96"/>
        <v>5000000</v>
      </c>
      <c r="O139" s="62">
        <f t="shared" si="97"/>
        <v>5000000</v>
      </c>
      <c r="P139" s="62">
        <f t="shared" si="98"/>
        <v>5000000</v>
      </c>
      <c r="Q139" s="62">
        <f t="shared" si="99"/>
        <v>5000000</v>
      </c>
      <c r="R139" s="62">
        <f t="shared" si="100"/>
        <v>5000000</v>
      </c>
      <c r="S139" s="62">
        <f t="shared" si="101"/>
        <v>5000000</v>
      </c>
      <c r="T139" s="62">
        <f t="shared" si="102"/>
        <v>5000000</v>
      </c>
      <c r="U139" s="62">
        <f t="shared" si="103"/>
        <v>5000000</v>
      </c>
      <c r="V139" s="62">
        <f t="shared" si="104"/>
        <v>5000000</v>
      </c>
      <c r="W139" s="62">
        <f t="shared" si="105"/>
        <v>5000000</v>
      </c>
      <c r="X139" s="62">
        <f t="shared" si="106"/>
        <v>5000000</v>
      </c>
      <c r="Y139" s="62">
        <f t="shared" si="107"/>
        <v>5000000</v>
      </c>
      <c r="Z139" s="62">
        <f t="shared" si="108"/>
        <v>5000000</v>
      </c>
      <c r="AA139" s="62">
        <f t="shared" si="109"/>
        <v>5000000</v>
      </c>
      <c r="AB139" s="62">
        <f t="shared" si="110"/>
        <v>5000000</v>
      </c>
      <c r="AC139" s="62">
        <f t="shared" si="111"/>
        <v>5000000</v>
      </c>
    </row>
    <row r="140" spans="1:44" x14ac:dyDescent="0.25">
      <c r="A140" s="30" t="str">
        <f t="shared" si="83"/>
        <v>Residual value (costumization)</v>
      </c>
      <c r="B140" s="62">
        <f t="shared" si="84"/>
        <v>-500000</v>
      </c>
      <c r="C140" s="62">
        <f t="shared" si="85"/>
        <v>-500000</v>
      </c>
      <c r="D140" s="62">
        <f t="shared" si="86"/>
        <v>-500000</v>
      </c>
      <c r="E140" s="62">
        <f t="shared" si="87"/>
        <v>-500000</v>
      </c>
      <c r="F140" s="62">
        <f t="shared" si="88"/>
        <v>-500000</v>
      </c>
      <c r="G140" s="62">
        <f t="shared" si="89"/>
        <v>-500000</v>
      </c>
      <c r="H140" s="62">
        <f t="shared" si="90"/>
        <v>-500000</v>
      </c>
      <c r="I140" s="62">
        <f t="shared" si="91"/>
        <v>-500000</v>
      </c>
      <c r="J140" s="62">
        <f t="shared" si="92"/>
        <v>-500000</v>
      </c>
      <c r="K140" s="62">
        <f t="shared" si="93"/>
        <v>-500000</v>
      </c>
      <c r="L140" s="62">
        <f t="shared" si="94"/>
        <v>-500000</v>
      </c>
      <c r="M140" s="62">
        <f t="shared" si="95"/>
        <v>-500000</v>
      </c>
      <c r="N140" s="62">
        <f t="shared" si="96"/>
        <v>-500000</v>
      </c>
      <c r="O140" s="62">
        <f t="shared" si="97"/>
        <v>-500000</v>
      </c>
      <c r="P140" s="62">
        <f t="shared" si="98"/>
        <v>-500000</v>
      </c>
      <c r="Q140" s="62">
        <f t="shared" si="99"/>
        <v>-500000</v>
      </c>
      <c r="R140" s="62">
        <f t="shared" si="100"/>
        <v>-500000</v>
      </c>
      <c r="S140" s="62">
        <f t="shared" si="101"/>
        <v>-500000</v>
      </c>
      <c r="T140" s="62">
        <f t="shared" si="102"/>
        <v>-500000</v>
      </c>
      <c r="U140" s="62">
        <f t="shared" si="103"/>
        <v>-500000</v>
      </c>
      <c r="V140" s="62">
        <f t="shared" si="104"/>
        <v>-500000</v>
      </c>
      <c r="W140" s="62">
        <f t="shared" si="105"/>
        <v>-500000</v>
      </c>
      <c r="X140" s="62">
        <f t="shared" si="106"/>
        <v>-500000</v>
      </c>
      <c r="Y140" s="62">
        <f t="shared" si="107"/>
        <v>-500000</v>
      </c>
      <c r="Z140" s="62">
        <f t="shared" si="108"/>
        <v>-500000</v>
      </c>
      <c r="AA140" s="62">
        <f t="shared" si="109"/>
        <v>-500000</v>
      </c>
      <c r="AB140" s="62">
        <f t="shared" si="110"/>
        <v>-500000</v>
      </c>
      <c r="AC140" s="62">
        <f t="shared" si="111"/>
        <v>-500000</v>
      </c>
    </row>
    <row r="141" spans="1:44" x14ac:dyDescent="0.25">
      <c r="A141" s="30" t="str">
        <f t="shared" si="83"/>
        <v>WACC</v>
      </c>
      <c r="B141" s="62">
        <f t="shared" si="84"/>
        <v>0.06</v>
      </c>
      <c r="C141" s="62">
        <f t="shared" si="85"/>
        <v>0.06</v>
      </c>
      <c r="D141" s="62">
        <f t="shared" si="86"/>
        <v>0.06</v>
      </c>
      <c r="E141" s="62">
        <f t="shared" si="87"/>
        <v>0.06</v>
      </c>
      <c r="F141" s="62">
        <f t="shared" si="88"/>
        <v>0.06</v>
      </c>
      <c r="G141" s="62">
        <f t="shared" si="89"/>
        <v>0.06</v>
      </c>
      <c r="H141" s="62">
        <f t="shared" si="90"/>
        <v>0.06</v>
      </c>
      <c r="I141" s="62">
        <f t="shared" si="91"/>
        <v>0.06</v>
      </c>
      <c r="J141" s="62">
        <f t="shared" si="92"/>
        <v>0.06</v>
      </c>
      <c r="K141" s="62">
        <f t="shared" si="93"/>
        <v>0.06</v>
      </c>
      <c r="L141" s="62">
        <f t="shared" si="94"/>
        <v>0.06</v>
      </c>
      <c r="M141" s="62">
        <f t="shared" si="95"/>
        <v>0.06</v>
      </c>
      <c r="N141" s="62">
        <f t="shared" si="96"/>
        <v>0.06</v>
      </c>
      <c r="O141" s="62">
        <f t="shared" si="97"/>
        <v>0.06</v>
      </c>
      <c r="P141" s="62">
        <f t="shared" si="98"/>
        <v>0.06</v>
      </c>
      <c r="Q141" s="62">
        <f t="shared" si="99"/>
        <v>0.06</v>
      </c>
      <c r="R141" s="62">
        <f t="shared" si="100"/>
        <v>0.06</v>
      </c>
      <c r="S141" s="62">
        <f t="shared" si="101"/>
        <v>0.06</v>
      </c>
      <c r="T141" s="62">
        <f t="shared" si="102"/>
        <v>0.06</v>
      </c>
      <c r="U141" s="62">
        <f t="shared" si="103"/>
        <v>0.06</v>
      </c>
      <c r="V141" s="62">
        <f t="shared" si="104"/>
        <v>0.06</v>
      </c>
      <c r="W141" s="62">
        <f t="shared" si="105"/>
        <v>0.06</v>
      </c>
      <c r="X141" s="62">
        <f t="shared" si="106"/>
        <v>0.06</v>
      </c>
      <c r="Y141" s="62">
        <f t="shared" si="107"/>
        <v>0.06</v>
      </c>
      <c r="Z141" s="62">
        <f t="shared" si="108"/>
        <v>0.06</v>
      </c>
      <c r="AA141" s="62">
        <f t="shared" si="109"/>
        <v>0.06</v>
      </c>
      <c r="AB141" s="62">
        <f t="shared" si="110"/>
        <v>0.06</v>
      </c>
      <c r="AC141" s="62">
        <f t="shared" si="111"/>
        <v>0.06</v>
      </c>
    </row>
    <row r="142" spans="1:44" x14ac:dyDescent="0.25">
      <c r="A142" s="30" t="str">
        <f t="shared" si="83"/>
        <v>Opex fix (admin, crew, insurance)</v>
      </c>
      <c r="B142" s="62">
        <f t="shared" si="84"/>
        <v>1208235.294117647</v>
      </c>
      <c r="C142" s="62">
        <f t="shared" si="85"/>
        <v>1208235.294117647</v>
      </c>
      <c r="D142" s="62">
        <f t="shared" si="86"/>
        <v>1208235.294117647</v>
      </c>
      <c r="E142" s="62">
        <f t="shared" si="87"/>
        <v>1208235.294117647</v>
      </c>
      <c r="F142" s="62">
        <f t="shared" si="88"/>
        <v>1208235.294117647</v>
      </c>
      <c r="G142" s="62">
        <f t="shared" si="89"/>
        <v>1208235.294117647</v>
      </c>
      <c r="H142" s="62">
        <f t="shared" si="90"/>
        <v>1208235.294117647</v>
      </c>
      <c r="I142" s="62">
        <f t="shared" si="91"/>
        <v>1208235.294117647</v>
      </c>
      <c r="J142" s="62">
        <f t="shared" si="92"/>
        <v>1208235.294117647</v>
      </c>
      <c r="K142" s="62">
        <f t="shared" si="93"/>
        <v>1208235.294117647</v>
      </c>
      <c r="L142" s="62">
        <f t="shared" si="94"/>
        <v>1208235.294117647</v>
      </c>
      <c r="M142" s="62">
        <f t="shared" si="95"/>
        <v>1208235.294117647</v>
      </c>
      <c r="N142" s="62">
        <f t="shared" si="96"/>
        <v>1208235.294117647</v>
      </c>
      <c r="O142" s="62">
        <f t="shared" si="97"/>
        <v>1208235.294117647</v>
      </c>
      <c r="P142" s="62">
        <f t="shared" si="98"/>
        <v>1208235.294117647</v>
      </c>
      <c r="Q142" s="62">
        <f t="shared" si="99"/>
        <v>1208235.294117647</v>
      </c>
      <c r="R142" s="62">
        <f t="shared" si="100"/>
        <v>1208235.294117647</v>
      </c>
      <c r="S142" s="62">
        <f t="shared" si="101"/>
        <v>1208235.294117647</v>
      </c>
      <c r="T142" s="62">
        <f t="shared" si="102"/>
        <v>1208235.294117647</v>
      </c>
      <c r="U142" s="62">
        <f t="shared" si="103"/>
        <v>1208235.294117647</v>
      </c>
      <c r="V142" s="62">
        <f t="shared" si="104"/>
        <v>1208235.294117647</v>
      </c>
      <c r="W142" s="62">
        <f t="shared" si="105"/>
        <v>1208235.294117647</v>
      </c>
      <c r="X142" s="62">
        <f t="shared" si="106"/>
        <v>1208235.294117647</v>
      </c>
      <c r="Y142" s="62">
        <f t="shared" si="107"/>
        <v>1208235.294117647</v>
      </c>
      <c r="Z142" s="62">
        <f t="shared" si="108"/>
        <v>1208235.294117647</v>
      </c>
      <c r="AA142" s="62">
        <f t="shared" si="109"/>
        <v>1208235.294117647</v>
      </c>
      <c r="AB142" s="62">
        <f t="shared" si="110"/>
        <v>1208235.294117647</v>
      </c>
      <c r="AC142" s="62">
        <f t="shared" si="111"/>
        <v>1208235.294117647</v>
      </c>
    </row>
    <row r="143" spans="1:44" x14ac:dyDescent="0.25">
      <c r="A143" s="30" t="str">
        <f t="shared" si="83"/>
        <v>Opex maintenance &amp; repair</v>
      </c>
      <c r="B143" s="62">
        <f t="shared" si="84"/>
        <v>338823.5294117647</v>
      </c>
      <c r="C143" s="62">
        <f t="shared" si="85"/>
        <v>338823.5294117647</v>
      </c>
      <c r="D143" s="62">
        <f t="shared" si="86"/>
        <v>338823.5294117647</v>
      </c>
      <c r="E143" s="62">
        <f t="shared" si="87"/>
        <v>338823.5294117647</v>
      </c>
      <c r="F143" s="62">
        <f t="shared" si="88"/>
        <v>338823.5294117647</v>
      </c>
      <c r="G143" s="62">
        <f t="shared" si="89"/>
        <v>338823.5294117647</v>
      </c>
      <c r="H143" s="62">
        <f t="shared" si="90"/>
        <v>338823.5294117647</v>
      </c>
      <c r="I143" s="62">
        <f t="shared" si="91"/>
        <v>338823.5294117647</v>
      </c>
      <c r="J143" s="62">
        <f t="shared" si="92"/>
        <v>338823.5294117647</v>
      </c>
      <c r="K143" s="62">
        <f t="shared" si="93"/>
        <v>338823.5294117647</v>
      </c>
      <c r="L143" s="62">
        <f t="shared" si="94"/>
        <v>338823.5294117647</v>
      </c>
      <c r="M143" s="62">
        <f t="shared" si="95"/>
        <v>338823.5294117647</v>
      </c>
      <c r="N143" s="62">
        <f t="shared" si="96"/>
        <v>338823.5294117647</v>
      </c>
      <c r="O143" s="62">
        <f t="shared" si="97"/>
        <v>338823.5294117647</v>
      </c>
      <c r="P143" s="62">
        <f t="shared" si="98"/>
        <v>338823.5294117647</v>
      </c>
      <c r="Q143" s="62">
        <f t="shared" si="99"/>
        <v>338823.5294117647</v>
      </c>
      <c r="R143" s="62">
        <f t="shared" si="100"/>
        <v>338823.5294117647</v>
      </c>
      <c r="S143" s="62">
        <f t="shared" si="101"/>
        <v>338823.5294117647</v>
      </c>
      <c r="T143" s="62">
        <f t="shared" si="102"/>
        <v>338823.5294117647</v>
      </c>
      <c r="U143" s="62">
        <f t="shared" si="103"/>
        <v>338823.5294117647</v>
      </c>
      <c r="V143" s="62">
        <f t="shared" si="104"/>
        <v>338823.5294117647</v>
      </c>
      <c r="W143" s="62">
        <f t="shared" si="105"/>
        <v>338823.5294117647</v>
      </c>
      <c r="X143" s="62">
        <f t="shared" si="106"/>
        <v>338823.5294117647</v>
      </c>
      <c r="Y143" s="62">
        <f t="shared" si="107"/>
        <v>338823.5294117647</v>
      </c>
      <c r="Z143" s="62">
        <f t="shared" si="108"/>
        <v>338823.5294117647</v>
      </c>
      <c r="AA143" s="62">
        <f t="shared" si="109"/>
        <v>338823.5294117647</v>
      </c>
      <c r="AB143" s="62">
        <f t="shared" si="110"/>
        <v>338823.5294117647</v>
      </c>
      <c r="AC143" s="62">
        <f t="shared" si="111"/>
        <v>338823.5294117647</v>
      </c>
    </row>
    <row r="144" spans="1:44" x14ac:dyDescent="0.25">
      <c r="A144" s="30" t="str">
        <f t="shared" si="83"/>
        <v>Opex var (mode-fees)</v>
      </c>
      <c r="B144" s="62">
        <f t="shared" si="84"/>
        <v>1.6886890630966982</v>
      </c>
      <c r="C144" s="62">
        <f t="shared" si="85"/>
        <v>1.6886890630966982</v>
      </c>
      <c r="D144" s="62">
        <f t="shared" si="86"/>
        <v>1.6886890630966982</v>
      </c>
      <c r="E144" s="62">
        <f t="shared" si="87"/>
        <v>1.6886890630966982</v>
      </c>
      <c r="F144" s="62">
        <f t="shared" si="88"/>
        <v>1.6886890630966982</v>
      </c>
      <c r="G144" s="62">
        <f t="shared" si="89"/>
        <v>1.6886890630966982</v>
      </c>
      <c r="H144" s="62">
        <f t="shared" si="90"/>
        <v>1.6886890630966982</v>
      </c>
      <c r="I144" s="62">
        <f t="shared" si="91"/>
        <v>1.6886890630966982</v>
      </c>
      <c r="J144" s="62">
        <f t="shared" si="92"/>
        <v>1.6886890630966982</v>
      </c>
      <c r="K144" s="62">
        <f t="shared" si="93"/>
        <v>1.6886890630966982</v>
      </c>
      <c r="L144" s="62">
        <f t="shared" si="94"/>
        <v>1.6886890630966982</v>
      </c>
      <c r="M144" s="62">
        <f t="shared" si="95"/>
        <v>1.6886890630966982</v>
      </c>
      <c r="N144" s="62">
        <f t="shared" si="96"/>
        <v>1.6886890630966982</v>
      </c>
      <c r="O144" s="62">
        <f t="shared" si="97"/>
        <v>1.6886890630966982</v>
      </c>
      <c r="P144" s="62">
        <f t="shared" si="98"/>
        <v>1.6886890630966982</v>
      </c>
      <c r="Q144" s="62">
        <f t="shared" si="99"/>
        <v>1.6886890630966982</v>
      </c>
      <c r="R144" s="62">
        <f t="shared" si="100"/>
        <v>1.6886890630966982</v>
      </c>
      <c r="S144" s="62">
        <f t="shared" si="101"/>
        <v>1.6886890630966982</v>
      </c>
      <c r="T144" s="62">
        <f t="shared" si="102"/>
        <v>1.6886890630966982</v>
      </c>
      <c r="U144" s="62">
        <f t="shared" si="103"/>
        <v>1.6886890630966982</v>
      </c>
      <c r="V144" s="62">
        <f t="shared" si="104"/>
        <v>1.6886890630966982</v>
      </c>
      <c r="W144" s="62">
        <f t="shared" si="105"/>
        <v>1.6886890630966982</v>
      </c>
      <c r="X144" s="62">
        <f t="shared" si="106"/>
        <v>1.6886890630966982</v>
      </c>
      <c r="Y144" s="62">
        <f t="shared" si="107"/>
        <v>1.6886890630966982</v>
      </c>
      <c r="Z144" s="62">
        <f t="shared" si="108"/>
        <v>1.6886890630966982</v>
      </c>
      <c r="AA144" s="62">
        <f t="shared" si="109"/>
        <v>1.6886890630966982</v>
      </c>
      <c r="AB144" s="62">
        <f t="shared" si="110"/>
        <v>1.6886890630966982</v>
      </c>
      <c r="AC144" s="62">
        <f t="shared" si="111"/>
        <v>1.6886890630966982</v>
      </c>
    </row>
    <row r="145" spans="1:29" x14ac:dyDescent="0.25">
      <c r="A145" s="30" t="str">
        <f t="shared" si="83"/>
        <v>Fuel Economy</v>
      </c>
      <c r="B145" s="62">
        <f t="shared" si="84"/>
        <v>588.84626218043502</v>
      </c>
      <c r="C145" s="62">
        <f t="shared" si="85"/>
        <v>588.7797515206795</v>
      </c>
      <c r="D145" s="62">
        <f t="shared" si="86"/>
        <v>588.68454299264499</v>
      </c>
      <c r="E145" s="62">
        <f t="shared" si="87"/>
        <v>588.54834049792862</v>
      </c>
      <c r="F145" s="62">
        <f t="shared" si="88"/>
        <v>588.35367707840635</v>
      </c>
      <c r="G145" s="62">
        <f t="shared" si="89"/>
        <v>588.07585031023859</v>
      </c>
      <c r="H145" s="62">
        <f t="shared" si="90"/>
        <v>587.68015683400074</v>
      </c>
      <c r="I145" s="62">
        <f t="shared" si="91"/>
        <v>587.11832882111048</v>
      </c>
      <c r="J145" s="62">
        <f t="shared" si="92"/>
        <v>586.32423891311498</v>
      </c>
      <c r="K145" s="62">
        <f t="shared" si="93"/>
        <v>585.20935100885799</v>
      </c>
      <c r="L145" s="62">
        <f t="shared" si="94"/>
        <v>583.65925210509909</v>
      </c>
      <c r="M145" s="62">
        <f t="shared" si="95"/>
        <v>581.53412449736095</v>
      </c>
      <c r="N145" s="62">
        <f t="shared" si="96"/>
        <v>578.67818071202885</v>
      </c>
      <c r="O145" s="62">
        <f t="shared" si="97"/>
        <v>574.94491045683674</v>
      </c>
      <c r="P145" s="62">
        <f t="shared" si="98"/>
        <v>570.24348757499536</v>
      </c>
      <c r="Q145" s="62">
        <f t="shared" si="99"/>
        <v>564.60191507115064</v>
      </c>
      <c r="R145" s="62">
        <f t="shared" si="100"/>
        <v>558.22257351659471</v>
      </c>
      <c r="S145" s="62">
        <f t="shared" si="101"/>
        <v>551.48792881122972</v>
      </c>
      <c r="T145" s="62">
        <f t="shared" si="102"/>
        <v>544.8858093168667</v>
      </c>
      <c r="U145" s="62">
        <f t="shared" si="103"/>
        <v>538.87576404606182</v>
      </c>
      <c r="V145" s="62">
        <f t="shared" si="104"/>
        <v>533.76808141278241</v>
      </c>
      <c r="W145" s="62">
        <f t="shared" si="105"/>
        <v>529.67774235765876</v>
      </c>
      <c r="X145" s="62">
        <f t="shared" si="106"/>
        <v>526.55663211639694</v>
      </c>
      <c r="Y145" s="62">
        <f t="shared" si="107"/>
        <v>524.26236577566647</v>
      </c>
      <c r="Z145" s="62">
        <f t="shared" si="108"/>
        <v>522.6219985324251</v>
      </c>
      <c r="AA145" s="62">
        <f t="shared" si="109"/>
        <v>521.47234334377424</v>
      </c>
      <c r="AB145" s="62">
        <f t="shared" si="110"/>
        <v>520.67786094508608</v>
      </c>
      <c r="AC145" s="62">
        <f t="shared" si="111"/>
        <v>520.13415704908732</v>
      </c>
    </row>
    <row r="146" spans="1:29" x14ac:dyDescent="0.25">
      <c r="A146" s="30" t="str">
        <f t="shared" si="83"/>
        <v>Fuel Cost</v>
      </c>
      <c r="B146" s="62">
        <f t="shared" si="84"/>
        <v>0.23895197293017539</v>
      </c>
      <c r="C146" s="62">
        <f t="shared" si="85"/>
        <v>0.23860302366741218</v>
      </c>
      <c r="D146" s="62">
        <f t="shared" si="86"/>
        <v>0.23810499765838622</v>
      </c>
      <c r="E146" s="62">
        <f t="shared" si="87"/>
        <v>0.23739568644237932</v>
      </c>
      <c r="F146" s="62">
        <f t="shared" si="88"/>
        <v>0.23638856619668069</v>
      </c>
      <c r="G146" s="62">
        <f t="shared" si="89"/>
        <v>0.23496509850746228</v>
      </c>
      <c r="H146" s="62">
        <f t="shared" si="90"/>
        <v>0.23296657555328404</v>
      </c>
      <c r="I146" s="62">
        <f t="shared" si="91"/>
        <v>0.2301879031606785</v>
      </c>
      <c r="J146" s="62">
        <f t="shared" si="92"/>
        <v>0.22637844726075729</v>
      </c>
      <c r="K146" s="62">
        <f t="shared" si="93"/>
        <v>0.22125894673605423</v>
      </c>
      <c r="L146" s="62">
        <f t="shared" si="94"/>
        <v>0.21456677053550172</v>
      </c>
      <c r="M146" s="62">
        <f t="shared" si="95"/>
        <v>0.20613910573549596</v>
      </c>
      <c r="N146" s="62">
        <f t="shared" si="96"/>
        <v>0.19602614989164499</v>
      </c>
      <c r="O146" s="62">
        <f t="shared" si="97"/>
        <v>0.18459068585921384</v>
      </c>
      <c r="P146" s="62">
        <f t="shared" si="98"/>
        <v>0.17251831339870463</v>
      </c>
      <c r="Q146" s="62">
        <f t="shared" si="99"/>
        <v>0.16068350264747888</v>
      </c>
      <c r="R146" s="62">
        <f t="shared" si="100"/>
        <v>0.14991003081816623</v>
      </c>
      <c r="S146" s="62">
        <f t="shared" si="101"/>
        <v>0.14075411393514156</v>
      </c>
      <c r="T146" s="62">
        <f t="shared" si="102"/>
        <v>0.1334218642436496</v>
      </c>
      <c r="U146" s="62">
        <f t="shared" si="103"/>
        <v>0.12782703230057685</v>
      </c>
      <c r="V146" s="62">
        <f t="shared" si="104"/>
        <v>0.12371438211624793</v>
      </c>
      <c r="W146" s="62">
        <f t="shared" si="105"/>
        <v>0.12077389673078255</v>
      </c>
      <c r="X146" s="62">
        <f t="shared" si="106"/>
        <v>0.1187130507254254</v>
      </c>
      <c r="Y146" s="62">
        <f t="shared" si="107"/>
        <v>0.11728887946622869</v>
      </c>
      <c r="Z146" s="62">
        <f t="shared" si="108"/>
        <v>0.11631424810438439</v>
      </c>
      <c r="AA146" s="62">
        <f t="shared" si="109"/>
        <v>0.11565171109063289</v>
      </c>
      <c r="AB146" s="62">
        <f t="shared" si="110"/>
        <v>0.11520337966574483</v>
      </c>
      <c r="AC146" s="62">
        <f t="shared" si="111"/>
        <v>0.11490093481844818</v>
      </c>
    </row>
    <row r="147" spans="1:29" x14ac:dyDescent="0.25">
      <c r="A147" s="30" t="str">
        <f t="shared" ref="A147" si="112">A127</f>
        <v>Emission Cost</v>
      </c>
      <c r="B147" s="66">
        <f>$B127+($C127-$B127)*(1-Q127)</f>
        <v>2.4864501794892204</v>
      </c>
      <c r="C147" s="66">
        <f t="shared" ref="C147:AC147" si="113">$B127+($C127-$B127)*(1-R127)</f>
        <v>2.4840824730905622</v>
      </c>
      <c r="D147" s="66">
        <f t="shared" si="113"/>
        <v>2.4806931541172901</v>
      </c>
      <c r="E147" s="66">
        <f t="shared" si="113"/>
        <v>2.4758444949784595</v>
      </c>
      <c r="F147" s="66">
        <f t="shared" si="113"/>
        <v>2.4689146911593123</v>
      </c>
      <c r="G147" s="66">
        <f t="shared" si="113"/>
        <v>2.4590243635166811</v>
      </c>
      <c r="H147" s="66">
        <f t="shared" si="113"/>
        <v>2.4449381105906096</v>
      </c>
      <c r="I147" s="66">
        <f t="shared" si="113"/>
        <v>2.4249376507251341</v>
      </c>
      <c r="J147" s="66">
        <f t="shared" si="113"/>
        <v>2.3966689226267675</v>
      </c>
      <c r="K147" s="66">
        <f t="shared" si="113"/>
        <v>2.3569801383867617</v>
      </c>
      <c r="L147" s="66">
        <f t="shared" si="113"/>
        <v>2.3017983208183335</v>
      </c>
      <c r="M147" s="66">
        <f t="shared" si="113"/>
        <v>2.2261461132879194</v>
      </c>
      <c r="N147" s="66">
        <f t="shared" si="113"/>
        <v>2.1244776529298637</v>
      </c>
      <c r="O147" s="66">
        <f t="shared" si="113"/>
        <v>1.991577334339808</v>
      </c>
      <c r="P147" s="66">
        <f t="shared" si="113"/>
        <v>1.824211846145027</v>
      </c>
      <c r="Q147" s="66">
        <f t="shared" si="113"/>
        <v>1.6233780645383806</v>
      </c>
      <c r="R147" s="66">
        <f t="shared" si="113"/>
        <v>1.396280515461632</v>
      </c>
      <c r="S147" s="66">
        <f t="shared" si="113"/>
        <v>1.156534564659107</v>
      </c>
      <c r="T147" s="66">
        <f t="shared" si="113"/>
        <v>0.92150636573615219</v>
      </c>
      <c r="U147" s="66">
        <f t="shared" si="113"/>
        <v>0.70755535854084983</v>
      </c>
      <c r="V147" s="66">
        <f t="shared" si="113"/>
        <v>0.52572746963416073</v>
      </c>
      <c r="W147" s="66">
        <f t="shared" si="113"/>
        <v>0.38011589414984037</v>
      </c>
      <c r="X147" s="66">
        <f t="shared" si="113"/>
        <v>0.26900779935239649</v>
      </c>
      <c r="Y147" s="66">
        <f t="shared" si="113"/>
        <v>0.18733443879419109</v>
      </c>
      <c r="Z147" s="66">
        <f t="shared" si="113"/>
        <v>0.12893916753616796</v>
      </c>
      <c r="AA147" s="66">
        <f t="shared" si="113"/>
        <v>8.8012706177544864E-2</v>
      </c>
      <c r="AB147" s="66">
        <f t="shared" si="113"/>
        <v>5.9730005841827971E-2</v>
      </c>
      <c r="AC147" s="66">
        <f t="shared" si="113"/>
        <v>4.0374744621079817E-2</v>
      </c>
    </row>
    <row r="148" spans="1:29" x14ac:dyDescent="0.25">
      <c r="A148" s="30" t="str">
        <f>A128</f>
        <v>Lifetime vehicle</v>
      </c>
      <c r="B148" s="62">
        <f>$B128+($C128-$B128)*(1-Q128)</f>
        <v>25</v>
      </c>
      <c r="C148" s="62">
        <f t="shared" ref="C148:L150" si="114">$B128+($C128-$B128)*(1-R128)</f>
        <v>25</v>
      </c>
      <c r="D148" s="62">
        <f t="shared" si="114"/>
        <v>25</v>
      </c>
      <c r="E148" s="62">
        <f t="shared" si="114"/>
        <v>25</v>
      </c>
      <c r="F148" s="62">
        <f t="shared" si="114"/>
        <v>25</v>
      </c>
      <c r="G148" s="62">
        <f t="shared" si="114"/>
        <v>25</v>
      </c>
      <c r="H148" s="62">
        <f t="shared" si="114"/>
        <v>25</v>
      </c>
      <c r="I148" s="62">
        <f t="shared" si="114"/>
        <v>25</v>
      </c>
      <c r="J148" s="62">
        <f t="shared" si="114"/>
        <v>25</v>
      </c>
      <c r="K148" s="62">
        <f t="shared" si="114"/>
        <v>25</v>
      </c>
      <c r="L148" s="62">
        <f t="shared" si="114"/>
        <v>25</v>
      </c>
      <c r="M148" s="62">
        <f t="shared" ref="M148:V150" si="115">$B128+($C128-$B128)*(1-AB128)</f>
        <v>25</v>
      </c>
      <c r="N148" s="62">
        <f t="shared" si="115"/>
        <v>25</v>
      </c>
      <c r="O148" s="62">
        <f t="shared" si="115"/>
        <v>25</v>
      </c>
      <c r="P148" s="62">
        <f t="shared" si="115"/>
        <v>25</v>
      </c>
      <c r="Q148" s="62">
        <f t="shared" si="115"/>
        <v>25</v>
      </c>
      <c r="R148" s="62">
        <f t="shared" si="115"/>
        <v>25</v>
      </c>
      <c r="S148" s="62">
        <f t="shared" si="115"/>
        <v>25</v>
      </c>
      <c r="T148" s="62">
        <f t="shared" si="115"/>
        <v>25</v>
      </c>
      <c r="U148" s="62">
        <f t="shared" si="115"/>
        <v>25</v>
      </c>
      <c r="V148" s="62">
        <f t="shared" si="115"/>
        <v>25</v>
      </c>
      <c r="W148" s="62">
        <f t="shared" ref="W148:AC150" si="116">$B128+($C128-$B128)*(1-AL128)</f>
        <v>25</v>
      </c>
      <c r="X148" s="62">
        <f t="shared" si="116"/>
        <v>25</v>
      </c>
      <c r="Y148" s="62">
        <f t="shared" si="116"/>
        <v>25</v>
      </c>
      <c r="Z148" s="62">
        <f t="shared" si="116"/>
        <v>25</v>
      </c>
      <c r="AA148" s="62">
        <f t="shared" si="116"/>
        <v>25</v>
      </c>
      <c r="AB148" s="62">
        <f t="shared" si="116"/>
        <v>25</v>
      </c>
      <c r="AC148" s="62">
        <f t="shared" si="116"/>
        <v>25</v>
      </c>
    </row>
    <row r="149" spans="1:29" x14ac:dyDescent="0.25">
      <c r="A149" s="30" t="str">
        <f>A129</f>
        <v>Lifetime costumization</v>
      </c>
      <c r="B149" s="62">
        <f>$B129+($C129-$B129)*(1-Q129)</f>
        <v>25</v>
      </c>
      <c r="C149" s="62">
        <f t="shared" si="114"/>
        <v>25</v>
      </c>
      <c r="D149" s="62">
        <f t="shared" si="114"/>
        <v>25</v>
      </c>
      <c r="E149" s="62">
        <f t="shared" si="114"/>
        <v>25</v>
      </c>
      <c r="F149" s="62">
        <f t="shared" si="114"/>
        <v>25</v>
      </c>
      <c r="G149" s="62">
        <f t="shared" si="114"/>
        <v>25</v>
      </c>
      <c r="H149" s="62">
        <f t="shared" si="114"/>
        <v>25</v>
      </c>
      <c r="I149" s="62">
        <f t="shared" si="114"/>
        <v>25</v>
      </c>
      <c r="J149" s="62">
        <f t="shared" si="114"/>
        <v>25</v>
      </c>
      <c r="K149" s="62">
        <f t="shared" si="114"/>
        <v>25</v>
      </c>
      <c r="L149" s="62">
        <f t="shared" si="114"/>
        <v>25</v>
      </c>
      <c r="M149" s="62">
        <f t="shared" si="115"/>
        <v>25</v>
      </c>
      <c r="N149" s="62">
        <f t="shared" si="115"/>
        <v>25</v>
      </c>
      <c r="O149" s="62">
        <f t="shared" si="115"/>
        <v>25</v>
      </c>
      <c r="P149" s="62">
        <f t="shared" si="115"/>
        <v>25</v>
      </c>
      <c r="Q149" s="62">
        <f t="shared" si="115"/>
        <v>25</v>
      </c>
      <c r="R149" s="62">
        <f t="shared" si="115"/>
        <v>25</v>
      </c>
      <c r="S149" s="62">
        <f t="shared" si="115"/>
        <v>25</v>
      </c>
      <c r="T149" s="62">
        <f t="shared" si="115"/>
        <v>25</v>
      </c>
      <c r="U149" s="62">
        <f t="shared" si="115"/>
        <v>25</v>
      </c>
      <c r="V149" s="62">
        <f t="shared" si="115"/>
        <v>25</v>
      </c>
      <c r="W149" s="62">
        <f t="shared" si="116"/>
        <v>25</v>
      </c>
      <c r="X149" s="62">
        <f t="shared" si="116"/>
        <v>25</v>
      </c>
      <c r="Y149" s="62">
        <f t="shared" si="116"/>
        <v>25</v>
      </c>
      <c r="Z149" s="62">
        <f t="shared" si="116"/>
        <v>25</v>
      </c>
      <c r="AA149" s="62">
        <f t="shared" si="116"/>
        <v>25</v>
      </c>
      <c r="AB149" s="62">
        <f t="shared" si="116"/>
        <v>25</v>
      </c>
      <c r="AC149" s="62">
        <f t="shared" si="116"/>
        <v>25</v>
      </c>
    </row>
    <row r="150" spans="1:29" x14ac:dyDescent="0.25">
      <c r="A150" s="30" t="str">
        <f>A130</f>
        <v>Tonnage .</v>
      </c>
      <c r="B150" s="62">
        <f>$B130+($C130-$B130)*(1-Q130)</f>
        <v>9450</v>
      </c>
      <c r="C150" s="62">
        <f t="shared" si="114"/>
        <v>9450</v>
      </c>
      <c r="D150" s="62">
        <f t="shared" si="114"/>
        <v>9450</v>
      </c>
      <c r="E150" s="62">
        <f t="shared" si="114"/>
        <v>9450</v>
      </c>
      <c r="F150" s="62">
        <f t="shared" si="114"/>
        <v>9450</v>
      </c>
      <c r="G150" s="62">
        <f t="shared" si="114"/>
        <v>9450</v>
      </c>
      <c r="H150" s="62">
        <f t="shared" si="114"/>
        <v>9450</v>
      </c>
      <c r="I150" s="62">
        <f t="shared" si="114"/>
        <v>9450</v>
      </c>
      <c r="J150" s="62">
        <f t="shared" si="114"/>
        <v>9450</v>
      </c>
      <c r="K150" s="62">
        <f t="shared" si="114"/>
        <v>9450</v>
      </c>
      <c r="L150" s="62">
        <f t="shared" si="114"/>
        <v>9450</v>
      </c>
      <c r="M150" s="62">
        <f t="shared" si="115"/>
        <v>9450</v>
      </c>
      <c r="N150" s="62">
        <f t="shared" si="115"/>
        <v>9450</v>
      </c>
      <c r="O150" s="62">
        <f t="shared" si="115"/>
        <v>9450</v>
      </c>
      <c r="P150" s="62">
        <f t="shared" si="115"/>
        <v>9450</v>
      </c>
      <c r="Q150" s="62">
        <f t="shared" si="115"/>
        <v>9450</v>
      </c>
      <c r="R150" s="62">
        <f t="shared" si="115"/>
        <v>9450</v>
      </c>
      <c r="S150" s="62">
        <f t="shared" si="115"/>
        <v>9450</v>
      </c>
      <c r="T150" s="62">
        <f t="shared" si="115"/>
        <v>9450</v>
      </c>
      <c r="U150" s="62">
        <f t="shared" si="115"/>
        <v>9450</v>
      </c>
      <c r="V150" s="62">
        <f t="shared" si="115"/>
        <v>9450</v>
      </c>
      <c r="W150" s="62">
        <f t="shared" si="116"/>
        <v>9450</v>
      </c>
      <c r="X150" s="62">
        <f t="shared" si="116"/>
        <v>9450</v>
      </c>
      <c r="Y150" s="62">
        <f t="shared" si="116"/>
        <v>9450</v>
      </c>
      <c r="Z150" s="62">
        <f t="shared" si="116"/>
        <v>9450</v>
      </c>
      <c r="AA150" s="62">
        <f t="shared" si="116"/>
        <v>9450</v>
      </c>
      <c r="AB150" s="62">
        <f t="shared" si="116"/>
        <v>9450</v>
      </c>
      <c r="AC150" s="62">
        <f t="shared" si="116"/>
        <v>9450</v>
      </c>
    </row>
    <row r="151" spans="1:29" x14ac:dyDescent="0.25">
      <c r="A151" s="30" t="str">
        <f>A131</f>
        <v>Market failure (av. utilization)</v>
      </c>
      <c r="B151" s="62">
        <f t="shared" ref="B151:K152" si="117">($B131+($C131-$B131)*(1-Q131))*B$44</f>
        <v>5418</v>
      </c>
      <c r="C151" s="62">
        <f t="shared" si="117"/>
        <v>5418</v>
      </c>
      <c r="D151" s="62">
        <f t="shared" si="117"/>
        <v>5418</v>
      </c>
      <c r="E151" s="62">
        <f t="shared" si="117"/>
        <v>5418</v>
      </c>
      <c r="F151" s="62">
        <f t="shared" si="117"/>
        <v>5418</v>
      </c>
      <c r="G151" s="62">
        <f t="shared" si="117"/>
        <v>5418</v>
      </c>
      <c r="H151" s="62">
        <f t="shared" si="117"/>
        <v>5418</v>
      </c>
      <c r="I151" s="62">
        <f t="shared" si="117"/>
        <v>5418</v>
      </c>
      <c r="J151" s="62">
        <f t="shared" si="117"/>
        <v>5418</v>
      </c>
      <c r="K151" s="62">
        <f t="shared" si="117"/>
        <v>5418</v>
      </c>
      <c r="L151" s="62">
        <f t="shared" ref="L151:U152" si="118">($B131+($C131-$B131)*(1-AA131))*L$44</f>
        <v>5418</v>
      </c>
      <c r="M151" s="62">
        <f t="shared" si="118"/>
        <v>5418</v>
      </c>
      <c r="N151" s="62">
        <f t="shared" si="118"/>
        <v>5418</v>
      </c>
      <c r="O151" s="62">
        <f t="shared" si="118"/>
        <v>5418</v>
      </c>
      <c r="P151" s="62">
        <f t="shared" si="118"/>
        <v>5418</v>
      </c>
      <c r="Q151" s="62">
        <f t="shared" si="118"/>
        <v>5418</v>
      </c>
      <c r="R151" s="62">
        <f t="shared" si="118"/>
        <v>5418</v>
      </c>
      <c r="S151" s="62">
        <f t="shared" si="118"/>
        <v>5418</v>
      </c>
      <c r="T151" s="62">
        <f t="shared" si="118"/>
        <v>5418</v>
      </c>
      <c r="U151" s="62">
        <f t="shared" si="118"/>
        <v>5418</v>
      </c>
      <c r="V151" s="62">
        <f t="shared" ref="V151:AC152" si="119">($B131+($C131-$B131)*(1-AK131))*V$44</f>
        <v>5418</v>
      </c>
      <c r="W151" s="62">
        <f t="shared" si="119"/>
        <v>5418</v>
      </c>
      <c r="X151" s="62">
        <f t="shared" si="119"/>
        <v>5418</v>
      </c>
      <c r="Y151" s="62">
        <f t="shared" si="119"/>
        <v>5418</v>
      </c>
      <c r="Z151" s="62">
        <f t="shared" si="119"/>
        <v>5418</v>
      </c>
      <c r="AA151" s="62">
        <f t="shared" si="119"/>
        <v>5418</v>
      </c>
      <c r="AB151" s="62">
        <f t="shared" si="119"/>
        <v>5418</v>
      </c>
      <c r="AC151" s="62">
        <f t="shared" si="119"/>
        <v>5418</v>
      </c>
    </row>
    <row r="152" spans="1:29" x14ac:dyDescent="0.25">
      <c r="A152" s="30" t="s">
        <v>73</v>
      </c>
      <c r="B152" s="62">
        <f t="shared" si="117"/>
        <v>755.79245394358725</v>
      </c>
      <c r="C152" s="62">
        <f t="shared" si="117"/>
        <v>755.70266455291733</v>
      </c>
      <c r="D152" s="62">
        <f t="shared" si="117"/>
        <v>755.57413304007082</v>
      </c>
      <c r="E152" s="62">
        <f t="shared" si="117"/>
        <v>755.39025967220368</v>
      </c>
      <c r="F152" s="62">
        <f t="shared" si="117"/>
        <v>755.12746405584869</v>
      </c>
      <c r="G152" s="62">
        <f t="shared" si="117"/>
        <v>754.75239791882211</v>
      </c>
      <c r="H152" s="62">
        <f t="shared" si="117"/>
        <v>754.21821172590103</v>
      </c>
      <c r="I152" s="62">
        <f t="shared" si="117"/>
        <v>753.45974390849915</v>
      </c>
      <c r="J152" s="62">
        <f t="shared" si="117"/>
        <v>752.3877225327052</v>
      </c>
      <c r="K152" s="62">
        <f t="shared" si="117"/>
        <v>750.88262386195834</v>
      </c>
      <c r="L152" s="62">
        <f t="shared" si="118"/>
        <v>748.78999034188371</v>
      </c>
      <c r="M152" s="62">
        <f t="shared" si="118"/>
        <v>745.92106807143728</v>
      </c>
      <c r="N152" s="62">
        <f t="shared" si="118"/>
        <v>742.06554396123909</v>
      </c>
      <c r="O152" s="62">
        <f t="shared" si="118"/>
        <v>737.02562911672953</v>
      </c>
      <c r="P152" s="62">
        <f t="shared" si="118"/>
        <v>730.67870822624377</v>
      </c>
      <c r="Q152" s="62">
        <f t="shared" si="118"/>
        <v>723.06258534605354</v>
      </c>
      <c r="R152" s="62">
        <f t="shared" si="118"/>
        <v>714.45047424740278</v>
      </c>
      <c r="S152" s="62">
        <f t="shared" si="118"/>
        <v>705.35870389516015</v>
      </c>
      <c r="T152" s="62">
        <f t="shared" si="118"/>
        <v>696.44584257777012</v>
      </c>
      <c r="U152" s="62">
        <f t="shared" si="118"/>
        <v>688.33228146218346</v>
      </c>
      <c r="V152" s="62">
        <f t="shared" si="119"/>
        <v>681.43690990725634</v>
      </c>
      <c r="W152" s="62">
        <f t="shared" si="119"/>
        <v>675.91495218283933</v>
      </c>
      <c r="X152" s="62">
        <f t="shared" si="119"/>
        <v>671.70145335713607</v>
      </c>
      <c r="Y152" s="62">
        <f t="shared" si="119"/>
        <v>668.60419379714972</v>
      </c>
      <c r="Z152" s="62">
        <f t="shared" si="119"/>
        <v>666.38969801877408</v>
      </c>
      <c r="AA152" s="62">
        <f t="shared" si="119"/>
        <v>664.83766351409531</v>
      </c>
      <c r="AB152" s="62">
        <f t="shared" si="119"/>
        <v>663.76511227586627</v>
      </c>
      <c r="AC152" s="62">
        <f t="shared" si="119"/>
        <v>663.03111201626791</v>
      </c>
    </row>
    <row r="153" spans="1:29" x14ac:dyDescent="0.25">
      <c r="A153" s="30" t="str">
        <f>A133</f>
        <v>Annual Mileage</v>
      </c>
      <c r="B153" s="62">
        <f t="shared" ref="B153:AC153" si="120">$B133+($C133-$B133)*(1-Q133)</f>
        <v>120000</v>
      </c>
      <c r="C153" s="62">
        <f t="shared" si="120"/>
        <v>120000</v>
      </c>
      <c r="D153" s="62">
        <f t="shared" si="120"/>
        <v>120000</v>
      </c>
      <c r="E153" s="62">
        <f t="shared" si="120"/>
        <v>120000</v>
      </c>
      <c r="F153" s="62">
        <f t="shared" si="120"/>
        <v>120000</v>
      </c>
      <c r="G153" s="62">
        <f t="shared" si="120"/>
        <v>120000</v>
      </c>
      <c r="H153" s="62">
        <f t="shared" si="120"/>
        <v>120000</v>
      </c>
      <c r="I153" s="62">
        <f t="shared" si="120"/>
        <v>120000</v>
      </c>
      <c r="J153" s="62">
        <f t="shared" si="120"/>
        <v>120000</v>
      </c>
      <c r="K153" s="62">
        <f t="shared" si="120"/>
        <v>120000</v>
      </c>
      <c r="L153" s="62">
        <f t="shared" si="120"/>
        <v>120000</v>
      </c>
      <c r="M153" s="62">
        <f t="shared" si="120"/>
        <v>120000</v>
      </c>
      <c r="N153" s="62">
        <f t="shared" si="120"/>
        <v>120000</v>
      </c>
      <c r="O153" s="62">
        <f t="shared" si="120"/>
        <v>120000</v>
      </c>
      <c r="P153" s="62">
        <f t="shared" si="120"/>
        <v>120000</v>
      </c>
      <c r="Q153" s="62">
        <f t="shared" si="120"/>
        <v>120000</v>
      </c>
      <c r="R153" s="62">
        <f t="shared" si="120"/>
        <v>120000</v>
      </c>
      <c r="S153" s="62">
        <f t="shared" si="120"/>
        <v>120000</v>
      </c>
      <c r="T153" s="62">
        <f t="shared" si="120"/>
        <v>120000</v>
      </c>
      <c r="U153" s="62">
        <f t="shared" si="120"/>
        <v>120000</v>
      </c>
      <c r="V153" s="62">
        <f t="shared" si="120"/>
        <v>120000</v>
      </c>
      <c r="W153" s="62">
        <f t="shared" si="120"/>
        <v>120000</v>
      </c>
      <c r="X153" s="62">
        <f t="shared" si="120"/>
        <v>120000</v>
      </c>
      <c r="Y153" s="62">
        <f t="shared" si="120"/>
        <v>120000</v>
      </c>
      <c r="Z153" s="62">
        <f t="shared" si="120"/>
        <v>120000</v>
      </c>
      <c r="AA153" s="62">
        <f t="shared" si="120"/>
        <v>120000</v>
      </c>
      <c r="AB153" s="62">
        <f t="shared" si="120"/>
        <v>120000</v>
      </c>
      <c r="AC153" s="62">
        <f t="shared" si="120"/>
        <v>120000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2344739.8769242726</v>
      </c>
      <c r="C156" s="63">
        <f t="shared" ref="C156:AC156" si="121">((1+C141)^C148)*C141/(((1+C141)^C148)-1)*(C137)</f>
        <v>2343847.949386192</v>
      </c>
      <c r="D156" s="63">
        <f t="shared" si="121"/>
        <v>2342571.1749815131</v>
      </c>
      <c r="E156" s="63">
        <f t="shared" si="121"/>
        <v>2340744.6594088301</v>
      </c>
      <c r="F156" s="63">
        <f t="shared" si="121"/>
        <v>2338134.1656147949</v>
      </c>
      <c r="G156" s="63">
        <f t="shared" si="121"/>
        <v>2334408.426819603</v>
      </c>
      <c r="H156" s="63">
        <f t="shared" si="121"/>
        <v>2329102.0607514726</v>
      </c>
      <c r="I156" s="63">
        <f t="shared" si="121"/>
        <v>2321567.7816117923</v>
      </c>
      <c r="J156" s="63">
        <f t="shared" si="121"/>
        <v>2310918.8020458543</v>
      </c>
      <c r="K156" s="63">
        <f t="shared" si="121"/>
        <v>2295967.8268587827</v>
      </c>
      <c r="L156" s="63">
        <f t="shared" si="121"/>
        <v>2275180.5439766962</v>
      </c>
      <c r="M156" s="63">
        <f t="shared" si="121"/>
        <v>2246681.9567991556</v>
      </c>
      <c r="N156" s="63">
        <f t="shared" si="121"/>
        <v>2208382.9094176819</v>
      </c>
      <c r="O156" s="63">
        <f t="shared" si="121"/>
        <v>2158318.6556582791</v>
      </c>
      <c r="P156" s="63">
        <f t="shared" si="121"/>
        <v>2095271.1900055008</v>
      </c>
      <c r="Q156" s="63">
        <f t="shared" si="121"/>
        <v>2019616.0409999515</v>
      </c>
      <c r="R156" s="63">
        <f t="shared" si="121"/>
        <v>1934067.1917139916</v>
      </c>
      <c r="S156" s="63">
        <f t="shared" si="121"/>
        <v>1843753.6225209001</v>
      </c>
      <c r="T156" s="63">
        <f t="shared" si="121"/>
        <v>1755217.2554427353</v>
      </c>
      <c r="U156" s="63">
        <f t="shared" si="121"/>
        <v>1674620.7780983469</v>
      </c>
      <c r="V156" s="63">
        <f t="shared" si="121"/>
        <v>1606125.2495146997</v>
      </c>
      <c r="W156" s="63">
        <f t="shared" si="121"/>
        <v>1551272.5979733593</v>
      </c>
      <c r="X156" s="63">
        <f t="shared" si="121"/>
        <v>1509417.5903129096</v>
      </c>
      <c r="Y156" s="63">
        <f t="shared" si="121"/>
        <v>1478650.8029060119</v>
      </c>
      <c r="Z156" s="63">
        <f t="shared" si="121"/>
        <v>1456652.995002867</v>
      </c>
      <c r="AA156" s="63">
        <f t="shared" si="121"/>
        <v>1441235.7802913454</v>
      </c>
      <c r="AB156" s="63">
        <f t="shared" si="121"/>
        <v>1430581.5373096101</v>
      </c>
      <c r="AC156" s="63">
        <f t="shared" si="121"/>
        <v>1423290.3079159164</v>
      </c>
    </row>
    <row r="157" spans="1:29" x14ac:dyDescent="0.25">
      <c r="A157" s="30" t="str">
        <f>A138</f>
        <v>Residual value (vehicle)</v>
      </c>
      <c r="B157" s="62">
        <f>((1+B141)^B148)*B141/(((1+B141)^B148)-1)*(B138)</f>
        <v>-117391.61905450956</v>
      </c>
      <c r="C157" s="62">
        <f t="shared" ref="C157:AC157" si="122">((1+C141)^C148)*C141/(((1+C141)^C148)-1)*(C138)</f>
        <v>-117413.91724296159</v>
      </c>
      <c r="D157" s="62">
        <f t="shared" si="122"/>
        <v>-117445.83660307855</v>
      </c>
      <c r="E157" s="62">
        <f t="shared" si="122"/>
        <v>-117491.49949239564</v>
      </c>
      <c r="F157" s="62">
        <f t="shared" si="122"/>
        <v>-117556.76183724651</v>
      </c>
      <c r="G157" s="62">
        <f t="shared" si="122"/>
        <v>-117649.9053071263</v>
      </c>
      <c r="H157" s="62">
        <f t="shared" si="122"/>
        <v>-117782.56445882957</v>
      </c>
      <c r="I157" s="62">
        <f t="shared" si="122"/>
        <v>-117970.92143732157</v>
      </c>
      <c r="J157" s="62">
        <f t="shared" si="122"/>
        <v>-118237.14592647002</v>
      </c>
      <c r="K157" s="62">
        <f t="shared" si="122"/>
        <v>-118610.92030614681</v>
      </c>
      <c r="L157" s="62">
        <f t="shared" si="122"/>
        <v>-119130.60237819898</v>
      </c>
      <c r="M157" s="62">
        <f t="shared" si="122"/>
        <v>-119843.06705763748</v>
      </c>
      <c r="N157" s="62">
        <f t="shared" si="122"/>
        <v>-120800.54324217433</v>
      </c>
      <c r="O157" s="62">
        <f t="shared" si="122"/>
        <v>-122052.1495861594</v>
      </c>
      <c r="P157" s="62">
        <f t="shared" si="122"/>
        <v>-123628.33622747887</v>
      </c>
      <c r="Q157" s="62">
        <f t="shared" si="122"/>
        <v>-125519.71495261759</v>
      </c>
      <c r="R157" s="62">
        <f t="shared" si="122"/>
        <v>-127658.43618476659</v>
      </c>
      <c r="S157" s="62">
        <f t="shared" si="122"/>
        <v>-129916.27541459388</v>
      </c>
      <c r="T157" s="62">
        <f t="shared" si="122"/>
        <v>-132129.68459154799</v>
      </c>
      <c r="U157" s="62">
        <f t="shared" si="122"/>
        <v>-134144.59652515771</v>
      </c>
      <c r="V157" s="62">
        <f t="shared" si="122"/>
        <v>-135856.98473974891</v>
      </c>
      <c r="W157" s="62">
        <f t="shared" si="122"/>
        <v>-137228.30102828241</v>
      </c>
      <c r="X157" s="62">
        <f t="shared" si="122"/>
        <v>-138274.67621979365</v>
      </c>
      <c r="Y157" s="62">
        <f t="shared" si="122"/>
        <v>-139043.84590496609</v>
      </c>
      <c r="Z157" s="62">
        <f t="shared" si="122"/>
        <v>-139593.79110254472</v>
      </c>
      <c r="AA157" s="62">
        <f t="shared" si="122"/>
        <v>-139979.22147033276</v>
      </c>
      <c r="AB157" s="62">
        <f t="shared" si="122"/>
        <v>-140245.57754487614</v>
      </c>
      <c r="AC157" s="62">
        <f t="shared" si="122"/>
        <v>-140427.85827971846</v>
      </c>
    </row>
    <row r="158" spans="1:29" x14ac:dyDescent="0.25">
      <c r="A158" s="30" t="str">
        <f>A139</f>
        <v>Capex costumization</v>
      </c>
      <c r="B158" s="62">
        <f>((1+B141)^B149)*B141/(((1+B141)^B149)-1)*(B139)</f>
        <v>391133.59106136975</v>
      </c>
      <c r="C158" s="62">
        <f t="shared" ref="C158:AC158" si="123">((1+C141)^C149)*C141/(((1+C141)^C149)-1)*(C139)</f>
        <v>391133.59106136975</v>
      </c>
      <c r="D158" s="62">
        <f t="shared" si="123"/>
        <v>391133.59106136975</v>
      </c>
      <c r="E158" s="62">
        <f t="shared" si="123"/>
        <v>391133.59106136975</v>
      </c>
      <c r="F158" s="62">
        <f t="shared" si="123"/>
        <v>391133.59106136975</v>
      </c>
      <c r="G158" s="62">
        <f t="shared" si="123"/>
        <v>391133.59106136975</v>
      </c>
      <c r="H158" s="62">
        <f t="shared" si="123"/>
        <v>391133.59106136975</v>
      </c>
      <c r="I158" s="62">
        <f t="shared" si="123"/>
        <v>391133.59106136975</v>
      </c>
      <c r="J158" s="62">
        <f t="shared" si="123"/>
        <v>391133.59106136975</v>
      </c>
      <c r="K158" s="62">
        <f t="shared" si="123"/>
        <v>391133.59106136975</v>
      </c>
      <c r="L158" s="62">
        <f t="shared" si="123"/>
        <v>391133.59106136975</v>
      </c>
      <c r="M158" s="62">
        <f t="shared" si="123"/>
        <v>391133.59106136975</v>
      </c>
      <c r="N158" s="62">
        <f t="shared" si="123"/>
        <v>391133.59106136975</v>
      </c>
      <c r="O158" s="62">
        <f t="shared" si="123"/>
        <v>391133.59106136975</v>
      </c>
      <c r="P158" s="62">
        <f t="shared" si="123"/>
        <v>391133.59106136975</v>
      </c>
      <c r="Q158" s="62">
        <f t="shared" si="123"/>
        <v>391133.59106136975</v>
      </c>
      <c r="R158" s="62">
        <f t="shared" si="123"/>
        <v>391133.59106136975</v>
      </c>
      <c r="S158" s="62">
        <f t="shared" si="123"/>
        <v>391133.59106136975</v>
      </c>
      <c r="T158" s="62">
        <f t="shared" si="123"/>
        <v>391133.59106136975</v>
      </c>
      <c r="U158" s="62">
        <f t="shared" si="123"/>
        <v>391133.59106136975</v>
      </c>
      <c r="V158" s="62">
        <f t="shared" si="123"/>
        <v>391133.59106136975</v>
      </c>
      <c r="W158" s="62">
        <f t="shared" si="123"/>
        <v>391133.59106136975</v>
      </c>
      <c r="X158" s="62">
        <f t="shared" si="123"/>
        <v>391133.59106136975</v>
      </c>
      <c r="Y158" s="62">
        <f t="shared" si="123"/>
        <v>391133.59106136975</v>
      </c>
      <c r="Z158" s="62">
        <f t="shared" si="123"/>
        <v>391133.59106136975</v>
      </c>
      <c r="AA158" s="62">
        <f t="shared" si="123"/>
        <v>391133.59106136975</v>
      </c>
      <c r="AB158" s="62">
        <f t="shared" si="123"/>
        <v>391133.59106136975</v>
      </c>
      <c r="AC158" s="62">
        <f t="shared" si="123"/>
        <v>391133.59106136975</v>
      </c>
    </row>
    <row r="159" spans="1:29" x14ac:dyDescent="0.25">
      <c r="A159" s="30" t="str">
        <f>A140</f>
        <v>Residual value (costumization)</v>
      </c>
      <c r="B159" s="62">
        <f>((1+B141)^B149)*B141/(((1+B141)^B149)-1)*(B140)</f>
        <v>-39113.359106136973</v>
      </c>
      <c r="C159" s="62">
        <f t="shared" ref="C159:AC159" si="124">((1+C141)^C149)*C141/(((1+C141)^C149)-1)*(C140)</f>
        <v>-39113.359106136973</v>
      </c>
      <c r="D159" s="62">
        <f t="shared" si="124"/>
        <v>-39113.359106136973</v>
      </c>
      <c r="E159" s="62">
        <f t="shared" si="124"/>
        <v>-39113.359106136973</v>
      </c>
      <c r="F159" s="62">
        <f t="shared" si="124"/>
        <v>-39113.359106136973</v>
      </c>
      <c r="G159" s="62">
        <f t="shared" si="124"/>
        <v>-39113.359106136973</v>
      </c>
      <c r="H159" s="62">
        <f t="shared" si="124"/>
        <v>-39113.359106136973</v>
      </c>
      <c r="I159" s="62">
        <f t="shared" si="124"/>
        <v>-39113.359106136973</v>
      </c>
      <c r="J159" s="62">
        <f t="shared" si="124"/>
        <v>-39113.359106136973</v>
      </c>
      <c r="K159" s="62">
        <f t="shared" si="124"/>
        <v>-39113.359106136973</v>
      </c>
      <c r="L159" s="62">
        <f t="shared" si="124"/>
        <v>-39113.359106136973</v>
      </c>
      <c r="M159" s="62">
        <f t="shared" si="124"/>
        <v>-39113.359106136973</v>
      </c>
      <c r="N159" s="62">
        <f t="shared" si="124"/>
        <v>-39113.359106136973</v>
      </c>
      <c r="O159" s="62">
        <f t="shared" si="124"/>
        <v>-39113.359106136973</v>
      </c>
      <c r="P159" s="62">
        <f t="shared" si="124"/>
        <v>-39113.359106136973</v>
      </c>
      <c r="Q159" s="62">
        <f t="shared" si="124"/>
        <v>-39113.359106136973</v>
      </c>
      <c r="R159" s="62">
        <f t="shared" si="124"/>
        <v>-39113.359106136973</v>
      </c>
      <c r="S159" s="62">
        <f t="shared" si="124"/>
        <v>-39113.359106136973</v>
      </c>
      <c r="T159" s="62">
        <f t="shared" si="124"/>
        <v>-39113.359106136973</v>
      </c>
      <c r="U159" s="62">
        <f t="shared" si="124"/>
        <v>-39113.359106136973</v>
      </c>
      <c r="V159" s="62">
        <f t="shared" si="124"/>
        <v>-39113.359106136973</v>
      </c>
      <c r="W159" s="62">
        <f t="shared" si="124"/>
        <v>-39113.359106136973</v>
      </c>
      <c r="X159" s="62">
        <f t="shared" si="124"/>
        <v>-39113.359106136973</v>
      </c>
      <c r="Y159" s="62">
        <f t="shared" si="124"/>
        <v>-39113.359106136973</v>
      </c>
      <c r="Z159" s="62">
        <f t="shared" si="124"/>
        <v>-39113.359106136973</v>
      </c>
      <c r="AA159" s="62">
        <f t="shared" si="124"/>
        <v>-39113.359106136973</v>
      </c>
      <c r="AB159" s="62">
        <f t="shared" si="124"/>
        <v>-39113.359106136973</v>
      </c>
      <c r="AC159" s="62">
        <f t="shared" si="124"/>
        <v>-39113.359106136973</v>
      </c>
    </row>
    <row r="160" spans="1:29" x14ac:dyDescent="0.25">
      <c r="A160" s="30" t="str">
        <f t="shared" ref="A160:AC160" si="125">A142</f>
        <v>Opex fix (admin, crew, insurance)</v>
      </c>
      <c r="B160" s="62">
        <f t="shared" si="125"/>
        <v>1208235.294117647</v>
      </c>
      <c r="C160" s="62">
        <f t="shared" si="125"/>
        <v>1208235.294117647</v>
      </c>
      <c r="D160" s="62">
        <f t="shared" si="125"/>
        <v>1208235.294117647</v>
      </c>
      <c r="E160" s="62">
        <f t="shared" si="125"/>
        <v>1208235.294117647</v>
      </c>
      <c r="F160" s="62">
        <f t="shared" si="125"/>
        <v>1208235.294117647</v>
      </c>
      <c r="G160" s="62">
        <f t="shared" si="125"/>
        <v>1208235.294117647</v>
      </c>
      <c r="H160" s="62">
        <f t="shared" si="125"/>
        <v>1208235.294117647</v>
      </c>
      <c r="I160" s="62">
        <f t="shared" si="125"/>
        <v>1208235.294117647</v>
      </c>
      <c r="J160" s="62">
        <f t="shared" si="125"/>
        <v>1208235.294117647</v>
      </c>
      <c r="K160" s="62">
        <f t="shared" si="125"/>
        <v>1208235.294117647</v>
      </c>
      <c r="L160" s="62">
        <f t="shared" si="125"/>
        <v>1208235.294117647</v>
      </c>
      <c r="M160" s="62">
        <f t="shared" si="125"/>
        <v>1208235.294117647</v>
      </c>
      <c r="N160" s="62">
        <f t="shared" si="125"/>
        <v>1208235.294117647</v>
      </c>
      <c r="O160" s="62">
        <f t="shared" si="125"/>
        <v>1208235.294117647</v>
      </c>
      <c r="P160" s="62">
        <f t="shared" si="125"/>
        <v>1208235.294117647</v>
      </c>
      <c r="Q160" s="62">
        <f t="shared" si="125"/>
        <v>1208235.294117647</v>
      </c>
      <c r="R160" s="62">
        <f t="shared" si="125"/>
        <v>1208235.294117647</v>
      </c>
      <c r="S160" s="62">
        <f t="shared" si="125"/>
        <v>1208235.294117647</v>
      </c>
      <c r="T160" s="62">
        <f t="shared" si="125"/>
        <v>1208235.294117647</v>
      </c>
      <c r="U160" s="62">
        <f t="shared" si="125"/>
        <v>1208235.294117647</v>
      </c>
      <c r="V160" s="62">
        <f t="shared" si="125"/>
        <v>1208235.294117647</v>
      </c>
      <c r="W160" s="62">
        <f t="shared" si="125"/>
        <v>1208235.294117647</v>
      </c>
      <c r="X160" s="62">
        <f t="shared" si="125"/>
        <v>1208235.294117647</v>
      </c>
      <c r="Y160" s="62">
        <f t="shared" si="125"/>
        <v>1208235.294117647</v>
      </c>
      <c r="Z160" s="62">
        <f t="shared" si="125"/>
        <v>1208235.294117647</v>
      </c>
      <c r="AA160" s="62">
        <f t="shared" si="125"/>
        <v>1208235.294117647</v>
      </c>
      <c r="AB160" s="62">
        <f t="shared" si="125"/>
        <v>1208235.294117647</v>
      </c>
      <c r="AC160" s="62">
        <f t="shared" si="125"/>
        <v>1208235.294117647</v>
      </c>
    </row>
    <row r="161" spans="1:29" x14ac:dyDescent="0.25">
      <c r="A161" s="30" t="str">
        <f t="shared" ref="A161:AC161" si="126">A143</f>
        <v>Opex maintenance &amp; repair</v>
      </c>
      <c r="B161" s="62">
        <f t="shared" si="126"/>
        <v>338823.5294117647</v>
      </c>
      <c r="C161" s="62">
        <f t="shared" si="126"/>
        <v>338823.5294117647</v>
      </c>
      <c r="D161" s="62">
        <f t="shared" si="126"/>
        <v>338823.5294117647</v>
      </c>
      <c r="E161" s="62">
        <f t="shared" si="126"/>
        <v>338823.5294117647</v>
      </c>
      <c r="F161" s="62">
        <f t="shared" si="126"/>
        <v>338823.5294117647</v>
      </c>
      <c r="G161" s="62">
        <f t="shared" si="126"/>
        <v>338823.5294117647</v>
      </c>
      <c r="H161" s="62">
        <f t="shared" si="126"/>
        <v>338823.5294117647</v>
      </c>
      <c r="I161" s="62">
        <f t="shared" si="126"/>
        <v>338823.5294117647</v>
      </c>
      <c r="J161" s="62">
        <f t="shared" si="126"/>
        <v>338823.5294117647</v>
      </c>
      <c r="K161" s="62">
        <f t="shared" si="126"/>
        <v>338823.5294117647</v>
      </c>
      <c r="L161" s="62">
        <f t="shared" si="126"/>
        <v>338823.5294117647</v>
      </c>
      <c r="M161" s="62">
        <f t="shared" si="126"/>
        <v>338823.5294117647</v>
      </c>
      <c r="N161" s="62">
        <f t="shared" si="126"/>
        <v>338823.5294117647</v>
      </c>
      <c r="O161" s="62">
        <f t="shared" si="126"/>
        <v>338823.5294117647</v>
      </c>
      <c r="P161" s="62">
        <f t="shared" si="126"/>
        <v>338823.5294117647</v>
      </c>
      <c r="Q161" s="62">
        <f t="shared" si="126"/>
        <v>338823.5294117647</v>
      </c>
      <c r="R161" s="62">
        <f t="shared" si="126"/>
        <v>338823.5294117647</v>
      </c>
      <c r="S161" s="62">
        <f t="shared" si="126"/>
        <v>338823.5294117647</v>
      </c>
      <c r="T161" s="62">
        <f t="shared" si="126"/>
        <v>338823.5294117647</v>
      </c>
      <c r="U161" s="62">
        <f t="shared" si="126"/>
        <v>338823.5294117647</v>
      </c>
      <c r="V161" s="62">
        <f t="shared" si="126"/>
        <v>338823.5294117647</v>
      </c>
      <c r="W161" s="62">
        <f t="shared" si="126"/>
        <v>338823.5294117647</v>
      </c>
      <c r="X161" s="62">
        <f t="shared" si="126"/>
        <v>338823.5294117647</v>
      </c>
      <c r="Y161" s="62">
        <f t="shared" si="126"/>
        <v>338823.5294117647</v>
      </c>
      <c r="Z161" s="62">
        <f t="shared" si="126"/>
        <v>338823.5294117647</v>
      </c>
      <c r="AA161" s="62">
        <f t="shared" si="126"/>
        <v>338823.5294117647</v>
      </c>
      <c r="AB161" s="62">
        <f t="shared" si="126"/>
        <v>338823.5294117647</v>
      </c>
      <c r="AC161" s="62">
        <f t="shared" si="126"/>
        <v>338823.5294117647</v>
      </c>
    </row>
    <row r="162" spans="1:29" x14ac:dyDescent="0.25">
      <c r="A162" s="30" t="str">
        <f>A144</f>
        <v>Opex var (mode-fees)</v>
      </c>
      <c r="B162" s="62">
        <f>B144*B153</f>
        <v>202642.68757160378</v>
      </c>
      <c r="C162" s="62">
        <f t="shared" ref="C162:AC162" si="127">C144*C153</f>
        <v>202642.68757160378</v>
      </c>
      <c r="D162" s="62">
        <f t="shared" si="127"/>
        <v>202642.68757160378</v>
      </c>
      <c r="E162" s="62">
        <f t="shared" si="127"/>
        <v>202642.68757160378</v>
      </c>
      <c r="F162" s="62">
        <f t="shared" si="127"/>
        <v>202642.68757160378</v>
      </c>
      <c r="G162" s="62">
        <f t="shared" si="127"/>
        <v>202642.68757160378</v>
      </c>
      <c r="H162" s="62">
        <f t="shared" si="127"/>
        <v>202642.68757160378</v>
      </c>
      <c r="I162" s="62">
        <f t="shared" si="127"/>
        <v>202642.68757160378</v>
      </c>
      <c r="J162" s="62">
        <f t="shared" si="127"/>
        <v>202642.68757160378</v>
      </c>
      <c r="K162" s="62">
        <f t="shared" si="127"/>
        <v>202642.68757160378</v>
      </c>
      <c r="L162" s="62">
        <f t="shared" si="127"/>
        <v>202642.68757160378</v>
      </c>
      <c r="M162" s="62">
        <f t="shared" si="127"/>
        <v>202642.68757160378</v>
      </c>
      <c r="N162" s="62">
        <f t="shared" si="127"/>
        <v>202642.68757160378</v>
      </c>
      <c r="O162" s="62">
        <f t="shared" si="127"/>
        <v>202642.68757160378</v>
      </c>
      <c r="P162" s="62">
        <f t="shared" si="127"/>
        <v>202642.68757160378</v>
      </c>
      <c r="Q162" s="62">
        <f t="shared" si="127"/>
        <v>202642.68757160378</v>
      </c>
      <c r="R162" s="62">
        <f t="shared" si="127"/>
        <v>202642.68757160378</v>
      </c>
      <c r="S162" s="62">
        <f t="shared" si="127"/>
        <v>202642.68757160378</v>
      </c>
      <c r="T162" s="62">
        <f t="shared" si="127"/>
        <v>202642.68757160378</v>
      </c>
      <c r="U162" s="62">
        <f t="shared" si="127"/>
        <v>202642.68757160378</v>
      </c>
      <c r="V162" s="62">
        <f t="shared" si="127"/>
        <v>202642.68757160378</v>
      </c>
      <c r="W162" s="62">
        <f t="shared" si="127"/>
        <v>202642.68757160378</v>
      </c>
      <c r="X162" s="62">
        <f t="shared" si="127"/>
        <v>202642.68757160378</v>
      </c>
      <c r="Y162" s="62">
        <f t="shared" si="127"/>
        <v>202642.68757160378</v>
      </c>
      <c r="Z162" s="62">
        <f t="shared" si="127"/>
        <v>202642.68757160378</v>
      </c>
      <c r="AA162" s="62">
        <f t="shared" si="127"/>
        <v>202642.68757160378</v>
      </c>
      <c r="AB162" s="62">
        <f t="shared" si="127"/>
        <v>202642.68757160378</v>
      </c>
      <c r="AC162" s="62">
        <f t="shared" si="127"/>
        <v>202642.68757160378</v>
      </c>
    </row>
    <row r="163" spans="1:29" x14ac:dyDescent="0.25">
      <c r="A163" s="30" t="str">
        <f>A146</f>
        <v>Fuel Cost</v>
      </c>
      <c r="B163" s="62">
        <f>B145*B146*B153</f>
        <v>16884717.132068913</v>
      </c>
      <c r="C163" s="62">
        <f t="shared" ref="C163:AC163" si="128">C145*C146*C153</f>
        <v>16858155.478437811</v>
      </c>
      <c r="D163" s="62">
        <f t="shared" si="128"/>
        <v>16820247.807695027</v>
      </c>
      <c r="E163" s="62">
        <f t="shared" si="128"/>
        <v>16766260.475643475</v>
      </c>
      <c r="F163" s="62">
        <f t="shared" si="128"/>
        <v>16689609.856933123</v>
      </c>
      <c r="G163" s="62">
        <f t="shared" si="128"/>
        <v>16581276.011760581</v>
      </c>
      <c r="H163" s="62">
        <f t="shared" si="128"/>
        <v>16429180.038988085</v>
      </c>
      <c r="I163" s="62">
        <f t="shared" si="128"/>
        <v>16217704.442223981</v>
      </c>
      <c r="J163" s="62">
        <f t="shared" si="128"/>
        <v>15927740.49557955</v>
      </c>
      <c r="K163" s="62">
        <f t="shared" si="128"/>
        <v>15537936.554917173</v>
      </c>
      <c r="L163" s="62">
        <f t="shared" si="128"/>
        <v>15028065.698082881</v>
      </c>
      <c r="M163" s="62">
        <f t="shared" si="128"/>
        <v>14385230.925427267</v>
      </c>
      <c r="N163" s="62">
        <f t="shared" si="128"/>
        <v>13612326.694953671</v>
      </c>
      <c r="O163" s="62">
        <f t="shared" si="128"/>
        <v>12735537.042299014</v>
      </c>
      <c r="P163" s="62">
        <f t="shared" si="128"/>
        <v>11805293.364364006</v>
      </c>
      <c r="Q163" s="62">
        <f t="shared" si="128"/>
        <v>10886665.597812826</v>
      </c>
      <c r="R163" s="62">
        <f t="shared" si="128"/>
        <v>10041979.583912253</v>
      </c>
      <c r="S163" s="62">
        <f t="shared" si="128"/>
        <v>9314903.3718901277</v>
      </c>
      <c r="T163" s="62">
        <f t="shared" si="128"/>
        <v>8723961.6574759353</v>
      </c>
      <c r="U163" s="62">
        <f t="shared" si="128"/>
        <v>8265946.7636056766</v>
      </c>
      <c r="V163" s="62">
        <f t="shared" si="128"/>
        <v>7924174.6062428998</v>
      </c>
      <c r="W163" s="62">
        <f t="shared" si="128"/>
        <v>7676549.3947317516</v>
      </c>
      <c r="X163" s="62">
        <f t="shared" si="128"/>
        <v>7501097.3013891587</v>
      </c>
      <c r="Y163" s="62">
        <f t="shared" si="128"/>
        <v>7378817.4513770454</v>
      </c>
      <c r="Z163" s="62">
        <f t="shared" si="128"/>
        <v>7294606.1762531642</v>
      </c>
      <c r="AA163" s="62">
        <f t="shared" si="128"/>
        <v>7237100.2552979402</v>
      </c>
      <c r="AB163" s="62">
        <f t="shared" si="128"/>
        <v>7198061.9157605572</v>
      </c>
      <c r="AC163" s="62">
        <f t="shared" si="128"/>
        <v>7171668.1051134812</v>
      </c>
    </row>
    <row r="164" spans="1:29" ht="15.75" thickBot="1" x14ac:dyDescent="0.3">
      <c r="A164" s="59" t="str">
        <f>A127</f>
        <v>Emission Cost</v>
      </c>
      <c r="B164" s="62">
        <f>B147*B153</f>
        <v>298374.02153870644</v>
      </c>
      <c r="C164" s="62">
        <f t="shared" ref="C164:AC164" si="129">C147*C153</f>
        <v>298089.89677086746</v>
      </c>
      <c r="D164" s="62">
        <f t="shared" si="129"/>
        <v>297683.17849407479</v>
      </c>
      <c r="E164" s="62">
        <f t="shared" si="129"/>
        <v>297101.33939741511</v>
      </c>
      <c r="F164" s="62">
        <f t="shared" si="129"/>
        <v>296269.7629391175</v>
      </c>
      <c r="G164" s="62">
        <f t="shared" si="129"/>
        <v>295082.92362200172</v>
      </c>
      <c r="H164" s="62">
        <f t="shared" si="129"/>
        <v>293392.57327087317</v>
      </c>
      <c r="I164" s="62">
        <f t="shared" si="129"/>
        <v>290992.51808701607</v>
      </c>
      <c r="J164" s="62">
        <f t="shared" si="129"/>
        <v>287600.2707152121</v>
      </c>
      <c r="K164" s="62">
        <f t="shared" si="129"/>
        <v>282837.61660641141</v>
      </c>
      <c r="L164" s="62">
        <f t="shared" si="129"/>
        <v>276215.79849820002</v>
      </c>
      <c r="M164" s="62">
        <f t="shared" si="129"/>
        <v>267137.53359455033</v>
      </c>
      <c r="N164" s="62">
        <f t="shared" si="129"/>
        <v>254937.31835158364</v>
      </c>
      <c r="O164" s="62">
        <f t="shared" si="129"/>
        <v>238989.28012077697</v>
      </c>
      <c r="P164" s="62">
        <f t="shared" si="129"/>
        <v>218905.42153740322</v>
      </c>
      <c r="Q164" s="62">
        <f t="shared" si="129"/>
        <v>194805.36774460567</v>
      </c>
      <c r="R164" s="62">
        <f t="shared" si="129"/>
        <v>167553.66185539585</v>
      </c>
      <c r="S164" s="62">
        <f t="shared" si="129"/>
        <v>138784.14775909283</v>
      </c>
      <c r="T164" s="62">
        <f t="shared" si="129"/>
        <v>110580.76388833826</v>
      </c>
      <c r="U164" s="62">
        <f t="shared" si="129"/>
        <v>84906.643024901976</v>
      </c>
      <c r="V164" s="62">
        <f t="shared" si="129"/>
        <v>63087.296356099287</v>
      </c>
      <c r="W164" s="62">
        <f t="shared" si="129"/>
        <v>45613.907297980848</v>
      </c>
      <c r="X164" s="62">
        <f t="shared" si="129"/>
        <v>32280.935922287579</v>
      </c>
      <c r="Y164" s="62">
        <f t="shared" si="129"/>
        <v>22480.132655302932</v>
      </c>
      <c r="Z164" s="62">
        <f t="shared" si="129"/>
        <v>15472.700104340156</v>
      </c>
      <c r="AA164" s="62">
        <f t="shared" si="129"/>
        <v>10561.524741305384</v>
      </c>
      <c r="AB164" s="62">
        <f t="shared" si="129"/>
        <v>7167.6007010193562</v>
      </c>
      <c r="AC164" s="62">
        <f t="shared" si="129"/>
        <v>4844.9693545295777</v>
      </c>
    </row>
    <row r="165" spans="1:29" ht="15.75" thickBot="1" x14ac:dyDescent="0.3">
      <c r="A165" s="31" t="s">
        <v>209</v>
      </c>
      <c r="B165" s="64">
        <f>B156+B157+B158+B159+B160+B161+B162+B163+B164</f>
        <v>21512161.154533628</v>
      </c>
      <c r="C165" s="64">
        <f t="shared" ref="C165:AC165" si="130">C156+C157+C158+C159+C160+C161+C162+C163+C164</f>
        <v>21484401.15040816</v>
      </c>
      <c r="D165" s="64">
        <f t="shared" si="130"/>
        <v>21444778.067623783</v>
      </c>
      <c r="E165" s="64">
        <f t="shared" si="130"/>
        <v>21388336.718013573</v>
      </c>
      <c r="F165" s="64">
        <f t="shared" si="130"/>
        <v>21308178.766706038</v>
      </c>
      <c r="G165" s="64">
        <f t="shared" si="130"/>
        <v>21194839.199951306</v>
      </c>
      <c r="H165" s="64">
        <f t="shared" si="130"/>
        <v>21035613.851607848</v>
      </c>
      <c r="I165" s="64">
        <f t="shared" si="130"/>
        <v>20814015.563541714</v>
      </c>
      <c r="J165" s="64">
        <f t="shared" si="130"/>
        <v>20509744.165470395</v>
      </c>
      <c r="K165" s="64">
        <f t="shared" si="130"/>
        <v>20099852.82113247</v>
      </c>
      <c r="L165" s="64">
        <f t="shared" si="130"/>
        <v>19562053.181235824</v>
      </c>
      <c r="M165" s="64">
        <f t="shared" si="130"/>
        <v>18880929.091819584</v>
      </c>
      <c r="N165" s="64">
        <f t="shared" si="130"/>
        <v>18056568.122537013</v>
      </c>
      <c r="O165" s="64">
        <f t="shared" si="130"/>
        <v>17112514.571548156</v>
      </c>
      <c r="P165" s="64">
        <f t="shared" si="130"/>
        <v>16097563.382735679</v>
      </c>
      <c r="Q165" s="64">
        <f t="shared" si="130"/>
        <v>15077289.034661014</v>
      </c>
      <c r="R165" s="64">
        <f t="shared" si="130"/>
        <v>14117663.744353123</v>
      </c>
      <c r="S165" s="64">
        <f t="shared" si="130"/>
        <v>13269246.609811775</v>
      </c>
      <c r="T165" s="64">
        <f t="shared" si="130"/>
        <v>12559351.735271709</v>
      </c>
      <c r="U165" s="64">
        <f t="shared" si="130"/>
        <v>11993051.331260018</v>
      </c>
      <c r="V165" s="64">
        <f t="shared" si="130"/>
        <v>11559251.910430199</v>
      </c>
      <c r="W165" s="64">
        <f t="shared" si="130"/>
        <v>11237929.342031058</v>
      </c>
      <c r="X165" s="64">
        <f t="shared" si="130"/>
        <v>11006242.89446081</v>
      </c>
      <c r="Y165" s="64">
        <f t="shared" si="130"/>
        <v>10842626.284089642</v>
      </c>
      <c r="Z165" s="64">
        <f t="shared" si="130"/>
        <v>10728859.823314076</v>
      </c>
      <c r="AA165" s="64">
        <f t="shared" si="130"/>
        <v>10650640.081916505</v>
      </c>
      <c r="AB165" s="64">
        <f t="shared" si="130"/>
        <v>10597287.219282558</v>
      </c>
      <c r="AC165" s="64">
        <f t="shared" si="130"/>
        <v>10561097.267160457</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31">A156</f>
        <v>Capex vehicle</v>
      </c>
      <c r="B168" s="65">
        <f>((1+B141)^B148)*B141/(((1+B141)^B148)-1)*(B137)/B153</f>
        <v>19.539498974368939</v>
      </c>
      <c r="C168" s="65">
        <f t="shared" ref="C168:AC168" si="132">((1+C141)^C148)*C141/(((1+C141)^C148)-1)*(C137)/C153</f>
        <v>19.532066244884934</v>
      </c>
      <c r="D168" s="65">
        <f t="shared" si="132"/>
        <v>19.521426458179274</v>
      </c>
      <c r="E168" s="65">
        <f t="shared" si="132"/>
        <v>19.506205495073583</v>
      </c>
      <c r="F168" s="65">
        <f t="shared" si="132"/>
        <v>19.484451380123293</v>
      </c>
      <c r="G168" s="65">
        <f t="shared" si="132"/>
        <v>19.453403556830025</v>
      </c>
      <c r="H168" s="65">
        <f t="shared" si="132"/>
        <v>19.409183839595606</v>
      </c>
      <c r="I168" s="65">
        <f t="shared" si="132"/>
        <v>19.346398180098269</v>
      </c>
      <c r="J168" s="65">
        <f t="shared" si="132"/>
        <v>19.257656683715453</v>
      </c>
      <c r="K168" s="65">
        <f t="shared" si="132"/>
        <v>19.133065223823188</v>
      </c>
      <c r="L168" s="65">
        <f t="shared" si="132"/>
        <v>18.959837866472469</v>
      </c>
      <c r="M168" s="65">
        <f t="shared" si="132"/>
        <v>18.722349639992963</v>
      </c>
      <c r="N168" s="65">
        <f t="shared" si="132"/>
        <v>18.403190911814015</v>
      </c>
      <c r="O168" s="65">
        <f t="shared" si="132"/>
        <v>17.985988797152327</v>
      </c>
      <c r="P168" s="65">
        <f t="shared" si="132"/>
        <v>17.460593250045839</v>
      </c>
      <c r="Q168" s="65">
        <f t="shared" si="132"/>
        <v>16.830133674999598</v>
      </c>
      <c r="R168" s="65">
        <f t="shared" si="132"/>
        <v>16.117226597616597</v>
      </c>
      <c r="S168" s="65">
        <f t="shared" si="132"/>
        <v>15.364613521007501</v>
      </c>
      <c r="T168" s="65">
        <f t="shared" si="132"/>
        <v>14.626810462022794</v>
      </c>
      <c r="U168" s="65">
        <f t="shared" si="132"/>
        <v>13.955173150819558</v>
      </c>
      <c r="V168" s="65">
        <f t="shared" si="132"/>
        <v>13.384377079289164</v>
      </c>
      <c r="W168" s="65">
        <f t="shared" si="132"/>
        <v>12.927271649777994</v>
      </c>
      <c r="X168" s="65">
        <f t="shared" si="132"/>
        <v>12.578479919274246</v>
      </c>
      <c r="Y168" s="65">
        <f t="shared" si="132"/>
        <v>12.322090024216767</v>
      </c>
      <c r="Z168" s="65">
        <f t="shared" si="132"/>
        <v>12.138774958357224</v>
      </c>
      <c r="AA168" s="65">
        <f t="shared" si="132"/>
        <v>12.010298169094545</v>
      </c>
      <c r="AB168" s="65">
        <f t="shared" si="132"/>
        <v>11.921512810913416</v>
      </c>
      <c r="AC168" s="65">
        <f t="shared" si="132"/>
        <v>11.860752565965971</v>
      </c>
    </row>
    <row r="169" spans="1:29" x14ac:dyDescent="0.25">
      <c r="A169" s="30" t="str">
        <f t="shared" si="131"/>
        <v>Residual value (vehicle)</v>
      </c>
      <c r="B169" s="66">
        <f>((1+B141)^B148)*B141/(((1+B141)^B148)-1)*(B138)/B153</f>
        <v>-0.97826349212091301</v>
      </c>
      <c r="C169" s="66">
        <f t="shared" ref="C169:AC169" si="133">((1+C141)^C148)*C141/(((1+C141)^C148)-1)*(C138)/C153</f>
        <v>-0.97844931035801319</v>
      </c>
      <c r="D169" s="66">
        <f t="shared" si="133"/>
        <v>-0.97871530502565462</v>
      </c>
      <c r="E169" s="66">
        <f t="shared" si="133"/>
        <v>-0.97909582910329696</v>
      </c>
      <c r="F169" s="66">
        <f t="shared" si="133"/>
        <v>-0.9796396819770542</v>
      </c>
      <c r="G169" s="66">
        <f t="shared" si="133"/>
        <v>-0.98041587755938586</v>
      </c>
      <c r="H169" s="66">
        <f t="shared" si="133"/>
        <v>-0.98152137049024646</v>
      </c>
      <c r="I169" s="66">
        <f t="shared" si="133"/>
        <v>-0.98309101197767967</v>
      </c>
      <c r="J169" s="66">
        <f t="shared" si="133"/>
        <v>-0.98530954938725024</v>
      </c>
      <c r="K169" s="66">
        <f t="shared" si="133"/>
        <v>-0.9884243358845568</v>
      </c>
      <c r="L169" s="66">
        <f t="shared" si="133"/>
        <v>-0.99275501981832481</v>
      </c>
      <c r="M169" s="66">
        <f t="shared" si="133"/>
        <v>-0.99869222548031233</v>
      </c>
      <c r="N169" s="66">
        <f t="shared" si="133"/>
        <v>-1.0066711936847861</v>
      </c>
      <c r="O169" s="66">
        <f t="shared" si="133"/>
        <v>-1.0171012465513283</v>
      </c>
      <c r="P169" s="66">
        <f t="shared" si="133"/>
        <v>-1.0302361352289906</v>
      </c>
      <c r="Q169" s="66">
        <f t="shared" si="133"/>
        <v>-1.0459976246051466</v>
      </c>
      <c r="R169" s="66">
        <f t="shared" si="133"/>
        <v>-1.0638203015397216</v>
      </c>
      <c r="S169" s="66">
        <f t="shared" si="133"/>
        <v>-1.082635628454949</v>
      </c>
      <c r="T169" s="66">
        <f t="shared" si="133"/>
        <v>-1.1010807049295666</v>
      </c>
      <c r="U169" s="66">
        <f t="shared" si="133"/>
        <v>-1.1178716377096476</v>
      </c>
      <c r="V169" s="66">
        <f t="shared" si="133"/>
        <v>-1.1321415394979075</v>
      </c>
      <c r="W169" s="66">
        <f t="shared" si="133"/>
        <v>-1.1435691752356867</v>
      </c>
      <c r="X169" s="66">
        <f t="shared" si="133"/>
        <v>-1.1522889684982804</v>
      </c>
      <c r="Y169" s="66">
        <f t="shared" si="133"/>
        <v>-1.1586987158747175</v>
      </c>
      <c r="Z169" s="66">
        <f t="shared" si="133"/>
        <v>-1.1632815925212061</v>
      </c>
      <c r="AA169" s="66">
        <f t="shared" si="133"/>
        <v>-1.1664935122527731</v>
      </c>
      <c r="AB169" s="66">
        <f t="shared" si="133"/>
        <v>-1.1687131462073013</v>
      </c>
      <c r="AC169" s="66">
        <f t="shared" si="133"/>
        <v>-1.1702321523309871</v>
      </c>
    </row>
    <row r="170" spans="1:29" x14ac:dyDescent="0.25">
      <c r="A170" s="30" t="str">
        <f t="shared" si="131"/>
        <v>Capex costumization</v>
      </c>
      <c r="B170" s="66">
        <f>((1+B141)^B149)*B141/(((1+B141)^B149)-1)*(B139)/B153</f>
        <v>3.2594465921780813</v>
      </c>
      <c r="C170" s="66">
        <f t="shared" ref="C170:AC170" si="134">((1+C141)^C149)*C141/(((1+C141)^C149)-1)*(C139)/C153</f>
        <v>3.2594465921780813</v>
      </c>
      <c r="D170" s="66">
        <f t="shared" si="134"/>
        <v>3.2594465921780813</v>
      </c>
      <c r="E170" s="66">
        <f t="shared" si="134"/>
        <v>3.2594465921780813</v>
      </c>
      <c r="F170" s="66">
        <f t="shared" si="134"/>
        <v>3.2594465921780813</v>
      </c>
      <c r="G170" s="66">
        <f t="shared" si="134"/>
        <v>3.2594465921780813</v>
      </c>
      <c r="H170" s="66">
        <f t="shared" si="134"/>
        <v>3.2594465921780813</v>
      </c>
      <c r="I170" s="66">
        <f t="shared" si="134"/>
        <v>3.2594465921780813</v>
      </c>
      <c r="J170" s="66">
        <f t="shared" si="134"/>
        <v>3.2594465921780813</v>
      </c>
      <c r="K170" s="66">
        <f t="shared" si="134"/>
        <v>3.2594465921780813</v>
      </c>
      <c r="L170" s="66">
        <f t="shared" si="134"/>
        <v>3.2594465921780813</v>
      </c>
      <c r="M170" s="66">
        <f t="shared" si="134"/>
        <v>3.2594465921780813</v>
      </c>
      <c r="N170" s="66">
        <f t="shared" si="134"/>
        <v>3.2594465921780813</v>
      </c>
      <c r="O170" s="66">
        <f t="shared" si="134"/>
        <v>3.2594465921780813</v>
      </c>
      <c r="P170" s="66">
        <f t="shared" si="134"/>
        <v>3.2594465921780813</v>
      </c>
      <c r="Q170" s="66">
        <f t="shared" si="134"/>
        <v>3.2594465921780813</v>
      </c>
      <c r="R170" s="66">
        <f t="shared" si="134"/>
        <v>3.2594465921780813</v>
      </c>
      <c r="S170" s="66">
        <f t="shared" si="134"/>
        <v>3.2594465921780813</v>
      </c>
      <c r="T170" s="66">
        <f t="shared" si="134"/>
        <v>3.2594465921780813</v>
      </c>
      <c r="U170" s="66">
        <f t="shared" si="134"/>
        <v>3.2594465921780813</v>
      </c>
      <c r="V170" s="66">
        <f t="shared" si="134"/>
        <v>3.2594465921780813</v>
      </c>
      <c r="W170" s="66">
        <f t="shared" si="134"/>
        <v>3.2594465921780813</v>
      </c>
      <c r="X170" s="66">
        <f t="shared" si="134"/>
        <v>3.2594465921780813</v>
      </c>
      <c r="Y170" s="66">
        <f t="shared" si="134"/>
        <v>3.2594465921780813</v>
      </c>
      <c r="Z170" s="66">
        <f t="shared" si="134"/>
        <v>3.2594465921780813</v>
      </c>
      <c r="AA170" s="66">
        <f t="shared" si="134"/>
        <v>3.2594465921780813</v>
      </c>
      <c r="AB170" s="66">
        <f t="shared" si="134"/>
        <v>3.2594465921780813</v>
      </c>
      <c r="AC170" s="66">
        <f t="shared" si="134"/>
        <v>3.2594465921780813</v>
      </c>
    </row>
    <row r="171" spans="1:29" x14ac:dyDescent="0.25">
      <c r="A171" s="30" t="str">
        <f t="shared" si="131"/>
        <v>Residual value (costumization)</v>
      </c>
      <c r="B171" s="66">
        <f>((1+B141)^B149)*B141/(((1+B141)^B149)-1)*(B140)/B153</f>
        <v>-0.32594465921780813</v>
      </c>
      <c r="C171" s="66">
        <f t="shared" ref="C171:AC171" si="135">((1+C141)^C149)*C141/(((1+C141)^C149)-1)*(C140)/C153</f>
        <v>-0.32594465921780813</v>
      </c>
      <c r="D171" s="66">
        <f t="shared" si="135"/>
        <v>-0.32594465921780813</v>
      </c>
      <c r="E171" s="66">
        <f t="shared" si="135"/>
        <v>-0.32594465921780813</v>
      </c>
      <c r="F171" s="66">
        <f t="shared" si="135"/>
        <v>-0.32594465921780813</v>
      </c>
      <c r="G171" s="66">
        <f t="shared" si="135"/>
        <v>-0.32594465921780813</v>
      </c>
      <c r="H171" s="66">
        <f t="shared" si="135"/>
        <v>-0.32594465921780813</v>
      </c>
      <c r="I171" s="66">
        <f t="shared" si="135"/>
        <v>-0.32594465921780813</v>
      </c>
      <c r="J171" s="66">
        <f t="shared" si="135"/>
        <v>-0.32594465921780813</v>
      </c>
      <c r="K171" s="66">
        <f t="shared" si="135"/>
        <v>-0.32594465921780813</v>
      </c>
      <c r="L171" s="66">
        <f t="shared" si="135"/>
        <v>-0.32594465921780813</v>
      </c>
      <c r="M171" s="66">
        <f t="shared" si="135"/>
        <v>-0.32594465921780813</v>
      </c>
      <c r="N171" s="66">
        <f t="shared" si="135"/>
        <v>-0.32594465921780813</v>
      </c>
      <c r="O171" s="66">
        <f t="shared" si="135"/>
        <v>-0.32594465921780813</v>
      </c>
      <c r="P171" s="66">
        <f t="shared" si="135"/>
        <v>-0.32594465921780813</v>
      </c>
      <c r="Q171" s="66">
        <f t="shared" si="135"/>
        <v>-0.32594465921780813</v>
      </c>
      <c r="R171" s="66">
        <f t="shared" si="135"/>
        <v>-0.32594465921780813</v>
      </c>
      <c r="S171" s="66">
        <f t="shared" si="135"/>
        <v>-0.32594465921780813</v>
      </c>
      <c r="T171" s="66">
        <f t="shared" si="135"/>
        <v>-0.32594465921780813</v>
      </c>
      <c r="U171" s="66">
        <f t="shared" si="135"/>
        <v>-0.32594465921780813</v>
      </c>
      <c r="V171" s="66">
        <f t="shared" si="135"/>
        <v>-0.32594465921780813</v>
      </c>
      <c r="W171" s="66">
        <f t="shared" si="135"/>
        <v>-0.32594465921780813</v>
      </c>
      <c r="X171" s="66">
        <f t="shared" si="135"/>
        <v>-0.32594465921780813</v>
      </c>
      <c r="Y171" s="66">
        <f t="shared" si="135"/>
        <v>-0.32594465921780813</v>
      </c>
      <c r="Z171" s="66">
        <f t="shared" si="135"/>
        <v>-0.32594465921780813</v>
      </c>
      <c r="AA171" s="66">
        <f t="shared" si="135"/>
        <v>-0.32594465921780813</v>
      </c>
      <c r="AB171" s="66">
        <f t="shared" si="135"/>
        <v>-0.32594465921780813</v>
      </c>
      <c r="AC171" s="66">
        <f t="shared" si="135"/>
        <v>-0.32594465921780813</v>
      </c>
    </row>
    <row r="172" spans="1:29" x14ac:dyDescent="0.25">
      <c r="A172" s="30" t="str">
        <f t="shared" si="131"/>
        <v>Opex fix (admin, crew, insurance)</v>
      </c>
      <c r="B172" s="66">
        <f>B142/B153</f>
        <v>10.068627450980392</v>
      </c>
      <c r="C172" s="66">
        <f t="shared" ref="C172:AC172" si="136">C142/C153</f>
        <v>10.068627450980392</v>
      </c>
      <c r="D172" s="66">
        <f t="shared" si="136"/>
        <v>10.068627450980392</v>
      </c>
      <c r="E172" s="66">
        <f t="shared" si="136"/>
        <v>10.068627450980392</v>
      </c>
      <c r="F172" s="66">
        <f t="shared" si="136"/>
        <v>10.068627450980392</v>
      </c>
      <c r="G172" s="66">
        <f t="shared" si="136"/>
        <v>10.068627450980392</v>
      </c>
      <c r="H172" s="66">
        <f t="shared" si="136"/>
        <v>10.068627450980392</v>
      </c>
      <c r="I172" s="66">
        <f t="shared" si="136"/>
        <v>10.068627450980392</v>
      </c>
      <c r="J172" s="66">
        <f t="shared" si="136"/>
        <v>10.068627450980392</v>
      </c>
      <c r="K172" s="66">
        <f t="shared" si="136"/>
        <v>10.068627450980392</v>
      </c>
      <c r="L172" s="66">
        <f t="shared" si="136"/>
        <v>10.068627450980392</v>
      </c>
      <c r="M172" s="66">
        <f t="shared" si="136"/>
        <v>10.068627450980392</v>
      </c>
      <c r="N172" s="66">
        <f t="shared" si="136"/>
        <v>10.068627450980392</v>
      </c>
      <c r="O172" s="66">
        <f t="shared" si="136"/>
        <v>10.068627450980392</v>
      </c>
      <c r="P172" s="66">
        <f t="shared" si="136"/>
        <v>10.068627450980392</v>
      </c>
      <c r="Q172" s="66">
        <f t="shared" si="136"/>
        <v>10.068627450980392</v>
      </c>
      <c r="R172" s="66">
        <f t="shared" si="136"/>
        <v>10.068627450980392</v>
      </c>
      <c r="S172" s="66">
        <f t="shared" si="136"/>
        <v>10.068627450980392</v>
      </c>
      <c r="T172" s="66">
        <f t="shared" si="136"/>
        <v>10.068627450980392</v>
      </c>
      <c r="U172" s="66">
        <f t="shared" si="136"/>
        <v>10.068627450980392</v>
      </c>
      <c r="V172" s="66">
        <f t="shared" si="136"/>
        <v>10.068627450980392</v>
      </c>
      <c r="W172" s="66">
        <f t="shared" si="136"/>
        <v>10.068627450980392</v>
      </c>
      <c r="X172" s="66">
        <f t="shared" si="136"/>
        <v>10.068627450980392</v>
      </c>
      <c r="Y172" s="66">
        <f t="shared" si="136"/>
        <v>10.068627450980392</v>
      </c>
      <c r="Z172" s="66">
        <f t="shared" si="136"/>
        <v>10.068627450980392</v>
      </c>
      <c r="AA172" s="66">
        <f t="shared" si="136"/>
        <v>10.068627450980392</v>
      </c>
      <c r="AB172" s="66">
        <f t="shared" si="136"/>
        <v>10.068627450980392</v>
      </c>
      <c r="AC172" s="66">
        <f t="shared" si="136"/>
        <v>10.068627450980392</v>
      </c>
    </row>
    <row r="173" spans="1:29" x14ac:dyDescent="0.25">
      <c r="A173" s="30" t="str">
        <f t="shared" si="131"/>
        <v>Opex maintenance &amp; repair</v>
      </c>
      <c r="B173" s="66">
        <f>B143/B153</f>
        <v>2.8235294117647056</v>
      </c>
      <c r="C173" s="66">
        <f t="shared" ref="C173:AC173" si="137">C143/C153</f>
        <v>2.8235294117647056</v>
      </c>
      <c r="D173" s="66">
        <f t="shared" si="137"/>
        <v>2.8235294117647056</v>
      </c>
      <c r="E173" s="66">
        <f t="shared" si="137"/>
        <v>2.8235294117647056</v>
      </c>
      <c r="F173" s="66">
        <f t="shared" si="137"/>
        <v>2.8235294117647056</v>
      </c>
      <c r="G173" s="66">
        <f t="shared" si="137"/>
        <v>2.8235294117647056</v>
      </c>
      <c r="H173" s="66">
        <f t="shared" si="137"/>
        <v>2.8235294117647056</v>
      </c>
      <c r="I173" s="66">
        <f t="shared" si="137"/>
        <v>2.8235294117647056</v>
      </c>
      <c r="J173" s="66">
        <f t="shared" si="137"/>
        <v>2.8235294117647056</v>
      </c>
      <c r="K173" s="66">
        <f t="shared" si="137"/>
        <v>2.8235294117647056</v>
      </c>
      <c r="L173" s="66">
        <f t="shared" si="137"/>
        <v>2.8235294117647056</v>
      </c>
      <c r="M173" s="66">
        <f t="shared" si="137"/>
        <v>2.8235294117647056</v>
      </c>
      <c r="N173" s="66">
        <f t="shared" si="137"/>
        <v>2.8235294117647056</v>
      </c>
      <c r="O173" s="66">
        <f t="shared" si="137"/>
        <v>2.8235294117647056</v>
      </c>
      <c r="P173" s="66">
        <f t="shared" si="137"/>
        <v>2.8235294117647056</v>
      </c>
      <c r="Q173" s="66">
        <f t="shared" si="137"/>
        <v>2.8235294117647056</v>
      </c>
      <c r="R173" s="66">
        <f t="shared" si="137"/>
        <v>2.8235294117647056</v>
      </c>
      <c r="S173" s="66">
        <f t="shared" si="137"/>
        <v>2.8235294117647056</v>
      </c>
      <c r="T173" s="66">
        <f t="shared" si="137"/>
        <v>2.8235294117647056</v>
      </c>
      <c r="U173" s="66">
        <f t="shared" si="137"/>
        <v>2.8235294117647056</v>
      </c>
      <c r="V173" s="66">
        <f t="shared" si="137"/>
        <v>2.8235294117647056</v>
      </c>
      <c r="W173" s="66">
        <f t="shared" si="137"/>
        <v>2.8235294117647056</v>
      </c>
      <c r="X173" s="66">
        <f t="shared" si="137"/>
        <v>2.8235294117647056</v>
      </c>
      <c r="Y173" s="66">
        <f t="shared" si="137"/>
        <v>2.8235294117647056</v>
      </c>
      <c r="Z173" s="66">
        <f t="shared" si="137"/>
        <v>2.8235294117647056</v>
      </c>
      <c r="AA173" s="66">
        <f t="shared" si="137"/>
        <v>2.8235294117647056</v>
      </c>
      <c r="AB173" s="66">
        <f t="shared" si="137"/>
        <v>2.8235294117647056</v>
      </c>
      <c r="AC173" s="66">
        <f t="shared" si="137"/>
        <v>2.8235294117647056</v>
      </c>
    </row>
    <row r="174" spans="1:29" x14ac:dyDescent="0.25">
      <c r="A174" s="30" t="str">
        <f t="shared" si="131"/>
        <v>Opex var (mode-fees)</v>
      </c>
      <c r="B174" s="66">
        <f>B144*B153/B153</f>
        <v>1.6886890630966982</v>
      </c>
      <c r="C174" s="66">
        <f t="shared" ref="C174:AC174" si="138">C144*C153/C153</f>
        <v>1.6886890630966982</v>
      </c>
      <c r="D174" s="66">
        <f t="shared" si="138"/>
        <v>1.6886890630966982</v>
      </c>
      <c r="E174" s="66">
        <f t="shared" si="138"/>
        <v>1.6886890630966982</v>
      </c>
      <c r="F174" s="66">
        <f t="shared" si="138"/>
        <v>1.6886890630966982</v>
      </c>
      <c r="G174" s="66">
        <f t="shared" si="138"/>
        <v>1.6886890630966982</v>
      </c>
      <c r="H174" s="66">
        <f t="shared" si="138"/>
        <v>1.6886890630966982</v>
      </c>
      <c r="I174" s="66">
        <f t="shared" si="138"/>
        <v>1.6886890630966982</v>
      </c>
      <c r="J174" s="66">
        <f t="shared" si="138"/>
        <v>1.6886890630966982</v>
      </c>
      <c r="K174" s="66">
        <f t="shared" si="138"/>
        <v>1.6886890630966982</v>
      </c>
      <c r="L174" s="66">
        <f t="shared" si="138"/>
        <v>1.6886890630966982</v>
      </c>
      <c r="M174" s="66">
        <f t="shared" si="138"/>
        <v>1.6886890630966982</v>
      </c>
      <c r="N174" s="66">
        <f t="shared" si="138"/>
        <v>1.6886890630966982</v>
      </c>
      <c r="O174" s="66">
        <f t="shared" si="138"/>
        <v>1.6886890630966982</v>
      </c>
      <c r="P174" s="66">
        <f t="shared" si="138"/>
        <v>1.6886890630966982</v>
      </c>
      <c r="Q174" s="66">
        <f t="shared" si="138"/>
        <v>1.6886890630966982</v>
      </c>
      <c r="R174" s="66">
        <f t="shared" si="138"/>
        <v>1.6886890630966982</v>
      </c>
      <c r="S174" s="66">
        <f t="shared" si="138"/>
        <v>1.6886890630966982</v>
      </c>
      <c r="T174" s="66">
        <f t="shared" si="138"/>
        <v>1.6886890630966982</v>
      </c>
      <c r="U174" s="66">
        <f t="shared" si="138"/>
        <v>1.6886890630966982</v>
      </c>
      <c r="V174" s="66">
        <f t="shared" si="138"/>
        <v>1.6886890630966982</v>
      </c>
      <c r="W174" s="66">
        <f t="shared" si="138"/>
        <v>1.6886890630966982</v>
      </c>
      <c r="X174" s="66">
        <f t="shared" si="138"/>
        <v>1.6886890630966982</v>
      </c>
      <c r="Y174" s="66">
        <f t="shared" si="138"/>
        <v>1.6886890630966982</v>
      </c>
      <c r="Z174" s="66">
        <f t="shared" si="138"/>
        <v>1.6886890630966982</v>
      </c>
      <c r="AA174" s="66">
        <f t="shared" si="138"/>
        <v>1.6886890630966982</v>
      </c>
      <c r="AB174" s="66">
        <f t="shared" si="138"/>
        <v>1.6886890630966982</v>
      </c>
      <c r="AC174" s="66">
        <f t="shared" si="138"/>
        <v>1.6886890630966982</v>
      </c>
    </row>
    <row r="175" spans="1:29" x14ac:dyDescent="0.25">
      <c r="A175" s="30" t="str">
        <f t="shared" si="131"/>
        <v>Fuel Cost</v>
      </c>
      <c r="B175" s="66">
        <f>B145*B146*B153/B153</f>
        <v>140.70597610057428</v>
      </c>
      <c r="C175" s="66">
        <f t="shared" ref="C175:AC175" si="139">C145*C146*C153/C153</f>
        <v>140.48462898698176</v>
      </c>
      <c r="D175" s="66">
        <f t="shared" si="139"/>
        <v>140.1687317307919</v>
      </c>
      <c r="E175" s="66">
        <f t="shared" si="139"/>
        <v>139.71883729702895</v>
      </c>
      <c r="F175" s="66">
        <f t="shared" si="139"/>
        <v>139.08008214110936</v>
      </c>
      <c r="G175" s="66">
        <f t="shared" si="139"/>
        <v>138.17730009800485</v>
      </c>
      <c r="H175" s="66">
        <f t="shared" si="139"/>
        <v>136.90983365823405</v>
      </c>
      <c r="I175" s="66">
        <f t="shared" si="139"/>
        <v>135.14753701853317</v>
      </c>
      <c r="J175" s="66">
        <f t="shared" si="139"/>
        <v>132.73117079649626</v>
      </c>
      <c r="K175" s="66">
        <f t="shared" si="139"/>
        <v>129.48280462430978</v>
      </c>
      <c r="L175" s="66">
        <f t="shared" si="139"/>
        <v>125.23388081735735</v>
      </c>
      <c r="M175" s="66">
        <f t="shared" si="139"/>
        <v>119.87692437856056</v>
      </c>
      <c r="N175" s="66">
        <f t="shared" si="139"/>
        <v>113.43605579128059</v>
      </c>
      <c r="O175" s="66">
        <f t="shared" si="139"/>
        <v>106.12947535249178</v>
      </c>
      <c r="P175" s="66">
        <f t="shared" si="139"/>
        <v>98.377444703033376</v>
      </c>
      <c r="Q175" s="66">
        <f t="shared" si="139"/>
        <v>90.722213315106885</v>
      </c>
      <c r="R175" s="66">
        <f t="shared" si="139"/>
        <v>83.683163199268776</v>
      </c>
      <c r="S175" s="66">
        <f t="shared" si="139"/>
        <v>77.624194765751071</v>
      </c>
      <c r="T175" s="66">
        <f t="shared" si="139"/>
        <v>72.69968047896613</v>
      </c>
      <c r="U175" s="66">
        <f t="shared" si="139"/>
        <v>68.882889696713974</v>
      </c>
      <c r="V175" s="66">
        <f t="shared" si="139"/>
        <v>66.034788385357501</v>
      </c>
      <c r="W175" s="66">
        <f t="shared" si="139"/>
        <v>63.971244956097934</v>
      </c>
      <c r="X175" s="66">
        <f t="shared" si="139"/>
        <v>62.509144178242991</v>
      </c>
      <c r="Y175" s="66">
        <f t="shared" si="139"/>
        <v>61.490145428142043</v>
      </c>
      <c r="Z175" s="66">
        <f t="shared" si="139"/>
        <v>60.788384802109704</v>
      </c>
      <c r="AA175" s="66">
        <f t="shared" si="139"/>
        <v>60.3091687941495</v>
      </c>
      <c r="AB175" s="66">
        <f t="shared" si="139"/>
        <v>59.983849298004642</v>
      </c>
      <c r="AC175" s="66">
        <f t="shared" si="139"/>
        <v>59.763900875945673</v>
      </c>
    </row>
    <row r="176" spans="1:29" ht="15.75" thickBot="1" x14ac:dyDescent="0.3">
      <c r="A176" s="59" t="str">
        <f t="shared" ref="A176" si="140">A164</f>
        <v>Emission Cost</v>
      </c>
      <c r="B176" s="66">
        <f>B147</f>
        <v>2.4864501794892204</v>
      </c>
      <c r="C176" s="66">
        <f t="shared" ref="C176:AC176" si="141">C147</f>
        <v>2.4840824730905622</v>
      </c>
      <c r="D176" s="66">
        <f t="shared" si="141"/>
        <v>2.4806931541172901</v>
      </c>
      <c r="E176" s="66">
        <f t="shared" si="141"/>
        <v>2.4758444949784595</v>
      </c>
      <c r="F176" s="66">
        <f t="shared" si="141"/>
        <v>2.4689146911593123</v>
      </c>
      <c r="G176" s="66">
        <f t="shared" si="141"/>
        <v>2.4590243635166811</v>
      </c>
      <c r="H176" s="66">
        <f t="shared" si="141"/>
        <v>2.4449381105906096</v>
      </c>
      <c r="I176" s="66">
        <f t="shared" si="141"/>
        <v>2.4249376507251341</v>
      </c>
      <c r="J176" s="66">
        <f t="shared" si="141"/>
        <v>2.3966689226267675</v>
      </c>
      <c r="K176" s="66">
        <f t="shared" si="141"/>
        <v>2.3569801383867617</v>
      </c>
      <c r="L176" s="66">
        <f t="shared" si="141"/>
        <v>2.3017983208183335</v>
      </c>
      <c r="M176" s="66">
        <f t="shared" si="141"/>
        <v>2.2261461132879194</v>
      </c>
      <c r="N176" s="66">
        <f t="shared" si="141"/>
        <v>2.1244776529298637</v>
      </c>
      <c r="O176" s="66">
        <f t="shared" si="141"/>
        <v>1.991577334339808</v>
      </c>
      <c r="P176" s="66">
        <f t="shared" si="141"/>
        <v>1.824211846145027</v>
      </c>
      <c r="Q176" s="66">
        <f t="shared" si="141"/>
        <v>1.6233780645383806</v>
      </c>
      <c r="R176" s="66">
        <f t="shared" si="141"/>
        <v>1.396280515461632</v>
      </c>
      <c r="S176" s="66">
        <f t="shared" si="141"/>
        <v>1.156534564659107</v>
      </c>
      <c r="T176" s="66">
        <f t="shared" si="141"/>
        <v>0.92150636573615219</v>
      </c>
      <c r="U176" s="66">
        <f t="shared" si="141"/>
        <v>0.70755535854084983</v>
      </c>
      <c r="V176" s="66">
        <f t="shared" si="141"/>
        <v>0.52572746963416073</v>
      </c>
      <c r="W176" s="66">
        <f t="shared" si="141"/>
        <v>0.38011589414984037</v>
      </c>
      <c r="X176" s="66">
        <f t="shared" si="141"/>
        <v>0.26900779935239649</v>
      </c>
      <c r="Y176" s="66">
        <f t="shared" si="141"/>
        <v>0.18733443879419109</v>
      </c>
      <c r="Z176" s="66">
        <f t="shared" si="141"/>
        <v>0.12893916753616796</v>
      </c>
      <c r="AA176" s="66">
        <f t="shared" si="141"/>
        <v>8.8012706177544864E-2</v>
      </c>
      <c r="AB176" s="66">
        <f t="shared" si="141"/>
        <v>5.9730005841827971E-2</v>
      </c>
      <c r="AC176" s="66">
        <f t="shared" si="141"/>
        <v>4.0374744621079817E-2</v>
      </c>
    </row>
    <row r="177" spans="1:29" ht="15.75" thickBot="1" x14ac:dyDescent="0.3">
      <c r="A177" s="31" t="s">
        <v>63</v>
      </c>
      <c r="B177" s="76">
        <f>B168+B169+B170-B171+B172+B173+B174+B175+B176</f>
        <v>179.9198989395492</v>
      </c>
      <c r="C177" s="76">
        <f t="shared" ref="C177:AC177" si="142">C168+C169+C170-C171+C172+C173+C174+C175+C176</f>
        <v>179.6885655718369</v>
      </c>
      <c r="D177" s="76">
        <f t="shared" si="142"/>
        <v>179.35837321530047</v>
      </c>
      <c r="E177" s="76">
        <f t="shared" si="142"/>
        <v>178.88802863521536</v>
      </c>
      <c r="F177" s="76">
        <f t="shared" si="142"/>
        <v>178.22004570765259</v>
      </c>
      <c r="G177" s="76">
        <f t="shared" si="142"/>
        <v>177.27554931802985</v>
      </c>
      <c r="H177" s="76">
        <f t="shared" si="142"/>
        <v>175.94867141516769</v>
      </c>
      <c r="I177" s="76">
        <f t="shared" si="142"/>
        <v>174.10201901461656</v>
      </c>
      <c r="J177" s="76">
        <f t="shared" si="142"/>
        <v>171.56642403068889</v>
      </c>
      <c r="K177" s="76">
        <f t="shared" si="142"/>
        <v>168.15066282787288</v>
      </c>
      <c r="L177" s="76">
        <f t="shared" si="142"/>
        <v>163.66899916206751</v>
      </c>
      <c r="M177" s="76">
        <f t="shared" si="142"/>
        <v>157.99296508359879</v>
      </c>
      <c r="N177" s="76">
        <f t="shared" si="142"/>
        <v>151.12329033957738</v>
      </c>
      <c r="O177" s="76">
        <f t="shared" si="142"/>
        <v>143.25617741467028</v>
      </c>
      <c r="P177" s="76">
        <f t="shared" si="142"/>
        <v>134.79825084123294</v>
      </c>
      <c r="Q177" s="76">
        <f t="shared" si="142"/>
        <v>126.2959646072774</v>
      </c>
      <c r="R177" s="76">
        <f t="shared" si="142"/>
        <v>118.29908718804496</v>
      </c>
      <c r="S177" s="76">
        <f t="shared" si="142"/>
        <v>111.22894440020042</v>
      </c>
      <c r="T177" s="76">
        <f t="shared" si="142"/>
        <v>105.3131537790332</v>
      </c>
      <c r="U177" s="76">
        <f t="shared" si="142"/>
        <v>100.59398374560242</v>
      </c>
      <c r="V177" s="76">
        <f t="shared" si="142"/>
        <v>96.978988572020612</v>
      </c>
      <c r="W177" s="76">
        <f t="shared" si="142"/>
        <v>94.301300502027772</v>
      </c>
      <c r="X177" s="76">
        <f t="shared" si="142"/>
        <v>92.370580105609037</v>
      </c>
      <c r="Y177" s="76">
        <f t="shared" si="142"/>
        <v>91.007108352515971</v>
      </c>
      <c r="Z177" s="76">
        <f t="shared" si="142"/>
        <v>90.059054512719584</v>
      </c>
      <c r="AA177" s="76">
        <f t="shared" si="142"/>
        <v>89.40722333440651</v>
      </c>
      <c r="AB177" s="76">
        <f t="shared" si="142"/>
        <v>88.962616145790264</v>
      </c>
      <c r="AC177" s="76">
        <f t="shared" si="142"/>
        <v>88.661033211439417</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43">A156</f>
        <v>Capex vehicle</v>
      </c>
      <c r="B180" s="65">
        <f>((1+B141)^B148)*B141/(((1+B141)^B148)-1)*(B137)/B153/(B150)</f>
        <v>2.0676718491395704E-3</v>
      </c>
      <c r="C180" s="65">
        <f t="shared" ref="C180:AC180" si="144">((1+C141)^C148)*C141/(((1+C141)^C148)-1)*(C137)/C153/(C150)</f>
        <v>2.0668853169190406E-3</v>
      </c>
      <c r="D180" s="65">
        <f t="shared" si="144"/>
        <v>2.0657594135639443E-3</v>
      </c>
      <c r="E180" s="65">
        <f t="shared" si="144"/>
        <v>2.064148729637416E-3</v>
      </c>
      <c r="F180" s="65">
        <f t="shared" si="144"/>
        <v>2.0618467068913536E-3</v>
      </c>
      <c r="G180" s="65">
        <f t="shared" si="144"/>
        <v>2.0585612229449763E-3</v>
      </c>
      <c r="H180" s="65">
        <f t="shared" si="144"/>
        <v>2.0538818877878949E-3</v>
      </c>
      <c r="I180" s="65">
        <f t="shared" si="144"/>
        <v>2.0472379026559013E-3</v>
      </c>
      <c r="J180" s="65">
        <f t="shared" si="144"/>
        <v>2.0378472681180375E-3</v>
      </c>
      <c r="K180" s="65">
        <f t="shared" si="144"/>
        <v>2.0246629866479565E-3</v>
      </c>
      <c r="L180" s="65">
        <f t="shared" si="144"/>
        <v>2.0063320493621663E-3</v>
      </c>
      <c r="M180" s="65">
        <f t="shared" si="144"/>
        <v>1.9812010201050753E-3</v>
      </c>
      <c r="N180" s="65">
        <f t="shared" si="144"/>
        <v>1.9474276097157688E-3</v>
      </c>
      <c r="O180" s="65">
        <f t="shared" si="144"/>
        <v>1.9032792377938971E-3</v>
      </c>
      <c r="P180" s="65">
        <f t="shared" si="144"/>
        <v>1.8476818254016762E-3</v>
      </c>
      <c r="Q180" s="65">
        <f t="shared" si="144"/>
        <v>1.7809665264549839E-3</v>
      </c>
      <c r="R180" s="65">
        <f t="shared" si="144"/>
        <v>1.7055266240864123E-3</v>
      </c>
      <c r="S180" s="65">
        <f t="shared" si="144"/>
        <v>1.6258850286780425E-3</v>
      </c>
      <c r="T180" s="65">
        <f t="shared" si="144"/>
        <v>1.547810630901883E-3</v>
      </c>
      <c r="U180" s="65">
        <f t="shared" si="144"/>
        <v>1.4767378995576251E-3</v>
      </c>
      <c r="V180" s="65">
        <f t="shared" si="144"/>
        <v>1.4163361988665782E-3</v>
      </c>
      <c r="W180" s="65">
        <f t="shared" si="144"/>
        <v>1.3679652539447613E-3</v>
      </c>
      <c r="X180" s="65">
        <f t="shared" si="144"/>
        <v>1.3310560761136767E-3</v>
      </c>
      <c r="Y180" s="65">
        <f t="shared" si="144"/>
        <v>1.3039248702874885E-3</v>
      </c>
      <c r="Z180" s="65">
        <f t="shared" si="144"/>
        <v>1.2845264506198121E-3</v>
      </c>
      <c r="AA180" s="65">
        <f t="shared" si="144"/>
        <v>1.270931023184608E-3</v>
      </c>
      <c r="AB180" s="65">
        <f t="shared" si="144"/>
        <v>1.2615357471866049E-3</v>
      </c>
      <c r="AC180" s="65">
        <f t="shared" si="144"/>
        <v>1.2551060916366106E-3</v>
      </c>
    </row>
    <row r="181" spans="1:29" x14ac:dyDescent="0.25">
      <c r="A181" s="30" t="str">
        <f t="shared" si="143"/>
        <v>Residual value (vehicle)</v>
      </c>
      <c r="B181" s="68">
        <f>((1+B141)^B148)*B141/(((1+B141)^B148)-1)*(B138)/B153/(B150)</f>
        <v>-1.0351994625618128E-4</v>
      </c>
      <c r="C181" s="68">
        <f t="shared" ref="C181:AC181" si="145">((1+C141)^C148)*C141/(((1+C141)^C148)-1)*(C138)/C153/(C150)</f>
        <v>-1.0353960956169452E-4</v>
      </c>
      <c r="D181" s="68">
        <f t="shared" si="145"/>
        <v>-1.0356775714557191E-4</v>
      </c>
      <c r="E181" s="68">
        <f t="shared" si="145"/>
        <v>-1.0360802424373513E-4</v>
      </c>
      <c r="F181" s="68">
        <f t="shared" si="145"/>
        <v>-1.0366557481238669E-4</v>
      </c>
      <c r="G181" s="68">
        <f t="shared" si="145"/>
        <v>-1.0374771191104613E-4</v>
      </c>
      <c r="H181" s="68">
        <f t="shared" si="145"/>
        <v>-1.0386469528997317E-4</v>
      </c>
      <c r="I181" s="68">
        <f t="shared" si="145"/>
        <v>-1.0403079491827298E-4</v>
      </c>
      <c r="J181" s="68">
        <f t="shared" si="145"/>
        <v>-1.042655607817196E-4</v>
      </c>
      <c r="K181" s="68">
        <f t="shared" si="145"/>
        <v>-1.0459516781847161E-4</v>
      </c>
      <c r="L181" s="68">
        <f t="shared" si="145"/>
        <v>-1.0505344125061638E-4</v>
      </c>
      <c r="M181" s="68">
        <f t="shared" si="145"/>
        <v>-1.0568171698204363E-4</v>
      </c>
      <c r="N181" s="68">
        <f t="shared" si="145"/>
        <v>-1.0652605224177631E-4</v>
      </c>
      <c r="O181" s="68">
        <f t="shared" si="145"/>
        <v>-1.076297615398231E-4</v>
      </c>
      <c r="P181" s="68">
        <f t="shared" si="145"/>
        <v>-1.0901969684962864E-4</v>
      </c>
      <c r="Q181" s="68">
        <f t="shared" si="145"/>
        <v>-1.1068757932329594E-4</v>
      </c>
      <c r="R181" s="68">
        <f t="shared" si="145"/>
        <v>-1.1257357688251022E-4</v>
      </c>
      <c r="S181" s="68">
        <f t="shared" si="145"/>
        <v>-1.1456461676771947E-4</v>
      </c>
      <c r="T181" s="68">
        <f t="shared" si="145"/>
        <v>-1.1651647671212345E-4</v>
      </c>
      <c r="U181" s="68">
        <f t="shared" si="145"/>
        <v>-1.182932949957299E-4</v>
      </c>
      <c r="V181" s="68">
        <f t="shared" si="145"/>
        <v>-1.1980333751300609E-4</v>
      </c>
      <c r="W181" s="68">
        <f t="shared" si="145"/>
        <v>-1.210126111360515E-4</v>
      </c>
      <c r="X181" s="68">
        <f t="shared" si="145"/>
        <v>-1.2193534058182861E-4</v>
      </c>
      <c r="Y181" s="68">
        <f t="shared" si="145"/>
        <v>-1.2261362072748334E-4</v>
      </c>
      <c r="Z181" s="68">
        <f t="shared" si="145"/>
        <v>-1.2309858121917525E-4</v>
      </c>
      <c r="AA181" s="68">
        <f t="shared" si="145"/>
        <v>-1.2343846690505536E-4</v>
      </c>
      <c r="AB181" s="68">
        <f t="shared" si="145"/>
        <v>-1.2367334880500542E-4</v>
      </c>
      <c r="AC181" s="68">
        <f t="shared" si="145"/>
        <v>-1.2383409019375524E-4</v>
      </c>
    </row>
    <row r="182" spans="1:29" x14ac:dyDescent="0.25">
      <c r="A182" s="30" t="str">
        <f t="shared" si="143"/>
        <v>Capex costumization</v>
      </c>
      <c r="B182" s="66">
        <f>((1+B141)^B149)*B141/(((1+B141)^B149)-1)*(B139)/B153/(B150)</f>
        <v>3.4491498329926784E-4</v>
      </c>
      <c r="C182" s="66">
        <f t="shared" ref="C182:AC182" si="146">((1+C141)^C149)*C141/(((1+C141)^C149)-1)*(C139)/C153/(C150)</f>
        <v>3.4491498329926784E-4</v>
      </c>
      <c r="D182" s="66">
        <f t="shared" si="146"/>
        <v>3.4491498329926784E-4</v>
      </c>
      <c r="E182" s="66">
        <f t="shared" si="146"/>
        <v>3.4491498329926784E-4</v>
      </c>
      <c r="F182" s="66">
        <f t="shared" si="146"/>
        <v>3.4491498329926784E-4</v>
      </c>
      <c r="G182" s="66">
        <f t="shared" si="146"/>
        <v>3.4491498329926784E-4</v>
      </c>
      <c r="H182" s="66">
        <f t="shared" si="146"/>
        <v>3.4491498329926784E-4</v>
      </c>
      <c r="I182" s="66">
        <f t="shared" si="146"/>
        <v>3.4491498329926784E-4</v>
      </c>
      <c r="J182" s="66">
        <f t="shared" si="146"/>
        <v>3.4491498329926784E-4</v>
      </c>
      <c r="K182" s="66">
        <f t="shared" si="146"/>
        <v>3.4491498329926784E-4</v>
      </c>
      <c r="L182" s="66">
        <f t="shared" si="146"/>
        <v>3.4491498329926784E-4</v>
      </c>
      <c r="M182" s="66">
        <f t="shared" si="146"/>
        <v>3.4491498329926784E-4</v>
      </c>
      <c r="N182" s="66">
        <f t="shared" si="146"/>
        <v>3.4491498329926784E-4</v>
      </c>
      <c r="O182" s="66">
        <f t="shared" si="146"/>
        <v>3.4491498329926784E-4</v>
      </c>
      <c r="P182" s="66">
        <f t="shared" si="146"/>
        <v>3.4491498329926784E-4</v>
      </c>
      <c r="Q182" s="66">
        <f t="shared" si="146"/>
        <v>3.4491498329926784E-4</v>
      </c>
      <c r="R182" s="66">
        <f t="shared" si="146"/>
        <v>3.4491498329926784E-4</v>
      </c>
      <c r="S182" s="66">
        <f t="shared" si="146"/>
        <v>3.4491498329926784E-4</v>
      </c>
      <c r="T182" s="66">
        <f t="shared" si="146"/>
        <v>3.4491498329926784E-4</v>
      </c>
      <c r="U182" s="66">
        <f t="shared" si="146"/>
        <v>3.4491498329926784E-4</v>
      </c>
      <c r="V182" s="66">
        <f t="shared" si="146"/>
        <v>3.4491498329926784E-4</v>
      </c>
      <c r="W182" s="66">
        <f t="shared" si="146"/>
        <v>3.4491498329926784E-4</v>
      </c>
      <c r="X182" s="66">
        <f t="shared" si="146"/>
        <v>3.4491498329926784E-4</v>
      </c>
      <c r="Y182" s="66">
        <f t="shared" si="146"/>
        <v>3.4491498329926784E-4</v>
      </c>
      <c r="Z182" s="66">
        <f t="shared" si="146"/>
        <v>3.4491498329926784E-4</v>
      </c>
      <c r="AA182" s="66">
        <f t="shared" si="146"/>
        <v>3.4491498329926784E-4</v>
      </c>
      <c r="AB182" s="66">
        <f t="shared" si="146"/>
        <v>3.4491498329926784E-4</v>
      </c>
      <c r="AC182" s="66">
        <f t="shared" si="146"/>
        <v>3.4491498329926784E-4</v>
      </c>
    </row>
    <row r="183" spans="1:29" x14ac:dyDescent="0.25">
      <c r="A183" s="30" t="str">
        <f t="shared" si="143"/>
        <v>Residual value (costumization)</v>
      </c>
      <c r="B183" s="69">
        <f>((1+B141)^B149)*B141/(((1+B141)^B149)-1)*(B140)/B153/(B150)</f>
        <v>-3.4491498329926788E-5</v>
      </c>
      <c r="C183" s="69">
        <f t="shared" ref="C183:AC183" si="147">((1+C141)^C149)*C141/(((1+C141)^C149)-1)*(C140)/C153/(C150)</f>
        <v>-3.4491498329926788E-5</v>
      </c>
      <c r="D183" s="69">
        <f t="shared" si="147"/>
        <v>-3.4491498329926788E-5</v>
      </c>
      <c r="E183" s="69">
        <f t="shared" si="147"/>
        <v>-3.4491498329926788E-5</v>
      </c>
      <c r="F183" s="69">
        <f t="shared" si="147"/>
        <v>-3.4491498329926788E-5</v>
      </c>
      <c r="G183" s="69">
        <f t="shared" si="147"/>
        <v>-3.4491498329926788E-5</v>
      </c>
      <c r="H183" s="69">
        <f t="shared" si="147"/>
        <v>-3.4491498329926788E-5</v>
      </c>
      <c r="I183" s="69">
        <f t="shared" si="147"/>
        <v>-3.4491498329926788E-5</v>
      </c>
      <c r="J183" s="69">
        <f t="shared" si="147"/>
        <v>-3.4491498329926788E-5</v>
      </c>
      <c r="K183" s="69">
        <f t="shared" si="147"/>
        <v>-3.4491498329926788E-5</v>
      </c>
      <c r="L183" s="69">
        <f t="shared" si="147"/>
        <v>-3.4491498329926788E-5</v>
      </c>
      <c r="M183" s="69">
        <f t="shared" si="147"/>
        <v>-3.4491498329926788E-5</v>
      </c>
      <c r="N183" s="69">
        <f t="shared" si="147"/>
        <v>-3.4491498329926788E-5</v>
      </c>
      <c r="O183" s="69">
        <f t="shared" si="147"/>
        <v>-3.4491498329926788E-5</v>
      </c>
      <c r="P183" s="69">
        <f t="shared" si="147"/>
        <v>-3.4491498329926788E-5</v>
      </c>
      <c r="Q183" s="69">
        <f t="shared" si="147"/>
        <v>-3.4491498329926788E-5</v>
      </c>
      <c r="R183" s="69">
        <f t="shared" si="147"/>
        <v>-3.4491498329926788E-5</v>
      </c>
      <c r="S183" s="69">
        <f t="shared" si="147"/>
        <v>-3.4491498329926788E-5</v>
      </c>
      <c r="T183" s="69">
        <f t="shared" si="147"/>
        <v>-3.4491498329926788E-5</v>
      </c>
      <c r="U183" s="69">
        <f t="shared" si="147"/>
        <v>-3.4491498329926788E-5</v>
      </c>
      <c r="V183" s="69">
        <f t="shared" si="147"/>
        <v>-3.4491498329926788E-5</v>
      </c>
      <c r="W183" s="69">
        <f t="shared" si="147"/>
        <v>-3.4491498329926788E-5</v>
      </c>
      <c r="X183" s="69">
        <f t="shared" si="147"/>
        <v>-3.4491498329926788E-5</v>
      </c>
      <c r="Y183" s="69">
        <f t="shared" si="147"/>
        <v>-3.4491498329926788E-5</v>
      </c>
      <c r="Z183" s="69">
        <f t="shared" si="147"/>
        <v>-3.4491498329926788E-5</v>
      </c>
      <c r="AA183" s="69">
        <f t="shared" si="147"/>
        <v>-3.4491498329926788E-5</v>
      </c>
      <c r="AB183" s="69">
        <f t="shared" si="147"/>
        <v>-3.4491498329926788E-5</v>
      </c>
      <c r="AC183" s="69">
        <f t="shared" si="147"/>
        <v>-3.4491498329926788E-5</v>
      </c>
    </row>
    <row r="184" spans="1:29" x14ac:dyDescent="0.25">
      <c r="A184" s="30" t="str">
        <f t="shared" si="143"/>
        <v>Opex fix (admin, crew, insurance)</v>
      </c>
      <c r="B184" s="66">
        <f>B142/B153/(B150)</f>
        <v>1.0654632223259673E-3</v>
      </c>
      <c r="C184" s="66">
        <f t="shared" ref="C184:AC184" si="148">C142/C153/(C150)</f>
        <v>1.0654632223259673E-3</v>
      </c>
      <c r="D184" s="66">
        <f t="shared" si="148"/>
        <v>1.0654632223259673E-3</v>
      </c>
      <c r="E184" s="66">
        <f t="shared" si="148"/>
        <v>1.0654632223259673E-3</v>
      </c>
      <c r="F184" s="66">
        <f t="shared" si="148"/>
        <v>1.0654632223259673E-3</v>
      </c>
      <c r="G184" s="66">
        <f t="shared" si="148"/>
        <v>1.0654632223259673E-3</v>
      </c>
      <c r="H184" s="66">
        <f t="shared" si="148"/>
        <v>1.0654632223259673E-3</v>
      </c>
      <c r="I184" s="66">
        <f t="shared" si="148"/>
        <v>1.0654632223259673E-3</v>
      </c>
      <c r="J184" s="66">
        <f t="shared" si="148"/>
        <v>1.0654632223259673E-3</v>
      </c>
      <c r="K184" s="66">
        <f t="shared" si="148"/>
        <v>1.0654632223259673E-3</v>
      </c>
      <c r="L184" s="66">
        <f t="shared" si="148"/>
        <v>1.0654632223259673E-3</v>
      </c>
      <c r="M184" s="66">
        <f t="shared" si="148"/>
        <v>1.0654632223259673E-3</v>
      </c>
      <c r="N184" s="66">
        <f t="shared" si="148"/>
        <v>1.0654632223259673E-3</v>
      </c>
      <c r="O184" s="66">
        <f t="shared" si="148"/>
        <v>1.0654632223259673E-3</v>
      </c>
      <c r="P184" s="66">
        <f t="shared" si="148"/>
        <v>1.0654632223259673E-3</v>
      </c>
      <c r="Q184" s="66">
        <f t="shared" si="148"/>
        <v>1.0654632223259673E-3</v>
      </c>
      <c r="R184" s="66">
        <f t="shared" si="148"/>
        <v>1.0654632223259673E-3</v>
      </c>
      <c r="S184" s="66">
        <f t="shared" si="148"/>
        <v>1.0654632223259673E-3</v>
      </c>
      <c r="T184" s="66">
        <f t="shared" si="148"/>
        <v>1.0654632223259673E-3</v>
      </c>
      <c r="U184" s="66">
        <f t="shared" si="148"/>
        <v>1.0654632223259673E-3</v>
      </c>
      <c r="V184" s="66">
        <f t="shared" si="148"/>
        <v>1.0654632223259673E-3</v>
      </c>
      <c r="W184" s="66">
        <f t="shared" si="148"/>
        <v>1.0654632223259673E-3</v>
      </c>
      <c r="X184" s="66">
        <f t="shared" si="148"/>
        <v>1.0654632223259673E-3</v>
      </c>
      <c r="Y184" s="66">
        <f t="shared" si="148"/>
        <v>1.0654632223259673E-3</v>
      </c>
      <c r="Z184" s="66">
        <f t="shared" si="148"/>
        <v>1.0654632223259673E-3</v>
      </c>
      <c r="AA184" s="66">
        <f t="shared" si="148"/>
        <v>1.0654632223259673E-3</v>
      </c>
      <c r="AB184" s="66">
        <f t="shared" si="148"/>
        <v>1.0654632223259673E-3</v>
      </c>
      <c r="AC184" s="66">
        <f t="shared" si="148"/>
        <v>1.0654632223259673E-3</v>
      </c>
    </row>
    <row r="185" spans="1:29" x14ac:dyDescent="0.25">
      <c r="A185" s="30" t="str">
        <f t="shared" si="143"/>
        <v>Opex maintenance &amp; repair</v>
      </c>
      <c r="B185" s="66">
        <f>B143/B153/(B150)</f>
        <v>2.9878618113912231E-4</v>
      </c>
      <c r="C185" s="66">
        <f t="shared" ref="C185:AC185" si="149">C143/C153/(C150)</f>
        <v>2.9878618113912231E-4</v>
      </c>
      <c r="D185" s="66">
        <f t="shared" si="149"/>
        <v>2.9878618113912231E-4</v>
      </c>
      <c r="E185" s="66">
        <f t="shared" si="149"/>
        <v>2.9878618113912231E-4</v>
      </c>
      <c r="F185" s="66">
        <f t="shared" si="149"/>
        <v>2.9878618113912231E-4</v>
      </c>
      <c r="G185" s="66">
        <f t="shared" si="149"/>
        <v>2.9878618113912231E-4</v>
      </c>
      <c r="H185" s="66">
        <f t="shared" si="149"/>
        <v>2.9878618113912231E-4</v>
      </c>
      <c r="I185" s="66">
        <f t="shared" si="149"/>
        <v>2.9878618113912231E-4</v>
      </c>
      <c r="J185" s="66">
        <f t="shared" si="149"/>
        <v>2.9878618113912231E-4</v>
      </c>
      <c r="K185" s="66">
        <f t="shared" si="149"/>
        <v>2.9878618113912231E-4</v>
      </c>
      <c r="L185" s="66">
        <f t="shared" si="149"/>
        <v>2.9878618113912231E-4</v>
      </c>
      <c r="M185" s="66">
        <f t="shared" si="149"/>
        <v>2.9878618113912231E-4</v>
      </c>
      <c r="N185" s="66">
        <f t="shared" si="149"/>
        <v>2.9878618113912231E-4</v>
      </c>
      <c r="O185" s="66">
        <f t="shared" si="149"/>
        <v>2.9878618113912231E-4</v>
      </c>
      <c r="P185" s="66">
        <f t="shared" si="149"/>
        <v>2.9878618113912231E-4</v>
      </c>
      <c r="Q185" s="66">
        <f t="shared" si="149"/>
        <v>2.9878618113912231E-4</v>
      </c>
      <c r="R185" s="66">
        <f t="shared" si="149"/>
        <v>2.9878618113912231E-4</v>
      </c>
      <c r="S185" s="66">
        <f t="shared" si="149"/>
        <v>2.9878618113912231E-4</v>
      </c>
      <c r="T185" s="66">
        <f t="shared" si="149"/>
        <v>2.9878618113912231E-4</v>
      </c>
      <c r="U185" s="66">
        <f t="shared" si="149"/>
        <v>2.9878618113912231E-4</v>
      </c>
      <c r="V185" s="66">
        <f t="shared" si="149"/>
        <v>2.9878618113912231E-4</v>
      </c>
      <c r="W185" s="66">
        <f t="shared" si="149"/>
        <v>2.9878618113912231E-4</v>
      </c>
      <c r="X185" s="66">
        <f t="shared" si="149"/>
        <v>2.9878618113912231E-4</v>
      </c>
      <c r="Y185" s="66">
        <f t="shared" si="149"/>
        <v>2.9878618113912231E-4</v>
      </c>
      <c r="Z185" s="66">
        <f t="shared" si="149"/>
        <v>2.9878618113912231E-4</v>
      </c>
      <c r="AA185" s="66">
        <f t="shared" si="149"/>
        <v>2.9878618113912231E-4</v>
      </c>
      <c r="AB185" s="66">
        <f t="shared" si="149"/>
        <v>2.9878618113912231E-4</v>
      </c>
      <c r="AC185" s="66">
        <f t="shared" si="149"/>
        <v>2.9878618113912231E-4</v>
      </c>
    </row>
    <row r="186" spans="1:29" x14ac:dyDescent="0.25">
      <c r="A186" s="30" t="str">
        <f t="shared" si="143"/>
        <v>Opex var (mode-fees)</v>
      </c>
      <c r="B186" s="66">
        <f>B144*B153/B153/(B150)</f>
        <v>1.7869725535414797E-4</v>
      </c>
      <c r="C186" s="66">
        <f t="shared" ref="C186:AC186" si="150">C144*C153/C153/(C150)</f>
        <v>1.7869725535414797E-4</v>
      </c>
      <c r="D186" s="66">
        <f t="shared" si="150"/>
        <v>1.7869725535414797E-4</v>
      </c>
      <c r="E186" s="66">
        <f t="shared" si="150"/>
        <v>1.7869725535414797E-4</v>
      </c>
      <c r="F186" s="66">
        <f t="shared" si="150"/>
        <v>1.7869725535414797E-4</v>
      </c>
      <c r="G186" s="66">
        <f t="shared" si="150"/>
        <v>1.7869725535414797E-4</v>
      </c>
      <c r="H186" s="66">
        <f t="shared" si="150"/>
        <v>1.7869725535414797E-4</v>
      </c>
      <c r="I186" s="66">
        <f t="shared" si="150"/>
        <v>1.7869725535414797E-4</v>
      </c>
      <c r="J186" s="66">
        <f t="shared" si="150"/>
        <v>1.7869725535414797E-4</v>
      </c>
      <c r="K186" s="66">
        <f t="shared" si="150"/>
        <v>1.7869725535414797E-4</v>
      </c>
      <c r="L186" s="66">
        <f t="shared" si="150"/>
        <v>1.7869725535414797E-4</v>
      </c>
      <c r="M186" s="66">
        <f t="shared" si="150"/>
        <v>1.7869725535414797E-4</v>
      </c>
      <c r="N186" s="66">
        <f t="shared" si="150"/>
        <v>1.7869725535414797E-4</v>
      </c>
      <c r="O186" s="66">
        <f t="shared" si="150"/>
        <v>1.7869725535414797E-4</v>
      </c>
      <c r="P186" s="66">
        <f t="shared" si="150"/>
        <v>1.7869725535414797E-4</v>
      </c>
      <c r="Q186" s="66">
        <f t="shared" si="150"/>
        <v>1.7869725535414797E-4</v>
      </c>
      <c r="R186" s="66">
        <f t="shared" si="150"/>
        <v>1.7869725535414797E-4</v>
      </c>
      <c r="S186" s="66">
        <f t="shared" si="150"/>
        <v>1.7869725535414797E-4</v>
      </c>
      <c r="T186" s="66">
        <f t="shared" si="150"/>
        <v>1.7869725535414797E-4</v>
      </c>
      <c r="U186" s="66">
        <f t="shared" si="150"/>
        <v>1.7869725535414797E-4</v>
      </c>
      <c r="V186" s="66">
        <f t="shared" si="150"/>
        <v>1.7869725535414797E-4</v>
      </c>
      <c r="W186" s="66">
        <f t="shared" si="150"/>
        <v>1.7869725535414797E-4</v>
      </c>
      <c r="X186" s="66">
        <f t="shared" si="150"/>
        <v>1.7869725535414797E-4</v>
      </c>
      <c r="Y186" s="66">
        <f t="shared" si="150"/>
        <v>1.7869725535414797E-4</v>
      </c>
      <c r="Z186" s="66">
        <f t="shared" si="150"/>
        <v>1.7869725535414797E-4</v>
      </c>
      <c r="AA186" s="66">
        <f t="shared" si="150"/>
        <v>1.7869725535414797E-4</v>
      </c>
      <c r="AB186" s="66">
        <f t="shared" si="150"/>
        <v>1.7869725535414797E-4</v>
      </c>
      <c r="AC186" s="66">
        <f t="shared" si="150"/>
        <v>1.7869725535414797E-4</v>
      </c>
    </row>
    <row r="187" spans="1:29" x14ac:dyDescent="0.25">
      <c r="A187" s="30" t="str">
        <f t="shared" si="143"/>
        <v>Fuel Cost</v>
      </c>
      <c r="B187" s="66">
        <f>B145*B146*B153/B153/(B150)</f>
        <v>1.488952128048405E-2</v>
      </c>
      <c r="C187" s="66">
        <f t="shared" ref="C187:AC187" si="151">C145*C146*C153/C153/(C150)</f>
        <v>1.4866098305500716E-2</v>
      </c>
      <c r="D187" s="66">
        <f t="shared" si="151"/>
        <v>1.4832670024422423E-2</v>
      </c>
      <c r="E187" s="66">
        <f t="shared" si="151"/>
        <v>1.4785062147833752E-2</v>
      </c>
      <c r="F187" s="66">
        <f t="shared" si="151"/>
        <v>1.4717469009641201E-2</v>
      </c>
      <c r="G187" s="66">
        <f t="shared" si="151"/>
        <v>1.4621936518307392E-2</v>
      </c>
      <c r="H187" s="66">
        <f t="shared" si="151"/>
        <v>1.4487813085527412E-2</v>
      </c>
      <c r="I187" s="66">
        <f t="shared" si="151"/>
        <v>1.4301326668627849E-2</v>
      </c>
      <c r="J187" s="66">
        <f t="shared" si="151"/>
        <v>1.4045626539311773E-2</v>
      </c>
      <c r="K187" s="66">
        <f t="shared" si="151"/>
        <v>1.3701884087228548E-2</v>
      </c>
      <c r="L187" s="66">
        <f t="shared" si="151"/>
        <v>1.3252262520355275E-2</v>
      </c>
      <c r="M187" s="66">
        <f t="shared" si="151"/>
        <v>1.2685388823128101E-2</v>
      </c>
      <c r="N187" s="66">
        <f t="shared" si="151"/>
        <v>1.200381542764874E-2</v>
      </c>
      <c r="O187" s="66">
        <f t="shared" si="151"/>
        <v>1.1230632312432993E-2</v>
      </c>
      <c r="P187" s="66">
        <f t="shared" si="151"/>
        <v>1.0410311608786601E-2</v>
      </c>
      <c r="Q187" s="66">
        <f t="shared" si="151"/>
        <v>9.6002342132388233E-3</v>
      </c>
      <c r="R187" s="66">
        <f t="shared" si="151"/>
        <v>8.8553611851078066E-3</v>
      </c>
      <c r="S187" s="66">
        <f t="shared" si="151"/>
        <v>8.2142005043122825E-3</v>
      </c>
      <c r="T187" s="66">
        <f t="shared" si="151"/>
        <v>7.6930878813720772E-3</v>
      </c>
      <c r="U187" s="66">
        <f t="shared" si="151"/>
        <v>7.2891946769009499E-3</v>
      </c>
      <c r="V187" s="66">
        <f t="shared" si="151"/>
        <v>6.9878082947468258E-3</v>
      </c>
      <c r="W187" s="66">
        <f t="shared" si="151"/>
        <v>6.7694439106981939E-3</v>
      </c>
      <c r="X187" s="66">
        <f t="shared" si="151"/>
        <v>6.6147242516659249E-3</v>
      </c>
      <c r="Y187" s="66">
        <f t="shared" si="151"/>
        <v>6.5068936960996871E-3</v>
      </c>
      <c r="Z187" s="66">
        <f t="shared" si="151"/>
        <v>6.4326333123925616E-3</v>
      </c>
      <c r="AA187" s="66">
        <f t="shared" si="151"/>
        <v>6.3819226237195239E-3</v>
      </c>
      <c r="AB187" s="66">
        <f t="shared" si="151"/>
        <v>6.3474972802121318E-3</v>
      </c>
      <c r="AC187" s="66">
        <f t="shared" si="151"/>
        <v>6.3242223149148858E-3</v>
      </c>
    </row>
    <row r="188" spans="1:29" x14ac:dyDescent="0.25">
      <c r="A188" s="59" t="str">
        <f>A151</f>
        <v>Market failure (av. utilization)</v>
      </c>
      <c r="B188" s="66">
        <f t="shared" ref="B188:AC188" si="152">B177/B151-B177/B150</f>
        <v>1.4168664368316906E-2</v>
      </c>
      <c r="C188" s="66">
        <f t="shared" si="152"/>
        <v>1.4150446901190553E-2</v>
      </c>
      <c r="D188" s="66">
        <f t="shared" si="152"/>
        <v>1.4124444303899631E-2</v>
      </c>
      <c r="E188" s="66">
        <f t="shared" si="152"/>
        <v>1.4087404740560826E-2</v>
      </c>
      <c r="F188" s="66">
        <f t="shared" si="152"/>
        <v>1.4034801187756574E-2</v>
      </c>
      <c r="G188" s="66">
        <f t="shared" si="152"/>
        <v>1.3960422242345158E-2</v>
      </c>
      <c r="H188" s="66">
        <f t="shared" si="152"/>
        <v>1.3855930811579591E-2</v>
      </c>
      <c r="I188" s="66">
        <f t="shared" si="152"/>
        <v>1.3710507219066644E-2</v>
      </c>
      <c r="J188" s="66">
        <f t="shared" si="152"/>
        <v>1.3510829504077879E-2</v>
      </c>
      <c r="K188" s="66">
        <f t="shared" si="152"/>
        <v>1.3241838834728518E-2</v>
      </c>
      <c r="L188" s="66">
        <f t="shared" si="152"/>
        <v>1.2888908510363381E-2</v>
      </c>
      <c r="M188" s="66">
        <f t="shared" si="152"/>
        <v>1.2441921699705084E-2</v>
      </c>
      <c r="N188" s="66">
        <f t="shared" si="152"/>
        <v>1.1900935870226347E-2</v>
      </c>
      <c r="O188" s="66">
        <f t="shared" si="152"/>
        <v>1.1281401937417126E-2</v>
      </c>
      <c r="P188" s="66">
        <f t="shared" si="152"/>
        <v>1.0615341520658189E-2</v>
      </c>
      <c r="Q188" s="66">
        <f t="shared" si="152"/>
        <v>9.9457877874563234E-3</v>
      </c>
      <c r="R188" s="66">
        <f t="shared" si="152"/>
        <v>9.3160349206778369E-3</v>
      </c>
      <c r="S188" s="66">
        <f t="shared" si="152"/>
        <v>8.7592622635816724E-3</v>
      </c>
      <c r="T188" s="66">
        <f t="shared" si="152"/>
        <v>8.2933946620624144E-3</v>
      </c>
      <c r="U188" s="66">
        <f t="shared" si="152"/>
        <v>7.9217607477772289E-3</v>
      </c>
      <c r="V188" s="66">
        <f t="shared" si="152"/>
        <v>7.6370804338739013E-3</v>
      </c>
      <c r="W188" s="66">
        <f t="shared" si="152"/>
        <v>7.4262129102125977E-3</v>
      </c>
      <c r="X188" s="66">
        <f t="shared" si="152"/>
        <v>7.2741689759554303E-3</v>
      </c>
      <c r="Y188" s="66">
        <f t="shared" si="152"/>
        <v>7.1667957851126139E-3</v>
      </c>
      <c r="Z188" s="66">
        <f t="shared" si="152"/>
        <v>7.0921366910471923E-3</v>
      </c>
      <c r="AA188" s="66">
        <f t="shared" si="152"/>
        <v>7.0408050860120801E-3</v>
      </c>
      <c r="AB188" s="66">
        <f t="shared" si="152"/>
        <v>7.0057923382928228E-3</v>
      </c>
      <c r="AC188" s="66">
        <f t="shared" si="152"/>
        <v>6.9820427285986492E-3</v>
      </c>
    </row>
    <row r="189" spans="1:29" x14ac:dyDescent="0.25">
      <c r="A189" s="59" t="str">
        <f>A152</f>
        <v>Payload loss (fuel)</v>
      </c>
      <c r="B189" s="66">
        <f>B177/(B150-B152)-B177/B150</f>
        <v>1.6550836105467398E-3</v>
      </c>
      <c r="C189" s="66">
        <f t="shared" ref="C189:AC189" si="153">C177/(C150-C152)-C177/C150</f>
        <v>1.6527421317684698E-3</v>
      </c>
      <c r="D189" s="66">
        <f t="shared" si="153"/>
        <v>1.6494001145259812E-3</v>
      </c>
      <c r="E189" s="66">
        <f t="shared" si="153"/>
        <v>1.6446396519099772E-3</v>
      </c>
      <c r="F189" s="66">
        <f t="shared" si="153"/>
        <v>1.6378789006895739E-3</v>
      </c>
      <c r="G189" s="66">
        <f t="shared" si="153"/>
        <v>1.628319333728763E-3</v>
      </c>
      <c r="H189" s="66">
        <f t="shared" si="153"/>
        <v>1.6148885867778261E-3</v>
      </c>
      <c r="I189" s="66">
        <f t="shared" si="153"/>
        <v>1.5961935113672117E-3</v>
      </c>
      <c r="J189" s="66">
        <f t="shared" si="153"/>
        <v>1.5705152114590636E-3</v>
      </c>
      <c r="K189" s="66">
        <f t="shared" si="153"/>
        <v>1.5359024698257326E-3</v>
      </c>
      <c r="L189" s="66">
        <f t="shared" si="153"/>
        <v>1.4904417163533815E-3</v>
      </c>
      <c r="M189" s="66">
        <f t="shared" si="153"/>
        <v>1.4327683987821367E-3</v>
      </c>
      <c r="N189" s="66">
        <f t="shared" si="153"/>
        <v>1.3627830000729618E-3</v>
      </c>
      <c r="O189" s="66">
        <f t="shared" si="153"/>
        <v>1.2823238019515279E-3</v>
      </c>
      <c r="P189" s="66">
        <f t="shared" si="153"/>
        <v>1.1953531205159094E-3</v>
      </c>
      <c r="Q189" s="66">
        <f t="shared" si="153"/>
        <v>1.1073163028013887E-3</v>
      </c>
      <c r="R189" s="66">
        <f t="shared" si="153"/>
        <v>1.0238385638518237E-3</v>
      </c>
      <c r="S189" s="66">
        <f t="shared" si="153"/>
        <v>9.4941051513957979E-4</v>
      </c>
      <c r="T189" s="66">
        <f t="shared" si="153"/>
        <v>8.8665310099770092E-4</v>
      </c>
      <c r="U189" s="66">
        <f t="shared" si="153"/>
        <v>8.3627970591238984E-4</v>
      </c>
      <c r="V189" s="66">
        <f t="shared" si="153"/>
        <v>7.9752271993702162E-4</v>
      </c>
      <c r="W189" s="66">
        <f t="shared" si="153"/>
        <v>7.6873399626669475E-4</v>
      </c>
      <c r="X189" s="66">
        <f t="shared" si="153"/>
        <v>7.4794179727559647E-4</v>
      </c>
      <c r="Y189" s="66">
        <f t="shared" si="153"/>
        <v>7.3324489929415745E-4</v>
      </c>
      <c r="Z189" s="66">
        <f t="shared" si="153"/>
        <v>7.230207974387743E-4</v>
      </c>
      <c r="AA189" s="66">
        <f t="shared" si="153"/>
        <v>7.1598944904264876E-4</v>
      </c>
      <c r="AB189" s="66">
        <f t="shared" si="153"/>
        <v>7.1119279791611451E-4</v>
      </c>
      <c r="AC189" s="66">
        <f t="shared" si="153"/>
        <v>7.0793893555829573E-4</v>
      </c>
    </row>
    <row r="190" spans="1:29" ht="15.75" thickBot="1" x14ac:dyDescent="0.3">
      <c r="A190" s="59" t="str">
        <f>A127</f>
        <v>Emission Cost</v>
      </c>
      <c r="B190" s="68">
        <f>B147*B153/B153/(B150)</f>
        <v>2.6311642110997044E-4</v>
      </c>
      <c r="C190" s="68">
        <f t="shared" ref="C190:AC190" si="154">C147*C153/C153/(C150)</f>
        <v>2.6286587016831347E-4</v>
      </c>
      <c r="D190" s="68">
        <f t="shared" si="154"/>
        <v>2.625072120759037E-4</v>
      </c>
      <c r="E190" s="68">
        <f t="shared" si="154"/>
        <v>2.6199412645274697E-4</v>
      </c>
      <c r="F190" s="68">
        <f t="shared" si="154"/>
        <v>2.6126081387929228E-4</v>
      </c>
      <c r="G190" s="68">
        <f t="shared" si="154"/>
        <v>2.6021421836155354E-4</v>
      </c>
      <c r="H190" s="68">
        <f t="shared" si="154"/>
        <v>2.587236095863079E-4</v>
      </c>
      <c r="I190" s="68">
        <f t="shared" si="154"/>
        <v>2.566071588068925E-4</v>
      </c>
      <c r="J190" s="68">
        <f t="shared" si="154"/>
        <v>2.5361575900812355E-4</v>
      </c>
      <c r="K190" s="68">
        <f t="shared" si="154"/>
        <v>2.4941588765997478E-4</v>
      </c>
      <c r="L190" s="68">
        <f t="shared" si="154"/>
        <v>2.4357654188553792E-4</v>
      </c>
      <c r="M190" s="68">
        <f t="shared" si="154"/>
        <v>2.3557101727914492E-4</v>
      </c>
      <c r="N190" s="68">
        <f t="shared" si="154"/>
        <v>2.2481245004548822E-4</v>
      </c>
      <c r="O190" s="68">
        <f t="shared" si="154"/>
        <v>2.1074892426876276E-4</v>
      </c>
      <c r="P190" s="68">
        <f t="shared" si="154"/>
        <v>1.9303829059735733E-4</v>
      </c>
      <c r="Q190" s="68">
        <f t="shared" si="154"/>
        <v>1.7178603857549002E-4</v>
      </c>
      <c r="R190" s="68">
        <f t="shared" si="154"/>
        <v>1.4775455190070181E-4</v>
      </c>
      <c r="S190" s="68">
        <f t="shared" si="154"/>
        <v>1.2238461001683673E-4</v>
      </c>
      <c r="T190" s="68">
        <f t="shared" si="154"/>
        <v>9.7513901136100757E-5</v>
      </c>
      <c r="U190" s="68">
        <f t="shared" si="154"/>
        <v>7.4873582914375649E-5</v>
      </c>
      <c r="V190" s="68">
        <f t="shared" si="154"/>
        <v>5.5632536469223359E-5</v>
      </c>
      <c r="W190" s="68">
        <f t="shared" si="154"/>
        <v>4.0223904142840252E-5</v>
      </c>
      <c r="X190" s="68">
        <f t="shared" si="154"/>
        <v>2.8466433793904391E-5</v>
      </c>
      <c r="Y190" s="68">
        <f t="shared" si="154"/>
        <v>1.9823750136951439E-5</v>
      </c>
      <c r="Z190" s="68">
        <f t="shared" si="154"/>
        <v>1.3644356353033646E-5</v>
      </c>
      <c r="AA190" s="68">
        <f t="shared" si="154"/>
        <v>9.3135138812216792E-6</v>
      </c>
      <c r="AB190" s="68">
        <f t="shared" si="154"/>
        <v>6.3206355388177748E-6</v>
      </c>
      <c r="AC190" s="68">
        <f t="shared" si="154"/>
        <v>4.2724597482624145E-6</v>
      </c>
    </row>
    <row r="191" spans="1:29" ht="15.75" thickBot="1" x14ac:dyDescent="0.3">
      <c r="A191" s="31" t="s">
        <v>210</v>
      </c>
      <c r="B191" s="67">
        <f>B180+B181+B182+B183+B184+B185+B186+B187+B188+B189+B190</f>
        <v>3.4793907727129626E-2</v>
      </c>
      <c r="C191" s="67">
        <f t="shared" ref="C191:AC191" si="155">C180+C181+C182+C183+C184+C185+C186+C187+C188+C189+C190</f>
        <v>3.4748869059773979E-2</v>
      </c>
      <c r="D191" s="67">
        <f t="shared" si="155"/>
        <v>3.4684583455130889E-2</v>
      </c>
      <c r="E191" s="67">
        <f t="shared" si="155"/>
        <v>3.4593011515939555E-2</v>
      </c>
      <c r="F191" s="67">
        <f t="shared" si="155"/>
        <v>3.4462961187834186E-2</v>
      </c>
      <c r="G191" s="67">
        <f t="shared" si="155"/>
        <v>3.4279075967565374E-2</v>
      </c>
      <c r="H191" s="67">
        <f t="shared" si="155"/>
        <v>3.4020743429757631E-2</v>
      </c>
      <c r="I191" s="67">
        <f t="shared" si="155"/>
        <v>3.3661211809394798E-2</v>
      </c>
      <c r="J191" s="67">
        <f t="shared" si="155"/>
        <v>3.3167538864981742E-2</v>
      </c>
      <c r="K191" s="67">
        <f t="shared" si="155"/>
        <v>3.2502479242060837E-2</v>
      </c>
      <c r="L191" s="67">
        <f t="shared" si="155"/>
        <v>3.1629838040857707E-2</v>
      </c>
      <c r="M191" s="67">
        <f t="shared" si="155"/>
        <v>3.0524539385806074E-2</v>
      </c>
      <c r="N191" s="67">
        <f t="shared" si="155"/>
        <v>2.9186618449256109E-2</v>
      </c>
      <c r="O191" s="67">
        <f t="shared" si="155"/>
        <v>2.7654126596113063E-2</v>
      </c>
      <c r="P191" s="67">
        <f t="shared" si="155"/>
        <v>2.6006076812898685E-2</v>
      </c>
      <c r="Q191" s="67">
        <f t="shared" si="155"/>
        <v>2.4348773432992292E-2</v>
      </c>
      <c r="R191" s="67">
        <f t="shared" si="155"/>
        <v>2.2789312412530651E-2</v>
      </c>
      <c r="S191" s="67">
        <f t="shared" si="155"/>
        <v>2.1409948448749275E-2</v>
      </c>
      <c r="T191" s="67">
        <f t="shared" si="155"/>
        <v>2.0255313843546632E-2</v>
      </c>
      <c r="U191" s="67">
        <f t="shared" si="155"/>
        <v>1.9333923461855418E-2</v>
      </c>
      <c r="V191" s="67">
        <f t="shared" si="155"/>
        <v>1.862794699016912E-2</v>
      </c>
      <c r="W191" s="67">
        <f t="shared" si="155"/>
        <v>1.8104937507917616E-2</v>
      </c>
      <c r="X191" s="67">
        <f t="shared" si="155"/>
        <v>1.7727792338011281E-2</v>
      </c>
      <c r="Y191" s="67">
        <f t="shared" si="155"/>
        <v>1.7461439523991994E-2</v>
      </c>
      <c r="Z191" s="67">
        <f t="shared" si="155"/>
        <v>1.7276233170420773E-2</v>
      </c>
      <c r="AA191" s="67">
        <f t="shared" si="155"/>
        <v>1.7148893372723604E-2</v>
      </c>
      <c r="AB191" s="67">
        <f t="shared" si="155"/>
        <v>1.7062035594130064E-2</v>
      </c>
      <c r="AC191" s="67">
        <f t="shared" si="155"/>
        <v>1.700311858405153E-2</v>
      </c>
    </row>
    <row r="193" spans="2:2" x14ac:dyDescent="0.25">
      <c r="B193" s="40"/>
    </row>
    <row r="215" spans="1:44" s="3" customFormat="1" ht="21" x14ac:dyDescent="0.35">
      <c r="A215" s="2" t="str">
        <f>'Parameter Input'!A179</f>
        <v>Short-sea: Break bulk</v>
      </c>
    </row>
    <row r="216" spans="1:44" s="3" customFormat="1" ht="21" x14ac:dyDescent="0.35">
      <c r="A216" s="2" t="s">
        <v>186</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Input'!$L$193</f>
        <v>30000000</v>
      </c>
      <c r="C225" s="42">
        <f>'Parameter Input'!$M$193</f>
        <v>18000000</v>
      </c>
      <c r="D225" s="1" t="s">
        <v>15</v>
      </c>
      <c r="L225" s="51">
        <f>'Parameter Input'!$O$193</f>
        <v>17</v>
      </c>
      <c r="M225" s="52">
        <v>0</v>
      </c>
      <c r="N225" s="52">
        <v>1</v>
      </c>
      <c r="O225" s="52">
        <f>'Parameter Input'!$P$193</f>
        <v>0.9</v>
      </c>
      <c r="P225" s="53">
        <f>'Parameter Input'!$Q$193</f>
        <v>0.4</v>
      </c>
      <c r="Q225" s="4">
        <f t="shared" ref="Q225:AR234" si="156">$N225+($M225-$N225)*((1/(1+EXP(-$P225*(Q$9-$L225)))^$O225))</f>
        <v>0.99780374543478534</v>
      </c>
      <c r="R225" s="4">
        <f t="shared" si="156"/>
        <v>0.99685359315256394</v>
      </c>
      <c r="S225" s="4">
        <f t="shared" si="156"/>
        <v>0.99549347132349975</v>
      </c>
      <c r="T225" s="4">
        <f t="shared" si="156"/>
        <v>0.99354772139898062</v>
      </c>
      <c r="U225" s="4">
        <f t="shared" si="156"/>
        <v>0.99076681540580536</v>
      </c>
      <c r="V225" s="4">
        <f t="shared" si="156"/>
        <v>0.9867978615748374</v>
      </c>
      <c r="W225" s="4">
        <f t="shared" si="156"/>
        <v>0.98114509762858249</v>
      </c>
      <c r="X225" s="4">
        <f t="shared" si="156"/>
        <v>0.97311898315872036</v>
      </c>
      <c r="Y225" s="4">
        <f t="shared" si="156"/>
        <v>0.96177484161592774</v>
      </c>
      <c r="Z225" s="4">
        <f t="shared" si="156"/>
        <v>0.94584787155511363</v>
      </c>
      <c r="AA225" s="4">
        <f t="shared" si="156"/>
        <v>0.92370360150141495</v>
      </c>
      <c r="AB225" s="4">
        <f t="shared" si="156"/>
        <v>0.89334463567658451</v>
      </c>
      <c r="AC225" s="4">
        <f t="shared" si="156"/>
        <v>0.85254543874327005</v>
      </c>
      <c r="AD225" s="4">
        <f t="shared" si="156"/>
        <v>0.79921300652623883</v>
      </c>
      <c r="AE225" s="4">
        <f t="shared" si="156"/>
        <v>0.73204982249993378</v>
      </c>
      <c r="AF225" s="4">
        <f t="shared" si="156"/>
        <v>0.65145592958786691</v>
      </c>
      <c r="AG225" s="4">
        <f t="shared" si="156"/>
        <v>0.56032247880849573</v>
      </c>
      <c r="AH225" s="4">
        <f t="shared" si="156"/>
        <v>0.46411326873185343</v>
      </c>
      <c r="AI225" s="4">
        <f t="shared" si="156"/>
        <v>0.36979727595523937</v>
      </c>
      <c r="AJ225" s="4">
        <f t="shared" si="156"/>
        <v>0.28393948637231203</v>
      </c>
      <c r="AK225" s="4">
        <f t="shared" si="156"/>
        <v>0.21097259161117732</v>
      </c>
      <c r="AL225" s="4">
        <f t="shared" si="156"/>
        <v>0.15253917653798199</v>
      </c>
      <c r="AM225" s="4">
        <f t="shared" si="156"/>
        <v>0.10795188737709993</v>
      </c>
      <c r="AN225" s="4">
        <f t="shared" si="156"/>
        <v>7.5176653938091809E-2</v>
      </c>
      <c r="AO225" s="4">
        <f t="shared" si="156"/>
        <v>5.1742836177502194E-2</v>
      </c>
      <c r="AP225" s="4">
        <f t="shared" si="156"/>
        <v>3.5319190625345942E-2</v>
      </c>
      <c r="AQ225" s="4">
        <f t="shared" si="156"/>
        <v>2.3969442072658165E-2</v>
      </c>
      <c r="AR225" s="4">
        <f t="shared" si="156"/>
        <v>1.6202243558389728E-2</v>
      </c>
    </row>
    <row r="226" spans="1:44" x14ac:dyDescent="0.25">
      <c r="A226" s="24" t="s">
        <v>28</v>
      </c>
      <c r="B226" s="60">
        <f>'Parameter Input'!$L$194</f>
        <v>-1500000</v>
      </c>
      <c r="C226" s="61">
        <f>'Parameter Input'!$M$194</f>
        <v>-1800000</v>
      </c>
      <c r="D226" s="1" t="s">
        <v>15</v>
      </c>
      <c r="L226" s="54">
        <f>'Parameter Input'!$O$194</f>
        <v>17</v>
      </c>
      <c r="M226" s="37">
        <v>0</v>
      </c>
      <c r="N226" s="37">
        <v>1</v>
      </c>
      <c r="O226" s="37">
        <f>'Parameter Input'!$P$194</f>
        <v>0.9</v>
      </c>
      <c r="P226" s="55">
        <f>'Parameter Input'!$Q$194</f>
        <v>0.4</v>
      </c>
      <c r="Q226" s="4">
        <f t="shared" si="156"/>
        <v>0.99780374543478534</v>
      </c>
      <c r="R226" s="4">
        <f t="shared" si="156"/>
        <v>0.99685359315256394</v>
      </c>
      <c r="S226" s="4">
        <f t="shared" si="156"/>
        <v>0.99549347132349975</v>
      </c>
      <c r="T226" s="4">
        <f t="shared" si="156"/>
        <v>0.99354772139898062</v>
      </c>
      <c r="U226" s="4">
        <f t="shared" si="156"/>
        <v>0.99076681540580536</v>
      </c>
      <c r="V226" s="4">
        <f t="shared" si="156"/>
        <v>0.9867978615748374</v>
      </c>
      <c r="W226" s="4">
        <f t="shared" si="156"/>
        <v>0.98114509762858249</v>
      </c>
      <c r="X226" s="4">
        <f t="shared" si="156"/>
        <v>0.97311898315872036</v>
      </c>
      <c r="Y226" s="4">
        <f t="shared" si="156"/>
        <v>0.96177484161592774</v>
      </c>
      <c r="Z226" s="4">
        <f t="shared" si="156"/>
        <v>0.94584787155511363</v>
      </c>
      <c r="AA226" s="4">
        <f t="shared" si="156"/>
        <v>0.92370360150141495</v>
      </c>
      <c r="AB226" s="4">
        <f t="shared" si="156"/>
        <v>0.89334463567658451</v>
      </c>
      <c r="AC226" s="4">
        <f t="shared" si="156"/>
        <v>0.85254543874327005</v>
      </c>
      <c r="AD226" s="4">
        <f t="shared" si="156"/>
        <v>0.79921300652623883</v>
      </c>
      <c r="AE226" s="4">
        <f t="shared" si="156"/>
        <v>0.73204982249993378</v>
      </c>
      <c r="AF226" s="4">
        <f t="shared" si="156"/>
        <v>0.65145592958786691</v>
      </c>
      <c r="AG226" s="4">
        <f t="shared" si="156"/>
        <v>0.56032247880849573</v>
      </c>
      <c r="AH226" s="4">
        <f t="shared" si="156"/>
        <v>0.46411326873185343</v>
      </c>
      <c r="AI226" s="4">
        <f t="shared" si="156"/>
        <v>0.36979727595523937</v>
      </c>
      <c r="AJ226" s="4">
        <f t="shared" si="156"/>
        <v>0.28393948637231203</v>
      </c>
      <c r="AK226" s="4">
        <f t="shared" si="156"/>
        <v>0.21097259161117732</v>
      </c>
      <c r="AL226" s="4">
        <f t="shared" si="156"/>
        <v>0.15253917653798199</v>
      </c>
      <c r="AM226" s="4">
        <f t="shared" si="156"/>
        <v>0.10795188737709993</v>
      </c>
      <c r="AN226" s="4">
        <f t="shared" si="156"/>
        <v>7.5176653938091809E-2</v>
      </c>
      <c r="AO226" s="4">
        <f t="shared" si="156"/>
        <v>5.1742836177502194E-2</v>
      </c>
      <c r="AP226" s="4">
        <f t="shared" si="156"/>
        <v>3.5319190625345942E-2</v>
      </c>
      <c r="AQ226" s="4">
        <f t="shared" si="156"/>
        <v>2.3969442072658165E-2</v>
      </c>
      <c r="AR226" s="4">
        <f t="shared" si="156"/>
        <v>1.6202243558389728E-2</v>
      </c>
    </row>
    <row r="227" spans="1:44" x14ac:dyDescent="0.25">
      <c r="A227" s="24" t="s">
        <v>14</v>
      </c>
      <c r="B227" s="60">
        <f>'Parameter Input'!B180</f>
        <v>1000000</v>
      </c>
      <c r="C227" s="61">
        <f>'Parameter Input'!C180</f>
        <v>1000000</v>
      </c>
      <c r="D227" s="1" t="s">
        <v>15</v>
      </c>
      <c r="L227" s="54">
        <f>'Parameter Input'!E180</f>
        <v>17</v>
      </c>
      <c r="M227" s="37">
        <v>0</v>
      </c>
      <c r="N227" s="37">
        <v>1</v>
      </c>
      <c r="O227" s="37">
        <f>'Parameter Input'!F180</f>
        <v>0.9</v>
      </c>
      <c r="P227" s="55">
        <f>'Parameter Input'!G180</f>
        <v>0.4</v>
      </c>
      <c r="Q227" s="4">
        <f t="shared" si="156"/>
        <v>0.99780374543478534</v>
      </c>
      <c r="R227" s="4">
        <f t="shared" si="156"/>
        <v>0.99685359315256394</v>
      </c>
      <c r="S227" s="4">
        <f t="shared" si="156"/>
        <v>0.99549347132349975</v>
      </c>
      <c r="T227" s="4">
        <f t="shared" si="156"/>
        <v>0.99354772139898062</v>
      </c>
      <c r="U227" s="4">
        <f t="shared" si="156"/>
        <v>0.99076681540580536</v>
      </c>
      <c r="V227" s="4">
        <f t="shared" si="156"/>
        <v>0.9867978615748374</v>
      </c>
      <c r="W227" s="4">
        <f t="shared" si="156"/>
        <v>0.98114509762858249</v>
      </c>
      <c r="X227" s="4">
        <f t="shared" si="156"/>
        <v>0.97311898315872036</v>
      </c>
      <c r="Y227" s="4">
        <f t="shared" si="156"/>
        <v>0.96177484161592774</v>
      </c>
      <c r="Z227" s="4">
        <f t="shared" si="156"/>
        <v>0.94584787155511363</v>
      </c>
      <c r="AA227" s="4">
        <f t="shared" si="156"/>
        <v>0.92370360150141495</v>
      </c>
      <c r="AB227" s="4">
        <f t="shared" si="156"/>
        <v>0.89334463567658451</v>
      </c>
      <c r="AC227" s="4">
        <f t="shared" si="156"/>
        <v>0.85254543874327005</v>
      </c>
      <c r="AD227" s="4">
        <f t="shared" si="156"/>
        <v>0.79921300652623883</v>
      </c>
      <c r="AE227" s="4">
        <f t="shared" si="156"/>
        <v>0.73204982249993378</v>
      </c>
      <c r="AF227" s="4">
        <f t="shared" si="156"/>
        <v>0.65145592958786691</v>
      </c>
      <c r="AG227" s="4">
        <f t="shared" si="156"/>
        <v>0.56032247880849573</v>
      </c>
      <c r="AH227" s="4">
        <f t="shared" si="156"/>
        <v>0.46411326873185343</v>
      </c>
      <c r="AI227" s="4">
        <f t="shared" si="156"/>
        <v>0.36979727595523937</v>
      </c>
      <c r="AJ227" s="4">
        <f t="shared" si="156"/>
        <v>0.28393948637231203</v>
      </c>
      <c r="AK227" s="4">
        <f t="shared" si="156"/>
        <v>0.21097259161117732</v>
      </c>
      <c r="AL227" s="4">
        <f t="shared" si="156"/>
        <v>0.15253917653798199</v>
      </c>
      <c r="AM227" s="4">
        <f t="shared" si="156"/>
        <v>0.10795188737709993</v>
      </c>
      <c r="AN227" s="4">
        <f t="shared" si="156"/>
        <v>7.5176653938091809E-2</v>
      </c>
      <c r="AO227" s="4">
        <f t="shared" si="156"/>
        <v>5.1742836177502194E-2</v>
      </c>
      <c r="AP227" s="4">
        <f t="shared" si="156"/>
        <v>3.5319190625345942E-2</v>
      </c>
      <c r="AQ227" s="4">
        <f t="shared" si="156"/>
        <v>2.3969442072658165E-2</v>
      </c>
      <c r="AR227" s="4">
        <f t="shared" si="156"/>
        <v>1.6202243558389728E-2</v>
      </c>
    </row>
    <row r="228" spans="1:44" x14ac:dyDescent="0.25">
      <c r="A228" s="24" t="s">
        <v>25</v>
      </c>
      <c r="B228" s="60">
        <f>'Parameter Input'!B181</f>
        <v>-100000</v>
      </c>
      <c r="C228" s="61">
        <f>'Parameter Input'!C181</f>
        <v>-100000</v>
      </c>
      <c r="D228" s="1" t="s">
        <v>15</v>
      </c>
      <c r="L228" s="54">
        <f>'Parameter Input'!E181</f>
        <v>17</v>
      </c>
      <c r="M228" s="37">
        <v>0</v>
      </c>
      <c r="N228" s="37">
        <v>1</v>
      </c>
      <c r="O228" s="37">
        <f>'Parameter Input'!F181</f>
        <v>0.9</v>
      </c>
      <c r="P228" s="55">
        <f>'Parameter Input'!G181</f>
        <v>0.4</v>
      </c>
      <c r="Q228" s="4">
        <f t="shared" si="156"/>
        <v>0.99780374543478534</v>
      </c>
      <c r="R228" s="4">
        <f t="shared" si="156"/>
        <v>0.99685359315256394</v>
      </c>
      <c r="S228" s="4">
        <f t="shared" si="156"/>
        <v>0.99549347132349975</v>
      </c>
      <c r="T228" s="4">
        <f t="shared" si="156"/>
        <v>0.99354772139898062</v>
      </c>
      <c r="U228" s="4">
        <f t="shared" si="156"/>
        <v>0.99076681540580536</v>
      </c>
      <c r="V228" s="4">
        <f t="shared" si="156"/>
        <v>0.9867978615748374</v>
      </c>
      <c r="W228" s="4">
        <f t="shared" si="156"/>
        <v>0.98114509762858249</v>
      </c>
      <c r="X228" s="4">
        <f t="shared" si="156"/>
        <v>0.97311898315872036</v>
      </c>
      <c r="Y228" s="4">
        <f t="shared" si="156"/>
        <v>0.96177484161592774</v>
      </c>
      <c r="Z228" s="4">
        <f t="shared" si="156"/>
        <v>0.94584787155511363</v>
      </c>
      <c r="AA228" s="4">
        <f t="shared" si="156"/>
        <v>0.92370360150141495</v>
      </c>
      <c r="AB228" s="4">
        <f t="shared" si="156"/>
        <v>0.89334463567658451</v>
      </c>
      <c r="AC228" s="4">
        <f t="shared" si="156"/>
        <v>0.85254543874327005</v>
      </c>
      <c r="AD228" s="4">
        <f t="shared" si="156"/>
        <v>0.79921300652623883</v>
      </c>
      <c r="AE228" s="4">
        <f t="shared" si="156"/>
        <v>0.73204982249993378</v>
      </c>
      <c r="AF228" s="4">
        <f t="shared" si="156"/>
        <v>0.65145592958786691</v>
      </c>
      <c r="AG228" s="4">
        <f t="shared" si="156"/>
        <v>0.56032247880849573</v>
      </c>
      <c r="AH228" s="4">
        <f t="shared" si="156"/>
        <v>0.46411326873185343</v>
      </c>
      <c r="AI228" s="4">
        <f t="shared" si="156"/>
        <v>0.36979727595523937</v>
      </c>
      <c r="AJ228" s="4">
        <f t="shared" si="156"/>
        <v>0.28393948637231203</v>
      </c>
      <c r="AK228" s="4">
        <f t="shared" si="156"/>
        <v>0.21097259161117732</v>
      </c>
      <c r="AL228" s="4">
        <f t="shared" si="156"/>
        <v>0.15253917653798199</v>
      </c>
      <c r="AM228" s="4">
        <f t="shared" si="156"/>
        <v>0.10795188737709993</v>
      </c>
      <c r="AN228" s="4">
        <f t="shared" si="156"/>
        <v>7.5176653938091809E-2</v>
      </c>
      <c r="AO228" s="4">
        <f t="shared" si="156"/>
        <v>5.1742836177502194E-2</v>
      </c>
      <c r="AP228" s="4">
        <f t="shared" si="156"/>
        <v>3.5319190625345942E-2</v>
      </c>
      <c r="AQ228" s="4">
        <f t="shared" si="156"/>
        <v>2.3969442072658165E-2</v>
      </c>
      <c r="AR228" s="4">
        <f t="shared" si="156"/>
        <v>1.6202243558389728E-2</v>
      </c>
    </row>
    <row r="229" spans="1:44" x14ac:dyDescent="0.25">
      <c r="A229" s="24" t="s">
        <v>79</v>
      </c>
      <c r="B229" s="92">
        <f>'Parameter Input'!$L$200</f>
        <v>0.06</v>
      </c>
      <c r="C229" s="91">
        <f>'Parameter Input'!$M$200</f>
        <v>0.06</v>
      </c>
      <c r="D229" s="1" t="s">
        <v>57</v>
      </c>
      <c r="L229" s="54">
        <f>'Parameter Input'!$O$200</f>
        <v>17</v>
      </c>
      <c r="M229" s="37">
        <v>0</v>
      </c>
      <c r="N229" s="37">
        <v>1</v>
      </c>
      <c r="O229" s="37">
        <f>'Parameter Input'!$P$200</f>
        <v>0.9</v>
      </c>
      <c r="P229" s="55">
        <f>'Parameter Input'!$Q$200</f>
        <v>0.4</v>
      </c>
      <c r="Q229" s="4">
        <f t="shared" si="156"/>
        <v>0.99780374543478534</v>
      </c>
      <c r="R229" s="4">
        <f t="shared" si="156"/>
        <v>0.99685359315256394</v>
      </c>
      <c r="S229" s="4">
        <f t="shared" si="156"/>
        <v>0.99549347132349975</v>
      </c>
      <c r="T229" s="4">
        <f t="shared" si="156"/>
        <v>0.99354772139898062</v>
      </c>
      <c r="U229" s="4">
        <f t="shared" si="156"/>
        <v>0.99076681540580536</v>
      </c>
      <c r="V229" s="4">
        <f t="shared" si="156"/>
        <v>0.9867978615748374</v>
      </c>
      <c r="W229" s="4">
        <f t="shared" si="156"/>
        <v>0.98114509762858249</v>
      </c>
      <c r="X229" s="4">
        <f t="shared" si="156"/>
        <v>0.97311898315872036</v>
      </c>
      <c r="Y229" s="4">
        <f t="shared" si="156"/>
        <v>0.96177484161592774</v>
      </c>
      <c r="Z229" s="4">
        <f t="shared" si="156"/>
        <v>0.94584787155511363</v>
      </c>
      <c r="AA229" s="4">
        <f t="shared" si="156"/>
        <v>0.92370360150141495</v>
      </c>
      <c r="AB229" s="4">
        <f t="shared" si="156"/>
        <v>0.89334463567658451</v>
      </c>
      <c r="AC229" s="4">
        <f t="shared" si="156"/>
        <v>0.85254543874327005</v>
      </c>
      <c r="AD229" s="4">
        <f t="shared" si="156"/>
        <v>0.79921300652623883</v>
      </c>
      <c r="AE229" s="4">
        <f t="shared" si="156"/>
        <v>0.73204982249993378</v>
      </c>
      <c r="AF229" s="4">
        <f t="shared" si="156"/>
        <v>0.65145592958786691</v>
      </c>
      <c r="AG229" s="4">
        <f t="shared" si="156"/>
        <v>0.56032247880849573</v>
      </c>
      <c r="AH229" s="4">
        <f t="shared" si="156"/>
        <v>0.46411326873185343</v>
      </c>
      <c r="AI229" s="4">
        <f t="shared" si="156"/>
        <v>0.36979727595523937</v>
      </c>
      <c r="AJ229" s="4">
        <f t="shared" si="156"/>
        <v>0.28393948637231203</v>
      </c>
      <c r="AK229" s="4">
        <f t="shared" si="156"/>
        <v>0.21097259161117732</v>
      </c>
      <c r="AL229" s="4">
        <f t="shared" si="156"/>
        <v>0.15253917653798199</v>
      </c>
      <c r="AM229" s="4">
        <f t="shared" si="156"/>
        <v>0.10795188737709993</v>
      </c>
      <c r="AN229" s="4">
        <f t="shared" si="156"/>
        <v>7.5176653938091809E-2</v>
      </c>
      <c r="AO229" s="4">
        <f t="shared" si="156"/>
        <v>5.1742836177502194E-2</v>
      </c>
      <c r="AP229" s="4">
        <f t="shared" si="156"/>
        <v>3.5319190625345942E-2</v>
      </c>
      <c r="AQ229" s="4">
        <f t="shared" si="156"/>
        <v>2.3969442072658165E-2</v>
      </c>
      <c r="AR229" s="4">
        <f t="shared" si="156"/>
        <v>1.6202243558389728E-2</v>
      </c>
    </row>
    <row r="230" spans="1:44" x14ac:dyDescent="0.25">
      <c r="A230" s="24" t="s">
        <v>37</v>
      </c>
      <c r="B230" s="60">
        <f>'Parameter Input'!B182</f>
        <v>1208235.294117647</v>
      </c>
      <c r="C230" s="61">
        <f>'Parameter Input'!C182</f>
        <v>1208235.294117647</v>
      </c>
      <c r="D230" s="1" t="s">
        <v>38</v>
      </c>
      <c r="L230" s="54">
        <f>'Parameter Input'!E182</f>
        <v>17</v>
      </c>
      <c r="M230" s="37">
        <v>0</v>
      </c>
      <c r="N230" s="37">
        <v>1</v>
      </c>
      <c r="O230" s="37">
        <f>'Parameter Input'!F182</f>
        <v>0.9</v>
      </c>
      <c r="P230" s="55">
        <f>'Parameter Input'!G182</f>
        <v>0.4</v>
      </c>
      <c r="Q230" s="4">
        <f t="shared" si="156"/>
        <v>0.99780374543478534</v>
      </c>
      <c r="R230" s="4">
        <f t="shared" si="156"/>
        <v>0.99685359315256394</v>
      </c>
      <c r="S230" s="4">
        <f t="shared" si="156"/>
        <v>0.99549347132349975</v>
      </c>
      <c r="T230" s="4">
        <f t="shared" si="156"/>
        <v>0.99354772139898062</v>
      </c>
      <c r="U230" s="4">
        <f t="shared" si="156"/>
        <v>0.99076681540580536</v>
      </c>
      <c r="V230" s="4">
        <f t="shared" si="156"/>
        <v>0.9867978615748374</v>
      </c>
      <c r="W230" s="4">
        <f t="shared" si="156"/>
        <v>0.98114509762858249</v>
      </c>
      <c r="X230" s="4">
        <f t="shared" si="156"/>
        <v>0.97311898315872036</v>
      </c>
      <c r="Y230" s="4">
        <f t="shared" si="156"/>
        <v>0.96177484161592774</v>
      </c>
      <c r="Z230" s="4">
        <f t="shared" si="156"/>
        <v>0.94584787155511363</v>
      </c>
      <c r="AA230" s="4">
        <f t="shared" si="156"/>
        <v>0.92370360150141495</v>
      </c>
      <c r="AB230" s="4">
        <f t="shared" si="156"/>
        <v>0.89334463567658451</v>
      </c>
      <c r="AC230" s="4">
        <f t="shared" si="156"/>
        <v>0.85254543874327005</v>
      </c>
      <c r="AD230" s="4">
        <f t="shared" si="156"/>
        <v>0.79921300652623883</v>
      </c>
      <c r="AE230" s="4">
        <f t="shared" si="156"/>
        <v>0.73204982249993378</v>
      </c>
      <c r="AF230" s="4">
        <f t="shared" si="156"/>
        <v>0.65145592958786691</v>
      </c>
      <c r="AG230" s="4">
        <f t="shared" si="156"/>
        <v>0.56032247880849573</v>
      </c>
      <c r="AH230" s="4">
        <f t="shared" si="156"/>
        <v>0.46411326873185343</v>
      </c>
      <c r="AI230" s="4">
        <f t="shared" si="156"/>
        <v>0.36979727595523937</v>
      </c>
      <c r="AJ230" s="4">
        <f t="shared" si="156"/>
        <v>0.28393948637231203</v>
      </c>
      <c r="AK230" s="4">
        <f t="shared" si="156"/>
        <v>0.21097259161117732</v>
      </c>
      <c r="AL230" s="4">
        <f t="shared" si="156"/>
        <v>0.15253917653798199</v>
      </c>
      <c r="AM230" s="4">
        <f t="shared" si="156"/>
        <v>0.10795188737709993</v>
      </c>
      <c r="AN230" s="4">
        <f t="shared" si="156"/>
        <v>7.5176653938091809E-2</v>
      </c>
      <c r="AO230" s="4">
        <f t="shared" si="156"/>
        <v>5.1742836177502194E-2</v>
      </c>
      <c r="AP230" s="4">
        <f t="shared" si="156"/>
        <v>3.5319190625345942E-2</v>
      </c>
      <c r="AQ230" s="4">
        <f t="shared" si="156"/>
        <v>2.3969442072658165E-2</v>
      </c>
      <c r="AR230" s="4">
        <f t="shared" si="156"/>
        <v>1.6202243558389728E-2</v>
      </c>
    </row>
    <row r="231" spans="1:44" x14ac:dyDescent="0.25">
      <c r="A231" s="24" t="s">
        <v>52</v>
      </c>
      <c r="B231" s="60">
        <f>'Parameter Input'!$L$196</f>
        <v>338823.5294117647</v>
      </c>
      <c r="C231" s="61">
        <f>'Parameter Input'!$M$196</f>
        <v>338823.5294117647</v>
      </c>
      <c r="D231" s="1" t="s">
        <v>38</v>
      </c>
      <c r="L231" s="54">
        <f>'Parameter Input'!$O$196</f>
        <v>17</v>
      </c>
      <c r="M231" s="37">
        <v>0</v>
      </c>
      <c r="N231" s="37">
        <v>1</v>
      </c>
      <c r="O231" s="37">
        <f>'Parameter Input'!$P$196</f>
        <v>0.9</v>
      </c>
      <c r="P231" s="55">
        <f>'Parameter Input'!$Q$196</f>
        <v>0.4</v>
      </c>
      <c r="Q231" s="4">
        <f t="shared" si="156"/>
        <v>0.99780374543478534</v>
      </c>
      <c r="R231" s="4">
        <f t="shared" si="156"/>
        <v>0.99685359315256394</v>
      </c>
      <c r="S231" s="4">
        <f t="shared" si="156"/>
        <v>0.99549347132349975</v>
      </c>
      <c r="T231" s="4">
        <f t="shared" si="156"/>
        <v>0.99354772139898062</v>
      </c>
      <c r="U231" s="4">
        <f t="shared" si="156"/>
        <v>0.99076681540580536</v>
      </c>
      <c r="V231" s="4">
        <f t="shared" si="156"/>
        <v>0.9867978615748374</v>
      </c>
      <c r="W231" s="4">
        <f t="shared" si="156"/>
        <v>0.98114509762858249</v>
      </c>
      <c r="X231" s="4">
        <f t="shared" si="156"/>
        <v>0.97311898315872036</v>
      </c>
      <c r="Y231" s="4">
        <f t="shared" si="156"/>
        <v>0.96177484161592774</v>
      </c>
      <c r="Z231" s="4">
        <f t="shared" si="156"/>
        <v>0.94584787155511363</v>
      </c>
      <c r="AA231" s="4">
        <f t="shared" si="156"/>
        <v>0.92370360150141495</v>
      </c>
      <c r="AB231" s="4">
        <f t="shared" si="156"/>
        <v>0.89334463567658451</v>
      </c>
      <c r="AC231" s="4">
        <f t="shared" si="156"/>
        <v>0.85254543874327005</v>
      </c>
      <c r="AD231" s="4">
        <f t="shared" si="156"/>
        <v>0.79921300652623883</v>
      </c>
      <c r="AE231" s="4">
        <f t="shared" si="156"/>
        <v>0.73204982249993378</v>
      </c>
      <c r="AF231" s="4">
        <f t="shared" si="156"/>
        <v>0.65145592958786691</v>
      </c>
      <c r="AG231" s="4">
        <f t="shared" si="156"/>
        <v>0.56032247880849573</v>
      </c>
      <c r="AH231" s="4">
        <f t="shared" si="156"/>
        <v>0.46411326873185343</v>
      </c>
      <c r="AI231" s="4">
        <f t="shared" si="156"/>
        <v>0.36979727595523937</v>
      </c>
      <c r="AJ231" s="4">
        <f t="shared" si="156"/>
        <v>0.28393948637231203</v>
      </c>
      <c r="AK231" s="4">
        <f t="shared" si="156"/>
        <v>0.21097259161117732</v>
      </c>
      <c r="AL231" s="4">
        <f t="shared" si="156"/>
        <v>0.15253917653798199</v>
      </c>
      <c r="AM231" s="4">
        <f t="shared" si="156"/>
        <v>0.10795188737709993</v>
      </c>
      <c r="AN231" s="4">
        <f t="shared" si="156"/>
        <v>7.5176653938091809E-2</v>
      </c>
      <c r="AO231" s="4">
        <f t="shared" si="156"/>
        <v>5.1742836177502194E-2</v>
      </c>
      <c r="AP231" s="4">
        <f t="shared" si="156"/>
        <v>3.5319190625345942E-2</v>
      </c>
      <c r="AQ231" s="4">
        <f t="shared" si="156"/>
        <v>2.3969442072658165E-2</v>
      </c>
      <c r="AR231" s="4">
        <f t="shared" si="156"/>
        <v>1.6202243558389728E-2</v>
      </c>
    </row>
    <row r="232" spans="1:44" x14ac:dyDescent="0.25">
      <c r="A232" s="24" t="s">
        <v>272</v>
      </c>
      <c r="B232" s="92">
        <f>'Parameter Input'!B187</f>
        <v>0.81280569096848254</v>
      </c>
      <c r="C232" s="61">
        <f>'Parameter Input'!C187</f>
        <v>0.81280569096848254</v>
      </c>
      <c r="D232" s="1" t="s">
        <v>76</v>
      </c>
      <c r="L232" s="54">
        <f>'Parameter Input'!E187</f>
        <v>17</v>
      </c>
      <c r="M232" s="37">
        <v>0</v>
      </c>
      <c r="N232" s="37">
        <v>1</v>
      </c>
      <c r="O232" s="37">
        <f>'Parameter Input'!F187</f>
        <v>0.9</v>
      </c>
      <c r="P232" s="55">
        <f>'Parameter Input'!G187</f>
        <v>0.4</v>
      </c>
      <c r="Q232" s="4">
        <f t="shared" si="156"/>
        <v>0.99780374543478534</v>
      </c>
      <c r="R232" s="4">
        <f t="shared" si="156"/>
        <v>0.99685359315256394</v>
      </c>
      <c r="S232" s="4">
        <f t="shared" si="156"/>
        <v>0.99549347132349975</v>
      </c>
      <c r="T232" s="4">
        <f t="shared" si="156"/>
        <v>0.99354772139898062</v>
      </c>
      <c r="U232" s="4">
        <f t="shared" si="156"/>
        <v>0.99076681540580536</v>
      </c>
      <c r="V232" s="4">
        <f t="shared" si="156"/>
        <v>0.9867978615748374</v>
      </c>
      <c r="W232" s="4">
        <f t="shared" si="156"/>
        <v>0.98114509762858249</v>
      </c>
      <c r="X232" s="4">
        <f t="shared" si="156"/>
        <v>0.97311898315872036</v>
      </c>
      <c r="Y232" s="4">
        <f t="shared" si="156"/>
        <v>0.96177484161592774</v>
      </c>
      <c r="Z232" s="4">
        <f t="shared" si="156"/>
        <v>0.94584787155511363</v>
      </c>
      <c r="AA232" s="4">
        <f t="shared" si="156"/>
        <v>0.92370360150141495</v>
      </c>
      <c r="AB232" s="4">
        <f t="shared" si="156"/>
        <v>0.89334463567658451</v>
      </c>
      <c r="AC232" s="4">
        <f t="shared" si="156"/>
        <v>0.85254543874327005</v>
      </c>
      <c r="AD232" s="4">
        <f t="shared" si="156"/>
        <v>0.79921300652623883</v>
      </c>
      <c r="AE232" s="4">
        <f t="shared" si="156"/>
        <v>0.73204982249993378</v>
      </c>
      <c r="AF232" s="4">
        <f t="shared" si="156"/>
        <v>0.65145592958786691</v>
      </c>
      <c r="AG232" s="4">
        <f t="shared" si="156"/>
        <v>0.56032247880849573</v>
      </c>
      <c r="AH232" s="4">
        <f t="shared" si="156"/>
        <v>0.46411326873185343</v>
      </c>
      <c r="AI232" s="4">
        <f t="shared" si="156"/>
        <v>0.36979727595523937</v>
      </c>
      <c r="AJ232" s="4">
        <f t="shared" si="156"/>
        <v>0.28393948637231203</v>
      </c>
      <c r="AK232" s="4">
        <f t="shared" si="156"/>
        <v>0.21097259161117732</v>
      </c>
      <c r="AL232" s="4">
        <f t="shared" si="156"/>
        <v>0.15253917653798199</v>
      </c>
      <c r="AM232" s="4">
        <f t="shared" si="156"/>
        <v>0.10795188737709993</v>
      </c>
      <c r="AN232" s="4">
        <f t="shared" si="156"/>
        <v>7.5176653938091809E-2</v>
      </c>
      <c r="AO232" s="4">
        <f t="shared" si="156"/>
        <v>5.1742836177502194E-2</v>
      </c>
      <c r="AP232" s="4">
        <f t="shared" si="156"/>
        <v>3.5319190625345942E-2</v>
      </c>
      <c r="AQ232" s="4">
        <f t="shared" si="156"/>
        <v>2.3969442072658165E-2</v>
      </c>
      <c r="AR232" s="4">
        <f t="shared" si="156"/>
        <v>1.6202243558389728E-2</v>
      </c>
    </row>
    <row r="233" spans="1:44" x14ac:dyDescent="0.25">
      <c r="A233" s="24" t="s">
        <v>59</v>
      </c>
      <c r="B233" s="60">
        <f>'Parameter Input'!$L$197</f>
        <v>589</v>
      </c>
      <c r="C233" s="61">
        <f>'Parameter Input'!$M$197</f>
        <v>519</v>
      </c>
      <c r="D233" s="1" t="s">
        <v>60</v>
      </c>
      <c r="L233" s="54">
        <f>'Parameter Input'!$O$197</f>
        <v>17</v>
      </c>
      <c r="M233" s="37">
        <v>0</v>
      </c>
      <c r="N233" s="37">
        <v>1</v>
      </c>
      <c r="O233" s="37">
        <f>'Parameter Input'!$P$197</f>
        <v>0.9</v>
      </c>
      <c r="P233" s="55">
        <f>'Parameter Input'!$Q$197</f>
        <v>0.4</v>
      </c>
      <c r="Q233" s="4">
        <f t="shared" si="156"/>
        <v>0.99780374543478534</v>
      </c>
      <c r="R233" s="4">
        <f t="shared" si="156"/>
        <v>0.99685359315256394</v>
      </c>
      <c r="S233" s="4">
        <f t="shared" si="156"/>
        <v>0.99549347132349975</v>
      </c>
      <c r="T233" s="4">
        <f t="shared" si="156"/>
        <v>0.99354772139898062</v>
      </c>
      <c r="U233" s="4">
        <f t="shared" si="156"/>
        <v>0.99076681540580536</v>
      </c>
      <c r="V233" s="4">
        <f t="shared" si="156"/>
        <v>0.9867978615748374</v>
      </c>
      <c r="W233" s="4">
        <f t="shared" si="156"/>
        <v>0.98114509762858249</v>
      </c>
      <c r="X233" s="4">
        <f t="shared" si="156"/>
        <v>0.97311898315872036</v>
      </c>
      <c r="Y233" s="4">
        <f t="shared" si="156"/>
        <v>0.96177484161592774</v>
      </c>
      <c r="Z233" s="4">
        <f t="shared" si="156"/>
        <v>0.94584787155511363</v>
      </c>
      <c r="AA233" s="4">
        <f t="shared" si="156"/>
        <v>0.92370360150141495</v>
      </c>
      <c r="AB233" s="4">
        <f t="shared" si="156"/>
        <v>0.89334463567658451</v>
      </c>
      <c r="AC233" s="4">
        <f t="shared" si="156"/>
        <v>0.85254543874327005</v>
      </c>
      <c r="AD233" s="4">
        <f t="shared" si="156"/>
        <v>0.79921300652623883</v>
      </c>
      <c r="AE233" s="4">
        <f t="shared" si="156"/>
        <v>0.73204982249993378</v>
      </c>
      <c r="AF233" s="4">
        <f t="shared" si="156"/>
        <v>0.65145592958786691</v>
      </c>
      <c r="AG233" s="4">
        <f t="shared" si="156"/>
        <v>0.56032247880849573</v>
      </c>
      <c r="AH233" s="4">
        <f t="shared" si="156"/>
        <v>0.46411326873185343</v>
      </c>
      <c r="AI233" s="4">
        <f t="shared" si="156"/>
        <v>0.36979727595523937</v>
      </c>
      <c r="AJ233" s="4">
        <f t="shared" si="156"/>
        <v>0.28393948637231203</v>
      </c>
      <c r="AK233" s="4">
        <f t="shared" si="156"/>
        <v>0.21097259161117732</v>
      </c>
      <c r="AL233" s="4">
        <f t="shared" si="156"/>
        <v>0.15253917653798199</v>
      </c>
      <c r="AM233" s="4">
        <f t="shared" si="156"/>
        <v>0.10795188737709993</v>
      </c>
      <c r="AN233" s="4">
        <f t="shared" si="156"/>
        <v>7.5176653938091809E-2</v>
      </c>
      <c r="AO233" s="4">
        <f t="shared" si="156"/>
        <v>5.1742836177502194E-2</v>
      </c>
      <c r="AP233" s="4">
        <f t="shared" si="156"/>
        <v>3.5319190625345942E-2</v>
      </c>
      <c r="AQ233" s="4">
        <f t="shared" si="156"/>
        <v>2.3969442072658165E-2</v>
      </c>
      <c r="AR233" s="4">
        <f t="shared" si="156"/>
        <v>1.6202243558389728E-2</v>
      </c>
    </row>
    <row r="234" spans="1:44" x14ac:dyDescent="0.25">
      <c r="A234" s="24" t="s">
        <v>67</v>
      </c>
      <c r="B234" s="78">
        <f>'Parameter Input'!$L$198</f>
        <v>0.23976160758395154</v>
      </c>
      <c r="C234" s="61">
        <f>'Parameter Input'!$M$198</f>
        <v>0.11428118371505049</v>
      </c>
      <c r="D234" s="1" t="s">
        <v>68</v>
      </c>
      <c r="L234" s="54">
        <f>'Parameter Input'!$O$198</f>
        <v>14</v>
      </c>
      <c r="M234" s="37">
        <v>0</v>
      </c>
      <c r="N234" s="37">
        <v>1</v>
      </c>
      <c r="O234" s="37">
        <f>'Parameter Input'!$P$198</f>
        <v>0.9</v>
      </c>
      <c r="P234" s="55">
        <f>'Parameter Input'!$Q$198</f>
        <v>0.4</v>
      </c>
      <c r="Q234" s="4">
        <f t="shared" si="156"/>
        <v>0.99354772139898062</v>
      </c>
      <c r="R234" s="4">
        <f t="shared" si="156"/>
        <v>0.99076681540580536</v>
      </c>
      <c r="S234" s="4">
        <f t="shared" si="156"/>
        <v>0.9867978615748374</v>
      </c>
      <c r="T234" s="4">
        <f t="shared" ref="T234:AI241" si="157">$N234+($M234-$N234)*((1/(1+EXP(-$P234*(T$9-$L234)))^$O234))</f>
        <v>0.98114509762858249</v>
      </c>
      <c r="U234" s="4">
        <f t="shared" si="157"/>
        <v>0.97311898315872036</v>
      </c>
      <c r="V234" s="4">
        <f t="shared" si="157"/>
        <v>0.96177484161592774</v>
      </c>
      <c r="W234" s="4">
        <f t="shared" si="157"/>
        <v>0.94584787155511363</v>
      </c>
      <c r="X234" s="4">
        <f t="shared" si="157"/>
        <v>0.92370360150141495</v>
      </c>
      <c r="Y234" s="4">
        <f t="shared" si="157"/>
        <v>0.89334463567658451</v>
      </c>
      <c r="Z234" s="4">
        <f t="shared" si="157"/>
        <v>0.85254543874327005</v>
      </c>
      <c r="AA234" s="4">
        <f t="shared" si="157"/>
        <v>0.79921300652623883</v>
      </c>
      <c r="AB234" s="4">
        <f t="shared" si="157"/>
        <v>0.73204982249993378</v>
      </c>
      <c r="AC234" s="4">
        <f t="shared" si="157"/>
        <v>0.65145592958786691</v>
      </c>
      <c r="AD234" s="4">
        <f t="shared" si="157"/>
        <v>0.56032247880849573</v>
      </c>
      <c r="AE234" s="4">
        <f t="shared" si="157"/>
        <v>0.46411326873185343</v>
      </c>
      <c r="AF234" s="4">
        <f t="shared" si="157"/>
        <v>0.36979727595523937</v>
      </c>
      <c r="AG234" s="4">
        <f t="shared" si="157"/>
        <v>0.28393948637231203</v>
      </c>
      <c r="AH234" s="4">
        <f t="shared" si="157"/>
        <v>0.21097259161117732</v>
      </c>
      <c r="AI234" s="4">
        <f t="shared" si="157"/>
        <v>0.15253917653798199</v>
      </c>
      <c r="AJ234" s="4">
        <f t="shared" ref="AJ234:AR241" si="158">$N234+($M234-$N234)*((1/(1+EXP(-$P234*(AJ$9-$L234)))^$O234))</f>
        <v>0.10795188737709993</v>
      </c>
      <c r="AK234" s="4">
        <f t="shared" si="158"/>
        <v>7.5176653938091809E-2</v>
      </c>
      <c r="AL234" s="4">
        <f t="shared" si="158"/>
        <v>5.1742836177502194E-2</v>
      </c>
      <c r="AM234" s="4">
        <f t="shared" si="158"/>
        <v>3.5319190625345942E-2</v>
      </c>
      <c r="AN234" s="4">
        <f t="shared" si="158"/>
        <v>2.3969442072658165E-2</v>
      </c>
      <c r="AO234" s="4">
        <f t="shared" si="158"/>
        <v>1.6202243558389728E-2</v>
      </c>
      <c r="AP234" s="4">
        <f t="shared" si="158"/>
        <v>1.0922240564108399E-2</v>
      </c>
      <c r="AQ234" s="4">
        <f t="shared" si="158"/>
        <v>7.3493212906090566E-3</v>
      </c>
      <c r="AR234" s="4">
        <f t="shared" si="158"/>
        <v>4.9390262185057265E-3</v>
      </c>
    </row>
    <row r="235" spans="1:44" x14ac:dyDescent="0.25">
      <c r="A235" s="24" t="s">
        <v>206</v>
      </c>
      <c r="B235" s="115">
        <f>'Parameter Input'!$L$201</f>
        <v>2.4919230769230767</v>
      </c>
      <c r="C235" s="116">
        <f>'Parameter Input'!$M$201</f>
        <v>0</v>
      </c>
      <c r="D235" s="1" t="s">
        <v>76</v>
      </c>
      <c r="L235" s="54">
        <f>'Parameter Input'!$O$201</f>
        <v>17</v>
      </c>
      <c r="M235" s="37">
        <v>0</v>
      </c>
      <c r="N235" s="37">
        <v>1</v>
      </c>
      <c r="O235" s="37">
        <f>'Parameter Input'!$P$201</f>
        <v>0.9</v>
      </c>
      <c r="P235" s="55">
        <f>'Parameter Input'!$Q$201</f>
        <v>0.4</v>
      </c>
      <c r="Q235" s="4">
        <f t="shared" ref="Q235:AR235" si="159">$N235+($M235-$N235)*((1/(1+EXP(-$P235*(Q$9-$L235)))^$O235))</f>
        <v>0.99780374543478534</v>
      </c>
      <c r="R235" s="4">
        <f t="shared" si="159"/>
        <v>0.99685359315256394</v>
      </c>
      <c r="S235" s="4">
        <f t="shared" si="159"/>
        <v>0.99549347132349975</v>
      </c>
      <c r="T235" s="4">
        <f t="shared" si="159"/>
        <v>0.99354772139898062</v>
      </c>
      <c r="U235" s="4">
        <f t="shared" si="159"/>
        <v>0.99076681540580536</v>
      </c>
      <c r="V235" s="4">
        <f t="shared" si="159"/>
        <v>0.9867978615748374</v>
      </c>
      <c r="W235" s="4">
        <f t="shared" si="159"/>
        <v>0.98114509762858249</v>
      </c>
      <c r="X235" s="4">
        <f t="shared" si="159"/>
        <v>0.97311898315872036</v>
      </c>
      <c r="Y235" s="4">
        <f t="shared" si="159"/>
        <v>0.96177484161592774</v>
      </c>
      <c r="Z235" s="4">
        <f t="shared" si="159"/>
        <v>0.94584787155511363</v>
      </c>
      <c r="AA235" s="4">
        <f t="shared" si="159"/>
        <v>0.92370360150141495</v>
      </c>
      <c r="AB235" s="4">
        <f t="shared" si="159"/>
        <v>0.89334463567658451</v>
      </c>
      <c r="AC235" s="4">
        <f t="shared" si="159"/>
        <v>0.85254543874327005</v>
      </c>
      <c r="AD235" s="4">
        <f t="shared" si="159"/>
        <v>0.79921300652623883</v>
      </c>
      <c r="AE235" s="4">
        <f t="shared" si="159"/>
        <v>0.73204982249993378</v>
      </c>
      <c r="AF235" s="4">
        <f t="shared" si="159"/>
        <v>0.65145592958786691</v>
      </c>
      <c r="AG235" s="4">
        <f t="shared" si="159"/>
        <v>0.56032247880849573</v>
      </c>
      <c r="AH235" s="4">
        <f t="shared" si="159"/>
        <v>0.46411326873185343</v>
      </c>
      <c r="AI235" s="4">
        <f t="shared" si="159"/>
        <v>0.36979727595523937</v>
      </c>
      <c r="AJ235" s="4">
        <f t="shared" si="159"/>
        <v>0.28393948637231203</v>
      </c>
      <c r="AK235" s="4">
        <f t="shared" si="159"/>
        <v>0.21097259161117732</v>
      </c>
      <c r="AL235" s="4">
        <f t="shared" si="159"/>
        <v>0.15253917653798199</v>
      </c>
      <c r="AM235" s="4">
        <f t="shared" si="159"/>
        <v>0.10795188737709993</v>
      </c>
      <c r="AN235" s="4">
        <f t="shared" si="159"/>
        <v>7.5176653938091809E-2</v>
      </c>
      <c r="AO235" s="4">
        <f t="shared" si="159"/>
        <v>5.1742836177502194E-2</v>
      </c>
      <c r="AP235" s="4">
        <f t="shared" si="159"/>
        <v>3.5319190625345942E-2</v>
      </c>
      <c r="AQ235" s="4">
        <f t="shared" si="159"/>
        <v>2.3969442072658165E-2</v>
      </c>
      <c r="AR235" s="4">
        <f t="shared" si="159"/>
        <v>1.6202243558389728E-2</v>
      </c>
    </row>
    <row r="236" spans="1:44" x14ac:dyDescent="0.25">
      <c r="A236" s="24" t="s">
        <v>41</v>
      </c>
      <c r="B236" s="60">
        <f>'Parameter Input'!$L$195</f>
        <v>25</v>
      </c>
      <c r="C236" s="61">
        <f>'Parameter Input'!$M$195</f>
        <v>25</v>
      </c>
      <c r="D236" s="1" t="s">
        <v>42</v>
      </c>
      <c r="L236" s="54">
        <f>'Parameter Input'!$O$195</f>
        <v>17</v>
      </c>
      <c r="M236" s="37">
        <v>0</v>
      </c>
      <c r="N236" s="37">
        <v>1</v>
      </c>
      <c r="O236" s="37">
        <f>'Parameter Input'!$P$195</f>
        <v>0.9</v>
      </c>
      <c r="P236" s="55">
        <f>'Parameter Input'!$Q$195</f>
        <v>0.4</v>
      </c>
      <c r="Q236" s="4">
        <f t="shared" ref="Q236:AF241" si="160">$N236+($M236-$N236)*((1/(1+EXP(-$P236*(Q$9-$L236)))^$O236))</f>
        <v>0.99780374543478534</v>
      </c>
      <c r="R236" s="4">
        <f t="shared" si="160"/>
        <v>0.99685359315256394</v>
      </c>
      <c r="S236" s="4">
        <f t="shared" si="160"/>
        <v>0.99549347132349975</v>
      </c>
      <c r="T236" s="4">
        <f t="shared" si="160"/>
        <v>0.99354772139898062</v>
      </c>
      <c r="U236" s="4">
        <f t="shared" si="160"/>
        <v>0.99076681540580536</v>
      </c>
      <c r="V236" s="4">
        <f t="shared" si="160"/>
        <v>0.9867978615748374</v>
      </c>
      <c r="W236" s="4">
        <f t="shared" si="160"/>
        <v>0.98114509762858249</v>
      </c>
      <c r="X236" s="4">
        <f t="shared" si="160"/>
        <v>0.97311898315872036</v>
      </c>
      <c r="Y236" s="4">
        <f t="shared" si="160"/>
        <v>0.96177484161592774</v>
      </c>
      <c r="Z236" s="4">
        <f t="shared" si="160"/>
        <v>0.94584787155511363</v>
      </c>
      <c r="AA236" s="4">
        <f t="shared" si="160"/>
        <v>0.92370360150141495</v>
      </c>
      <c r="AB236" s="4">
        <f t="shared" si="160"/>
        <v>0.89334463567658451</v>
      </c>
      <c r="AC236" s="4">
        <f t="shared" si="160"/>
        <v>0.85254543874327005</v>
      </c>
      <c r="AD236" s="4">
        <f t="shared" si="160"/>
        <v>0.79921300652623883</v>
      </c>
      <c r="AE236" s="4">
        <f t="shared" si="160"/>
        <v>0.73204982249993378</v>
      </c>
      <c r="AF236" s="4">
        <f t="shared" si="160"/>
        <v>0.65145592958786691</v>
      </c>
      <c r="AG236" s="4">
        <f t="shared" si="157"/>
        <v>0.56032247880849573</v>
      </c>
      <c r="AH236" s="4">
        <f t="shared" si="157"/>
        <v>0.46411326873185343</v>
      </c>
      <c r="AI236" s="4">
        <f t="shared" si="157"/>
        <v>0.36979727595523937</v>
      </c>
      <c r="AJ236" s="4">
        <f t="shared" si="158"/>
        <v>0.28393948637231203</v>
      </c>
      <c r="AK236" s="4">
        <f t="shared" si="158"/>
        <v>0.21097259161117732</v>
      </c>
      <c r="AL236" s="4">
        <f t="shared" si="158"/>
        <v>0.15253917653798199</v>
      </c>
      <c r="AM236" s="4">
        <f t="shared" si="158"/>
        <v>0.10795188737709993</v>
      </c>
      <c r="AN236" s="4">
        <f t="shared" si="158"/>
        <v>7.5176653938091809E-2</v>
      </c>
      <c r="AO236" s="4">
        <f t="shared" si="158"/>
        <v>5.1742836177502194E-2</v>
      </c>
      <c r="AP236" s="4">
        <f t="shared" si="158"/>
        <v>3.5319190625345942E-2</v>
      </c>
      <c r="AQ236" s="4">
        <f t="shared" si="158"/>
        <v>2.3969442072658165E-2</v>
      </c>
      <c r="AR236" s="4">
        <f t="shared" si="158"/>
        <v>1.6202243558389728E-2</v>
      </c>
    </row>
    <row r="237" spans="1:44" x14ac:dyDescent="0.25">
      <c r="A237" s="24" t="s">
        <v>70</v>
      </c>
      <c r="B237" s="60">
        <f>'Parameter Input'!B186</f>
        <v>25</v>
      </c>
      <c r="C237" s="61">
        <f>'Parameter Input'!C186</f>
        <v>25</v>
      </c>
      <c r="D237" s="1" t="s">
        <v>42</v>
      </c>
      <c r="L237" s="54">
        <f>'Parameter Input'!E186</f>
        <v>17</v>
      </c>
      <c r="M237" s="37">
        <v>0</v>
      </c>
      <c r="N237" s="37">
        <v>1</v>
      </c>
      <c r="O237" s="37">
        <f>'Parameter Input'!F186</f>
        <v>0.9</v>
      </c>
      <c r="P237" s="55">
        <f>'Parameter Input'!G186</f>
        <v>0.4</v>
      </c>
      <c r="Q237" s="4">
        <f t="shared" si="160"/>
        <v>0.99780374543478534</v>
      </c>
      <c r="R237" s="4">
        <f t="shared" si="160"/>
        <v>0.99685359315256394</v>
      </c>
      <c r="S237" s="4">
        <f t="shared" si="160"/>
        <v>0.99549347132349975</v>
      </c>
      <c r="T237" s="4">
        <f t="shared" si="160"/>
        <v>0.99354772139898062</v>
      </c>
      <c r="U237" s="4">
        <f t="shared" si="160"/>
        <v>0.99076681540580536</v>
      </c>
      <c r="V237" s="4">
        <f t="shared" si="160"/>
        <v>0.9867978615748374</v>
      </c>
      <c r="W237" s="4">
        <f t="shared" si="160"/>
        <v>0.98114509762858249</v>
      </c>
      <c r="X237" s="4">
        <f t="shared" si="160"/>
        <v>0.97311898315872036</v>
      </c>
      <c r="Y237" s="4">
        <f t="shared" si="160"/>
        <v>0.96177484161592774</v>
      </c>
      <c r="Z237" s="4">
        <f t="shared" si="160"/>
        <v>0.94584787155511363</v>
      </c>
      <c r="AA237" s="4">
        <f t="shared" si="160"/>
        <v>0.92370360150141495</v>
      </c>
      <c r="AB237" s="4">
        <f t="shared" si="160"/>
        <v>0.89334463567658451</v>
      </c>
      <c r="AC237" s="4">
        <f t="shared" si="160"/>
        <v>0.85254543874327005</v>
      </c>
      <c r="AD237" s="4">
        <f t="shared" si="160"/>
        <v>0.79921300652623883</v>
      </c>
      <c r="AE237" s="4">
        <f t="shared" si="160"/>
        <v>0.73204982249993378</v>
      </c>
      <c r="AF237" s="4">
        <f t="shared" si="160"/>
        <v>0.65145592958786691</v>
      </c>
      <c r="AG237" s="4">
        <f t="shared" si="157"/>
        <v>0.56032247880849573</v>
      </c>
      <c r="AH237" s="4">
        <f t="shared" si="157"/>
        <v>0.46411326873185343</v>
      </c>
      <c r="AI237" s="4">
        <f t="shared" si="157"/>
        <v>0.36979727595523937</v>
      </c>
      <c r="AJ237" s="4">
        <f t="shared" si="158"/>
        <v>0.28393948637231203</v>
      </c>
      <c r="AK237" s="4">
        <f t="shared" si="158"/>
        <v>0.21097259161117732</v>
      </c>
      <c r="AL237" s="4">
        <f t="shared" si="158"/>
        <v>0.15253917653798199</v>
      </c>
      <c r="AM237" s="4">
        <f t="shared" si="158"/>
        <v>0.10795188737709993</v>
      </c>
      <c r="AN237" s="4">
        <f t="shared" si="158"/>
        <v>7.5176653938091809E-2</v>
      </c>
      <c r="AO237" s="4">
        <f t="shared" si="158"/>
        <v>5.1742836177502194E-2</v>
      </c>
      <c r="AP237" s="4">
        <f t="shared" si="158"/>
        <v>3.5319190625345942E-2</v>
      </c>
      <c r="AQ237" s="4">
        <f t="shared" si="158"/>
        <v>2.3969442072658165E-2</v>
      </c>
      <c r="AR237" s="4">
        <f t="shared" si="158"/>
        <v>1.6202243558389728E-2</v>
      </c>
    </row>
    <row r="238" spans="1:44" x14ac:dyDescent="0.25">
      <c r="A238" s="24" t="s">
        <v>207</v>
      </c>
      <c r="B238" s="43">
        <f>'Parameter Input'!B183</f>
        <v>9450</v>
      </c>
      <c r="C238" s="44">
        <f>'Parameter Input'!C183</f>
        <v>9450</v>
      </c>
      <c r="D238" s="1" t="s">
        <v>49</v>
      </c>
      <c r="L238" s="54">
        <f>'Parameter Input'!E183</f>
        <v>17</v>
      </c>
      <c r="M238" s="37">
        <v>0</v>
      </c>
      <c r="N238" s="37">
        <v>1</v>
      </c>
      <c r="O238" s="37">
        <f>'Parameter Input'!F183</f>
        <v>0.9</v>
      </c>
      <c r="P238" s="55">
        <f>'Parameter Input'!G183</f>
        <v>0.4</v>
      </c>
      <c r="Q238" s="4">
        <f t="shared" si="160"/>
        <v>0.99780374543478534</v>
      </c>
      <c r="R238" s="4">
        <f t="shared" si="160"/>
        <v>0.99685359315256394</v>
      </c>
      <c r="S238" s="4">
        <f t="shared" si="160"/>
        <v>0.99549347132349975</v>
      </c>
      <c r="T238" s="4">
        <f t="shared" si="160"/>
        <v>0.99354772139898062</v>
      </c>
      <c r="U238" s="4">
        <f t="shared" si="160"/>
        <v>0.99076681540580536</v>
      </c>
      <c r="V238" s="4">
        <f t="shared" si="160"/>
        <v>0.9867978615748374</v>
      </c>
      <c r="W238" s="4">
        <f t="shared" si="160"/>
        <v>0.98114509762858249</v>
      </c>
      <c r="X238" s="4">
        <f t="shared" si="160"/>
        <v>0.97311898315872036</v>
      </c>
      <c r="Y238" s="4">
        <f t="shared" si="160"/>
        <v>0.96177484161592774</v>
      </c>
      <c r="Z238" s="4">
        <f t="shared" si="160"/>
        <v>0.94584787155511363</v>
      </c>
      <c r="AA238" s="4">
        <f t="shared" si="160"/>
        <v>0.92370360150141495</v>
      </c>
      <c r="AB238" s="4">
        <f t="shared" si="160"/>
        <v>0.89334463567658451</v>
      </c>
      <c r="AC238" s="4">
        <f t="shared" si="160"/>
        <v>0.85254543874327005</v>
      </c>
      <c r="AD238" s="4">
        <f t="shared" si="160"/>
        <v>0.79921300652623883</v>
      </c>
      <c r="AE238" s="4">
        <f t="shared" si="160"/>
        <v>0.73204982249993378</v>
      </c>
      <c r="AF238" s="4">
        <f t="shared" si="160"/>
        <v>0.65145592958786691</v>
      </c>
      <c r="AG238" s="4">
        <f t="shared" si="157"/>
        <v>0.56032247880849573</v>
      </c>
      <c r="AH238" s="4">
        <f t="shared" si="157"/>
        <v>0.46411326873185343</v>
      </c>
      <c r="AI238" s="4">
        <f t="shared" si="157"/>
        <v>0.36979727595523937</v>
      </c>
      <c r="AJ238" s="4">
        <f t="shared" si="158"/>
        <v>0.28393948637231203</v>
      </c>
      <c r="AK238" s="4">
        <f t="shared" si="158"/>
        <v>0.21097259161117732</v>
      </c>
      <c r="AL238" s="4">
        <f t="shared" si="158"/>
        <v>0.15253917653798199</v>
      </c>
      <c r="AM238" s="4">
        <f t="shared" si="158"/>
        <v>0.10795188737709993</v>
      </c>
      <c r="AN238" s="4">
        <f t="shared" si="158"/>
        <v>7.5176653938091809E-2</v>
      </c>
      <c r="AO238" s="4">
        <f t="shared" si="158"/>
        <v>5.1742836177502194E-2</v>
      </c>
      <c r="AP238" s="4">
        <f t="shared" si="158"/>
        <v>3.5319190625345942E-2</v>
      </c>
      <c r="AQ238" s="4">
        <f t="shared" si="158"/>
        <v>2.3969442072658165E-2</v>
      </c>
      <c r="AR238" s="4">
        <f t="shared" si="158"/>
        <v>1.6202243558389728E-2</v>
      </c>
    </row>
    <row r="239" spans="1:44" x14ac:dyDescent="0.25">
      <c r="A239" s="24" t="s">
        <v>56</v>
      </c>
      <c r="B239" s="45">
        <f>'Parameter Input'!B184</f>
        <v>0.52</v>
      </c>
      <c r="C239" s="46">
        <f>'Parameter Input'!C184</f>
        <v>0.52</v>
      </c>
      <c r="D239" s="1" t="s">
        <v>57</v>
      </c>
      <c r="L239" s="54">
        <f>'Parameter Input'!E184</f>
        <v>17</v>
      </c>
      <c r="M239" s="37">
        <v>0</v>
      </c>
      <c r="N239" s="37">
        <v>1</v>
      </c>
      <c r="O239" s="37">
        <f>'Parameter Input'!F184</f>
        <v>0.9</v>
      </c>
      <c r="P239" s="55">
        <f>'Parameter Input'!G184</f>
        <v>0.4</v>
      </c>
      <c r="Q239" s="4">
        <f t="shared" si="160"/>
        <v>0.99780374543478534</v>
      </c>
      <c r="R239" s="4">
        <f t="shared" si="160"/>
        <v>0.99685359315256394</v>
      </c>
      <c r="S239" s="4">
        <f t="shared" si="160"/>
        <v>0.99549347132349975</v>
      </c>
      <c r="T239" s="4">
        <f t="shared" si="160"/>
        <v>0.99354772139898062</v>
      </c>
      <c r="U239" s="4">
        <f t="shared" si="160"/>
        <v>0.99076681540580536</v>
      </c>
      <c r="V239" s="4">
        <f t="shared" si="160"/>
        <v>0.9867978615748374</v>
      </c>
      <c r="W239" s="4">
        <f t="shared" si="160"/>
        <v>0.98114509762858249</v>
      </c>
      <c r="X239" s="4">
        <f t="shared" si="160"/>
        <v>0.97311898315872036</v>
      </c>
      <c r="Y239" s="4">
        <f t="shared" si="160"/>
        <v>0.96177484161592774</v>
      </c>
      <c r="Z239" s="4">
        <f t="shared" si="160"/>
        <v>0.94584787155511363</v>
      </c>
      <c r="AA239" s="4">
        <f t="shared" si="160"/>
        <v>0.92370360150141495</v>
      </c>
      <c r="AB239" s="4">
        <f t="shared" si="160"/>
        <v>0.89334463567658451</v>
      </c>
      <c r="AC239" s="4">
        <f t="shared" si="160"/>
        <v>0.85254543874327005</v>
      </c>
      <c r="AD239" s="4">
        <f t="shared" si="160"/>
        <v>0.79921300652623883</v>
      </c>
      <c r="AE239" s="4">
        <f t="shared" si="160"/>
        <v>0.73204982249993378</v>
      </c>
      <c r="AF239" s="4">
        <f t="shared" si="160"/>
        <v>0.65145592958786691</v>
      </c>
      <c r="AG239" s="4">
        <f t="shared" si="157"/>
        <v>0.56032247880849573</v>
      </c>
      <c r="AH239" s="4">
        <f t="shared" si="157"/>
        <v>0.46411326873185343</v>
      </c>
      <c r="AI239" s="4">
        <f t="shared" si="157"/>
        <v>0.36979727595523937</v>
      </c>
      <c r="AJ239" s="4">
        <f t="shared" si="158"/>
        <v>0.28393948637231203</v>
      </c>
      <c r="AK239" s="4">
        <f t="shared" si="158"/>
        <v>0.21097259161117732</v>
      </c>
      <c r="AL239" s="4">
        <f t="shared" si="158"/>
        <v>0.15253917653798199</v>
      </c>
      <c r="AM239" s="4">
        <f t="shared" si="158"/>
        <v>0.10795188737709993</v>
      </c>
      <c r="AN239" s="4">
        <f t="shared" si="158"/>
        <v>7.5176653938091809E-2</v>
      </c>
      <c r="AO239" s="4">
        <f t="shared" si="158"/>
        <v>5.1742836177502194E-2</v>
      </c>
      <c r="AP239" s="4">
        <f t="shared" si="158"/>
        <v>3.5319190625345942E-2</v>
      </c>
      <c r="AQ239" s="4">
        <f t="shared" si="158"/>
        <v>2.3969442072658165E-2</v>
      </c>
      <c r="AR239" s="4">
        <f t="shared" si="158"/>
        <v>1.6202243558389728E-2</v>
      </c>
    </row>
    <row r="240" spans="1:44" x14ac:dyDescent="0.25">
      <c r="A240" s="24" t="s">
        <v>73</v>
      </c>
      <c r="B240" s="45">
        <f>'Parameter Input'!$L$199</f>
        <v>0.08</v>
      </c>
      <c r="C240" s="46">
        <f>'Parameter Input'!$M$199</f>
        <v>7.0000000000000007E-2</v>
      </c>
      <c r="D240" s="1" t="s">
        <v>57</v>
      </c>
      <c r="L240" s="54">
        <f>'Parameter Input'!$O$199</f>
        <v>17</v>
      </c>
      <c r="M240" s="37">
        <v>0</v>
      </c>
      <c r="N240" s="37">
        <v>1</v>
      </c>
      <c r="O240" s="37">
        <f>'Parameter Input'!$P$199</f>
        <v>0.9</v>
      </c>
      <c r="P240" s="55">
        <f>'Parameter Input'!$Q$199</f>
        <v>0.4</v>
      </c>
      <c r="Q240" s="4">
        <f t="shared" si="160"/>
        <v>0.99780374543478534</v>
      </c>
      <c r="R240" s="4">
        <f t="shared" si="160"/>
        <v>0.99685359315256394</v>
      </c>
      <c r="S240" s="4">
        <f t="shared" si="160"/>
        <v>0.99549347132349975</v>
      </c>
      <c r="T240" s="4">
        <f t="shared" si="160"/>
        <v>0.99354772139898062</v>
      </c>
      <c r="U240" s="4">
        <f t="shared" si="160"/>
        <v>0.99076681540580536</v>
      </c>
      <c r="V240" s="4">
        <f t="shared" si="160"/>
        <v>0.9867978615748374</v>
      </c>
      <c r="W240" s="4">
        <f t="shared" si="160"/>
        <v>0.98114509762858249</v>
      </c>
      <c r="X240" s="4">
        <f t="shared" si="160"/>
        <v>0.97311898315872036</v>
      </c>
      <c r="Y240" s="4">
        <f t="shared" si="160"/>
        <v>0.96177484161592774</v>
      </c>
      <c r="Z240" s="4">
        <f t="shared" si="160"/>
        <v>0.94584787155511363</v>
      </c>
      <c r="AA240" s="4">
        <f t="shared" si="160"/>
        <v>0.92370360150141495</v>
      </c>
      <c r="AB240" s="4">
        <f t="shared" si="160"/>
        <v>0.89334463567658451</v>
      </c>
      <c r="AC240" s="4">
        <f t="shared" si="160"/>
        <v>0.85254543874327005</v>
      </c>
      <c r="AD240" s="4">
        <f t="shared" si="160"/>
        <v>0.79921300652623883</v>
      </c>
      <c r="AE240" s="4">
        <f t="shared" si="160"/>
        <v>0.73204982249993378</v>
      </c>
      <c r="AF240" s="4">
        <f t="shared" si="160"/>
        <v>0.65145592958786691</v>
      </c>
      <c r="AG240" s="4">
        <f t="shared" si="157"/>
        <v>0.56032247880849573</v>
      </c>
      <c r="AH240" s="4">
        <f t="shared" si="157"/>
        <v>0.46411326873185343</v>
      </c>
      <c r="AI240" s="4">
        <f t="shared" si="157"/>
        <v>0.36979727595523937</v>
      </c>
      <c r="AJ240" s="4">
        <f t="shared" si="158"/>
        <v>0.28393948637231203</v>
      </c>
      <c r="AK240" s="4">
        <f t="shared" si="158"/>
        <v>0.21097259161117732</v>
      </c>
      <c r="AL240" s="4">
        <f t="shared" si="158"/>
        <v>0.15253917653798199</v>
      </c>
      <c r="AM240" s="4">
        <f t="shared" si="158"/>
        <v>0.10795188737709993</v>
      </c>
      <c r="AN240" s="4">
        <f t="shared" si="158"/>
        <v>7.5176653938091809E-2</v>
      </c>
      <c r="AO240" s="4">
        <f t="shared" si="158"/>
        <v>5.1742836177502194E-2</v>
      </c>
      <c r="AP240" s="4">
        <f t="shared" si="158"/>
        <v>3.5319190625345942E-2</v>
      </c>
      <c r="AQ240" s="4">
        <f t="shared" si="158"/>
        <v>2.3969442072658165E-2</v>
      </c>
      <c r="AR240" s="4">
        <f t="shared" si="158"/>
        <v>1.6202243558389728E-2</v>
      </c>
    </row>
    <row r="241" spans="1:44" ht="15.75" thickBot="1" x14ac:dyDescent="0.3">
      <c r="A241" s="24" t="s">
        <v>64</v>
      </c>
      <c r="B241" s="49">
        <f>'Parameter Input'!B185</f>
        <v>120000</v>
      </c>
      <c r="C241" s="50">
        <f>'Parameter Input'!C185</f>
        <v>120000</v>
      </c>
      <c r="D241" s="1" t="s">
        <v>65</v>
      </c>
      <c r="L241" s="56">
        <f>'Parameter Input'!E185</f>
        <v>17</v>
      </c>
      <c r="M241" s="57">
        <v>0</v>
      </c>
      <c r="N241" s="57">
        <v>1</v>
      </c>
      <c r="O241" s="57">
        <f>'Parameter Input'!F185</f>
        <v>0.9</v>
      </c>
      <c r="P241" s="58">
        <f>'Parameter Input'!G185</f>
        <v>0.4</v>
      </c>
      <c r="Q241" s="4">
        <f t="shared" si="160"/>
        <v>0.99780374543478534</v>
      </c>
      <c r="R241" s="4">
        <f t="shared" si="160"/>
        <v>0.99685359315256394</v>
      </c>
      <c r="S241" s="4">
        <f t="shared" si="160"/>
        <v>0.99549347132349975</v>
      </c>
      <c r="T241" s="4">
        <f t="shared" si="160"/>
        <v>0.99354772139898062</v>
      </c>
      <c r="U241" s="4">
        <f t="shared" si="160"/>
        <v>0.99076681540580536</v>
      </c>
      <c r="V241" s="4">
        <f t="shared" si="160"/>
        <v>0.9867978615748374</v>
      </c>
      <c r="W241" s="4">
        <f t="shared" si="160"/>
        <v>0.98114509762858249</v>
      </c>
      <c r="X241" s="4">
        <f t="shared" si="160"/>
        <v>0.97311898315872036</v>
      </c>
      <c r="Y241" s="4">
        <f t="shared" si="160"/>
        <v>0.96177484161592774</v>
      </c>
      <c r="Z241" s="4">
        <f t="shared" si="160"/>
        <v>0.94584787155511363</v>
      </c>
      <c r="AA241" s="4">
        <f t="shared" si="160"/>
        <v>0.92370360150141495</v>
      </c>
      <c r="AB241" s="4">
        <f t="shared" si="160"/>
        <v>0.89334463567658451</v>
      </c>
      <c r="AC241" s="4">
        <f t="shared" si="160"/>
        <v>0.85254543874327005</v>
      </c>
      <c r="AD241" s="4">
        <f t="shared" si="160"/>
        <v>0.79921300652623883</v>
      </c>
      <c r="AE241" s="4">
        <f t="shared" si="160"/>
        <v>0.73204982249993378</v>
      </c>
      <c r="AF241" s="4">
        <f t="shared" si="160"/>
        <v>0.65145592958786691</v>
      </c>
      <c r="AG241" s="4">
        <f t="shared" si="157"/>
        <v>0.56032247880849573</v>
      </c>
      <c r="AH241" s="4">
        <f t="shared" si="157"/>
        <v>0.46411326873185343</v>
      </c>
      <c r="AI241" s="4">
        <f t="shared" si="157"/>
        <v>0.36979727595523937</v>
      </c>
      <c r="AJ241" s="4">
        <f t="shared" si="158"/>
        <v>0.28393948637231203</v>
      </c>
      <c r="AK241" s="4">
        <f t="shared" si="158"/>
        <v>0.21097259161117732</v>
      </c>
      <c r="AL241" s="4">
        <f t="shared" si="158"/>
        <v>0.15253917653798199</v>
      </c>
      <c r="AM241" s="4">
        <f t="shared" si="158"/>
        <v>0.10795188737709993</v>
      </c>
      <c r="AN241" s="4">
        <f t="shared" si="158"/>
        <v>7.5176653938091809E-2</v>
      </c>
      <c r="AO241" s="4">
        <f t="shared" si="158"/>
        <v>5.1742836177502194E-2</v>
      </c>
      <c r="AP241" s="4">
        <f t="shared" si="158"/>
        <v>3.5319190625345942E-2</v>
      </c>
      <c r="AQ241" s="4">
        <f t="shared" si="158"/>
        <v>2.3969442072658165E-2</v>
      </c>
      <c r="AR241" s="4">
        <f t="shared" si="158"/>
        <v>1.6202243558389728E-2</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61">A225</f>
        <v>Capex vehicle</v>
      </c>
      <c r="B245" s="62">
        <f t="shared" ref="B245:B254" si="162">$B225+($C225-$B225)*(1-Q225)</f>
        <v>29973644.945217423</v>
      </c>
      <c r="C245" s="62">
        <f t="shared" ref="C245:C254" si="163">$B225+($C225-$B225)*(1-R225)</f>
        <v>29962243.117830768</v>
      </c>
      <c r="D245" s="62">
        <f t="shared" ref="D245:D254" si="164">$B225+($C225-$B225)*(1-S225)</f>
        <v>29945921.655881997</v>
      </c>
      <c r="E245" s="62">
        <f t="shared" ref="E245:E254" si="165">$B225+($C225-$B225)*(1-T225)</f>
        <v>29922572.656787768</v>
      </c>
      <c r="F245" s="62">
        <f t="shared" ref="F245:F254" si="166">$B225+($C225-$B225)*(1-U225)</f>
        <v>29889201.784869663</v>
      </c>
      <c r="G245" s="62">
        <f t="shared" ref="G245:G254" si="167">$B225+($C225-$B225)*(1-V225)</f>
        <v>29841574.338898048</v>
      </c>
      <c r="H245" s="62">
        <f t="shared" ref="H245:H254" si="168">$B225+($C225-$B225)*(1-W225)</f>
        <v>29773741.171542991</v>
      </c>
      <c r="I245" s="62">
        <f t="shared" ref="I245:I254" si="169">$B225+($C225-$B225)*(1-X225)</f>
        <v>29677427.797904644</v>
      </c>
      <c r="J245" s="62">
        <f t="shared" ref="J245:J254" si="170">$B225+($C225-$B225)*(1-Y225)</f>
        <v>29541298.099391133</v>
      </c>
      <c r="K245" s="62">
        <f t="shared" ref="K245:K254" si="171">$B225+($C225-$B225)*(1-Z225)</f>
        <v>29350174.458661363</v>
      </c>
      <c r="L245" s="62">
        <f t="shared" ref="L245:L254" si="172">$B225+($C225-$B225)*(1-AA225)</f>
        <v>29084443.218016978</v>
      </c>
      <c r="M245" s="62">
        <f t="shared" ref="M245:M254" si="173">$B225+($C225-$B225)*(1-AB225)</f>
        <v>28720135.628119014</v>
      </c>
      <c r="N245" s="62">
        <f t="shared" ref="N245:N254" si="174">$B225+($C225-$B225)*(1-AC225)</f>
        <v>28230545.26491924</v>
      </c>
      <c r="O245" s="62">
        <f t="shared" ref="O245:O254" si="175">$B225+($C225-$B225)*(1-AD225)</f>
        <v>27590556.078314867</v>
      </c>
      <c r="P245" s="62">
        <f t="shared" ref="P245:P254" si="176">$B225+($C225-$B225)*(1-AE225)</f>
        <v>26784597.869999204</v>
      </c>
      <c r="Q245" s="62">
        <f t="shared" ref="Q245:Q254" si="177">$B225+($C225-$B225)*(1-AF225)</f>
        <v>25817471.155054402</v>
      </c>
      <c r="R245" s="62">
        <f t="shared" ref="R245:R254" si="178">$B225+($C225-$B225)*(1-AG225)</f>
        <v>24723869.74570195</v>
      </c>
      <c r="S245" s="62">
        <f t="shared" ref="S245:S254" si="179">$B225+($C225-$B225)*(1-AH225)</f>
        <v>23569359.224782243</v>
      </c>
      <c r="T245" s="62">
        <f t="shared" ref="T245:T254" si="180">$B225+($C225-$B225)*(1-AI225)</f>
        <v>22437567.311462872</v>
      </c>
      <c r="U245" s="62">
        <f t="shared" ref="U245:U254" si="181">$B225+($C225-$B225)*(1-AJ225)</f>
        <v>21407273.836467743</v>
      </c>
      <c r="V245" s="62">
        <f t="shared" ref="V245:V254" si="182">$B225+($C225-$B225)*(1-AK225)</f>
        <v>20531671.099334128</v>
      </c>
      <c r="W245" s="62">
        <f t="shared" ref="W245:W254" si="183">$B225+($C225-$B225)*(1-AL225)</f>
        <v>19830470.118455783</v>
      </c>
      <c r="X245" s="62">
        <f t="shared" ref="X245:X254" si="184">$B225+($C225-$B225)*(1-AM225)</f>
        <v>19295422.648525201</v>
      </c>
      <c r="Y245" s="62">
        <f t="shared" ref="Y245:Y254" si="185">$B225+($C225-$B225)*(1-AN225)</f>
        <v>18902119.8472571</v>
      </c>
      <c r="Z245" s="62">
        <f t="shared" ref="Z245:Z254" si="186">$B225+($C225-$B225)*(1-AO225)</f>
        <v>18620914.034130026</v>
      </c>
      <c r="AA245" s="62">
        <f t="shared" ref="AA245:AA254" si="187">$B225+($C225-$B225)*(1-AP225)</f>
        <v>18423830.287504151</v>
      </c>
      <c r="AB245" s="62">
        <f t="shared" ref="AB245:AB254" si="188">$B225+($C225-$B225)*(1-AQ225)</f>
        <v>18287633.304871898</v>
      </c>
      <c r="AC245" s="62">
        <f t="shared" ref="AC245:AC254" si="189">$B225+($C225-$B225)*(1-AR225)</f>
        <v>18194426.922700677</v>
      </c>
    </row>
    <row r="246" spans="1:44" x14ac:dyDescent="0.25">
      <c r="A246" s="30" t="str">
        <f t="shared" si="161"/>
        <v>Residual value (vehicle)</v>
      </c>
      <c r="B246" s="62">
        <f t="shared" si="162"/>
        <v>-1500658.8763695643</v>
      </c>
      <c r="C246" s="62">
        <f t="shared" si="163"/>
        <v>-1500943.9220542307</v>
      </c>
      <c r="D246" s="62">
        <f t="shared" si="164"/>
        <v>-1501351.95860295</v>
      </c>
      <c r="E246" s="62">
        <f t="shared" si="165"/>
        <v>-1501935.6835803059</v>
      </c>
      <c r="F246" s="62">
        <f t="shared" si="166"/>
        <v>-1502769.9553782584</v>
      </c>
      <c r="G246" s="62">
        <f t="shared" si="167"/>
        <v>-1503960.6415275487</v>
      </c>
      <c r="H246" s="62">
        <f t="shared" si="168"/>
        <v>-1505656.4707114252</v>
      </c>
      <c r="I246" s="62">
        <f t="shared" si="169"/>
        <v>-1508064.3050523838</v>
      </c>
      <c r="J246" s="62">
        <f t="shared" si="170"/>
        <v>-1511467.5475152216</v>
      </c>
      <c r="K246" s="62">
        <f t="shared" si="171"/>
        <v>-1516245.6385334658</v>
      </c>
      <c r="L246" s="62">
        <f t="shared" si="172"/>
        <v>-1522888.9195495755</v>
      </c>
      <c r="M246" s="62">
        <f t="shared" si="173"/>
        <v>-1531996.6092970246</v>
      </c>
      <c r="N246" s="62">
        <f t="shared" si="174"/>
        <v>-1544236.368377019</v>
      </c>
      <c r="O246" s="62">
        <f t="shared" si="175"/>
        <v>-1560236.0980421284</v>
      </c>
      <c r="P246" s="62">
        <f t="shared" si="176"/>
        <v>-1580385.0532500199</v>
      </c>
      <c r="Q246" s="62">
        <f t="shared" si="177"/>
        <v>-1604563.22112364</v>
      </c>
      <c r="R246" s="62">
        <f t="shared" si="178"/>
        <v>-1631903.2563574512</v>
      </c>
      <c r="S246" s="62">
        <f t="shared" si="179"/>
        <v>-1660766.019380444</v>
      </c>
      <c r="T246" s="62">
        <f t="shared" si="180"/>
        <v>-1689060.8172134282</v>
      </c>
      <c r="U246" s="62">
        <f t="shared" si="181"/>
        <v>-1714818.1540883065</v>
      </c>
      <c r="V246" s="62">
        <f t="shared" si="182"/>
        <v>-1736708.2225166468</v>
      </c>
      <c r="W246" s="62">
        <f t="shared" si="183"/>
        <v>-1754238.2470386054</v>
      </c>
      <c r="X246" s="62">
        <f t="shared" si="184"/>
        <v>-1767614.43378687</v>
      </c>
      <c r="Y246" s="62">
        <f t="shared" si="185"/>
        <v>-1777447.0038185725</v>
      </c>
      <c r="Z246" s="62">
        <f t="shared" si="186"/>
        <v>-1784477.1491467494</v>
      </c>
      <c r="AA246" s="62">
        <f t="shared" si="187"/>
        <v>-1789404.2428123963</v>
      </c>
      <c r="AB246" s="62">
        <f t="shared" si="188"/>
        <v>-1792809.1673782025</v>
      </c>
      <c r="AC246" s="62">
        <f t="shared" si="189"/>
        <v>-1795139.3269324831</v>
      </c>
    </row>
    <row r="247" spans="1:44" x14ac:dyDescent="0.25">
      <c r="A247" s="30" t="str">
        <f t="shared" si="161"/>
        <v>Capex costumization</v>
      </c>
      <c r="B247" s="62">
        <f t="shared" si="162"/>
        <v>1000000</v>
      </c>
      <c r="C247" s="62">
        <f t="shared" si="163"/>
        <v>1000000</v>
      </c>
      <c r="D247" s="62">
        <f t="shared" si="164"/>
        <v>1000000</v>
      </c>
      <c r="E247" s="62">
        <f t="shared" si="165"/>
        <v>1000000</v>
      </c>
      <c r="F247" s="62">
        <f t="shared" si="166"/>
        <v>1000000</v>
      </c>
      <c r="G247" s="62">
        <f t="shared" si="167"/>
        <v>1000000</v>
      </c>
      <c r="H247" s="62">
        <f t="shared" si="168"/>
        <v>1000000</v>
      </c>
      <c r="I247" s="62">
        <f t="shared" si="169"/>
        <v>1000000</v>
      </c>
      <c r="J247" s="62">
        <f t="shared" si="170"/>
        <v>1000000</v>
      </c>
      <c r="K247" s="62">
        <f t="shared" si="171"/>
        <v>1000000</v>
      </c>
      <c r="L247" s="62">
        <f t="shared" si="172"/>
        <v>1000000</v>
      </c>
      <c r="M247" s="62">
        <f t="shared" si="173"/>
        <v>1000000</v>
      </c>
      <c r="N247" s="62">
        <f t="shared" si="174"/>
        <v>1000000</v>
      </c>
      <c r="O247" s="62">
        <f t="shared" si="175"/>
        <v>1000000</v>
      </c>
      <c r="P247" s="62">
        <f t="shared" si="176"/>
        <v>1000000</v>
      </c>
      <c r="Q247" s="62">
        <f t="shared" si="177"/>
        <v>1000000</v>
      </c>
      <c r="R247" s="62">
        <f t="shared" si="178"/>
        <v>1000000</v>
      </c>
      <c r="S247" s="62">
        <f t="shared" si="179"/>
        <v>1000000</v>
      </c>
      <c r="T247" s="62">
        <f t="shared" si="180"/>
        <v>1000000</v>
      </c>
      <c r="U247" s="62">
        <f t="shared" si="181"/>
        <v>1000000</v>
      </c>
      <c r="V247" s="62">
        <f t="shared" si="182"/>
        <v>1000000</v>
      </c>
      <c r="W247" s="62">
        <f t="shared" si="183"/>
        <v>1000000</v>
      </c>
      <c r="X247" s="62">
        <f t="shared" si="184"/>
        <v>1000000</v>
      </c>
      <c r="Y247" s="62">
        <f t="shared" si="185"/>
        <v>1000000</v>
      </c>
      <c r="Z247" s="62">
        <f t="shared" si="186"/>
        <v>1000000</v>
      </c>
      <c r="AA247" s="62">
        <f t="shared" si="187"/>
        <v>1000000</v>
      </c>
      <c r="AB247" s="62">
        <f t="shared" si="188"/>
        <v>1000000</v>
      </c>
      <c r="AC247" s="62">
        <f t="shared" si="189"/>
        <v>1000000</v>
      </c>
    </row>
    <row r="248" spans="1:44" x14ac:dyDescent="0.25">
      <c r="A248" s="30" t="str">
        <f t="shared" si="161"/>
        <v>Residual value (costumization)</v>
      </c>
      <c r="B248" s="62">
        <f t="shared" si="162"/>
        <v>-100000</v>
      </c>
      <c r="C248" s="62">
        <f t="shared" si="163"/>
        <v>-100000</v>
      </c>
      <c r="D248" s="62">
        <f t="shared" si="164"/>
        <v>-100000</v>
      </c>
      <c r="E248" s="62">
        <f t="shared" si="165"/>
        <v>-100000</v>
      </c>
      <c r="F248" s="62">
        <f t="shared" si="166"/>
        <v>-100000</v>
      </c>
      <c r="G248" s="62">
        <f t="shared" si="167"/>
        <v>-100000</v>
      </c>
      <c r="H248" s="62">
        <f t="shared" si="168"/>
        <v>-100000</v>
      </c>
      <c r="I248" s="62">
        <f t="shared" si="169"/>
        <v>-100000</v>
      </c>
      <c r="J248" s="62">
        <f t="shared" si="170"/>
        <v>-100000</v>
      </c>
      <c r="K248" s="62">
        <f t="shared" si="171"/>
        <v>-100000</v>
      </c>
      <c r="L248" s="62">
        <f t="shared" si="172"/>
        <v>-100000</v>
      </c>
      <c r="M248" s="62">
        <f t="shared" si="173"/>
        <v>-100000</v>
      </c>
      <c r="N248" s="62">
        <f t="shared" si="174"/>
        <v>-100000</v>
      </c>
      <c r="O248" s="62">
        <f t="shared" si="175"/>
        <v>-100000</v>
      </c>
      <c r="P248" s="62">
        <f t="shared" si="176"/>
        <v>-100000</v>
      </c>
      <c r="Q248" s="62">
        <f t="shared" si="177"/>
        <v>-100000</v>
      </c>
      <c r="R248" s="62">
        <f t="shared" si="178"/>
        <v>-100000</v>
      </c>
      <c r="S248" s="62">
        <f t="shared" si="179"/>
        <v>-100000</v>
      </c>
      <c r="T248" s="62">
        <f t="shared" si="180"/>
        <v>-100000</v>
      </c>
      <c r="U248" s="62">
        <f t="shared" si="181"/>
        <v>-100000</v>
      </c>
      <c r="V248" s="62">
        <f t="shared" si="182"/>
        <v>-100000</v>
      </c>
      <c r="W248" s="62">
        <f t="shared" si="183"/>
        <v>-100000</v>
      </c>
      <c r="X248" s="62">
        <f t="shared" si="184"/>
        <v>-100000</v>
      </c>
      <c r="Y248" s="62">
        <f t="shared" si="185"/>
        <v>-100000</v>
      </c>
      <c r="Z248" s="62">
        <f t="shared" si="186"/>
        <v>-100000</v>
      </c>
      <c r="AA248" s="62">
        <f t="shared" si="187"/>
        <v>-100000</v>
      </c>
      <c r="AB248" s="62">
        <f t="shared" si="188"/>
        <v>-100000</v>
      </c>
      <c r="AC248" s="62">
        <f t="shared" si="189"/>
        <v>-100000</v>
      </c>
    </row>
    <row r="249" spans="1:44" x14ac:dyDescent="0.25">
      <c r="A249" s="30" t="str">
        <f t="shared" si="161"/>
        <v>WACC</v>
      </c>
      <c r="B249" s="62">
        <f t="shared" si="162"/>
        <v>0.06</v>
      </c>
      <c r="C249" s="62">
        <f t="shared" si="163"/>
        <v>0.06</v>
      </c>
      <c r="D249" s="62">
        <f t="shared" si="164"/>
        <v>0.06</v>
      </c>
      <c r="E249" s="62">
        <f t="shared" si="165"/>
        <v>0.06</v>
      </c>
      <c r="F249" s="62">
        <f t="shared" si="166"/>
        <v>0.06</v>
      </c>
      <c r="G249" s="62">
        <f t="shared" si="167"/>
        <v>0.06</v>
      </c>
      <c r="H249" s="62">
        <f t="shared" si="168"/>
        <v>0.06</v>
      </c>
      <c r="I249" s="62">
        <f t="shared" si="169"/>
        <v>0.06</v>
      </c>
      <c r="J249" s="62">
        <f t="shared" si="170"/>
        <v>0.06</v>
      </c>
      <c r="K249" s="62">
        <f t="shared" si="171"/>
        <v>0.06</v>
      </c>
      <c r="L249" s="62">
        <f t="shared" si="172"/>
        <v>0.06</v>
      </c>
      <c r="M249" s="62">
        <f t="shared" si="173"/>
        <v>0.06</v>
      </c>
      <c r="N249" s="62">
        <f t="shared" si="174"/>
        <v>0.06</v>
      </c>
      <c r="O249" s="62">
        <f t="shared" si="175"/>
        <v>0.06</v>
      </c>
      <c r="P249" s="62">
        <f t="shared" si="176"/>
        <v>0.06</v>
      </c>
      <c r="Q249" s="62">
        <f t="shared" si="177"/>
        <v>0.06</v>
      </c>
      <c r="R249" s="62">
        <f t="shared" si="178"/>
        <v>0.06</v>
      </c>
      <c r="S249" s="62">
        <f t="shared" si="179"/>
        <v>0.06</v>
      </c>
      <c r="T249" s="62">
        <f t="shared" si="180"/>
        <v>0.06</v>
      </c>
      <c r="U249" s="62">
        <f t="shared" si="181"/>
        <v>0.06</v>
      </c>
      <c r="V249" s="62">
        <f t="shared" si="182"/>
        <v>0.06</v>
      </c>
      <c r="W249" s="62">
        <f t="shared" si="183"/>
        <v>0.06</v>
      </c>
      <c r="X249" s="62">
        <f t="shared" si="184"/>
        <v>0.06</v>
      </c>
      <c r="Y249" s="62">
        <f t="shared" si="185"/>
        <v>0.06</v>
      </c>
      <c r="Z249" s="62">
        <f t="shared" si="186"/>
        <v>0.06</v>
      </c>
      <c r="AA249" s="62">
        <f t="shared" si="187"/>
        <v>0.06</v>
      </c>
      <c r="AB249" s="62">
        <f t="shared" si="188"/>
        <v>0.06</v>
      </c>
      <c r="AC249" s="62">
        <f t="shared" si="189"/>
        <v>0.06</v>
      </c>
    </row>
    <row r="250" spans="1:44" x14ac:dyDescent="0.25">
      <c r="A250" s="30" t="str">
        <f t="shared" si="161"/>
        <v>Opex fix (admin, crew, insurance)</v>
      </c>
      <c r="B250" s="62">
        <f t="shared" si="162"/>
        <v>1208235.294117647</v>
      </c>
      <c r="C250" s="62">
        <f t="shared" si="163"/>
        <v>1208235.294117647</v>
      </c>
      <c r="D250" s="62">
        <f t="shared" si="164"/>
        <v>1208235.294117647</v>
      </c>
      <c r="E250" s="62">
        <f t="shared" si="165"/>
        <v>1208235.294117647</v>
      </c>
      <c r="F250" s="62">
        <f t="shared" si="166"/>
        <v>1208235.294117647</v>
      </c>
      <c r="G250" s="62">
        <f t="shared" si="167"/>
        <v>1208235.294117647</v>
      </c>
      <c r="H250" s="62">
        <f t="shared" si="168"/>
        <v>1208235.294117647</v>
      </c>
      <c r="I250" s="62">
        <f t="shared" si="169"/>
        <v>1208235.294117647</v>
      </c>
      <c r="J250" s="62">
        <f t="shared" si="170"/>
        <v>1208235.294117647</v>
      </c>
      <c r="K250" s="62">
        <f t="shared" si="171"/>
        <v>1208235.294117647</v>
      </c>
      <c r="L250" s="62">
        <f t="shared" si="172"/>
        <v>1208235.294117647</v>
      </c>
      <c r="M250" s="62">
        <f t="shared" si="173"/>
        <v>1208235.294117647</v>
      </c>
      <c r="N250" s="62">
        <f t="shared" si="174"/>
        <v>1208235.294117647</v>
      </c>
      <c r="O250" s="62">
        <f t="shared" si="175"/>
        <v>1208235.294117647</v>
      </c>
      <c r="P250" s="62">
        <f t="shared" si="176"/>
        <v>1208235.294117647</v>
      </c>
      <c r="Q250" s="62">
        <f t="shared" si="177"/>
        <v>1208235.294117647</v>
      </c>
      <c r="R250" s="62">
        <f t="shared" si="178"/>
        <v>1208235.294117647</v>
      </c>
      <c r="S250" s="62">
        <f t="shared" si="179"/>
        <v>1208235.294117647</v>
      </c>
      <c r="T250" s="62">
        <f t="shared" si="180"/>
        <v>1208235.294117647</v>
      </c>
      <c r="U250" s="62">
        <f t="shared" si="181"/>
        <v>1208235.294117647</v>
      </c>
      <c r="V250" s="62">
        <f t="shared" si="182"/>
        <v>1208235.294117647</v>
      </c>
      <c r="W250" s="62">
        <f t="shared" si="183"/>
        <v>1208235.294117647</v>
      </c>
      <c r="X250" s="62">
        <f t="shared" si="184"/>
        <v>1208235.294117647</v>
      </c>
      <c r="Y250" s="62">
        <f t="shared" si="185"/>
        <v>1208235.294117647</v>
      </c>
      <c r="Z250" s="62">
        <f t="shared" si="186"/>
        <v>1208235.294117647</v>
      </c>
      <c r="AA250" s="62">
        <f t="shared" si="187"/>
        <v>1208235.294117647</v>
      </c>
      <c r="AB250" s="62">
        <f t="shared" si="188"/>
        <v>1208235.294117647</v>
      </c>
      <c r="AC250" s="62">
        <f t="shared" si="189"/>
        <v>1208235.294117647</v>
      </c>
    </row>
    <row r="251" spans="1:44" x14ac:dyDescent="0.25">
      <c r="A251" s="30" t="str">
        <f t="shared" si="161"/>
        <v>Opex maintenance &amp; repair</v>
      </c>
      <c r="B251" s="62">
        <f t="shared" si="162"/>
        <v>338823.5294117647</v>
      </c>
      <c r="C251" s="62">
        <f t="shared" si="163"/>
        <v>338823.5294117647</v>
      </c>
      <c r="D251" s="62">
        <f t="shared" si="164"/>
        <v>338823.5294117647</v>
      </c>
      <c r="E251" s="62">
        <f t="shared" si="165"/>
        <v>338823.5294117647</v>
      </c>
      <c r="F251" s="62">
        <f t="shared" si="166"/>
        <v>338823.5294117647</v>
      </c>
      <c r="G251" s="62">
        <f t="shared" si="167"/>
        <v>338823.5294117647</v>
      </c>
      <c r="H251" s="62">
        <f t="shared" si="168"/>
        <v>338823.5294117647</v>
      </c>
      <c r="I251" s="62">
        <f t="shared" si="169"/>
        <v>338823.5294117647</v>
      </c>
      <c r="J251" s="62">
        <f t="shared" si="170"/>
        <v>338823.5294117647</v>
      </c>
      <c r="K251" s="62">
        <f t="shared" si="171"/>
        <v>338823.5294117647</v>
      </c>
      <c r="L251" s="62">
        <f t="shared" si="172"/>
        <v>338823.5294117647</v>
      </c>
      <c r="M251" s="62">
        <f t="shared" si="173"/>
        <v>338823.5294117647</v>
      </c>
      <c r="N251" s="62">
        <f t="shared" si="174"/>
        <v>338823.5294117647</v>
      </c>
      <c r="O251" s="62">
        <f t="shared" si="175"/>
        <v>338823.5294117647</v>
      </c>
      <c r="P251" s="62">
        <f t="shared" si="176"/>
        <v>338823.5294117647</v>
      </c>
      <c r="Q251" s="62">
        <f t="shared" si="177"/>
        <v>338823.5294117647</v>
      </c>
      <c r="R251" s="62">
        <f t="shared" si="178"/>
        <v>338823.5294117647</v>
      </c>
      <c r="S251" s="62">
        <f t="shared" si="179"/>
        <v>338823.5294117647</v>
      </c>
      <c r="T251" s="62">
        <f t="shared" si="180"/>
        <v>338823.5294117647</v>
      </c>
      <c r="U251" s="62">
        <f t="shared" si="181"/>
        <v>338823.5294117647</v>
      </c>
      <c r="V251" s="62">
        <f t="shared" si="182"/>
        <v>338823.5294117647</v>
      </c>
      <c r="W251" s="62">
        <f t="shared" si="183"/>
        <v>338823.5294117647</v>
      </c>
      <c r="X251" s="62">
        <f t="shared" si="184"/>
        <v>338823.5294117647</v>
      </c>
      <c r="Y251" s="62">
        <f t="shared" si="185"/>
        <v>338823.5294117647</v>
      </c>
      <c r="Z251" s="62">
        <f t="shared" si="186"/>
        <v>338823.5294117647</v>
      </c>
      <c r="AA251" s="62">
        <f t="shared" si="187"/>
        <v>338823.5294117647</v>
      </c>
      <c r="AB251" s="62">
        <f t="shared" si="188"/>
        <v>338823.5294117647</v>
      </c>
      <c r="AC251" s="62">
        <f t="shared" si="189"/>
        <v>338823.5294117647</v>
      </c>
    </row>
    <row r="252" spans="1:44" x14ac:dyDescent="0.25">
      <c r="A252" s="30" t="str">
        <f t="shared" si="161"/>
        <v>Opex var (mode-fees)</v>
      </c>
      <c r="B252" s="62">
        <f t="shared" si="162"/>
        <v>0.81280569096848254</v>
      </c>
      <c r="C252" s="62">
        <f t="shared" si="163"/>
        <v>0.81280569096848254</v>
      </c>
      <c r="D252" s="62">
        <f t="shared" si="164"/>
        <v>0.81280569096848254</v>
      </c>
      <c r="E252" s="62">
        <f t="shared" si="165"/>
        <v>0.81280569096848254</v>
      </c>
      <c r="F252" s="62">
        <f t="shared" si="166"/>
        <v>0.81280569096848254</v>
      </c>
      <c r="G252" s="62">
        <f t="shared" si="167"/>
        <v>0.81280569096848254</v>
      </c>
      <c r="H252" s="62">
        <f t="shared" si="168"/>
        <v>0.81280569096848254</v>
      </c>
      <c r="I252" s="62">
        <f t="shared" si="169"/>
        <v>0.81280569096848254</v>
      </c>
      <c r="J252" s="62">
        <f t="shared" si="170"/>
        <v>0.81280569096848254</v>
      </c>
      <c r="K252" s="62">
        <f t="shared" si="171"/>
        <v>0.81280569096848254</v>
      </c>
      <c r="L252" s="62">
        <f t="shared" si="172"/>
        <v>0.81280569096848254</v>
      </c>
      <c r="M252" s="62">
        <f t="shared" si="173"/>
        <v>0.81280569096848254</v>
      </c>
      <c r="N252" s="62">
        <f t="shared" si="174"/>
        <v>0.81280569096848254</v>
      </c>
      <c r="O252" s="62">
        <f t="shared" si="175"/>
        <v>0.81280569096848254</v>
      </c>
      <c r="P252" s="62">
        <f t="shared" si="176"/>
        <v>0.81280569096848254</v>
      </c>
      <c r="Q252" s="62">
        <f t="shared" si="177"/>
        <v>0.81280569096848254</v>
      </c>
      <c r="R252" s="62">
        <f t="shared" si="178"/>
        <v>0.81280569096848254</v>
      </c>
      <c r="S252" s="62">
        <f t="shared" si="179"/>
        <v>0.81280569096848254</v>
      </c>
      <c r="T252" s="62">
        <f t="shared" si="180"/>
        <v>0.81280569096848254</v>
      </c>
      <c r="U252" s="62">
        <f t="shared" si="181"/>
        <v>0.81280569096848254</v>
      </c>
      <c r="V252" s="62">
        <f t="shared" si="182"/>
        <v>0.81280569096848254</v>
      </c>
      <c r="W252" s="62">
        <f t="shared" si="183"/>
        <v>0.81280569096848254</v>
      </c>
      <c r="X252" s="62">
        <f t="shared" si="184"/>
        <v>0.81280569096848254</v>
      </c>
      <c r="Y252" s="62">
        <f t="shared" si="185"/>
        <v>0.81280569096848254</v>
      </c>
      <c r="Z252" s="62">
        <f t="shared" si="186"/>
        <v>0.81280569096848254</v>
      </c>
      <c r="AA252" s="62">
        <f t="shared" si="187"/>
        <v>0.81280569096848254</v>
      </c>
      <c r="AB252" s="62">
        <f t="shared" si="188"/>
        <v>0.81280569096848254</v>
      </c>
      <c r="AC252" s="62">
        <f t="shared" si="189"/>
        <v>0.81280569096848254</v>
      </c>
    </row>
    <row r="253" spans="1:44" x14ac:dyDescent="0.25">
      <c r="A253" s="30" t="str">
        <f t="shared" si="161"/>
        <v>Fuel Economy</v>
      </c>
      <c r="B253" s="62">
        <f t="shared" si="162"/>
        <v>588.84626218043502</v>
      </c>
      <c r="C253" s="62">
        <f t="shared" si="163"/>
        <v>588.7797515206795</v>
      </c>
      <c r="D253" s="62">
        <f t="shared" si="164"/>
        <v>588.68454299264499</v>
      </c>
      <c r="E253" s="62">
        <f t="shared" si="165"/>
        <v>588.54834049792862</v>
      </c>
      <c r="F253" s="62">
        <f t="shared" si="166"/>
        <v>588.35367707840635</v>
      </c>
      <c r="G253" s="62">
        <f t="shared" si="167"/>
        <v>588.07585031023859</v>
      </c>
      <c r="H253" s="62">
        <f t="shared" si="168"/>
        <v>587.68015683400074</v>
      </c>
      <c r="I253" s="62">
        <f t="shared" si="169"/>
        <v>587.11832882111048</v>
      </c>
      <c r="J253" s="62">
        <f t="shared" si="170"/>
        <v>586.32423891311498</v>
      </c>
      <c r="K253" s="62">
        <f t="shared" si="171"/>
        <v>585.20935100885799</v>
      </c>
      <c r="L253" s="62">
        <f t="shared" si="172"/>
        <v>583.65925210509909</v>
      </c>
      <c r="M253" s="62">
        <f t="shared" si="173"/>
        <v>581.53412449736095</v>
      </c>
      <c r="N253" s="62">
        <f t="shared" si="174"/>
        <v>578.67818071202885</v>
      </c>
      <c r="O253" s="62">
        <f t="shared" si="175"/>
        <v>574.94491045683674</v>
      </c>
      <c r="P253" s="62">
        <f t="shared" si="176"/>
        <v>570.24348757499536</v>
      </c>
      <c r="Q253" s="62">
        <f t="shared" si="177"/>
        <v>564.60191507115064</v>
      </c>
      <c r="R253" s="62">
        <f t="shared" si="178"/>
        <v>558.22257351659471</v>
      </c>
      <c r="S253" s="62">
        <f t="shared" si="179"/>
        <v>551.48792881122972</v>
      </c>
      <c r="T253" s="62">
        <f t="shared" si="180"/>
        <v>544.8858093168667</v>
      </c>
      <c r="U253" s="62">
        <f t="shared" si="181"/>
        <v>538.87576404606182</v>
      </c>
      <c r="V253" s="62">
        <f t="shared" si="182"/>
        <v>533.76808141278241</v>
      </c>
      <c r="W253" s="62">
        <f t="shared" si="183"/>
        <v>529.67774235765876</v>
      </c>
      <c r="X253" s="62">
        <f t="shared" si="184"/>
        <v>526.55663211639694</v>
      </c>
      <c r="Y253" s="62">
        <f t="shared" si="185"/>
        <v>524.26236577566647</v>
      </c>
      <c r="Z253" s="62">
        <f t="shared" si="186"/>
        <v>522.6219985324251</v>
      </c>
      <c r="AA253" s="62">
        <f t="shared" si="187"/>
        <v>521.47234334377424</v>
      </c>
      <c r="AB253" s="62">
        <f t="shared" si="188"/>
        <v>520.67786094508608</v>
      </c>
      <c r="AC253" s="62">
        <f t="shared" si="189"/>
        <v>520.13415704908732</v>
      </c>
    </row>
    <row r="254" spans="1:44" x14ac:dyDescent="0.25">
      <c r="A254" s="30" t="str">
        <f t="shared" si="161"/>
        <v>Fuel Cost</v>
      </c>
      <c r="B254" s="62">
        <f t="shared" si="162"/>
        <v>0.23895197293017539</v>
      </c>
      <c r="C254" s="62">
        <f t="shared" si="163"/>
        <v>0.23860302366741218</v>
      </c>
      <c r="D254" s="62">
        <f t="shared" si="164"/>
        <v>0.23810499765838622</v>
      </c>
      <c r="E254" s="62">
        <f t="shared" si="165"/>
        <v>0.23739568644237932</v>
      </c>
      <c r="F254" s="62">
        <f t="shared" si="166"/>
        <v>0.23638856619668069</v>
      </c>
      <c r="G254" s="62">
        <f t="shared" si="167"/>
        <v>0.23496509850746228</v>
      </c>
      <c r="H254" s="62">
        <f t="shared" si="168"/>
        <v>0.23296657555328404</v>
      </c>
      <c r="I254" s="62">
        <f t="shared" si="169"/>
        <v>0.2301879031606785</v>
      </c>
      <c r="J254" s="62">
        <f t="shared" si="170"/>
        <v>0.22637844726075729</v>
      </c>
      <c r="K254" s="62">
        <f t="shared" si="171"/>
        <v>0.22125894673605423</v>
      </c>
      <c r="L254" s="62">
        <f t="shared" si="172"/>
        <v>0.21456677053550172</v>
      </c>
      <c r="M254" s="62">
        <f t="shared" si="173"/>
        <v>0.20613910573549596</v>
      </c>
      <c r="N254" s="62">
        <f t="shared" si="174"/>
        <v>0.19602614989164499</v>
      </c>
      <c r="O254" s="62">
        <f t="shared" si="175"/>
        <v>0.18459068585921384</v>
      </c>
      <c r="P254" s="62">
        <f t="shared" si="176"/>
        <v>0.17251831339870463</v>
      </c>
      <c r="Q254" s="62">
        <f t="shared" si="177"/>
        <v>0.16068350264747888</v>
      </c>
      <c r="R254" s="62">
        <f t="shared" si="178"/>
        <v>0.14991003081816623</v>
      </c>
      <c r="S254" s="62">
        <f t="shared" si="179"/>
        <v>0.14075411393514156</v>
      </c>
      <c r="T254" s="62">
        <f t="shared" si="180"/>
        <v>0.1334218642436496</v>
      </c>
      <c r="U254" s="62">
        <f t="shared" si="181"/>
        <v>0.12782703230057685</v>
      </c>
      <c r="V254" s="62">
        <f t="shared" si="182"/>
        <v>0.12371438211624793</v>
      </c>
      <c r="W254" s="62">
        <f t="shared" si="183"/>
        <v>0.12077389673078255</v>
      </c>
      <c r="X254" s="62">
        <f t="shared" si="184"/>
        <v>0.1187130507254254</v>
      </c>
      <c r="Y254" s="62">
        <f t="shared" si="185"/>
        <v>0.11728887946622869</v>
      </c>
      <c r="Z254" s="62">
        <f t="shared" si="186"/>
        <v>0.11631424810438439</v>
      </c>
      <c r="AA254" s="62">
        <f t="shared" si="187"/>
        <v>0.11565171109063289</v>
      </c>
      <c r="AB254" s="62">
        <f t="shared" si="188"/>
        <v>0.11520337966574483</v>
      </c>
      <c r="AC254" s="62">
        <f t="shared" si="189"/>
        <v>0.11490093481844818</v>
      </c>
    </row>
    <row r="255" spans="1:44" x14ac:dyDescent="0.25">
      <c r="A255" s="30" t="str">
        <f t="shared" ref="A255" si="190">A235</f>
        <v>Emission Cost</v>
      </c>
      <c r="B255" s="66">
        <f>$B235+($C235-$B235)*(1-Q235)</f>
        <v>2.4864501794892204</v>
      </c>
      <c r="C255" s="66">
        <f t="shared" ref="C255:AC255" si="191">$B235+($C235-$B235)*(1-R235)</f>
        <v>2.4840824730905622</v>
      </c>
      <c r="D255" s="66">
        <f t="shared" si="191"/>
        <v>2.4806931541172901</v>
      </c>
      <c r="E255" s="66">
        <f t="shared" si="191"/>
        <v>2.4758444949784595</v>
      </c>
      <c r="F255" s="66">
        <f t="shared" si="191"/>
        <v>2.4689146911593123</v>
      </c>
      <c r="G255" s="66">
        <f t="shared" si="191"/>
        <v>2.4590243635166811</v>
      </c>
      <c r="H255" s="66">
        <f t="shared" si="191"/>
        <v>2.4449381105906096</v>
      </c>
      <c r="I255" s="66">
        <f t="shared" si="191"/>
        <v>2.4249376507251341</v>
      </c>
      <c r="J255" s="66">
        <f t="shared" si="191"/>
        <v>2.3966689226267675</v>
      </c>
      <c r="K255" s="66">
        <f t="shared" si="191"/>
        <v>2.3569801383867617</v>
      </c>
      <c r="L255" s="66">
        <f t="shared" si="191"/>
        <v>2.3017983208183335</v>
      </c>
      <c r="M255" s="66">
        <f t="shared" si="191"/>
        <v>2.2261461132879194</v>
      </c>
      <c r="N255" s="66">
        <f t="shared" si="191"/>
        <v>2.1244776529298637</v>
      </c>
      <c r="O255" s="66">
        <f t="shared" si="191"/>
        <v>1.991577334339808</v>
      </c>
      <c r="P255" s="66">
        <f t="shared" si="191"/>
        <v>1.824211846145027</v>
      </c>
      <c r="Q255" s="66">
        <f t="shared" si="191"/>
        <v>1.6233780645383806</v>
      </c>
      <c r="R255" s="66">
        <f t="shared" si="191"/>
        <v>1.396280515461632</v>
      </c>
      <c r="S255" s="66">
        <f t="shared" si="191"/>
        <v>1.156534564659107</v>
      </c>
      <c r="T255" s="66">
        <f t="shared" si="191"/>
        <v>0.92150636573615219</v>
      </c>
      <c r="U255" s="66">
        <f t="shared" si="191"/>
        <v>0.70755535854084983</v>
      </c>
      <c r="V255" s="66">
        <f t="shared" si="191"/>
        <v>0.52572746963416073</v>
      </c>
      <c r="W255" s="66">
        <f t="shared" si="191"/>
        <v>0.38011589414984037</v>
      </c>
      <c r="X255" s="66">
        <f t="shared" si="191"/>
        <v>0.26900779935239649</v>
      </c>
      <c r="Y255" s="66">
        <f t="shared" si="191"/>
        <v>0.18733443879419109</v>
      </c>
      <c r="Z255" s="66">
        <f t="shared" si="191"/>
        <v>0.12893916753616796</v>
      </c>
      <c r="AA255" s="66">
        <f t="shared" si="191"/>
        <v>8.8012706177544864E-2</v>
      </c>
      <c r="AB255" s="66">
        <f t="shared" si="191"/>
        <v>5.9730005841827971E-2</v>
      </c>
      <c r="AC255" s="66">
        <f t="shared" si="191"/>
        <v>4.0374744621079817E-2</v>
      </c>
    </row>
    <row r="256" spans="1:44" x14ac:dyDescent="0.25">
      <c r="A256" s="30" t="str">
        <f>A236</f>
        <v>Lifetime vehicle</v>
      </c>
      <c r="B256" s="62">
        <f>$B236+($C236-$B236)*(1-Q236)</f>
        <v>25</v>
      </c>
      <c r="C256" s="62">
        <f t="shared" ref="C256:L258" si="192">$B236+($C236-$B236)*(1-R236)</f>
        <v>25</v>
      </c>
      <c r="D256" s="62">
        <f t="shared" si="192"/>
        <v>25</v>
      </c>
      <c r="E256" s="62">
        <f t="shared" si="192"/>
        <v>25</v>
      </c>
      <c r="F256" s="62">
        <f t="shared" si="192"/>
        <v>25</v>
      </c>
      <c r="G256" s="62">
        <f t="shared" si="192"/>
        <v>25</v>
      </c>
      <c r="H256" s="62">
        <f t="shared" si="192"/>
        <v>25</v>
      </c>
      <c r="I256" s="62">
        <f t="shared" si="192"/>
        <v>25</v>
      </c>
      <c r="J256" s="62">
        <f t="shared" si="192"/>
        <v>25</v>
      </c>
      <c r="K256" s="62">
        <f t="shared" si="192"/>
        <v>25</v>
      </c>
      <c r="L256" s="62">
        <f t="shared" si="192"/>
        <v>25</v>
      </c>
      <c r="M256" s="62">
        <f t="shared" ref="M256:V258" si="193">$B236+($C236-$B236)*(1-AB236)</f>
        <v>25</v>
      </c>
      <c r="N256" s="62">
        <f t="shared" si="193"/>
        <v>25</v>
      </c>
      <c r="O256" s="62">
        <f t="shared" si="193"/>
        <v>25</v>
      </c>
      <c r="P256" s="62">
        <f t="shared" si="193"/>
        <v>25</v>
      </c>
      <c r="Q256" s="62">
        <f t="shared" si="193"/>
        <v>25</v>
      </c>
      <c r="R256" s="62">
        <f t="shared" si="193"/>
        <v>25</v>
      </c>
      <c r="S256" s="62">
        <f t="shared" si="193"/>
        <v>25</v>
      </c>
      <c r="T256" s="62">
        <f t="shared" si="193"/>
        <v>25</v>
      </c>
      <c r="U256" s="62">
        <f t="shared" si="193"/>
        <v>25</v>
      </c>
      <c r="V256" s="62">
        <f t="shared" si="193"/>
        <v>25</v>
      </c>
      <c r="W256" s="62">
        <f t="shared" ref="W256:AC258" si="194">$B236+($C236-$B236)*(1-AL236)</f>
        <v>25</v>
      </c>
      <c r="X256" s="62">
        <f t="shared" si="194"/>
        <v>25</v>
      </c>
      <c r="Y256" s="62">
        <f t="shared" si="194"/>
        <v>25</v>
      </c>
      <c r="Z256" s="62">
        <f t="shared" si="194"/>
        <v>25</v>
      </c>
      <c r="AA256" s="62">
        <f t="shared" si="194"/>
        <v>25</v>
      </c>
      <c r="AB256" s="62">
        <f t="shared" si="194"/>
        <v>25</v>
      </c>
      <c r="AC256" s="62">
        <f t="shared" si="194"/>
        <v>25</v>
      </c>
    </row>
    <row r="257" spans="1:29" x14ac:dyDescent="0.25">
      <c r="A257" s="30" t="str">
        <f>A237</f>
        <v>Lifetime costumization</v>
      </c>
      <c r="B257" s="62">
        <f>$B237+($C237-$B237)*(1-Q237)</f>
        <v>25</v>
      </c>
      <c r="C257" s="62">
        <f t="shared" si="192"/>
        <v>25</v>
      </c>
      <c r="D257" s="62">
        <f t="shared" si="192"/>
        <v>25</v>
      </c>
      <c r="E257" s="62">
        <f t="shared" si="192"/>
        <v>25</v>
      </c>
      <c r="F257" s="62">
        <f t="shared" si="192"/>
        <v>25</v>
      </c>
      <c r="G257" s="62">
        <f t="shared" si="192"/>
        <v>25</v>
      </c>
      <c r="H257" s="62">
        <f t="shared" si="192"/>
        <v>25</v>
      </c>
      <c r="I257" s="62">
        <f t="shared" si="192"/>
        <v>25</v>
      </c>
      <c r="J257" s="62">
        <f t="shared" si="192"/>
        <v>25</v>
      </c>
      <c r="K257" s="62">
        <f t="shared" si="192"/>
        <v>25</v>
      </c>
      <c r="L257" s="62">
        <f t="shared" si="192"/>
        <v>25</v>
      </c>
      <c r="M257" s="62">
        <f t="shared" si="193"/>
        <v>25</v>
      </c>
      <c r="N257" s="62">
        <f t="shared" si="193"/>
        <v>25</v>
      </c>
      <c r="O257" s="62">
        <f t="shared" si="193"/>
        <v>25</v>
      </c>
      <c r="P257" s="62">
        <f t="shared" si="193"/>
        <v>25</v>
      </c>
      <c r="Q257" s="62">
        <f t="shared" si="193"/>
        <v>25</v>
      </c>
      <c r="R257" s="62">
        <f t="shared" si="193"/>
        <v>25</v>
      </c>
      <c r="S257" s="62">
        <f t="shared" si="193"/>
        <v>25</v>
      </c>
      <c r="T257" s="62">
        <f t="shared" si="193"/>
        <v>25</v>
      </c>
      <c r="U257" s="62">
        <f t="shared" si="193"/>
        <v>25</v>
      </c>
      <c r="V257" s="62">
        <f t="shared" si="193"/>
        <v>25</v>
      </c>
      <c r="W257" s="62">
        <f t="shared" si="194"/>
        <v>25</v>
      </c>
      <c r="X257" s="62">
        <f t="shared" si="194"/>
        <v>25</v>
      </c>
      <c r="Y257" s="62">
        <f t="shared" si="194"/>
        <v>25</v>
      </c>
      <c r="Z257" s="62">
        <f t="shared" si="194"/>
        <v>25</v>
      </c>
      <c r="AA257" s="62">
        <f t="shared" si="194"/>
        <v>25</v>
      </c>
      <c r="AB257" s="62">
        <f t="shared" si="194"/>
        <v>25</v>
      </c>
      <c r="AC257" s="62">
        <f t="shared" si="194"/>
        <v>25</v>
      </c>
    </row>
    <row r="258" spans="1:29" x14ac:dyDescent="0.25">
      <c r="A258" s="30" t="str">
        <f>A238</f>
        <v>Tonnage .</v>
      </c>
      <c r="B258" s="62">
        <f>$B238+($C238-$B238)*(1-Q238)</f>
        <v>9450</v>
      </c>
      <c r="C258" s="62">
        <f t="shared" si="192"/>
        <v>9450</v>
      </c>
      <c r="D258" s="62">
        <f t="shared" si="192"/>
        <v>9450</v>
      </c>
      <c r="E258" s="62">
        <f t="shared" si="192"/>
        <v>9450</v>
      </c>
      <c r="F258" s="62">
        <f t="shared" si="192"/>
        <v>9450</v>
      </c>
      <c r="G258" s="62">
        <f t="shared" si="192"/>
        <v>9450</v>
      </c>
      <c r="H258" s="62">
        <f t="shared" si="192"/>
        <v>9450</v>
      </c>
      <c r="I258" s="62">
        <f t="shared" si="192"/>
        <v>9450</v>
      </c>
      <c r="J258" s="62">
        <f t="shared" si="192"/>
        <v>9450</v>
      </c>
      <c r="K258" s="62">
        <f t="shared" si="192"/>
        <v>9450</v>
      </c>
      <c r="L258" s="62">
        <f t="shared" si="192"/>
        <v>9450</v>
      </c>
      <c r="M258" s="62">
        <f t="shared" si="193"/>
        <v>9450</v>
      </c>
      <c r="N258" s="62">
        <f t="shared" si="193"/>
        <v>9450</v>
      </c>
      <c r="O258" s="62">
        <f t="shared" si="193"/>
        <v>9450</v>
      </c>
      <c r="P258" s="62">
        <f t="shared" si="193"/>
        <v>9450</v>
      </c>
      <c r="Q258" s="62">
        <f t="shared" si="193"/>
        <v>9450</v>
      </c>
      <c r="R258" s="62">
        <f t="shared" si="193"/>
        <v>9450</v>
      </c>
      <c r="S258" s="62">
        <f t="shared" si="193"/>
        <v>9450</v>
      </c>
      <c r="T258" s="62">
        <f t="shared" si="193"/>
        <v>9450</v>
      </c>
      <c r="U258" s="62">
        <f t="shared" si="193"/>
        <v>9450</v>
      </c>
      <c r="V258" s="62">
        <f t="shared" si="193"/>
        <v>9450</v>
      </c>
      <c r="W258" s="62">
        <f t="shared" si="194"/>
        <v>9450</v>
      </c>
      <c r="X258" s="62">
        <f t="shared" si="194"/>
        <v>9450</v>
      </c>
      <c r="Y258" s="62">
        <f t="shared" si="194"/>
        <v>9450</v>
      </c>
      <c r="Z258" s="62">
        <f t="shared" si="194"/>
        <v>9450</v>
      </c>
      <c r="AA258" s="62">
        <f t="shared" si="194"/>
        <v>9450</v>
      </c>
      <c r="AB258" s="62">
        <f t="shared" si="194"/>
        <v>9450</v>
      </c>
      <c r="AC258" s="62">
        <f t="shared" si="194"/>
        <v>9450</v>
      </c>
    </row>
    <row r="259" spans="1:29" x14ac:dyDescent="0.25">
      <c r="A259" s="30" t="str">
        <f>A239</f>
        <v>Market failure (av. utilization)</v>
      </c>
      <c r="B259" s="62">
        <f t="shared" ref="B259:K260" si="195">($B239+($C239-$B239)*(1-Q239))*B$44</f>
        <v>4914</v>
      </c>
      <c r="C259" s="62">
        <f t="shared" si="195"/>
        <v>4914</v>
      </c>
      <c r="D259" s="62">
        <f t="shared" si="195"/>
        <v>4914</v>
      </c>
      <c r="E259" s="62">
        <f t="shared" si="195"/>
        <v>4914</v>
      </c>
      <c r="F259" s="62">
        <f t="shared" si="195"/>
        <v>4914</v>
      </c>
      <c r="G259" s="62">
        <f t="shared" si="195"/>
        <v>4914</v>
      </c>
      <c r="H259" s="62">
        <f t="shared" si="195"/>
        <v>4914</v>
      </c>
      <c r="I259" s="62">
        <f t="shared" si="195"/>
        <v>4914</v>
      </c>
      <c r="J259" s="62">
        <f t="shared" si="195"/>
        <v>4914</v>
      </c>
      <c r="K259" s="62">
        <f t="shared" si="195"/>
        <v>4914</v>
      </c>
      <c r="L259" s="62">
        <f t="shared" ref="L259:U260" si="196">($B239+($C239-$B239)*(1-AA239))*L$44</f>
        <v>4914</v>
      </c>
      <c r="M259" s="62">
        <f t="shared" si="196"/>
        <v>4914</v>
      </c>
      <c r="N259" s="62">
        <f t="shared" si="196"/>
        <v>4914</v>
      </c>
      <c r="O259" s="62">
        <f t="shared" si="196"/>
        <v>4914</v>
      </c>
      <c r="P259" s="62">
        <f t="shared" si="196"/>
        <v>4914</v>
      </c>
      <c r="Q259" s="62">
        <f t="shared" si="196"/>
        <v>4914</v>
      </c>
      <c r="R259" s="62">
        <f t="shared" si="196"/>
        <v>4914</v>
      </c>
      <c r="S259" s="62">
        <f t="shared" si="196"/>
        <v>4914</v>
      </c>
      <c r="T259" s="62">
        <f t="shared" si="196"/>
        <v>4914</v>
      </c>
      <c r="U259" s="62">
        <f t="shared" si="196"/>
        <v>4914</v>
      </c>
      <c r="V259" s="62">
        <f t="shared" ref="V259:AC260" si="197">($B239+($C239-$B239)*(1-AK239))*V$44</f>
        <v>4914</v>
      </c>
      <c r="W259" s="62">
        <f t="shared" si="197"/>
        <v>4914</v>
      </c>
      <c r="X259" s="62">
        <f t="shared" si="197"/>
        <v>4914</v>
      </c>
      <c r="Y259" s="62">
        <f t="shared" si="197"/>
        <v>4914</v>
      </c>
      <c r="Z259" s="62">
        <f t="shared" si="197"/>
        <v>4914</v>
      </c>
      <c r="AA259" s="62">
        <f t="shared" si="197"/>
        <v>4914</v>
      </c>
      <c r="AB259" s="62">
        <f t="shared" si="197"/>
        <v>4914</v>
      </c>
      <c r="AC259" s="62">
        <f t="shared" si="197"/>
        <v>4914</v>
      </c>
    </row>
    <row r="260" spans="1:29" x14ac:dyDescent="0.25">
      <c r="A260" s="30" t="s">
        <v>73</v>
      </c>
      <c r="B260" s="62">
        <f t="shared" si="195"/>
        <v>755.79245394358725</v>
      </c>
      <c r="C260" s="62">
        <f t="shared" si="195"/>
        <v>755.70266455291733</v>
      </c>
      <c r="D260" s="62">
        <f t="shared" si="195"/>
        <v>755.57413304007082</v>
      </c>
      <c r="E260" s="62">
        <f t="shared" si="195"/>
        <v>755.39025967220368</v>
      </c>
      <c r="F260" s="62">
        <f t="shared" si="195"/>
        <v>755.12746405584869</v>
      </c>
      <c r="G260" s="62">
        <f t="shared" si="195"/>
        <v>754.75239791882211</v>
      </c>
      <c r="H260" s="62">
        <f t="shared" si="195"/>
        <v>754.21821172590103</v>
      </c>
      <c r="I260" s="62">
        <f t="shared" si="195"/>
        <v>753.45974390849915</v>
      </c>
      <c r="J260" s="62">
        <f t="shared" si="195"/>
        <v>752.3877225327052</v>
      </c>
      <c r="K260" s="62">
        <f t="shared" si="195"/>
        <v>750.88262386195834</v>
      </c>
      <c r="L260" s="62">
        <f t="shared" si="196"/>
        <v>748.78999034188371</v>
      </c>
      <c r="M260" s="62">
        <f t="shared" si="196"/>
        <v>745.92106807143728</v>
      </c>
      <c r="N260" s="62">
        <f t="shared" si="196"/>
        <v>742.06554396123909</v>
      </c>
      <c r="O260" s="62">
        <f t="shared" si="196"/>
        <v>737.02562911672953</v>
      </c>
      <c r="P260" s="62">
        <f t="shared" si="196"/>
        <v>730.67870822624377</v>
      </c>
      <c r="Q260" s="62">
        <f t="shared" si="196"/>
        <v>723.06258534605354</v>
      </c>
      <c r="R260" s="62">
        <f t="shared" si="196"/>
        <v>714.45047424740278</v>
      </c>
      <c r="S260" s="62">
        <f t="shared" si="196"/>
        <v>705.35870389516015</v>
      </c>
      <c r="T260" s="62">
        <f t="shared" si="196"/>
        <v>696.44584257777012</v>
      </c>
      <c r="U260" s="62">
        <f t="shared" si="196"/>
        <v>688.33228146218346</v>
      </c>
      <c r="V260" s="62">
        <f t="shared" si="197"/>
        <v>681.43690990725634</v>
      </c>
      <c r="W260" s="62">
        <f t="shared" si="197"/>
        <v>675.91495218283933</v>
      </c>
      <c r="X260" s="62">
        <f t="shared" si="197"/>
        <v>671.70145335713607</v>
      </c>
      <c r="Y260" s="62">
        <f t="shared" si="197"/>
        <v>668.60419379714972</v>
      </c>
      <c r="Z260" s="62">
        <f t="shared" si="197"/>
        <v>666.38969801877408</v>
      </c>
      <c r="AA260" s="62">
        <f t="shared" si="197"/>
        <v>664.83766351409531</v>
      </c>
      <c r="AB260" s="62">
        <f t="shared" si="197"/>
        <v>663.76511227586627</v>
      </c>
      <c r="AC260" s="62">
        <f t="shared" si="197"/>
        <v>663.03111201626791</v>
      </c>
    </row>
    <row r="261" spans="1:29" x14ac:dyDescent="0.25">
      <c r="A261" s="30" t="str">
        <f>A241</f>
        <v>Annual Mileage</v>
      </c>
      <c r="B261" s="62">
        <f t="shared" ref="B261:AC261" si="198">$B241+($C241-$B241)*(1-Q241)</f>
        <v>120000</v>
      </c>
      <c r="C261" s="62">
        <f t="shared" si="198"/>
        <v>120000</v>
      </c>
      <c r="D261" s="62">
        <f t="shared" si="198"/>
        <v>120000</v>
      </c>
      <c r="E261" s="62">
        <f t="shared" si="198"/>
        <v>120000</v>
      </c>
      <c r="F261" s="62">
        <f t="shared" si="198"/>
        <v>120000</v>
      </c>
      <c r="G261" s="62">
        <f t="shared" si="198"/>
        <v>120000</v>
      </c>
      <c r="H261" s="62">
        <f t="shared" si="198"/>
        <v>120000</v>
      </c>
      <c r="I261" s="62">
        <f t="shared" si="198"/>
        <v>120000</v>
      </c>
      <c r="J261" s="62">
        <f t="shared" si="198"/>
        <v>120000</v>
      </c>
      <c r="K261" s="62">
        <f t="shared" si="198"/>
        <v>120000</v>
      </c>
      <c r="L261" s="62">
        <f t="shared" si="198"/>
        <v>120000</v>
      </c>
      <c r="M261" s="62">
        <f t="shared" si="198"/>
        <v>120000</v>
      </c>
      <c r="N261" s="62">
        <f t="shared" si="198"/>
        <v>120000</v>
      </c>
      <c r="O261" s="62">
        <f t="shared" si="198"/>
        <v>120000</v>
      </c>
      <c r="P261" s="62">
        <f t="shared" si="198"/>
        <v>120000</v>
      </c>
      <c r="Q261" s="62">
        <f t="shared" si="198"/>
        <v>120000</v>
      </c>
      <c r="R261" s="62">
        <f t="shared" si="198"/>
        <v>120000</v>
      </c>
      <c r="S261" s="62">
        <f t="shared" si="198"/>
        <v>120000</v>
      </c>
      <c r="T261" s="62">
        <f t="shared" si="198"/>
        <v>120000</v>
      </c>
      <c r="U261" s="62">
        <f t="shared" si="198"/>
        <v>120000</v>
      </c>
      <c r="V261" s="62">
        <f t="shared" si="198"/>
        <v>120000</v>
      </c>
      <c r="W261" s="62">
        <f t="shared" si="198"/>
        <v>120000</v>
      </c>
      <c r="X261" s="62">
        <f t="shared" si="198"/>
        <v>120000</v>
      </c>
      <c r="Y261" s="62">
        <f t="shared" si="198"/>
        <v>120000</v>
      </c>
      <c r="Z261" s="62">
        <f t="shared" si="198"/>
        <v>120000</v>
      </c>
      <c r="AA261" s="62">
        <f t="shared" si="198"/>
        <v>120000</v>
      </c>
      <c r="AB261" s="62">
        <f t="shared" si="198"/>
        <v>120000</v>
      </c>
      <c r="AC261" s="62">
        <f t="shared" si="198"/>
        <v>120000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2344739.8769242726</v>
      </c>
      <c r="C264" s="63">
        <f t="shared" ref="C264:AC264" si="199">((1+C249)^C256)*C249/(((1+C249)^C256)-1)*(C245)</f>
        <v>2343847.949386192</v>
      </c>
      <c r="D264" s="63">
        <f t="shared" si="199"/>
        <v>2342571.1749815131</v>
      </c>
      <c r="E264" s="63">
        <f t="shared" si="199"/>
        <v>2340744.6594088301</v>
      </c>
      <c r="F264" s="63">
        <f t="shared" si="199"/>
        <v>2338134.1656147949</v>
      </c>
      <c r="G264" s="63">
        <f t="shared" si="199"/>
        <v>2334408.426819603</v>
      </c>
      <c r="H264" s="63">
        <f t="shared" si="199"/>
        <v>2329102.0607514726</v>
      </c>
      <c r="I264" s="63">
        <f t="shared" si="199"/>
        <v>2321567.7816117923</v>
      </c>
      <c r="J264" s="63">
        <f t="shared" si="199"/>
        <v>2310918.8020458543</v>
      </c>
      <c r="K264" s="63">
        <f t="shared" si="199"/>
        <v>2295967.8268587827</v>
      </c>
      <c r="L264" s="63">
        <f t="shared" si="199"/>
        <v>2275180.5439766962</v>
      </c>
      <c r="M264" s="63">
        <f t="shared" si="199"/>
        <v>2246681.9567991556</v>
      </c>
      <c r="N264" s="63">
        <f t="shared" si="199"/>
        <v>2208382.9094176819</v>
      </c>
      <c r="O264" s="63">
        <f t="shared" si="199"/>
        <v>2158318.6556582791</v>
      </c>
      <c r="P264" s="63">
        <f t="shared" si="199"/>
        <v>2095271.1900055008</v>
      </c>
      <c r="Q264" s="63">
        <f t="shared" si="199"/>
        <v>2019616.0409999515</v>
      </c>
      <c r="R264" s="63">
        <f t="shared" si="199"/>
        <v>1934067.1917139916</v>
      </c>
      <c r="S264" s="63">
        <f t="shared" si="199"/>
        <v>1843753.6225209001</v>
      </c>
      <c r="T264" s="63">
        <f t="shared" si="199"/>
        <v>1755217.2554427353</v>
      </c>
      <c r="U264" s="63">
        <f t="shared" si="199"/>
        <v>1674620.7780983469</v>
      </c>
      <c r="V264" s="63">
        <f t="shared" si="199"/>
        <v>1606125.2495146997</v>
      </c>
      <c r="W264" s="63">
        <f t="shared" si="199"/>
        <v>1551272.5979733593</v>
      </c>
      <c r="X264" s="63">
        <f t="shared" si="199"/>
        <v>1509417.5903129096</v>
      </c>
      <c r="Y264" s="63">
        <f t="shared" si="199"/>
        <v>1478650.8029060119</v>
      </c>
      <c r="Z264" s="63">
        <f t="shared" si="199"/>
        <v>1456652.995002867</v>
      </c>
      <c r="AA264" s="63">
        <f t="shared" si="199"/>
        <v>1441235.7802913454</v>
      </c>
      <c r="AB264" s="63">
        <f t="shared" si="199"/>
        <v>1430581.5373096101</v>
      </c>
      <c r="AC264" s="63">
        <f t="shared" si="199"/>
        <v>1423290.3079159164</v>
      </c>
    </row>
    <row r="265" spans="1:29" x14ac:dyDescent="0.25">
      <c r="A265" s="30" t="str">
        <f>A246</f>
        <v>Residual value (vehicle)</v>
      </c>
      <c r="B265" s="62">
        <f>((1+B249)^B256)*B249/(((1+B249)^B256)-1)*(B246)</f>
        <v>-117391.61905450956</v>
      </c>
      <c r="C265" s="62">
        <f t="shared" ref="C265:AC265" si="200">((1+C249)^C256)*C249/(((1+C249)^C256)-1)*(C246)</f>
        <v>-117413.91724296159</v>
      </c>
      <c r="D265" s="62">
        <f t="shared" si="200"/>
        <v>-117445.83660307855</v>
      </c>
      <c r="E265" s="62">
        <f t="shared" si="200"/>
        <v>-117491.49949239564</v>
      </c>
      <c r="F265" s="62">
        <f t="shared" si="200"/>
        <v>-117556.76183724651</v>
      </c>
      <c r="G265" s="62">
        <f t="shared" si="200"/>
        <v>-117649.9053071263</v>
      </c>
      <c r="H265" s="62">
        <f t="shared" si="200"/>
        <v>-117782.56445882957</v>
      </c>
      <c r="I265" s="62">
        <f t="shared" si="200"/>
        <v>-117970.92143732157</v>
      </c>
      <c r="J265" s="62">
        <f t="shared" si="200"/>
        <v>-118237.14592647002</v>
      </c>
      <c r="K265" s="62">
        <f t="shared" si="200"/>
        <v>-118610.92030614681</v>
      </c>
      <c r="L265" s="62">
        <f t="shared" si="200"/>
        <v>-119130.60237819898</v>
      </c>
      <c r="M265" s="62">
        <f t="shared" si="200"/>
        <v>-119843.06705763748</v>
      </c>
      <c r="N265" s="62">
        <f t="shared" si="200"/>
        <v>-120800.54324217433</v>
      </c>
      <c r="O265" s="62">
        <f t="shared" si="200"/>
        <v>-122052.1495861594</v>
      </c>
      <c r="P265" s="62">
        <f t="shared" si="200"/>
        <v>-123628.33622747887</v>
      </c>
      <c r="Q265" s="62">
        <f t="shared" si="200"/>
        <v>-125519.71495261759</v>
      </c>
      <c r="R265" s="62">
        <f t="shared" si="200"/>
        <v>-127658.43618476659</v>
      </c>
      <c r="S265" s="62">
        <f t="shared" si="200"/>
        <v>-129916.27541459388</v>
      </c>
      <c r="T265" s="62">
        <f t="shared" si="200"/>
        <v>-132129.68459154799</v>
      </c>
      <c r="U265" s="62">
        <f t="shared" si="200"/>
        <v>-134144.59652515771</v>
      </c>
      <c r="V265" s="62">
        <f t="shared" si="200"/>
        <v>-135856.98473974891</v>
      </c>
      <c r="W265" s="62">
        <f t="shared" si="200"/>
        <v>-137228.30102828241</v>
      </c>
      <c r="X265" s="62">
        <f t="shared" si="200"/>
        <v>-138274.67621979365</v>
      </c>
      <c r="Y265" s="62">
        <f t="shared" si="200"/>
        <v>-139043.84590496609</v>
      </c>
      <c r="Z265" s="62">
        <f t="shared" si="200"/>
        <v>-139593.79110254472</v>
      </c>
      <c r="AA265" s="62">
        <f t="shared" si="200"/>
        <v>-139979.22147033276</v>
      </c>
      <c r="AB265" s="62">
        <f t="shared" si="200"/>
        <v>-140245.57754487614</v>
      </c>
      <c r="AC265" s="62">
        <f t="shared" si="200"/>
        <v>-140427.85827971846</v>
      </c>
    </row>
    <row r="266" spans="1:29" x14ac:dyDescent="0.25">
      <c r="A266" s="30" t="str">
        <f>A247</f>
        <v>Capex costumization</v>
      </c>
      <c r="B266" s="62">
        <f>((1+B249)^B257)*B249/(((1+B249)^B257)-1)*(B247)</f>
        <v>78226.718212273947</v>
      </c>
      <c r="C266" s="62">
        <f t="shared" ref="C266:AC266" si="201">((1+C249)^C257)*C249/(((1+C249)^C257)-1)*(C247)</f>
        <v>78226.718212273947</v>
      </c>
      <c r="D266" s="62">
        <f t="shared" si="201"/>
        <v>78226.718212273947</v>
      </c>
      <c r="E266" s="62">
        <f t="shared" si="201"/>
        <v>78226.718212273947</v>
      </c>
      <c r="F266" s="62">
        <f t="shared" si="201"/>
        <v>78226.718212273947</v>
      </c>
      <c r="G266" s="62">
        <f t="shared" si="201"/>
        <v>78226.718212273947</v>
      </c>
      <c r="H266" s="62">
        <f t="shared" si="201"/>
        <v>78226.718212273947</v>
      </c>
      <c r="I266" s="62">
        <f t="shared" si="201"/>
        <v>78226.718212273947</v>
      </c>
      <c r="J266" s="62">
        <f t="shared" si="201"/>
        <v>78226.718212273947</v>
      </c>
      <c r="K266" s="62">
        <f t="shared" si="201"/>
        <v>78226.718212273947</v>
      </c>
      <c r="L266" s="62">
        <f t="shared" si="201"/>
        <v>78226.718212273947</v>
      </c>
      <c r="M266" s="62">
        <f t="shared" si="201"/>
        <v>78226.718212273947</v>
      </c>
      <c r="N266" s="62">
        <f t="shared" si="201"/>
        <v>78226.718212273947</v>
      </c>
      <c r="O266" s="62">
        <f t="shared" si="201"/>
        <v>78226.718212273947</v>
      </c>
      <c r="P266" s="62">
        <f t="shared" si="201"/>
        <v>78226.718212273947</v>
      </c>
      <c r="Q266" s="62">
        <f t="shared" si="201"/>
        <v>78226.718212273947</v>
      </c>
      <c r="R266" s="62">
        <f t="shared" si="201"/>
        <v>78226.718212273947</v>
      </c>
      <c r="S266" s="62">
        <f t="shared" si="201"/>
        <v>78226.718212273947</v>
      </c>
      <c r="T266" s="62">
        <f t="shared" si="201"/>
        <v>78226.718212273947</v>
      </c>
      <c r="U266" s="62">
        <f t="shared" si="201"/>
        <v>78226.718212273947</v>
      </c>
      <c r="V266" s="62">
        <f t="shared" si="201"/>
        <v>78226.718212273947</v>
      </c>
      <c r="W266" s="62">
        <f t="shared" si="201"/>
        <v>78226.718212273947</v>
      </c>
      <c r="X266" s="62">
        <f t="shared" si="201"/>
        <v>78226.718212273947</v>
      </c>
      <c r="Y266" s="62">
        <f t="shared" si="201"/>
        <v>78226.718212273947</v>
      </c>
      <c r="Z266" s="62">
        <f t="shared" si="201"/>
        <v>78226.718212273947</v>
      </c>
      <c r="AA266" s="62">
        <f t="shared" si="201"/>
        <v>78226.718212273947</v>
      </c>
      <c r="AB266" s="62">
        <f t="shared" si="201"/>
        <v>78226.718212273947</v>
      </c>
      <c r="AC266" s="62">
        <f t="shared" si="201"/>
        <v>78226.718212273947</v>
      </c>
    </row>
    <row r="267" spans="1:29" x14ac:dyDescent="0.25">
      <c r="A267" s="30" t="str">
        <f>A248</f>
        <v>Residual value (costumization)</v>
      </c>
      <c r="B267" s="62">
        <f>((1+B249)^B257)*B249/(((1+B249)^B257)-1)*(B248)</f>
        <v>-7822.6718212273945</v>
      </c>
      <c r="C267" s="62">
        <f t="shared" ref="C267:AC267" si="202">((1+C249)^C257)*C249/(((1+C249)^C257)-1)*(C248)</f>
        <v>-7822.6718212273945</v>
      </c>
      <c r="D267" s="62">
        <f t="shared" si="202"/>
        <v>-7822.6718212273945</v>
      </c>
      <c r="E267" s="62">
        <f t="shared" si="202"/>
        <v>-7822.6718212273945</v>
      </c>
      <c r="F267" s="62">
        <f t="shared" si="202"/>
        <v>-7822.6718212273945</v>
      </c>
      <c r="G267" s="62">
        <f t="shared" si="202"/>
        <v>-7822.6718212273945</v>
      </c>
      <c r="H267" s="62">
        <f t="shared" si="202"/>
        <v>-7822.6718212273945</v>
      </c>
      <c r="I267" s="62">
        <f t="shared" si="202"/>
        <v>-7822.6718212273945</v>
      </c>
      <c r="J267" s="62">
        <f t="shared" si="202"/>
        <v>-7822.6718212273945</v>
      </c>
      <c r="K267" s="62">
        <f t="shared" si="202"/>
        <v>-7822.6718212273945</v>
      </c>
      <c r="L267" s="62">
        <f t="shared" si="202"/>
        <v>-7822.6718212273945</v>
      </c>
      <c r="M267" s="62">
        <f t="shared" si="202"/>
        <v>-7822.6718212273945</v>
      </c>
      <c r="N267" s="62">
        <f t="shared" si="202"/>
        <v>-7822.6718212273945</v>
      </c>
      <c r="O267" s="62">
        <f t="shared" si="202"/>
        <v>-7822.6718212273945</v>
      </c>
      <c r="P267" s="62">
        <f t="shared" si="202"/>
        <v>-7822.6718212273945</v>
      </c>
      <c r="Q267" s="62">
        <f t="shared" si="202"/>
        <v>-7822.6718212273945</v>
      </c>
      <c r="R267" s="62">
        <f t="shared" si="202"/>
        <v>-7822.6718212273945</v>
      </c>
      <c r="S267" s="62">
        <f t="shared" si="202"/>
        <v>-7822.6718212273945</v>
      </c>
      <c r="T267" s="62">
        <f t="shared" si="202"/>
        <v>-7822.6718212273945</v>
      </c>
      <c r="U267" s="62">
        <f t="shared" si="202"/>
        <v>-7822.6718212273945</v>
      </c>
      <c r="V267" s="62">
        <f t="shared" si="202"/>
        <v>-7822.6718212273945</v>
      </c>
      <c r="W267" s="62">
        <f t="shared" si="202"/>
        <v>-7822.6718212273945</v>
      </c>
      <c r="X267" s="62">
        <f t="shared" si="202"/>
        <v>-7822.6718212273945</v>
      </c>
      <c r="Y267" s="62">
        <f t="shared" si="202"/>
        <v>-7822.6718212273945</v>
      </c>
      <c r="Z267" s="62">
        <f t="shared" si="202"/>
        <v>-7822.6718212273945</v>
      </c>
      <c r="AA267" s="62">
        <f t="shared" si="202"/>
        <v>-7822.6718212273945</v>
      </c>
      <c r="AB267" s="62">
        <f t="shared" si="202"/>
        <v>-7822.6718212273945</v>
      </c>
      <c r="AC267" s="62">
        <f t="shared" si="202"/>
        <v>-7822.6718212273945</v>
      </c>
    </row>
    <row r="268" spans="1:29" x14ac:dyDescent="0.25">
      <c r="A268" s="30" t="str">
        <f t="shared" ref="A268:AC268" si="203">A250</f>
        <v>Opex fix (admin, crew, insurance)</v>
      </c>
      <c r="B268" s="62">
        <f t="shared" si="203"/>
        <v>1208235.294117647</v>
      </c>
      <c r="C268" s="62">
        <f t="shared" si="203"/>
        <v>1208235.294117647</v>
      </c>
      <c r="D268" s="62">
        <f t="shared" si="203"/>
        <v>1208235.294117647</v>
      </c>
      <c r="E268" s="62">
        <f t="shared" si="203"/>
        <v>1208235.294117647</v>
      </c>
      <c r="F268" s="62">
        <f t="shared" si="203"/>
        <v>1208235.294117647</v>
      </c>
      <c r="G268" s="62">
        <f t="shared" si="203"/>
        <v>1208235.294117647</v>
      </c>
      <c r="H268" s="62">
        <f t="shared" si="203"/>
        <v>1208235.294117647</v>
      </c>
      <c r="I268" s="62">
        <f t="shared" si="203"/>
        <v>1208235.294117647</v>
      </c>
      <c r="J268" s="62">
        <f t="shared" si="203"/>
        <v>1208235.294117647</v>
      </c>
      <c r="K268" s="62">
        <f t="shared" si="203"/>
        <v>1208235.294117647</v>
      </c>
      <c r="L268" s="62">
        <f t="shared" si="203"/>
        <v>1208235.294117647</v>
      </c>
      <c r="M268" s="62">
        <f t="shared" si="203"/>
        <v>1208235.294117647</v>
      </c>
      <c r="N268" s="62">
        <f t="shared" si="203"/>
        <v>1208235.294117647</v>
      </c>
      <c r="O268" s="62">
        <f t="shared" si="203"/>
        <v>1208235.294117647</v>
      </c>
      <c r="P268" s="62">
        <f t="shared" si="203"/>
        <v>1208235.294117647</v>
      </c>
      <c r="Q268" s="62">
        <f t="shared" si="203"/>
        <v>1208235.294117647</v>
      </c>
      <c r="R268" s="62">
        <f t="shared" si="203"/>
        <v>1208235.294117647</v>
      </c>
      <c r="S268" s="62">
        <f t="shared" si="203"/>
        <v>1208235.294117647</v>
      </c>
      <c r="T268" s="62">
        <f t="shared" si="203"/>
        <v>1208235.294117647</v>
      </c>
      <c r="U268" s="62">
        <f t="shared" si="203"/>
        <v>1208235.294117647</v>
      </c>
      <c r="V268" s="62">
        <f t="shared" si="203"/>
        <v>1208235.294117647</v>
      </c>
      <c r="W268" s="62">
        <f t="shared" si="203"/>
        <v>1208235.294117647</v>
      </c>
      <c r="X268" s="62">
        <f t="shared" si="203"/>
        <v>1208235.294117647</v>
      </c>
      <c r="Y268" s="62">
        <f t="shared" si="203"/>
        <v>1208235.294117647</v>
      </c>
      <c r="Z268" s="62">
        <f t="shared" si="203"/>
        <v>1208235.294117647</v>
      </c>
      <c r="AA268" s="62">
        <f t="shared" si="203"/>
        <v>1208235.294117647</v>
      </c>
      <c r="AB268" s="62">
        <f t="shared" si="203"/>
        <v>1208235.294117647</v>
      </c>
      <c r="AC268" s="62">
        <f t="shared" si="203"/>
        <v>1208235.294117647</v>
      </c>
    </row>
    <row r="269" spans="1:29" x14ac:dyDescent="0.25">
      <c r="A269" s="30" t="str">
        <f t="shared" ref="A269:AC269" si="204">A251</f>
        <v>Opex maintenance &amp; repair</v>
      </c>
      <c r="B269" s="62">
        <f t="shared" si="204"/>
        <v>338823.5294117647</v>
      </c>
      <c r="C269" s="62">
        <f t="shared" si="204"/>
        <v>338823.5294117647</v>
      </c>
      <c r="D269" s="62">
        <f t="shared" si="204"/>
        <v>338823.5294117647</v>
      </c>
      <c r="E269" s="62">
        <f t="shared" si="204"/>
        <v>338823.5294117647</v>
      </c>
      <c r="F269" s="62">
        <f t="shared" si="204"/>
        <v>338823.5294117647</v>
      </c>
      <c r="G269" s="62">
        <f t="shared" si="204"/>
        <v>338823.5294117647</v>
      </c>
      <c r="H269" s="62">
        <f t="shared" si="204"/>
        <v>338823.5294117647</v>
      </c>
      <c r="I269" s="62">
        <f t="shared" si="204"/>
        <v>338823.5294117647</v>
      </c>
      <c r="J269" s="62">
        <f t="shared" si="204"/>
        <v>338823.5294117647</v>
      </c>
      <c r="K269" s="62">
        <f t="shared" si="204"/>
        <v>338823.5294117647</v>
      </c>
      <c r="L269" s="62">
        <f t="shared" si="204"/>
        <v>338823.5294117647</v>
      </c>
      <c r="M269" s="62">
        <f t="shared" si="204"/>
        <v>338823.5294117647</v>
      </c>
      <c r="N269" s="62">
        <f t="shared" si="204"/>
        <v>338823.5294117647</v>
      </c>
      <c r="O269" s="62">
        <f t="shared" si="204"/>
        <v>338823.5294117647</v>
      </c>
      <c r="P269" s="62">
        <f t="shared" si="204"/>
        <v>338823.5294117647</v>
      </c>
      <c r="Q269" s="62">
        <f t="shared" si="204"/>
        <v>338823.5294117647</v>
      </c>
      <c r="R269" s="62">
        <f t="shared" si="204"/>
        <v>338823.5294117647</v>
      </c>
      <c r="S269" s="62">
        <f t="shared" si="204"/>
        <v>338823.5294117647</v>
      </c>
      <c r="T269" s="62">
        <f t="shared" si="204"/>
        <v>338823.5294117647</v>
      </c>
      <c r="U269" s="62">
        <f t="shared" si="204"/>
        <v>338823.5294117647</v>
      </c>
      <c r="V269" s="62">
        <f t="shared" si="204"/>
        <v>338823.5294117647</v>
      </c>
      <c r="W269" s="62">
        <f t="shared" si="204"/>
        <v>338823.5294117647</v>
      </c>
      <c r="X269" s="62">
        <f t="shared" si="204"/>
        <v>338823.5294117647</v>
      </c>
      <c r="Y269" s="62">
        <f t="shared" si="204"/>
        <v>338823.5294117647</v>
      </c>
      <c r="Z269" s="62">
        <f t="shared" si="204"/>
        <v>338823.5294117647</v>
      </c>
      <c r="AA269" s="62">
        <f t="shared" si="204"/>
        <v>338823.5294117647</v>
      </c>
      <c r="AB269" s="62">
        <f t="shared" si="204"/>
        <v>338823.5294117647</v>
      </c>
      <c r="AC269" s="62">
        <f t="shared" si="204"/>
        <v>338823.5294117647</v>
      </c>
    </row>
    <row r="270" spans="1:29" x14ac:dyDescent="0.25">
      <c r="A270" s="30" t="str">
        <f>A252</f>
        <v>Opex var (mode-fees)</v>
      </c>
      <c r="B270" s="62">
        <f>B252*B261</f>
        <v>97536.682916217906</v>
      </c>
      <c r="C270" s="62">
        <f t="shared" ref="C270:AC270" si="205">C252*C261</f>
        <v>97536.682916217906</v>
      </c>
      <c r="D270" s="62">
        <f t="shared" si="205"/>
        <v>97536.682916217906</v>
      </c>
      <c r="E270" s="62">
        <f t="shared" si="205"/>
        <v>97536.682916217906</v>
      </c>
      <c r="F270" s="62">
        <f t="shared" si="205"/>
        <v>97536.682916217906</v>
      </c>
      <c r="G270" s="62">
        <f t="shared" si="205"/>
        <v>97536.682916217906</v>
      </c>
      <c r="H270" s="62">
        <f t="shared" si="205"/>
        <v>97536.682916217906</v>
      </c>
      <c r="I270" s="62">
        <f t="shared" si="205"/>
        <v>97536.682916217906</v>
      </c>
      <c r="J270" s="62">
        <f t="shared" si="205"/>
        <v>97536.682916217906</v>
      </c>
      <c r="K270" s="62">
        <f t="shared" si="205"/>
        <v>97536.682916217906</v>
      </c>
      <c r="L270" s="62">
        <f t="shared" si="205"/>
        <v>97536.682916217906</v>
      </c>
      <c r="M270" s="62">
        <f t="shared" si="205"/>
        <v>97536.682916217906</v>
      </c>
      <c r="N270" s="62">
        <f t="shared" si="205"/>
        <v>97536.682916217906</v>
      </c>
      <c r="O270" s="62">
        <f t="shared" si="205"/>
        <v>97536.682916217906</v>
      </c>
      <c r="P270" s="62">
        <f t="shared" si="205"/>
        <v>97536.682916217906</v>
      </c>
      <c r="Q270" s="62">
        <f t="shared" si="205"/>
        <v>97536.682916217906</v>
      </c>
      <c r="R270" s="62">
        <f t="shared" si="205"/>
        <v>97536.682916217906</v>
      </c>
      <c r="S270" s="62">
        <f t="shared" si="205"/>
        <v>97536.682916217906</v>
      </c>
      <c r="T270" s="62">
        <f t="shared" si="205"/>
        <v>97536.682916217906</v>
      </c>
      <c r="U270" s="62">
        <f t="shared" si="205"/>
        <v>97536.682916217906</v>
      </c>
      <c r="V270" s="62">
        <f t="shared" si="205"/>
        <v>97536.682916217906</v>
      </c>
      <c r="W270" s="62">
        <f t="shared" si="205"/>
        <v>97536.682916217906</v>
      </c>
      <c r="X270" s="62">
        <f t="shared" si="205"/>
        <v>97536.682916217906</v>
      </c>
      <c r="Y270" s="62">
        <f t="shared" si="205"/>
        <v>97536.682916217906</v>
      </c>
      <c r="Z270" s="62">
        <f t="shared" si="205"/>
        <v>97536.682916217906</v>
      </c>
      <c r="AA270" s="62">
        <f t="shared" si="205"/>
        <v>97536.682916217906</v>
      </c>
      <c r="AB270" s="62">
        <f t="shared" si="205"/>
        <v>97536.682916217906</v>
      </c>
      <c r="AC270" s="62">
        <f t="shared" si="205"/>
        <v>97536.682916217906</v>
      </c>
    </row>
    <row r="271" spans="1:29" x14ac:dyDescent="0.25">
      <c r="A271" s="30" t="str">
        <f>A254</f>
        <v>Fuel Cost</v>
      </c>
      <c r="B271" s="62">
        <f>B253*B254*B261</f>
        <v>16884717.132068913</v>
      </c>
      <c r="C271" s="62">
        <f t="shared" ref="C271:AC271" si="206">C253*C254*C261</f>
        <v>16858155.478437811</v>
      </c>
      <c r="D271" s="62">
        <f t="shared" si="206"/>
        <v>16820247.807695027</v>
      </c>
      <c r="E271" s="62">
        <f t="shared" si="206"/>
        <v>16766260.475643475</v>
      </c>
      <c r="F271" s="62">
        <f t="shared" si="206"/>
        <v>16689609.856933123</v>
      </c>
      <c r="G271" s="62">
        <f t="shared" si="206"/>
        <v>16581276.011760581</v>
      </c>
      <c r="H271" s="62">
        <f t="shared" si="206"/>
        <v>16429180.038988085</v>
      </c>
      <c r="I271" s="62">
        <f t="shared" si="206"/>
        <v>16217704.442223981</v>
      </c>
      <c r="J271" s="62">
        <f t="shared" si="206"/>
        <v>15927740.49557955</v>
      </c>
      <c r="K271" s="62">
        <f t="shared" si="206"/>
        <v>15537936.554917173</v>
      </c>
      <c r="L271" s="62">
        <f t="shared" si="206"/>
        <v>15028065.698082881</v>
      </c>
      <c r="M271" s="62">
        <f t="shared" si="206"/>
        <v>14385230.925427267</v>
      </c>
      <c r="N271" s="62">
        <f t="shared" si="206"/>
        <v>13612326.694953671</v>
      </c>
      <c r="O271" s="62">
        <f t="shared" si="206"/>
        <v>12735537.042299014</v>
      </c>
      <c r="P271" s="62">
        <f t="shared" si="206"/>
        <v>11805293.364364006</v>
      </c>
      <c r="Q271" s="62">
        <f t="shared" si="206"/>
        <v>10886665.597812826</v>
      </c>
      <c r="R271" s="62">
        <f t="shared" si="206"/>
        <v>10041979.583912253</v>
      </c>
      <c r="S271" s="62">
        <f t="shared" si="206"/>
        <v>9314903.3718901277</v>
      </c>
      <c r="T271" s="62">
        <f t="shared" si="206"/>
        <v>8723961.6574759353</v>
      </c>
      <c r="U271" s="62">
        <f t="shared" si="206"/>
        <v>8265946.7636056766</v>
      </c>
      <c r="V271" s="62">
        <f t="shared" si="206"/>
        <v>7924174.6062428998</v>
      </c>
      <c r="W271" s="62">
        <f t="shared" si="206"/>
        <v>7676549.3947317516</v>
      </c>
      <c r="X271" s="62">
        <f t="shared" si="206"/>
        <v>7501097.3013891587</v>
      </c>
      <c r="Y271" s="62">
        <f t="shared" si="206"/>
        <v>7378817.4513770454</v>
      </c>
      <c r="Z271" s="62">
        <f t="shared" si="206"/>
        <v>7294606.1762531642</v>
      </c>
      <c r="AA271" s="62">
        <f t="shared" si="206"/>
        <v>7237100.2552979402</v>
      </c>
      <c r="AB271" s="62">
        <f t="shared" si="206"/>
        <v>7198061.9157605572</v>
      </c>
      <c r="AC271" s="62">
        <f t="shared" si="206"/>
        <v>7171668.1051134812</v>
      </c>
    </row>
    <row r="272" spans="1:29" ht="15.75" thickBot="1" x14ac:dyDescent="0.3">
      <c r="A272" s="59" t="str">
        <f>A235</f>
        <v>Emission Cost</v>
      </c>
      <c r="B272" s="62">
        <f>B255*B261</f>
        <v>298374.02153870644</v>
      </c>
      <c r="C272" s="62">
        <f t="shared" ref="C272:AC272" si="207">C255*C261</f>
        <v>298089.89677086746</v>
      </c>
      <c r="D272" s="62">
        <f t="shared" si="207"/>
        <v>297683.17849407479</v>
      </c>
      <c r="E272" s="62">
        <f t="shared" si="207"/>
        <v>297101.33939741511</v>
      </c>
      <c r="F272" s="62">
        <f t="shared" si="207"/>
        <v>296269.7629391175</v>
      </c>
      <c r="G272" s="62">
        <f t="shared" si="207"/>
        <v>295082.92362200172</v>
      </c>
      <c r="H272" s="62">
        <f t="shared" si="207"/>
        <v>293392.57327087317</v>
      </c>
      <c r="I272" s="62">
        <f t="shared" si="207"/>
        <v>290992.51808701607</v>
      </c>
      <c r="J272" s="62">
        <f t="shared" si="207"/>
        <v>287600.2707152121</v>
      </c>
      <c r="K272" s="62">
        <f t="shared" si="207"/>
        <v>282837.61660641141</v>
      </c>
      <c r="L272" s="62">
        <f t="shared" si="207"/>
        <v>276215.79849820002</v>
      </c>
      <c r="M272" s="62">
        <f t="shared" si="207"/>
        <v>267137.53359455033</v>
      </c>
      <c r="N272" s="62">
        <f t="shared" si="207"/>
        <v>254937.31835158364</v>
      </c>
      <c r="O272" s="62">
        <f t="shared" si="207"/>
        <v>238989.28012077697</v>
      </c>
      <c r="P272" s="62">
        <f t="shared" si="207"/>
        <v>218905.42153740322</v>
      </c>
      <c r="Q272" s="62">
        <f t="shared" si="207"/>
        <v>194805.36774460567</v>
      </c>
      <c r="R272" s="62">
        <f t="shared" si="207"/>
        <v>167553.66185539585</v>
      </c>
      <c r="S272" s="62">
        <f t="shared" si="207"/>
        <v>138784.14775909283</v>
      </c>
      <c r="T272" s="62">
        <f t="shared" si="207"/>
        <v>110580.76388833826</v>
      </c>
      <c r="U272" s="62">
        <f t="shared" si="207"/>
        <v>84906.643024901976</v>
      </c>
      <c r="V272" s="62">
        <f t="shared" si="207"/>
        <v>63087.296356099287</v>
      </c>
      <c r="W272" s="62">
        <f t="shared" si="207"/>
        <v>45613.907297980848</v>
      </c>
      <c r="X272" s="62">
        <f t="shared" si="207"/>
        <v>32280.935922287579</v>
      </c>
      <c r="Y272" s="62">
        <f t="shared" si="207"/>
        <v>22480.132655302932</v>
      </c>
      <c r="Z272" s="62">
        <f t="shared" si="207"/>
        <v>15472.700104340156</v>
      </c>
      <c r="AA272" s="62">
        <f t="shared" si="207"/>
        <v>10561.524741305384</v>
      </c>
      <c r="AB272" s="62">
        <f t="shared" si="207"/>
        <v>7167.6007010193562</v>
      </c>
      <c r="AC272" s="62">
        <f t="shared" si="207"/>
        <v>4844.9693545295777</v>
      </c>
    </row>
    <row r="273" spans="1:29" ht="15.75" thickBot="1" x14ac:dyDescent="0.3">
      <c r="A273" s="31" t="s">
        <v>209</v>
      </c>
      <c r="B273" s="64">
        <f>B264+B265+B266+B267+B268+B269+B270+B271+B272</f>
        <v>21125438.964314058</v>
      </c>
      <c r="C273" s="64">
        <f t="shared" ref="C273:AC273" si="208">C264+C265+C266+C267+C268+C269+C270+C271+C272</f>
        <v>21097678.960188586</v>
      </c>
      <c r="D273" s="64">
        <f t="shared" si="208"/>
        <v>21058055.877404213</v>
      </c>
      <c r="E273" s="64">
        <f t="shared" si="208"/>
        <v>21001614.527794</v>
      </c>
      <c r="F273" s="64">
        <f t="shared" si="208"/>
        <v>20921456.576486465</v>
      </c>
      <c r="G273" s="64">
        <f t="shared" si="208"/>
        <v>20808117.009731736</v>
      </c>
      <c r="H273" s="64">
        <f t="shared" si="208"/>
        <v>20648891.661388278</v>
      </c>
      <c r="I273" s="64">
        <f t="shared" si="208"/>
        <v>20427293.373322144</v>
      </c>
      <c r="J273" s="64">
        <f t="shared" si="208"/>
        <v>20123021.975250822</v>
      </c>
      <c r="K273" s="64">
        <f t="shared" si="208"/>
        <v>19713130.630912896</v>
      </c>
      <c r="L273" s="64">
        <f t="shared" si="208"/>
        <v>19175330.991016254</v>
      </c>
      <c r="M273" s="64">
        <f t="shared" si="208"/>
        <v>18494206.901600011</v>
      </c>
      <c r="N273" s="64">
        <f t="shared" si="208"/>
        <v>17669845.932317439</v>
      </c>
      <c r="O273" s="64">
        <f t="shared" si="208"/>
        <v>16725792.381328586</v>
      </c>
      <c r="P273" s="64">
        <f t="shared" si="208"/>
        <v>15710841.192516107</v>
      </c>
      <c r="Q273" s="64">
        <f t="shared" si="208"/>
        <v>14690566.844441442</v>
      </c>
      <c r="R273" s="64">
        <f t="shared" si="208"/>
        <v>13730941.554133551</v>
      </c>
      <c r="S273" s="64">
        <f t="shared" si="208"/>
        <v>12882524.419592204</v>
      </c>
      <c r="T273" s="64">
        <f t="shared" si="208"/>
        <v>12172629.545052137</v>
      </c>
      <c r="U273" s="64">
        <f t="shared" si="208"/>
        <v>11606329.141040444</v>
      </c>
      <c r="V273" s="64">
        <f t="shared" si="208"/>
        <v>11172529.720210625</v>
      </c>
      <c r="W273" s="64">
        <f t="shared" si="208"/>
        <v>10851207.151811484</v>
      </c>
      <c r="X273" s="64">
        <f t="shared" si="208"/>
        <v>10619520.704241239</v>
      </c>
      <c r="Y273" s="64">
        <f t="shared" si="208"/>
        <v>10455904.09387007</v>
      </c>
      <c r="Z273" s="64">
        <f t="shared" si="208"/>
        <v>10342137.633094504</v>
      </c>
      <c r="AA273" s="64">
        <f t="shared" si="208"/>
        <v>10263917.891696934</v>
      </c>
      <c r="AB273" s="64">
        <f t="shared" si="208"/>
        <v>10210565.029062986</v>
      </c>
      <c r="AC273" s="64">
        <f t="shared" si="208"/>
        <v>10174375.076940885</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09">A264</f>
        <v>Capex vehicle</v>
      </c>
      <c r="B276" s="65">
        <f>((1+B249)^B256)*B249/(((1+B249)^B256)-1)*(B245)/B261</f>
        <v>19.539498974368939</v>
      </c>
      <c r="C276" s="65">
        <f t="shared" ref="C276:AC276" si="210">((1+C249)^C256)*C249/(((1+C249)^C256)-1)*(C245)/C261</f>
        <v>19.532066244884934</v>
      </c>
      <c r="D276" s="65">
        <f t="shared" si="210"/>
        <v>19.521426458179274</v>
      </c>
      <c r="E276" s="65">
        <f t="shared" si="210"/>
        <v>19.506205495073583</v>
      </c>
      <c r="F276" s="65">
        <f t="shared" si="210"/>
        <v>19.484451380123293</v>
      </c>
      <c r="G276" s="65">
        <f t="shared" si="210"/>
        <v>19.453403556830025</v>
      </c>
      <c r="H276" s="65">
        <f t="shared" si="210"/>
        <v>19.409183839595606</v>
      </c>
      <c r="I276" s="65">
        <f t="shared" si="210"/>
        <v>19.346398180098269</v>
      </c>
      <c r="J276" s="65">
        <f t="shared" si="210"/>
        <v>19.257656683715453</v>
      </c>
      <c r="K276" s="65">
        <f t="shared" si="210"/>
        <v>19.133065223823188</v>
      </c>
      <c r="L276" s="65">
        <f t="shared" si="210"/>
        <v>18.959837866472469</v>
      </c>
      <c r="M276" s="65">
        <f t="shared" si="210"/>
        <v>18.722349639992963</v>
      </c>
      <c r="N276" s="65">
        <f t="shared" si="210"/>
        <v>18.403190911814015</v>
      </c>
      <c r="O276" s="65">
        <f t="shared" si="210"/>
        <v>17.985988797152327</v>
      </c>
      <c r="P276" s="65">
        <f t="shared" si="210"/>
        <v>17.460593250045839</v>
      </c>
      <c r="Q276" s="65">
        <f t="shared" si="210"/>
        <v>16.830133674999598</v>
      </c>
      <c r="R276" s="65">
        <f t="shared" si="210"/>
        <v>16.117226597616597</v>
      </c>
      <c r="S276" s="65">
        <f t="shared" si="210"/>
        <v>15.364613521007501</v>
      </c>
      <c r="T276" s="65">
        <f t="shared" si="210"/>
        <v>14.626810462022794</v>
      </c>
      <c r="U276" s="65">
        <f t="shared" si="210"/>
        <v>13.955173150819558</v>
      </c>
      <c r="V276" s="65">
        <f t="shared" si="210"/>
        <v>13.384377079289164</v>
      </c>
      <c r="W276" s="65">
        <f t="shared" si="210"/>
        <v>12.927271649777994</v>
      </c>
      <c r="X276" s="65">
        <f t="shared" si="210"/>
        <v>12.578479919274246</v>
      </c>
      <c r="Y276" s="65">
        <f t="shared" si="210"/>
        <v>12.322090024216767</v>
      </c>
      <c r="Z276" s="65">
        <f t="shared" si="210"/>
        <v>12.138774958357224</v>
      </c>
      <c r="AA276" s="65">
        <f t="shared" si="210"/>
        <v>12.010298169094545</v>
      </c>
      <c r="AB276" s="65">
        <f t="shared" si="210"/>
        <v>11.921512810913416</v>
      </c>
      <c r="AC276" s="65">
        <f t="shared" si="210"/>
        <v>11.860752565965971</v>
      </c>
    </row>
    <row r="277" spans="1:29" x14ac:dyDescent="0.25">
      <c r="A277" s="30" t="str">
        <f t="shared" si="209"/>
        <v>Residual value (vehicle)</v>
      </c>
      <c r="B277" s="66">
        <f>((1+B249)^B256)*B249/(((1+B249)^B256)-1)*(B246)/B261</f>
        <v>-0.97826349212091301</v>
      </c>
      <c r="C277" s="66">
        <f t="shared" ref="C277:AC277" si="211">((1+C249)^C256)*C249/(((1+C249)^C256)-1)*(C246)/C261</f>
        <v>-0.97844931035801319</v>
      </c>
      <c r="D277" s="66">
        <f t="shared" si="211"/>
        <v>-0.97871530502565462</v>
      </c>
      <c r="E277" s="66">
        <f t="shared" si="211"/>
        <v>-0.97909582910329696</v>
      </c>
      <c r="F277" s="66">
        <f t="shared" si="211"/>
        <v>-0.9796396819770542</v>
      </c>
      <c r="G277" s="66">
        <f t="shared" si="211"/>
        <v>-0.98041587755938586</v>
      </c>
      <c r="H277" s="66">
        <f t="shared" si="211"/>
        <v>-0.98152137049024646</v>
      </c>
      <c r="I277" s="66">
        <f t="shared" si="211"/>
        <v>-0.98309101197767967</v>
      </c>
      <c r="J277" s="66">
        <f t="shared" si="211"/>
        <v>-0.98530954938725024</v>
      </c>
      <c r="K277" s="66">
        <f t="shared" si="211"/>
        <v>-0.9884243358845568</v>
      </c>
      <c r="L277" s="66">
        <f t="shared" si="211"/>
        <v>-0.99275501981832481</v>
      </c>
      <c r="M277" s="66">
        <f t="shared" si="211"/>
        <v>-0.99869222548031233</v>
      </c>
      <c r="N277" s="66">
        <f t="shared" si="211"/>
        <v>-1.0066711936847861</v>
      </c>
      <c r="O277" s="66">
        <f t="shared" si="211"/>
        <v>-1.0171012465513283</v>
      </c>
      <c r="P277" s="66">
        <f t="shared" si="211"/>
        <v>-1.0302361352289906</v>
      </c>
      <c r="Q277" s="66">
        <f t="shared" si="211"/>
        <v>-1.0459976246051466</v>
      </c>
      <c r="R277" s="66">
        <f t="shared" si="211"/>
        <v>-1.0638203015397216</v>
      </c>
      <c r="S277" s="66">
        <f t="shared" si="211"/>
        <v>-1.082635628454949</v>
      </c>
      <c r="T277" s="66">
        <f t="shared" si="211"/>
        <v>-1.1010807049295666</v>
      </c>
      <c r="U277" s="66">
        <f t="shared" si="211"/>
        <v>-1.1178716377096476</v>
      </c>
      <c r="V277" s="66">
        <f t="shared" si="211"/>
        <v>-1.1321415394979075</v>
      </c>
      <c r="W277" s="66">
        <f t="shared" si="211"/>
        <v>-1.1435691752356867</v>
      </c>
      <c r="X277" s="66">
        <f t="shared" si="211"/>
        <v>-1.1522889684982804</v>
      </c>
      <c r="Y277" s="66">
        <f t="shared" si="211"/>
        <v>-1.1586987158747175</v>
      </c>
      <c r="Z277" s="66">
        <f t="shared" si="211"/>
        <v>-1.1632815925212061</v>
      </c>
      <c r="AA277" s="66">
        <f t="shared" si="211"/>
        <v>-1.1664935122527731</v>
      </c>
      <c r="AB277" s="66">
        <f t="shared" si="211"/>
        <v>-1.1687131462073013</v>
      </c>
      <c r="AC277" s="66">
        <f t="shared" si="211"/>
        <v>-1.1702321523309871</v>
      </c>
    </row>
    <row r="278" spans="1:29" x14ac:dyDescent="0.25">
      <c r="A278" s="30" t="str">
        <f t="shared" si="209"/>
        <v>Capex costumization</v>
      </c>
      <c r="B278" s="66">
        <f>((1+B249)^B257)*B249/(((1+B249)^B257)-1)*(B247)/B261</f>
        <v>0.65188931843561626</v>
      </c>
      <c r="C278" s="66">
        <f t="shared" ref="C278:AC278" si="212">((1+C249)^C257)*C249/(((1+C249)^C257)-1)*(C247)/C261</f>
        <v>0.65188931843561626</v>
      </c>
      <c r="D278" s="66">
        <f t="shared" si="212"/>
        <v>0.65188931843561626</v>
      </c>
      <c r="E278" s="66">
        <f t="shared" si="212"/>
        <v>0.65188931843561626</v>
      </c>
      <c r="F278" s="66">
        <f t="shared" si="212"/>
        <v>0.65188931843561626</v>
      </c>
      <c r="G278" s="66">
        <f t="shared" si="212"/>
        <v>0.65188931843561626</v>
      </c>
      <c r="H278" s="66">
        <f t="shared" si="212"/>
        <v>0.65188931843561626</v>
      </c>
      <c r="I278" s="66">
        <f t="shared" si="212"/>
        <v>0.65188931843561626</v>
      </c>
      <c r="J278" s="66">
        <f t="shared" si="212"/>
        <v>0.65188931843561626</v>
      </c>
      <c r="K278" s="66">
        <f t="shared" si="212"/>
        <v>0.65188931843561626</v>
      </c>
      <c r="L278" s="66">
        <f t="shared" si="212"/>
        <v>0.65188931843561626</v>
      </c>
      <c r="M278" s="66">
        <f t="shared" si="212"/>
        <v>0.65188931843561626</v>
      </c>
      <c r="N278" s="66">
        <f t="shared" si="212"/>
        <v>0.65188931843561626</v>
      </c>
      <c r="O278" s="66">
        <f t="shared" si="212"/>
        <v>0.65188931843561626</v>
      </c>
      <c r="P278" s="66">
        <f t="shared" si="212"/>
        <v>0.65188931843561626</v>
      </c>
      <c r="Q278" s="66">
        <f t="shared" si="212"/>
        <v>0.65188931843561626</v>
      </c>
      <c r="R278" s="66">
        <f t="shared" si="212"/>
        <v>0.65188931843561626</v>
      </c>
      <c r="S278" s="66">
        <f t="shared" si="212"/>
        <v>0.65188931843561626</v>
      </c>
      <c r="T278" s="66">
        <f t="shared" si="212"/>
        <v>0.65188931843561626</v>
      </c>
      <c r="U278" s="66">
        <f t="shared" si="212"/>
        <v>0.65188931843561626</v>
      </c>
      <c r="V278" s="66">
        <f t="shared" si="212"/>
        <v>0.65188931843561626</v>
      </c>
      <c r="W278" s="66">
        <f t="shared" si="212"/>
        <v>0.65188931843561626</v>
      </c>
      <c r="X278" s="66">
        <f t="shared" si="212"/>
        <v>0.65188931843561626</v>
      </c>
      <c r="Y278" s="66">
        <f t="shared" si="212"/>
        <v>0.65188931843561626</v>
      </c>
      <c r="Z278" s="66">
        <f t="shared" si="212"/>
        <v>0.65188931843561626</v>
      </c>
      <c r="AA278" s="66">
        <f t="shared" si="212"/>
        <v>0.65188931843561626</v>
      </c>
      <c r="AB278" s="66">
        <f t="shared" si="212"/>
        <v>0.65188931843561626</v>
      </c>
      <c r="AC278" s="66">
        <f t="shared" si="212"/>
        <v>0.65188931843561626</v>
      </c>
    </row>
    <row r="279" spans="1:29" x14ac:dyDescent="0.25">
      <c r="A279" s="30" t="str">
        <f t="shared" si="209"/>
        <v>Residual value (costumization)</v>
      </c>
      <c r="B279" s="66">
        <f>((1+B249)^B257)*B249/(((1+B249)^B257)-1)*(B248)/B261</f>
        <v>-6.5188931843561615E-2</v>
      </c>
      <c r="C279" s="66">
        <f t="shared" ref="C279:AC279" si="213">((1+C249)^C257)*C249/(((1+C249)^C257)-1)*(C248)/C261</f>
        <v>-6.5188931843561615E-2</v>
      </c>
      <c r="D279" s="66">
        <f t="shared" si="213"/>
        <v>-6.5188931843561615E-2</v>
      </c>
      <c r="E279" s="66">
        <f t="shared" si="213"/>
        <v>-6.5188931843561615E-2</v>
      </c>
      <c r="F279" s="66">
        <f t="shared" si="213"/>
        <v>-6.5188931843561615E-2</v>
      </c>
      <c r="G279" s="66">
        <f t="shared" si="213"/>
        <v>-6.5188931843561615E-2</v>
      </c>
      <c r="H279" s="66">
        <f t="shared" si="213"/>
        <v>-6.5188931843561615E-2</v>
      </c>
      <c r="I279" s="66">
        <f t="shared" si="213"/>
        <v>-6.5188931843561615E-2</v>
      </c>
      <c r="J279" s="66">
        <f t="shared" si="213"/>
        <v>-6.5188931843561615E-2</v>
      </c>
      <c r="K279" s="66">
        <f t="shared" si="213"/>
        <v>-6.5188931843561615E-2</v>
      </c>
      <c r="L279" s="66">
        <f t="shared" si="213"/>
        <v>-6.5188931843561615E-2</v>
      </c>
      <c r="M279" s="66">
        <f t="shared" si="213"/>
        <v>-6.5188931843561615E-2</v>
      </c>
      <c r="N279" s="66">
        <f t="shared" si="213"/>
        <v>-6.5188931843561615E-2</v>
      </c>
      <c r="O279" s="66">
        <f t="shared" si="213"/>
        <v>-6.5188931843561615E-2</v>
      </c>
      <c r="P279" s="66">
        <f t="shared" si="213"/>
        <v>-6.5188931843561615E-2</v>
      </c>
      <c r="Q279" s="66">
        <f t="shared" si="213"/>
        <v>-6.5188931843561615E-2</v>
      </c>
      <c r="R279" s="66">
        <f t="shared" si="213"/>
        <v>-6.5188931843561615E-2</v>
      </c>
      <c r="S279" s="66">
        <f t="shared" si="213"/>
        <v>-6.5188931843561615E-2</v>
      </c>
      <c r="T279" s="66">
        <f t="shared" si="213"/>
        <v>-6.5188931843561615E-2</v>
      </c>
      <c r="U279" s="66">
        <f t="shared" si="213"/>
        <v>-6.5188931843561615E-2</v>
      </c>
      <c r="V279" s="66">
        <f t="shared" si="213"/>
        <v>-6.5188931843561615E-2</v>
      </c>
      <c r="W279" s="66">
        <f t="shared" si="213"/>
        <v>-6.5188931843561615E-2</v>
      </c>
      <c r="X279" s="66">
        <f t="shared" si="213"/>
        <v>-6.5188931843561615E-2</v>
      </c>
      <c r="Y279" s="66">
        <f t="shared" si="213"/>
        <v>-6.5188931843561615E-2</v>
      </c>
      <c r="Z279" s="66">
        <f t="shared" si="213"/>
        <v>-6.5188931843561615E-2</v>
      </c>
      <c r="AA279" s="66">
        <f t="shared" si="213"/>
        <v>-6.5188931843561615E-2</v>
      </c>
      <c r="AB279" s="66">
        <f t="shared" si="213"/>
        <v>-6.5188931843561615E-2</v>
      </c>
      <c r="AC279" s="66">
        <f t="shared" si="213"/>
        <v>-6.5188931843561615E-2</v>
      </c>
    </row>
    <row r="280" spans="1:29" x14ac:dyDescent="0.25">
      <c r="A280" s="30" t="str">
        <f t="shared" si="209"/>
        <v>Opex fix (admin, crew, insurance)</v>
      </c>
      <c r="B280" s="66">
        <f>B250/B261</f>
        <v>10.068627450980392</v>
      </c>
      <c r="C280" s="66">
        <f t="shared" ref="C280:AC280" si="214">C250/C261</f>
        <v>10.068627450980392</v>
      </c>
      <c r="D280" s="66">
        <f t="shared" si="214"/>
        <v>10.068627450980392</v>
      </c>
      <c r="E280" s="66">
        <f t="shared" si="214"/>
        <v>10.068627450980392</v>
      </c>
      <c r="F280" s="66">
        <f t="shared" si="214"/>
        <v>10.068627450980392</v>
      </c>
      <c r="G280" s="66">
        <f t="shared" si="214"/>
        <v>10.068627450980392</v>
      </c>
      <c r="H280" s="66">
        <f t="shared" si="214"/>
        <v>10.068627450980392</v>
      </c>
      <c r="I280" s="66">
        <f t="shared" si="214"/>
        <v>10.068627450980392</v>
      </c>
      <c r="J280" s="66">
        <f t="shared" si="214"/>
        <v>10.068627450980392</v>
      </c>
      <c r="K280" s="66">
        <f t="shared" si="214"/>
        <v>10.068627450980392</v>
      </c>
      <c r="L280" s="66">
        <f t="shared" si="214"/>
        <v>10.068627450980392</v>
      </c>
      <c r="M280" s="66">
        <f t="shared" si="214"/>
        <v>10.068627450980392</v>
      </c>
      <c r="N280" s="66">
        <f t="shared" si="214"/>
        <v>10.068627450980392</v>
      </c>
      <c r="O280" s="66">
        <f t="shared" si="214"/>
        <v>10.068627450980392</v>
      </c>
      <c r="P280" s="66">
        <f t="shared" si="214"/>
        <v>10.068627450980392</v>
      </c>
      <c r="Q280" s="66">
        <f t="shared" si="214"/>
        <v>10.068627450980392</v>
      </c>
      <c r="R280" s="66">
        <f t="shared" si="214"/>
        <v>10.068627450980392</v>
      </c>
      <c r="S280" s="66">
        <f t="shared" si="214"/>
        <v>10.068627450980392</v>
      </c>
      <c r="T280" s="66">
        <f t="shared" si="214"/>
        <v>10.068627450980392</v>
      </c>
      <c r="U280" s="66">
        <f t="shared" si="214"/>
        <v>10.068627450980392</v>
      </c>
      <c r="V280" s="66">
        <f t="shared" si="214"/>
        <v>10.068627450980392</v>
      </c>
      <c r="W280" s="66">
        <f t="shared" si="214"/>
        <v>10.068627450980392</v>
      </c>
      <c r="X280" s="66">
        <f t="shared" si="214"/>
        <v>10.068627450980392</v>
      </c>
      <c r="Y280" s="66">
        <f t="shared" si="214"/>
        <v>10.068627450980392</v>
      </c>
      <c r="Z280" s="66">
        <f t="shared" si="214"/>
        <v>10.068627450980392</v>
      </c>
      <c r="AA280" s="66">
        <f t="shared" si="214"/>
        <v>10.068627450980392</v>
      </c>
      <c r="AB280" s="66">
        <f t="shared" si="214"/>
        <v>10.068627450980392</v>
      </c>
      <c r="AC280" s="66">
        <f t="shared" si="214"/>
        <v>10.068627450980392</v>
      </c>
    </row>
    <row r="281" spans="1:29" x14ac:dyDescent="0.25">
      <c r="A281" s="30" t="str">
        <f t="shared" si="209"/>
        <v>Opex maintenance &amp; repair</v>
      </c>
      <c r="B281" s="66">
        <f>B251/B261</f>
        <v>2.8235294117647056</v>
      </c>
      <c r="C281" s="66">
        <f t="shared" ref="C281:AC281" si="215">C251/C261</f>
        <v>2.8235294117647056</v>
      </c>
      <c r="D281" s="66">
        <f t="shared" si="215"/>
        <v>2.8235294117647056</v>
      </c>
      <c r="E281" s="66">
        <f t="shared" si="215"/>
        <v>2.8235294117647056</v>
      </c>
      <c r="F281" s="66">
        <f t="shared" si="215"/>
        <v>2.8235294117647056</v>
      </c>
      <c r="G281" s="66">
        <f t="shared" si="215"/>
        <v>2.8235294117647056</v>
      </c>
      <c r="H281" s="66">
        <f t="shared" si="215"/>
        <v>2.8235294117647056</v>
      </c>
      <c r="I281" s="66">
        <f t="shared" si="215"/>
        <v>2.8235294117647056</v>
      </c>
      <c r="J281" s="66">
        <f t="shared" si="215"/>
        <v>2.8235294117647056</v>
      </c>
      <c r="K281" s="66">
        <f t="shared" si="215"/>
        <v>2.8235294117647056</v>
      </c>
      <c r="L281" s="66">
        <f t="shared" si="215"/>
        <v>2.8235294117647056</v>
      </c>
      <c r="M281" s="66">
        <f t="shared" si="215"/>
        <v>2.8235294117647056</v>
      </c>
      <c r="N281" s="66">
        <f t="shared" si="215"/>
        <v>2.8235294117647056</v>
      </c>
      <c r="O281" s="66">
        <f t="shared" si="215"/>
        <v>2.8235294117647056</v>
      </c>
      <c r="P281" s="66">
        <f t="shared" si="215"/>
        <v>2.8235294117647056</v>
      </c>
      <c r="Q281" s="66">
        <f t="shared" si="215"/>
        <v>2.8235294117647056</v>
      </c>
      <c r="R281" s="66">
        <f t="shared" si="215"/>
        <v>2.8235294117647056</v>
      </c>
      <c r="S281" s="66">
        <f t="shared" si="215"/>
        <v>2.8235294117647056</v>
      </c>
      <c r="T281" s="66">
        <f t="shared" si="215"/>
        <v>2.8235294117647056</v>
      </c>
      <c r="U281" s="66">
        <f t="shared" si="215"/>
        <v>2.8235294117647056</v>
      </c>
      <c r="V281" s="66">
        <f t="shared" si="215"/>
        <v>2.8235294117647056</v>
      </c>
      <c r="W281" s="66">
        <f t="shared" si="215"/>
        <v>2.8235294117647056</v>
      </c>
      <c r="X281" s="66">
        <f t="shared" si="215"/>
        <v>2.8235294117647056</v>
      </c>
      <c r="Y281" s="66">
        <f t="shared" si="215"/>
        <v>2.8235294117647056</v>
      </c>
      <c r="Z281" s="66">
        <f t="shared" si="215"/>
        <v>2.8235294117647056</v>
      </c>
      <c r="AA281" s="66">
        <f t="shared" si="215"/>
        <v>2.8235294117647056</v>
      </c>
      <c r="AB281" s="66">
        <f t="shared" si="215"/>
        <v>2.8235294117647056</v>
      </c>
      <c r="AC281" s="66">
        <f t="shared" si="215"/>
        <v>2.8235294117647056</v>
      </c>
    </row>
    <row r="282" spans="1:29" x14ac:dyDescent="0.25">
      <c r="A282" s="30" t="str">
        <f t="shared" si="209"/>
        <v>Opex var (mode-fees)</v>
      </c>
      <c r="B282" s="66">
        <f>B252*B261/B261</f>
        <v>0.81280569096848254</v>
      </c>
      <c r="C282" s="66">
        <f t="shared" ref="C282:AC282" si="216">C252*C261/C261</f>
        <v>0.81280569096848254</v>
      </c>
      <c r="D282" s="66">
        <f t="shared" si="216"/>
        <v>0.81280569096848254</v>
      </c>
      <c r="E282" s="66">
        <f t="shared" si="216"/>
        <v>0.81280569096848254</v>
      </c>
      <c r="F282" s="66">
        <f t="shared" si="216"/>
        <v>0.81280569096848254</v>
      </c>
      <c r="G282" s="66">
        <f t="shared" si="216"/>
        <v>0.81280569096848254</v>
      </c>
      <c r="H282" s="66">
        <f t="shared" si="216"/>
        <v>0.81280569096848254</v>
      </c>
      <c r="I282" s="66">
        <f t="shared" si="216"/>
        <v>0.81280569096848254</v>
      </c>
      <c r="J282" s="66">
        <f t="shared" si="216"/>
        <v>0.81280569096848254</v>
      </c>
      <c r="K282" s="66">
        <f t="shared" si="216"/>
        <v>0.81280569096848254</v>
      </c>
      <c r="L282" s="66">
        <f t="shared" si="216"/>
        <v>0.81280569096848254</v>
      </c>
      <c r="M282" s="66">
        <f t="shared" si="216"/>
        <v>0.81280569096848254</v>
      </c>
      <c r="N282" s="66">
        <f t="shared" si="216"/>
        <v>0.81280569096848254</v>
      </c>
      <c r="O282" s="66">
        <f t="shared" si="216"/>
        <v>0.81280569096848254</v>
      </c>
      <c r="P282" s="66">
        <f t="shared" si="216"/>
        <v>0.81280569096848254</v>
      </c>
      <c r="Q282" s="66">
        <f t="shared" si="216"/>
        <v>0.81280569096848254</v>
      </c>
      <c r="R282" s="66">
        <f t="shared" si="216"/>
        <v>0.81280569096848254</v>
      </c>
      <c r="S282" s="66">
        <f t="shared" si="216"/>
        <v>0.81280569096848254</v>
      </c>
      <c r="T282" s="66">
        <f t="shared" si="216"/>
        <v>0.81280569096848254</v>
      </c>
      <c r="U282" s="66">
        <f t="shared" si="216"/>
        <v>0.81280569096848254</v>
      </c>
      <c r="V282" s="66">
        <f t="shared" si="216"/>
        <v>0.81280569096848254</v>
      </c>
      <c r="W282" s="66">
        <f t="shared" si="216"/>
        <v>0.81280569096848254</v>
      </c>
      <c r="X282" s="66">
        <f t="shared" si="216"/>
        <v>0.81280569096848254</v>
      </c>
      <c r="Y282" s="66">
        <f t="shared" si="216"/>
        <v>0.81280569096848254</v>
      </c>
      <c r="Z282" s="66">
        <f t="shared" si="216"/>
        <v>0.81280569096848254</v>
      </c>
      <c r="AA282" s="66">
        <f t="shared" si="216"/>
        <v>0.81280569096848254</v>
      </c>
      <c r="AB282" s="66">
        <f t="shared" si="216"/>
        <v>0.81280569096848254</v>
      </c>
      <c r="AC282" s="66">
        <f t="shared" si="216"/>
        <v>0.81280569096848254</v>
      </c>
    </row>
    <row r="283" spans="1:29" x14ac:dyDescent="0.25">
      <c r="A283" s="30" t="str">
        <f t="shared" si="209"/>
        <v>Fuel Cost</v>
      </c>
      <c r="B283" s="66">
        <f>B253*B254*B261/B261</f>
        <v>140.70597610057428</v>
      </c>
      <c r="C283" s="66">
        <f t="shared" ref="C283:AC283" si="217">C253*C254*C261/C261</f>
        <v>140.48462898698176</v>
      </c>
      <c r="D283" s="66">
        <f t="shared" si="217"/>
        <v>140.1687317307919</v>
      </c>
      <c r="E283" s="66">
        <f t="shared" si="217"/>
        <v>139.71883729702895</v>
      </c>
      <c r="F283" s="66">
        <f t="shared" si="217"/>
        <v>139.08008214110936</v>
      </c>
      <c r="G283" s="66">
        <f t="shared" si="217"/>
        <v>138.17730009800485</v>
      </c>
      <c r="H283" s="66">
        <f t="shared" si="217"/>
        <v>136.90983365823405</v>
      </c>
      <c r="I283" s="66">
        <f t="shared" si="217"/>
        <v>135.14753701853317</v>
      </c>
      <c r="J283" s="66">
        <f t="shared" si="217"/>
        <v>132.73117079649626</v>
      </c>
      <c r="K283" s="66">
        <f t="shared" si="217"/>
        <v>129.48280462430978</v>
      </c>
      <c r="L283" s="66">
        <f t="shared" si="217"/>
        <v>125.23388081735735</v>
      </c>
      <c r="M283" s="66">
        <f t="shared" si="217"/>
        <v>119.87692437856056</v>
      </c>
      <c r="N283" s="66">
        <f t="shared" si="217"/>
        <v>113.43605579128059</v>
      </c>
      <c r="O283" s="66">
        <f t="shared" si="217"/>
        <v>106.12947535249178</v>
      </c>
      <c r="P283" s="66">
        <f t="shared" si="217"/>
        <v>98.377444703033376</v>
      </c>
      <c r="Q283" s="66">
        <f t="shared" si="217"/>
        <v>90.722213315106885</v>
      </c>
      <c r="R283" s="66">
        <f t="shared" si="217"/>
        <v>83.683163199268776</v>
      </c>
      <c r="S283" s="66">
        <f t="shared" si="217"/>
        <v>77.624194765751071</v>
      </c>
      <c r="T283" s="66">
        <f t="shared" si="217"/>
        <v>72.69968047896613</v>
      </c>
      <c r="U283" s="66">
        <f t="shared" si="217"/>
        <v>68.882889696713974</v>
      </c>
      <c r="V283" s="66">
        <f t="shared" si="217"/>
        <v>66.034788385357501</v>
      </c>
      <c r="W283" s="66">
        <f t="shared" si="217"/>
        <v>63.971244956097934</v>
      </c>
      <c r="X283" s="66">
        <f t="shared" si="217"/>
        <v>62.509144178242991</v>
      </c>
      <c r="Y283" s="66">
        <f t="shared" si="217"/>
        <v>61.490145428142043</v>
      </c>
      <c r="Z283" s="66">
        <f t="shared" si="217"/>
        <v>60.788384802109704</v>
      </c>
      <c r="AA283" s="66">
        <f t="shared" si="217"/>
        <v>60.3091687941495</v>
      </c>
      <c r="AB283" s="66">
        <f t="shared" si="217"/>
        <v>59.983849298004642</v>
      </c>
      <c r="AC283" s="66">
        <f t="shared" si="217"/>
        <v>59.763900875945673</v>
      </c>
    </row>
    <row r="284" spans="1:29" ht="15.75" thickBot="1" x14ac:dyDescent="0.3">
      <c r="A284" s="59" t="str">
        <f t="shared" ref="A284" si="218">A272</f>
        <v>Emission Cost</v>
      </c>
      <c r="B284" s="66">
        <f>B255</f>
        <v>2.4864501794892204</v>
      </c>
      <c r="C284" s="66">
        <f t="shared" ref="C284:AC284" si="219">C255</f>
        <v>2.4840824730905622</v>
      </c>
      <c r="D284" s="66">
        <f t="shared" si="219"/>
        <v>2.4806931541172901</v>
      </c>
      <c r="E284" s="66">
        <f t="shared" si="219"/>
        <v>2.4758444949784595</v>
      </c>
      <c r="F284" s="66">
        <f t="shared" si="219"/>
        <v>2.4689146911593123</v>
      </c>
      <c r="G284" s="66">
        <f t="shared" si="219"/>
        <v>2.4590243635166811</v>
      </c>
      <c r="H284" s="66">
        <f t="shared" si="219"/>
        <v>2.4449381105906096</v>
      </c>
      <c r="I284" s="66">
        <f t="shared" si="219"/>
        <v>2.4249376507251341</v>
      </c>
      <c r="J284" s="66">
        <f t="shared" si="219"/>
        <v>2.3966689226267675</v>
      </c>
      <c r="K284" s="66">
        <f t="shared" si="219"/>
        <v>2.3569801383867617</v>
      </c>
      <c r="L284" s="66">
        <f t="shared" si="219"/>
        <v>2.3017983208183335</v>
      </c>
      <c r="M284" s="66">
        <f t="shared" si="219"/>
        <v>2.2261461132879194</v>
      </c>
      <c r="N284" s="66">
        <f t="shared" si="219"/>
        <v>2.1244776529298637</v>
      </c>
      <c r="O284" s="66">
        <f t="shared" si="219"/>
        <v>1.991577334339808</v>
      </c>
      <c r="P284" s="66">
        <f t="shared" si="219"/>
        <v>1.824211846145027</v>
      </c>
      <c r="Q284" s="66">
        <f t="shared" si="219"/>
        <v>1.6233780645383806</v>
      </c>
      <c r="R284" s="66">
        <f t="shared" si="219"/>
        <v>1.396280515461632</v>
      </c>
      <c r="S284" s="66">
        <f t="shared" si="219"/>
        <v>1.156534564659107</v>
      </c>
      <c r="T284" s="66">
        <f t="shared" si="219"/>
        <v>0.92150636573615219</v>
      </c>
      <c r="U284" s="66">
        <f t="shared" si="219"/>
        <v>0.70755535854084983</v>
      </c>
      <c r="V284" s="66">
        <f t="shared" si="219"/>
        <v>0.52572746963416073</v>
      </c>
      <c r="W284" s="66">
        <f t="shared" si="219"/>
        <v>0.38011589414984037</v>
      </c>
      <c r="X284" s="66">
        <f t="shared" si="219"/>
        <v>0.26900779935239649</v>
      </c>
      <c r="Y284" s="66">
        <f t="shared" si="219"/>
        <v>0.18733443879419109</v>
      </c>
      <c r="Z284" s="66">
        <f t="shared" si="219"/>
        <v>0.12893916753616796</v>
      </c>
      <c r="AA284" s="66">
        <f t="shared" si="219"/>
        <v>8.8012706177544864E-2</v>
      </c>
      <c r="AB284" s="66">
        <f t="shared" si="219"/>
        <v>5.9730005841827971E-2</v>
      </c>
      <c r="AC284" s="66">
        <f t="shared" si="219"/>
        <v>4.0374744621079817E-2</v>
      </c>
    </row>
    <row r="285" spans="1:29" ht="15.75" thickBot="1" x14ac:dyDescent="0.3">
      <c r="A285" s="31" t="s">
        <v>63</v>
      </c>
      <c r="B285" s="76">
        <f>B276+B277+B278-B279+B280+B281+B282+B283+B284</f>
        <v>176.17570256630427</v>
      </c>
      <c r="C285" s="76">
        <f t="shared" ref="C285:AC285" si="220">C276+C277+C278-C279+C280+C281+C282+C283+C284</f>
        <v>175.94436919859197</v>
      </c>
      <c r="D285" s="76">
        <f t="shared" si="220"/>
        <v>175.61417684205557</v>
      </c>
      <c r="E285" s="76">
        <f t="shared" si="220"/>
        <v>175.14383226197043</v>
      </c>
      <c r="F285" s="76">
        <f t="shared" si="220"/>
        <v>174.47584933440766</v>
      </c>
      <c r="G285" s="76">
        <f t="shared" si="220"/>
        <v>173.53135294478491</v>
      </c>
      <c r="H285" s="76">
        <f t="shared" si="220"/>
        <v>172.20447504192276</v>
      </c>
      <c r="I285" s="76">
        <f t="shared" si="220"/>
        <v>170.35782264137165</v>
      </c>
      <c r="J285" s="76">
        <f t="shared" si="220"/>
        <v>167.82222765744399</v>
      </c>
      <c r="K285" s="76">
        <f t="shared" si="220"/>
        <v>164.40646645462795</v>
      </c>
      <c r="L285" s="76">
        <f t="shared" si="220"/>
        <v>159.92480278882257</v>
      </c>
      <c r="M285" s="76">
        <f t="shared" si="220"/>
        <v>154.24876871035389</v>
      </c>
      <c r="N285" s="76">
        <f t="shared" si="220"/>
        <v>147.37909396633245</v>
      </c>
      <c r="O285" s="76">
        <f t="shared" si="220"/>
        <v>139.51198104142534</v>
      </c>
      <c r="P285" s="76">
        <f t="shared" si="220"/>
        <v>131.05405446798801</v>
      </c>
      <c r="Q285" s="76">
        <f t="shared" si="220"/>
        <v>122.55176823403248</v>
      </c>
      <c r="R285" s="76">
        <f t="shared" si="220"/>
        <v>114.55489081480003</v>
      </c>
      <c r="S285" s="76">
        <f t="shared" si="220"/>
        <v>107.48474802695549</v>
      </c>
      <c r="T285" s="76">
        <f t="shared" si="220"/>
        <v>101.56895740578827</v>
      </c>
      <c r="U285" s="76">
        <f t="shared" si="220"/>
        <v>96.849787372357483</v>
      </c>
      <c r="V285" s="76">
        <f t="shared" si="220"/>
        <v>93.234792198775679</v>
      </c>
      <c r="W285" s="76">
        <f t="shared" si="220"/>
        <v>90.557104128782839</v>
      </c>
      <c r="X285" s="76">
        <f t="shared" si="220"/>
        <v>88.626383732364104</v>
      </c>
      <c r="Y285" s="76">
        <f t="shared" si="220"/>
        <v>87.262911979271038</v>
      </c>
      <c r="Z285" s="76">
        <f t="shared" si="220"/>
        <v>86.314858139474651</v>
      </c>
      <c r="AA285" s="76">
        <f t="shared" si="220"/>
        <v>85.663026961161577</v>
      </c>
      <c r="AB285" s="76">
        <f t="shared" si="220"/>
        <v>85.218419772545346</v>
      </c>
      <c r="AC285" s="76">
        <f t="shared" si="220"/>
        <v>84.916836838194484</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21">A264</f>
        <v>Capex vehicle</v>
      </c>
      <c r="B288" s="65">
        <f>((1+B249)^B256)*B249/(((1+B249)^B256)-1)*(B245)/B261/(B258)</f>
        <v>2.0676718491395704E-3</v>
      </c>
      <c r="C288" s="65">
        <f t="shared" ref="C288:AC288" si="222">((1+C249)^C256)*C249/(((1+C249)^C256)-1)*(C245)/C261/(C258)</f>
        <v>2.0668853169190406E-3</v>
      </c>
      <c r="D288" s="65">
        <f t="shared" si="222"/>
        <v>2.0657594135639443E-3</v>
      </c>
      <c r="E288" s="65">
        <f t="shared" si="222"/>
        <v>2.064148729637416E-3</v>
      </c>
      <c r="F288" s="65">
        <f t="shared" si="222"/>
        <v>2.0618467068913536E-3</v>
      </c>
      <c r="G288" s="65">
        <f t="shared" si="222"/>
        <v>2.0585612229449763E-3</v>
      </c>
      <c r="H288" s="65">
        <f t="shared" si="222"/>
        <v>2.0538818877878949E-3</v>
      </c>
      <c r="I288" s="65">
        <f t="shared" si="222"/>
        <v>2.0472379026559013E-3</v>
      </c>
      <c r="J288" s="65">
        <f t="shared" si="222"/>
        <v>2.0378472681180375E-3</v>
      </c>
      <c r="K288" s="65">
        <f t="shared" si="222"/>
        <v>2.0246629866479565E-3</v>
      </c>
      <c r="L288" s="65">
        <f t="shared" si="222"/>
        <v>2.0063320493621663E-3</v>
      </c>
      <c r="M288" s="65">
        <f t="shared" si="222"/>
        <v>1.9812010201050753E-3</v>
      </c>
      <c r="N288" s="65">
        <f t="shared" si="222"/>
        <v>1.9474276097157688E-3</v>
      </c>
      <c r="O288" s="65">
        <f t="shared" si="222"/>
        <v>1.9032792377938971E-3</v>
      </c>
      <c r="P288" s="65">
        <f t="shared" si="222"/>
        <v>1.8476818254016762E-3</v>
      </c>
      <c r="Q288" s="65">
        <f t="shared" si="222"/>
        <v>1.7809665264549839E-3</v>
      </c>
      <c r="R288" s="65">
        <f t="shared" si="222"/>
        <v>1.7055266240864123E-3</v>
      </c>
      <c r="S288" s="65">
        <f t="shared" si="222"/>
        <v>1.6258850286780425E-3</v>
      </c>
      <c r="T288" s="65">
        <f t="shared" si="222"/>
        <v>1.547810630901883E-3</v>
      </c>
      <c r="U288" s="65">
        <f t="shared" si="222"/>
        <v>1.4767378995576251E-3</v>
      </c>
      <c r="V288" s="65">
        <f t="shared" si="222"/>
        <v>1.4163361988665782E-3</v>
      </c>
      <c r="W288" s="65">
        <f t="shared" si="222"/>
        <v>1.3679652539447613E-3</v>
      </c>
      <c r="X288" s="65">
        <f t="shared" si="222"/>
        <v>1.3310560761136767E-3</v>
      </c>
      <c r="Y288" s="65">
        <f t="shared" si="222"/>
        <v>1.3039248702874885E-3</v>
      </c>
      <c r="Z288" s="65">
        <f t="shared" si="222"/>
        <v>1.2845264506198121E-3</v>
      </c>
      <c r="AA288" s="65">
        <f t="shared" si="222"/>
        <v>1.270931023184608E-3</v>
      </c>
      <c r="AB288" s="65">
        <f t="shared" si="222"/>
        <v>1.2615357471866049E-3</v>
      </c>
      <c r="AC288" s="65">
        <f t="shared" si="222"/>
        <v>1.2551060916366106E-3</v>
      </c>
    </row>
    <row r="289" spans="1:29" x14ac:dyDescent="0.25">
      <c r="A289" s="30" t="str">
        <f t="shared" si="221"/>
        <v>Residual value (vehicle)</v>
      </c>
      <c r="B289" s="68">
        <f>((1+B249)^B256)*B249/(((1+B249)^B256)-1)*(B246)/B261/(B258)</f>
        <v>-1.0351994625618128E-4</v>
      </c>
      <c r="C289" s="68">
        <f t="shared" ref="C289:AC289" si="223">((1+C249)^C256)*C249/(((1+C249)^C256)-1)*(C246)/C261/(C258)</f>
        <v>-1.0353960956169452E-4</v>
      </c>
      <c r="D289" s="68">
        <f t="shared" si="223"/>
        <v>-1.0356775714557191E-4</v>
      </c>
      <c r="E289" s="68">
        <f t="shared" si="223"/>
        <v>-1.0360802424373513E-4</v>
      </c>
      <c r="F289" s="68">
        <f t="shared" si="223"/>
        <v>-1.0366557481238669E-4</v>
      </c>
      <c r="G289" s="68">
        <f t="shared" si="223"/>
        <v>-1.0374771191104613E-4</v>
      </c>
      <c r="H289" s="68">
        <f t="shared" si="223"/>
        <v>-1.0386469528997317E-4</v>
      </c>
      <c r="I289" s="68">
        <f t="shared" si="223"/>
        <v>-1.0403079491827298E-4</v>
      </c>
      <c r="J289" s="68">
        <f t="shared" si="223"/>
        <v>-1.042655607817196E-4</v>
      </c>
      <c r="K289" s="68">
        <f t="shared" si="223"/>
        <v>-1.0459516781847161E-4</v>
      </c>
      <c r="L289" s="68">
        <f t="shared" si="223"/>
        <v>-1.0505344125061638E-4</v>
      </c>
      <c r="M289" s="68">
        <f t="shared" si="223"/>
        <v>-1.0568171698204363E-4</v>
      </c>
      <c r="N289" s="68">
        <f t="shared" si="223"/>
        <v>-1.0652605224177631E-4</v>
      </c>
      <c r="O289" s="68">
        <f t="shared" si="223"/>
        <v>-1.076297615398231E-4</v>
      </c>
      <c r="P289" s="68">
        <f t="shared" si="223"/>
        <v>-1.0901969684962864E-4</v>
      </c>
      <c r="Q289" s="68">
        <f t="shared" si="223"/>
        <v>-1.1068757932329594E-4</v>
      </c>
      <c r="R289" s="68">
        <f t="shared" si="223"/>
        <v>-1.1257357688251022E-4</v>
      </c>
      <c r="S289" s="68">
        <f t="shared" si="223"/>
        <v>-1.1456461676771947E-4</v>
      </c>
      <c r="T289" s="68">
        <f t="shared" si="223"/>
        <v>-1.1651647671212345E-4</v>
      </c>
      <c r="U289" s="68">
        <f t="shared" si="223"/>
        <v>-1.182932949957299E-4</v>
      </c>
      <c r="V289" s="68">
        <f t="shared" si="223"/>
        <v>-1.1980333751300609E-4</v>
      </c>
      <c r="W289" s="68">
        <f t="shared" si="223"/>
        <v>-1.210126111360515E-4</v>
      </c>
      <c r="X289" s="68">
        <f t="shared" si="223"/>
        <v>-1.2193534058182861E-4</v>
      </c>
      <c r="Y289" s="68">
        <f t="shared" si="223"/>
        <v>-1.2261362072748334E-4</v>
      </c>
      <c r="Z289" s="68">
        <f t="shared" si="223"/>
        <v>-1.2309858121917525E-4</v>
      </c>
      <c r="AA289" s="68">
        <f t="shared" si="223"/>
        <v>-1.2343846690505536E-4</v>
      </c>
      <c r="AB289" s="68">
        <f t="shared" si="223"/>
        <v>-1.2367334880500542E-4</v>
      </c>
      <c r="AC289" s="68">
        <f t="shared" si="223"/>
        <v>-1.2383409019375524E-4</v>
      </c>
    </row>
    <row r="290" spans="1:29" x14ac:dyDescent="0.25">
      <c r="A290" s="30" t="str">
        <f t="shared" si="221"/>
        <v>Capex costumization</v>
      </c>
      <c r="B290" s="66">
        <f>((1+B249)^B257)*B249/(((1+B249)^B257)-1)*(B247)/B261/(B258)</f>
        <v>6.8982996659853576E-5</v>
      </c>
      <c r="C290" s="66">
        <f t="shared" ref="C290:AC290" si="224">((1+C249)^C257)*C249/(((1+C249)^C257)-1)*(C247)/C261/(C258)</f>
        <v>6.8982996659853576E-5</v>
      </c>
      <c r="D290" s="66">
        <f t="shared" si="224"/>
        <v>6.8982996659853576E-5</v>
      </c>
      <c r="E290" s="66">
        <f t="shared" si="224"/>
        <v>6.8982996659853576E-5</v>
      </c>
      <c r="F290" s="66">
        <f t="shared" si="224"/>
        <v>6.8982996659853576E-5</v>
      </c>
      <c r="G290" s="66">
        <f t="shared" si="224"/>
        <v>6.8982996659853576E-5</v>
      </c>
      <c r="H290" s="66">
        <f t="shared" si="224"/>
        <v>6.8982996659853576E-5</v>
      </c>
      <c r="I290" s="66">
        <f t="shared" si="224"/>
        <v>6.8982996659853576E-5</v>
      </c>
      <c r="J290" s="66">
        <f t="shared" si="224"/>
        <v>6.8982996659853576E-5</v>
      </c>
      <c r="K290" s="66">
        <f t="shared" si="224"/>
        <v>6.8982996659853576E-5</v>
      </c>
      <c r="L290" s="66">
        <f t="shared" si="224"/>
        <v>6.8982996659853576E-5</v>
      </c>
      <c r="M290" s="66">
        <f t="shared" si="224"/>
        <v>6.8982996659853576E-5</v>
      </c>
      <c r="N290" s="66">
        <f t="shared" si="224"/>
        <v>6.8982996659853576E-5</v>
      </c>
      <c r="O290" s="66">
        <f t="shared" si="224"/>
        <v>6.8982996659853576E-5</v>
      </c>
      <c r="P290" s="66">
        <f t="shared" si="224"/>
        <v>6.8982996659853576E-5</v>
      </c>
      <c r="Q290" s="66">
        <f t="shared" si="224"/>
        <v>6.8982996659853576E-5</v>
      </c>
      <c r="R290" s="66">
        <f t="shared" si="224"/>
        <v>6.8982996659853576E-5</v>
      </c>
      <c r="S290" s="66">
        <f t="shared" si="224"/>
        <v>6.8982996659853576E-5</v>
      </c>
      <c r="T290" s="66">
        <f t="shared" si="224"/>
        <v>6.8982996659853576E-5</v>
      </c>
      <c r="U290" s="66">
        <f t="shared" si="224"/>
        <v>6.8982996659853576E-5</v>
      </c>
      <c r="V290" s="66">
        <f t="shared" si="224"/>
        <v>6.8982996659853576E-5</v>
      </c>
      <c r="W290" s="66">
        <f t="shared" si="224"/>
        <v>6.8982996659853576E-5</v>
      </c>
      <c r="X290" s="66">
        <f t="shared" si="224"/>
        <v>6.8982996659853576E-5</v>
      </c>
      <c r="Y290" s="66">
        <f t="shared" si="224"/>
        <v>6.8982996659853576E-5</v>
      </c>
      <c r="Z290" s="66">
        <f t="shared" si="224"/>
        <v>6.8982996659853576E-5</v>
      </c>
      <c r="AA290" s="66">
        <f t="shared" si="224"/>
        <v>6.8982996659853576E-5</v>
      </c>
      <c r="AB290" s="66">
        <f t="shared" si="224"/>
        <v>6.8982996659853576E-5</v>
      </c>
      <c r="AC290" s="66">
        <f t="shared" si="224"/>
        <v>6.8982996659853576E-5</v>
      </c>
    </row>
    <row r="291" spans="1:29" x14ac:dyDescent="0.25">
      <c r="A291" s="30" t="str">
        <f t="shared" si="221"/>
        <v>Residual value (costumization)</v>
      </c>
      <c r="B291" s="69">
        <f>((1+B249)^B257)*B249/(((1+B249)^B257)-1)*(B248)/B261/(B258)</f>
        <v>-6.8982996659853564E-6</v>
      </c>
      <c r="C291" s="69">
        <f t="shared" ref="C291:AC291" si="225">((1+C249)^C257)*C249/(((1+C249)^C257)-1)*(C248)/C261/(C258)</f>
        <v>-6.8982996659853564E-6</v>
      </c>
      <c r="D291" s="69">
        <f t="shared" si="225"/>
        <v>-6.8982996659853564E-6</v>
      </c>
      <c r="E291" s="69">
        <f t="shared" si="225"/>
        <v>-6.8982996659853564E-6</v>
      </c>
      <c r="F291" s="69">
        <f t="shared" si="225"/>
        <v>-6.8982996659853564E-6</v>
      </c>
      <c r="G291" s="69">
        <f t="shared" si="225"/>
        <v>-6.8982996659853564E-6</v>
      </c>
      <c r="H291" s="69">
        <f t="shared" si="225"/>
        <v>-6.8982996659853564E-6</v>
      </c>
      <c r="I291" s="69">
        <f t="shared" si="225"/>
        <v>-6.8982996659853564E-6</v>
      </c>
      <c r="J291" s="69">
        <f t="shared" si="225"/>
        <v>-6.8982996659853564E-6</v>
      </c>
      <c r="K291" s="69">
        <f t="shared" si="225"/>
        <v>-6.8982996659853564E-6</v>
      </c>
      <c r="L291" s="69">
        <f t="shared" si="225"/>
        <v>-6.8982996659853564E-6</v>
      </c>
      <c r="M291" s="69">
        <f t="shared" si="225"/>
        <v>-6.8982996659853564E-6</v>
      </c>
      <c r="N291" s="69">
        <f t="shared" si="225"/>
        <v>-6.8982996659853564E-6</v>
      </c>
      <c r="O291" s="69">
        <f t="shared" si="225"/>
        <v>-6.8982996659853564E-6</v>
      </c>
      <c r="P291" s="69">
        <f t="shared" si="225"/>
        <v>-6.8982996659853564E-6</v>
      </c>
      <c r="Q291" s="69">
        <f t="shared" si="225"/>
        <v>-6.8982996659853564E-6</v>
      </c>
      <c r="R291" s="69">
        <f t="shared" si="225"/>
        <v>-6.8982996659853564E-6</v>
      </c>
      <c r="S291" s="69">
        <f t="shared" si="225"/>
        <v>-6.8982996659853564E-6</v>
      </c>
      <c r="T291" s="69">
        <f t="shared" si="225"/>
        <v>-6.8982996659853564E-6</v>
      </c>
      <c r="U291" s="69">
        <f t="shared" si="225"/>
        <v>-6.8982996659853564E-6</v>
      </c>
      <c r="V291" s="69">
        <f t="shared" si="225"/>
        <v>-6.8982996659853564E-6</v>
      </c>
      <c r="W291" s="69">
        <f t="shared" si="225"/>
        <v>-6.8982996659853564E-6</v>
      </c>
      <c r="X291" s="69">
        <f t="shared" si="225"/>
        <v>-6.8982996659853564E-6</v>
      </c>
      <c r="Y291" s="69">
        <f t="shared" si="225"/>
        <v>-6.8982996659853564E-6</v>
      </c>
      <c r="Z291" s="69">
        <f t="shared" si="225"/>
        <v>-6.8982996659853564E-6</v>
      </c>
      <c r="AA291" s="69">
        <f t="shared" si="225"/>
        <v>-6.8982996659853564E-6</v>
      </c>
      <c r="AB291" s="69">
        <f t="shared" si="225"/>
        <v>-6.8982996659853564E-6</v>
      </c>
      <c r="AC291" s="69">
        <f t="shared" si="225"/>
        <v>-6.8982996659853564E-6</v>
      </c>
    </row>
    <row r="292" spans="1:29" x14ac:dyDescent="0.25">
      <c r="A292" s="30" t="str">
        <f t="shared" si="221"/>
        <v>Opex fix (admin, crew, insurance)</v>
      </c>
      <c r="B292" s="66">
        <f>B250/B261/(B258)</f>
        <v>1.0654632223259673E-3</v>
      </c>
      <c r="C292" s="66">
        <f t="shared" ref="C292:AC292" si="226">C250/C261/(C258)</f>
        <v>1.0654632223259673E-3</v>
      </c>
      <c r="D292" s="66">
        <f t="shared" si="226"/>
        <v>1.0654632223259673E-3</v>
      </c>
      <c r="E292" s="66">
        <f t="shared" si="226"/>
        <v>1.0654632223259673E-3</v>
      </c>
      <c r="F292" s="66">
        <f t="shared" si="226"/>
        <v>1.0654632223259673E-3</v>
      </c>
      <c r="G292" s="66">
        <f t="shared" si="226"/>
        <v>1.0654632223259673E-3</v>
      </c>
      <c r="H292" s="66">
        <f t="shared" si="226"/>
        <v>1.0654632223259673E-3</v>
      </c>
      <c r="I292" s="66">
        <f t="shared" si="226"/>
        <v>1.0654632223259673E-3</v>
      </c>
      <c r="J292" s="66">
        <f t="shared" si="226"/>
        <v>1.0654632223259673E-3</v>
      </c>
      <c r="K292" s="66">
        <f t="shared" si="226"/>
        <v>1.0654632223259673E-3</v>
      </c>
      <c r="L292" s="66">
        <f t="shared" si="226"/>
        <v>1.0654632223259673E-3</v>
      </c>
      <c r="M292" s="66">
        <f t="shared" si="226"/>
        <v>1.0654632223259673E-3</v>
      </c>
      <c r="N292" s="66">
        <f t="shared" si="226"/>
        <v>1.0654632223259673E-3</v>
      </c>
      <c r="O292" s="66">
        <f t="shared" si="226"/>
        <v>1.0654632223259673E-3</v>
      </c>
      <c r="P292" s="66">
        <f t="shared" si="226"/>
        <v>1.0654632223259673E-3</v>
      </c>
      <c r="Q292" s="66">
        <f t="shared" si="226"/>
        <v>1.0654632223259673E-3</v>
      </c>
      <c r="R292" s="66">
        <f t="shared" si="226"/>
        <v>1.0654632223259673E-3</v>
      </c>
      <c r="S292" s="66">
        <f t="shared" si="226"/>
        <v>1.0654632223259673E-3</v>
      </c>
      <c r="T292" s="66">
        <f t="shared" si="226"/>
        <v>1.0654632223259673E-3</v>
      </c>
      <c r="U292" s="66">
        <f t="shared" si="226"/>
        <v>1.0654632223259673E-3</v>
      </c>
      <c r="V292" s="66">
        <f t="shared" si="226"/>
        <v>1.0654632223259673E-3</v>
      </c>
      <c r="W292" s="66">
        <f t="shared" si="226"/>
        <v>1.0654632223259673E-3</v>
      </c>
      <c r="X292" s="66">
        <f t="shared" si="226"/>
        <v>1.0654632223259673E-3</v>
      </c>
      <c r="Y292" s="66">
        <f t="shared" si="226"/>
        <v>1.0654632223259673E-3</v>
      </c>
      <c r="Z292" s="66">
        <f t="shared" si="226"/>
        <v>1.0654632223259673E-3</v>
      </c>
      <c r="AA292" s="66">
        <f t="shared" si="226"/>
        <v>1.0654632223259673E-3</v>
      </c>
      <c r="AB292" s="66">
        <f t="shared" si="226"/>
        <v>1.0654632223259673E-3</v>
      </c>
      <c r="AC292" s="66">
        <f t="shared" si="226"/>
        <v>1.0654632223259673E-3</v>
      </c>
    </row>
    <row r="293" spans="1:29" x14ac:dyDescent="0.25">
      <c r="A293" s="30" t="str">
        <f t="shared" si="221"/>
        <v>Opex maintenance &amp; repair</v>
      </c>
      <c r="B293" s="66">
        <f>B251/B261/(B258)</f>
        <v>2.9878618113912231E-4</v>
      </c>
      <c r="C293" s="66">
        <f t="shared" ref="C293:AC293" si="227">C251/C261/(C258)</f>
        <v>2.9878618113912231E-4</v>
      </c>
      <c r="D293" s="66">
        <f t="shared" si="227"/>
        <v>2.9878618113912231E-4</v>
      </c>
      <c r="E293" s="66">
        <f t="shared" si="227"/>
        <v>2.9878618113912231E-4</v>
      </c>
      <c r="F293" s="66">
        <f t="shared" si="227"/>
        <v>2.9878618113912231E-4</v>
      </c>
      <c r="G293" s="66">
        <f t="shared" si="227"/>
        <v>2.9878618113912231E-4</v>
      </c>
      <c r="H293" s="66">
        <f t="shared" si="227"/>
        <v>2.9878618113912231E-4</v>
      </c>
      <c r="I293" s="66">
        <f t="shared" si="227"/>
        <v>2.9878618113912231E-4</v>
      </c>
      <c r="J293" s="66">
        <f t="shared" si="227"/>
        <v>2.9878618113912231E-4</v>
      </c>
      <c r="K293" s="66">
        <f t="shared" si="227"/>
        <v>2.9878618113912231E-4</v>
      </c>
      <c r="L293" s="66">
        <f t="shared" si="227"/>
        <v>2.9878618113912231E-4</v>
      </c>
      <c r="M293" s="66">
        <f t="shared" si="227"/>
        <v>2.9878618113912231E-4</v>
      </c>
      <c r="N293" s="66">
        <f t="shared" si="227"/>
        <v>2.9878618113912231E-4</v>
      </c>
      <c r="O293" s="66">
        <f t="shared" si="227"/>
        <v>2.9878618113912231E-4</v>
      </c>
      <c r="P293" s="66">
        <f t="shared" si="227"/>
        <v>2.9878618113912231E-4</v>
      </c>
      <c r="Q293" s="66">
        <f t="shared" si="227"/>
        <v>2.9878618113912231E-4</v>
      </c>
      <c r="R293" s="66">
        <f t="shared" si="227"/>
        <v>2.9878618113912231E-4</v>
      </c>
      <c r="S293" s="66">
        <f t="shared" si="227"/>
        <v>2.9878618113912231E-4</v>
      </c>
      <c r="T293" s="66">
        <f t="shared" si="227"/>
        <v>2.9878618113912231E-4</v>
      </c>
      <c r="U293" s="66">
        <f t="shared" si="227"/>
        <v>2.9878618113912231E-4</v>
      </c>
      <c r="V293" s="66">
        <f t="shared" si="227"/>
        <v>2.9878618113912231E-4</v>
      </c>
      <c r="W293" s="66">
        <f t="shared" si="227"/>
        <v>2.9878618113912231E-4</v>
      </c>
      <c r="X293" s="66">
        <f t="shared" si="227"/>
        <v>2.9878618113912231E-4</v>
      </c>
      <c r="Y293" s="66">
        <f t="shared" si="227"/>
        <v>2.9878618113912231E-4</v>
      </c>
      <c r="Z293" s="66">
        <f t="shared" si="227"/>
        <v>2.9878618113912231E-4</v>
      </c>
      <c r="AA293" s="66">
        <f t="shared" si="227"/>
        <v>2.9878618113912231E-4</v>
      </c>
      <c r="AB293" s="66">
        <f t="shared" si="227"/>
        <v>2.9878618113912231E-4</v>
      </c>
      <c r="AC293" s="66">
        <f t="shared" si="227"/>
        <v>2.9878618113912231E-4</v>
      </c>
    </row>
    <row r="294" spans="1:29" x14ac:dyDescent="0.25">
      <c r="A294" s="30" t="str">
        <f t="shared" si="221"/>
        <v>Opex var (mode-fees)</v>
      </c>
      <c r="B294" s="66">
        <f>B252*B261/B261/(B258)</f>
        <v>8.6011184229469056E-5</v>
      </c>
      <c r="C294" s="66">
        <f t="shared" ref="C294:AC294" si="228">C252*C261/C261/(C258)</f>
        <v>8.6011184229469056E-5</v>
      </c>
      <c r="D294" s="66">
        <f t="shared" si="228"/>
        <v>8.6011184229469056E-5</v>
      </c>
      <c r="E294" s="66">
        <f t="shared" si="228"/>
        <v>8.6011184229469056E-5</v>
      </c>
      <c r="F294" s="66">
        <f t="shared" si="228"/>
        <v>8.6011184229469056E-5</v>
      </c>
      <c r="G294" s="66">
        <f t="shared" si="228"/>
        <v>8.6011184229469056E-5</v>
      </c>
      <c r="H294" s="66">
        <f t="shared" si="228"/>
        <v>8.6011184229469056E-5</v>
      </c>
      <c r="I294" s="66">
        <f t="shared" si="228"/>
        <v>8.6011184229469056E-5</v>
      </c>
      <c r="J294" s="66">
        <f t="shared" si="228"/>
        <v>8.6011184229469056E-5</v>
      </c>
      <c r="K294" s="66">
        <f t="shared" si="228"/>
        <v>8.6011184229469056E-5</v>
      </c>
      <c r="L294" s="66">
        <f t="shared" si="228"/>
        <v>8.6011184229469056E-5</v>
      </c>
      <c r="M294" s="66">
        <f t="shared" si="228"/>
        <v>8.6011184229469056E-5</v>
      </c>
      <c r="N294" s="66">
        <f t="shared" si="228"/>
        <v>8.6011184229469056E-5</v>
      </c>
      <c r="O294" s="66">
        <f t="shared" si="228"/>
        <v>8.6011184229469056E-5</v>
      </c>
      <c r="P294" s="66">
        <f t="shared" si="228"/>
        <v>8.6011184229469056E-5</v>
      </c>
      <c r="Q294" s="66">
        <f t="shared" si="228"/>
        <v>8.6011184229469056E-5</v>
      </c>
      <c r="R294" s="66">
        <f t="shared" si="228"/>
        <v>8.6011184229469056E-5</v>
      </c>
      <c r="S294" s="66">
        <f t="shared" si="228"/>
        <v>8.6011184229469056E-5</v>
      </c>
      <c r="T294" s="66">
        <f t="shared" si="228"/>
        <v>8.6011184229469056E-5</v>
      </c>
      <c r="U294" s="66">
        <f t="shared" si="228"/>
        <v>8.6011184229469056E-5</v>
      </c>
      <c r="V294" s="66">
        <f t="shared" si="228"/>
        <v>8.6011184229469056E-5</v>
      </c>
      <c r="W294" s="66">
        <f t="shared" si="228"/>
        <v>8.6011184229469056E-5</v>
      </c>
      <c r="X294" s="66">
        <f t="shared" si="228"/>
        <v>8.6011184229469056E-5</v>
      </c>
      <c r="Y294" s="66">
        <f t="shared" si="228"/>
        <v>8.6011184229469056E-5</v>
      </c>
      <c r="Z294" s="66">
        <f t="shared" si="228"/>
        <v>8.6011184229469056E-5</v>
      </c>
      <c r="AA294" s="66">
        <f t="shared" si="228"/>
        <v>8.6011184229469056E-5</v>
      </c>
      <c r="AB294" s="66">
        <f t="shared" si="228"/>
        <v>8.6011184229469056E-5</v>
      </c>
      <c r="AC294" s="66">
        <f t="shared" si="228"/>
        <v>8.6011184229469056E-5</v>
      </c>
    </row>
    <row r="295" spans="1:29" x14ac:dyDescent="0.25">
      <c r="A295" s="30" t="str">
        <f t="shared" si="221"/>
        <v>Fuel Cost</v>
      </c>
      <c r="B295" s="66">
        <f>B253*B254*B261/B261/(B258)</f>
        <v>1.488952128048405E-2</v>
      </c>
      <c r="C295" s="66">
        <f t="shared" ref="C295:AC295" si="229">C253*C254*C261/C261/(C258)</f>
        <v>1.4866098305500716E-2</v>
      </c>
      <c r="D295" s="66">
        <f t="shared" si="229"/>
        <v>1.4832670024422423E-2</v>
      </c>
      <c r="E295" s="66">
        <f t="shared" si="229"/>
        <v>1.4785062147833752E-2</v>
      </c>
      <c r="F295" s="66">
        <f t="shared" si="229"/>
        <v>1.4717469009641201E-2</v>
      </c>
      <c r="G295" s="66">
        <f t="shared" si="229"/>
        <v>1.4621936518307392E-2</v>
      </c>
      <c r="H295" s="66">
        <f t="shared" si="229"/>
        <v>1.4487813085527412E-2</v>
      </c>
      <c r="I295" s="66">
        <f t="shared" si="229"/>
        <v>1.4301326668627849E-2</v>
      </c>
      <c r="J295" s="66">
        <f t="shared" si="229"/>
        <v>1.4045626539311773E-2</v>
      </c>
      <c r="K295" s="66">
        <f t="shared" si="229"/>
        <v>1.3701884087228548E-2</v>
      </c>
      <c r="L295" s="66">
        <f t="shared" si="229"/>
        <v>1.3252262520355275E-2</v>
      </c>
      <c r="M295" s="66">
        <f t="shared" si="229"/>
        <v>1.2685388823128101E-2</v>
      </c>
      <c r="N295" s="66">
        <f t="shared" si="229"/>
        <v>1.200381542764874E-2</v>
      </c>
      <c r="O295" s="66">
        <f t="shared" si="229"/>
        <v>1.1230632312432993E-2</v>
      </c>
      <c r="P295" s="66">
        <f t="shared" si="229"/>
        <v>1.0410311608786601E-2</v>
      </c>
      <c r="Q295" s="66">
        <f t="shared" si="229"/>
        <v>9.6002342132388233E-3</v>
      </c>
      <c r="R295" s="66">
        <f t="shared" si="229"/>
        <v>8.8553611851078066E-3</v>
      </c>
      <c r="S295" s="66">
        <f t="shared" si="229"/>
        <v>8.2142005043122825E-3</v>
      </c>
      <c r="T295" s="66">
        <f t="shared" si="229"/>
        <v>7.6930878813720772E-3</v>
      </c>
      <c r="U295" s="66">
        <f t="shared" si="229"/>
        <v>7.2891946769009499E-3</v>
      </c>
      <c r="V295" s="66">
        <f t="shared" si="229"/>
        <v>6.9878082947468258E-3</v>
      </c>
      <c r="W295" s="66">
        <f t="shared" si="229"/>
        <v>6.7694439106981939E-3</v>
      </c>
      <c r="X295" s="66">
        <f t="shared" si="229"/>
        <v>6.6147242516659249E-3</v>
      </c>
      <c r="Y295" s="66">
        <f t="shared" si="229"/>
        <v>6.5068936960996871E-3</v>
      </c>
      <c r="Z295" s="66">
        <f t="shared" si="229"/>
        <v>6.4326333123925616E-3</v>
      </c>
      <c r="AA295" s="66">
        <f t="shared" si="229"/>
        <v>6.3819226237195239E-3</v>
      </c>
      <c r="AB295" s="66">
        <f t="shared" si="229"/>
        <v>6.3474972802121318E-3</v>
      </c>
      <c r="AC295" s="66">
        <f t="shared" si="229"/>
        <v>6.3242223149148858E-3</v>
      </c>
    </row>
    <row r="296" spans="1:29" x14ac:dyDescent="0.25">
      <c r="A296" s="59" t="str">
        <f>A259</f>
        <v>Market failure (av. utilization)</v>
      </c>
      <c r="B296" s="66">
        <f t="shared" ref="B296:AC296" si="230">B285/B259-B285/B258</f>
        <v>1.7208859835536439E-2</v>
      </c>
      <c r="C296" s="66">
        <f t="shared" si="230"/>
        <v>1.718626316958163E-2</v>
      </c>
      <c r="D296" s="66">
        <f t="shared" si="230"/>
        <v>1.7154009947941935E-2</v>
      </c>
      <c r="E296" s="66">
        <f t="shared" si="230"/>
        <v>1.7108066643415919E-2</v>
      </c>
      <c r="F296" s="66">
        <f t="shared" si="230"/>
        <v>1.7042818005802946E-2</v>
      </c>
      <c r="G296" s="66">
        <f t="shared" si="230"/>
        <v>1.6950559506206098E-2</v>
      </c>
      <c r="H296" s="66">
        <f t="shared" si="230"/>
        <v>1.6820949943044956E-2</v>
      </c>
      <c r="I296" s="66">
        <f t="shared" si="230"/>
        <v>1.6640568756177941E-2</v>
      </c>
      <c r="J296" s="66">
        <f t="shared" si="230"/>
        <v>1.6392891590470721E-2</v>
      </c>
      <c r="K296" s="66">
        <f t="shared" si="230"/>
        <v>1.6059239702527761E-2</v>
      </c>
      <c r="L296" s="66">
        <f t="shared" si="230"/>
        <v>1.5621470357882548E-2</v>
      </c>
      <c r="M296" s="66">
        <f t="shared" si="230"/>
        <v>1.5067034794662159E-2</v>
      </c>
      <c r="N296" s="66">
        <f t="shared" si="230"/>
        <v>1.439600429463565E-2</v>
      </c>
      <c r="O296" s="66">
        <f t="shared" si="230"/>
        <v>1.3627543935670363E-2</v>
      </c>
      <c r="P296" s="66">
        <f t="shared" si="230"/>
        <v>1.2801372841805912E-2</v>
      </c>
      <c r="Q296" s="66">
        <f t="shared" si="230"/>
        <v>1.1970868691968983E-2</v>
      </c>
      <c r="R296" s="66">
        <f t="shared" si="230"/>
        <v>1.1189732924522591E-2</v>
      </c>
      <c r="S296" s="66">
        <f t="shared" si="230"/>
        <v>1.0499120686393698E-2</v>
      </c>
      <c r="T296" s="66">
        <f t="shared" si="230"/>
        <v>9.92126568066308E-3</v>
      </c>
      <c r="U296" s="66">
        <f t="shared" si="230"/>
        <v>9.4602966908285679E-3</v>
      </c>
      <c r="V296" s="66">
        <f t="shared" si="230"/>
        <v>9.1071836091600172E-3</v>
      </c>
      <c r="W296" s="66">
        <f t="shared" si="230"/>
        <v>8.845626776926286E-3</v>
      </c>
      <c r="X296" s="66">
        <f t="shared" si="230"/>
        <v>8.6570338200111455E-3</v>
      </c>
      <c r="Y296" s="66">
        <f t="shared" si="230"/>
        <v>8.5238497659849595E-3</v>
      </c>
      <c r="Z296" s="66">
        <f t="shared" si="230"/>
        <v>8.4312437743076594E-3</v>
      </c>
      <c r="AA296" s="66">
        <f t="shared" si="230"/>
        <v>8.3675728411391065E-3</v>
      </c>
      <c r="AB296" s="66">
        <f t="shared" si="230"/>
        <v>8.3241435675257963E-3</v>
      </c>
      <c r="AC296" s="66">
        <f t="shared" si="230"/>
        <v>8.294684917039755E-3</v>
      </c>
    </row>
    <row r="297" spans="1:29" x14ac:dyDescent="0.25">
      <c r="A297" s="59" t="str">
        <f>A260</f>
        <v>Payload loss (fuel)</v>
      </c>
      <c r="B297" s="66">
        <f>B285/(B258-B260)-B285/B258</f>
        <v>1.6206407385322974E-3</v>
      </c>
      <c r="C297" s="66">
        <f t="shared" ref="C297:AC297" si="231">C285/(C258-C260)-C285/C258</f>
        <v>1.6183037072867341E-3</v>
      </c>
      <c r="D297" s="66">
        <f t="shared" si="231"/>
        <v>1.6149680564283946E-3</v>
      </c>
      <c r="E297" s="66">
        <f t="shared" si="231"/>
        <v>1.6102167010453722E-3</v>
      </c>
      <c r="F297" s="66">
        <f t="shared" si="231"/>
        <v>1.6034689654018455E-3</v>
      </c>
      <c r="G297" s="66">
        <f t="shared" si="231"/>
        <v>1.5939279731193301E-3</v>
      </c>
      <c r="H297" s="66">
        <f t="shared" si="231"/>
        <v>1.5805236783009574E-3</v>
      </c>
      <c r="I297" s="66">
        <f t="shared" si="231"/>
        <v>1.561866155543979E-3</v>
      </c>
      <c r="J297" s="66">
        <f t="shared" si="231"/>
        <v>1.5362409215326188E-3</v>
      </c>
      <c r="K297" s="66">
        <f t="shared" si="231"/>
        <v>1.5017026613892599E-3</v>
      </c>
      <c r="L297" s="66">
        <f t="shared" si="231"/>
        <v>1.4563454214076461E-3</v>
      </c>
      <c r="M297" s="66">
        <f t="shared" si="231"/>
        <v>1.398813936065512E-3</v>
      </c>
      <c r="N297" s="66">
        <f t="shared" si="231"/>
        <v>1.3290189974832396E-3</v>
      </c>
      <c r="O297" s="66">
        <f t="shared" si="231"/>
        <v>1.2488085133598552E-3</v>
      </c>
      <c r="P297" s="66">
        <f t="shared" si="231"/>
        <v>1.1621506361316394E-3</v>
      </c>
      <c r="Q297" s="66">
        <f t="shared" si="231"/>
        <v>1.074488573919662E-3</v>
      </c>
      <c r="R297" s="66">
        <f t="shared" si="231"/>
        <v>9.9143381138345685E-4</v>
      </c>
      <c r="S297" s="66">
        <f t="shared" si="231"/>
        <v>9.1745139310821233E-4</v>
      </c>
      <c r="T297" s="66">
        <f t="shared" si="231"/>
        <v>8.551299416775706E-4</v>
      </c>
      <c r="U297" s="66">
        <f t="shared" si="231"/>
        <v>8.0515264119832008E-4</v>
      </c>
      <c r="V297" s="66">
        <f t="shared" si="231"/>
        <v>7.667317030421502E-4</v>
      </c>
      <c r="W297" s="66">
        <f t="shared" si="231"/>
        <v>7.3821171263445569E-4</v>
      </c>
      <c r="X297" s="66">
        <f t="shared" si="231"/>
        <v>7.1762434163597823E-4</v>
      </c>
      <c r="Y297" s="66">
        <f t="shared" si="231"/>
        <v>7.0307788330675573E-4</v>
      </c>
      <c r="Z297" s="66">
        <f t="shared" si="231"/>
        <v>6.9296127857975016E-4</v>
      </c>
      <c r="AA297" s="66">
        <f t="shared" si="231"/>
        <v>6.8600523749454828E-4</v>
      </c>
      <c r="AB297" s="66">
        <f t="shared" si="231"/>
        <v>6.8126061280285831E-4</v>
      </c>
      <c r="AC297" s="66">
        <f t="shared" si="231"/>
        <v>6.7804234740693678E-4</v>
      </c>
    </row>
    <row r="298" spans="1:29" ht="15.75" thickBot="1" x14ac:dyDescent="0.3">
      <c r="A298" s="59" t="str">
        <f>A235</f>
        <v>Emission Cost</v>
      </c>
      <c r="B298" s="68">
        <f>B255*B261/B261/(B258)</f>
        <v>2.6311642110997044E-4</v>
      </c>
      <c r="C298" s="68">
        <f t="shared" ref="C298:AC298" si="232">C255*C261/C261/(C258)</f>
        <v>2.6286587016831347E-4</v>
      </c>
      <c r="D298" s="68">
        <f t="shared" si="232"/>
        <v>2.625072120759037E-4</v>
      </c>
      <c r="E298" s="68">
        <f t="shared" si="232"/>
        <v>2.6199412645274697E-4</v>
      </c>
      <c r="F298" s="68">
        <f t="shared" si="232"/>
        <v>2.6126081387929228E-4</v>
      </c>
      <c r="G298" s="68">
        <f t="shared" si="232"/>
        <v>2.6021421836155354E-4</v>
      </c>
      <c r="H298" s="68">
        <f t="shared" si="232"/>
        <v>2.587236095863079E-4</v>
      </c>
      <c r="I298" s="68">
        <f t="shared" si="232"/>
        <v>2.566071588068925E-4</v>
      </c>
      <c r="J298" s="68">
        <f t="shared" si="232"/>
        <v>2.5361575900812355E-4</v>
      </c>
      <c r="K298" s="68">
        <f t="shared" si="232"/>
        <v>2.4941588765997478E-4</v>
      </c>
      <c r="L298" s="68">
        <f t="shared" si="232"/>
        <v>2.4357654188553792E-4</v>
      </c>
      <c r="M298" s="68">
        <f t="shared" si="232"/>
        <v>2.3557101727914492E-4</v>
      </c>
      <c r="N298" s="68">
        <f t="shared" si="232"/>
        <v>2.2481245004548822E-4</v>
      </c>
      <c r="O298" s="68">
        <f t="shared" si="232"/>
        <v>2.1074892426876276E-4</v>
      </c>
      <c r="P298" s="68">
        <f t="shared" si="232"/>
        <v>1.9303829059735733E-4</v>
      </c>
      <c r="Q298" s="68">
        <f t="shared" si="232"/>
        <v>1.7178603857549002E-4</v>
      </c>
      <c r="R298" s="68">
        <f t="shared" si="232"/>
        <v>1.4775455190070181E-4</v>
      </c>
      <c r="S298" s="68">
        <f t="shared" si="232"/>
        <v>1.2238461001683673E-4</v>
      </c>
      <c r="T298" s="68">
        <f t="shared" si="232"/>
        <v>9.7513901136100757E-5</v>
      </c>
      <c r="U298" s="68">
        <f t="shared" si="232"/>
        <v>7.4873582914375649E-5</v>
      </c>
      <c r="V298" s="68">
        <f t="shared" si="232"/>
        <v>5.5632536469223359E-5</v>
      </c>
      <c r="W298" s="68">
        <f t="shared" si="232"/>
        <v>4.0223904142840252E-5</v>
      </c>
      <c r="X298" s="68">
        <f t="shared" si="232"/>
        <v>2.8466433793904391E-5</v>
      </c>
      <c r="Y298" s="68">
        <f t="shared" si="232"/>
        <v>1.9823750136951439E-5</v>
      </c>
      <c r="Z298" s="68">
        <f t="shared" si="232"/>
        <v>1.3644356353033646E-5</v>
      </c>
      <c r="AA298" s="68">
        <f t="shared" si="232"/>
        <v>9.3135138812216792E-6</v>
      </c>
      <c r="AB298" s="68">
        <f t="shared" si="232"/>
        <v>6.3206355388177748E-6</v>
      </c>
      <c r="AC298" s="68">
        <f t="shared" si="232"/>
        <v>4.2724597482624145E-6</v>
      </c>
    </row>
    <row r="299" spans="1:29" ht="15.75" thickBot="1" x14ac:dyDescent="0.3">
      <c r="A299" s="31" t="s">
        <v>210</v>
      </c>
      <c r="B299" s="67">
        <f>B288+B289+B290+B291+B292+B293+B294+B295+B296+B297+B298</f>
        <v>3.7458635463234573E-2</v>
      </c>
      <c r="C299" s="67">
        <f t="shared" ref="C299:AC299" si="233">C288+C289+C290+C291+C292+C293+C294+C295+C296+C297+C298</f>
        <v>3.7409222044583162E-2</v>
      </c>
      <c r="D299" s="67">
        <f t="shared" si="233"/>
        <v>3.7338692181975448E-2</v>
      </c>
      <c r="E299" s="67">
        <f t="shared" si="233"/>
        <v>3.7238225608829896E-2</v>
      </c>
      <c r="F299" s="67">
        <f t="shared" si="233"/>
        <v>3.7095543211492679E-2</v>
      </c>
      <c r="G299" s="67">
        <f t="shared" si="233"/>
        <v>3.6893797011716731E-2</v>
      </c>
      <c r="H299" s="67">
        <f t="shared" si="233"/>
        <v>3.6610372793645977E-2</v>
      </c>
      <c r="I299" s="67">
        <f t="shared" si="233"/>
        <v>3.6215921131582715E-2</v>
      </c>
      <c r="J299" s="67">
        <f t="shared" si="233"/>
        <v>3.5674301802347978E-2</v>
      </c>
      <c r="K299" s="67">
        <f t="shared" si="233"/>
        <v>3.4944655442323461E-2</v>
      </c>
      <c r="L299" s="67">
        <f t="shared" si="233"/>
        <v>3.3987278734330988E-2</v>
      </c>
      <c r="M299" s="67">
        <f t="shared" si="233"/>
        <v>3.2774673158946381E-2</v>
      </c>
      <c r="N299" s="67">
        <f t="shared" si="233"/>
        <v>3.1306898011975538E-2</v>
      </c>
      <c r="O299" s="67">
        <f t="shared" si="233"/>
        <v>2.9625728446674476E-2</v>
      </c>
      <c r="P299" s="67">
        <f t="shared" si="233"/>
        <v>2.7817880790561987E-2</v>
      </c>
      <c r="Q299" s="67">
        <f t="shared" si="233"/>
        <v>2.600000174952307E-2</v>
      </c>
      <c r="R299" s="67">
        <f t="shared" si="233"/>
        <v>2.4289580804806886E-2</v>
      </c>
      <c r="S299" s="67">
        <f t="shared" si="233"/>
        <v>2.2776822890429777E-2</v>
      </c>
      <c r="T299" s="67">
        <f t="shared" si="233"/>
        <v>2.1510636843727015E-2</v>
      </c>
      <c r="U299" s="67">
        <f t="shared" si="233"/>
        <v>2.0500307481092536E-2</v>
      </c>
      <c r="V299" s="67">
        <f t="shared" si="233"/>
        <v>1.9726234289460215E-2</v>
      </c>
      <c r="W299" s="67">
        <f t="shared" si="233"/>
        <v>1.9152804231898909E-2</v>
      </c>
      <c r="X299" s="67">
        <f t="shared" si="233"/>
        <v>1.8739314867327227E-2</v>
      </c>
      <c r="Y299" s="67">
        <f t="shared" si="233"/>
        <v>1.8447301629776789E-2</v>
      </c>
      <c r="Z299" s="67">
        <f t="shared" si="233"/>
        <v>1.8244255875722069E-2</v>
      </c>
      <c r="AA299" s="67">
        <f t="shared" si="233"/>
        <v>1.8104652057202381E-2</v>
      </c>
      <c r="AB299" s="67">
        <f t="shared" si="233"/>
        <v>1.8009429779149631E-2</v>
      </c>
      <c r="AC299" s="67">
        <f t="shared" si="233"/>
        <v>1.7944839325241123E-2</v>
      </c>
    </row>
    <row r="301" spans="1:29" x14ac:dyDescent="0.25">
      <c r="B301" s="40"/>
    </row>
    <row r="324" spans="1:44" s="3" customFormat="1" ht="21" x14ac:dyDescent="0.35">
      <c r="A324" s="2" t="str">
        <f>'Parameter Input'!A192</f>
        <v>Short-sea:  Neo bulk</v>
      </c>
    </row>
    <row r="325" spans="1:44" s="3" customFormat="1" ht="21" x14ac:dyDescent="0.35">
      <c r="A325" s="2" t="s">
        <v>186</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Input'!$L$193</f>
        <v>30000000</v>
      </c>
      <c r="C334" s="42">
        <f>'Parameter Input'!$M$193</f>
        <v>18000000</v>
      </c>
      <c r="D334" s="1" t="s">
        <v>15</v>
      </c>
      <c r="L334" s="51">
        <f>'Parameter Input'!$O$193</f>
        <v>17</v>
      </c>
      <c r="M334" s="52">
        <v>0</v>
      </c>
      <c r="N334" s="52">
        <v>1</v>
      </c>
      <c r="O334" s="52">
        <f>'Parameter Input'!$P$193</f>
        <v>0.9</v>
      </c>
      <c r="P334" s="53">
        <f>'Parameter Input'!$Q$193</f>
        <v>0.4</v>
      </c>
      <c r="Q334" s="4">
        <f t="shared" ref="Q334:AR343" si="234">$N334+($M334-$N334)*((1/(1+EXP(-$P334*(Q$9-$L334)))^$O334))</f>
        <v>0.99780374543478534</v>
      </c>
      <c r="R334" s="4">
        <f t="shared" si="234"/>
        <v>0.99685359315256394</v>
      </c>
      <c r="S334" s="4">
        <f t="shared" si="234"/>
        <v>0.99549347132349975</v>
      </c>
      <c r="T334" s="4">
        <f t="shared" si="234"/>
        <v>0.99354772139898062</v>
      </c>
      <c r="U334" s="4">
        <f t="shared" si="234"/>
        <v>0.99076681540580536</v>
      </c>
      <c r="V334" s="4">
        <f t="shared" si="234"/>
        <v>0.9867978615748374</v>
      </c>
      <c r="W334" s="4">
        <f t="shared" si="234"/>
        <v>0.98114509762858249</v>
      </c>
      <c r="X334" s="4">
        <f t="shared" si="234"/>
        <v>0.97311898315872036</v>
      </c>
      <c r="Y334" s="4">
        <f t="shared" si="234"/>
        <v>0.96177484161592774</v>
      </c>
      <c r="Z334" s="4">
        <f t="shared" si="234"/>
        <v>0.94584787155511363</v>
      </c>
      <c r="AA334" s="4">
        <f t="shared" si="234"/>
        <v>0.92370360150141495</v>
      </c>
      <c r="AB334" s="4">
        <f t="shared" si="234"/>
        <v>0.89334463567658451</v>
      </c>
      <c r="AC334" s="4">
        <f t="shared" si="234"/>
        <v>0.85254543874327005</v>
      </c>
      <c r="AD334" s="4">
        <f t="shared" si="234"/>
        <v>0.79921300652623883</v>
      </c>
      <c r="AE334" s="4">
        <f t="shared" si="234"/>
        <v>0.73204982249993378</v>
      </c>
      <c r="AF334" s="4">
        <f t="shared" si="234"/>
        <v>0.65145592958786691</v>
      </c>
      <c r="AG334" s="4">
        <f t="shared" si="234"/>
        <v>0.56032247880849573</v>
      </c>
      <c r="AH334" s="4">
        <f t="shared" si="234"/>
        <v>0.46411326873185343</v>
      </c>
      <c r="AI334" s="4">
        <f t="shared" si="234"/>
        <v>0.36979727595523937</v>
      </c>
      <c r="AJ334" s="4">
        <f t="shared" si="234"/>
        <v>0.28393948637231203</v>
      </c>
      <c r="AK334" s="4">
        <f t="shared" si="234"/>
        <v>0.21097259161117732</v>
      </c>
      <c r="AL334" s="4">
        <f t="shared" si="234"/>
        <v>0.15253917653798199</v>
      </c>
      <c r="AM334" s="4">
        <f t="shared" si="234"/>
        <v>0.10795188737709993</v>
      </c>
      <c r="AN334" s="4">
        <f t="shared" si="234"/>
        <v>7.5176653938091809E-2</v>
      </c>
      <c r="AO334" s="4">
        <f t="shared" si="234"/>
        <v>5.1742836177502194E-2</v>
      </c>
      <c r="AP334" s="4">
        <f t="shared" si="234"/>
        <v>3.5319190625345942E-2</v>
      </c>
      <c r="AQ334" s="4">
        <f t="shared" si="234"/>
        <v>2.3969442072658165E-2</v>
      </c>
      <c r="AR334" s="4">
        <f t="shared" si="234"/>
        <v>1.6202243558389728E-2</v>
      </c>
    </row>
    <row r="335" spans="1:44" x14ac:dyDescent="0.25">
      <c r="A335" s="24" t="s">
        <v>28</v>
      </c>
      <c r="B335" s="60">
        <f>'Parameter Input'!$L$194</f>
        <v>-1500000</v>
      </c>
      <c r="C335" s="61">
        <f>'Parameter Input'!$M$194</f>
        <v>-1800000</v>
      </c>
      <c r="D335" s="1" t="s">
        <v>15</v>
      </c>
      <c r="L335" s="54">
        <f>'Parameter Input'!$O$194</f>
        <v>17</v>
      </c>
      <c r="M335" s="37">
        <v>0</v>
      </c>
      <c r="N335" s="37">
        <v>1</v>
      </c>
      <c r="O335" s="37">
        <f>'Parameter Input'!$P$194</f>
        <v>0.9</v>
      </c>
      <c r="P335" s="55">
        <f>'Parameter Input'!$Q$194</f>
        <v>0.4</v>
      </c>
      <c r="Q335" s="4">
        <f t="shared" si="234"/>
        <v>0.99780374543478534</v>
      </c>
      <c r="R335" s="4">
        <f t="shared" si="234"/>
        <v>0.99685359315256394</v>
      </c>
      <c r="S335" s="4">
        <f t="shared" si="234"/>
        <v>0.99549347132349975</v>
      </c>
      <c r="T335" s="4">
        <f t="shared" si="234"/>
        <v>0.99354772139898062</v>
      </c>
      <c r="U335" s="4">
        <f t="shared" si="234"/>
        <v>0.99076681540580536</v>
      </c>
      <c r="V335" s="4">
        <f t="shared" si="234"/>
        <v>0.9867978615748374</v>
      </c>
      <c r="W335" s="4">
        <f t="shared" si="234"/>
        <v>0.98114509762858249</v>
      </c>
      <c r="X335" s="4">
        <f t="shared" si="234"/>
        <v>0.97311898315872036</v>
      </c>
      <c r="Y335" s="4">
        <f t="shared" si="234"/>
        <v>0.96177484161592774</v>
      </c>
      <c r="Z335" s="4">
        <f t="shared" si="234"/>
        <v>0.94584787155511363</v>
      </c>
      <c r="AA335" s="4">
        <f t="shared" si="234"/>
        <v>0.92370360150141495</v>
      </c>
      <c r="AB335" s="4">
        <f t="shared" si="234"/>
        <v>0.89334463567658451</v>
      </c>
      <c r="AC335" s="4">
        <f t="shared" si="234"/>
        <v>0.85254543874327005</v>
      </c>
      <c r="AD335" s="4">
        <f t="shared" si="234"/>
        <v>0.79921300652623883</v>
      </c>
      <c r="AE335" s="4">
        <f t="shared" si="234"/>
        <v>0.73204982249993378</v>
      </c>
      <c r="AF335" s="4">
        <f t="shared" si="234"/>
        <v>0.65145592958786691</v>
      </c>
      <c r="AG335" s="4">
        <f t="shared" si="234"/>
        <v>0.56032247880849573</v>
      </c>
      <c r="AH335" s="4">
        <f t="shared" si="234"/>
        <v>0.46411326873185343</v>
      </c>
      <c r="AI335" s="4">
        <f t="shared" si="234"/>
        <v>0.36979727595523937</v>
      </c>
      <c r="AJ335" s="4">
        <f t="shared" si="234"/>
        <v>0.28393948637231203</v>
      </c>
      <c r="AK335" s="4">
        <f t="shared" si="234"/>
        <v>0.21097259161117732</v>
      </c>
      <c r="AL335" s="4">
        <f t="shared" si="234"/>
        <v>0.15253917653798199</v>
      </c>
      <c r="AM335" s="4">
        <f t="shared" si="234"/>
        <v>0.10795188737709993</v>
      </c>
      <c r="AN335" s="4">
        <f t="shared" si="234"/>
        <v>7.5176653938091809E-2</v>
      </c>
      <c r="AO335" s="4">
        <f t="shared" si="234"/>
        <v>5.1742836177502194E-2</v>
      </c>
      <c r="AP335" s="4">
        <f t="shared" si="234"/>
        <v>3.5319190625345942E-2</v>
      </c>
      <c r="AQ335" s="4">
        <f t="shared" si="234"/>
        <v>2.3969442072658165E-2</v>
      </c>
      <c r="AR335" s="4">
        <f t="shared" si="234"/>
        <v>1.6202243558389728E-2</v>
      </c>
    </row>
    <row r="336" spans="1:44" x14ac:dyDescent="0.25">
      <c r="A336" s="24" t="s">
        <v>14</v>
      </c>
      <c r="B336" s="60">
        <f>'Parameter Input'!B193</f>
        <v>1000000</v>
      </c>
      <c r="C336" s="61">
        <f>'Parameter Input'!C193</f>
        <v>1000000</v>
      </c>
      <c r="D336" s="1" t="s">
        <v>15</v>
      </c>
      <c r="L336" s="54">
        <f>'Parameter Input'!E193</f>
        <v>17</v>
      </c>
      <c r="M336" s="37">
        <v>0</v>
      </c>
      <c r="N336" s="37">
        <v>1</v>
      </c>
      <c r="O336" s="37">
        <f>'Parameter Input'!F193</f>
        <v>0.9</v>
      </c>
      <c r="P336" s="55">
        <f>'Parameter Input'!G193</f>
        <v>0.4</v>
      </c>
      <c r="Q336" s="4">
        <f t="shared" si="234"/>
        <v>0.99780374543478534</v>
      </c>
      <c r="R336" s="4">
        <f t="shared" si="234"/>
        <v>0.99685359315256394</v>
      </c>
      <c r="S336" s="4">
        <f t="shared" si="234"/>
        <v>0.99549347132349975</v>
      </c>
      <c r="T336" s="4">
        <f t="shared" si="234"/>
        <v>0.99354772139898062</v>
      </c>
      <c r="U336" s="4">
        <f t="shared" si="234"/>
        <v>0.99076681540580536</v>
      </c>
      <c r="V336" s="4">
        <f t="shared" si="234"/>
        <v>0.9867978615748374</v>
      </c>
      <c r="W336" s="4">
        <f t="shared" si="234"/>
        <v>0.98114509762858249</v>
      </c>
      <c r="X336" s="4">
        <f t="shared" si="234"/>
        <v>0.97311898315872036</v>
      </c>
      <c r="Y336" s="4">
        <f t="shared" si="234"/>
        <v>0.96177484161592774</v>
      </c>
      <c r="Z336" s="4">
        <f t="shared" si="234"/>
        <v>0.94584787155511363</v>
      </c>
      <c r="AA336" s="4">
        <f t="shared" si="234"/>
        <v>0.92370360150141495</v>
      </c>
      <c r="AB336" s="4">
        <f t="shared" si="234"/>
        <v>0.89334463567658451</v>
      </c>
      <c r="AC336" s="4">
        <f t="shared" si="234"/>
        <v>0.85254543874327005</v>
      </c>
      <c r="AD336" s="4">
        <f t="shared" si="234"/>
        <v>0.79921300652623883</v>
      </c>
      <c r="AE336" s="4">
        <f t="shared" si="234"/>
        <v>0.73204982249993378</v>
      </c>
      <c r="AF336" s="4">
        <f t="shared" si="234"/>
        <v>0.65145592958786691</v>
      </c>
      <c r="AG336" s="4">
        <f t="shared" si="234"/>
        <v>0.56032247880849573</v>
      </c>
      <c r="AH336" s="4">
        <f t="shared" si="234"/>
        <v>0.46411326873185343</v>
      </c>
      <c r="AI336" s="4">
        <f t="shared" si="234"/>
        <v>0.36979727595523937</v>
      </c>
      <c r="AJ336" s="4">
        <f t="shared" si="234"/>
        <v>0.28393948637231203</v>
      </c>
      <c r="AK336" s="4">
        <f t="shared" si="234"/>
        <v>0.21097259161117732</v>
      </c>
      <c r="AL336" s="4">
        <f t="shared" si="234"/>
        <v>0.15253917653798199</v>
      </c>
      <c r="AM336" s="4">
        <f t="shared" si="234"/>
        <v>0.10795188737709993</v>
      </c>
      <c r="AN336" s="4">
        <f t="shared" si="234"/>
        <v>7.5176653938091809E-2</v>
      </c>
      <c r="AO336" s="4">
        <f t="shared" si="234"/>
        <v>5.1742836177502194E-2</v>
      </c>
      <c r="AP336" s="4">
        <f t="shared" si="234"/>
        <v>3.5319190625345942E-2</v>
      </c>
      <c r="AQ336" s="4">
        <f t="shared" si="234"/>
        <v>2.3969442072658165E-2</v>
      </c>
      <c r="AR336" s="4">
        <f t="shared" si="234"/>
        <v>1.6202243558389728E-2</v>
      </c>
    </row>
    <row r="337" spans="1:44" x14ac:dyDescent="0.25">
      <c r="A337" s="24" t="s">
        <v>25</v>
      </c>
      <c r="B337" s="60">
        <f>'Parameter Input'!B194</f>
        <v>-100000</v>
      </c>
      <c r="C337" s="61">
        <f>'Parameter Input'!C194</f>
        <v>-100000</v>
      </c>
      <c r="D337" s="1" t="s">
        <v>15</v>
      </c>
      <c r="L337" s="54">
        <f>'Parameter Input'!E194</f>
        <v>17</v>
      </c>
      <c r="M337" s="37">
        <v>0</v>
      </c>
      <c r="N337" s="37">
        <v>1</v>
      </c>
      <c r="O337" s="37">
        <f>'Parameter Input'!F194</f>
        <v>0.9</v>
      </c>
      <c r="P337" s="55">
        <f>'Parameter Input'!G194</f>
        <v>0.4</v>
      </c>
      <c r="Q337" s="4">
        <f t="shared" si="234"/>
        <v>0.99780374543478534</v>
      </c>
      <c r="R337" s="4">
        <f t="shared" si="234"/>
        <v>0.99685359315256394</v>
      </c>
      <c r="S337" s="4">
        <f t="shared" si="234"/>
        <v>0.99549347132349975</v>
      </c>
      <c r="T337" s="4">
        <f t="shared" si="234"/>
        <v>0.99354772139898062</v>
      </c>
      <c r="U337" s="4">
        <f t="shared" si="234"/>
        <v>0.99076681540580536</v>
      </c>
      <c r="V337" s="4">
        <f t="shared" si="234"/>
        <v>0.9867978615748374</v>
      </c>
      <c r="W337" s="4">
        <f t="shared" si="234"/>
        <v>0.98114509762858249</v>
      </c>
      <c r="X337" s="4">
        <f t="shared" si="234"/>
        <v>0.97311898315872036</v>
      </c>
      <c r="Y337" s="4">
        <f t="shared" si="234"/>
        <v>0.96177484161592774</v>
      </c>
      <c r="Z337" s="4">
        <f t="shared" si="234"/>
        <v>0.94584787155511363</v>
      </c>
      <c r="AA337" s="4">
        <f t="shared" si="234"/>
        <v>0.92370360150141495</v>
      </c>
      <c r="AB337" s="4">
        <f t="shared" si="234"/>
        <v>0.89334463567658451</v>
      </c>
      <c r="AC337" s="4">
        <f t="shared" si="234"/>
        <v>0.85254543874327005</v>
      </c>
      <c r="AD337" s="4">
        <f t="shared" si="234"/>
        <v>0.79921300652623883</v>
      </c>
      <c r="AE337" s="4">
        <f t="shared" si="234"/>
        <v>0.73204982249993378</v>
      </c>
      <c r="AF337" s="4">
        <f t="shared" si="234"/>
        <v>0.65145592958786691</v>
      </c>
      <c r="AG337" s="4">
        <f t="shared" si="234"/>
        <v>0.56032247880849573</v>
      </c>
      <c r="AH337" s="4">
        <f t="shared" si="234"/>
        <v>0.46411326873185343</v>
      </c>
      <c r="AI337" s="4">
        <f t="shared" si="234"/>
        <v>0.36979727595523937</v>
      </c>
      <c r="AJ337" s="4">
        <f t="shared" si="234"/>
        <v>0.28393948637231203</v>
      </c>
      <c r="AK337" s="4">
        <f t="shared" si="234"/>
        <v>0.21097259161117732</v>
      </c>
      <c r="AL337" s="4">
        <f t="shared" si="234"/>
        <v>0.15253917653798199</v>
      </c>
      <c r="AM337" s="4">
        <f t="shared" si="234"/>
        <v>0.10795188737709993</v>
      </c>
      <c r="AN337" s="4">
        <f t="shared" si="234"/>
        <v>7.5176653938091809E-2</v>
      </c>
      <c r="AO337" s="4">
        <f t="shared" si="234"/>
        <v>5.1742836177502194E-2</v>
      </c>
      <c r="AP337" s="4">
        <f t="shared" si="234"/>
        <v>3.5319190625345942E-2</v>
      </c>
      <c r="AQ337" s="4">
        <f t="shared" si="234"/>
        <v>2.3969442072658165E-2</v>
      </c>
      <c r="AR337" s="4">
        <f t="shared" si="234"/>
        <v>1.6202243558389728E-2</v>
      </c>
    </row>
    <row r="338" spans="1:44" x14ac:dyDescent="0.25">
      <c r="A338" s="24" t="s">
        <v>79</v>
      </c>
      <c r="B338" s="92">
        <f>'Parameter Input'!$L$200</f>
        <v>0.06</v>
      </c>
      <c r="C338" s="91">
        <f>'Parameter Input'!$M$200</f>
        <v>0.06</v>
      </c>
      <c r="D338" s="1" t="s">
        <v>57</v>
      </c>
      <c r="L338" s="54">
        <f>'Parameter Input'!$O$200</f>
        <v>17</v>
      </c>
      <c r="M338" s="37">
        <v>0</v>
      </c>
      <c r="N338" s="37">
        <v>1</v>
      </c>
      <c r="O338" s="37">
        <f>'Parameter Input'!$P$200</f>
        <v>0.9</v>
      </c>
      <c r="P338" s="55">
        <f>'Parameter Input'!$Q$200</f>
        <v>0.4</v>
      </c>
      <c r="Q338" s="4">
        <f t="shared" si="234"/>
        <v>0.99780374543478534</v>
      </c>
      <c r="R338" s="4">
        <f t="shared" si="234"/>
        <v>0.99685359315256394</v>
      </c>
      <c r="S338" s="4">
        <f t="shared" si="234"/>
        <v>0.99549347132349975</v>
      </c>
      <c r="T338" s="4">
        <f t="shared" si="234"/>
        <v>0.99354772139898062</v>
      </c>
      <c r="U338" s="4">
        <f t="shared" si="234"/>
        <v>0.99076681540580536</v>
      </c>
      <c r="V338" s="4">
        <f t="shared" si="234"/>
        <v>0.9867978615748374</v>
      </c>
      <c r="W338" s="4">
        <f t="shared" si="234"/>
        <v>0.98114509762858249</v>
      </c>
      <c r="X338" s="4">
        <f t="shared" si="234"/>
        <v>0.97311898315872036</v>
      </c>
      <c r="Y338" s="4">
        <f t="shared" si="234"/>
        <v>0.96177484161592774</v>
      </c>
      <c r="Z338" s="4">
        <f t="shared" si="234"/>
        <v>0.94584787155511363</v>
      </c>
      <c r="AA338" s="4">
        <f t="shared" si="234"/>
        <v>0.92370360150141495</v>
      </c>
      <c r="AB338" s="4">
        <f t="shared" si="234"/>
        <v>0.89334463567658451</v>
      </c>
      <c r="AC338" s="4">
        <f t="shared" si="234"/>
        <v>0.85254543874327005</v>
      </c>
      <c r="AD338" s="4">
        <f t="shared" si="234"/>
        <v>0.79921300652623883</v>
      </c>
      <c r="AE338" s="4">
        <f t="shared" si="234"/>
        <v>0.73204982249993378</v>
      </c>
      <c r="AF338" s="4">
        <f t="shared" si="234"/>
        <v>0.65145592958786691</v>
      </c>
      <c r="AG338" s="4">
        <f t="shared" si="234"/>
        <v>0.56032247880849573</v>
      </c>
      <c r="AH338" s="4">
        <f t="shared" si="234"/>
        <v>0.46411326873185343</v>
      </c>
      <c r="AI338" s="4">
        <f t="shared" si="234"/>
        <v>0.36979727595523937</v>
      </c>
      <c r="AJ338" s="4">
        <f t="shared" si="234"/>
        <v>0.28393948637231203</v>
      </c>
      <c r="AK338" s="4">
        <f t="shared" si="234"/>
        <v>0.21097259161117732</v>
      </c>
      <c r="AL338" s="4">
        <f t="shared" si="234"/>
        <v>0.15253917653798199</v>
      </c>
      <c r="AM338" s="4">
        <f t="shared" si="234"/>
        <v>0.10795188737709993</v>
      </c>
      <c r="AN338" s="4">
        <f t="shared" si="234"/>
        <v>7.5176653938091809E-2</v>
      </c>
      <c r="AO338" s="4">
        <f t="shared" si="234"/>
        <v>5.1742836177502194E-2</v>
      </c>
      <c r="AP338" s="4">
        <f t="shared" si="234"/>
        <v>3.5319190625345942E-2</v>
      </c>
      <c r="AQ338" s="4">
        <f t="shared" si="234"/>
        <v>2.3969442072658165E-2</v>
      </c>
      <c r="AR338" s="4">
        <f t="shared" si="234"/>
        <v>1.6202243558389728E-2</v>
      </c>
    </row>
    <row r="339" spans="1:44" x14ac:dyDescent="0.25">
      <c r="A339" s="24" t="s">
        <v>37</v>
      </c>
      <c r="B339" s="60">
        <f>'Parameter Input'!B195</f>
        <v>1208235.294117647</v>
      </c>
      <c r="C339" s="61">
        <f>'Parameter Input'!C195</f>
        <v>1208235.294117647</v>
      </c>
      <c r="D339" s="1" t="s">
        <v>38</v>
      </c>
      <c r="L339" s="54">
        <f>'Parameter Input'!E195</f>
        <v>17</v>
      </c>
      <c r="M339" s="37">
        <v>0</v>
      </c>
      <c r="N339" s="37">
        <v>1</v>
      </c>
      <c r="O339" s="37">
        <f>'Parameter Input'!F195</f>
        <v>0.9</v>
      </c>
      <c r="P339" s="55">
        <f>'Parameter Input'!G195</f>
        <v>0.4</v>
      </c>
      <c r="Q339" s="4">
        <f t="shared" si="234"/>
        <v>0.99780374543478534</v>
      </c>
      <c r="R339" s="4">
        <f t="shared" si="234"/>
        <v>0.99685359315256394</v>
      </c>
      <c r="S339" s="4">
        <f t="shared" si="234"/>
        <v>0.99549347132349975</v>
      </c>
      <c r="T339" s="4">
        <f t="shared" si="234"/>
        <v>0.99354772139898062</v>
      </c>
      <c r="U339" s="4">
        <f t="shared" si="234"/>
        <v>0.99076681540580536</v>
      </c>
      <c r="V339" s="4">
        <f t="shared" si="234"/>
        <v>0.9867978615748374</v>
      </c>
      <c r="W339" s="4">
        <f t="shared" si="234"/>
        <v>0.98114509762858249</v>
      </c>
      <c r="X339" s="4">
        <f t="shared" si="234"/>
        <v>0.97311898315872036</v>
      </c>
      <c r="Y339" s="4">
        <f t="shared" si="234"/>
        <v>0.96177484161592774</v>
      </c>
      <c r="Z339" s="4">
        <f t="shared" si="234"/>
        <v>0.94584787155511363</v>
      </c>
      <c r="AA339" s="4">
        <f t="shared" si="234"/>
        <v>0.92370360150141495</v>
      </c>
      <c r="AB339" s="4">
        <f t="shared" si="234"/>
        <v>0.89334463567658451</v>
      </c>
      <c r="AC339" s="4">
        <f t="shared" si="234"/>
        <v>0.85254543874327005</v>
      </c>
      <c r="AD339" s="4">
        <f t="shared" si="234"/>
        <v>0.79921300652623883</v>
      </c>
      <c r="AE339" s="4">
        <f t="shared" si="234"/>
        <v>0.73204982249993378</v>
      </c>
      <c r="AF339" s="4">
        <f t="shared" si="234"/>
        <v>0.65145592958786691</v>
      </c>
      <c r="AG339" s="4">
        <f t="shared" si="234"/>
        <v>0.56032247880849573</v>
      </c>
      <c r="AH339" s="4">
        <f t="shared" si="234"/>
        <v>0.46411326873185343</v>
      </c>
      <c r="AI339" s="4">
        <f t="shared" si="234"/>
        <v>0.36979727595523937</v>
      </c>
      <c r="AJ339" s="4">
        <f t="shared" si="234"/>
        <v>0.28393948637231203</v>
      </c>
      <c r="AK339" s="4">
        <f t="shared" si="234"/>
        <v>0.21097259161117732</v>
      </c>
      <c r="AL339" s="4">
        <f t="shared" si="234"/>
        <v>0.15253917653798199</v>
      </c>
      <c r="AM339" s="4">
        <f t="shared" si="234"/>
        <v>0.10795188737709993</v>
      </c>
      <c r="AN339" s="4">
        <f t="shared" si="234"/>
        <v>7.5176653938091809E-2</v>
      </c>
      <c r="AO339" s="4">
        <f t="shared" si="234"/>
        <v>5.1742836177502194E-2</v>
      </c>
      <c r="AP339" s="4">
        <f t="shared" si="234"/>
        <v>3.5319190625345942E-2</v>
      </c>
      <c r="AQ339" s="4">
        <f t="shared" si="234"/>
        <v>2.3969442072658165E-2</v>
      </c>
      <c r="AR339" s="4">
        <f t="shared" si="234"/>
        <v>1.6202243558389728E-2</v>
      </c>
    </row>
    <row r="340" spans="1:44" x14ac:dyDescent="0.25">
      <c r="A340" s="24" t="s">
        <v>52</v>
      </c>
      <c r="B340" s="60">
        <f>'Parameter Input'!$L$196</f>
        <v>338823.5294117647</v>
      </c>
      <c r="C340" s="61">
        <f>'Parameter Input'!$M$196</f>
        <v>338823.5294117647</v>
      </c>
      <c r="D340" s="1" t="s">
        <v>38</v>
      </c>
      <c r="L340" s="54">
        <f>'Parameter Input'!$O$196</f>
        <v>17</v>
      </c>
      <c r="M340" s="37">
        <v>0</v>
      </c>
      <c r="N340" s="37">
        <v>1</v>
      </c>
      <c r="O340" s="37">
        <f>'Parameter Input'!$P$196</f>
        <v>0.9</v>
      </c>
      <c r="P340" s="55">
        <f>'Parameter Input'!$Q$196</f>
        <v>0.4</v>
      </c>
      <c r="Q340" s="4">
        <f t="shared" si="234"/>
        <v>0.99780374543478534</v>
      </c>
      <c r="R340" s="4">
        <f t="shared" si="234"/>
        <v>0.99685359315256394</v>
      </c>
      <c r="S340" s="4">
        <f t="shared" si="234"/>
        <v>0.99549347132349975</v>
      </c>
      <c r="T340" s="4">
        <f t="shared" si="234"/>
        <v>0.99354772139898062</v>
      </c>
      <c r="U340" s="4">
        <f t="shared" si="234"/>
        <v>0.99076681540580536</v>
      </c>
      <c r="V340" s="4">
        <f t="shared" si="234"/>
        <v>0.9867978615748374</v>
      </c>
      <c r="W340" s="4">
        <f t="shared" si="234"/>
        <v>0.98114509762858249</v>
      </c>
      <c r="X340" s="4">
        <f t="shared" si="234"/>
        <v>0.97311898315872036</v>
      </c>
      <c r="Y340" s="4">
        <f t="shared" si="234"/>
        <v>0.96177484161592774</v>
      </c>
      <c r="Z340" s="4">
        <f t="shared" si="234"/>
        <v>0.94584787155511363</v>
      </c>
      <c r="AA340" s="4">
        <f t="shared" si="234"/>
        <v>0.92370360150141495</v>
      </c>
      <c r="AB340" s="4">
        <f t="shared" si="234"/>
        <v>0.89334463567658451</v>
      </c>
      <c r="AC340" s="4">
        <f t="shared" si="234"/>
        <v>0.85254543874327005</v>
      </c>
      <c r="AD340" s="4">
        <f t="shared" si="234"/>
        <v>0.79921300652623883</v>
      </c>
      <c r="AE340" s="4">
        <f t="shared" si="234"/>
        <v>0.73204982249993378</v>
      </c>
      <c r="AF340" s="4">
        <f t="shared" si="234"/>
        <v>0.65145592958786691</v>
      </c>
      <c r="AG340" s="4">
        <f t="shared" si="234"/>
        <v>0.56032247880849573</v>
      </c>
      <c r="AH340" s="4">
        <f t="shared" si="234"/>
        <v>0.46411326873185343</v>
      </c>
      <c r="AI340" s="4">
        <f t="shared" si="234"/>
        <v>0.36979727595523937</v>
      </c>
      <c r="AJ340" s="4">
        <f t="shared" si="234"/>
        <v>0.28393948637231203</v>
      </c>
      <c r="AK340" s="4">
        <f t="shared" si="234"/>
        <v>0.21097259161117732</v>
      </c>
      <c r="AL340" s="4">
        <f t="shared" si="234"/>
        <v>0.15253917653798199</v>
      </c>
      <c r="AM340" s="4">
        <f t="shared" si="234"/>
        <v>0.10795188737709993</v>
      </c>
      <c r="AN340" s="4">
        <f t="shared" si="234"/>
        <v>7.5176653938091809E-2</v>
      </c>
      <c r="AO340" s="4">
        <f t="shared" si="234"/>
        <v>5.1742836177502194E-2</v>
      </c>
      <c r="AP340" s="4">
        <f t="shared" si="234"/>
        <v>3.5319190625345942E-2</v>
      </c>
      <c r="AQ340" s="4">
        <f t="shared" si="234"/>
        <v>2.3969442072658165E-2</v>
      </c>
      <c r="AR340" s="4">
        <f t="shared" si="234"/>
        <v>1.6202243558389728E-2</v>
      </c>
    </row>
    <row r="341" spans="1:44" x14ac:dyDescent="0.25">
      <c r="A341" s="24" t="s">
        <v>272</v>
      </c>
      <c r="B341" s="92">
        <f>'Parameter Input'!B200</f>
        <v>0.81280569096848254</v>
      </c>
      <c r="C341" s="61">
        <f>'Parameter Input'!C200</f>
        <v>0.81280569096848254</v>
      </c>
      <c r="D341" s="1" t="s">
        <v>76</v>
      </c>
      <c r="L341" s="54">
        <f>'Parameter Input'!E200</f>
        <v>17</v>
      </c>
      <c r="M341" s="37">
        <v>0</v>
      </c>
      <c r="N341" s="37">
        <v>1</v>
      </c>
      <c r="O341" s="37">
        <f>'Parameter Input'!F200</f>
        <v>0.9</v>
      </c>
      <c r="P341" s="55">
        <f>'Parameter Input'!G200</f>
        <v>0.4</v>
      </c>
      <c r="Q341" s="4">
        <f t="shared" si="234"/>
        <v>0.99780374543478534</v>
      </c>
      <c r="R341" s="4">
        <f t="shared" si="234"/>
        <v>0.99685359315256394</v>
      </c>
      <c r="S341" s="4">
        <f t="shared" si="234"/>
        <v>0.99549347132349975</v>
      </c>
      <c r="T341" s="4">
        <f t="shared" si="234"/>
        <v>0.99354772139898062</v>
      </c>
      <c r="U341" s="4">
        <f t="shared" si="234"/>
        <v>0.99076681540580536</v>
      </c>
      <c r="V341" s="4">
        <f t="shared" si="234"/>
        <v>0.9867978615748374</v>
      </c>
      <c r="W341" s="4">
        <f t="shared" si="234"/>
        <v>0.98114509762858249</v>
      </c>
      <c r="X341" s="4">
        <f t="shared" si="234"/>
        <v>0.97311898315872036</v>
      </c>
      <c r="Y341" s="4">
        <f t="shared" si="234"/>
        <v>0.96177484161592774</v>
      </c>
      <c r="Z341" s="4">
        <f t="shared" si="234"/>
        <v>0.94584787155511363</v>
      </c>
      <c r="AA341" s="4">
        <f t="shared" si="234"/>
        <v>0.92370360150141495</v>
      </c>
      <c r="AB341" s="4">
        <f t="shared" si="234"/>
        <v>0.89334463567658451</v>
      </c>
      <c r="AC341" s="4">
        <f t="shared" si="234"/>
        <v>0.85254543874327005</v>
      </c>
      <c r="AD341" s="4">
        <f t="shared" si="234"/>
        <v>0.79921300652623883</v>
      </c>
      <c r="AE341" s="4">
        <f t="shared" si="234"/>
        <v>0.73204982249993378</v>
      </c>
      <c r="AF341" s="4">
        <f t="shared" si="234"/>
        <v>0.65145592958786691</v>
      </c>
      <c r="AG341" s="4">
        <f t="shared" si="234"/>
        <v>0.56032247880849573</v>
      </c>
      <c r="AH341" s="4">
        <f t="shared" si="234"/>
        <v>0.46411326873185343</v>
      </c>
      <c r="AI341" s="4">
        <f t="shared" si="234"/>
        <v>0.36979727595523937</v>
      </c>
      <c r="AJ341" s="4">
        <f t="shared" si="234"/>
        <v>0.28393948637231203</v>
      </c>
      <c r="AK341" s="4">
        <f t="shared" si="234"/>
        <v>0.21097259161117732</v>
      </c>
      <c r="AL341" s="4">
        <f t="shared" si="234"/>
        <v>0.15253917653798199</v>
      </c>
      <c r="AM341" s="4">
        <f t="shared" si="234"/>
        <v>0.10795188737709993</v>
      </c>
      <c r="AN341" s="4">
        <f t="shared" si="234"/>
        <v>7.5176653938091809E-2</v>
      </c>
      <c r="AO341" s="4">
        <f t="shared" si="234"/>
        <v>5.1742836177502194E-2</v>
      </c>
      <c r="AP341" s="4">
        <f t="shared" si="234"/>
        <v>3.5319190625345942E-2</v>
      </c>
      <c r="AQ341" s="4">
        <f t="shared" si="234"/>
        <v>2.3969442072658165E-2</v>
      </c>
      <c r="AR341" s="4">
        <f t="shared" si="234"/>
        <v>1.6202243558389728E-2</v>
      </c>
    </row>
    <row r="342" spans="1:44" x14ac:dyDescent="0.25">
      <c r="A342" s="24" t="s">
        <v>59</v>
      </c>
      <c r="B342" s="60">
        <f>'Parameter Input'!$L$197</f>
        <v>589</v>
      </c>
      <c r="C342" s="61">
        <f>'Parameter Input'!$M$197</f>
        <v>519</v>
      </c>
      <c r="D342" s="1" t="s">
        <v>60</v>
      </c>
      <c r="L342" s="54">
        <f>'Parameter Input'!$O$197</f>
        <v>17</v>
      </c>
      <c r="M342" s="37">
        <v>0</v>
      </c>
      <c r="N342" s="37">
        <v>1</v>
      </c>
      <c r="O342" s="37">
        <f>'Parameter Input'!$P$197</f>
        <v>0.9</v>
      </c>
      <c r="P342" s="55">
        <f>'Parameter Input'!$Q$197</f>
        <v>0.4</v>
      </c>
      <c r="Q342" s="4">
        <f t="shared" si="234"/>
        <v>0.99780374543478534</v>
      </c>
      <c r="R342" s="4">
        <f t="shared" si="234"/>
        <v>0.99685359315256394</v>
      </c>
      <c r="S342" s="4">
        <f t="shared" si="234"/>
        <v>0.99549347132349975</v>
      </c>
      <c r="T342" s="4">
        <f t="shared" si="234"/>
        <v>0.99354772139898062</v>
      </c>
      <c r="U342" s="4">
        <f t="shared" si="234"/>
        <v>0.99076681540580536</v>
      </c>
      <c r="V342" s="4">
        <f t="shared" si="234"/>
        <v>0.9867978615748374</v>
      </c>
      <c r="W342" s="4">
        <f t="shared" si="234"/>
        <v>0.98114509762858249</v>
      </c>
      <c r="X342" s="4">
        <f t="shared" si="234"/>
        <v>0.97311898315872036</v>
      </c>
      <c r="Y342" s="4">
        <f t="shared" si="234"/>
        <v>0.96177484161592774</v>
      </c>
      <c r="Z342" s="4">
        <f t="shared" si="234"/>
        <v>0.94584787155511363</v>
      </c>
      <c r="AA342" s="4">
        <f t="shared" si="234"/>
        <v>0.92370360150141495</v>
      </c>
      <c r="AB342" s="4">
        <f t="shared" si="234"/>
        <v>0.89334463567658451</v>
      </c>
      <c r="AC342" s="4">
        <f t="shared" si="234"/>
        <v>0.85254543874327005</v>
      </c>
      <c r="AD342" s="4">
        <f t="shared" si="234"/>
        <v>0.79921300652623883</v>
      </c>
      <c r="AE342" s="4">
        <f t="shared" si="234"/>
        <v>0.73204982249993378</v>
      </c>
      <c r="AF342" s="4">
        <f t="shared" si="234"/>
        <v>0.65145592958786691</v>
      </c>
      <c r="AG342" s="4">
        <f t="shared" si="234"/>
        <v>0.56032247880849573</v>
      </c>
      <c r="AH342" s="4">
        <f t="shared" si="234"/>
        <v>0.46411326873185343</v>
      </c>
      <c r="AI342" s="4">
        <f t="shared" si="234"/>
        <v>0.36979727595523937</v>
      </c>
      <c r="AJ342" s="4">
        <f t="shared" si="234"/>
        <v>0.28393948637231203</v>
      </c>
      <c r="AK342" s="4">
        <f t="shared" si="234"/>
        <v>0.21097259161117732</v>
      </c>
      <c r="AL342" s="4">
        <f t="shared" si="234"/>
        <v>0.15253917653798199</v>
      </c>
      <c r="AM342" s="4">
        <f t="shared" si="234"/>
        <v>0.10795188737709993</v>
      </c>
      <c r="AN342" s="4">
        <f t="shared" si="234"/>
        <v>7.5176653938091809E-2</v>
      </c>
      <c r="AO342" s="4">
        <f t="shared" si="234"/>
        <v>5.1742836177502194E-2</v>
      </c>
      <c r="AP342" s="4">
        <f t="shared" si="234"/>
        <v>3.5319190625345942E-2</v>
      </c>
      <c r="AQ342" s="4">
        <f t="shared" si="234"/>
        <v>2.3969442072658165E-2</v>
      </c>
      <c r="AR342" s="4">
        <f t="shared" si="234"/>
        <v>1.6202243558389728E-2</v>
      </c>
    </row>
    <row r="343" spans="1:44" x14ac:dyDescent="0.25">
      <c r="A343" s="24" t="s">
        <v>67</v>
      </c>
      <c r="B343" s="78">
        <f>'Parameter Input'!$L$198</f>
        <v>0.23976160758395154</v>
      </c>
      <c r="C343" s="61">
        <f>'Parameter Input'!$M$198</f>
        <v>0.11428118371505049</v>
      </c>
      <c r="D343" s="1" t="s">
        <v>68</v>
      </c>
      <c r="L343" s="54">
        <f>'Parameter Input'!$O$198</f>
        <v>14</v>
      </c>
      <c r="M343" s="37">
        <v>0</v>
      </c>
      <c r="N343" s="37">
        <v>1</v>
      </c>
      <c r="O343" s="37">
        <f>'Parameter Input'!$P$198</f>
        <v>0.9</v>
      </c>
      <c r="P343" s="55">
        <f>'Parameter Input'!$Q$198</f>
        <v>0.4</v>
      </c>
      <c r="Q343" s="4">
        <f t="shared" si="234"/>
        <v>0.99354772139898062</v>
      </c>
      <c r="R343" s="4">
        <f t="shared" si="234"/>
        <v>0.99076681540580536</v>
      </c>
      <c r="S343" s="4">
        <f t="shared" si="234"/>
        <v>0.9867978615748374</v>
      </c>
      <c r="T343" s="4">
        <f t="shared" ref="T343:AI350" si="235">$N343+($M343-$N343)*((1/(1+EXP(-$P343*(T$9-$L343)))^$O343))</f>
        <v>0.98114509762858249</v>
      </c>
      <c r="U343" s="4">
        <f t="shared" si="235"/>
        <v>0.97311898315872036</v>
      </c>
      <c r="V343" s="4">
        <f t="shared" si="235"/>
        <v>0.96177484161592774</v>
      </c>
      <c r="W343" s="4">
        <f t="shared" si="235"/>
        <v>0.94584787155511363</v>
      </c>
      <c r="X343" s="4">
        <f t="shared" si="235"/>
        <v>0.92370360150141495</v>
      </c>
      <c r="Y343" s="4">
        <f t="shared" si="235"/>
        <v>0.89334463567658451</v>
      </c>
      <c r="Z343" s="4">
        <f t="shared" si="235"/>
        <v>0.85254543874327005</v>
      </c>
      <c r="AA343" s="4">
        <f t="shared" si="235"/>
        <v>0.79921300652623883</v>
      </c>
      <c r="AB343" s="4">
        <f t="shared" si="235"/>
        <v>0.73204982249993378</v>
      </c>
      <c r="AC343" s="4">
        <f t="shared" si="235"/>
        <v>0.65145592958786691</v>
      </c>
      <c r="AD343" s="4">
        <f t="shared" si="235"/>
        <v>0.56032247880849573</v>
      </c>
      <c r="AE343" s="4">
        <f t="shared" si="235"/>
        <v>0.46411326873185343</v>
      </c>
      <c r="AF343" s="4">
        <f t="shared" si="235"/>
        <v>0.36979727595523937</v>
      </c>
      <c r="AG343" s="4">
        <f t="shared" si="235"/>
        <v>0.28393948637231203</v>
      </c>
      <c r="AH343" s="4">
        <f t="shared" si="235"/>
        <v>0.21097259161117732</v>
      </c>
      <c r="AI343" s="4">
        <f t="shared" si="235"/>
        <v>0.15253917653798199</v>
      </c>
      <c r="AJ343" s="4">
        <f t="shared" ref="AJ343:AR350" si="236">$N343+($M343-$N343)*((1/(1+EXP(-$P343*(AJ$9-$L343)))^$O343))</f>
        <v>0.10795188737709993</v>
      </c>
      <c r="AK343" s="4">
        <f t="shared" si="236"/>
        <v>7.5176653938091809E-2</v>
      </c>
      <c r="AL343" s="4">
        <f t="shared" si="236"/>
        <v>5.1742836177502194E-2</v>
      </c>
      <c r="AM343" s="4">
        <f t="shared" si="236"/>
        <v>3.5319190625345942E-2</v>
      </c>
      <c r="AN343" s="4">
        <f t="shared" si="236"/>
        <v>2.3969442072658165E-2</v>
      </c>
      <c r="AO343" s="4">
        <f t="shared" si="236"/>
        <v>1.6202243558389728E-2</v>
      </c>
      <c r="AP343" s="4">
        <f t="shared" si="236"/>
        <v>1.0922240564108399E-2</v>
      </c>
      <c r="AQ343" s="4">
        <f t="shared" si="236"/>
        <v>7.3493212906090566E-3</v>
      </c>
      <c r="AR343" s="4">
        <f t="shared" si="236"/>
        <v>4.9390262185057265E-3</v>
      </c>
    </row>
    <row r="344" spans="1:44" x14ac:dyDescent="0.25">
      <c r="A344" s="24" t="s">
        <v>206</v>
      </c>
      <c r="B344" s="115">
        <f>'Parameter Input'!$L$201</f>
        <v>2.4919230769230767</v>
      </c>
      <c r="C344" s="116">
        <f>'Parameter Input'!$M$201</f>
        <v>0</v>
      </c>
      <c r="D344" s="1" t="s">
        <v>76</v>
      </c>
      <c r="L344" s="54">
        <f>'Parameter Input'!$O$201</f>
        <v>17</v>
      </c>
      <c r="M344" s="37">
        <v>0</v>
      </c>
      <c r="N344" s="37">
        <v>1</v>
      </c>
      <c r="O344" s="37">
        <f>'Parameter Input'!$P$201</f>
        <v>0.9</v>
      </c>
      <c r="P344" s="55">
        <f>'Parameter Input'!$Q$201</f>
        <v>0.4</v>
      </c>
      <c r="Q344" s="4">
        <f t="shared" ref="Q344:AR344" si="237">$N344+($M344-$N344)*((1/(1+EXP(-$P344*(Q$9-$L344)))^$O344))</f>
        <v>0.99780374543478534</v>
      </c>
      <c r="R344" s="4">
        <f t="shared" si="237"/>
        <v>0.99685359315256394</v>
      </c>
      <c r="S344" s="4">
        <f t="shared" si="237"/>
        <v>0.99549347132349975</v>
      </c>
      <c r="T344" s="4">
        <f t="shared" si="237"/>
        <v>0.99354772139898062</v>
      </c>
      <c r="U344" s="4">
        <f t="shared" si="237"/>
        <v>0.99076681540580536</v>
      </c>
      <c r="V344" s="4">
        <f t="shared" si="237"/>
        <v>0.9867978615748374</v>
      </c>
      <c r="W344" s="4">
        <f t="shared" si="237"/>
        <v>0.98114509762858249</v>
      </c>
      <c r="X344" s="4">
        <f t="shared" si="237"/>
        <v>0.97311898315872036</v>
      </c>
      <c r="Y344" s="4">
        <f t="shared" si="237"/>
        <v>0.96177484161592774</v>
      </c>
      <c r="Z344" s="4">
        <f t="shared" si="237"/>
        <v>0.94584787155511363</v>
      </c>
      <c r="AA344" s="4">
        <f t="shared" si="237"/>
        <v>0.92370360150141495</v>
      </c>
      <c r="AB344" s="4">
        <f t="shared" si="237"/>
        <v>0.89334463567658451</v>
      </c>
      <c r="AC344" s="4">
        <f t="shared" si="237"/>
        <v>0.85254543874327005</v>
      </c>
      <c r="AD344" s="4">
        <f t="shared" si="237"/>
        <v>0.79921300652623883</v>
      </c>
      <c r="AE344" s="4">
        <f t="shared" si="237"/>
        <v>0.73204982249993378</v>
      </c>
      <c r="AF344" s="4">
        <f t="shared" si="237"/>
        <v>0.65145592958786691</v>
      </c>
      <c r="AG344" s="4">
        <f t="shared" si="237"/>
        <v>0.56032247880849573</v>
      </c>
      <c r="AH344" s="4">
        <f t="shared" si="237"/>
        <v>0.46411326873185343</v>
      </c>
      <c r="AI344" s="4">
        <f t="shared" si="237"/>
        <v>0.36979727595523937</v>
      </c>
      <c r="AJ344" s="4">
        <f t="shared" si="237"/>
        <v>0.28393948637231203</v>
      </c>
      <c r="AK344" s="4">
        <f t="shared" si="237"/>
        <v>0.21097259161117732</v>
      </c>
      <c r="AL344" s="4">
        <f t="shared" si="237"/>
        <v>0.15253917653798199</v>
      </c>
      <c r="AM344" s="4">
        <f t="shared" si="237"/>
        <v>0.10795188737709993</v>
      </c>
      <c r="AN344" s="4">
        <f t="shared" si="237"/>
        <v>7.5176653938091809E-2</v>
      </c>
      <c r="AO344" s="4">
        <f t="shared" si="237"/>
        <v>5.1742836177502194E-2</v>
      </c>
      <c r="AP344" s="4">
        <f t="shared" si="237"/>
        <v>3.5319190625345942E-2</v>
      </c>
      <c r="AQ344" s="4">
        <f t="shared" si="237"/>
        <v>2.3969442072658165E-2</v>
      </c>
      <c r="AR344" s="4">
        <f t="shared" si="237"/>
        <v>1.6202243558389728E-2</v>
      </c>
    </row>
    <row r="345" spans="1:44" x14ac:dyDescent="0.25">
      <c r="A345" s="24" t="s">
        <v>41</v>
      </c>
      <c r="B345" s="60">
        <f>'Parameter Input'!$L$195</f>
        <v>25</v>
      </c>
      <c r="C345" s="61">
        <f>'Parameter Input'!$M$195</f>
        <v>25</v>
      </c>
      <c r="D345" s="1" t="s">
        <v>42</v>
      </c>
      <c r="L345" s="54">
        <f>'Parameter Input'!$O$195</f>
        <v>17</v>
      </c>
      <c r="M345" s="37">
        <v>0</v>
      </c>
      <c r="N345" s="37">
        <v>1</v>
      </c>
      <c r="O345" s="37">
        <f>'Parameter Input'!$P$195</f>
        <v>0.9</v>
      </c>
      <c r="P345" s="55">
        <f>'Parameter Input'!$Q$195</f>
        <v>0.4</v>
      </c>
      <c r="Q345" s="4">
        <f t="shared" ref="Q345:AF350" si="238">$N345+($M345-$N345)*((1/(1+EXP(-$P345*(Q$9-$L345)))^$O345))</f>
        <v>0.99780374543478534</v>
      </c>
      <c r="R345" s="4">
        <f t="shared" si="238"/>
        <v>0.99685359315256394</v>
      </c>
      <c r="S345" s="4">
        <f t="shared" si="238"/>
        <v>0.99549347132349975</v>
      </c>
      <c r="T345" s="4">
        <f t="shared" si="238"/>
        <v>0.99354772139898062</v>
      </c>
      <c r="U345" s="4">
        <f t="shared" si="238"/>
        <v>0.99076681540580536</v>
      </c>
      <c r="V345" s="4">
        <f t="shared" si="238"/>
        <v>0.9867978615748374</v>
      </c>
      <c r="W345" s="4">
        <f t="shared" si="238"/>
        <v>0.98114509762858249</v>
      </c>
      <c r="X345" s="4">
        <f t="shared" si="238"/>
        <v>0.97311898315872036</v>
      </c>
      <c r="Y345" s="4">
        <f t="shared" si="238"/>
        <v>0.96177484161592774</v>
      </c>
      <c r="Z345" s="4">
        <f t="shared" si="238"/>
        <v>0.94584787155511363</v>
      </c>
      <c r="AA345" s="4">
        <f t="shared" si="238"/>
        <v>0.92370360150141495</v>
      </c>
      <c r="AB345" s="4">
        <f t="shared" si="238"/>
        <v>0.89334463567658451</v>
      </c>
      <c r="AC345" s="4">
        <f t="shared" si="238"/>
        <v>0.85254543874327005</v>
      </c>
      <c r="AD345" s="4">
        <f t="shared" si="238"/>
        <v>0.79921300652623883</v>
      </c>
      <c r="AE345" s="4">
        <f t="shared" si="238"/>
        <v>0.73204982249993378</v>
      </c>
      <c r="AF345" s="4">
        <f t="shared" si="238"/>
        <v>0.65145592958786691</v>
      </c>
      <c r="AG345" s="4">
        <f t="shared" si="235"/>
        <v>0.56032247880849573</v>
      </c>
      <c r="AH345" s="4">
        <f t="shared" si="235"/>
        <v>0.46411326873185343</v>
      </c>
      <c r="AI345" s="4">
        <f t="shared" si="235"/>
        <v>0.36979727595523937</v>
      </c>
      <c r="AJ345" s="4">
        <f t="shared" si="236"/>
        <v>0.28393948637231203</v>
      </c>
      <c r="AK345" s="4">
        <f t="shared" si="236"/>
        <v>0.21097259161117732</v>
      </c>
      <c r="AL345" s="4">
        <f t="shared" si="236"/>
        <v>0.15253917653798199</v>
      </c>
      <c r="AM345" s="4">
        <f t="shared" si="236"/>
        <v>0.10795188737709993</v>
      </c>
      <c r="AN345" s="4">
        <f t="shared" si="236"/>
        <v>7.5176653938091809E-2</v>
      </c>
      <c r="AO345" s="4">
        <f t="shared" si="236"/>
        <v>5.1742836177502194E-2</v>
      </c>
      <c r="AP345" s="4">
        <f t="shared" si="236"/>
        <v>3.5319190625345942E-2</v>
      </c>
      <c r="AQ345" s="4">
        <f t="shared" si="236"/>
        <v>2.3969442072658165E-2</v>
      </c>
      <c r="AR345" s="4">
        <f t="shared" si="236"/>
        <v>1.6202243558389728E-2</v>
      </c>
    </row>
    <row r="346" spans="1:44" x14ac:dyDescent="0.25">
      <c r="A346" s="24" t="s">
        <v>70</v>
      </c>
      <c r="B346" s="60">
        <f>'Parameter Input'!B199</f>
        <v>25</v>
      </c>
      <c r="C346" s="61">
        <f>'Parameter Input'!C199</f>
        <v>25</v>
      </c>
      <c r="D346" s="1" t="s">
        <v>42</v>
      </c>
      <c r="L346" s="54">
        <f>'Parameter Input'!E199</f>
        <v>17</v>
      </c>
      <c r="M346" s="37">
        <v>0</v>
      </c>
      <c r="N346" s="37">
        <v>1</v>
      </c>
      <c r="O346" s="37">
        <f>'Parameter Input'!F199</f>
        <v>0.9</v>
      </c>
      <c r="P346" s="55">
        <f>'Parameter Input'!G199</f>
        <v>0.4</v>
      </c>
      <c r="Q346" s="4">
        <f t="shared" si="238"/>
        <v>0.99780374543478534</v>
      </c>
      <c r="R346" s="4">
        <f t="shared" si="238"/>
        <v>0.99685359315256394</v>
      </c>
      <c r="S346" s="4">
        <f t="shared" si="238"/>
        <v>0.99549347132349975</v>
      </c>
      <c r="T346" s="4">
        <f t="shared" si="238"/>
        <v>0.99354772139898062</v>
      </c>
      <c r="U346" s="4">
        <f t="shared" si="238"/>
        <v>0.99076681540580536</v>
      </c>
      <c r="V346" s="4">
        <f t="shared" si="238"/>
        <v>0.9867978615748374</v>
      </c>
      <c r="W346" s="4">
        <f t="shared" si="238"/>
        <v>0.98114509762858249</v>
      </c>
      <c r="X346" s="4">
        <f t="shared" si="238"/>
        <v>0.97311898315872036</v>
      </c>
      <c r="Y346" s="4">
        <f t="shared" si="238"/>
        <v>0.96177484161592774</v>
      </c>
      <c r="Z346" s="4">
        <f t="shared" si="238"/>
        <v>0.94584787155511363</v>
      </c>
      <c r="AA346" s="4">
        <f t="shared" si="238"/>
        <v>0.92370360150141495</v>
      </c>
      <c r="AB346" s="4">
        <f t="shared" si="238"/>
        <v>0.89334463567658451</v>
      </c>
      <c r="AC346" s="4">
        <f t="shared" si="238"/>
        <v>0.85254543874327005</v>
      </c>
      <c r="AD346" s="4">
        <f t="shared" si="238"/>
        <v>0.79921300652623883</v>
      </c>
      <c r="AE346" s="4">
        <f t="shared" si="238"/>
        <v>0.73204982249993378</v>
      </c>
      <c r="AF346" s="4">
        <f t="shared" si="238"/>
        <v>0.65145592958786691</v>
      </c>
      <c r="AG346" s="4">
        <f t="shared" si="235"/>
        <v>0.56032247880849573</v>
      </c>
      <c r="AH346" s="4">
        <f t="shared" si="235"/>
        <v>0.46411326873185343</v>
      </c>
      <c r="AI346" s="4">
        <f t="shared" si="235"/>
        <v>0.36979727595523937</v>
      </c>
      <c r="AJ346" s="4">
        <f t="shared" si="236"/>
        <v>0.28393948637231203</v>
      </c>
      <c r="AK346" s="4">
        <f t="shared" si="236"/>
        <v>0.21097259161117732</v>
      </c>
      <c r="AL346" s="4">
        <f t="shared" si="236"/>
        <v>0.15253917653798199</v>
      </c>
      <c r="AM346" s="4">
        <f t="shared" si="236"/>
        <v>0.10795188737709993</v>
      </c>
      <c r="AN346" s="4">
        <f t="shared" si="236"/>
        <v>7.5176653938091809E-2</v>
      </c>
      <c r="AO346" s="4">
        <f t="shared" si="236"/>
        <v>5.1742836177502194E-2</v>
      </c>
      <c r="AP346" s="4">
        <f t="shared" si="236"/>
        <v>3.5319190625345942E-2</v>
      </c>
      <c r="AQ346" s="4">
        <f t="shared" si="236"/>
        <v>2.3969442072658165E-2</v>
      </c>
      <c r="AR346" s="4">
        <f t="shared" si="236"/>
        <v>1.6202243558389728E-2</v>
      </c>
    </row>
    <row r="347" spans="1:44" x14ac:dyDescent="0.25">
      <c r="A347" s="24" t="s">
        <v>207</v>
      </c>
      <c r="B347" s="43">
        <f>'Parameter Input'!B196</f>
        <v>9450</v>
      </c>
      <c r="C347" s="44">
        <f>'Parameter Input'!C196</f>
        <v>9450</v>
      </c>
      <c r="D347" s="1" t="s">
        <v>49</v>
      </c>
      <c r="L347" s="54">
        <f>'Parameter Input'!E196</f>
        <v>17</v>
      </c>
      <c r="M347" s="37">
        <v>0</v>
      </c>
      <c r="N347" s="37">
        <v>1</v>
      </c>
      <c r="O347" s="37">
        <f>'Parameter Input'!F196</f>
        <v>0.9</v>
      </c>
      <c r="P347" s="55">
        <f>'Parameter Input'!G196</f>
        <v>0.4</v>
      </c>
      <c r="Q347" s="4">
        <f t="shared" si="238"/>
        <v>0.99780374543478534</v>
      </c>
      <c r="R347" s="4">
        <f t="shared" si="238"/>
        <v>0.99685359315256394</v>
      </c>
      <c r="S347" s="4">
        <f t="shared" si="238"/>
        <v>0.99549347132349975</v>
      </c>
      <c r="T347" s="4">
        <f t="shared" si="238"/>
        <v>0.99354772139898062</v>
      </c>
      <c r="U347" s="4">
        <f t="shared" si="238"/>
        <v>0.99076681540580536</v>
      </c>
      <c r="V347" s="4">
        <f t="shared" si="238"/>
        <v>0.9867978615748374</v>
      </c>
      <c r="W347" s="4">
        <f t="shared" si="238"/>
        <v>0.98114509762858249</v>
      </c>
      <c r="X347" s="4">
        <f t="shared" si="238"/>
        <v>0.97311898315872036</v>
      </c>
      <c r="Y347" s="4">
        <f t="shared" si="238"/>
        <v>0.96177484161592774</v>
      </c>
      <c r="Z347" s="4">
        <f t="shared" si="238"/>
        <v>0.94584787155511363</v>
      </c>
      <c r="AA347" s="4">
        <f t="shared" si="238"/>
        <v>0.92370360150141495</v>
      </c>
      <c r="AB347" s="4">
        <f t="shared" si="238"/>
        <v>0.89334463567658451</v>
      </c>
      <c r="AC347" s="4">
        <f t="shared" si="238"/>
        <v>0.85254543874327005</v>
      </c>
      <c r="AD347" s="4">
        <f t="shared" si="238"/>
        <v>0.79921300652623883</v>
      </c>
      <c r="AE347" s="4">
        <f t="shared" si="238"/>
        <v>0.73204982249993378</v>
      </c>
      <c r="AF347" s="4">
        <f t="shared" si="238"/>
        <v>0.65145592958786691</v>
      </c>
      <c r="AG347" s="4">
        <f t="shared" si="235"/>
        <v>0.56032247880849573</v>
      </c>
      <c r="AH347" s="4">
        <f t="shared" si="235"/>
        <v>0.46411326873185343</v>
      </c>
      <c r="AI347" s="4">
        <f t="shared" si="235"/>
        <v>0.36979727595523937</v>
      </c>
      <c r="AJ347" s="4">
        <f t="shared" si="236"/>
        <v>0.28393948637231203</v>
      </c>
      <c r="AK347" s="4">
        <f t="shared" si="236"/>
        <v>0.21097259161117732</v>
      </c>
      <c r="AL347" s="4">
        <f t="shared" si="236"/>
        <v>0.15253917653798199</v>
      </c>
      <c r="AM347" s="4">
        <f t="shared" si="236"/>
        <v>0.10795188737709993</v>
      </c>
      <c r="AN347" s="4">
        <f t="shared" si="236"/>
        <v>7.5176653938091809E-2</v>
      </c>
      <c r="AO347" s="4">
        <f t="shared" si="236"/>
        <v>5.1742836177502194E-2</v>
      </c>
      <c r="AP347" s="4">
        <f t="shared" si="236"/>
        <v>3.5319190625345942E-2</v>
      </c>
      <c r="AQ347" s="4">
        <f t="shared" si="236"/>
        <v>2.3969442072658165E-2</v>
      </c>
      <c r="AR347" s="4">
        <f t="shared" si="236"/>
        <v>1.6202243558389728E-2</v>
      </c>
    </row>
    <row r="348" spans="1:44" x14ac:dyDescent="0.25">
      <c r="A348" s="24" t="s">
        <v>56</v>
      </c>
      <c r="B348" s="45">
        <f>'Parameter Input'!B197</f>
        <v>0.68</v>
      </c>
      <c r="C348" s="46">
        <f>'Parameter Input'!C197</f>
        <v>0.68</v>
      </c>
      <c r="D348" s="1" t="s">
        <v>57</v>
      </c>
      <c r="L348" s="54">
        <f>'Parameter Input'!E197</f>
        <v>17</v>
      </c>
      <c r="M348" s="37">
        <v>0</v>
      </c>
      <c r="N348" s="37">
        <v>1</v>
      </c>
      <c r="O348" s="37">
        <f>'Parameter Input'!F197</f>
        <v>0.9</v>
      </c>
      <c r="P348" s="55">
        <f>'Parameter Input'!G197</f>
        <v>0.4</v>
      </c>
      <c r="Q348" s="4">
        <f t="shared" si="238"/>
        <v>0.99780374543478534</v>
      </c>
      <c r="R348" s="4">
        <f t="shared" si="238"/>
        <v>0.99685359315256394</v>
      </c>
      <c r="S348" s="4">
        <f t="shared" si="238"/>
        <v>0.99549347132349975</v>
      </c>
      <c r="T348" s="4">
        <f t="shared" si="238"/>
        <v>0.99354772139898062</v>
      </c>
      <c r="U348" s="4">
        <f t="shared" si="238"/>
        <v>0.99076681540580536</v>
      </c>
      <c r="V348" s="4">
        <f t="shared" si="238"/>
        <v>0.9867978615748374</v>
      </c>
      <c r="W348" s="4">
        <f t="shared" si="238"/>
        <v>0.98114509762858249</v>
      </c>
      <c r="X348" s="4">
        <f t="shared" si="238"/>
        <v>0.97311898315872036</v>
      </c>
      <c r="Y348" s="4">
        <f t="shared" si="238"/>
        <v>0.96177484161592774</v>
      </c>
      <c r="Z348" s="4">
        <f t="shared" si="238"/>
        <v>0.94584787155511363</v>
      </c>
      <c r="AA348" s="4">
        <f t="shared" si="238"/>
        <v>0.92370360150141495</v>
      </c>
      <c r="AB348" s="4">
        <f t="shared" si="238"/>
        <v>0.89334463567658451</v>
      </c>
      <c r="AC348" s="4">
        <f t="shared" si="238"/>
        <v>0.85254543874327005</v>
      </c>
      <c r="AD348" s="4">
        <f t="shared" si="238"/>
        <v>0.79921300652623883</v>
      </c>
      <c r="AE348" s="4">
        <f t="shared" si="238"/>
        <v>0.73204982249993378</v>
      </c>
      <c r="AF348" s="4">
        <f t="shared" si="238"/>
        <v>0.65145592958786691</v>
      </c>
      <c r="AG348" s="4">
        <f t="shared" si="235"/>
        <v>0.56032247880849573</v>
      </c>
      <c r="AH348" s="4">
        <f t="shared" si="235"/>
        <v>0.46411326873185343</v>
      </c>
      <c r="AI348" s="4">
        <f t="shared" si="235"/>
        <v>0.36979727595523937</v>
      </c>
      <c r="AJ348" s="4">
        <f t="shared" si="236"/>
        <v>0.28393948637231203</v>
      </c>
      <c r="AK348" s="4">
        <f t="shared" si="236"/>
        <v>0.21097259161117732</v>
      </c>
      <c r="AL348" s="4">
        <f t="shared" si="236"/>
        <v>0.15253917653798199</v>
      </c>
      <c r="AM348" s="4">
        <f t="shared" si="236"/>
        <v>0.10795188737709993</v>
      </c>
      <c r="AN348" s="4">
        <f t="shared" si="236"/>
        <v>7.5176653938091809E-2</v>
      </c>
      <c r="AO348" s="4">
        <f t="shared" si="236"/>
        <v>5.1742836177502194E-2</v>
      </c>
      <c r="AP348" s="4">
        <f t="shared" si="236"/>
        <v>3.5319190625345942E-2</v>
      </c>
      <c r="AQ348" s="4">
        <f t="shared" si="236"/>
        <v>2.3969442072658165E-2</v>
      </c>
      <c r="AR348" s="4">
        <f t="shared" si="236"/>
        <v>1.6202243558389728E-2</v>
      </c>
    </row>
    <row r="349" spans="1:44" x14ac:dyDescent="0.25">
      <c r="A349" s="24" t="s">
        <v>73</v>
      </c>
      <c r="B349" s="45">
        <f>'Parameter Input'!$L$199</f>
        <v>0.08</v>
      </c>
      <c r="C349" s="46">
        <f>'Parameter Input'!$M$199</f>
        <v>7.0000000000000007E-2</v>
      </c>
      <c r="D349" s="1" t="s">
        <v>57</v>
      </c>
      <c r="L349" s="54">
        <f>'Parameter Input'!$O$199</f>
        <v>17</v>
      </c>
      <c r="M349" s="37">
        <v>0</v>
      </c>
      <c r="N349" s="37">
        <v>1</v>
      </c>
      <c r="O349" s="37">
        <f>'Parameter Input'!$P$199</f>
        <v>0.9</v>
      </c>
      <c r="P349" s="55">
        <f>'Parameter Input'!$Q$199</f>
        <v>0.4</v>
      </c>
      <c r="Q349" s="4">
        <f t="shared" si="238"/>
        <v>0.99780374543478534</v>
      </c>
      <c r="R349" s="4">
        <f t="shared" si="238"/>
        <v>0.99685359315256394</v>
      </c>
      <c r="S349" s="4">
        <f t="shared" si="238"/>
        <v>0.99549347132349975</v>
      </c>
      <c r="T349" s="4">
        <f t="shared" si="238"/>
        <v>0.99354772139898062</v>
      </c>
      <c r="U349" s="4">
        <f t="shared" si="238"/>
        <v>0.99076681540580536</v>
      </c>
      <c r="V349" s="4">
        <f t="shared" si="238"/>
        <v>0.9867978615748374</v>
      </c>
      <c r="W349" s="4">
        <f t="shared" si="238"/>
        <v>0.98114509762858249</v>
      </c>
      <c r="X349" s="4">
        <f t="shared" si="238"/>
        <v>0.97311898315872036</v>
      </c>
      <c r="Y349" s="4">
        <f t="shared" si="238"/>
        <v>0.96177484161592774</v>
      </c>
      <c r="Z349" s="4">
        <f t="shared" si="238"/>
        <v>0.94584787155511363</v>
      </c>
      <c r="AA349" s="4">
        <f t="shared" si="238"/>
        <v>0.92370360150141495</v>
      </c>
      <c r="AB349" s="4">
        <f t="shared" si="238"/>
        <v>0.89334463567658451</v>
      </c>
      <c r="AC349" s="4">
        <f t="shared" si="238"/>
        <v>0.85254543874327005</v>
      </c>
      <c r="AD349" s="4">
        <f t="shared" si="238"/>
        <v>0.79921300652623883</v>
      </c>
      <c r="AE349" s="4">
        <f t="shared" si="238"/>
        <v>0.73204982249993378</v>
      </c>
      <c r="AF349" s="4">
        <f t="shared" si="238"/>
        <v>0.65145592958786691</v>
      </c>
      <c r="AG349" s="4">
        <f t="shared" si="235"/>
        <v>0.56032247880849573</v>
      </c>
      <c r="AH349" s="4">
        <f t="shared" si="235"/>
        <v>0.46411326873185343</v>
      </c>
      <c r="AI349" s="4">
        <f t="shared" si="235"/>
        <v>0.36979727595523937</v>
      </c>
      <c r="AJ349" s="4">
        <f t="shared" si="236"/>
        <v>0.28393948637231203</v>
      </c>
      <c r="AK349" s="4">
        <f t="shared" si="236"/>
        <v>0.21097259161117732</v>
      </c>
      <c r="AL349" s="4">
        <f t="shared" si="236"/>
        <v>0.15253917653798199</v>
      </c>
      <c r="AM349" s="4">
        <f t="shared" si="236"/>
        <v>0.10795188737709993</v>
      </c>
      <c r="AN349" s="4">
        <f t="shared" si="236"/>
        <v>7.5176653938091809E-2</v>
      </c>
      <c r="AO349" s="4">
        <f t="shared" si="236"/>
        <v>5.1742836177502194E-2</v>
      </c>
      <c r="AP349" s="4">
        <f t="shared" si="236"/>
        <v>3.5319190625345942E-2</v>
      </c>
      <c r="AQ349" s="4">
        <f t="shared" si="236"/>
        <v>2.3969442072658165E-2</v>
      </c>
      <c r="AR349" s="4">
        <f t="shared" si="236"/>
        <v>1.6202243558389728E-2</v>
      </c>
    </row>
    <row r="350" spans="1:44" ht="15.75" thickBot="1" x14ac:dyDescent="0.3">
      <c r="A350" s="24" t="s">
        <v>64</v>
      </c>
      <c r="B350" s="49">
        <f>'Parameter Input'!B198</f>
        <v>120000</v>
      </c>
      <c r="C350" s="50">
        <f>'Parameter Input'!C198</f>
        <v>120000</v>
      </c>
      <c r="D350" s="1" t="s">
        <v>65</v>
      </c>
      <c r="L350" s="56">
        <f>'Parameter Input'!E198</f>
        <v>17</v>
      </c>
      <c r="M350" s="57">
        <v>0</v>
      </c>
      <c r="N350" s="57">
        <v>1</v>
      </c>
      <c r="O350" s="57">
        <f>'Parameter Input'!F198</f>
        <v>0.9</v>
      </c>
      <c r="P350" s="58">
        <f>'Parameter Input'!G198</f>
        <v>0.4</v>
      </c>
      <c r="Q350" s="4">
        <f t="shared" si="238"/>
        <v>0.99780374543478534</v>
      </c>
      <c r="R350" s="4">
        <f t="shared" si="238"/>
        <v>0.99685359315256394</v>
      </c>
      <c r="S350" s="4">
        <f t="shared" si="238"/>
        <v>0.99549347132349975</v>
      </c>
      <c r="T350" s="4">
        <f t="shared" si="238"/>
        <v>0.99354772139898062</v>
      </c>
      <c r="U350" s="4">
        <f t="shared" si="238"/>
        <v>0.99076681540580536</v>
      </c>
      <c r="V350" s="4">
        <f t="shared" si="238"/>
        <v>0.9867978615748374</v>
      </c>
      <c r="W350" s="4">
        <f t="shared" si="238"/>
        <v>0.98114509762858249</v>
      </c>
      <c r="X350" s="4">
        <f t="shared" si="238"/>
        <v>0.97311898315872036</v>
      </c>
      <c r="Y350" s="4">
        <f t="shared" si="238"/>
        <v>0.96177484161592774</v>
      </c>
      <c r="Z350" s="4">
        <f t="shared" si="238"/>
        <v>0.94584787155511363</v>
      </c>
      <c r="AA350" s="4">
        <f t="shared" si="238"/>
        <v>0.92370360150141495</v>
      </c>
      <c r="AB350" s="4">
        <f t="shared" si="238"/>
        <v>0.89334463567658451</v>
      </c>
      <c r="AC350" s="4">
        <f t="shared" si="238"/>
        <v>0.85254543874327005</v>
      </c>
      <c r="AD350" s="4">
        <f t="shared" si="238"/>
        <v>0.79921300652623883</v>
      </c>
      <c r="AE350" s="4">
        <f t="shared" si="238"/>
        <v>0.73204982249993378</v>
      </c>
      <c r="AF350" s="4">
        <f t="shared" si="238"/>
        <v>0.65145592958786691</v>
      </c>
      <c r="AG350" s="4">
        <f t="shared" si="235"/>
        <v>0.56032247880849573</v>
      </c>
      <c r="AH350" s="4">
        <f t="shared" si="235"/>
        <v>0.46411326873185343</v>
      </c>
      <c r="AI350" s="4">
        <f t="shared" si="235"/>
        <v>0.36979727595523937</v>
      </c>
      <c r="AJ350" s="4">
        <f t="shared" si="236"/>
        <v>0.28393948637231203</v>
      </c>
      <c r="AK350" s="4">
        <f t="shared" si="236"/>
        <v>0.21097259161117732</v>
      </c>
      <c r="AL350" s="4">
        <f t="shared" si="236"/>
        <v>0.15253917653798199</v>
      </c>
      <c r="AM350" s="4">
        <f t="shared" si="236"/>
        <v>0.10795188737709993</v>
      </c>
      <c r="AN350" s="4">
        <f t="shared" si="236"/>
        <v>7.5176653938091809E-2</v>
      </c>
      <c r="AO350" s="4">
        <f t="shared" si="236"/>
        <v>5.1742836177502194E-2</v>
      </c>
      <c r="AP350" s="4">
        <f t="shared" si="236"/>
        <v>3.5319190625345942E-2</v>
      </c>
      <c r="AQ350" s="4">
        <f t="shared" si="236"/>
        <v>2.3969442072658165E-2</v>
      </c>
      <c r="AR350" s="4">
        <f t="shared" si="236"/>
        <v>1.6202243558389728E-2</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39">A334</f>
        <v>Capex vehicle</v>
      </c>
      <c r="B354" s="62">
        <f t="shared" ref="B354:B363" si="240">$B334+($C334-$B334)*(1-Q334)</f>
        <v>29973644.945217423</v>
      </c>
      <c r="C354" s="62">
        <f t="shared" ref="C354:C363" si="241">$B334+($C334-$B334)*(1-R334)</f>
        <v>29962243.117830768</v>
      </c>
      <c r="D354" s="62">
        <f t="shared" ref="D354:D363" si="242">$B334+($C334-$B334)*(1-S334)</f>
        <v>29945921.655881997</v>
      </c>
      <c r="E354" s="62">
        <f t="shared" ref="E354:E363" si="243">$B334+($C334-$B334)*(1-T334)</f>
        <v>29922572.656787768</v>
      </c>
      <c r="F354" s="62">
        <f t="shared" ref="F354:F363" si="244">$B334+($C334-$B334)*(1-U334)</f>
        <v>29889201.784869663</v>
      </c>
      <c r="G354" s="62">
        <f t="shared" ref="G354:G363" si="245">$B334+($C334-$B334)*(1-V334)</f>
        <v>29841574.338898048</v>
      </c>
      <c r="H354" s="62">
        <f t="shared" ref="H354:H363" si="246">$B334+($C334-$B334)*(1-W334)</f>
        <v>29773741.171542991</v>
      </c>
      <c r="I354" s="62">
        <f t="shared" ref="I354:I363" si="247">$B334+($C334-$B334)*(1-X334)</f>
        <v>29677427.797904644</v>
      </c>
      <c r="J354" s="62">
        <f t="shared" ref="J354:J363" si="248">$B334+($C334-$B334)*(1-Y334)</f>
        <v>29541298.099391133</v>
      </c>
      <c r="K354" s="62">
        <f t="shared" ref="K354:K363" si="249">$B334+($C334-$B334)*(1-Z334)</f>
        <v>29350174.458661363</v>
      </c>
      <c r="L354" s="62">
        <f t="shared" ref="L354:L363" si="250">$B334+($C334-$B334)*(1-AA334)</f>
        <v>29084443.218016978</v>
      </c>
      <c r="M354" s="62">
        <f t="shared" ref="M354:M363" si="251">$B334+($C334-$B334)*(1-AB334)</f>
        <v>28720135.628119014</v>
      </c>
      <c r="N354" s="62">
        <f t="shared" ref="N354:N363" si="252">$B334+($C334-$B334)*(1-AC334)</f>
        <v>28230545.26491924</v>
      </c>
      <c r="O354" s="62">
        <f t="shared" ref="O354:O363" si="253">$B334+($C334-$B334)*(1-AD334)</f>
        <v>27590556.078314867</v>
      </c>
      <c r="P354" s="62">
        <f t="shared" ref="P354:P363" si="254">$B334+($C334-$B334)*(1-AE334)</f>
        <v>26784597.869999204</v>
      </c>
      <c r="Q354" s="62">
        <f t="shared" ref="Q354:Q363" si="255">$B334+($C334-$B334)*(1-AF334)</f>
        <v>25817471.155054402</v>
      </c>
      <c r="R354" s="62">
        <f t="shared" ref="R354:R363" si="256">$B334+($C334-$B334)*(1-AG334)</f>
        <v>24723869.74570195</v>
      </c>
      <c r="S354" s="62">
        <f t="shared" ref="S354:S363" si="257">$B334+($C334-$B334)*(1-AH334)</f>
        <v>23569359.224782243</v>
      </c>
      <c r="T354" s="62">
        <f t="shared" ref="T354:T363" si="258">$B334+($C334-$B334)*(1-AI334)</f>
        <v>22437567.311462872</v>
      </c>
      <c r="U354" s="62">
        <f t="shared" ref="U354:U363" si="259">$B334+($C334-$B334)*(1-AJ334)</f>
        <v>21407273.836467743</v>
      </c>
      <c r="V354" s="62">
        <f t="shared" ref="V354:V363" si="260">$B334+($C334-$B334)*(1-AK334)</f>
        <v>20531671.099334128</v>
      </c>
      <c r="W354" s="62">
        <f t="shared" ref="W354:W363" si="261">$B334+($C334-$B334)*(1-AL334)</f>
        <v>19830470.118455783</v>
      </c>
      <c r="X354" s="62">
        <f t="shared" ref="X354:X363" si="262">$B334+($C334-$B334)*(1-AM334)</f>
        <v>19295422.648525201</v>
      </c>
      <c r="Y354" s="62">
        <f t="shared" ref="Y354:Y363" si="263">$B334+($C334-$B334)*(1-AN334)</f>
        <v>18902119.8472571</v>
      </c>
      <c r="Z354" s="62">
        <f t="shared" ref="Z354:Z363" si="264">$B334+($C334-$B334)*(1-AO334)</f>
        <v>18620914.034130026</v>
      </c>
      <c r="AA354" s="62">
        <f t="shared" ref="AA354:AA363" si="265">$B334+($C334-$B334)*(1-AP334)</f>
        <v>18423830.287504151</v>
      </c>
      <c r="AB354" s="62">
        <f t="shared" ref="AB354:AB363" si="266">$B334+($C334-$B334)*(1-AQ334)</f>
        <v>18287633.304871898</v>
      </c>
      <c r="AC354" s="62">
        <f t="shared" ref="AC354:AC363" si="267">$B334+($C334-$B334)*(1-AR334)</f>
        <v>18194426.922700677</v>
      </c>
    </row>
    <row r="355" spans="1:29" x14ac:dyDescent="0.25">
      <c r="A355" s="30" t="str">
        <f t="shared" si="239"/>
        <v>Residual value (vehicle)</v>
      </c>
      <c r="B355" s="62">
        <f t="shared" si="240"/>
        <v>-1500658.8763695643</v>
      </c>
      <c r="C355" s="62">
        <f t="shared" si="241"/>
        <v>-1500943.9220542307</v>
      </c>
      <c r="D355" s="62">
        <f t="shared" si="242"/>
        <v>-1501351.95860295</v>
      </c>
      <c r="E355" s="62">
        <f t="shared" si="243"/>
        <v>-1501935.6835803059</v>
      </c>
      <c r="F355" s="62">
        <f t="shared" si="244"/>
        <v>-1502769.9553782584</v>
      </c>
      <c r="G355" s="62">
        <f t="shared" si="245"/>
        <v>-1503960.6415275487</v>
      </c>
      <c r="H355" s="62">
        <f t="shared" si="246"/>
        <v>-1505656.4707114252</v>
      </c>
      <c r="I355" s="62">
        <f t="shared" si="247"/>
        <v>-1508064.3050523838</v>
      </c>
      <c r="J355" s="62">
        <f t="shared" si="248"/>
        <v>-1511467.5475152216</v>
      </c>
      <c r="K355" s="62">
        <f t="shared" si="249"/>
        <v>-1516245.6385334658</v>
      </c>
      <c r="L355" s="62">
        <f t="shared" si="250"/>
        <v>-1522888.9195495755</v>
      </c>
      <c r="M355" s="62">
        <f t="shared" si="251"/>
        <v>-1531996.6092970246</v>
      </c>
      <c r="N355" s="62">
        <f t="shared" si="252"/>
        <v>-1544236.368377019</v>
      </c>
      <c r="O355" s="62">
        <f t="shared" si="253"/>
        <v>-1560236.0980421284</v>
      </c>
      <c r="P355" s="62">
        <f t="shared" si="254"/>
        <v>-1580385.0532500199</v>
      </c>
      <c r="Q355" s="62">
        <f t="shared" si="255"/>
        <v>-1604563.22112364</v>
      </c>
      <c r="R355" s="62">
        <f t="shared" si="256"/>
        <v>-1631903.2563574512</v>
      </c>
      <c r="S355" s="62">
        <f t="shared" si="257"/>
        <v>-1660766.019380444</v>
      </c>
      <c r="T355" s="62">
        <f t="shared" si="258"/>
        <v>-1689060.8172134282</v>
      </c>
      <c r="U355" s="62">
        <f t="shared" si="259"/>
        <v>-1714818.1540883065</v>
      </c>
      <c r="V355" s="62">
        <f t="shared" si="260"/>
        <v>-1736708.2225166468</v>
      </c>
      <c r="W355" s="62">
        <f t="shared" si="261"/>
        <v>-1754238.2470386054</v>
      </c>
      <c r="X355" s="62">
        <f t="shared" si="262"/>
        <v>-1767614.43378687</v>
      </c>
      <c r="Y355" s="62">
        <f t="shared" si="263"/>
        <v>-1777447.0038185725</v>
      </c>
      <c r="Z355" s="62">
        <f t="shared" si="264"/>
        <v>-1784477.1491467494</v>
      </c>
      <c r="AA355" s="62">
        <f t="shared" si="265"/>
        <v>-1789404.2428123963</v>
      </c>
      <c r="AB355" s="62">
        <f t="shared" si="266"/>
        <v>-1792809.1673782025</v>
      </c>
      <c r="AC355" s="62">
        <f t="shared" si="267"/>
        <v>-1795139.3269324831</v>
      </c>
    </row>
    <row r="356" spans="1:29" x14ac:dyDescent="0.25">
      <c r="A356" s="30" t="str">
        <f t="shared" si="239"/>
        <v>Capex costumization</v>
      </c>
      <c r="B356" s="62">
        <f t="shared" si="240"/>
        <v>1000000</v>
      </c>
      <c r="C356" s="62">
        <f t="shared" si="241"/>
        <v>1000000</v>
      </c>
      <c r="D356" s="62">
        <f t="shared" si="242"/>
        <v>1000000</v>
      </c>
      <c r="E356" s="62">
        <f t="shared" si="243"/>
        <v>1000000</v>
      </c>
      <c r="F356" s="62">
        <f t="shared" si="244"/>
        <v>1000000</v>
      </c>
      <c r="G356" s="62">
        <f t="shared" si="245"/>
        <v>1000000</v>
      </c>
      <c r="H356" s="62">
        <f t="shared" si="246"/>
        <v>1000000</v>
      </c>
      <c r="I356" s="62">
        <f t="shared" si="247"/>
        <v>1000000</v>
      </c>
      <c r="J356" s="62">
        <f t="shared" si="248"/>
        <v>1000000</v>
      </c>
      <c r="K356" s="62">
        <f t="shared" si="249"/>
        <v>1000000</v>
      </c>
      <c r="L356" s="62">
        <f t="shared" si="250"/>
        <v>1000000</v>
      </c>
      <c r="M356" s="62">
        <f t="shared" si="251"/>
        <v>1000000</v>
      </c>
      <c r="N356" s="62">
        <f t="shared" si="252"/>
        <v>1000000</v>
      </c>
      <c r="O356" s="62">
        <f t="shared" si="253"/>
        <v>1000000</v>
      </c>
      <c r="P356" s="62">
        <f t="shared" si="254"/>
        <v>1000000</v>
      </c>
      <c r="Q356" s="62">
        <f t="shared" si="255"/>
        <v>1000000</v>
      </c>
      <c r="R356" s="62">
        <f t="shared" si="256"/>
        <v>1000000</v>
      </c>
      <c r="S356" s="62">
        <f t="shared" si="257"/>
        <v>1000000</v>
      </c>
      <c r="T356" s="62">
        <f t="shared" si="258"/>
        <v>1000000</v>
      </c>
      <c r="U356" s="62">
        <f t="shared" si="259"/>
        <v>1000000</v>
      </c>
      <c r="V356" s="62">
        <f t="shared" si="260"/>
        <v>1000000</v>
      </c>
      <c r="W356" s="62">
        <f t="shared" si="261"/>
        <v>1000000</v>
      </c>
      <c r="X356" s="62">
        <f t="shared" si="262"/>
        <v>1000000</v>
      </c>
      <c r="Y356" s="62">
        <f t="shared" si="263"/>
        <v>1000000</v>
      </c>
      <c r="Z356" s="62">
        <f t="shared" si="264"/>
        <v>1000000</v>
      </c>
      <c r="AA356" s="62">
        <f t="shared" si="265"/>
        <v>1000000</v>
      </c>
      <c r="AB356" s="62">
        <f t="shared" si="266"/>
        <v>1000000</v>
      </c>
      <c r="AC356" s="62">
        <f t="shared" si="267"/>
        <v>1000000</v>
      </c>
    </row>
    <row r="357" spans="1:29" x14ac:dyDescent="0.25">
      <c r="A357" s="30" t="str">
        <f t="shared" si="239"/>
        <v>Residual value (costumization)</v>
      </c>
      <c r="B357" s="62">
        <f t="shared" si="240"/>
        <v>-100000</v>
      </c>
      <c r="C357" s="62">
        <f t="shared" si="241"/>
        <v>-100000</v>
      </c>
      <c r="D357" s="62">
        <f t="shared" si="242"/>
        <v>-100000</v>
      </c>
      <c r="E357" s="62">
        <f t="shared" si="243"/>
        <v>-100000</v>
      </c>
      <c r="F357" s="62">
        <f t="shared" si="244"/>
        <v>-100000</v>
      </c>
      <c r="G357" s="62">
        <f t="shared" si="245"/>
        <v>-100000</v>
      </c>
      <c r="H357" s="62">
        <f t="shared" si="246"/>
        <v>-100000</v>
      </c>
      <c r="I357" s="62">
        <f t="shared" si="247"/>
        <v>-100000</v>
      </c>
      <c r="J357" s="62">
        <f t="shared" si="248"/>
        <v>-100000</v>
      </c>
      <c r="K357" s="62">
        <f t="shared" si="249"/>
        <v>-100000</v>
      </c>
      <c r="L357" s="62">
        <f t="shared" si="250"/>
        <v>-100000</v>
      </c>
      <c r="M357" s="62">
        <f t="shared" si="251"/>
        <v>-100000</v>
      </c>
      <c r="N357" s="62">
        <f t="shared" si="252"/>
        <v>-100000</v>
      </c>
      <c r="O357" s="62">
        <f t="shared" si="253"/>
        <v>-100000</v>
      </c>
      <c r="P357" s="62">
        <f t="shared" si="254"/>
        <v>-100000</v>
      </c>
      <c r="Q357" s="62">
        <f t="shared" si="255"/>
        <v>-100000</v>
      </c>
      <c r="R357" s="62">
        <f t="shared" si="256"/>
        <v>-100000</v>
      </c>
      <c r="S357" s="62">
        <f t="shared" si="257"/>
        <v>-100000</v>
      </c>
      <c r="T357" s="62">
        <f t="shared" si="258"/>
        <v>-100000</v>
      </c>
      <c r="U357" s="62">
        <f t="shared" si="259"/>
        <v>-100000</v>
      </c>
      <c r="V357" s="62">
        <f t="shared" si="260"/>
        <v>-100000</v>
      </c>
      <c r="W357" s="62">
        <f t="shared" si="261"/>
        <v>-100000</v>
      </c>
      <c r="X357" s="62">
        <f t="shared" si="262"/>
        <v>-100000</v>
      </c>
      <c r="Y357" s="62">
        <f t="shared" si="263"/>
        <v>-100000</v>
      </c>
      <c r="Z357" s="62">
        <f t="shared" si="264"/>
        <v>-100000</v>
      </c>
      <c r="AA357" s="62">
        <f t="shared" si="265"/>
        <v>-100000</v>
      </c>
      <c r="AB357" s="62">
        <f t="shared" si="266"/>
        <v>-100000</v>
      </c>
      <c r="AC357" s="62">
        <f t="shared" si="267"/>
        <v>-100000</v>
      </c>
    </row>
    <row r="358" spans="1:29" x14ac:dyDescent="0.25">
      <c r="A358" s="30" t="str">
        <f t="shared" si="239"/>
        <v>WACC</v>
      </c>
      <c r="B358" s="62">
        <f t="shared" si="240"/>
        <v>0.06</v>
      </c>
      <c r="C358" s="62">
        <f t="shared" si="241"/>
        <v>0.06</v>
      </c>
      <c r="D358" s="62">
        <f t="shared" si="242"/>
        <v>0.06</v>
      </c>
      <c r="E358" s="62">
        <f t="shared" si="243"/>
        <v>0.06</v>
      </c>
      <c r="F358" s="62">
        <f t="shared" si="244"/>
        <v>0.06</v>
      </c>
      <c r="G358" s="62">
        <f t="shared" si="245"/>
        <v>0.06</v>
      </c>
      <c r="H358" s="62">
        <f t="shared" si="246"/>
        <v>0.06</v>
      </c>
      <c r="I358" s="62">
        <f t="shared" si="247"/>
        <v>0.06</v>
      </c>
      <c r="J358" s="62">
        <f t="shared" si="248"/>
        <v>0.06</v>
      </c>
      <c r="K358" s="62">
        <f t="shared" si="249"/>
        <v>0.06</v>
      </c>
      <c r="L358" s="62">
        <f t="shared" si="250"/>
        <v>0.06</v>
      </c>
      <c r="M358" s="62">
        <f t="shared" si="251"/>
        <v>0.06</v>
      </c>
      <c r="N358" s="62">
        <f t="shared" si="252"/>
        <v>0.06</v>
      </c>
      <c r="O358" s="62">
        <f t="shared" si="253"/>
        <v>0.06</v>
      </c>
      <c r="P358" s="62">
        <f t="shared" si="254"/>
        <v>0.06</v>
      </c>
      <c r="Q358" s="62">
        <f t="shared" si="255"/>
        <v>0.06</v>
      </c>
      <c r="R358" s="62">
        <f t="shared" si="256"/>
        <v>0.06</v>
      </c>
      <c r="S358" s="62">
        <f t="shared" si="257"/>
        <v>0.06</v>
      </c>
      <c r="T358" s="62">
        <f t="shared" si="258"/>
        <v>0.06</v>
      </c>
      <c r="U358" s="62">
        <f t="shared" si="259"/>
        <v>0.06</v>
      </c>
      <c r="V358" s="62">
        <f t="shared" si="260"/>
        <v>0.06</v>
      </c>
      <c r="W358" s="62">
        <f t="shared" si="261"/>
        <v>0.06</v>
      </c>
      <c r="X358" s="62">
        <f t="shared" si="262"/>
        <v>0.06</v>
      </c>
      <c r="Y358" s="62">
        <f t="shared" si="263"/>
        <v>0.06</v>
      </c>
      <c r="Z358" s="62">
        <f t="shared" si="264"/>
        <v>0.06</v>
      </c>
      <c r="AA358" s="62">
        <f t="shared" si="265"/>
        <v>0.06</v>
      </c>
      <c r="AB358" s="62">
        <f t="shared" si="266"/>
        <v>0.06</v>
      </c>
      <c r="AC358" s="62">
        <f t="shared" si="267"/>
        <v>0.06</v>
      </c>
    </row>
    <row r="359" spans="1:29" x14ac:dyDescent="0.25">
      <c r="A359" s="30" t="str">
        <f t="shared" si="239"/>
        <v>Opex fix (admin, crew, insurance)</v>
      </c>
      <c r="B359" s="62">
        <f t="shared" si="240"/>
        <v>1208235.294117647</v>
      </c>
      <c r="C359" s="62">
        <f t="shared" si="241"/>
        <v>1208235.294117647</v>
      </c>
      <c r="D359" s="62">
        <f t="shared" si="242"/>
        <v>1208235.294117647</v>
      </c>
      <c r="E359" s="62">
        <f t="shared" si="243"/>
        <v>1208235.294117647</v>
      </c>
      <c r="F359" s="62">
        <f t="shared" si="244"/>
        <v>1208235.294117647</v>
      </c>
      <c r="G359" s="62">
        <f t="shared" si="245"/>
        <v>1208235.294117647</v>
      </c>
      <c r="H359" s="62">
        <f t="shared" si="246"/>
        <v>1208235.294117647</v>
      </c>
      <c r="I359" s="62">
        <f t="shared" si="247"/>
        <v>1208235.294117647</v>
      </c>
      <c r="J359" s="62">
        <f t="shared" si="248"/>
        <v>1208235.294117647</v>
      </c>
      <c r="K359" s="62">
        <f t="shared" si="249"/>
        <v>1208235.294117647</v>
      </c>
      <c r="L359" s="62">
        <f t="shared" si="250"/>
        <v>1208235.294117647</v>
      </c>
      <c r="M359" s="62">
        <f t="shared" si="251"/>
        <v>1208235.294117647</v>
      </c>
      <c r="N359" s="62">
        <f t="shared" si="252"/>
        <v>1208235.294117647</v>
      </c>
      <c r="O359" s="62">
        <f t="shared" si="253"/>
        <v>1208235.294117647</v>
      </c>
      <c r="P359" s="62">
        <f t="shared" si="254"/>
        <v>1208235.294117647</v>
      </c>
      <c r="Q359" s="62">
        <f t="shared" si="255"/>
        <v>1208235.294117647</v>
      </c>
      <c r="R359" s="62">
        <f t="shared" si="256"/>
        <v>1208235.294117647</v>
      </c>
      <c r="S359" s="62">
        <f t="shared" si="257"/>
        <v>1208235.294117647</v>
      </c>
      <c r="T359" s="62">
        <f t="shared" si="258"/>
        <v>1208235.294117647</v>
      </c>
      <c r="U359" s="62">
        <f t="shared" si="259"/>
        <v>1208235.294117647</v>
      </c>
      <c r="V359" s="62">
        <f t="shared" si="260"/>
        <v>1208235.294117647</v>
      </c>
      <c r="W359" s="62">
        <f t="shared" si="261"/>
        <v>1208235.294117647</v>
      </c>
      <c r="X359" s="62">
        <f t="shared" si="262"/>
        <v>1208235.294117647</v>
      </c>
      <c r="Y359" s="62">
        <f t="shared" si="263"/>
        <v>1208235.294117647</v>
      </c>
      <c r="Z359" s="62">
        <f t="shared" si="264"/>
        <v>1208235.294117647</v>
      </c>
      <c r="AA359" s="62">
        <f t="shared" si="265"/>
        <v>1208235.294117647</v>
      </c>
      <c r="AB359" s="62">
        <f t="shared" si="266"/>
        <v>1208235.294117647</v>
      </c>
      <c r="AC359" s="62">
        <f t="shared" si="267"/>
        <v>1208235.294117647</v>
      </c>
    </row>
    <row r="360" spans="1:29" x14ac:dyDescent="0.25">
      <c r="A360" s="30" t="str">
        <f t="shared" si="239"/>
        <v>Opex maintenance &amp; repair</v>
      </c>
      <c r="B360" s="62">
        <f t="shared" si="240"/>
        <v>338823.5294117647</v>
      </c>
      <c r="C360" s="62">
        <f t="shared" si="241"/>
        <v>338823.5294117647</v>
      </c>
      <c r="D360" s="62">
        <f t="shared" si="242"/>
        <v>338823.5294117647</v>
      </c>
      <c r="E360" s="62">
        <f t="shared" si="243"/>
        <v>338823.5294117647</v>
      </c>
      <c r="F360" s="62">
        <f t="shared" si="244"/>
        <v>338823.5294117647</v>
      </c>
      <c r="G360" s="62">
        <f t="shared" si="245"/>
        <v>338823.5294117647</v>
      </c>
      <c r="H360" s="62">
        <f t="shared" si="246"/>
        <v>338823.5294117647</v>
      </c>
      <c r="I360" s="62">
        <f t="shared" si="247"/>
        <v>338823.5294117647</v>
      </c>
      <c r="J360" s="62">
        <f t="shared" si="248"/>
        <v>338823.5294117647</v>
      </c>
      <c r="K360" s="62">
        <f t="shared" si="249"/>
        <v>338823.5294117647</v>
      </c>
      <c r="L360" s="62">
        <f t="shared" si="250"/>
        <v>338823.5294117647</v>
      </c>
      <c r="M360" s="62">
        <f t="shared" si="251"/>
        <v>338823.5294117647</v>
      </c>
      <c r="N360" s="62">
        <f t="shared" si="252"/>
        <v>338823.5294117647</v>
      </c>
      <c r="O360" s="62">
        <f t="shared" si="253"/>
        <v>338823.5294117647</v>
      </c>
      <c r="P360" s="62">
        <f t="shared" si="254"/>
        <v>338823.5294117647</v>
      </c>
      <c r="Q360" s="62">
        <f t="shared" si="255"/>
        <v>338823.5294117647</v>
      </c>
      <c r="R360" s="62">
        <f t="shared" si="256"/>
        <v>338823.5294117647</v>
      </c>
      <c r="S360" s="62">
        <f t="shared" si="257"/>
        <v>338823.5294117647</v>
      </c>
      <c r="T360" s="62">
        <f t="shared" si="258"/>
        <v>338823.5294117647</v>
      </c>
      <c r="U360" s="62">
        <f t="shared" si="259"/>
        <v>338823.5294117647</v>
      </c>
      <c r="V360" s="62">
        <f t="shared" si="260"/>
        <v>338823.5294117647</v>
      </c>
      <c r="W360" s="62">
        <f t="shared" si="261"/>
        <v>338823.5294117647</v>
      </c>
      <c r="X360" s="62">
        <f t="shared" si="262"/>
        <v>338823.5294117647</v>
      </c>
      <c r="Y360" s="62">
        <f t="shared" si="263"/>
        <v>338823.5294117647</v>
      </c>
      <c r="Z360" s="62">
        <f t="shared" si="264"/>
        <v>338823.5294117647</v>
      </c>
      <c r="AA360" s="62">
        <f t="shared" si="265"/>
        <v>338823.5294117647</v>
      </c>
      <c r="AB360" s="62">
        <f t="shared" si="266"/>
        <v>338823.5294117647</v>
      </c>
      <c r="AC360" s="62">
        <f t="shared" si="267"/>
        <v>338823.5294117647</v>
      </c>
    </row>
    <row r="361" spans="1:29" x14ac:dyDescent="0.25">
      <c r="A361" s="30" t="str">
        <f t="shared" si="239"/>
        <v>Opex var (mode-fees)</v>
      </c>
      <c r="B361" s="62">
        <f t="shared" si="240"/>
        <v>0.81280569096848254</v>
      </c>
      <c r="C361" s="62">
        <f t="shared" si="241"/>
        <v>0.81280569096848254</v>
      </c>
      <c r="D361" s="62">
        <f t="shared" si="242"/>
        <v>0.81280569096848254</v>
      </c>
      <c r="E361" s="62">
        <f t="shared" si="243"/>
        <v>0.81280569096848254</v>
      </c>
      <c r="F361" s="62">
        <f t="shared" si="244"/>
        <v>0.81280569096848254</v>
      </c>
      <c r="G361" s="62">
        <f t="shared" si="245"/>
        <v>0.81280569096848254</v>
      </c>
      <c r="H361" s="62">
        <f t="shared" si="246"/>
        <v>0.81280569096848254</v>
      </c>
      <c r="I361" s="62">
        <f t="shared" si="247"/>
        <v>0.81280569096848254</v>
      </c>
      <c r="J361" s="62">
        <f t="shared" si="248"/>
        <v>0.81280569096848254</v>
      </c>
      <c r="K361" s="62">
        <f t="shared" si="249"/>
        <v>0.81280569096848254</v>
      </c>
      <c r="L361" s="62">
        <f t="shared" si="250"/>
        <v>0.81280569096848254</v>
      </c>
      <c r="M361" s="62">
        <f t="shared" si="251"/>
        <v>0.81280569096848254</v>
      </c>
      <c r="N361" s="62">
        <f t="shared" si="252"/>
        <v>0.81280569096848254</v>
      </c>
      <c r="O361" s="62">
        <f t="shared" si="253"/>
        <v>0.81280569096848254</v>
      </c>
      <c r="P361" s="62">
        <f t="shared" si="254"/>
        <v>0.81280569096848254</v>
      </c>
      <c r="Q361" s="62">
        <f t="shared" si="255"/>
        <v>0.81280569096848254</v>
      </c>
      <c r="R361" s="62">
        <f t="shared" si="256"/>
        <v>0.81280569096848254</v>
      </c>
      <c r="S361" s="62">
        <f t="shared" si="257"/>
        <v>0.81280569096848254</v>
      </c>
      <c r="T361" s="62">
        <f t="shared" si="258"/>
        <v>0.81280569096848254</v>
      </c>
      <c r="U361" s="62">
        <f t="shared" si="259"/>
        <v>0.81280569096848254</v>
      </c>
      <c r="V361" s="62">
        <f t="shared" si="260"/>
        <v>0.81280569096848254</v>
      </c>
      <c r="W361" s="62">
        <f t="shared" si="261"/>
        <v>0.81280569096848254</v>
      </c>
      <c r="X361" s="62">
        <f t="shared" si="262"/>
        <v>0.81280569096848254</v>
      </c>
      <c r="Y361" s="62">
        <f t="shared" si="263"/>
        <v>0.81280569096848254</v>
      </c>
      <c r="Z361" s="62">
        <f t="shared" si="264"/>
        <v>0.81280569096848254</v>
      </c>
      <c r="AA361" s="62">
        <f t="shared" si="265"/>
        <v>0.81280569096848254</v>
      </c>
      <c r="AB361" s="62">
        <f t="shared" si="266"/>
        <v>0.81280569096848254</v>
      </c>
      <c r="AC361" s="62">
        <f t="shared" si="267"/>
        <v>0.81280569096848254</v>
      </c>
    </row>
    <row r="362" spans="1:29" x14ac:dyDescent="0.25">
      <c r="A362" s="30" t="str">
        <f t="shared" si="239"/>
        <v>Fuel Economy</v>
      </c>
      <c r="B362" s="62">
        <f t="shared" si="240"/>
        <v>588.84626218043502</v>
      </c>
      <c r="C362" s="62">
        <f t="shared" si="241"/>
        <v>588.7797515206795</v>
      </c>
      <c r="D362" s="62">
        <f t="shared" si="242"/>
        <v>588.68454299264499</v>
      </c>
      <c r="E362" s="62">
        <f t="shared" si="243"/>
        <v>588.54834049792862</v>
      </c>
      <c r="F362" s="62">
        <f t="shared" si="244"/>
        <v>588.35367707840635</v>
      </c>
      <c r="G362" s="62">
        <f t="shared" si="245"/>
        <v>588.07585031023859</v>
      </c>
      <c r="H362" s="62">
        <f t="shared" si="246"/>
        <v>587.68015683400074</v>
      </c>
      <c r="I362" s="62">
        <f t="shared" si="247"/>
        <v>587.11832882111048</v>
      </c>
      <c r="J362" s="62">
        <f t="shared" si="248"/>
        <v>586.32423891311498</v>
      </c>
      <c r="K362" s="62">
        <f t="shared" si="249"/>
        <v>585.20935100885799</v>
      </c>
      <c r="L362" s="62">
        <f t="shared" si="250"/>
        <v>583.65925210509909</v>
      </c>
      <c r="M362" s="62">
        <f t="shared" si="251"/>
        <v>581.53412449736095</v>
      </c>
      <c r="N362" s="62">
        <f t="shared" si="252"/>
        <v>578.67818071202885</v>
      </c>
      <c r="O362" s="62">
        <f t="shared" si="253"/>
        <v>574.94491045683674</v>
      </c>
      <c r="P362" s="62">
        <f t="shared" si="254"/>
        <v>570.24348757499536</v>
      </c>
      <c r="Q362" s="62">
        <f t="shared" si="255"/>
        <v>564.60191507115064</v>
      </c>
      <c r="R362" s="62">
        <f t="shared" si="256"/>
        <v>558.22257351659471</v>
      </c>
      <c r="S362" s="62">
        <f t="shared" si="257"/>
        <v>551.48792881122972</v>
      </c>
      <c r="T362" s="62">
        <f t="shared" si="258"/>
        <v>544.8858093168667</v>
      </c>
      <c r="U362" s="62">
        <f t="shared" si="259"/>
        <v>538.87576404606182</v>
      </c>
      <c r="V362" s="62">
        <f t="shared" si="260"/>
        <v>533.76808141278241</v>
      </c>
      <c r="W362" s="62">
        <f t="shared" si="261"/>
        <v>529.67774235765876</v>
      </c>
      <c r="X362" s="62">
        <f t="shared" si="262"/>
        <v>526.55663211639694</v>
      </c>
      <c r="Y362" s="62">
        <f t="shared" si="263"/>
        <v>524.26236577566647</v>
      </c>
      <c r="Z362" s="62">
        <f t="shared" si="264"/>
        <v>522.6219985324251</v>
      </c>
      <c r="AA362" s="62">
        <f t="shared" si="265"/>
        <v>521.47234334377424</v>
      </c>
      <c r="AB362" s="62">
        <f t="shared" si="266"/>
        <v>520.67786094508608</v>
      </c>
      <c r="AC362" s="62">
        <f t="shared" si="267"/>
        <v>520.13415704908732</v>
      </c>
    </row>
    <row r="363" spans="1:29" x14ac:dyDescent="0.25">
      <c r="A363" s="30" t="str">
        <f t="shared" si="239"/>
        <v>Fuel Cost</v>
      </c>
      <c r="B363" s="62">
        <f t="shared" si="240"/>
        <v>0.23895197293017539</v>
      </c>
      <c r="C363" s="62">
        <f t="shared" si="241"/>
        <v>0.23860302366741218</v>
      </c>
      <c r="D363" s="62">
        <f t="shared" si="242"/>
        <v>0.23810499765838622</v>
      </c>
      <c r="E363" s="62">
        <f t="shared" si="243"/>
        <v>0.23739568644237932</v>
      </c>
      <c r="F363" s="62">
        <f t="shared" si="244"/>
        <v>0.23638856619668069</v>
      </c>
      <c r="G363" s="62">
        <f t="shared" si="245"/>
        <v>0.23496509850746228</v>
      </c>
      <c r="H363" s="62">
        <f t="shared" si="246"/>
        <v>0.23296657555328404</v>
      </c>
      <c r="I363" s="62">
        <f t="shared" si="247"/>
        <v>0.2301879031606785</v>
      </c>
      <c r="J363" s="62">
        <f t="shared" si="248"/>
        <v>0.22637844726075729</v>
      </c>
      <c r="K363" s="62">
        <f t="shared" si="249"/>
        <v>0.22125894673605423</v>
      </c>
      <c r="L363" s="62">
        <f t="shared" si="250"/>
        <v>0.21456677053550172</v>
      </c>
      <c r="M363" s="62">
        <f t="shared" si="251"/>
        <v>0.20613910573549596</v>
      </c>
      <c r="N363" s="62">
        <f t="shared" si="252"/>
        <v>0.19602614989164499</v>
      </c>
      <c r="O363" s="62">
        <f t="shared" si="253"/>
        <v>0.18459068585921384</v>
      </c>
      <c r="P363" s="62">
        <f t="shared" si="254"/>
        <v>0.17251831339870463</v>
      </c>
      <c r="Q363" s="62">
        <f t="shared" si="255"/>
        <v>0.16068350264747888</v>
      </c>
      <c r="R363" s="62">
        <f t="shared" si="256"/>
        <v>0.14991003081816623</v>
      </c>
      <c r="S363" s="62">
        <f t="shared" si="257"/>
        <v>0.14075411393514156</v>
      </c>
      <c r="T363" s="62">
        <f t="shared" si="258"/>
        <v>0.1334218642436496</v>
      </c>
      <c r="U363" s="62">
        <f t="shared" si="259"/>
        <v>0.12782703230057685</v>
      </c>
      <c r="V363" s="62">
        <f t="shared" si="260"/>
        <v>0.12371438211624793</v>
      </c>
      <c r="W363" s="62">
        <f t="shared" si="261"/>
        <v>0.12077389673078255</v>
      </c>
      <c r="X363" s="62">
        <f t="shared" si="262"/>
        <v>0.1187130507254254</v>
      </c>
      <c r="Y363" s="62">
        <f t="shared" si="263"/>
        <v>0.11728887946622869</v>
      </c>
      <c r="Z363" s="62">
        <f t="shared" si="264"/>
        <v>0.11631424810438439</v>
      </c>
      <c r="AA363" s="62">
        <f t="shared" si="265"/>
        <v>0.11565171109063289</v>
      </c>
      <c r="AB363" s="62">
        <f t="shared" si="266"/>
        <v>0.11520337966574483</v>
      </c>
      <c r="AC363" s="62">
        <f t="shared" si="267"/>
        <v>0.11490093481844818</v>
      </c>
    </row>
    <row r="364" spans="1:29" x14ac:dyDescent="0.25">
      <c r="A364" s="30" t="str">
        <f t="shared" ref="A364" si="268">A344</f>
        <v>Emission Cost</v>
      </c>
      <c r="B364" s="66">
        <f>$B344+($C344-$B344)*(1-Q344)</f>
        <v>2.4864501794892204</v>
      </c>
      <c r="C364" s="66">
        <f t="shared" ref="C364:AC364" si="269">$B344+($C344-$B344)*(1-R344)</f>
        <v>2.4840824730905622</v>
      </c>
      <c r="D364" s="66">
        <f t="shared" si="269"/>
        <v>2.4806931541172901</v>
      </c>
      <c r="E364" s="66">
        <f t="shared" si="269"/>
        <v>2.4758444949784595</v>
      </c>
      <c r="F364" s="66">
        <f t="shared" si="269"/>
        <v>2.4689146911593123</v>
      </c>
      <c r="G364" s="66">
        <f t="shared" si="269"/>
        <v>2.4590243635166811</v>
      </c>
      <c r="H364" s="66">
        <f t="shared" si="269"/>
        <v>2.4449381105906096</v>
      </c>
      <c r="I364" s="66">
        <f t="shared" si="269"/>
        <v>2.4249376507251341</v>
      </c>
      <c r="J364" s="66">
        <f t="shared" si="269"/>
        <v>2.3966689226267675</v>
      </c>
      <c r="K364" s="66">
        <f t="shared" si="269"/>
        <v>2.3569801383867617</v>
      </c>
      <c r="L364" s="66">
        <f t="shared" si="269"/>
        <v>2.3017983208183335</v>
      </c>
      <c r="M364" s="66">
        <f t="shared" si="269"/>
        <v>2.2261461132879194</v>
      </c>
      <c r="N364" s="66">
        <f t="shared" si="269"/>
        <v>2.1244776529298637</v>
      </c>
      <c r="O364" s="66">
        <f t="shared" si="269"/>
        <v>1.991577334339808</v>
      </c>
      <c r="P364" s="66">
        <f t="shared" si="269"/>
        <v>1.824211846145027</v>
      </c>
      <c r="Q364" s="66">
        <f t="shared" si="269"/>
        <v>1.6233780645383806</v>
      </c>
      <c r="R364" s="66">
        <f t="shared" si="269"/>
        <v>1.396280515461632</v>
      </c>
      <c r="S364" s="66">
        <f t="shared" si="269"/>
        <v>1.156534564659107</v>
      </c>
      <c r="T364" s="66">
        <f t="shared" si="269"/>
        <v>0.92150636573615219</v>
      </c>
      <c r="U364" s="66">
        <f t="shared" si="269"/>
        <v>0.70755535854084983</v>
      </c>
      <c r="V364" s="66">
        <f t="shared" si="269"/>
        <v>0.52572746963416073</v>
      </c>
      <c r="W364" s="66">
        <f t="shared" si="269"/>
        <v>0.38011589414984037</v>
      </c>
      <c r="X364" s="66">
        <f t="shared" si="269"/>
        <v>0.26900779935239649</v>
      </c>
      <c r="Y364" s="66">
        <f t="shared" si="269"/>
        <v>0.18733443879419109</v>
      </c>
      <c r="Z364" s="66">
        <f t="shared" si="269"/>
        <v>0.12893916753616796</v>
      </c>
      <c r="AA364" s="66">
        <f t="shared" si="269"/>
        <v>8.8012706177544864E-2</v>
      </c>
      <c r="AB364" s="66">
        <f t="shared" si="269"/>
        <v>5.9730005841827971E-2</v>
      </c>
      <c r="AC364" s="66">
        <f t="shared" si="269"/>
        <v>4.0374744621079817E-2</v>
      </c>
    </row>
    <row r="365" spans="1:29" x14ac:dyDescent="0.25">
      <c r="A365" s="30" t="str">
        <f>A345</f>
        <v>Lifetime vehicle</v>
      </c>
      <c r="B365" s="62">
        <f>$B345+($C345-$B345)*(1-Q345)</f>
        <v>25</v>
      </c>
      <c r="C365" s="62">
        <f t="shared" ref="C365:L367" si="270">$B345+($C345-$B345)*(1-R345)</f>
        <v>25</v>
      </c>
      <c r="D365" s="62">
        <f t="shared" si="270"/>
        <v>25</v>
      </c>
      <c r="E365" s="62">
        <f t="shared" si="270"/>
        <v>25</v>
      </c>
      <c r="F365" s="62">
        <f t="shared" si="270"/>
        <v>25</v>
      </c>
      <c r="G365" s="62">
        <f t="shared" si="270"/>
        <v>25</v>
      </c>
      <c r="H365" s="62">
        <f t="shared" si="270"/>
        <v>25</v>
      </c>
      <c r="I365" s="62">
        <f t="shared" si="270"/>
        <v>25</v>
      </c>
      <c r="J365" s="62">
        <f t="shared" si="270"/>
        <v>25</v>
      </c>
      <c r="K365" s="62">
        <f t="shared" si="270"/>
        <v>25</v>
      </c>
      <c r="L365" s="62">
        <f t="shared" si="270"/>
        <v>25</v>
      </c>
      <c r="M365" s="62">
        <f t="shared" ref="M365:V367" si="271">$B345+($C345-$B345)*(1-AB345)</f>
        <v>25</v>
      </c>
      <c r="N365" s="62">
        <f t="shared" si="271"/>
        <v>25</v>
      </c>
      <c r="O365" s="62">
        <f t="shared" si="271"/>
        <v>25</v>
      </c>
      <c r="P365" s="62">
        <f t="shared" si="271"/>
        <v>25</v>
      </c>
      <c r="Q365" s="62">
        <f t="shared" si="271"/>
        <v>25</v>
      </c>
      <c r="R365" s="62">
        <f t="shared" si="271"/>
        <v>25</v>
      </c>
      <c r="S365" s="62">
        <f t="shared" si="271"/>
        <v>25</v>
      </c>
      <c r="T365" s="62">
        <f t="shared" si="271"/>
        <v>25</v>
      </c>
      <c r="U365" s="62">
        <f t="shared" si="271"/>
        <v>25</v>
      </c>
      <c r="V365" s="62">
        <f t="shared" si="271"/>
        <v>25</v>
      </c>
      <c r="W365" s="62">
        <f t="shared" ref="W365:AC367" si="272">$B345+($C345-$B345)*(1-AL345)</f>
        <v>25</v>
      </c>
      <c r="X365" s="62">
        <f t="shared" si="272"/>
        <v>25</v>
      </c>
      <c r="Y365" s="62">
        <f t="shared" si="272"/>
        <v>25</v>
      </c>
      <c r="Z365" s="62">
        <f t="shared" si="272"/>
        <v>25</v>
      </c>
      <c r="AA365" s="62">
        <f t="shared" si="272"/>
        <v>25</v>
      </c>
      <c r="AB365" s="62">
        <f t="shared" si="272"/>
        <v>25</v>
      </c>
      <c r="AC365" s="62">
        <f t="shared" si="272"/>
        <v>25</v>
      </c>
    </row>
    <row r="366" spans="1:29" x14ac:dyDescent="0.25">
      <c r="A366" s="30" t="str">
        <f>A346</f>
        <v>Lifetime costumization</v>
      </c>
      <c r="B366" s="62">
        <f>$B346+($C346-$B346)*(1-Q346)</f>
        <v>25</v>
      </c>
      <c r="C366" s="62">
        <f t="shared" si="270"/>
        <v>25</v>
      </c>
      <c r="D366" s="62">
        <f t="shared" si="270"/>
        <v>25</v>
      </c>
      <c r="E366" s="62">
        <f t="shared" si="270"/>
        <v>25</v>
      </c>
      <c r="F366" s="62">
        <f t="shared" si="270"/>
        <v>25</v>
      </c>
      <c r="G366" s="62">
        <f t="shared" si="270"/>
        <v>25</v>
      </c>
      <c r="H366" s="62">
        <f t="shared" si="270"/>
        <v>25</v>
      </c>
      <c r="I366" s="62">
        <f t="shared" si="270"/>
        <v>25</v>
      </c>
      <c r="J366" s="62">
        <f t="shared" si="270"/>
        <v>25</v>
      </c>
      <c r="K366" s="62">
        <f t="shared" si="270"/>
        <v>25</v>
      </c>
      <c r="L366" s="62">
        <f t="shared" si="270"/>
        <v>25</v>
      </c>
      <c r="M366" s="62">
        <f t="shared" si="271"/>
        <v>25</v>
      </c>
      <c r="N366" s="62">
        <f t="shared" si="271"/>
        <v>25</v>
      </c>
      <c r="O366" s="62">
        <f t="shared" si="271"/>
        <v>25</v>
      </c>
      <c r="P366" s="62">
        <f t="shared" si="271"/>
        <v>25</v>
      </c>
      <c r="Q366" s="62">
        <f t="shared" si="271"/>
        <v>25</v>
      </c>
      <c r="R366" s="62">
        <f t="shared" si="271"/>
        <v>25</v>
      </c>
      <c r="S366" s="62">
        <f t="shared" si="271"/>
        <v>25</v>
      </c>
      <c r="T366" s="62">
        <f t="shared" si="271"/>
        <v>25</v>
      </c>
      <c r="U366" s="62">
        <f t="shared" si="271"/>
        <v>25</v>
      </c>
      <c r="V366" s="62">
        <f t="shared" si="271"/>
        <v>25</v>
      </c>
      <c r="W366" s="62">
        <f t="shared" si="272"/>
        <v>25</v>
      </c>
      <c r="X366" s="62">
        <f t="shared" si="272"/>
        <v>25</v>
      </c>
      <c r="Y366" s="62">
        <f t="shared" si="272"/>
        <v>25</v>
      </c>
      <c r="Z366" s="62">
        <f t="shared" si="272"/>
        <v>25</v>
      </c>
      <c r="AA366" s="62">
        <f t="shared" si="272"/>
        <v>25</v>
      </c>
      <c r="AB366" s="62">
        <f t="shared" si="272"/>
        <v>25</v>
      </c>
      <c r="AC366" s="62">
        <f t="shared" si="272"/>
        <v>25</v>
      </c>
    </row>
    <row r="367" spans="1:29" x14ac:dyDescent="0.25">
      <c r="A367" s="30" t="str">
        <f>A347</f>
        <v>Tonnage .</v>
      </c>
      <c r="B367" s="62">
        <f>$B347+($C347-$B347)*(1-Q347)</f>
        <v>9450</v>
      </c>
      <c r="C367" s="62">
        <f t="shared" si="270"/>
        <v>9450</v>
      </c>
      <c r="D367" s="62">
        <f t="shared" si="270"/>
        <v>9450</v>
      </c>
      <c r="E367" s="62">
        <f t="shared" si="270"/>
        <v>9450</v>
      </c>
      <c r="F367" s="62">
        <f t="shared" si="270"/>
        <v>9450</v>
      </c>
      <c r="G367" s="62">
        <f t="shared" si="270"/>
        <v>9450</v>
      </c>
      <c r="H367" s="62">
        <f t="shared" si="270"/>
        <v>9450</v>
      </c>
      <c r="I367" s="62">
        <f t="shared" si="270"/>
        <v>9450</v>
      </c>
      <c r="J367" s="62">
        <f t="shared" si="270"/>
        <v>9450</v>
      </c>
      <c r="K367" s="62">
        <f t="shared" si="270"/>
        <v>9450</v>
      </c>
      <c r="L367" s="62">
        <f t="shared" si="270"/>
        <v>9450</v>
      </c>
      <c r="M367" s="62">
        <f t="shared" si="271"/>
        <v>9450</v>
      </c>
      <c r="N367" s="62">
        <f t="shared" si="271"/>
        <v>9450</v>
      </c>
      <c r="O367" s="62">
        <f t="shared" si="271"/>
        <v>9450</v>
      </c>
      <c r="P367" s="62">
        <f t="shared" si="271"/>
        <v>9450</v>
      </c>
      <c r="Q367" s="62">
        <f t="shared" si="271"/>
        <v>9450</v>
      </c>
      <c r="R367" s="62">
        <f t="shared" si="271"/>
        <v>9450</v>
      </c>
      <c r="S367" s="62">
        <f t="shared" si="271"/>
        <v>9450</v>
      </c>
      <c r="T367" s="62">
        <f t="shared" si="271"/>
        <v>9450</v>
      </c>
      <c r="U367" s="62">
        <f t="shared" si="271"/>
        <v>9450</v>
      </c>
      <c r="V367" s="62">
        <f t="shared" si="271"/>
        <v>9450</v>
      </c>
      <c r="W367" s="62">
        <f t="shared" si="272"/>
        <v>9450</v>
      </c>
      <c r="X367" s="62">
        <f t="shared" si="272"/>
        <v>9450</v>
      </c>
      <c r="Y367" s="62">
        <f t="shared" si="272"/>
        <v>9450</v>
      </c>
      <c r="Z367" s="62">
        <f t="shared" si="272"/>
        <v>9450</v>
      </c>
      <c r="AA367" s="62">
        <f t="shared" si="272"/>
        <v>9450</v>
      </c>
      <c r="AB367" s="62">
        <f t="shared" si="272"/>
        <v>9450</v>
      </c>
      <c r="AC367" s="62">
        <f t="shared" si="272"/>
        <v>9450</v>
      </c>
    </row>
    <row r="368" spans="1:29" x14ac:dyDescent="0.25">
      <c r="A368" s="30" t="str">
        <f>A348</f>
        <v>Market failure (av. utilization)</v>
      </c>
      <c r="B368" s="62">
        <f t="shared" ref="B368:K369" si="273">($B348+($C348-$B348)*(1-Q348))*B$44</f>
        <v>6426.0000000000009</v>
      </c>
      <c r="C368" s="62">
        <f t="shared" si="273"/>
        <v>6426.0000000000009</v>
      </c>
      <c r="D368" s="62">
        <f t="shared" si="273"/>
        <v>6426.0000000000009</v>
      </c>
      <c r="E368" s="62">
        <f t="shared" si="273"/>
        <v>6426.0000000000009</v>
      </c>
      <c r="F368" s="62">
        <f t="shared" si="273"/>
        <v>6426.0000000000009</v>
      </c>
      <c r="G368" s="62">
        <f t="shared" si="273"/>
        <v>6426.0000000000009</v>
      </c>
      <c r="H368" s="62">
        <f t="shared" si="273"/>
        <v>6426.0000000000009</v>
      </c>
      <c r="I368" s="62">
        <f t="shared" si="273"/>
        <v>6426.0000000000009</v>
      </c>
      <c r="J368" s="62">
        <f t="shared" si="273"/>
        <v>6426.0000000000009</v>
      </c>
      <c r="K368" s="62">
        <f t="shared" si="273"/>
        <v>6426.0000000000009</v>
      </c>
      <c r="L368" s="62">
        <f t="shared" ref="L368:U369" si="274">($B348+($C348-$B348)*(1-AA348))*L$44</f>
        <v>6426.0000000000009</v>
      </c>
      <c r="M368" s="62">
        <f t="shared" si="274"/>
        <v>6426.0000000000009</v>
      </c>
      <c r="N368" s="62">
        <f t="shared" si="274"/>
        <v>6426.0000000000009</v>
      </c>
      <c r="O368" s="62">
        <f t="shared" si="274"/>
        <v>6426.0000000000009</v>
      </c>
      <c r="P368" s="62">
        <f t="shared" si="274"/>
        <v>6426.0000000000009</v>
      </c>
      <c r="Q368" s="62">
        <f t="shared" si="274"/>
        <v>6426.0000000000009</v>
      </c>
      <c r="R368" s="62">
        <f t="shared" si="274"/>
        <v>6426.0000000000009</v>
      </c>
      <c r="S368" s="62">
        <f t="shared" si="274"/>
        <v>6426.0000000000009</v>
      </c>
      <c r="T368" s="62">
        <f t="shared" si="274"/>
        <v>6426.0000000000009</v>
      </c>
      <c r="U368" s="62">
        <f t="shared" si="274"/>
        <v>6426.0000000000009</v>
      </c>
      <c r="V368" s="62">
        <f t="shared" ref="V368:AC369" si="275">($B348+($C348-$B348)*(1-AK348))*V$44</f>
        <v>6426.0000000000009</v>
      </c>
      <c r="W368" s="62">
        <f t="shared" si="275"/>
        <v>6426.0000000000009</v>
      </c>
      <c r="X368" s="62">
        <f t="shared" si="275"/>
        <v>6426.0000000000009</v>
      </c>
      <c r="Y368" s="62">
        <f t="shared" si="275"/>
        <v>6426.0000000000009</v>
      </c>
      <c r="Z368" s="62">
        <f t="shared" si="275"/>
        <v>6426.0000000000009</v>
      </c>
      <c r="AA368" s="62">
        <f t="shared" si="275"/>
        <v>6426.0000000000009</v>
      </c>
      <c r="AB368" s="62">
        <f t="shared" si="275"/>
        <v>6426.0000000000009</v>
      </c>
      <c r="AC368" s="62">
        <f t="shared" si="275"/>
        <v>6426.0000000000009</v>
      </c>
    </row>
    <row r="369" spans="1:29" x14ac:dyDescent="0.25">
      <c r="A369" s="30" t="s">
        <v>73</v>
      </c>
      <c r="B369" s="62">
        <f t="shared" si="273"/>
        <v>755.79245394358725</v>
      </c>
      <c r="C369" s="62">
        <f t="shared" si="273"/>
        <v>755.70266455291733</v>
      </c>
      <c r="D369" s="62">
        <f t="shared" si="273"/>
        <v>755.57413304007082</v>
      </c>
      <c r="E369" s="62">
        <f t="shared" si="273"/>
        <v>755.39025967220368</v>
      </c>
      <c r="F369" s="62">
        <f t="shared" si="273"/>
        <v>755.12746405584869</v>
      </c>
      <c r="G369" s="62">
        <f t="shared" si="273"/>
        <v>754.75239791882211</v>
      </c>
      <c r="H369" s="62">
        <f t="shared" si="273"/>
        <v>754.21821172590103</v>
      </c>
      <c r="I369" s="62">
        <f t="shared" si="273"/>
        <v>753.45974390849915</v>
      </c>
      <c r="J369" s="62">
        <f t="shared" si="273"/>
        <v>752.3877225327052</v>
      </c>
      <c r="K369" s="62">
        <f t="shared" si="273"/>
        <v>750.88262386195834</v>
      </c>
      <c r="L369" s="62">
        <f t="shared" si="274"/>
        <v>748.78999034188371</v>
      </c>
      <c r="M369" s="62">
        <f t="shared" si="274"/>
        <v>745.92106807143728</v>
      </c>
      <c r="N369" s="62">
        <f t="shared" si="274"/>
        <v>742.06554396123909</v>
      </c>
      <c r="O369" s="62">
        <f t="shared" si="274"/>
        <v>737.02562911672953</v>
      </c>
      <c r="P369" s="62">
        <f t="shared" si="274"/>
        <v>730.67870822624377</v>
      </c>
      <c r="Q369" s="62">
        <f t="shared" si="274"/>
        <v>723.06258534605354</v>
      </c>
      <c r="R369" s="62">
        <f t="shared" si="274"/>
        <v>714.45047424740278</v>
      </c>
      <c r="S369" s="62">
        <f t="shared" si="274"/>
        <v>705.35870389516015</v>
      </c>
      <c r="T369" s="62">
        <f t="shared" si="274"/>
        <v>696.44584257777012</v>
      </c>
      <c r="U369" s="62">
        <f t="shared" si="274"/>
        <v>688.33228146218346</v>
      </c>
      <c r="V369" s="62">
        <f t="shared" si="275"/>
        <v>681.43690990725634</v>
      </c>
      <c r="W369" s="62">
        <f t="shared" si="275"/>
        <v>675.91495218283933</v>
      </c>
      <c r="X369" s="62">
        <f t="shared" si="275"/>
        <v>671.70145335713607</v>
      </c>
      <c r="Y369" s="62">
        <f t="shared" si="275"/>
        <v>668.60419379714972</v>
      </c>
      <c r="Z369" s="62">
        <f t="shared" si="275"/>
        <v>666.38969801877408</v>
      </c>
      <c r="AA369" s="62">
        <f t="shared" si="275"/>
        <v>664.83766351409531</v>
      </c>
      <c r="AB369" s="62">
        <f t="shared" si="275"/>
        <v>663.76511227586627</v>
      </c>
      <c r="AC369" s="62">
        <f t="shared" si="275"/>
        <v>663.03111201626791</v>
      </c>
    </row>
    <row r="370" spans="1:29" x14ac:dyDescent="0.25">
      <c r="A370" s="30" t="str">
        <f>A350</f>
        <v>Annual Mileage</v>
      </c>
      <c r="B370" s="62">
        <f t="shared" ref="B370:AC370" si="276">$B350+($C350-$B350)*(1-Q350)</f>
        <v>120000</v>
      </c>
      <c r="C370" s="62">
        <f t="shared" si="276"/>
        <v>120000</v>
      </c>
      <c r="D370" s="62">
        <f t="shared" si="276"/>
        <v>120000</v>
      </c>
      <c r="E370" s="62">
        <f t="shared" si="276"/>
        <v>120000</v>
      </c>
      <c r="F370" s="62">
        <f t="shared" si="276"/>
        <v>120000</v>
      </c>
      <c r="G370" s="62">
        <f t="shared" si="276"/>
        <v>120000</v>
      </c>
      <c r="H370" s="62">
        <f t="shared" si="276"/>
        <v>120000</v>
      </c>
      <c r="I370" s="62">
        <f t="shared" si="276"/>
        <v>120000</v>
      </c>
      <c r="J370" s="62">
        <f t="shared" si="276"/>
        <v>120000</v>
      </c>
      <c r="K370" s="62">
        <f t="shared" si="276"/>
        <v>120000</v>
      </c>
      <c r="L370" s="62">
        <f t="shared" si="276"/>
        <v>120000</v>
      </c>
      <c r="M370" s="62">
        <f t="shared" si="276"/>
        <v>120000</v>
      </c>
      <c r="N370" s="62">
        <f t="shared" si="276"/>
        <v>120000</v>
      </c>
      <c r="O370" s="62">
        <f t="shared" si="276"/>
        <v>120000</v>
      </c>
      <c r="P370" s="62">
        <f t="shared" si="276"/>
        <v>120000</v>
      </c>
      <c r="Q370" s="62">
        <f t="shared" si="276"/>
        <v>120000</v>
      </c>
      <c r="R370" s="62">
        <f t="shared" si="276"/>
        <v>120000</v>
      </c>
      <c r="S370" s="62">
        <f t="shared" si="276"/>
        <v>120000</v>
      </c>
      <c r="T370" s="62">
        <f t="shared" si="276"/>
        <v>120000</v>
      </c>
      <c r="U370" s="62">
        <f t="shared" si="276"/>
        <v>120000</v>
      </c>
      <c r="V370" s="62">
        <f t="shared" si="276"/>
        <v>120000</v>
      </c>
      <c r="W370" s="62">
        <f t="shared" si="276"/>
        <v>120000</v>
      </c>
      <c r="X370" s="62">
        <f t="shared" si="276"/>
        <v>120000</v>
      </c>
      <c r="Y370" s="62">
        <f t="shared" si="276"/>
        <v>120000</v>
      </c>
      <c r="Z370" s="62">
        <f t="shared" si="276"/>
        <v>120000</v>
      </c>
      <c r="AA370" s="62">
        <f t="shared" si="276"/>
        <v>120000</v>
      </c>
      <c r="AB370" s="62">
        <f t="shared" si="276"/>
        <v>120000</v>
      </c>
      <c r="AC370" s="62">
        <f t="shared" si="276"/>
        <v>120000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2344739.8769242726</v>
      </c>
      <c r="C373" s="63">
        <f t="shared" ref="C373:AC373" si="277">((1+C358)^C365)*C358/(((1+C358)^C365)-1)*(C354)</f>
        <v>2343847.949386192</v>
      </c>
      <c r="D373" s="63">
        <f t="shared" si="277"/>
        <v>2342571.1749815131</v>
      </c>
      <c r="E373" s="63">
        <f t="shared" si="277"/>
        <v>2340744.6594088301</v>
      </c>
      <c r="F373" s="63">
        <f t="shared" si="277"/>
        <v>2338134.1656147949</v>
      </c>
      <c r="G373" s="63">
        <f t="shared" si="277"/>
        <v>2334408.426819603</v>
      </c>
      <c r="H373" s="63">
        <f t="shared" si="277"/>
        <v>2329102.0607514726</v>
      </c>
      <c r="I373" s="63">
        <f t="shared" si="277"/>
        <v>2321567.7816117923</v>
      </c>
      <c r="J373" s="63">
        <f t="shared" si="277"/>
        <v>2310918.8020458543</v>
      </c>
      <c r="K373" s="63">
        <f t="shared" si="277"/>
        <v>2295967.8268587827</v>
      </c>
      <c r="L373" s="63">
        <f t="shared" si="277"/>
        <v>2275180.5439766962</v>
      </c>
      <c r="M373" s="63">
        <f t="shared" si="277"/>
        <v>2246681.9567991556</v>
      </c>
      <c r="N373" s="63">
        <f t="shared" si="277"/>
        <v>2208382.9094176819</v>
      </c>
      <c r="O373" s="63">
        <f t="shared" si="277"/>
        <v>2158318.6556582791</v>
      </c>
      <c r="P373" s="63">
        <f t="shared" si="277"/>
        <v>2095271.1900055008</v>
      </c>
      <c r="Q373" s="63">
        <f t="shared" si="277"/>
        <v>2019616.0409999515</v>
      </c>
      <c r="R373" s="63">
        <f t="shared" si="277"/>
        <v>1934067.1917139916</v>
      </c>
      <c r="S373" s="63">
        <f t="shared" si="277"/>
        <v>1843753.6225209001</v>
      </c>
      <c r="T373" s="63">
        <f t="shared" si="277"/>
        <v>1755217.2554427353</v>
      </c>
      <c r="U373" s="63">
        <f t="shared" si="277"/>
        <v>1674620.7780983469</v>
      </c>
      <c r="V373" s="63">
        <f t="shared" si="277"/>
        <v>1606125.2495146997</v>
      </c>
      <c r="W373" s="63">
        <f t="shared" si="277"/>
        <v>1551272.5979733593</v>
      </c>
      <c r="X373" s="63">
        <f t="shared" si="277"/>
        <v>1509417.5903129096</v>
      </c>
      <c r="Y373" s="63">
        <f t="shared" si="277"/>
        <v>1478650.8029060119</v>
      </c>
      <c r="Z373" s="63">
        <f t="shared" si="277"/>
        <v>1456652.995002867</v>
      </c>
      <c r="AA373" s="63">
        <f t="shared" si="277"/>
        <v>1441235.7802913454</v>
      </c>
      <c r="AB373" s="63">
        <f t="shared" si="277"/>
        <v>1430581.5373096101</v>
      </c>
      <c r="AC373" s="63">
        <f t="shared" si="277"/>
        <v>1423290.3079159164</v>
      </c>
    </row>
    <row r="374" spans="1:29" x14ac:dyDescent="0.25">
      <c r="A374" s="30" t="str">
        <f>A355</f>
        <v>Residual value (vehicle)</v>
      </c>
      <c r="B374" s="62">
        <f>((1+B358)^B365)*B358/(((1+B358)^B365)-1)*(B355)</f>
        <v>-117391.61905450956</v>
      </c>
      <c r="C374" s="62">
        <f t="shared" ref="C374:AC374" si="278">((1+C358)^C365)*C358/(((1+C358)^C365)-1)*(C355)</f>
        <v>-117413.91724296159</v>
      </c>
      <c r="D374" s="62">
        <f t="shared" si="278"/>
        <v>-117445.83660307855</v>
      </c>
      <c r="E374" s="62">
        <f t="shared" si="278"/>
        <v>-117491.49949239564</v>
      </c>
      <c r="F374" s="62">
        <f t="shared" si="278"/>
        <v>-117556.76183724651</v>
      </c>
      <c r="G374" s="62">
        <f t="shared" si="278"/>
        <v>-117649.9053071263</v>
      </c>
      <c r="H374" s="62">
        <f t="shared" si="278"/>
        <v>-117782.56445882957</v>
      </c>
      <c r="I374" s="62">
        <f t="shared" si="278"/>
        <v>-117970.92143732157</v>
      </c>
      <c r="J374" s="62">
        <f t="shared" si="278"/>
        <v>-118237.14592647002</v>
      </c>
      <c r="K374" s="62">
        <f t="shared" si="278"/>
        <v>-118610.92030614681</v>
      </c>
      <c r="L374" s="62">
        <f t="shared" si="278"/>
        <v>-119130.60237819898</v>
      </c>
      <c r="M374" s="62">
        <f t="shared" si="278"/>
        <v>-119843.06705763748</v>
      </c>
      <c r="N374" s="62">
        <f t="shared" si="278"/>
        <v>-120800.54324217433</v>
      </c>
      <c r="O374" s="62">
        <f t="shared" si="278"/>
        <v>-122052.1495861594</v>
      </c>
      <c r="P374" s="62">
        <f t="shared" si="278"/>
        <v>-123628.33622747887</v>
      </c>
      <c r="Q374" s="62">
        <f t="shared" si="278"/>
        <v>-125519.71495261759</v>
      </c>
      <c r="R374" s="62">
        <f t="shared" si="278"/>
        <v>-127658.43618476659</v>
      </c>
      <c r="S374" s="62">
        <f t="shared" si="278"/>
        <v>-129916.27541459388</v>
      </c>
      <c r="T374" s="62">
        <f t="shared" si="278"/>
        <v>-132129.68459154799</v>
      </c>
      <c r="U374" s="62">
        <f t="shared" si="278"/>
        <v>-134144.59652515771</v>
      </c>
      <c r="V374" s="62">
        <f t="shared" si="278"/>
        <v>-135856.98473974891</v>
      </c>
      <c r="W374" s="62">
        <f t="shared" si="278"/>
        <v>-137228.30102828241</v>
      </c>
      <c r="X374" s="62">
        <f t="shared" si="278"/>
        <v>-138274.67621979365</v>
      </c>
      <c r="Y374" s="62">
        <f t="shared" si="278"/>
        <v>-139043.84590496609</v>
      </c>
      <c r="Z374" s="62">
        <f t="shared" si="278"/>
        <v>-139593.79110254472</v>
      </c>
      <c r="AA374" s="62">
        <f t="shared" si="278"/>
        <v>-139979.22147033276</v>
      </c>
      <c r="AB374" s="62">
        <f t="shared" si="278"/>
        <v>-140245.57754487614</v>
      </c>
      <c r="AC374" s="62">
        <f t="shared" si="278"/>
        <v>-140427.85827971846</v>
      </c>
    </row>
    <row r="375" spans="1:29" x14ac:dyDescent="0.25">
      <c r="A375" s="30" t="str">
        <f>A356</f>
        <v>Capex costumization</v>
      </c>
      <c r="B375" s="62">
        <f>((1+B358)^B366)*B358/(((1+B358)^B366)-1)*(B356)</f>
        <v>78226.718212273947</v>
      </c>
      <c r="C375" s="62">
        <f t="shared" ref="C375:AC375" si="279">((1+C358)^C366)*C358/(((1+C358)^C366)-1)*(C356)</f>
        <v>78226.718212273947</v>
      </c>
      <c r="D375" s="62">
        <f t="shared" si="279"/>
        <v>78226.718212273947</v>
      </c>
      <c r="E375" s="62">
        <f t="shared" si="279"/>
        <v>78226.718212273947</v>
      </c>
      <c r="F375" s="62">
        <f t="shared" si="279"/>
        <v>78226.718212273947</v>
      </c>
      <c r="G375" s="62">
        <f t="shared" si="279"/>
        <v>78226.718212273947</v>
      </c>
      <c r="H375" s="62">
        <f t="shared" si="279"/>
        <v>78226.718212273947</v>
      </c>
      <c r="I375" s="62">
        <f t="shared" si="279"/>
        <v>78226.718212273947</v>
      </c>
      <c r="J375" s="62">
        <f t="shared" si="279"/>
        <v>78226.718212273947</v>
      </c>
      <c r="K375" s="62">
        <f t="shared" si="279"/>
        <v>78226.718212273947</v>
      </c>
      <c r="L375" s="62">
        <f t="shared" si="279"/>
        <v>78226.718212273947</v>
      </c>
      <c r="M375" s="62">
        <f t="shared" si="279"/>
        <v>78226.718212273947</v>
      </c>
      <c r="N375" s="62">
        <f t="shared" si="279"/>
        <v>78226.718212273947</v>
      </c>
      <c r="O375" s="62">
        <f t="shared" si="279"/>
        <v>78226.718212273947</v>
      </c>
      <c r="P375" s="62">
        <f t="shared" si="279"/>
        <v>78226.718212273947</v>
      </c>
      <c r="Q375" s="62">
        <f t="shared" si="279"/>
        <v>78226.718212273947</v>
      </c>
      <c r="R375" s="62">
        <f t="shared" si="279"/>
        <v>78226.718212273947</v>
      </c>
      <c r="S375" s="62">
        <f t="shared" si="279"/>
        <v>78226.718212273947</v>
      </c>
      <c r="T375" s="62">
        <f t="shared" si="279"/>
        <v>78226.718212273947</v>
      </c>
      <c r="U375" s="62">
        <f t="shared" si="279"/>
        <v>78226.718212273947</v>
      </c>
      <c r="V375" s="62">
        <f t="shared" si="279"/>
        <v>78226.718212273947</v>
      </c>
      <c r="W375" s="62">
        <f t="shared" si="279"/>
        <v>78226.718212273947</v>
      </c>
      <c r="X375" s="62">
        <f t="shared" si="279"/>
        <v>78226.718212273947</v>
      </c>
      <c r="Y375" s="62">
        <f t="shared" si="279"/>
        <v>78226.718212273947</v>
      </c>
      <c r="Z375" s="62">
        <f t="shared" si="279"/>
        <v>78226.718212273947</v>
      </c>
      <c r="AA375" s="62">
        <f t="shared" si="279"/>
        <v>78226.718212273947</v>
      </c>
      <c r="AB375" s="62">
        <f t="shared" si="279"/>
        <v>78226.718212273947</v>
      </c>
      <c r="AC375" s="62">
        <f t="shared" si="279"/>
        <v>78226.718212273947</v>
      </c>
    </row>
    <row r="376" spans="1:29" x14ac:dyDescent="0.25">
      <c r="A376" s="30" t="str">
        <f>A357</f>
        <v>Residual value (costumization)</v>
      </c>
      <c r="B376" s="62">
        <f>((1+B358)^B366)*B358/(((1+B358)^B366)-1)*(B357)</f>
        <v>-7822.6718212273945</v>
      </c>
      <c r="C376" s="62">
        <f t="shared" ref="C376:AC376" si="280">((1+C358)^C366)*C358/(((1+C358)^C366)-1)*(C357)</f>
        <v>-7822.6718212273945</v>
      </c>
      <c r="D376" s="62">
        <f t="shared" si="280"/>
        <v>-7822.6718212273945</v>
      </c>
      <c r="E376" s="62">
        <f t="shared" si="280"/>
        <v>-7822.6718212273945</v>
      </c>
      <c r="F376" s="62">
        <f t="shared" si="280"/>
        <v>-7822.6718212273945</v>
      </c>
      <c r="G376" s="62">
        <f t="shared" si="280"/>
        <v>-7822.6718212273945</v>
      </c>
      <c r="H376" s="62">
        <f t="shared" si="280"/>
        <v>-7822.6718212273945</v>
      </c>
      <c r="I376" s="62">
        <f t="shared" si="280"/>
        <v>-7822.6718212273945</v>
      </c>
      <c r="J376" s="62">
        <f t="shared" si="280"/>
        <v>-7822.6718212273945</v>
      </c>
      <c r="K376" s="62">
        <f t="shared" si="280"/>
        <v>-7822.6718212273945</v>
      </c>
      <c r="L376" s="62">
        <f t="shared" si="280"/>
        <v>-7822.6718212273945</v>
      </c>
      <c r="M376" s="62">
        <f t="shared" si="280"/>
        <v>-7822.6718212273945</v>
      </c>
      <c r="N376" s="62">
        <f t="shared" si="280"/>
        <v>-7822.6718212273945</v>
      </c>
      <c r="O376" s="62">
        <f t="shared" si="280"/>
        <v>-7822.6718212273945</v>
      </c>
      <c r="P376" s="62">
        <f t="shared" si="280"/>
        <v>-7822.6718212273945</v>
      </c>
      <c r="Q376" s="62">
        <f t="shared" si="280"/>
        <v>-7822.6718212273945</v>
      </c>
      <c r="R376" s="62">
        <f t="shared" si="280"/>
        <v>-7822.6718212273945</v>
      </c>
      <c r="S376" s="62">
        <f t="shared" si="280"/>
        <v>-7822.6718212273945</v>
      </c>
      <c r="T376" s="62">
        <f t="shared" si="280"/>
        <v>-7822.6718212273945</v>
      </c>
      <c r="U376" s="62">
        <f t="shared" si="280"/>
        <v>-7822.6718212273945</v>
      </c>
      <c r="V376" s="62">
        <f t="shared" si="280"/>
        <v>-7822.6718212273945</v>
      </c>
      <c r="W376" s="62">
        <f t="shared" si="280"/>
        <v>-7822.6718212273945</v>
      </c>
      <c r="X376" s="62">
        <f t="shared" si="280"/>
        <v>-7822.6718212273945</v>
      </c>
      <c r="Y376" s="62">
        <f t="shared" si="280"/>
        <v>-7822.6718212273945</v>
      </c>
      <c r="Z376" s="62">
        <f t="shared" si="280"/>
        <v>-7822.6718212273945</v>
      </c>
      <c r="AA376" s="62">
        <f t="shared" si="280"/>
        <v>-7822.6718212273945</v>
      </c>
      <c r="AB376" s="62">
        <f t="shared" si="280"/>
        <v>-7822.6718212273945</v>
      </c>
      <c r="AC376" s="62">
        <f t="shared" si="280"/>
        <v>-7822.6718212273945</v>
      </c>
    </row>
    <row r="377" spans="1:29" x14ac:dyDescent="0.25">
      <c r="A377" s="30" t="str">
        <f t="shared" ref="A377:AC377" si="281">A359</f>
        <v>Opex fix (admin, crew, insurance)</v>
      </c>
      <c r="B377" s="62">
        <f t="shared" si="281"/>
        <v>1208235.294117647</v>
      </c>
      <c r="C377" s="62">
        <f t="shared" si="281"/>
        <v>1208235.294117647</v>
      </c>
      <c r="D377" s="62">
        <f t="shared" si="281"/>
        <v>1208235.294117647</v>
      </c>
      <c r="E377" s="62">
        <f t="shared" si="281"/>
        <v>1208235.294117647</v>
      </c>
      <c r="F377" s="62">
        <f t="shared" si="281"/>
        <v>1208235.294117647</v>
      </c>
      <c r="G377" s="62">
        <f t="shared" si="281"/>
        <v>1208235.294117647</v>
      </c>
      <c r="H377" s="62">
        <f t="shared" si="281"/>
        <v>1208235.294117647</v>
      </c>
      <c r="I377" s="62">
        <f t="shared" si="281"/>
        <v>1208235.294117647</v>
      </c>
      <c r="J377" s="62">
        <f t="shared" si="281"/>
        <v>1208235.294117647</v>
      </c>
      <c r="K377" s="62">
        <f t="shared" si="281"/>
        <v>1208235.294117647</v>
      </c>
      <c r="L377" s="62">
        <f t="shared" si="281"/>
        <v>1208235.294117647</v>
      </c>
      <c r="M377" s="62">
        <f t="shared" si="281"/>
        <v>1208235.294117647</v>
      </c>
      <c r="N377" s="62">
        <f t="shared" si="281"/>
        <v>1208235.294117647</v>
      </c>
      <c r="O377" s="62">
        <f t="shared" si="281"/>
        <v>1208235.294117647</v>
      </c>
      <c r="P377" s="62">
        <f t="shared" si="281"/>
        <v>1208235.294117647</v>
      </c>
      <c r="Q377" s="62">
        <f t="shared" si="281"/>
        <v>1208235.294117647</v>
      </c>
      <c r="R377" s="62">
        <f t="shared" si="281"/>
        <v>1208235.294117647</v>
      </c>
      <c r="S377" s="62">
        <f t="shared" si="281"/>
        <v>1208235.294117647</v>
      </c>
      <c r="T377" s="62">
        <f t="shared" si="281"/>
        <v>1208235.294117647</v>
      </c>
      <c r="U377" s="62">
        <f t="shared" si="281"/>
        <v>1208235.294117647</v>
      </c>
      <c r="V377" s="62">
        <f t="shared" si="281"/>
        <v>1208235.294117647</v>
      </c>
      <c r="W377" s="62">
        <f t="shared" si="281"/>
        <v>1208235.294117647</v>
      </c>
      <c r="X377" s="62">
        <f t="shared" si="281"/>
        <v>1208235.294117647</v>
      </c>
      <c r="Y377" s="62">
        <f t="shared" si="281"/>
        <v>1208235.294117647</v>
      </c>
      <c r="Z377" s="62">
        <f t="shared" si="281"/>
        <v>1208235.294117647</v>
      </c>
      <c r="AA377" s="62">
        <f t="shared" si="281"/>
        <v>1208235.294117647</v>
      </c>
      <c r="AB377" s="62">
        <f t="shared" si="281"/>
        <v>1208235.294117647</v>
      </c>
      <c r="AC377" s="62">
        <f t="shared" si="281"/>
        <v>1208235.294117647</v>
      </c>
    </row>
    <row r="378" spans="1:29" x14ac:dyDescent="0.25">
      <c r="A378" s="30" t="str">
        <f t="shared" ref="A378:AC378" si="282">A360</f>
        <v>Opex maintenance &amp; repair</v>
      </c>
      <c r="B378" s="62">
        <f t="shared" si="282"/>
        <v>338823.5294117647</v>
      </c>
      <c r="C378" s="62">
        <f t="shared" si="282"/>
        <v>338823.5294117647</v>
      </c>
      <c r="D378" s="62">
        <f t="shared" si="282"/>
        <v>338823.5294117647</v>
      </c>
      <c r="E378" s="62">
        <f t="shared" si="282"/>
        <v>338823.5294117647</v>
      </c>
      <c r="F378" s="62">
        <f t="shared" si="282"/>
        <v>338823.5294117647</v>
      </c>
      <c r="G378" s="62">
        <f t="shared" si="282"/>
        <v>338823.5294117647</v>
      </c>
      <c r="H378" s="62">
        <f t="shared" si="282"/>
        <v>338823.5294117647</v>
      </c>
      <c r="I378" s="62">
        <f t="shared" si="282"/>
        <v>338823.5294117647</v>
      </c>
      <c r="J378" s="62">
        <f t="shared" si="282"/>
        <v>338823.5294117647</v>
      </c>
      <c r="K378" s="62">
        <f t="shared" si="282"/>
        <v>338823.5294117647</v>
      </c>
      <c r="L378" s="62">
        <f t="shared" si="282"/>
        <v>338823.5294117647</v>
      </c>
      <c r="M378" s="62">
        <f t="shared" si="282"/>
        <v>338823.5294117647</v>
      </c>
      <c r="N378" s="62">
        <f t="shared" si="282"/>
        <v>338823.5294117647</v>
      </c>
      <c r="O378" s="62">
        <f t="shared" si="282"/>
        <v>338823.5294117647</v>
      </c>
      <c r="P378" s="62">
        <f t="shared" si="282"/>
        <v>338823.5294117647</v>
      </c>
      <c r="Q378" s="62">
        <f t="shared" si="282"/>
        <v>338823.5294117647</v>
      </c>
      <c r="R378" s="62">
        <f t="shared" si="282"/>
        <v>338823.5294117647</v>
      </c>
      <c r="S378" s="62">
        <f t="shared" si="282"/>
        <v>338823.5294117647</v>
      </c>
      <c r="T378" s="62">
        <f t="shared" si="282"/>
        <v>338823.5294117647</v>
      </c>
      <c r="U378" s="62">
        <f t="shared" si="282"/>
        <v>338823.5294117647</v>
      </c>
      <c r="V378" s="62">
        <f t="shared" si="282"/>
        <v>338823.5294117647</v>
      </c>
      <c r="W378" s="62">
        <f t="shared" si="282"/>
        <v>338823.5294117647</v>
      </c>
      <c r="X378" s="62">
        <f t="shared" si="282"/>
        <v>338823.5294117647</v>
      </c>
      <c r="Y378" s="62">
        <f t="shared" si="282"/>
        <v>338823.5294117647</v>
      </c>
      <c r="Z378" s="62">
        <f t="shared" si="282"/>
        <v>338823.5294117647</v>
      </c>
      <c r="AA378" s="62">
        <f t="shared" si="282"/>
        <v>338823.5294117647</v>
      </c>
      <c r="AB378" s="62">
        <f t="shared" si="282"/>
        <v>338823.5294117647</v>
      </c>
      <c r="AC378" s="62">
        <f t="shared" si="282"/>
        <v>338823.5294117647</v>
      </c>
    </row>
    <row r="379" spans="1:29" x14ac:dyDescent="0.25">
      <c r="A379" s="30" t="str">
        <f>A361</f>
        <v>Opex var (mode-fees)</v>
      </c>
      <c r="B379" s="62">
        <f>B361*B370</f>
        <v>97536.682916217906</v>
      </c>
      <c r="C379" s="62">
        <f t="shared" ref="C379:AC379" si="283">C361*C370</f>
        <v>97536.682916217906</v>
      </c>
      <c r="D379" s="62">
        <f t="shared" si="283"/>
        <v>97536.682916217906</v>
      </c>
      <c r="E379" s="62">
        <f t="shared" si="283"/>
        <v>97536.682916217906</v>
      </c>
      <c r="F379" s="62">
        <f t="shared" si="283"/>
        <v>97536.682916217906</v>
      </c>
      <c r="G379" s="62">
        <f t="shared" si="283"/>
        <v>97536.682916217906</v>
      </c>
      <c r="H379" s="62">
        <f t="shared" si="283"/>
        <v>97536.682916217906</v>
      </c>
      <c r="I379" s="62">
        <f t="shared" si="283"/>
        <v>97536.682916217906</v>
      </c>
      <c r="J379" s="62">
        <f t="shared" si="283"/>
        <v>97536.682916217906</v>
      </c>
      <c r="K379" s="62">
        <f t="shared" si="283"/>
        <v>97536.682916217906</v>
      </c>
      <c r="L379" s="62">
        <f t="shared" si="283"/>
        <v>97536.682916217906</v>
      </c>
      <c r="M379" s="62">
        <f t="shared" si="283"/>
        <v>97536.682916217906</v>
      </c>
      <c r="N379" s="62">
        <f t="shared" si="283"/>
        <v>97536.682916217906</v>
      </c>
      <c r="O379" s="62">
        <f t="shared" si="283"/>
        <v>97536.682916217906</v>
      </c>
      <c r="P379" s="62">
        <f t="shared" si="283"/>
        <v>97536.682916217906</v>
      </c>
      <c r="Q379" s="62">
        <f t="shared" si="283"/>
        <v>97536.682916217906</v>
      </c>
      <c r="R379" s="62">
        <f t="shared" si="283"/>
        <v>97536.682916217906</v>
      </c>
      <c r="S379" s="62">
        <f t="shared" si="283"/>
        <v>97536.682916217906</v>
      </c>
      <c r="T379" s="62">
        <f t="shared" si="283"/>
        <v>97536.682916217906</v>
      </c>
      <c r="U379" s="62">
        <f t="shared" si="283"/>
        <v>97536.682916217906</v>
      </c>
      <c r="V379" s="62">
        <f t="shared" si="283"/>
        <v>97536.682916217906</v>
      </c>
      <c r="W379" s="62">
        <f t="shared" si="283"/>
        <v>97536.682916217906</v>
      </c>
      <c r="X379" s="62">
        <f t="shared" si="283"/>
        <v>97536.682916217906</v>
      </c>
      <c r="Y379" s="62">
        <f t="shared" si="283"/>
        <v>97536.682916217906</v>
      </c>
      <c r="Z379" s="62">
        <f t="shared" si="283"/>
        <v>97536.682916217906</v>
      </c>
      <c r="AA379" s="62">
        <f t="shared" si="283"/>
        <v>97536.682916217906</v>
      </c>
      <c r="AB379" s="62">
        <f t="shared" si="283"/>
        <v>97536.682916217906</v>
      </c>
      <c r="AC379" s="62">
        <f t="shared" si="283"/>
        <v>97536.682916217906</v>
      </c>
    </row>
    <row r="380" spans="1:29" x14ac:dyDescent="0.25">
      <c r="A380" s="30" t="str">
        <f>A363</f>
        <v>Fuel Cost</v>
      </c>
      <c r="B380" s="62">
        <f>B362*B363*B370</f>
        <v>16884717.132068913</v>
      </c>
      <c r="C380" s="62">
        <f t="shared" ref="C380:AC380" si="284">C362*C363*C370</f>
        <v>16858155.478437811</v>
      </c>
      <c r="D380" s="62">
        <f t="shared" si="284"/>
        <v>16820247.807695027</v>
      </c>
      <c r="E380" s="62">
        <f t="shared" si="284"/>
        <v>16766260.475643475</v>
      </c>
      <c r="F380" s="62">
        <f t="shared" si="284"/>
        <v>16689609.856933123</v>
      </c>
      <c r="G380" s="62">
        <f t="shared" si="284"/>
        <v>16581276.011760581</v>
      </c>
      <c r="H380" s="62">
        <f t="shared" si="284"/>
        <v>16429180.038988085</v>
      </c>
      <c r="I380" s="62">
        <f t="shared" si="284"/>
        <v>16217704.442223981</v>
      </c>
      <c r="J380" s="62">
        <f t="shared" si="284"/>
        <v>15927740.49557955</v>
      </c>
      <c r="K380" s="62">
        <f t="shared" si="284"/>
        <v>15537936.554917173</v>
      </c>
      <c r="L380" s="62">
        <f t="shared" si="284"/>
        <v>15028065.698082881</v>
      </c>
      <c r="M380" s="62">
        <f t="shared" si="284"/>
        <v>14385230.925427267</v>
      </c>
      <c r="N380" s="62">
        <f t="shared" si="284"/>
        <v>13612326.694953671</v>
      </c>
      <c r="O380" s="62">
        <f t="shared" si="284"/>
        <v>12735537.042299014</v>
      </c>
      <c r="P380" s="62">
        <f t="shared" si="284"/>
        <v>11805293.364364006</v>
      </c>
      <c r="Q380" s="62">
        <f t="shared" si="284"/>
        <v>10886665.597812826</v>
      </c>
      <c r="R380" s="62">
        <f t="shared" si="284"/>
        <v>10041979.583912253</v>
      </c>
      <c r="S380" s="62">
        <f t="shared" si="284"/>
        <v>9314903.3718901277</v>
      </c>
      <c r="T380" s="62">
        <f t="shared" si="284"/>
        <v>8723961.6574759353</v>
      </c>
      <c r="U380" s="62">
        <f t="shared" si="284"/>
        <v>8265946.7636056766</v>
      </c>
      <c r="V380" s="62">
        <f t="shared" si="284"/>
        <v>7924174.6062428998</v>
      </c>
      <c r="W380" s="62">
        <f t="shared" si="284"/>
        <v>7676549.3947317516</v>
      </c>
      <c r="X380" s="62">
        <f t="shared" si="284"/>
        <v>7501097.3013891587</v>
      </c>
      <c r="Y380" s="62">
        <f t="shared" si="284"/>
        <v>7378817.4513770454</v>
      </c>
      <c r="Z380" s="62">
        <f t="shared" si="284"/>
        <v>7294606.1762531642</v>
      </c>
      <c r="AA380" s="62">
        <f t="shared" si="284"/>
        <v>7237100.2552979402</v>
      </c>
      <c r="AB380" s="62">
        <f t="shared" si="284"/>
        <v>7198061.9157605572</v>
      </c>
      <c r="AC380" s="62">
        <f t="shared" si="284"/>
        <v>7171668.1051134812</v>
      </c>
    </row>
    <row r="381" spans="1:29" ht="15.75" thickBot="1" x14ac:dyDescent="0.3">
      <c r="A381" s="59" t="str">
        <f>A344</f>
        <v>Emission Cost</v>
      </c>
      <c r="B381" s="62">
        <f>B364*B370</f>
        <v>298374.02153870644</v>
      </c>
      <c r="C381" s="62">
        <f t="shared" ref="C381:AC381" si="285">C364*C370</f>
        <v>298089.89677086746</v>
      </c>
      <c r="D381" s="62">
        <f t="shared" si="285"/>
        <v>297683.17849407479</v>
      </c>
      <c r="E381" s="62">
        <f t="shared" si="285"/>
        <v>297101.33939741511</v>
      </c>
      <c r="F381" s="62">
        <f t="shared" si="285"/>
        <v>296269.7629391175</v>
      </c>
      <c r="G381" s="62">
        <f t="shared" si="285"/>
        <v>295082.92362200172</v>
      </c>
      <c r="H381" s="62">
        <f t="shared" si="285"/>
        <v>293392.57327087317</v>
      </c>
      <c r="I381" s="62">
        <f t="shared" si="285"/>
        <v>290992.51808701607</v>
      </c>
      <c r="J381" s="62">
        <f t="shared" si="285"/>
        <v>287600.2707152121</v>
      </c>
      <c r="K381" s="62">
        <f t="shared" si="285"/>
        <v>282837.61660641141</v>
      </c>
      <c r="L381" s="62">
        <f t="shared" si="285"/>
        <v>276215.79849820002</v>
      </c>
      <c r="M381" s="62">
        <f t="shared" si="285"/>
        <v>267137.53359455033</v>
      </c>
      <c r="N381" s="62">
        <f t="shared" si="285"/>
        <v>254937.31835158364</v>
      </c>
      <c r="O381" s="62">
        <f t="shared" si="285"/>
        <v>238989.28012077697</v>
      </c>
      <c r="P381" s="62">
        <f t="shared" si="285"/>
        <v>218905.42153740322</v>
      </c>
      <c r="Q381" s="62">
        <f t="shared" si="285"/>
        <v>194805.36774460567</v>
      </c>
      <c r="R381" s="62">
        <f t="shared" si="285"/>
        <v>167553.66185539585</v>
      </c>
      <c r="S381" s="62">
        <f t="shared" si="285"/>
        <v>138784.14775909283</v>
      </c>
      <c r="T381" s="62">
        <f t="shared" si="285"/>
        <v>110580.76388833826</v>
      </c>
      <c r="U381" s="62">
        <f t="shared" si="285"/>
        <v>84906.643024901976</v>
      </c>
      <c r="V381" s="62">
        <f t="shared" si="285"/>
        <v>63087.296356099287</v>
      </c>
      <c r="W381" s="62">
        <f t="shared" si="285"/>
        <v>45613.907297980848</v>
      </c>
      <c r="X381" s="62">
        <f t="shared" si="285"/>
        <v>32280.935922287579</v>
      </c>
      <c r="Y381" s="62">
        <f t="shared" si="285"/>
        <v>22480.132655302932</v>
      </c>
      <c r="Z381" s="62">
        <f t="shared" si="285"/>
        <v>15472.700104340156</v>
      </c>
      <c r="AA381" s="62">
        <f t="shared" si="285"/>
        <v>10561.524741305384</v>
      </c>
      <c r="AB381" s="62">
        <f t="shared" si="285"/>
        <v>7167.6007010193562</v>
      </c>
      <c r="AC381" s="62">
        <f t="shared" si="285"/>
        <v>4844.9693545295777</v>
      </c>
    </row>
    <row r="382" spans="1:29" ht="15.75" thickBot="1" x14ac:dyDescent="0.3">
      <c r="A382" s="31" t="s">
        <v>209</v>
      </c>
      <c r="B382" s="64">
        <f>B373+B374+B375+B376+B377+B378+B379+B380+B381</f>
        <v>21125438.964314058</v>
      </c>
      <c r="C382" s="64">
        <f t="shared" ref="C382:AC382" si="286">C373+C374+C375+C376+C377+C378+C379+C380+C381</f>
        <v>21097678.960188586</v>
      </c>
      <c r="D382" s="64">
        <f t="shared" si="286"/>
        <v>21058055.877404213</v>
      </c>
      <c r="E382" s="64">
        <f t="shared" si="286"/>
        <v>21001614.527794</v>
      </c>
      <c r="F382" s="64">
        <f t="shared" si="286"/>
        <v>20921456.576486465</v>
      </c>
      <c r="G382" s="64">
        <f t="shared" si="286"/>
        <v>20808117.009731736</v>
      </c>
      <c r="H382" s="64">
        <f t="shared" si="286"/>
        <v>20648891.661388278</v>
      </c>
      <c r="I382" s="64">
        <f t="shared" si="286"/>
        <v>20427293.373322144</v>
      </c>
      <c r="J382" s="64">
        <f t="shared" si="286"/>
        <v>20123021.975250822</v>
      </c>
      <c r="K382" s="64">
        <f t="shared" si="286"/>
        <v>19713130.630912896</v>
      </c>
      <c r="L382" s="64">
        <f t="shared" si="286"/>
        <v>19175330.991016254</v>
      </c>
      <c r="M382" s="64">
        <f t="shared" si="286"/>
        <v>18494206.901600011</v>
      </c>
      <c r="N382" s="64">
        <f t="shared" si="286"/>
        <v>17669845.932317439</v>
      </c>
      <c r="O382" s="64">
        <f t="shared" si="286"/>
        <v>16725792.381328586</v>
      </c>
      <c r="P382" s="64">
        <f t="shared" si="286"/>
        <v>15710841.192516107</v>
      </c>
      <c r="Q382" s="64">
        <f t="shared" si="286"/>
        <v>14690566.844441442</v>
      </c>
      <c r="R382" s="64">
        <f t="shared" si="286"/>
        <v>13730941.554133551</v>
      </c>
      <c r="S382" s="64">
        <f t="shared" si="286"/>
        <v>12882524.419592204</v>
      </c>
      <c r="T382" s="64">
        <f t="shared" si="286"/>
        <v>12172629.545052137</v>
      </c>
      <c r="U382" s="64">
        <f t="shared" si="286"/>
        <v>11606329.141040444</v>
      </c>
      <c r="V382" s="64">
        <f t="shared" si="286"/>
        <v>11172529.720210625</v>
      </c>
      <c r="W382" s="64">
        <f t="shared" si="286"/>
        <v>10851207.151811484</v>
      </c>
      <c r="X382" s="64">
        <f t="shared" si="286"/>
        <v>10619520.704241239</v>
      </c>
      <c r="Y382" s="64">
        <f t="shared" si="286"/>
        <v>10455904.09387007</v>
      </c>
      <c r="Z382" s="64">
        <f t="shared" si="286"/>
        <v>10342137.633094504</v>
      </c>
      <c r="AA382" s="64">
        <f t="shared" si="286"/>
        <v>10263917.891696934</v>
      </c>
      <c r="AB382" s="64">
        <f t="shared" si="286"/>
        <v>10210565.029062986</v>
      </c>
      <c r="AC382" s="64">
        <f t="shared" si="286"/>
        <v>10174375.076940885</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287">A373</f>
        <v>Capex vehicle</v>
      </c>
      <c r="B385" s="65">
        <f>((1+B358)^B365)*B358/(((1+B358)^B365)-1)*(B354)/B370</f>
        <v>19.539498974368939</v>
      </c>
      <c r="C385" s="65">
        <f t="shared" ref="C385:AC385" si="288">((1+C358)^C365)*C358/(((1+C358)^C365)-1)*(C354)/C370</f>
        <v>19.532066244884934</v>
      </c>
      <c r="D385" s="65">
        <f t="shared" si="288"/>
        <v>19.521426458179274</v>
      </c>
      <c r="E385" s="65">
        <f t="shared" si="288"/>
        <v>19.506205495073583</v>
      </c>
      <c r="F385" s="65">
        <f t="shared" si="288"/>
        <v>19.484451380123293</v>
      </c>
      <c r="G385" s="65">
        <f t="shared" si="288"/>
        <v>19.453403556830025</v>
      </c>
      <c r="H385" s="65">
        <f t="shared" si="288"/>
        <v>19.409183839595606</v>
      </c>
      <c r="I385" s="65">
        <f t="shared" si="288"/>
        <v>19.346398180098269</v>
      </c>
      <c r="J385" s="65">
        <f t="shared" si="288"/>
        <v>19.257656683715453</v>
      </c>
      <c r="K385" s="65">
        <f t="shared" si="288"/>
        <v>19.133065223823188</v>
      </c>
      <c r="L385" s="65">
        <f t="shared" si="288"/>
        <v>18.959837866472469</v>
      </c>
      <c r="M385" s="65">
        <f t="shared" si="288"/>
        <v>18.722349639992963</v>
      </c>
      <c r="N385" s="65">
        <f t="shared" si="288"/>
        <v>18.403190911814015</v>
      </c>
      <c r="O385" s="65">
        <f t="shared" si="288"/>
        <v>17.985988797152327</v>
      </c>
      <c r="P385" s="65">
        <f t="shared" si="288"/>
        <v>17.460593250045839</v>
      </c>
      <c r="Q385" s="65">
        <f t="shared" si="288"/>
        <v>16.830133674999598</v>
      </c>
      <c r="R385" s="65">
        <f t="shared" si="288"/>
        <v>16.117226597616597</v>
      </c>
      <c r="S385" s="65">
        <f t="shared" si="288"/>
        <v>15.364613521007501</v>
      </c>
      <c r="T385" s="65">
        <f t="shared" si="288"/>
        <v>14.626810462022794</v>
      </c>
      <c r="U385" s="65">
        <f t="shared" si="288"/>
        <v>13.955173150819558</v>
      </c>
      <c r="V385" s="65">
        <f t="shared" si="288"/>
        <v>13.384377079289164</v>
      </c>
      <c r="W385" s="65">
        <f t="shared" si="288"/>
        <v>12.927271649777994</v>
      </c>
      <c r="X385" s="65">
        <f t="shared" si="288"/>
        <v>12.578479919274246</v>
      </c>
      <c r="Y385" s="65">
        <f t="shared" si="288"/>
        <v>12.322090024216767</v>
      </c>
      <c r="Z385" s="65">
        <f t="shared" si="288"/>
        <v>12.138774958357224</v>
      </c>
      <c r="AA385" s="65">
        <f t="shared" si="288"/>
        <v>12.010298169094545</v>
      </c>
      <c r="AB385" s="65">
        <f t="shared" si="288"/>
        <v>11.921512810913416</v>
      </c>
      <c r="AC385" s="65">
        <f t="shared" si="288"/>
        <v>11.860752565965971</v>
      </c>
    </row>
    <row r="386" spans="1:29" x14ac:dyDescent="0.25">
      <c r="A386" s="30" t="str">
        <f t="shared" si="287"/>
        <v>Residual value (vehicle)</v>
      </c>
      <c r="B386" s="66">
        <f>((1+B358)^B365)*B358/(((1+B358)^B365)-1)*(B355)/B370</f>
        <v>-0.97826349212091301</v>
      </c>
      <c r="C386" s="66">
        <f t="shared" ref="C386:AC386" si="289">((1+C358)^C365)*C358/(((1+C358)^C365)-1)*(C355)/C370</f>
        <v>-0.97844931035801319</v>
      </c>
      <c r="D386" s="66">
        <f t="shared" si="289"/>
        <v>-0.97871530502565462</v>
      </c>
      <c r="E386" s="66">
        <f t="shared" si="289"/>
        <v>-0.97909582910329696</v>
      </c>
      <c r="F386" s="66">
        <f t="shared" si="289"/>
        <v>-0.9796396819770542</v>
      </c>
      <c r="G386" s="66">
        <f t="shared" si="289"/>
        <v>-0.98041587755938586</v>
      </c>
      <c r="H386" s="66">
        <f t="shared" si="289"/>
        <v>-0.98152137049024646</v>
      </c>
      <c r="I386" s="66">
        <f t="shared" si="289"/>
        <v>-0.98309101197767967</v>
      </c>
      <c r="J386" s="66">
        <f t="shared" si="289"/>
        <v>-0.98530954938725024</v>
      </c>
      <c r="K386" s="66">
        <f t="shared" si="289"/>
        <v>-0.9884243358845568</v>
      </c>
      <c r="L386" s="66">
        <f t="shared" si="289"/>
        <v>-0.99275501981832481</v>
      </c>
      <c r="M386" s="66">
        <f t="shared" si="289"/>
        <v>-0.99869222548031233</v>
      </c>
      <c r="N386" s="66">
        <f t="shared" si="289"/>
        <v>-1.0066711936847861</v>
      </c>
      <c r="O386" s="66">
        <f t="shared" si="289"/>
        <v>-1.0171012465513283</v>
      </c>
      <c r="P386" s="66">
        <f t="shared" si="289"/>
        <v>-1.0302361352289906</v>
      </c>
      <c r="Q386" s="66">
        <f t="shared" si="289"/>
        <v>-1.0459976246051466</v>
      </c>
      <c r="R386" s="66">
        <f t="shared" si="289"/>
        <v>-1.0638203015397216</v>
      </c>
      <c r="S386" s="66">
        <f t="shared" si="289"/>
        <v>-1.082635628454949</v>
      </c>
      <c r="T386" s="66">
        <f t="shared" si="289"/>
        <v>-1.1010807049295666</v>
      </c>
      <c r="U386" s="66">
        <f t="shared" si="289"/>
        <v>-1.1178716377096476</v>
      </c>
      <c r="V386" s="66">
        <f t="shared" si="289"/>
        <v>-1.1321415394979075</v>
      </c>
      <c r="W386" s="66">
        <f t="shared" si="289"/>
        <v>-1.1435691752356867</v>
      </c>
      <c r="X386" s="66">
        <f t="shared" si="289"/>
        <v>-1.1522889684982804</v>
      </c>
      <c r="Y386" s="66">
        <f t="shared" si="289"/>
        <v>-1.1586987158747175</v>
      </c>
      <c r="Z386" s="66">
        <f t="shared" si="289"/>
        <v>-1.1632815925212061</v>
      </c>
      <c r="AA386" s="66">
        <f t="shared" si="289"/>
        <v>-1.1664935122527731</v>
      </c>
      <c r="AB386" s="66">
        <f t="shared" si="289"/>
        <v>-1.1687131462073013</v>
      </c>
      <c r="AC386" s="66">
        <f t="shared" si="289"/>
        <v>-1.1702321523309871</v>
      </c>
    </row>
    <row r="387" spans="1:29" x14ac:dyDescent="0.25">
      <c r="A387" s="30" t="str">
        <f t="shared" si="287"/>
        <v>Capex costumization</v>
      </c>
      <c r="B387" s="66">
        <f>((1+B358)^B366)*B358/(((1+B358)^B366)-1)*(B356)/B370</f>
        <v>0.65188931843561626</v>
      </c>
      <c r="C387" s="66">
        <f t="shared" ref="C387:AC387" si="290">((1+C358)^C366)*C358/(((1+C358)^C366)-1)*(C356)/C370</f>
        <v>0.65188931843561626</v>
      </c>
      <c r="D387" s="66">
        <f t="shared" si="290"/>
        <v>0.65188931843561626</v>
      </c>
      <c r="E387" s="66">
        <f t="shared" si="290"/>
        <v>0.65188931843561626</v>
      </c>
      <c r="F387" s="66">
        <f t="shared" si="290"/>
        <v>0.65188931843561626</v>
      </c>
      <c r="G387" s="66">
        <f t="shared" si="290"/>
        <v>0.65188931843561626</v>
      </c>
      <c r="H387" s="66">
        <f t="shared" si="290"/>
        <v>0.65188931843561626</v>
      </c>
      <c r="I387" s="66">
        <f t="shared" si="290"/>
        <v>0.65188931843561626</v>
      </c>
      <c r="J387" s="66">
        <f t="shared" si="290"/>
        <v>0.65188931843561626</v>
      </c>
      <c r="K387" s="66">
        <f t="shared" si="290"/>
        <v>0.65188931843561626</v>
      </c>
      <c r="L387" s="66">
        <f t="shared" si="290"/>
        <v>0.65188931843561626</v>
      </c>
      <c r="M387" s="66">
        <f t="shared" si="290"/>
        <v>0.65188931843561626</v>
      </c>
      <c r="N387" s="66">
        <f t="shared" si="290"/>
        <v>0.65188931843561626</v>
      </c>
      <c r="O387" s="66">
        <f t="shared" si="290"/>
        <v>0.65188931843561626</v>
      </c>
      <c r="P387" s="66">
        <f t="shared" si="290"/>
        <v>0.65188931843561626</v>
      </c>
      <c r="Q387" s="66">
        <f t="shared" si="290"/>
        <v>0.65188931843561626</v>
      </c>
      <c r="R387" s="66">
        <f t="shared" si="290"/>
        <v>0.65188931843561626</v>
      </c>
      <c r="S387" s="66">
        <f t="shared" si="290"/>
        <v>0.65188931843561626</v>
      </c>
      <c r="T387" s="66">
        <f t="shared" si="290"/>
        <v>0.65188931843561626</v>
      </c>
      <c r="U387" s="66">
        <f t="shared" si="290"/>
        <v>0.65188931843561626</v>
      </c>
      <c r="V387" s="66">
        <f t="shared" si="290"/>
        <v>0.65188931843561626</v>
      </c>
      <c r="W387" s="66">
        <f t="shared" si="290"/>
        <v>0.65188931843561626</v>
      </c>
      <c r="X387" s="66">
        <f t="shared" si="290"/>
        <v>0.65188931843561626</v>
      </c>
      <c r="Y387" s="66">
        <f t="shared" si="290"/>
        <v>0.65188931843561626</v>
      </c>
      <c r="Z387" s="66">
        <f t="shared" si="290"/>
        <v>0.65188931843561626</v>
      </c>
      <c r="AA387" s="66">
        <f t="shared" si="290"/>
        <v>0.65188931843561626</v>
      </c>
      <c r="AB387" s="66">
        <f t="shared" si="290"/>
        <v>0.65188931843561626</v>
      </c>
      <c r="AC387" s="66">
        <f t="shared" si="290"/>
        <v>0.65188931843561626</v>
      </c>
    </row>
    <row r="388" spans="1:29" x14ac:dyDescent="0.25">
      <c r="A388" s="30" t="str">
        <f t="shared" si="287"/>
        <v>Residual value (costumization)</v>
      </c>
      <c r="B388" s="66">
        <f>((1+B358)^B366)*B358/(((1+B358)^B366)-1)*(B357)/B370</f>
        <v>-6.5188931843561615E-2</v>
      </c>
      <c r="C388" s="66">
        <f t="shared" ref="C388:AC388" si="291">((1+C358)^C366)*C358/(((1+C358)^C366)-1)*(C357)/C370</f>
        <v>-6.5188931843561615E-2</v>
      </c>
      <c r="D388" s="66">
        <f t="shared" si="291"/>
        <v>-6.5188931843561615E-2</v>
      </c>
      <c r="E388" s="66">
        <f t="shared" si="291"/>
        <v>-6.5188931843561615E-2</v>
      </c>
      <c r="F388" s="66">
        <f t="shared" si="291"/>
        <v>-6.5188931843561615E-2</v>
      </c>
      <c r="G388" s="66">
        <f t="shared" si="291"/>
        <v>-6.5188931843561615E-2</v>
      </c>
      <c r="H388" s="66">
        <f t="shared" si="291"/>
        <v>-6.5188931843561615E-2</v>
      </c>
      <c r="I388" s="66">
        <f t="shared" si="291"/>
        <v>-6.5188931843561615E-2</v>
      </c>
      <c r="J388" s="66">
        <f t="shared" si="291"/>
        <v>-6.5188931843561615E-2</v>
      </c>
      <c r="K388" s="66">
        <f t="shared" si="291"/>
        <v>-6.5188931843561615E-2</v>
      </c>
      <c r="L388" s="66">
        <f t="shared" si="291"/>
        <v>-6.5188931843561615E-2</v>
      </c>
      <c r="M388" s="66">
        <f t="shared" si="291"/>
        <v>-6.5188931843561615E-2</v>
      </c>
      <c r="N388" s="66">
        <f t="shared" si="291"/>
        <v>-6.5188931843561615E-2</v>
      </c>
      <c r="O388" s="66">
        <f t="shared" si="291"/>
        <v>-6.5188931843561615E-2</v>
      </c>
      <c r="P388" s="66">
        <f t="shared" si="291"/>
        <v>-6.5188931843561615E-2</v>
      </c>
      <c r="Q388" s="66">
        <f t="shared" si="291"/>
        <v>-6.5188931843561615E-2</v>
      </c>
      <c r="R388" s="66">
        <f t="shared" si="291"/>
        <v>-6.5188931843561615E-2</v>
      </c>
      <c r="S388" s="66">
        <f t="shared" si="291"/>
        <v>-6.5188931843561615E-2</v>
      </c>
      <c r="T388" s="66">
        <f t="shared" si="291"/>
        <v>-6.5188931843561615E-2</v>
      </c>
      <c r="U388" s="66">
        <f t="shared" si="291"/>
        <v>-6.5188931843561615E-2</v>
      </c>
      <c r="V388" s="66">
        <f t="shared" si="291"/>
        <v>-6.5188931843561615E-2</v>
      </c>
      <c r="W388" s="66">
        <f t="shared" si="291"/>
        <v>-6.5188931843561615E-2</v>
      </c>
      <c r="X388" s="66">
        <f t="shared" si="291"/>
        <v>-6.5188931843561615E-2</v>
      </c>
      <c r="Y388" s="66">
        <f t="shared" si="291"/>
        <v>-6.5188931843561615E-2</v>
      </c>
      <c r="Z388" s="66">
        <f t="shared" si="291"/>
        <v>-6.5188931843561615E-2</v>
      </c>
      <c r="AA388" s="66">
        <f t="shared" si="291"/>
        <v>-6.5188931843561615E-2</v>
      </c>
      <c r="AB388" s="66">
        <f t="shared" si="291"/>
        <v>-6.5188931843561615E-2</v>
      </c>
      <c r="AC388" s="66">
        <f t="shared" si="291"/>
        <v>-6.5188931843561615E-2</v>
      </c>
    </row>
    <row r="389" spans="1:29" x14ac:dyDescent="0.25">
      <c r="A389" s="30" t="str">
        <f t="shared" si="287"/>
        <v>Opex fix (admin, crew, insurance)</v>
      </c>
      <c r="B389" s="66">
        <f>B359/B370</f>
        <v>10.068627450980392</v>
      </c>
      <c r="C389" s="66">
        <f t="shared" ref="C389:AC389" si="292">C359/C370</f>
        <v>10.068627450980392</v>
      </c>
      <c r="D389" s="66">
        <f t="shared" si="292"/>
        <v>10.068627450980392</v>
      </c>
      <c r="E389" s="66">
        <f t="shared" si="292"/>
        <v>10.068627450980392</v>
      </c>
      <c r="F389" s="66">
        <f t="shared" si="292"/>
        <v>10.068627450980392</v>
      </c>
      <c r="G389" s="66">
        <f t="shared" si="292"/>
        <v>10.068627450980392</v>
      </c>
      <c r="H389" s="66">
        <f t="shared" si="292"/>
        <v>10.068627450980392</v>
      </c>
      <c r="I389" s="66">
        <f t="shared" si="292"/>
        <v>10.068627450980392</v>
      </c>
      <c r="J389" s="66">
        <f t="shared" si="292"/>
        <v>10.068627450980392</v>
      </c>
      <c r="K389" s="66">
        <f t="shared" si="292"/>
        <v>10.068627450980392</v>
      </c>
      <c r="L389" s="66">
        <f t="shared" si="292"/>
        <v>10.068627450980392</v>
      </c>
      <c r="M389" s="66">
        <f t="shared" si="292"/>
        <v>10.068627450980392</v>
      </c>
      <c r="N389" s="66">
        <f t="shared" si="292"/>
        <v>10.068627450980392</v>
      </c>
      <c r="O389" s="66">
        <f t="shared" si="292"/>
        <v>10.068627450980392</v>
      </c>
      <c r="P389" s="66">
        <f t="shared" si="292"/>
        <v>10.068627450980392</v>
      </c>
      <c r="Q389" s="66">
        <f t="shared" si="292"/>
        <v>10.068627450980392</v>
      </c>
      <c r="R389" s="66">
        <f t="shared" si="292"/>
        <v>10.068627450980392</v>
      </c>
      <c r="S389" s="66">
        <f t="shared" si="292"/>
        <v>10.068627450980392</v>
      </c>
      <c r="T389" s="66">
        <f t="shared" si="292"/>
        <v>10.068627450980392</v>
      </c>
      <c r="U389" s="66">
        <f t="shared" si="292"/>
        <v>10.068627450980392</v>
      </c>
      <c r="V389" s="66">
        <f t="shared" si="292"/>
        <v>10.068627450980392</v>
      </c>
      <c r="W389" s="66">
        <f t="shared" si="292"/>
        <v>10.068627450980392</v>
      </c>
      <c r="X389" s="66">
        <f t="shared" si="292"/>
        <v>10.068627450980392</v>
      </c>
      <c r="Y389" s="66">
        <f t="shared" si="292"/>
        <v>10.068627450980392</v>
      </c>
      <c r="Z389" s="66">
        <f t="shared" si="292"/>
        <v>10.068627450980392</v>
      </c>
      <c r="AA389" s="66">
        <f t="shared" si="292"/>
        <v>10.068627450980392</v>
      </c>
      <c r="AB389" s="66">
        <f t="shared" si="292"/>
        <v>10.068627450980392</v>
      </c>
      <c r="AC389" s="66">
        <f t="shared" si="292"/>
        <v>10.068627450980392</v>
      </c>
    </row>
    <row r="390" spans="1:29" x14ac:dyDescent="0.25">
      <c r="A390" s="30" t="str">
        <f t="shared" si="287"/>
        <v>Opex maintenance &amp; repair</v>
      </c>
      <c r="B390" s="66">
        <f>B360/B370</f>
        <v>2.8235294117647056</v>
      </c>
      <c r="C390" s="66">
        <f t="shared" ref="C390:AC390" si="293">C360/C370</f>
        <v>2.8235294117647056</v>
      </c>
      <c r="D390" s="66">
        <f t="shared" si="293"/>
        <v>2.8235294117647056</v>
      </c>
      <c r="E390" s="66">
        <f t="shared" si="293"/>
        <v>2.8235294117647056</v>
      </c>
      <c r="F390" s="66">
        <f t="shared" si="293"/>
        <v>2.8235294117647056</v>
      </c>
      <c r="G390" s="66">
        <f t="shared" si="293"/>
        <v>2.8235294117647056</v>
      </c>
      <c r="H390" s="66">
        <f t="shared" si="293"/>
        <v>2.8235294117647056</v>
      </c>
      <c r="I390" s="66">
        <f t="shared" si="293"/>
        <v>2.8235294117647056</v>
      </c>
      <c r="J390" s="66">
        <f t="shared" si="293"/>
        <v>2.8235294117647056</v>
      </c>
      <c r="K390" s="66">
        <f t="shared" si="293"/>
        <v>2.8235294117647056</v>
      </c>
      <c r="L390" s="66">
        <f t="shared" si="293"/>
        <v>2.8235294117647056</v>
      </c>
      <c r="M390" s="66">
        <f t="shared" si="293"/>
        <v>2.8235294117647056</v>
      </c>
      <c r="N390" s="66">
        <f t="shared" si="293"/>
        <v>2.8235294117647056</v>
      </c>
      <c r="O390" s="66">
        <f t="shared" si="293"/>
        <v>2.8235294117647056</v>
      </c>
      <c r="P390" s="66">
        <f t="shared" si="293"/>
        <v>2.8235294117647056</v>
      </c>
      <c r="Q390" s="66">
        <f t="shared" si="293"/>
        <v>2.8235294117647056</v>
      </c>
      <c r="R390" s="66">
        <f t="shared" si="293"/>
        <v>2.8235294117647056</v>
      </c>
      <c r="S390" s="66">
        <f t="shared" si="293"/>
        <v>2.8235294117647056</v>
      </c>
      <c r="T390" s="66">
        <f t="shared" si="293"/>
        <v>2.8235294117647056</v>
      </c>
      <c r="U390" s="66">
        <f t="shared" si="293"/>
        <v>2.8235294117647056</v>
      </c>
      <c r="V390" s="66">
        <f t="shared" si="293"/>
        <v>2.8235294117647056</v>
      </c>
      <c r="W390" s="66">
        <f t="shared" si="293"/>
        <v>2.8235294117647056</v>
      </c>
      <c r="X390" s="66">
        <f t="shared" si="293"/>
        <v>2.8235294117647056</v>
      </c>
      <c r="Y390" s="66">
        <f t="shared" si="293"/>
        <v>2.8235294117647056</v>
      </c>
      <c r="Z390" s="66">
        <f t="shared" si="293"/>
        <v>2.8235294117647056</v>
      </c>
      <c r="AA390" s="66">
        <f t="shared" si="293"/>
        <v>2.8235294117647056</v>
      </c>
      <c r="AB390" s="66">
        <f t="shared" si="293"/>
        <v>2.8235294117647056</v>
      </c>
      <c r="AC390" s="66">
        <f t="shared" si="293"/>
        <v>2.8235294117647056</v>
      </c>
    </row>
    <row r="391" spans="1:29" x14ac:dyDescent="0.25">
      <c r="A391" s="30" t="str">
        <f t="shared" si="287"/>
        <v>Opex var (mode-fees)</v>
      </c>
      <c r="B391" s="66">
        <f>B361*B370/B370</f>
        <v>0.81280569096848254</v>
      </c>
      <c r="C391" s="66">
        <f t="shared" ref="C391:AC391" si="294">C361*C370/C370</f>
        <v>0.81280569096848254</v>
      </c>
      <c r="D391" s="66">
        <f t="shared" si="294"/>
        <v>0.81280569096848254</v>
      </c>
      <c r="E391" s="66">
        <f t="shared" si="294"/>
        <v>0.81280569096848254</v>
      </c>
      <c r="F391" s="66">
        <f t="shared" si="294"/>
        <v>0.81280569096848254</v>
      </c>
      <c r="G391" s="66">
        <f t="shared" si="294"/>
        <v>0.81280569096848254</v>
      </c>
      <c r="H391" s="66">
        <f t="shared" si="294"/>
        <v>0.81280569096848254</v>
      </c>
      <c r="I391" s="66">
        <f t="shared" si="294"/>
        <v>0.81280569096848254</v>
      </c>
      <c r="J391" s="66">
        <f t="shared" si="294"/>
        <v>0.81280569096848254</v>
      </c>
      <c r="K391" s="66">
        <f t="shared" si="294"/>
        <v>0.81280569096848254</v>
      </c>
      <c r="L391" s="66">
        <f t="shared" si="294"/>
        <v>0.81280569096848254</v>
      </c>
      <c r="M391" s="66">
        <f t="shared" si="294"/>
        <v>0.81280569096848254</v>
      </c>
      <c r="N391" s="66">
        <f t="shared" si="294"/>
        <v>0.81280569096848254</v>
      </c>
      <c r="O391" s="66">
        <f t="shared" si="294"/>
        <v>0.81280569096848254</v>
      </c>
      <c r="P391" s="66">
        <f t="shared" si="294"/>
        <v>0.81280569096848254</v>
      </c>
      <c r="Q391" s="66">
        <f t="shared" si="294"/>
        <v>0.81280569096848254</v>
      </c>
      <c r="R391" s="66">
        <f t="shared" si="294"/>
        <v>0.81280569096848254</v>
      </c>
      <c r="S391" s="66">
        <f t="shared" si="294"/>
        <v>0.81280569096848254</v>
      </c>
      <c r="T391" s="66">
        <f t="shared" si="294"/>
        <v>0.81280569096848254</v>
      </c>
      <c r="U391" s="66">
        <f t="shared" si="294"/>
        <v>0.81280569096848254</v>
      </c>
      <c r="V391" s="66">
        <f t="shared" si="294"/>
        <v>0.81280569096848254</v>
      </c>
      <c r="W391" s="66">
        <f t="shared" si="294"/>
        <v>0.81280569096848254</v>
      </c>
      <c r="X391" s="66">
        <f t="shared" si="294"/>
        <v>0.81280569096848254</v>
      </c>
      <c r="Y391" s="66">
        <f t="shared" si="294"/>
        <v>0.81280569096848254</v>
      </c>
      <c r="Z391" s="66">
        <f t="shared" si="294"/>
        <v>0.81280569096848254</v>
      </c>
      <c r="AA391" s="66">
        <f t="shared" si="294"/>
        <v>0.81280569096848254</v>
      </c>
      <c r="AB391" s="66">
        <f t="shared" si="294"/>
        <v>0.81280569096848254</v>
      </c>
      <c r="AC391" s="66">
        <f t="shared" si="294"/>
        <v>0.81280569096848254</v>
      </c>
    </row>
    <row r="392" spans="1:29" x14ac:dyDescent="0.25">
      <c r="A392" s="30" t="str">
        <f t="shared" si="287"/>
        <v>Fuel Cost</v>
      </c>
      <c r="B392" s="66">
        <f>B362*B363*B370/B370</f>
        <v>140.70597610057428</v>
      </c>
      <c r="C392" s="66">
        <f t="shared" ref="C392:AC392" si="295">C362*C363*C370/C370</f>
        <v>140.48462898698176</v>
      </c>
      <c r="D392" s="66">
        <f t="shared" si="295"/>
        <v>140.1687317307919</v>
      </c>
      <c r="E392" s="66">
        <f t="shared" si="295"/>
        <v>139.71883729702895</v>
      </c>
      <c r="F392" s="66">
        <f t="shared" si="295"/>
        <v>139.08008214110936</v>
      </c>
      <c r="G392" s="66">
        <f t="shared" si="295"/>
        <v>138.17730009800485</v>
      </c>
      <c r="H392" s="66">
        <f t="shared" si="295"/>
        <v>136.90983365823405</v>
      </c>
      <c r="I392" s="66">
        <f t="shared" si="295"/>
        <v>135.14753701853317</v>
      </c>
      <c r="J392" s="66">
        <f t="shared" si="295"/>
        <v>132.73117079649626</v>
      </c>
      <c r="K392" s="66">
        <f t="shared" si="295"/>
        <v>129.48280462430978</v>
      </c>
      <c r="L392" s="66">
        <f t="shared" si="295"/>
        <v>125.23388081735735</v>
      </c>
      <c r="M392" s="66">
        <f t="shared" si="295"/>
        <v>119.87692437856056</v>
      </c>
      <c r="N392" s="66">
        <f t="shared" si="295"/>
        <v>113.43605579128059</v>
      </c>
      <c r="O392" s="66">
        <f t="shared" si="295"/>
        <v>106.12947535249178</v>
      </c>
      <c r="P392" s="66">
        <f t="shared" si="295"/>
        <v>98.377444703033376</v>
      </c>
      <c r="Q392" s="66">
        <f t="shared" si="295"/>
        <v>90.722213315106885</v>
      </c>
      <c r="R392" s="66">
        <f t="shared" si="295"/>
        <v>83.683163199268776</v>
      </c>
      <c r="S392" s="66">
        <f t="shared" si="295"/>
        <v>77.624194765751071</v>
      </c>
      <c r="T392" s="66">
        <f t="shared" si="295"/>
        <v>72.69968047896613</v>
      </c>
      <c r="U392" s="66">
        <f t="shared" si="295"/>
        <v>68.882889696713974</v>
      </c>
      <c r="V392" s="66">
        <f t="shared" si="295"/>
        <v>66.034788385357501</v>
      </c>
      <c r="W392" s="66">
        <f t="shared" si="295"/>
        <v>63.971244956097934</v>
      </c>
      <c r="X392" s="66">
        <f t="shared" si="295"/>
        <v>62.509144178242991</v>
      </c>
      <c r="Y392" s="66">
        <f t="shared" si="295"/>
        <v>61.490145428142043</v>
      </c>
      <c r="Z392" s="66">
        <f t="shared" si="295"/>
        <v>60.788384802109704</v>
      </c>
      <c r="AA392" s="66">
        <f t="shared" si="295"/>
        <v>60.3091687941495</v>
      </c>
      <c r="AB392" s="66">
        <f t="shared" si="295"/>
        <v>59.983849298004642</v>
      </c>
      <c r="AC392" s="66">
        <f t="shared" si="295"/>
        <v>59.763900875945673</v>
      </c>
    </row>
    <row r="393" spans="1:29" ht="15.75" thickBot="1" x14ac:dyDescent="0.3">
      <c r="A393" s="59" t="str">
        <f t="shared" ref="A393" si="296">A381</f>
        <v>Emission Cost</v>
      </c>
      <c r="B393" s="66">
        <f>B364</f>
        <v>2.4864501794892204</v>
      </c>
      <c r="C393" s="66">
        <f t="shared" ref="C393:AC393" si="297">C364</f>
        <v>2.4840824730905622</v>
      </c>
      <c r="D393" s="66">
        <f t="shared" si="297"/>
        <v>2.4806931541172901</v>
      </c>
      <c r="E393" s="66">
        <f t="shared" si="297"/>
        <v>2.4758444949784595</v>
      </c>
      <c r="F393" s="66">
        <f t="shared" si="297"/>
        <v>2.4689146911593123</v>
      </c>
      <c r="G393" s="66">
        <f t="shared" si="297"/>
        <v>2.4590243635166811</v>
      </c>
      <c r="H393" s="66">
        <f t="shared" si="297"/>
        <v>2.4449381105906096</v>
      </c>
      <c r="I393" s="66">
        <f t="shared" si="297"/>
        <v>2.4249376507251341</v>
      </c>
      <c r="J393" s="66">
        <f t="shared" si="297"/>
        <v>2.3966689226267675</v>
      </c>
      <c r="K393" s="66">
        <f t="shared" si="297"/>
        <v>2.3569801383867617</v>
      </c>
      <c r="L393" s="66">
        <f t="shared" si="297"/>
        <v>2.3017983208183335</v>
      </c>
      <c r="M393" s="66">
        <f t="shared" si="297"/>
        <v>2.2261461132879194</v>
      </c>
      <c r="N393" s="66">
        <f t="shared" si="297"/>
        <v>2.1244776529298637</v>
      </c>
      <c r="O393" s="66">
        <f t="shared" si="297"/>
        <v>1.991577334339808</v>
      </c>
      <c r="P393" s="66">
        <f t="shared" si="297"/>
        <v>1.824211846145027</v>
      </c>
      <c r="Q393" s="66">
        <f t="shared" si="297"/>
        <v>1.6233780645383806</v>
      </c>
      <c r="R393" s="66">
        <f t="shared" si="297"/>
        <v>1.396280515461632</v>
      </c>
      <c r="S393" s="66">
        <f t="shared" si="297"/>
        <v>1.156534564659107</v>
      </c>
      <c r="T393" s="66">
        <f t="shared" si="297"/>
        <v>0.92150636573615219</v>
      </c>
      <c r="U393" s="66">
        <f t="shared" si="297"/>
        <v>0.70755535854084983</v>
      </c>
      <c r="V393" s="66">
        <f t="shared" si="297"/>
        <v>0.52572746963416073</v>
      </c>
      <c r="W393" s="66">
        <f t="shared" si="297"/>
        <v>0.38011589414984037</v>
      </c>
      <c r="X393" s="66">
        <f t="shared" si="297"/>
        <v>0.26900779935239649</v>
      </c>
      <c r="Y393" s="66">
        <f t="shared" si="297"/>
        <v>0.18733443879419109</v>
      </c>
      <c r="Z393" s="66">
        <f t="shared" si="297"/>
        <v>0.12893916753616796</v>
      </c>
      <c r="AA393" s="66">
        <f t="shared" si="297"/>
        <v>8.8012706177544864E-2</v>
      </c>
      <c r="AB393" s="66">
        <f t="shared" si="297"/>
        <v>5.9730005841827971E-2</v>
      </c>
      <c r="AC393" s="66">
        <f t="shared" si="297"/>
        <v>4.0374744621079817E-2</v>
      </c>
    </row>
    <row r="394" spans="1:29" ht="15.75" thickBot="1" x14ac:dyDescent="0.3">
      <c r="A394" s="31" t="s">
        <v>63</v>
      </c>
      <c r="B394" s="76">
        <f>B385+B386+B387-B388+B389+B390+B391+B392+B393</f>
        <v>176.17570256630427</v>
      </c>
      <c r="C394" s="76">
        <f t="shared" ref="C394:AC394" si="298">C385+C386+C387-C388+C389+C390+C391+C392+C393</f>
        <v>175.94436919859197</v>
      </c>
      <c r="D394" s="76">
        <f t="shared" si="298"/>
        <v>175.61417684205557</v>
      </c>
      <c r="E394" s="76">
        <f t="shared" si="298"/>
        <v>175.14383226197043</v>
      </c>
      <c r="F394" s="76">
        <f t="shared" si="298"/>
        <v>174.47584933440766</v>
      </c>
      <c r="G394" s="76">
        <f t="shared" si="298"/>
        <v>173.53135294478491</v>
      </c>
      <c r="H394" s="76">
        <f t="shared" si="298"/>
        <v>172.20447504192276</v>
      </c>
      <c r="I394" s="76">
        <f t="shared" si="298"/>
        <v>170.35782264137165</v>
      </c>
      <c r="J394" s="76">
        <f t="shared" si="298"/>
        <v>167.82222765744399</v>
      </c>
      <c r="K394" s="76">
        <f t="shared" si="298"/>
        <v>164.40646645462795</v>
      </c>
      <c r="L394" s="76">
        <f t="shared" si="298"/>
        <v>159.92480278882257</v>
      </c>
      <c r="M394" s="76">
        <f t="shared" si="298"/>
        <v>154.24876871035389</v>
      </c>
      <c r="N394" s="76">
        <f t="shared" si="298"/>
        <v>147.37909396633245</v>
      </c>
      <c r="O394" s="76">
        <f t="shared" si="298"/>
        <v>139.51198104142534</v>
      </c>
      <c r="P394" s="76">
        <f t="shared" si="298"/>
        <v>131.05405446798801</v>
      </c>
      <c r="Q394" s="76">
        <f t="shared" si="298"/>
        <v>122.55176823403248</v>
      </c>
      <c r="R394" s="76">
        <f t="shared" si="298"/>
        <v>114.55489081480003</v>
      </c>
      <c r="S394" s="76">
        <f t="shared" si="298"/>
        <v>107.48474802695549</v>
      </c>
      <c r="T394" s="76">
        <f t="shared" si="298"/>
        <v>101.56895740578827</v>
      </c>
      <c r="U394" s="76">
        <f t="shared" si="298"/>
        <v>96.849787372357483</v>
      </c>
      <c r="V394" s="76">
        <f t="shared" si="298"/>
        <v>93.234792198775679</v>
      </c>
      <c r="W394" s="76">
        <f t="shared" si="298"/>
        <v>90.557104128782839</v>
      </c>
      <c r="X394" s="76">
        <f t="shared" si="298"/>
        <v>88.626383732364104</v>
      </c>
      <c r="Y394" s="76">
        <f t="shared" si="298"/>
        <v>87.262911979271038</v>
      </c>
      <c r="Z394" s="76">
        <f t="shared" si="298"/>
        <v>86.314858139474651</v>
      </c>
      <c r="AA394" s="76">
        <f t="shared" si="298"/>
        <v>85.663026961161577</v>
      </c>
      <c r="AB394" s="76">
        <f t="shared" si="298"/>
        <v>85.218419772545346</v>
      </c>
      <c r="AC394" s="76">
        <f t="shared" si="298"/>
        <v>84.916836838194484</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299">A373</f>
        <v>Capex vehicle</v>
      </c>
      <c r="B397" s="65">
        <f>((1+B358)^B365)*B358/(((1+B358)^B365)-1)*(B354)/B370/(B367)</f>
        <v>2.0676718491395704E-3</v>
      </c>
      <c r="C397" s="65">
        <f t="shared" ref="C397:AC397" si="300">((1+C358)^C365)*C358/(((1+C358)^C365)-1)*(C354)/C370/(C367)</f>
        <v>2.0668853169190406E-3</v>
      </c>
      <c r="D397" s="65">
        <f t="shared" si="300"/>
        <v>2.0657594135639443E-3</v>
      </c>
      <c r="E397" s="65">
        <f t="shared" si="300"/>
        <v>2.064148729637416E-3</v>
      </c>
      <c r="F397" s="65">
        <f t="shared" si="300"/>
        <v>2.0618467068913536E-3</v>
      </c>
      <c r="G397" s="65">
        <f t="shared" si="300"/>
        <v>2.0585612229449763E-3</v>
      </c>
      <c r="H397" s="65">
        <f t="shared" si="300"/>
        <v>2.0538818877878949E-3</v>
      </c>
      <c r="I397" s="65">
        <f t="shared" si="300"/>
        <v>2.0472379026559013E-3</v>
      </c>
      <c r="J397" s="65">
        <f t="shared" si="300"/>
        <v>2.0378472681180375E-3</v>
      </c>
      <c r="K397" s="65">
        <f t="shared" si="300"/>
        <v>2.0246629866479565E-3</v>
      </c>
      <c r="L397" s="65">
        <f t="shared" si="300"/>
        <v>2.0063320493621663E-3</v>
      </c>
      <c r="M397" s="65">
        <f t="shared" si="300"/>
        <v>1.9812010201050753E-3</v>
      </c>
      <c r="N397" s="65">
        <f t="shared" si="300"/>
        <v>1.9474276097157688E-3</v>
      </c>
      <c r="O397" s="65">
        <f t="shared" si="300"/>
        <v>1.9032792377938971E-3</v>
      </c>
      <c r="P397" s="65">
        <f t="shared" si="300"/>
        <v>1.8476818254016762E-3</v>
      </c>
      <c r="Q397" s="65">
        <f t="shared" si="300"/>
        <v>1.7809665264549839E-3</v>
      </c>
      <c r="R397" s="65">
        <f t="shared" si="300"/>
        <v>1.7055266240864123E-3</v>
      </c>
      <c r="S397" s="65">
        <f t="shared" si="300"/>
        <v>1.6258850286780425E-3</v>
      </c>
      <c r="T397" s="65">
        <f t="shared" si="300"/>
        <v>1.547810630901883E-3</v>
      </c>
      <c r="U397" s="65">
        <f t="shared" si="300"/>
        <v>1.4767378995576251E-3</v>
      </c>
      <c r="V397" s="65">
        <f t="shared" si="300"/>
        <v>1.4163361988665782E-3</v>
      </c>
      <c r="W397" s="65">
        <f t="shared" si="300"/>
        <v>1.3679652539447613E-3</v>
      </c>
      <c r="X397" s="65">
        <f t="shared" si="300"/>
        <v>1.3310560761136767E-3</v>
      </c>
      <c r="Y397" s="65">
        <f t="shared" si="300"/>
        <v>1.3039248702874885E-3</v>
      </c>
      <c r="Z397" s="65">
        <f t="shared" si="300"/>
        <v>1.2845264506198121E-3</v>
      </c>
      <c r="AA397" s="65">
        <f t="shared" si="300"/>
        <v>1.270931023184608E-3</v>
      </c>
      <c r="AB397" s="65">
        <f t="shared" si="300"/>
        <v>1.2615357471866049E-3</v>
      </c>
      <c r="AC397" s="65">
        <f t="shared" si="300"/>
        <v>1.2551060916366106E-3</v>
      </c>
    </row>
    <row r="398" spans="1:29" x14ac:dyDescent="0.25">
      <c r="A398" s="30" t="str">
        <f t="shared" si="299"/>
        <v>Residual value (vehicle)</v>
      </c>
      <c r="B398" s="68">
        <f>((1+B358)^B365)*B358/(((1+B358)^B365)-1)*(B355)/B370/(B367)</f>
        <v>-1.0351994625618128E-4</v>
      </c>
      <c r="C398" s="68">
        <f t="shared" ref="C398:AC398" si="301">((1+C358)^C365)*C358/(((1+C358)^C365)-1)*(C355)/C370/(C367)</f>
        <v>-1.0353960956169452E-4</v>
      </c>
      <c r="D398" s="68">
        <f t="shared" si="301"/>
        <v>-1.0356775714557191E-4</v>
      </c>
      <c r="E398" s="68">
        <f t="shared" si="301"/>
        <v>-1.0360802424373513E-4</v>
      </c>
      <c r="F398" s="68">
        <f t="shared" si="301"/>
        <v>-1.0366557481238669E-4</v>
      </c>
      <c r="G398" s="68">
        <f t="shared" si="301"/>
        <v>-1.0374771191104613E-4</v>
      </c>
      <c r="H398" s="68">
        <f t="shared" si="301"/>
        <v>-1.0386469528997317E-4</v>
      </c>
      <c r="I398" s="68">
        <f t="shared" si="301"/>
        <v>-1.0403079491827298E-4</v>
      </c>
      <c r="J398" s="68">
        <f t="shared" si="301"/>
        <v>-1.042655607817196E-4</v>
      </c>
      <c r="K398" s="68">
        <f t="shared" si="301"/>
        <v>-1.0459516781847161E-4</v>
      </c>
      <c r="L398" s="68">
        <f t="shared" si="301"/>
        <v>-1.0505344125061638E-4</v>
      </c>
      <c r="M398" s="68">
        <f t="shared" si="301"/>
        <v>-1.0568171698204363E-4</v>
      </c>
      <c r="N398" s="68">
        <f t="shared" si="301"/>
        <v>-1.0652605224177631E-4</v>
      </c>
      <c r="O398" s="68">
        <f t="shared" si="301"/>
        <v>-1.076297615398231E-4</v>
      </c>
      <c r="P398" s="68">
        <f t="shared" si="301"/>
        <v>-1.0901969684962864E-4</v>
      </c>
      <c r="Q398" s="68">
        <f t="shared" si="301"/>
        <v>-1.1068757932329594E-4</v>
      </c>
      <c r="R398" s="68">
        <f t="shared" si="301"/>
        <v>-1.1257357688251022E-4</v>
      </c>
      <c r="S398" s="68">
        <f t="shared" si="301"/>
        <v>-1.1456461676771947E-4</v>
      </c>
      <c r="T398" s="68">
        <f t="shared" si="301"/>
        <v>-1.1651647671212345E-4</v>
      </c>
      <c r="U398" s="68">
        <f t="shared" si="301"/>
        <v>-1.182932949957299E-4</v>
      </c>
      <c r="V398" s="68">
        <f t="shared" si="301"/>
        <v>-1.1980333751300609E-4</v>
      </c>
      <c r="W398" s="68">
        <f t="shared" si="301"/>
        <v>-1.210126111360515E-4</v>
      </c>
      <c r="X398" s="68">
        <f t="shared" si="301"/>
        <v>-1.2193534058182861E-4</v>
      </c>
      <c r="Y398" s="68">
        <f t="shared" si="301"/>
        <v>-1.2261362072748334E-4</v>
      </c>
      <c r="Z398" s="68">
        <f t="shared" si="301"/>
        <v>-1.2309858121917525E-4</v>
      </c>
      <c r="AA398" s="68">
        <f t="shared" si="301"/>
        <v>-1.2343846690505536E-4</v>
      </c>
      <c r="AB398" s="68">
        <f t="shared" si="301"/>
        <v>-1.2367334880500542E-4</v>
      </c>
      <c r="AC398" s="68">
        <f t="shared" si="301"/>
        <v>-1.2383409019375524E-4</v>
      </c>
    </row>
    <row r="399" spans="1:29" x14ac:dyDescent="0.25">
      <c r="A399" s="30" t="str">
        <f t="shared" si="299"/>
        <v>Capex costumization</v>
      </c>
      <c r="B399" s="66">
        <f>((1+B358)^B366)*B358/(((1+B358)^B366)-1)*(B356)/B370/(B367)</f>
        <v>6.8982996659853576E-5</v>
      </c>
      <c r="C399" s="66">
        <f t="shared" ref="C399:AC399" si="302">((1+C358)^C366)*C358/(((1+C358)^C366)-1)*(C356)/C370/(C367)</f>
        <v>6.8982996659853576E-5</v>
      </c>
      <c r="D399" s="66">
        <f t="shared" si="302"/>
        <v>6.8982996659853576E-5</v>
      </c>
      <c r="E399" s="66">
        <f t="shared" si="302"/>
        <v>6.8982996659853576E-5</v>
      </c>
      <c r="F399" s="66">
        <f t="shared" si="302"/>
        <v>6.8982996659853576E-5</v>
      </c>
      <c r="G399" s="66">
        <f t="shared" si="302"/>
        <v>6.8982996659853576E-5</v>
      </c>
      <c r="H399" s="66">
        <f t="shared" si="302"/>
        <v>6.8982996659853576E-5</v>
      </c>
      <c r="I399" s="66">
        <f t="shared" si="302"/>
        <v>6.8982996659853576E-5</v>
      </c>
      <c r="J399" s="66">
        <f t="shared" si="302"/>
        <v>6.8982996659853576E-5</v>
      </c>
      <c r="K399" s="66">
        <f t="shared" si="302"/>
        <v>6.8982996659853576E-5</v>
      </c>
      <c r="L399" s="66">
        <f t="shared" si="302"/>
        <v>6.8982996659853576E-5</v>
      </c>
      <c r="M399" s="66">
        <f t="shared" si="302"/>
        <v>6.8982996659853576E-5</v>
      </c>
      <c r="N399" s="66">
        <f t="shared" si="302"/>
        <v>6.8982996659853576E-5</v>
      </c>
      <c r="O399" s="66">
        <f t="shared" si="302"/>
        <v>6.8982996659853576E-5</v>
      </c>
      <c r="P399" s="66">
        <f t="shared" si="302"/>
        <v>6.8982996659853576E-5</v>
      </c>
      <c r="Q399" s="66">
        <f t="shared" si="302"/>
        <v>6.8982996659853576E-5</v>
      </c>
      <c r="R399" s="66">
        <f t="shared" si="302"/>
        <v>6.8982996659853576E-5</v>
      </c>
      <c r="S399" s="66">
        <f t="shared" si="302"/>
        <v>6.8982996659853576E-5</v>
      </c>
      <c r="T399" s="66">
        <f t="shared" si="302"/>
        <v>6.8982996659853576E-5</v>
      </c>
      <c r="U399" s="66">
        <f t="shared" si="302"/>
        <v>6.8982996659853576E-5</v>
      </c>
      <c r="V399" s="66">
        <f t="shared" si="302"/>
        <v>6.8982996659853576E-5</v>
      </c>
      <c r="W399" s="66">
        <f t="shared" si="302"/>
        <v>6.8982996659853576E-5</v>
      </c>
      <c r="X399" s="66">
        <f t="shared" si="302"/>
        <v>6.8982996659853576E-5</v>
      </c>
      <c r="Y399" s="66">
        <f t="shared" si="302"/>
        <v>6.8982996659853576E-5</v>
      </c>
      <c r="Z399" s="66">
        <f t="shared" si="302"/>
        <v>6.8982996659853576E-5</v>
      </c>
      <c r="AA399" s="66">
        <f t="shared" si="302"/>
        <v>6.8982996659853576E-5</v>
      </c>
      <c r="AB399" s="66">
        <f t="shared" si="302"/>
        <v>6.8982996659853576E-5</v>
      </c>
      <c r="AC399" s="66">
        <f t="shared" si="302"/>
        <v>6.8982996659853576E-5</v>
      </c>
    </row>
    <row r="400" spans="1:29" x14ac:dyDescent="0.25">
      <c r="A400" s="30" t="str">
        <f t="shared" si="299"/>
        <v>Residual value (costumization)</v>
      </c>
      <c r="B400" s="69">
        <f>((1+B358)^B366)*B358/(((1+B358)^B366)-1)*(B357)/B370/(B367)</f>
        <v>-6.8982996659853564E-6</v>
      </c>
      <c r="C400" s="69">
        <f t="shared" ref="C400:AC400" si="303">((1+C358)^C366)*C358/(((1+C358)^C366)-1)*(C357)/C370/(C367)</f>
        <v>-6.8982996659853564E-6</v>
      </c>
      <c r="D400" s="69">
        <f t="shared" si="303"/>
        <v>-6.8982996659853564E-6</v>
      </c>
      <c r="E400" s="69">
        <f t="shared" si="303"/>
        <v>-6.8982996659853564E-6</v>
      </c>
      <c r="F400" s="69">
        <f t="shared" si="303"/>
        <v>-6.8982996659853564E-6</v>
      </c>
      <c r="G400" s="69">
        <f t="shared" si="303"/>
        <v>-6.8982996659853564E-6</v>
      </c>
      <c r="H400" s="69">
        <f t="shared" si="303"/>
        <v>-6.8982996659853564E-6</v>
      </c>
      <c r="I400" s="69">
        <f t="shared" si="303"/>
        <v>-6.8982996659853564E-6</v>
      </c>
      <c r="J400" s="69">
        <f t="shared" si="303"/>
        <v>-6.8982996659853564E-6</v>
      </c>
      <c r="K400" s="69">
        <f t="shared" si="303"/>
        <v>-6.8982996659853564E-6</v>
      </c>
      <c r="L400" s="69">
        <f t="shared" si="303"/>
        <v>-6.8982996659853564E-6</v>
      </c>
      <c r="M400" s="69">
        <f t="shared" si="303"/>
        <v>-6.8982996659853564E-6</v>
      </c>
      <c r="N400" s="69">
        <f t="shared" si="303"/>
        <v>-6.8982996659853564E-6</v>
      </c>
      <c r="O400" s="69">
        <f t="shared" si="303"/>
        <v>-6.8982996659853564E-6</v>
      </c>
      <c r="P400" s="69">
        <f t="shared" si="303"/>
        <v>-6.8982996659853564E-6</v>
      </c>
      <c r="Q400" s="69">
        <f t="shared" si="303"/>
        <v>-6.8982996659853564E-6</v>
      </c>
      <c r="R400" s="69">
        <f t="shared" si="303"/>
        <v>-6.8982996659853564E-6</v>
      </c>
      <c r="S400" s="69">
        <f t="shared" si="303"/>
        <v>-6.8982996659853564E-6</v>
      </c>
      <c r="T400" s="69">
        <f t="shared" si="303"/>
        <v>-6.8982996659853564E-6</v>
      </c>
      <c r="U400" s="69">
        <f t="shared" si="303"/>
        <v>-6.8982996659853564E-6</v>
      </c>
      <c r="V400" s="69">
        <f t="shared" si="303"/>
        <v>-6.8982996659853564E-6</v>
      </c>
      <c r="W400" s="69">
        <f t="shared" si="303"/>
        <v>-6.8982996659853564E-6</v>
      </c>
      <c r="X400" s="69">
        <f t="shared" si="303"/>
        <v>-6.8982996659853564E-6</v>
      </c>
      <c r="Y400" s="69">
        <f t="shared" si="303"/>
        <v>-6.8982996659853564E-6</v>
      </c>
      <c r="Z400" s="69">
        <f t="shared" si="303"/>
        <v>-6.8982996659853564E-6</v>
      </c>
      <c r="AA400" s="69">
        <f t="shared" si="303"/>
        <v>-6.8982996659853564E-6</v>
      </c>
      <c r="AB400" s="69">
        <f t="shared" si="303"/>
        <v>-6.8982996659853564E-6</v>
      </c>
      <c r="AC400" s="69">
        <f t="shared" si="303"/>
        <v>-6.8982996659853564E-6</v>
      </c>
    </row>
    <row r="401" spans="1:29" x14ac:dyDescent="0.25">
      <c r="A401" s="30" t="str">
        <f t="shared" si="299"/>
        <v>Opex fix (admin, crew, insurance)</v>
      </c>
      <c r="B401" s="66">
        <f>B359/B370/(B367)</f>
        <v>1.0654632223259673E-3</v>
      </c>
      <c r="C401" s="66">
        <f t="shared" ref="C401:AC401" si="304">C359/C370/(C367)</f>
        <v>1.0654632223259673E-3</v>
      </c>
      <c r="D401" s="66">
        <f t="shared" si="304"/>
        <v>1.0654632223259673E-3</v>
      </c>
      <c r="E401" s="66">
        <f t="shared" si="304"/>
        <v>1.0654632223259673E-3</v>
      </c>
      <c r="F401" s="66">
        <f t="shared" si="304"/>
        <v>1.0654632223259673E-3</v>
      </c>
      <c r="G401" s="66">
        <f t="shared" si="304"/>
        <v>1.0654632223259673E-3</v>
      </c>
      <c r="H401" s="66">
        <f t="shared" si="304"/>
        <v>1.0654632223259673E-3</v>
      </c>
      <c r="I401" s="66">
        <f t="shared" si="304"/>
        <v>1.0654632223259673E-3</v>
      </c>
      <c r="J401" s="66">
        <f t="shared" si="304"/>
        <v>1.0654632223259673E-3</v>
      </c>
      <c r="K401" s="66">
        <f t="shared" si="304"/>
        <v>1.0654632223259673E-3</v>
      </c>
      <c r="L401" s="66">
        <f t="shared" si="304"/>
        <v>1.0654632223259673E-3</v>
      </c>
      <c r="M401" s="66">
        <f t="shared" si="304"/>
        <v>1.0654632223259673E-3</v>
      </c>
      <c r="N401" s="66">
        <f t="shared" si="304"/>
        <v>1.0654632223259673E-3</v>
      </c>
      <c r="O401" s="66">
        <f t="shared" si="304"/>
        <v>1.0654632223259673E-3</v>
      </c>
      <c r="P401" s="66">
        <f t="shared" si="304"/>
        <v>1.0654632223259673E-3</v>
      </c>
      <c r="Q401" s="66">
        <f t="shared" si="304"/>
        <v>1.0654632223259673E-3</v>
      </c>
      <c r="R401" s="66">
        <f t="shared" si="304"/>
        <v>1.0654632223259673E-3</v>
      </c>
      <c r="S401" s="66">
        <f t="shared" si="304"/>
        <v>1.0654632223259673E-3</v>
      </c>
      <c r="T401" s="66">
        <f t="shared" si="304"/>
        <v>1.0654632223259673E-3</v>
      </c>
      <c r="U401" s="66">
        <f t="shared" si="304"/>
        <v>1.0654632223259673E-3</v>
      </c>
      <c r="V401" s="66">
        <f t="shared" si="304"/>
        <v>1.0654632223259673E-3</v>
      </c>
      <c r="W401" s="66">
        <f t="shared" si="304"/>
        <v>1.0654632223259673E-3</v>
      </c>
      <c r="X401" s="66">
        <f t="shared" si="304"/>
        <v>1.0654632223259673E-3</v>
      </c>
      <c r="Y401" s="66">
        <f t="shared" si="304"/>
        <v>1.0654632223259673E-3</v>
      </c>
      <c r="Z401" s="66">
        <f t="shared" si="304"/>
        <v>1.0654632223259673E-3</v>
      </c>
      <c r="AA401" s="66">
        <f t="shared" si="304"/>
        <v>1.0654632223259673E-3</v>
      </c>
      <c r="AB401" s="66">
        <f t="shared" si="304"/>
        <v>1.0654632223259673E-3</v>
      </c>
      <c r="AC401" s="66">
        <f t="shared" si="304"/>
        <v>1.0654632223259673E-3</v>
      </c>
    </row>
    <row r="402" spans="1:29" x14ac:dyDescent="0.25">
      <c r="A402" s="30" t="str">
        <f t="shared" si="299"/>
        <v>Opex maintenance &amp; repair</v>
      </c>
      <c r="B402" s="66">
        <f>B360/B370/(B367)</f>
        <v>2.9878618113912231E-4</v>
      </c>
      <c r="C402" s="66">
        <f t="shared" ref="C402:AC402" si="305">C360/C370/(C367)</f>
        <v>2.9878618113912231E-4</v>
      </c>
      <c r="D402" s="66">
        <f t="shared" si="305"/>
        <v>2.9878618113912231E-4</v>
      </c>
      <c r="E402" s="66">
        <f t="shared" si="305"/>
        <v>2.9878618113912231E-4</v>
      </c>
      <c r="F402" s="66">
        <f t="shared" si="305"/>
        <v>2.9878618113912231E-4</v>
      </c>
      <c r="G402" s="66">
        <f t="shared" si="305"/>
        <v>2.9878618113912231E-4</v>
      </c>
      <c r="H402" s="66">
        <f t="shared" si="305"/>
        <v>2.9878618113912231E-4</v>
      </c>
      <c r="I402" s="66">
        <f t="shared" si="305"/>
        <v>2.9878618113912231E-4</v>
      </c>
      <c r="J402" s="66">
        <f t="shared" si="305"/>
        <v>2.9878618113912231E-4</v>
      </c>
      <c r="K402" s="66">
        <f t="shared" si="305"/>
        <v>2.9878618113912231E-4</v>
      </c>
      <c r="L402" s="66">
        <f t="shared" si="305"/>
        <v>2.9878618113912231E-4</v>
      </c>
      <c r="M402" s="66">
        <f t="shared" si="305"/>
        <v>2.9878618113912231E-4</v>
      </c>
      <c r="N402" s="66">
        <f t="shared" si="305"/>
        <v>2.9878618113912231E-4</v>
      </c>
      <c r="O402" s="66">
        <f t="shared" si="305"/>
        <v>2.9878618113912231E-4</v>
      </c>
      <c r="P402" s="66">
        <f t="shared" si="305"/>
        <v>2.9878618113912231E-4</v>
      </c>
      <c r="Q402" s="66">
        <f t="shared" si="305"/>
        <v>2.9878618113912231E-4</v>
      </c>
      <c r="R402" s="66">
        <f t="shared" si="305"/>
        <v>2.9878618113912231E-4</v>
      </c>
      <c r="S402" s="66">
        <f t="shared" si="305"/>
        <v>2.9878618113912231E-4</v>
      </c>
      <c r="T402" s="66">
        <f t="shared" si="305"/>
        <v>2.9878618113912231E-4</v>
      </c>
      <c r="U402" s="66">
        <f t="shared" si="305"/>
        <v>2.9878618113912231E-4</v>
      </c>
      <c r="V402" s="66">
        <f t="shared" si="305"/>
        <v>2.9878618113912231E-4</v>
      </c>
      <c r="W402" s="66">
        <f t="shared" si="305"/>
        <v>2.9878618113912231E-4</v>
      </c>
      <c r="X402" s="66">
        <f t="shared" si="305"/>
        <v>2.9878618113912231E-4</v>
      </c>
      <c r="Y402" s="66">
        <f t="shared" si="305"/>
        <v>2.9878618113912231E-4</v>
      </c>
      <c r="Z402" s="66">
        <f t="shared" si="305"/>
        <v>2.9878618113912231E-4</v>
      </c>
      <c r="AA402" s="66">
        <f t="shared" si="305"/>
        <v>2.9878618113912231E-4</v>
      </c>
      <c r="AB402" s="66">
        <f t="shared" si="305"/>
        <v>2.9878618113912231E-4</v>
      </c>
      <c r="AC402" s="66">
        <f t="shared" si="305"/>
        <v>2.9878618113912231E-4</v>
      </c>
    </row>
    <row r="403" spans="1:29" x14ac:dyDescent="0.25">
      <c r="A403" s="30" t="str">
        <f t="shared" si="299"/>
        <v>Opex var (mode-fees)</v>
      </c>
      <c r="B403" s="66">
        <f>B361*B370/B370/(B367)</f>
        <v>8.6011184229469056E-5</v>
      </c>
      <c r="C403" s="66">
        <f t="shared" ref="C403:AC403" si="306">C361*C370/C370/(C367)</f>
        <v>8.6011184229469056E-5</v>
      </c>
      <c r="D403" s="66">
        <f t="shared" si="306"/>
        <v>8.6011184229469056E-5</v>
      </c>
      <c r="E403" s="66">
        <f t="shared" si="306"/>
        <v>8.6011184229469056E-5</v>
      </c>
      <c r="F403" s="66">
        <f t="shared" si="306"/>
        <v>8.6011184229469056E-5</v>
      </c>
      <c r="G403" s="66">
        <f t="shared" si="306"/>
        <v>8.6011184229469056E-5</v>
      </c>
      <c r="H403" s="66">
        <f t="shared" si="306"/>
        <v>8.6011184229469056E-5</v>
      </c>
      <c r="I403" s="66">
        <f t="shared" si="306"/>
        <v>8.6011184229469056E-5</v>
      </c>
      <c r="J403" s="66">
        <f t="shared" si="306"/>
        <v>8.6011184229469056E-5</v>
      </c>
      <c r="K403" s="66">
        <f t="shared" si="306"/>
        <v>8.6011184229469056E-5</v>
      </c>
      <c r="L403" s="66">
        <f t="shared" si="306"/>
        <v>8.6011184229469056E-5</v>
      </c>
      <c r="M403" s="66">
        <f t="shared" si="306"/>
        <v>8.6011184229469056E-5</v>
      </c>
      <c r="N403" s="66">
        <f t="shared" si="306"/>
        <v>8.6011184229469056E-5</v>
      </c>
      <c r="O403" s="66">
        <f t="shared" si="306"/>
        <v>8.6011184229469056E-5</v>
      </c>
      <c r="P403" s="66">
        <f t="shared" si="306"/>
        <v>8.6011184229469056E-5</v>
      </c>
      <c r="Q403" s="66">
        <f t="shared" si="306"/>
        <v>8.6011184229469056E-5</v>
      </c>
      <c r="R403" s="66">
        <f t="shared" si="306"/>
        <v>8.6011184229469056E-5</v>
      </c>
      <c r="S403" s="66">
        <f t="shared" si="306"/>
        <v>8.6011184229469056E-5</v>
      </c>
      <c r="T403" s="66">
        <f t="shared" si="306"/>
        <v>8.6011184229469056E-5</v>
      </c>
      <c r="U403" s="66">
        <f t="shared" si="306"/>
        <v>8.6011184229469056E-5</v>
      </c>
      <c r="V403" s="66">
        <f t="shared" si="306"/>
        <v>8.6011184229469056E-5</v>
      </c>
      <c r="W403" s="66">
        <f t="shared" si="306"/>
        <v>8.6011184229469056E-5</v>
      </c>
      <c r="X403" s="66">
        <f t="shared" si="306"/>
        <v>8.6011184229469056E-5</v>
      </c>
      <c r="Y403" s="66">
        <f t="shared" si="306"/>
        <v>8.6011184229469056E-5</v>
      </c>
      <c r="Z403" s="66">
        <f t="shared" si="306"/>
        <v>8.6011184229469056E-5</v>
      </c>
      <c r="AA403" s="66">
        <f t="shared" si="306"/>
        <v>8.6011184229469056E-5</v>
      </c>
      <c r="AB403" s="66">
        <f t="shared" si="306"/>
        <v>8.6011184229469056E-5</v>
      </c>
      <c r="AC403" s="66">
        <f t="shared" si="306"/>
        <v>8.6011184229469056E-5</v>
      </c>
    </row>
    <row r="404" spans="1:29" x14ac:dyDescent="0.25">
      <c r="A404" s="30" t="str">
        <f t="shared" si="299"/>
        <v>Fuel Cost</v>
      </c>
      <c r="B404" s="66">
        <f>B362*B363*B370/B370/(B367)</f>
        <v>1.488952128048405E-2</v>
      </c>
      <c r="C404" s="66">
        <f t="shared" ref="C404:AC404" si="307">C362*C363*C370/C370/(C367)</f>
        <v>1.4866098305500716E-2</v>
      </c>
      <c r="D404" s="66">
        <f t="shared" si="307"/>
        <v>1.4832670024422423E-2</v>
      </c>
      <c r="E404" s="66">
        <f t="shared" si="307"/>
        <v>1.4785062147833752E-2</v>
      </c>
      <c r="F404" s="66">
        <f t="shared" si="307"/>
        <v>1.4717469009641201E-2</v>
      </c>
      <c r="G404" s="66">
        <f t="shared" si="307"/>
        <v>1.4621936518307392E-2</v>
      </c>
      <c r="H404" s="66">
        <f t="shared" si="307"/>
        <v>1.4487813085527412E-2</v>
      </c>
      <c r="I404" s="66">
        <f t="shared" si="307"/>
        <v>1.4301326668627849E-2</v>
      </c>
      <c r="J404" s="66">
        <f t="shared" si="307"/>
        <v>1.4045626539311773E-2</v>
      </c>
      <c r="K404" s="66">
        <f t="shared" si="307"/>
        <v>1.3701884087228548E-2</v>
      </c>
      <c r="L404" s="66">
        <f t="shared" si="307"/>
        <v>1.3252262520355275E-2</v>
      </c>
      <c r="M404" s="66">
        <f t="shared" si="307"/>
        <v>1.2685388823128101E-2</v>
      </c>
      <c r="N404" s="66">
        <f t="shared" si="307"/>
        <v>1.200381542764874E-2</v>
      </c>
      <c r="O404" s="66">
        <f t="shared" si="307"/>
        <v>1.1230632312432993E-2</v>
      </c>
      <c r="P404" s="66">
        <f t="shared" si="307"/>
        <v>1.0410311608786601E-2</v>
      </c>
      <c r="Q404" s="66">
        <f t="shared" si="307"/>
        <v>9.6002342132388233E-3</v>
      </c>
      <c r="R404" s="66">
        <f t="shared" si="307"/>
        <v>8.8553611851078066E-3</v>
      </c>
      <c r="S404" s="66">
        <f t="shared" si="307"/>
        <v>8.2142005043122825E-3</v>
      </c>
      <c r="T404" s="66">
        <f t="shared" si="307"/>
        <v>7.6930878813720772E-3</v>
      </c>
      <c r="U404" s="66">
        <f t="shared" si="307"/>
        <v>7.2891946769009499E-3</v>
      </c>
      <c r="V404" s="66">
        <f t="shared" si="307"/>
        <v>6.9878082947468258E-3</v>
      </c>
      <c r="W404" s="66">
        <f t="shared" si="307"/>
        <v>6.7694439106981939E-3</v>
      </c>
      <c r="X404" s="66">
        <f t="shared" si="307"/>
        <v>6.6147242516659249E-3</v>
      </c>
      <c r="Y404" s="66">
        <f t="shared" si="307"/>
        <v>6.5068936960996871E-3</v>
      </c>
      <c r="Z404" s="66">
        <f t="shared" si="307"/>
        <v>6.4326333123925616E-3</v>
      </c>
      <c r="AA404" s="66">
        <f t="shared" si="307"/>
        <v>6.3819226237195239E-3</v>
      </c>
      <c r="AB404" s="66">
        <f t="shared" si="307"/>
        <v>6.3474972802121318E-3</v>
      </c>
      <c r="AC404" s="66">
        <f t="shared" si="307"/>
        <v>6.3242223149148858E-3</v>
      </c>
    </row>
    <row r="405" spans="1:29" x14ac:dyDescent="0.25">
      <c r="A405" s="59" t="str">
        <f>A368</f>
        <v>Market failure (av. utilization)</v>
      </c>
      <c r="B405" s="66">
        <f t="shared" ref="B405:AC405" si="308">B394/B368-B394/B367</f>
        <v>8.7731442298813155E-3</v>
      </c>
      <c r="C405" s="66">
        <f t="shared" si="308"/>
        <v>8.7616243609631786E-3</v>
      </c>
      <c r="D405" s="66">
        <f t="shared" si="308"/>
        <v>8.7451815420880388E-3</v>
      </c>
      <c r="E405" s="66">
        <f t="shared" si="308"/>
        <v>8.7217594652708556E-3</v>
      </c>
      <c r="F405" s="66">
        <f t="shared" si="308"/>
        <v>8.6884954539387521E-3</v>
      </c>
      <c r="G405" s="66">
        <f t="shared" si="308"/>
        <v>8.6414617090462414E-3</v>
      </c>
      <c r="H405" s="66">
        <f t="shared" si="308"/>
        <v>8.5753862454738955E-3</v>
      </c>
      <c r="I405" s="66">
        <f t="shared" si="308"/>
        <v>8.4834272090318873E-3</v>
      </c>
      <c r="J405" s="66">
        <f t="shared" si="308"/>
        <v>8.357160418671343E-3</v>
      </c>
      <c r="K405" s="66">
        <f t="shared" si="308"/>
        <v>8.1870633777592489E-3</v>
      </c>
      <c r="L405" s="66">
        <f t="shared" si="308"/>
        <v>7.9638868491165894E-3</v>
      </c>
      <c r="M405" s="66">
        <f t="shared" si="308"/>
        <v>7.6812334247297262E-3</v>
      </c>
      <c r="N405" s="66">
        <f t="shared" si="308"/>
        <v>7.3391394443240547E-3</v>
      </c>
      <c r="O405" s="66">
        <f t="shared" si="308"/>
        <v>6.9473753397535157E-3</v>
      </c>
      <c r="P405" s="66">
        <f t="shared" si="308"/>
        <v>6.5261900762147752E-3</v>
      </c>
      <c r="Q405" s="66">
        <f t="shared" si="308"/>
        <v>6.1027958037488898E-3</v>
      </c>
      <c r="R405" s="66">
        <f t="shared" si="308"/>
        <v>5.704569726227203E-3</v>
      </c>
      <c r="S405" s="66">
        <f t="shared" si="308"/>
        <v>5.3524928989458053E-3</v>
      </c>
      <c r="T405" s="66">
        <f t="shared" si="308"/>
        <v>5.0579001509262721E-3</v>
      </c>
      <c r="U405" s="66">
        <f t="shared" si="308"/>
        <v>4.8228963521871112E-3</v>
      </c>
      <c r="V405" s="66">
        <f t="shared" si="308"/>
        <v>4.6428779183953009E-3</v>
      </c>
      <c r="W405" s="66">
        <f t="shared" si="308"/>
        <v>4.5095352196094767E-3</v>
      </c>
      <c r="X405" s="66">
        <f t="shared" si="308"/>
        <v>4.4133897905939152E-3</v>
      </c>
      <c r="Y405" s="66">
        <f t="shared" si="308"/>
        <v>4.345492037560959E-3</v>
      </c>
      <c r="Z405" s="66">
        <f t="shared" si="308"/>
        <v>4.2982811398431173E-3</v>
      </c>
      <c r="AA405" s="66">
        <f t="shared" si="308"/>
        <v>4.2658214484238566E-3</v>
      </c>
      <c r="AB405" s="66">
        <f t="shared" si="308"/>
        <v>4.2436810344249135E-3</v>
      </c>
      <c r="AC405" s="66">
        <f t="shared" si="308"/>
        <v>4.2286628988830108E-3</v>
      </c>
    </row>
    <row r="406" spans="1:29" x14ac:dyDescent="0.25">
      <c r="A406" s="59" t="str">
        <f>A369</f>
        <v>Payload loss (fuel)</v>
      </c>
      <c r="B406" s="66">
        <f>B394/(B367-B369)-B394/B367</f>
        <v>1.6206407385322974E-3</v>
      </c>
      <c r="C406" s="66">
        <f t="shared" ref="C406:AC406" si="309">C394/(C367-C369)-C394/C367</f>
        <v>1.6183037072867341E-3</v>
      </c>
      <c r="D406" s="66">
        <f t="shared" si="309"/>
        <v>1.6149680564283946E-3</v>
      </c>
      <c r="E406" s="66">
        <f t="shared" si="309"/>
        <v>1.6102167010453722E-3</v>
      </c>
      <c r="F406" s="66">
        <f t="shared" si="309"/>
        <v>1.6034689654018455E-3</v>
      </c>
      <c r="G406" s="66">
        <f t="shared" si="309"/>
        <v>1.5939279731193301E-3</v>
      </c>
      <c r="H406" s="66">
        <f t="shared" si="309"/>
        <v>1.5805236783009574E-3</v>
      </c>
      <c r="I406" s="66">
        <f t="shared" si="309"/>
        <v>1.561866155543979E-3</v>
      </c>
      <c r="J406" s="66">
        <f t="shared" si="309"/>
        <v>1.5362409215326188E-3</v>
      </c>
      <c r="K406" s="66">
        <f t="shared" si="309"/>
        <v>1.5017026613892599E-3</v>
      </c>
      <c r="L406" s="66">
        <f t="shared" si="309"/>
        <v>1.4563454214076461E-3</v>
      </c>
      <c r="M406" s="66">
        <f t="shared" si="309"/>
        <v>1.398813936065512E-3</v>
      </c>
      <c r="N406" s="66">
        <f t="shared" si="309"/>
        <v>1.3290189974832396E-3</v>
      </c>
      <c r="O406" s="66">
        <f t="shared" si="309"/>
        <v>1.2488085133598552E-3</v>
      </c>
      <c r="P406" s="66">
        <f t="shared" si="309"/>
        <v>1.1621506361316394E-3</v>
      </c>
      <c r="Q406" s="66">
        <f t="shared" si="309"/>
        <v>1.074488573919662E-3</v>
      </c>
      <c r="R406" s="66">
        <f t="shared" si="309"/>
        <v>9.9143381138345685E-4</v>
      </c>
      <c r="S406" s="66">
        <f t="shared" si="309"/>
        <v>9.1745139310821233E-4</v>
      </c>
      <c r="T406" s="66">
        <f t="shared" si="309"/>
        <v>8.551299416775706E-4</v>
      </c>
      <c r="U406" s="66">
        <f t="shared" si="309"/>
        <v>8.0515264119832008E-4</v>
      </c>
      <c r="V406" s="66">
        <f t="shared" si="309"/>
        <v>7.667317030421502E-4</v>
      </c>
      <c r="W406" s="66">
        <f t="shared" si="309"/>
        <v>7.3821171263445569E-4</v>
      </c>
      <c r="X406" s="66">
        <f t="shared" si="309"/>
        <v>7.1762434163597823E-4</v>
      </c>
      <c r="Y406" s="66">
        <f t="shared" si="309"/>
        <v>7.0307788330675573E-4</v>
      </c>
      <c r="Z406" s="66">
        <f t="shared" si="309"/>
        <v>6.9296127857975016E-4</v>
      </c>
      <c r="AA406" s="66">
        <f t="shared" si="309"/>
        <v>6.8600523749454828E-4</v>
      </c>
      <c r="AB406" s="66">
        <f t="shared" si="309"/>
        <v>6.8126061280285831E-4</v>
      </c>
      <c r="AC406" s="66">
        <f t="shared" si="309"/>
        <v>6.7804234740693678E-4</v>
      </c>
    </row>
    <row r="407" spans="1:29" ht="15.75" thickBot="1" x14ac:dyDescent="0.3">
      <c r="A407" s="59" t="str">
        <f>A344</f>
        <v>Emission Cost</v>
      </c>
      <c r="B407" s="68">
        <f>B364*B370/B370/(B367)</f>
        <v>2.6311642110997044E-4</v>
      </c>
      <c r="C407" s="68">
        <f t="shared" ref="C407:AC407" si="310">C364*C370/C370/(C367)</f>
        <v>2.6286587016831347E-4</v>
      </c>
      <c r="D407" s="68">
        <f t="shared" si="310"/>
        <v>2.625072120759037E-4</v>
      </c>
      <c r="E407" s="68">
        <f t="shared" si="310"/>
        <v>2.6199412645274697E-4</v>
      </c>
      <c r="F407" s="68">
        <f t="shared" si="310"/>
        <v>2.6126081387929228E-4</v>
      </c>
      <c r="G407" s="68">
        <f t="shared" si="310"/>
        <v>2.6021421836155354E-4</v>
      </c>
      <c r="H407" s="68">
        <f t="shared" si="310"/>
        <v>2.587236095863079E-4</v>
      </c>
      <c r="I407" s="68">
        <f t="shared" si="310"/>
        <v>2.566071588068925E-4</v>
      </c>
      <c r="J407" s="68">
        <f t="shared" si="310"/>
        <v>2.5361575900812355E-4</v>
      </c>
      <c r="K407" s="68">
        <f t="shared" si="310"/>
        <v>2.4941588765997478E-4</v>
      </c>
      <c r="L407" s="68">
        <f t="shared" si="310"/>
        <v>2.4357654188553792E-4</v>
      </c>
      <c r="M407" s="68">
        <f t="shared" si="310"/>
        <v>2.3557101727914492E-4</v>
      </c>
      <c r="N407" s="68">
        <f t="shared" si="310"/>
        <v>2.2481245004548822E-4</v>
      </c>
      <c r="O407" s="68">
        <f t="shared" si="310"/>
        <v>2.1074892426876276E-4</v>
      </c>
      <c r="P407" s="68">
        <f t="shared" si="310"/>
        <v>1.9303829059735733E-4</v>
      </c>
      <c r="Q407" s="68">
        <f t="shared" si="310"/>
        <v>1.7178603857549002E-4</v>
      </c>
      <c r="R407" s="68">
        <f t="shared" si="310"/>
        <v>1.4775455190070181E-4</v>
      </c>
      <c r="S407" s="68">
        <f t="shared" si="310"/>
        <v>1.2238461001683673E-4</v>
      </c>
      <c r="T407" s="68">
        <f t="shared" si="310"/>
        <v>9.7513901136100757E-5</v>
      </c>
      <c r="U407" s="68">
        <f t="shared" si="310"/>
        <v>7.4873582914375649E-5</v>
      </c>
      <c r="V407" s="68">
        <f t="shared" si="310"/>
        <v>5.5632536469223359E-5</v>
      </c>
      <c r="W407" s="68">
        <f t="shared" si="310"/>
        <v>4.0223904142840252E-5</v>
      </c>
      <c r="X407" s="68">
        <f t="shared" si="310"/>
        <v>2.8466433793904391E-5</v>
      </c>
      <c r="Y407" s="68">
        <f t="shared" si="310"/>
        <v>1.9823750136951439E-5</v>
      </c>
      <c r="Z407" s="68">
        <f t="shared" si="310"/>
        <v>1.3644356353033646E-5</v>
      </c>
      <c r="AA407" s="68">
        <f t="shared" si="310"/>
        <v>9.3135138812216792E-6</v>
      </c>
      <c r="AB407" s="68">
        <f t="shared" si="310"/>
        <v>6.3206355388177748E-6</v>
      </c>
      <c r="AC407" s="68">
        <f t="shared" si="310"/>
        <v>4.2724597482624145E-6</v>
      </c>
    </row>
    <row r="408" spans="1:29" ht="15.75" thickBot="1" x14ac:dyDescent="0.3">
      <c r="A408" s="31" t="s">
        <v>210</v>
      </c>
      <c r="B408" s="67">
        <f>B397+B398+B399+B400+B401+B402+B403+B404+B405+B406+B407</f>
        <v>2.902291985757945E-2</v>
      </c>
      <c r="C408" s="67">
        <f t="shared" ref="C408:AC408" si="311">C397+C398+C399+C400+C401+C402+C403+C404+C405+C406+C407</f>
        <v>2.8984583235964714E-2</v>
      </c>
      <c r="D408" s="67">
        <f t="shared" si="311"/>
        <v>2.8929863776121559E-2</v>
      </c>
      <c r="E408" s="67">
        <f t="shared" si="311"/>
        <v>2.8851918430684832E-2</v>
      </c>
      <c r="F408" s="67">
        <f t="shared" si="311"/>
        <v>2.8741220659628485E-2</v>
      </c>
      <c r="G408" s="67">
        <f t="shared" si="311"/>
        <v>2.8584699214556874E-2</v>
      </c>
      <c r="H408" s="67">
        <f t="shared" si="311"/>
        <v>2.836480909607492E-2</v>
      </c>
      <c r="I408" s="67">
        <f t="shared" si="311"/>
        <v>2.8058779584436665E-2</v>
      </c>
      <c r="J408" s="67">
        <f t="shared" si="311"/>
        <v>2.7638570630548601E-2</v>
      </c>
      <c r="K408" s="67">
        <f t="shared" si="311"/>
        <v>2.7072479117554945E-2</v>
      </c>
      <c r="L408" s="67">
        <f t="shared" si="311"/>
        <v>2.6329695225565025E-2</v>
      </c>
      <c r="M408" s="67">
        <f t="shared" si="311"/>
        <v>2.5388871789013941E-2</v>
      </c>
      <c r="N408" s="67">
        <f t="shared" si="311"/>
        <v>2.4250033161663943E-2</v>
      </c>
      <c r="O408" s="67">
        <f t="shared" si="311"/>
        <v>2.2945559850757628E-2</v>
      </c>
      <c r="P408" s="67">
        <f t="shared" si="311"/>
        <v>2.1542698024970851E-2</v>
      </c>
      <c r="Q408" s="67">
        <f t="shared" si="311"/>
        <v>2.0131928861302981E-2</v>
      </c>
      <c r="R408" s="67">
        <f t="shared" si="311"/>
        <v>1.8804417606511498E-2</v>
      </c>
      <c r="S408" s="67">
        <f t="shared" si="311"/>
        <v>1.7630195102981885E-2</v>
      </c>
      <c r="T408" s="67">
        <f t="shared" si="311"/>
        <v>1.6647271313990211E-2</v>
      </c>
      <c r="U408" s="67">
        <f t="shared" si="311"/>
        <v>1.5862907142451078E-2</v>
      </c>
      <c r="V408" s="67">
        <f t="shared" si="311"/>
        <v>1.5261928598695499E-2</v>
      </c>
      <c r="W408" s="67">
        <f t="shared" si="311"/>
        <v>1.4816712674582103E-2</v>
      </c>
      <c r="X408" s="67">
        <f t="shared" si="311"/>
        <v>1.4495670837909997E-2</v>
      </c>
      <c r="Y408" s="67">
        <f t="shared" si="311"/>
        <v>1.4268943901352785E-2</v>
      </c>
      <c r="Z408" s="67">
        <f t="shared" si="311"/>
        <v>1.4111293241257527E-2</v>
      </c>
      <c r="AA408" s="67">
        <f t="shared" si="311"/>
        <v>1.4002900664487129E-2</v>
      </c>
      <c r="AB408" s="67">
        <f t="shared" si="311"/>
        <v>1.3928967246048748E-2</v>
      </c>
      <c r="AC408" s="67">
        <f t="shared" si="311"/>
        <v>1.3878817307084377E-2</v>
      </c>
    </row>
    <row r="410" spans="1:29" x14ac:dyDescent="0.25">
      <c r="B410" s="40"/>
    </row>
  </sheetData>
  <conditionalFormatting sqref="Q11:AR20 Q22:AR27">
    <cfRule type="colorScale" priority="40">
      <colorScale>
        <cfvo type="min"/>
        <cfvo type="max"/>
        <color rgb="FFFF7128"/>
        <color rgb="FFFFEF9C"/>
      </colorScale>
    </cfRule>
    <cfRule type="colorScale" priority="36">
      <colorScale>
        <cfvo type="min"/>
        <cfvo type="max"/>
        <color rgb="FFFF7128"/>
        <color rgb="FFFFEF9C"/>
      </colorScale>
    </cfRule>
    <cfRule type="colorScale" priority="37">
      <colorScale>
        <cfvo type="min"/>
        <cfvo type="percentile" val="50"/>
        <cfvo type="max"/>
        <color rgb="FFF8696B"/>
        <color rgb="FFFFEB84"/>
        <color rgb="FF63BE7B"/>
      </colorScale>
    </cfRule>
    <cfRule type="colorScale" priority="38">
      <colorScale>
        <cfvo type="min"/>
        <cfvo type="percentile" val="50"/>
        <cfvo type="max"/>
        <color theme="5" tint="-0.249977111117893"/>
        <color theme="7" tint="0.79998168889431442"/>
        <color theme="7" tint="0.39997558519241921"/>
      </colorScale>
    </cfRule>
    <cfRule type="colorScale" priority="39">
      <colorScale>
        <cfvo type="min"/>
        <cfvo type="percentile" val="50"/>
        <cfvo type="max"/>
        <color rgb="FFF8696B"/>
        <color rgb="FFFFEB84"/>
        <color rgb="FF63BE7B"/>
      </colorScale>
    </cfRule>
  </conditionalFormatting>
  <conditionalFormatting sqref="Q21:AR21">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117:AR126 Q128:AR133">
    <cfRule type="colorScale" priority="31">
      <colorScale>
        <cfvo type="min"/>
        <cfvo type="max"/>
        <color rgb="FFFF7128"/>
        <color rgb="FFFFEF9C"/>
      </colorScale>
    </cfRule>
    <cfRule type="colorScale" priority="32">
      <colorScale>
        <cfvo type="min"/>
        <cfvo type="percentile" val="50"/>
        <cfvo type="max"/>
        <color rgb="FFF8696B"/>
        <color rgb="FFFFEB84"/>
        <color rgb="FF63BE7B"/>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127:AR127">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225:AR234 Q236:AR241">
    <cfRule type="colorScale" priority="29">
      <colorScale>
        <cfvo type="min"/>
        <cfvo type="percentile" val="50"/>
        <cfvo type="max"/>
        <color rgb="FFF8696B"/>
        <color rgb="FFFFEB84"/>
        <color rgb="FF63BE7B"/>
      </colorScale>
    </cfRule>
    <cfRule type="colorScale" priority="28">
      <colorScale>
        <cfvo type="min"/>
        <cfvo type="percentile" val="50"/>
        <cfvo type="max"/>
        <color theme="5" tint="-0.249977111117893"/>
        <color theme="7" tint="0.79998168889431442"/>
        <color theme="7" tint="0.39997558519241921"/>
      </colorScale>
    </cfRule>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30">
      <colorScale>
        <cfvo type="min"/>
        <cfvo type="max"/>
        <color rgb="FFFF7128"/>
        <color rgb="FFFFEF9C"/>
      </colorScale>
    </cfRule>
  </conditionalFormatting>
  <conditionalFormatting sqref="Q235:AR235">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334:AR343 Q345:AR350">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344:AR344">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1">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E10634-C2AE-458B-BBD3-2592A74EF315}">
  <sheetPr>
    <tabColor theme="5"/>
  </sheetPr>
  <dimension ref="A1:AR410"/>
  <sheetViews>
    <sheetView topLeftCell="A334" zoomScale="80" zoomScaleNormal="80" workbookViewId="0">
      <selection activeCell="A341" sqref="A341"/>
    </sheetView>
  </sheetViews>
  <sheetFormatPr defaultColWidth="9.140625" defaultRowHeight="15" x14ac:dyDescent="0.25"/>
  <cols>
    <col min="1" max="1" width="38.5703125" style="4" customWidth="1"/>
    <col min="2" max="4" width="14.85546875" style="4" bestFit="1" customWidth="1"/>
    <col min="5" max="5" width="28" style="4" bestFit="1" customWidth="1"/>
    <col min="6" max="11" width="14.85546875" style="4" bestFit="1" customWidth="1"/>
    <col min="12" max="12" width="24.42578125" style="4" bestFit="1" customWidth="1"/>
    <col min="13" max="29" width="14.85546875" style="4" bestFit="1" customWidth="1"/>
    <col min="30" max="44" width="13.5703125" style="4" bestFit="1" customWidth="1"/>
    <col min="45" max="16384" width="9.140625" style="4"/>
  </cols>
  <sheetData>
    <row r="1" spans="1:44" s="3" customFormat="1" ht="21" x14ac:dyDescent="0.35">
      <c r="A1" s="2" t="str">
        <f>'Parameter Input'!A155</f>
        <v>Short-sea: Dry bulk</v>
      </c>
    </row>
    <row r="2" spans="1:44" s="3" customFormat="1" ht="21" x14ac:dyDescent="0.35">
      <c r="A2" s="2" t="s">
        <v>187</v>
      </c>
    </row>
    <row r="3" spans="1:44" x14ac:dyDescent="0.25">
      <c r="A3" s="33" t="s">
        <v>195</v>
      </c>
    </row>
    <row r="4" spans="1:44" x14ac:dyDescent="0.25">
      <c r="A4" s="33" t="s">
        <v>196</v>
      </c>
    </row>
    <row r="5" spans="1:44" ht="15.75" thickBot="1" x14ac:dyDescent="0.3">
      <c r="A5" s="34" t="s">
        <v>197</v>
      </c>
      <c r="B5" s="34"/>
    </row>
    <row r="6" spans="1:44" ht="15.75" thickBot="1" x14ac:dyDescent="0.3">
      <c r="A6" s="39" t="s">
        <v>198</v>
      </c>
      <c r="B6" s="35"/>
    </row>
    <row r="7" spans="1:44" ht="15.75" thickBot="1" x14ac:dyDescent="0.3">
      <c r="A7" s="38" t="s">
        <v>199</v>
      </c>
      <c r="B7" s="36"/>
    </row>
    <row r="8" spans="1:44" ht="15.75" thickBot="1" x14ac:dyDescent="0.3"/>
    <row r="9" spans="1:44"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18</v>
      </c>
      <c r="B11" s="41">
        <f>'Parameter Input'!$L$205</f>
        <v>19500000</v>
      </c>
      <c r="C11" s="42">
        <f>'Parameter Input'!$M$205</f>
        <v>15000000</v>
      </c>
      <c r="D11" s="1" t="s">
        <v>15</v>
      </c>
      <c r="L11" s="51">
        <f>'Parameter Input'!$O$205</f>
        <v>17</v>
      </c>
      <c r="M11" s="52">
        <v>0</v>
      </c>
      <c r="N11" s="52">
        <v>1</v>
      </c>
      <c r="O11" s="52">
        <f>'Parameter Input'!$P$205</f>
        <v>0.9</v>
      </c>
      <c r="P11" s="53">
        <f>'Parameter Input'!$Q$205</f>
        <v>0.4</v>
      </c>
      <c r="Q11" s="4">
        <f t="shared" ref="Q11:AR20" si="0">$N11+($M11-$N11)*((1/(1+EXP(-$P11*(Q$9-$L11)))^$O11))</f>
        <v>0.99780374543478534</v>
      </c>
      <c r="R11" s="4">
        <f t="shared" si="0"/>
        <v>0.99685359315256394</v>
      </c>
      <c r="S11" s="4">
        <f t="shared" si="0"/>
        <v>0.99549347132349975</v>
      </c>
      <c r="T11" s="4">
        <f t="shared" si="0"/>
        <v>0.99354772139898062</v>
      </c>
      <c r="U11" s="4">
        <f t="shared" si="0"/>
        <v>0.99076681540580536</v>
      </c>
      <c r="V11" s="4">
        <f t="shared" si="0"/>
        <v>0.9867978615748374</v>
      </c>
      <c r="W11" s="4">
        <f t="shared" si="0"/>
        <v>0.98114509762858249</v>
      </c>
      <c r="X11" s="4">
        <f t="shared" si="0"/>
        <v>0.97311898315872036</v>
      </c>
      <c r="Y11" s="4">
        <f t="shared" si="0"/>
        <v>0.96177484161592774</v>
      </c>
      <c r="Z11" s="4">
        <f t="shared" si="0"/>
        <v>0.94584787155511363</v>
      </c>
      <c r="AA11" s="4">
        <f t="shared" si="0"/>
        <v>0.92370360150141495</v>
      </c>
      <c r="AB11" s="4">
        <f t="shared" si="0"/>
        <v>0.89334463567658451</v>
      </c>
      <c r="AC11" s="4">
        <f t="shared" si="0"/>
        <v>0.85254543874327005</v>
      </c>
      <c r="AD11" s="4">
        <f t="shared" si="0"/>
        <v>0.79921300652623883</v>
      </c>
      <c r="AE11" s="4">
        <f t="shared" si="0"/>
        <v>0.73204982249993378</v>
      </c>
      <c r="AF11" s="4">
        <f t="shared" si="0"/>
        <v>0.65145592958786691</v>
      </c>
      <c r="AG11" s="4">
        <f t="shared" si="0"/>
        <v>0.56032247880849573</v>
      </c>
      <c r="AH11" s="4">
        <f t="shared" si="0"/>
        <v>0.46411326873185343</v>
      </c>
      <c r="AI11" s="4">
        <f t="shared" si="0"/>
        <v>0.36979727595523937</v>
      </c>
      <c r="AJ11" s="4">
        <f t="shared" si="0"/>
        <v>0.28393948637231203</v>
      </c>
      <c r="AK11" s="4">
        <f t="shared" si="0"/>
        <v>0.21097259161117732</v>
      </c>
      <c r="AL11" s="4">
        <f t="shared" si="0"/>
        <v>0.15253917653798199</v>
      </c>
      <c r="AM11" s="4">
        <f t="shared" si="0"/>
        <v>0.10795188737709993</v>
      </c>
      <c r="AN11" s="4">
        <f t="shared" si="0"/>
        <v>7.5176653938091809E-2</v>
      </c>
      <c r="AO11" s="4">
        <f t="shared" si="0"/>
        <v>5.1742836177502194E-2</v>
      </c>
      <c r="AP11" s="4">
        <f t="shared" si="0"/>
        <v>3.5319190625345942E-2</v>
      </c>
      <c r="AQ11" s="4">
        <f t="shared" si="0"/>
        <v>2.3969442072658165E-2</v>
      </c>
      <c r="AR11" s="4">
        <f t="shared" si="0"/>
        <v>1.6202243558389728E-2</v>
      </c>
    </row>
    <row r="12" spans="1:44" x14ac:dyDescent="0.25">
      <c r="A12" s="24" t="s">
        <v>28</v>
      </c>
      <c r="B12" s="60">
        <f>'Parameter Input'!$L$206</f>
        <v>-975000</v>
      </c>
      <c r="C12" s="61">
        <f>'Parameter Input'!$M$206</f>
        <v>-1500000</v>
      </c>
      <c r="D12" s="1" t="s">
        <v>15</v>
      </c>
      <c r="L12" s="54">
        <f>'Parameter Input'!$O$206</f>
        <v>17</v>
      </c>
      <c r="M12" s="37">
        <v>0</v>
      </c>
      <c r="N12" s="37">
        <v>1</v>
      </c>
      <c r="O12" s="37">
        <f>'Parameter Input'!$P$206</f>
        <v>0.9</v>
      </c>
      <c r="P12" s="55">
        <f>'Parameter Input'!$Q$206</f>
        <v>0.4</v>
      </c>
      <c r="Q12" s="4">
        <f t="shared" si="0"/>
        <v>0.99780374543478534</v>
      </c>
      <c r="R12" s="4">
        <f t="shared" si="0"/>
        <v>0.99685359315256394</v>
      </c>
      <c r="S12" s="4">
        <f t="shared" si="0"/>
        <v>0.99549347132349975</v>
      </c>
      <c r="T12" s="4">
        <f t="shared" si="0"/>
        <v>0.99354772139898062</v>
      </c>
      <c r="U12" s="4">
        <f t="shared" si="0"/>
        <v>0.99076681540580536</v>
      </c>
      <c r="V12" s="4">
        <f t="shared" si="0"/>
        <v>0.9867978615748374</v>
      </c>
      <c r="W12" s="4">
        <f t="shared" si="0"/>
        <v>0.98114509762858249</v>
      </c>
      <c r="X12" s="4">
        <f t="shared" si="0"/>
        <v>0.97311898315872036</v>
      </c>
      <c r="Y12" s="4">
        <f t="shared" si="0"/>
        <v>0.96177484161592774</v>
      </c>
      <c r="Z12" s="4">
        <f t="shared" si="0"/>
        <v>0.94584787155511363</v>
      </c>
      <c r="AA12" s="4">
        <f t="shared" si="0"/>
        <v>0.92370360150141495</v>
      </c>
      <c r="AB12" s="4">
        <f t="shared" si="0"/>
        <v>0.89334463567658451</v>
      </c>
      <c r="AC12" s="4">
        <f t="shared" si="0"/>
        <v>0.85254543874327005</v>
      </c>
      <c r="AD12" s="4">
        <f t="shared" si="0"/>
        <v>0.79921300652623883</v>
      </c>
      <c r="AE12" s="4">
        <f t="shared" si="0"/>
        <v>0.73204982249993378</v>
      </c>
      <c r="AF12" s="4">
        <f t="shared" si="0"/>
        <v>0.65145592958786691</v>
      </c>
      <c r="AG12" s="4">
        <f t="shared" si="0"/>
        <v>0.56032247880849573</v>
      </c>
      <c r="AH12" s="4">
        <f t="shared" si="0"/>
        <v>0.46411326873185343</v>
      </c>
      <c r="AI12" s="4">
        <f t="shared" si="0"/>
        <v>0.36979727595523937</v>
      </c>
      <c r="AJ12" s="4">
        <f t="shared" si="0"/>
        <v>0.28393948637231203</v>
      </c>
      <c r="AK12" s="4">
        <f t="shared" si="0"/>
        <v>0.21097259161117732</v>
      </c>
      <c r="AL12" s="4">
        <f t="shared" si="0"/>
        <v>0.15253917653798199</v>
      </c>
      <c r="AM12" s="4">
        <f t="shared" si="0"/>
        <v>0.10795188737709993</v>
      </c>
      <c r="AN12" s="4">
        <f t="shared" si="0"/>
        <v>7.5176653938091809E-2</v>
      </c>
      <c r="AO12" s="4">
        <f t="shared" si="0"/>
        <v>5.1742836177502194E-2</v>
      </c>
      <c r="AP12" s="4">
        <f t="shared" si="0"/>
        <v>3.5319190625345942E-2</v>
      </c>
      <c r="AQ12" s="4">
        <f t="shared" si="0"/>
        <v>2.3969442072658165E-2</v>
      </c>
      <c r="AR12" s="4">
        <f t="shared" si="0"/>
        <v>1.6202243558389728E-2</v>
      </c>
    </row>
    <row r="13" spans="1:44" x14ac:dyDescent="0.25">
      <c r="A13" s="24" t="s">
        <v>14</v>
      </c>
      <c r="B13" s="60">
        <f>'Parameter Input'!B156</f>
        <v>1000000</v>
      </c>
      <c r="C13" s="61">
        <f>'Parameter Input'!C156</f>
        <v>1000000</v>
      </c>
      <c r="D13" s="1" t="s">
        <v>15</v>
      </c>
      <c r="L13" s="54">
        <f>'Parameter Input'!E156</f>
        <v>17</v>
      </c>
      <c r="M13" s="37">
        <v>0</v>
      </c>
      <c r="N13" s="37">
        <v>1</v>
      </c>
      <c r="O13" s="37">
        <f>'Parameter Input'!F156</f>
        <v>0.9</v>
      </c>
      <c r="P13" s="55">
        <f>'Parameter Input'!G156</f>
        <v>0.4</v>
      </c>
      <c r="Q13" s="4">
        <f t="shared" si="0"/>
        <v>0.99780374543478534</v>
      </c>
      <c r="R13" s="4">
        <f t="shared" si="0"/>
        <v>0.99685359315256394</v>
      </c>
      <c r="S13" s="4">
        <f t="shared" si="0"/>
        <v>0.99549347132349975</v>
      </c>
      <c r="T13" s="4">
        <f t="shared" si="0"/>
        <v>0.99354772139898062</v>
      </c>
      <c r="U13" s="4">
        <f t="shared" si="0"/>
        <v>0.99076681540580536</v>
      </c>
      <c r="V13" s="4">
        <f t="shared" si="0"/>
        <v>0.9867978615748374</v>
      </c>
      <c r="W13" s="4">
        <f t="shared" si="0"/>
        <v>0.98114509762858249</v>
      </c>
      <c r="X13" s="4">
        <f t="shared" si="0"/>
        <v>0.97311898315872036</v>
      </c>
      <c r="Y13" s="4">
        <f t="shared" si="0"/>
        <v>0.96177484161592774</v>
      </c>
      <c r="Z13" s="4">
        <f t="shared" si="0"/>
        <v>0.94584787155511363</v>
      </c>
      <c r="AA13" s="4">
        <f t="shared" si="0"/>
        <v>0.92370360150141495</v>
      </c>
      <c r="AB13" s="4">
        <f t="shared" si="0"/>
        <v>0.89334463567658451</v>
      </c>
      <c r="AC13" s="4">
        <f t="shared" si="0"/>
        <v>0.85254543874327005</v>
      </c>
      <c r="AD13" s="4">
        <f t="shared" si="0"/>
        <v>0.79921300652623883</v>
      </c>
      <c r="AE13" s="4">
        <f t="shared" si="0"/>
        <v>0.73204982249993378</v>
      </c>
      <c r="AF13" s="4">
        <f t="shared" si="0"/>
        <v>0.65145592958786691</v>
      </c>
      <c r="AG13" s="4">
        <f t="shared" si="0"/>
        <v>0.56032247880849573</v>
      </c>
      <c r="AH13" s="4">
        <f t="shared" si="0"/>
        <v>0.46411326873185343</v>
      </c>
      <c r="AI13" s="4">
        <f t="shared" si="0"/>
        <v>0.36979727595523937</v>
      </c>
      <c r="AJ13" s="4">
        <f t="shared" si="0"/>
        <v>0.28393948637231203</v>
      </c>
      <c r="AK13" s="4">
        <f t="shared" si="0"/>
        <v>0.21097259161117732</v>
      </c>
      <c r="AL13" s="4">
        <f t="shared" si="0"/>
        <v>0.15253917653798199</v>
      </c>
      <c r="AM13" s="4">
        <f t="shared" si="0"/>
        <v>0.10795188737709993</v>
      </c>
      <c r="AN13" s="4">
        <f t="shared" si="0"/>
        <v>7.5176653938091809E-2</v>
      </c>
      <c r="AO13" s="4">
        <f t="shared" si="0"/>
        <v>5.1742836177502194E-2</v>
      </c>
      <c r="AP13" s="4">
        <f t="shared" si="0"/>
        <v>3.5319190625345942E-2</v>
      </c>
      <c r="AQ13" s="4">
        <f t="shared" si="0"/>
        <v>2.3969442072658165E-2</v>
      </c>
      <c r="AR13" s="4">
        <f t="shared" si="0"/>
        <v>1.6202243558389728E-2</v>
      </c>
    </row>
    <row r="14" spans="1:44" x14ac:dyDescent="0.25">
      <c r="A14" s="24" t="s">
        <v>25</v>
      </c>
      <c r="B14" s="60">
        <f>'Parameter Input'!B157</f>
        <v>-100000</v>
      </c>
      <c r="C14" s="61">
        <f>'Parameter Input'!C157</f>
        <v>-100000</v>
      </c>
      <c r="D14" s="1" t="s">
        <v>15</v>
      </c>
      <c r="L14" s="54">
        <f>'Parameter Input'!E157</f>
        <v>17</v>
      </c>
      <c r="M14" s="37">
        <v>0</v>
      </c>
      <c r="N14" s="37">
        <v>1</v>
      </c>
      <c r="O14" s="37">
        <f>'Parameter Input'!F157</f>
        <v>0.9</v>
      </c>
      <c r="P14" s="55">
        <f>'Parameter Input'!G157</f>
        <v>0.4</v>
      </c>
      <c r="Q14" s="4">
        <f t="shared" si="0"/>
        <v>0.99780374543478534</v>
      </c>
      <c r="R14" s="4">
        <f t="shared" si="0"/>
        <v>0.99685359315256394</v>
      </c>
      <c r="S14" s="4">
        <f t="shared" si="0"/>
        <v>0.99549347132349975</v>
      </c>
      <c r="T14" s="4">
        <f t="shared" si="0"/>
        <v>0.99354772139898062</v>
      </c>
      <c r="U14" s="4">
        <f t="shared" si="0"/>
        <v>0.99076681540580536</v>
      </c>
      <c r="V14" s="4">
        <f t="shared" si="0"/>
        <v>0.9867978615748374</v>
      </c>
      <c r="W14" s="4">
        <f t="shared" si="0"/>
        <v>0.98114509762858249</v>
      </c>
      <c r="X14" s="4">
        <f t="shared" si="0"/>
        <v>0.97311898315872036</v>
      </c>
      <c r="Y14" s="4">
        <f t="shared" si="0"/>
        <v>0.96177484161592774</v>
      </c>
      <c r="Z14" s="4">
        <f t="shared" si="0"/>
        <v>0.94584787155511363</v>
      </c>
      <c r="AA14" s="4">
        <f t="shared" si="0"/>
        <v>0.92370360150141495</v>
      </c>
      <c r="AB14" s="4">
        <f t="shared" si="0"/>
        <v>0.89334463567658451</v>
      </c>
      <c r="AC14" s="4">
        <f t="shared" si="0"/>
        <v>0.85254543874327005</v>
      </c>
      <c r="AD14" s="4">
        <f t="shared" si="0"/>
        <v>0.79921300652623883</v>
      </c>
      <c r="AE14" s="4">
        <f t="shared" si="0"/>
        <v>0.73204982249993378</v>
      </c>
      <c r="AF14" s="4">
        <f t="shared" si="0"/>
        <v>0.65145592958786691</v>
      </c>
      <c r="AG14" s="4">
        <f t="shared" si="0"/>
        <v>0.56032247880849573</v>
      </c>
      <c r="AH14" s="4">
        <f t="shared" si="0"/>
        <v>0.46411326873185343</v>
      </c>
      <c r="AI14" s="4">
        <f t="shared" si="0"/>
        <v>0.36979727595523937</v>
      </c>
      <c r="AJ14" s="4">
        <f t="shared" si="0"/>
        <v>0.28393948637231203</v>
      </c>
      <c r="AK14" s="4">
        <f t="shared" si="0"/>
        <v>0.21097259161117732</v>
      </c>
      <c r="AL14" s="4">
        <f t="shared" si="0"/>
        <v>0.15253917653798199</v>
      </c>
      <c r="AM14" s="4">
        <f t="shared" si="0"/>
        <v>0.10795188737709993</v>
      </c>
      <c r="AN14" s="4">
        <f t="shared" si="0"/>
        <v>7.5176653938091809E-2</v>
      </c>
      <c r="AO14" s="4">
        <f t="shared" si="0"/>
        <v>5.1742836177502194E-2</v>
      </c>
      <c r="AP14" s="4">
        <f t="shared" si="0"/>
        <v>3.5319190625345942E-2</v>
      </c>
      <c r="AQ14" s="4">
        <f t="shared" si="0"/>
        <v>2.3969442072658165E-2</v>
      </c>
      <c r="AR14" s="4">
        <f t="shared" si="0"/>
        <v>1.6202243558389728E-2</v>
      </c>
    </row>
    <row r="15" spans="1:44" x14ac:dyDescent="0.25">
      <c r="A15" s="24" t="s">
        <v>79</v>
      </c>
      <c r="B15" s="92">
        <f>'Parameter Input'!$L$212</f>
        <v>0.06</v>
      </c>
      <c r="C15" s="91">
        <f>'Parameter Input'!$M$212</f>
        <v>0.06</v>
      </c>
      <c r="D15" s="1" t="s">
        <v>57</v>
      </c>
      <c r="L15" s="54">
        <f>'Parameter Input'!$O$212</f>
        <v>17</v>
      </c>
      <c r="M15" s="37">
        <v>0</v>
      </c>
      <c r="N15" s="37">
        <v>1</v>
      </c>
      <c r="O15" s="37">
        <f>'Parameter Input'!$P$212</f>
        <v>0.9</v>
      </c>
      <c r="P15" s="55">
        <f>'Parameter Input'!$Q$212</f>
        <v>0.4</v>
      </c>
      <c r="Q15" s="4">
        <f t="shared" si="0"/>
        <v>0.99780374543478534</v>
      </c>
      <c r="R15" s="4">
        <f t="shared" si="0"/>
        <v>0.99685359315256394</v>
      </c>
      <c r="S15" s="4">
        <f t="shared" si="0"/>
        <v>0.99549347132349975</v>
      </c>
      <c r="T15" s="4">
        <f t="shared" si="0"/>
        <v>0.99354772139898062</v>
      </c>
      <c r="U15" s="4">
        <f t="shared" si="0"/>
        <v>0.99076681540580536</v>
      </c>
      <c r="V15" s="4">
        <f t="shared" si="0"/>
        <v>0.9867978615748374</v>
      </c>
      <c r="W15" s="4">
        <f t="shared" si="0"/>
        <v>0.98114509762858249</v>
      </c>
      <c r="X15" s="4">
        <f t="shared" si="0"/>
        <v>0.97311898315872036</v>
      </c>
      <c r="Y15" s="4">
        <f t="shared" si="0"/>
        <v>0.96177484161592774</v>
      </c>
      <c r="Z15" s="4">
        <f t="shared" si="0"/>
        <v>0.94584787155511363</v>
      </c>
      <c r="AA15" s="4">
        <f t="shared" si="0"/>
        <v>0.92370360150141495</v>
      </c>
      <c r="AB15" s="4">
        <f t="shared" si="0"/>
        <v>0.89334463567658451</v>
      </c>
      <c r="AC15" s="4">
        <f t="shared" si="0"/>
        <v>0.85254543874327005</v>
      </c>
      <c r="AD15" s="4">
        <f t="shared" si="0"/>
        <v>0.79921300652623883</v>
      </c>
      <c r="AE15" s="4">
        <f t="shared" si="0"/>
        <v>0.73204982249993378</v>
      </c>
      <c r="AF15" s="4">
        <f t="shared" si="0"/>
        <v>0.65145592958786691</v>
      </c>
      <c r="AG15" s="4">
        <f t="shared" si="0"/>
        <v>0.56032247880849573</v>
      </c>
      <c r="AH15" s="4">
        <f t="shared" si="0"/>
        <v>0.46411326873185343</v>
      </c>
      <c r="AI15" s="4">
        <f t="shared" si="0"/>
        <v>0.36979727595523937</v>
      </c>
      <c r="AJ15" s="4">
        <f t="shared" si="0"/>
        <v>0.28393948637231203</v>
      </c>
      <c r="AK15" s="4">
        <f t="shared" si="0"/>
        <v>0.21097259161117732</v>
      </c>
      <c r="AL15" s="4">
        <f t="shared" si="0"/>
        <v>0.15253917653798199</v>
      </c>
      <c r="AM15" s="4">
        <f t="shared" si="0"/>
        <v>0.10795188737709993</v>
      </c>
      <c r="AN15" s="4">
        <f t="shared" si="0"/>
        <v>7.5176653938091809E-2</v>
      </c>
      <c r="AO15" s="4">
        <f t="shared" si="0"/>
        <v>5.1742836177502194E-2</v>
      </c>
      <c r="AP15" s="4">
        <f t="shared" si="0"/>
        <v>3.5319190625345942E-2</v>
      </c>
      <c r="AQ15" s="4">
        <f t="shared" si="0"/>
        <v>2.3969442072658165E-2</v>
      </c>
      <c r="AR15" s="4">
        <f t="shared" si="0"/>
        <v>1.6202243558389728E-2</v>
      </c>
    </row>
    <row r="16" spans="1:44" x14ac:dyDescent="0.25">
      <c r="A16" s="24" t="s">
        <v>37</v>
      </c>
      <c r="B16" s="60">
        <f>'Parameter Input'!B158</f>
        <v>1208235.294117647</v>
      </c>
      <c r="C16" s="61">
        <f>'Parameter Input'!C158</f>
        <v>1208235.294117647</v>
      </c>
      <c r="D16" s="1" t="s">
        <v>38</v>
      </c>
      <c r="L16" s="54">
        <f>'Parameter Input'!E158</f>
        <v>17</v>
      </c>
      <c r="M16" s="37">
        <v>0</v>
      </c>
      <c r="N16" s="37">
        <v>1</v>
      </c>
      <c r="O16" s="37">
        <f>'Parameter Input'!F158</f>
        <v>0.9</v>
      </c>
      <c r="P16" s="55">
        <f>'Parameter Input'!G158</f>
        <v>0.4</v>
      </c>
      <c r="Q16" s="4">
        <f t="shared" si="0"/>
        <v>0.99780374543478534</v>
      </c>
      <c r="R16" s="4">
        <f t="shared" si="0"/>
        <v>0.99685359315256394</v>
      </c>
      <c r="S16" s="4">
        <f t="shared" si="0"/>
        <v>0.99549347132349975</v>
      </c>
      <c r="T16" s="4">
        <f t="shared" si="0"/>
        <v>0.99354772139898062</v>
      </c>
      <c r="U16" s="4">
        <f t="shared" si="0"/>
        <v>0.99076681540580536</v>
      </c>
      <c r="V16" s="4">
        <f t="shared" si="0"/>
        <v>0.9867978615748374</v>
      </c>
      <c r="W16" s="4">
        <f t="shared" si="0"/>
        <v>0.98114509762858249</v>
      </c>
      <c r="X16" s="4">
        <f t="shared" si="0"/>
        <v>0.97311898315872036</v>
      </c>
      <c r="Y16" s="4">
        <f t="shared" si="0"/>
        <v>0.96177484161592774</v>
      </c>
      <c r="Z16" s="4">
        <f t="shared" si="0"/>
        <v>0.94584787155511363</v>
      </c>
      <c r="AA16" s="4">
        <f t="shared" si="0"/>
        <v>0.92370360150141495</v>
      </c>
      <c r="AB16" s="4">
        <f t="shared" si="0"/>
        <v>0.89334463567658451</v>
      </c>
      <c r="AC16" s="4">
        <f t="shared" si="0"/>
        <v>0.85254543874327005</v>
      </c>
      <c r="AD16" s="4">
        <f t="shared" si="0"/>
        <v>0.79921300652623883</v>
      </c>
      <c r="AE16" s="4">
        <f t="shared" si="0"/>
        <v>0.73204982249993378</v>
      </c>
      <c r="AF16" s="4">
        <f t="shared" si="0"/>
        <v>0.65145592958786691</v>
      </c>
      <c r="AG16" s="4">
        <f t="shared" si="0"/>
        <v>0.56032247880849573</v>
      </c>
      <c r="AH16" s="4">
        <f t="shared" si="0"/>
        <v>0.46411326873185343</v>
      </c>
      <c r="AI16" s="4">
        <f t="shared" si="0"/>
        <v>0.36979727595523937</v>
      </c>
      <c r="AJ16" s="4">
        <f t="shared" si="0"/>
        <v>0.28393948637231203</v>
      </c>
      <c r="AK16" s="4">
        <f t="shared" si="0"/>
        <v>0.21097259161117732</v>
      </c>
      <c r="AL16" s="4">
        <f t="shared" si="0"/>
        <v>0.15253917653798199</v>
      </c>
      <c r="AM16" s="4">
        <f t="shared" si="0"/>
        <v>0.10795188737709993</v>
      </c>
      <c r="AN16" s="4">
        <f t="shared" si="0"/>
        <v>7.5176653938091809E-2</v>
      </c>
      <c r="AO16" s="4">
        <f t="shared" si="0"/>
        <v>5.1742836177502194E-2</v>
      </c>
      <c r="AP16" s="4">
        <f t="shared" si="0"/>
        <v>3.5319190625345942E-2</v>
      </c>
      <c r="AQ16" s="4">
        <f t="shared" si="0"/>
        <v>2.3969442072658165E-2</v>
      </c>
      <c r="AR16" s="4">
        <f t="shared" si="0"/>
        <v>1.6202243558389728E-2</v>
      </c>
    </row>
    <row r="17" spans="1:44" x14ac:dyDescent="0.25">
      <c r="A17" s="24" t="s">
        <v>52</v>
      </c>
      <c r="B17" s="60">
        <f>'Parameter Input'!$L$208</f>
        <v>488235.29411764705</v>
      </c>
      <c r="C17" s="61">
        <f>'Parameter Input'!$M$208</f>
        <v>488235.29411764705</v>
      </c>
      <c r="D17" s="1" t="s">
        <v>38</v>
      </c>
      <c r="L17" s="54">
        <f>'Parameter Input'!$O$208</f>
        <v>17</v>
      </c>
      <c r="M17" s="37">
        <v>0</v>
      </c>
      <c r="N17" s="37">
        <v>1</v>
      </c>
      <c r="O17" s="37">
        <f>'Parameter Input'!$P$208</f>
        <v>0.9</v>
      </c>
      <c r="P17" s="55">
        <f>'Parameter Input'!$Q$208</f>
        <v>0.4</v>
      </c>
      <c r="Q17" s="4">
        <f t="shared" si="0"/>
        <v>0.99780374543478534</v>
      </c>
      <c r="R17" s="4">
        <f t="shared" si="0"/>
        <v>0.99685359315256394</v>
      </c>
      <c r="S17" s="4">
        <f t="shared" si="0"/>
        <v>0.99549347132349975</v>
      </c>
      <c r="T17" s="4">
        <f t="shared" si="0"/>
        <v>0.99354772139898062</v>
      </c>
      <c r="U17" s="4">
        <f t="shared" si="0"/>
        <v>0.99076681540580536</v>
      </c>
      <c r="V17" s="4">
        <f t="shared" si="0"/>
        <v>0.9867978615748374</v>
      </c>
      <c r="W17" s="4">
        <f t="shared" si="0"/>
        <v>0.98114509762858249</v>
      </c>
      <c r="X17" s="4">
        <f t="shared" si="0"/>
        <v>0.97311898315872036</v>
      </c>
      <c r="Y17" s="4">
        <f t="shared" si="0"/>
        <v>0.96177484161592774</v>
      </c>
      <c r="Z17" s="4">
        <f t="shared" si="0"/>
        <v>0.94584787155511363</v>
      </c>
      <c r="AA17" s="4">
        <f t="shared" si="0"/>
        <v>0.92370360150141495</v>
      </c>
      <c r="AB17" s="4">
        <f t="shared" si="0"/>
        <v>0.89334463567658451</v>
      </c>
      <c r="AC17" s="4">
        <f t="shared" si="0"/>
        <v>0.85254543874327005</v>
      </c>
      <c r="AD17" s="4">
        <f t="shared" si="0"/>
        <v>0.79921300652623883</v>
      </c>
      <c r="AE17" s="4">
        <f t="shared" si="0"/>
        <v>0.73204982249993378</v>
      </c>
      <c r="AF17" s="4">
        <f t="shared" si="0"/>
        <v>0.65145592958786691</v>
      </c>
      <c r="AG17" s="4">
        <f t="shared" si="0"/>
        <v>0.56032247880849573</v>
      </c>
      <c r="AH17" s="4">
        <f t="shared" si="0"/>
        <v>0.46411326873185343</v>
      </c>
      <c r="AI17" s="4">
        <f t="shared" si="0"/>
        <v>0.36979727595523937</v>
      </c>
      <c r="AJ17" s="4">
        <f t="shared" si="0"/>
        <v>0.28393948637231203</v>
      </c>
      <c r="AK17" s="4">
        <f t="shared" si="0"/>
        <v>0.21097259161117732</v>
      </c>
      <c r="AL17" s="4">
        <f t="shared" si="0"/>
        <v>0.15253917653798199</v>
      </c>
      <c r="AM17" s="4">
        <f t="shared" si="0"/>
        <v>0.10795188737709993</v>
      </c>
      <c r="AN17" s="4">
        <f t="shared" si="0"/>
        <v>7.5176653938091809E-2</v>
      </c>
      <c r="AO17" s="4">
        <f t="shared" si="0"/>
        <v>5.1742836177502194E-2</v>
      </c>
      <c r="AP17" s="4">
        <f t="shared" si="0"/>
        <v>3.5319190625345942E-2</v>
      </c>
      <c r="AQ17" s="4">
        <f t="shared" si="0"/>
        <v>2.3969442072658165E-2</v>
      </c>
      <c r="AR17" s="4">
        <f t="shared" si="0"/>
        <v>1.6202243558389728E-2</v>
      </c>
    </row>
    <row r="18" spans="1:44" x14ac:dyDescent="0.25">
      <c r="A18" s="24" t="s">
        <v>272</v>
      </c>
      <c r="B18" s="92">
        <f>'Parameter Input'!B163</f>
        <v>0.8458018624557011</v>
      </c>
      <c r="C18" s="61">
        <f>'Parameter Input'!C163</f>
        <v>0.8458018624557011</v>
      </c>
      <c r="D18" s="1" t="s">
        <v>76</v>
      </c>
      <c r="L18" s="54">
        <f>'Parameter Input'!E163</f>
        <v>17</v>
      </c>
      <c r="M18" s="37">
        <v>0</v>
      </c>
      <c r="N18" s="37">
        <v>1</v>
      </c>
      <c r="O18" s="37">
        <f>'Parameter Input'!F163</f>
        <v>0.9</v>
      </c>
      <c r="P18" s="55">
        <f>'Parameter Input'!G163</f>
        <v>0.4</v>
      </c>
      <c r="Q18" s="4">
        <f t="shared" si="0"/>
        <v>0.99780374543478534</v>
      </c>
      <c r="R18" s="4">
        <f t="shared" si="0"/>
        <v>0.99685359315256394</v>
      </c>
      <c r="S18" s="4">
        <f t="shared" si="0"/>
        <v>0.99549347132349975</v>
      </c>
      <c r="T18" s="4">
        <f t="shared" si="0"/>
        <v>0.99354772139898062</v>
      </c>
      <c r="U18" s="4">
        <f t="shared" si="0"/>
        <v>0.99076681540580536</v>
      </c>
      <c r="V18" s="4">
        <f t="shared" si="0"/>
        <v>0.9867978615748374</v>
      </c>
      <c r="W18" s="4">
        <f t="shared" si="0"/>
        <v>0.98114509762858249</v>
      </c>
      <c r="X18" s="4">
        <f t="shared" si="0"/>
        <v>0.97311898315872036</v>
      </c>
      <c r="Y18" s="4">
        <f t="shared" si="0"/>
        <v>0.96177484161592774</v>
      </c>
      <c r="Z18" s="4">
        <f t="shared" si="0"/>
        <v>0.94584787155511363</v>
      </c>
      <c r="AA18" s="4">
        <f t="shared" si="0"/>
        <v>0.92370360150141495</v>
      </c>
      <c r="AB18" s="4">
        <f t="shared" si="0"/>
        <v>0.89334463567658451</v>
      </c>
      <c r="AC18" s="4">
        <f t="shared" si="0"/>
        <v>0.85254543874327005</v>
      </c>
      <c r="AD18" s="4">
        <f t="shared" si="0"/>
        <v>0.79921300652623883</v>
      </c>
      <c r="AE18" s="4">
        <f t="shared" si="0"/>
        <v>0.73204982249993378</v>
      </c>
      <c r="AF18" s="4">
        <f t="shared" si="0"/>
        <v>0.65145592958786691</v>
      </c>
      <c r="AG18" s="4">
        <f t="shared" si="0"/>
        <v>0.56032247880849573</v>
      </c>
      <c r="AH18" s="4">
        <f t="shared" si="0"/>
        <v>0.46411326873185343</v>
      </c>
      <c r="AI18" s="4">
        <f t="shared" si="0"/>
        <v>0.36979727595523937</v>
      </c>
      <c r="AJ18" s="4">
        <f t="shared" si="0"/>
        <v>0.28393948637231203</v>
      </c>
      <c r="AK18" s="4">
        <f t="shared" si="0"/>
        <v>0.21097259161117732</v>
      </c>
      <c r="AL18" s="4">
        <f t="shared" si="0"/>
        <v>0.15253917653798199</v>
      </c>
      <c r="AM18" s="4">
        <f t="shared" si="0"/>
        <v>0.10795188737709993</v>
      </c>
      <c r="AN18" s="4">
        <f t="shared" si="0"/>
        <v>7.5176653938091809E-2</v>
      </c>
      <c r="AO18" s="4">
        <f t="shared" si="0"/>
        <v>5.1742836177502194E-2</v>
      </c>
      <c r="AP18" s="4">
        <f t="shared" si="0"/>
        <v>3.5319190625345942E-2</v>
      </c>
      <c r="AQ18" s="4">
        <f t="shared" si="0"/>
        <v>2.3969442072658165E-2</v>
      </c>
      <c r="AR18" s="4">
        <f t="shared" si="0"/>
        <v>1.6202243558389728E-2</v>
      </c>
    </row>
    <row r="19" spans="1:44" x14ac:dyDescent="0.25">
      <c r="A19" s="24" t="s">
        <v>59</v>
      </c>
      <c r="B19" s="60">
        <f>'Parameter Input'!$L$209</f>
        <v>647</v>
      </c>
      <c r="C19" s="61">
        <f>'Parameter Input'!$M$209</f>
        <v>600</v>
      </c>
      <c r="D19" s="1" t="s">
        <v>60</v>
      </c>
      <c r="L19" s="54">
        <f>'Parameter Input'!$O$209</f>
        <v>17</v>
      </c>
      <c r="M19" s="37">
        <v>0</v>
      </c>
      <c r="N19" s="37">
        <v>1</v>
      </c>
      <c r="O19" s="37">
        <f>'Parameter Input'!$P$209</f>
        <v>0.9</v>
      </c>
      <c r="P19" s="55">
        <f>'Parameter Input'!$Q$209</f>
        <v>0.4</v>
      </c>
      <c r="Q19" s="4">
        <f t="shared" si="0"/>
        <v>0.99780374543478534</v>
      </c>
      <c r="R19" s="4">
        <f t="shared" si="0"/>
        <v>0.99685359315256394</v>
      </c>
      <c r="S19" s="4">
        <f t="shared" si="0"/>
        <v>0.99549347132349975</v>
      </c>
      <c r="T19" s="4">
        <f t="shared" si="0"/>
        <v>0.99354772139898062</v>
      </c>
      <c r="U19" s="4">
        <f t="shared" si="0"/>
        <v>0.99076681540580536</v>
      </c>
      <c r="V19" s="4">
        <f t="shared" si="0"/>
        <v>0.9867978615748374</v>
      </c>
      <c r="W19" s="4">
        <f t="shared" si="0"/>
        <v>0.98114509762858249</v>
      </c>
      <c r="X19" s="4">
        <f t="shared" si="0"/>
        <v>0.97311898315872036</v>
      </c>
      <c r="Y19" s="4">
        <f t="shared" si="0"/>
        <v>0.96177484161592774</v>
      </c>
      <c r="Z19" s="4">
        <f t="shared" si="0"/>
        <v>0.94584787155511363</v>
      </c>
      <c r="AA19" s="4">
        <f t="shared" si="0"/>
        <v>0.92370360150141495</v>
      </c>
      <c r="AB19" s="4">
        <f t="shared" si="0"/>
        <v>0.89334463567658451</v>
      </c>
      <c r="AC19" s="4">
        <f t="shared" si="0"/>
        <v>0.85254543874327005</v>
      </c>
      <c r="AD19" s="4">
        <f t="shared" si="0"/>
        <v>0.79921300652623883</v>
      </c>
      <c r="AE19" s="4">
        <f t="shared" si="0"/>
        <v>0.73204982249993378</v>
      </c>
      <c r="AF19" s="4">
        <f t="shared" si="0"/>
        <v>0.65145592958786691</v>
      </c>
      <c r="AG19" s="4">
        <f t="shared" si="0"/>
        <v>0.56032247880849573</v>
      </c>
      <c r="AH19" s="4">
        <f t="shared" si="0"/>
        <v>0.46411326873185343</v>
      </c>
      <c r="AI19" s="4">
        <f t="shared" si="0"/>
        <v>0.36979727595523937</v>
      </c>
      <c r="AJ19" s="4">
        <f t="shared" si="0"/>
        <v>0.28393948637231203</v>
      </c>
      <c r="AK19" s="4">
        <f t="shared" si="0"/>
        <v>0.21097259161117732</v>
      </c>
      <c r="AL19" s="4">
        <f t="shared" si="0"/>
        <v>0.15253917653798199</v>
      </c>
      <c r="AM19" s="4">
        <f t="shared" si="0"/>
        <v>0.10795188737709993</v>
      </c>
      <c r="AN19" s="4">
        <f t="shared" si="0"/>
        <v>7.5176653938091809E-2</v>
      </c>
      <c r="AO19" s="4">
        <f t="shared" si="0"/>
        <v>5.1742836177502194E-2</v>
      </c>
      <c r="AP19" s="4">
        <f t="shared" si="0"/>
        <v>3.5319190625345942E-2</v>
      </c>
      <c r="AQ19" s="4">
        <f t="shared" si="0"/>
        <v>2.3969442072658165E-2</v>
      </c>
      <c r="AR19" s="4">
        <f t="shared" si="0"/>
        <v>1.6202243558389728E-2</v>
      </c>
    </row>
    <row r="20" spans="1:44" x14ac:dyDescent="0.25">
      <c r="A20" s="24" t="s">
        <v>67</v>
      </c>
      <c r="B20" s="78">
        <f>'Parameter Input'!$L$210</f>
        <v>0.46076973995226939</v>
      </c>
      <c r="C20" s="61">
        <f>'Parameter Input'!$M$210</f>
        <v>0.14224714585492179</v>
      </c>
      <c r="D20" s="1" t="s">
        <v>68</v>
      </c>
      <c r="L20" s="54">
        <f>'Parameter Input'!$O$210</f>
        <v>17</v>
      </c>
      <c r="M20" s="37">
        <v>0</v>
      </c>
      <c r="N20" s="37">
        <v>1</v>
      </c>
      <c r="O20" s="37">
        <f>'Parameter Input'!$P$210</f>
        <v>0.9</v>
      </c>
      <c r="P20" s="55">
        <f>'Parameter Input'!$Q$210</f>
        <v>0.4</v>
      </c>
      <c r="Q20" s="4">
        <f t="shared" si="0"/>
        <v>0.99780374543478534</v>
      </c>
      <c r="R20" s="4">
        <f t="shared" si="0"/>
        <v>0.99685359315256394</v>
      </c>
      <c r="S20" s="4">
        <f t="shared" si="0"/>
        <v>0.99549347132349975</v>
      </c>
      <c r="T20" s="4">
        <f t="shared" ref="T20:AR27" si="1">$N20+($M20-$N20)*((1/(1+EXP(-$P20*(T$9-$L20)))^$O20))</f>
        <v>0.99354772139898062</v>
      </c>
      <c r="U20" s="4">
        <f t="shared" si="1"/>
        <v>0.99076681540580536</v>
      </c>
      <c r="V20" s="4">
        <f t="shared" si="1"/>
        <v>0.9867978615748374</v>
      </c>
      <c r="W20" s="4">
        <f t="shared" si="1"/>
        <v>0.98114509762858249</v>
      </c>
      <c r="X20" s="4">
        <f t="shared" si="1"/>
        <v>0.97311898315872036</v>
      </c>
      <c r="Y20" s="4">
        <f t="shared" si="1"/>
        <v>0.96177484161592774</v>
      </c>
      <c r="Z20" s="4">
        <f t="shared" si="1"/>
        <v>0.94584787155511363</v>
      </c>
      <c r="AA20" s="4">
        <f t="shared" si="1"/>
        <v>0.92370360150141495</v>
      </c>
      <c r="AB20" s="4">
        <f t="shared" si="1"/>
        <v>0.89334463567658451</v>
      </c>
      <c r="AC20" s="4">
        <f t="shared" si="1"/>
        <v>0.85254543874327005</v>
      </c>
      <c r="AD20" s="4">
        <f t="shared" si="1"/>
        <v>0.79921300652623883</v>
      </c>
      <c r="AE20" s="4">
        <f t="shared" si="1"/>
        <v>0.73204982249993378</v>
      </c>
      <c r="AF20" s="4">
        <f t="shared" si="1"/>
        <v>0.65145592958786691</v>
      </c>
      <c r="AG20" s="4">
        <f t="shared" si="1"/>
        <v>0.56032247880849573</v>
      </c>
      <c r="AH20" s="4">
        <f t="shared" si="1"/>
        <v>0.46411326873185343</v>
      </c>
      <c r="AI20" s="4">
        <f t="shared" si="1"/>
        <v>0.36979727595523937</v>
      </c>
      <c r="AJ20" s="4">
        <f t="shared" si="1"/>
        <v>0.28393948637231203</v>
      </c>
      <c r="AK20" s="4">
        <f t="shared" si="1"/>
        <v>0.21097259161117732</v>
      </c>
      <c r="AL20" s="4">
        <f t="shared" si="1"/>
        <v>0.15253917653798199</v>
      </c>
      <c r="AM20" s="4">
        <f t="shared" si="1"/>
        <v>0.10795188737709993</v>
      </c>
      <c r="AN20" s="4">
        <f t="shared" si="1"/>
        <v>7.5176653938091809E-2</v>
      </c>
      <c r="AO20" s="4">
        <f t="shared" si="1"/>
        <v>5.1742836177502194E-2</v>
      </c>
      <c r="AP20" s="4">
        <f t="shared" si="1"/>
        <v>3.5319190625345942E-2</v>
      </c>
      <c r="AQ20" s="4">
        <f t="shared" si="1"/>
        <v>2.3969442072658165E-2</v>
      </c>
      <c r="AR20" s="4">
        <f t="shared" si="1"/>
        <v>1.6202243558389728E-2</v>
      </c>
    </row>
    <row r="21" spans="1:44" x14ac:dyDescent="0.25">
      <c r="A21" s="24" t="s">
        <v>206</v>
      </c>
      <c r="B21" s="115">
        <f>'Parameter Input'!$L$213</f>
        <v>3.1631111111111108</v>
      </c>
      <c r="C21" s="116">
        <f>'Parameter Input'!$M$213</f>
        <v>0</v>
      </c>
      <c r="D21" s="1" t="s">
        <v>76</v>
      </c>
      <c r="L21" s="54">
        <f>'Parameter Input'!$O$213</f>
        <v>17</v>
      </c>
      <c r="M21" s="37">
        <v>0</v>
      </c>
      <c r="N21" s="37">
        <v>1</v>
      </c>
      <c r="O21" s="37">
        <f>'Parameter Input'!$P$213</f>
        <v>0.9</v>
      </c>
      <c r="P21" s="55">
        <f>'Parameter Input'!$Q$213</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41</v>
      </c>
      <c r="B22" s="60">
        <f>'Parameter Input'!$L$207</f>
        <v>25</v>
      </c>
      <c r="C22" s="61">
        <f>'Parameter Input'!$M$207</f>
        <v>25</v>
      </c>
      <c r="D22" s="1" t="s">
        <v>42</v>
      </c>
      <c r="L22" s="54">
        <f>'Parameter Input'!$O$207</f>
        <v>17</v>
      </c>
      <c r="M22" s="37">
        <v>0</v>
      </c>
      <c r="N22" s="37">
        <v>1</v>
      </c>
      <c r="O22" s="37">
        <f>'Parameter Input'!$P$207</f>
        <v>0.9</v>
      </c>
      <c r="P22" s="55">
        <f>'Parameter Input'!$Q$207</f>
        <v>0.4</v>
      </c>
      <c r="Q22" s="4">
        <f t="shared" ref="Q22:AF27" si="3">$N22+($M22-$N22)*((1/(1+EXP(-$P22*(Q$9-$L22)))^$O22))</f>
        <v>0.99780374543478534</v>
      </c>
      <c r="R22" s="4">
        <f t="shared" si="3"/>
        <v>0.99685359315256394</v>
      </c>
      <c r="S22" s="4">
        <f t="shared" si="3"/>
        <v>0.99549347132349975</v>
      </c>
      <c r="T22" s="4">
        <f t="shared" si="3"/>
        <v>0.99354772139898062</v>
      </c>
      <c r="U22" s="4">
        <f t="shared" si="3"/>
        <v>0.99076681540580536</v>
      </c>
      <c r="V22" s="4">
        <f t="shared" si="3"/>
        <v>0.9867978615748374</v>
      </c>
      <c r="W22" s="4">
        <f t="shared" si="3"/>
        <v>0.98114509762858249</v>
      </c>
      <c r="X22" s="4">
        <f t="shared" si="3"/>
        <v>0.97311898315872036</v>
      </c>
      <c r="Y22" s="4">
        <f t="shared" si="3"/>
        <v>0.96177484161592774</v>
      </c>
      <c r="Z22" s="4">
        <f t="shared" si="3"/>
        <v>0.94584787155511363</v>
      </c>
      <c r="AA22" s="4">
        <f t="shared" si="3"/>
        <v>0.92370360150141495</v>
      </c>
      <c r="AB22" s="4">
        <f t="shared" si="3"/>
        <v>0.89334463567658451</v>
      </c>
      <c r="AC22" s="4">
        <f t="shared" si="3"/>
        <v>0.85254543874327005</v>
      </c>
      <c r="AD22" s="4">
        <f t="shared" si="3"/>
        <v>0.79921300652623883</v>
      </c>
      <c r="AE22" s="4">
        <f t="shared" si="3"/>
        <v>0.73204982249993378</v>
      </c>
      <c r="AF22" s="4">
        <f t="shared" si="3"/>
        <v>0.65145592958786691</v>
      </c>
      <c r="AG22" s="4">
        <f t="shared" si="1"/>
        <v>0.56032247880849573</v>
      </c>
      <c r="AH22" s="4">
        <f t="shared" si="1"/>
        <v>0.46411326873185343</v>
      </c>
      <c r="AI22" s="4">
        <f t="shared" si="1"/>
        <v>0.36979727595523937</v>
      </c>
      <c r="AJ22" s="4">
        <f t="shared" si="1"/>
        <v>0.28393948637231203</v>
      </c>
      <c r="AK22" s="4">
        <f t="shared" si="1"/>
        <v>0.21097259161117732</v>
      </c>
      <c r="AL22" s="4">
        <f t="shared" si="1"/>
        <v>0.15253917653798199</v>
      </c>
      <c r="AM22" s="4">
        <f t="shared" si="1"/>
        <v>0.10795188737709993</v>
      </c>
      <c r="AN22" s="4">
        <f t="shared" si="1"/>
        <v>7.5176653938091809E-2</v>
      </c>
      <c r="AO22" s="4">
        <f t="shared" si="1"/>
        <v>5.1742836177502194E-2</v>
      </c>
      <c r="AP22" s="4">
        <f t="shared" si="1"/>
        <v>3.5319190625345942E-2</v>
      </c>
      <c r="AQ22" s="4">
        <f t="shared" si="1"/>
        <v>2.3969442072658165E-2</v>
      </c>
      <c r="AR22" s="4">
        <f t="shared" si="1"/>
        <v>1.6202243558389728E-2</v>
      </c>
    </row>
    <row r="23" spans="1:44" x14ac:dyDescent="0.25">
      <c r="A23" s="24" t="s">
        <v>70</v>
      </c>
      <c r="B23" s="60">
        <f>'Parameter Input'!B162</f>
        <v>25</v>
      </c>
      <c r="C23" s="61">
        <f>'Parameter Input'!C162</f>
        <v>25</v>
      </c>
      <c r="D23" s="1" t="s">
        <v>42</v>
      </c>
      <c r="L23" s="54">
        <f>'Parameter Input'!E162</f>
        <v>17</v>
      </c>
      <c r="M23" s="37">
        <v>0</v>
      </c>
      <c r="N23" s="37">
        <v>1</v>
      </c>
      <c r="O23" s="37">
        <f>'Parameter Input'!F162</f>
        <v>0.9</v>
      </c>
      <c r="P23" s="55">
        <f>'Parameter Input'!G162</f>
        <v>0.4</v>
      </c>
      <c r="Q23" s="4">
        <f t="shared" si="3"/>
        <v>0.99780374543478534</v>
      </c>
      <c r="R23" s="4">
        <f t="shared" si="3"/>
        <v>0.99685359315256394</v>
      </c>
      <c r="S23" s="4">
        <f t="shared" si="3"/>
        <v>0.99549347132349975</v>
      </c>
      <c r="T23" s="4">
        <f t="shared" si="3"/>
        <v>0.99354772139898062</v>
      </c>
      <c r="U23" s="4">
        <f t="shared" si="3"/>
        <v>0.99076681540580536</v>
      </c>
      <c r="V23" s="4">
        <f t="shared" si="3"/>
        <v>0.9867978615748374</v>
      </c>
      <c r="W23" s="4">
        <f t="shared" si="3"/>
        <v>0.98114509762858249</v>
      </c>
      <c r="X23" s="4">
        <f t="shared" si="3"/>
        <v>0.97311898315872036</v>
      </c>
      <c r="Y23" s="4">
        <f t="shared" si="3"/>
        <v>0.96177484161592774</v>
      </c>
      <c r="Z23" s="4">
        <f t="shared" si="3"/>
        <v>0.94584787155511363</v>
      </c>
      <c r="AA23" s="4">
        <f t="shared" si="3"/>
        <v>0.92370360150141495</v>
      </c>
      <c r="AB23" s="4">
        <f t="shared" si="3"/>
        <v>0.89334463567658451</v>
      </c>
      <c r="AC23" s="4">
        <f t="shared" si="3"/>
        <v>0.85254543874327005</v>
      </c>
      <c r="AD23" s="4">
        <f t="shared" si="3"/>
        <v>0.79921300652623883</v>
      </c>
      <c r="AE23" s="4">
        <f t="shared" si="3"/>
        <v>0.73204982249993378</v>
      </c>
      <c r="AF23" s="4">
        <f t="shared" si="3"/>
        <v>0.65145592958786691</v>
      </c>
      <c r="AG23" s="4">
        <f t="shared" si="1"/>
        <v>0.56032247880849573</v>
      </c>
      <c r="AH23" s="4">
        <f t="shared" si="1"/>
        <v>0.46411326873185343</v>
      </c>
      <c r="AI23" s="4">
        <f t="shared" si="1"/>
        <v>0.36979727595523937</v>
      </c>
      <c r="AJ23" s="4">
        <f t="shared" si="1"/>
        <v>0.28393948637231203</v>
      </c>
      <c r="AK23" s="4">
        <f t="shared" si="1"/>
        <v>0.21097259161117732</v>
      </c>
      <c r="AL23" s="4">
        <f t="shared" si="1"/>
        <v>0.15253917653798199</v>
      </c>
      <c r="AM23" s="4">
        <f t="shared" si="1"/>
        <v>0.10795188737709993</v>
      </c>
      <c r="AN23" s="4">
        <f t="shared" si="1"/>
        <v>7.5176653938091809E-2</v>
      </c>
      <c r="AO23" s="4">
        <f t="shared" si="1"/>
        <v>5.1742836177502194E-2</v>
      </c>
      <c r="AP23" s="4">
        <f t="shared" si="1"/>
        <v>3.5319190625345942E-2</v>
      </c>
      <c r="AQ23" s="4">
        <f t="shared" si="1"/>
        <v>2.3969442072658165E-2</v>
      </c>
      <c r="AR23" s="4">
        <f t="shared" si="1"/>
        <v>1.6202243558389728E-2</v>
      </c>
    </row>
    <row r="24" spans="1:44" x14ac:dyDescent="0.25">
      <c r="A24" s="24" t="s">
        <v>207</v>
      </c>
      <c r="B24" s="43">
        <f>'Parameter Input'!B159</f>
        <v>9450</v>
      </c>
      <c r="C24" s="44">
        <f>'Parameter Input'!C159</f>
        <v>9450</v>
      </c>
      <c r="D24" s="1" t="s">
        <v>49</v>
      </c>
      <c r="L24" s="54">
        <f>'Parameter Input'!E159</f>
        <v>17</v>
      </c>
      <c r="M24" s="37">
        <v>0</v>
      </c>
      <c r="N24" s="37">
        <v>1</v>
      </c>
      <c r="O24" s="37">
        <f>'Parameter Input'!F159</f>
        <v>0.9</v>
      </c>
      <c r="P24" s="55">
        <f>'Parameter Input'!G159</f>
        <v>0.4</v>
      </c>
      <c r="Q24" s="4">
        <f t="shared" si="3"/>
        <v>0.99780374543478534</v>
      </c>
      <c r="R24" s="4">
        <f t="shared" si="3"/>
        <v>0.99685359315256394</v>
      </c>
      <c r="S24" s="4">
        <f t="shared" si="3"/>
        <v>0.99549347132349975</v>
      </c>
      <c r="T24" s="4">
        <f t="shared" si="3"/>
        <v>0.99354772139898062</v>
      </c>
      <c r="U24" s="4">
        <f t="shared" si="3"/>
        <v>0.99076681540580536</v>
      </c>
      <c r="V24" s="4">
        <f t="shared" si="3"/>
        <v>0.9867978615748374</v>
      </c>
      <c r="W24" s="4">
        <f t="shared" si="3"/>
        <v>0.98114509762858249</v>
      </c>
      <c r="X24" s="4">
        <f t="shared" si="3"/>
        <v>0.97311898315872036</v>
      </c>
      <c r="Y24" s="4">
        <f t="shared" si="3"/>
        <v>0.96177484161592774</v>
      </c>
      <c r="Z24" s="4">
        <f t="shared" si="3"/>
        <v>0.94584787155511363</v>
      </c>
      <c r="AA24" s="4">
        <f t="shared" si="3"/>
        <v>0.92370360150141495</v>
      </c>
      <c r="AB24" s="4">
        <f t="shared" si="3"/>
        <v>0.89334463567658451</v>
      </c>
      <c r="AC24" s="4">
        <f t="shared" si="3"/>
        <v>0.85254543874327005</v>
      </c>
      <c r="AD24" s="4">
        <f t="shared" si="3"/>
        <v>0.79921300652623883</v>
      </c>
      <c r="AE24" s="4">
        <f t="shared" si="3"/>
        <v>0.73204982249993378</v>
      </c>
      <c r="AF24" s="4">
        <f t="shared" si="3"/>
        <v>0.65145592958786691</v>
      </c>
      <c r="AG24" s="4">
        <f t="shared" si="1"/>
        <v>0.56032247880849573</v>
      </c>
      <c r="AH24" s="4">
        <f t="shared" si="1"/>
        <v>0.46411326873185343</v>
      </c>
      <c r="AI24" s="4">
        <f t="shared" si="1"/>
        <v>0.36979727595523937</v>
      </c>
      <c r="AJ24" s="4">
        <f t="shared" si="1"/>
        <v>0.28393948637231203</v>
      </c>
      <c r="AK24" s="4">
        <f t="shared" si="1"/>
        <v>0.21097259161117732</v>
      </c>
      <c r="AL24" s="4">
        <f t="shared" si="1"/>
        <v>0.15253917653798199</v>
      </c>
      <c r="AM24" s="4">
        <f t="shared" si="1"/>
        <v>0.10795188737709993</v>
      </c>
      <c r="AN24" s="4">
        <f t="shared" si="1"/>
        <v>7.5176653938091809E-2</v>
      </c>
      <c r="AO24" s="4">
        <f t="shared" si="1"/>
        <v>5.1742836177502194E-2</v>
      </c>
      <c r="AP24" s="4">
        <f t="shared" si="1"/>
        <v>3.5319190625345942E-2</v>
      </c>
      <c r="AQ24" s="4">
        <f t="shared" si="1"/>
        <v>2.3969442072658165E-2</v>
      </c>
      <c r="AR24" s="4">
        <f t="shared" si="1"/>
        <v>1.6202243558389728E-2</v>
      </c>
    </row>
    <row r="25" spans="1:44" x14ac:dyDescent="0.25">
      <c r="A25" s="24" t="s">
        <v>56</v>
      </c>
      <c r="B25" s="45">
        <f>'Parameter Input'!B160</f>
        <v>0.68</v>
      </c>
      <c r="C25" s="46">
        <f>'Parameter Input'!C160</f>
        <v>0.68</v>
      </c>
      <c r="D25" s="1" t="s">
        <v>57</v>
      </c>
      <c r="L25" s="54">
        <f>'Parameter Input'!E160</f>
        <v>17</v>
      </c>
      <c r="M25" s="37">
        <v>0</v>
      </c>
      <c r="N25" s="37">
        <v>1</v>
      </c>
      <c r="O25" s="37">
        <f>'Parameter Input'!F160</f>
        <v>0.9</v>
      </c>
      <c r="P25" s="55">
        <f>'Parameter Input'!G160</f>
        <v>0.4</v>
      </c>
      <c r="Q25" s="4">
        <f t="shared" si="3"/>
        <v>0.99780374543478534</v>
      </c>
      <c r="R25" s="4">
        <f t="shared" si="3"/>
        <v>0.99685359315256394</v>
      </c>
      <c r="S25" s="4">
        <f t="shared" si="3"/>
        <v>0.99549347132349975</v>
      </c>
      <c r="T25" s="4">
        <f t="shared" si="3"/>
        <v>0.99354772139898062</v>
      </c>
      <c r="U25" s="4">
        <f t="shared" si="3"/>
        <v>0.99076681540580536</v>
      </c>
      <c r="V25" s="4">
        <f t="shared" si="3"/>
        <v>0.9867978615748374</v>
      </c>
      <c r="W25" s="4">
        <f t="shared" si="3"/>
        <v>0.98114509762858249</v>
      </c>
      <c r="X25" s="4">
        <f t="shared" si="3"/>
        <v>0.97311898315872036</v>
      </c>
      <c r="Y25" s="4">
        <f t="shared" si="3"/>
        <v>0.96177484161592774</v>
      </c>
      <c r="Z25" s="4">
        <f t="shared" si="3"/>
        <v>0.94584787155511363</v>
      </c>
      <c r="AA25" s="4">
        <f t="shared" si="3"/>
        <v>0.92370360150141495</v>
      </c>
      <c r="AB25" s="4">
        <f t="shared" si="3"/>
        <v>0.89334463567658451</v>
      </c>
      <c r="AC25" s="4">
        <f t="shared" si="3"/>
        <v>0.85254543874327005</v>
      </c>
      <c r="AD25" s="4">
        <f t="shared" si="3"/>
        <v>0.79921300652623883</v>
      </c>
      <c r="AE25" s="4">
        <f t="shared" si="3"/>
        <v>0.73204982249993378</v>
      </c>
      <c r="AF25" s="4">
        <f t="shared" si="3"/>
        <v>0.65145592958786691</v>
      </c>
      <c r="AG25" s="4">
        <f t="shared" si="1"/>
        <v>0.56032247880849573</v>
      </c>
      <c r="AH25" s="4">
        <f t="shared" si="1"/>
        <v>0.46411326873185343</v>
      </c>
      <c r="AI25" s="4">
        <f t="shared" si="1"/>
        <v>0.36979727595523937</v>
      </c>
      <c r="AJ25" s="4">
        <f t="shared" si="1"/>
        <v>0.28393948637231203</v>
      </c>
      <c r="AK25" s="4">
        <f t="shared" si="1"/>
        <v>0.21097259161117732</v>
      </c>
      <c r="AL25" s="4">
        <f t="shared" si="1"/>
        <v>0.15253917653798199</v>
      </c>
      <c r="AM25" s="4">
        <f t="shared" si="1"/>
        <v>0.10795188737709993</v>
      </c>
      <c r="AN25" s="4">
        <f t="shared" si="1"/>
        <v>7.5176653938091809E-2</v>
      </c>
      <c r="AO25" s="4">
        <f t="shared" si="1"/>
        <v>5.1742836177502194E-2</v>
      </c>
      <c r="AP25" s="4">
        <f t="shared" si="1"/>
        <v>3.5319190625345942E-2</v>
      </c>
      <c r="AQ25" s="4">
        <f t="shared" si="1"/>
        <v>2.3969442072658165E-2</v>
      </c>
      <c r="AR25" s="4">
        <f t="shared" si="1"/>
        <v>1.6202243558389728E-2</v>
      </c>
    </row>
    <row r="26" spans="1:44" x14ac:dyDescent="0.25">
      <c r="A26" s="24" t="s">
        <v>73</v>
      </c>
      <c r="B26" s="45">
        <f>'Parameter Input'!$L$211</f>
        <v>0.04</v>
      </c>
      <c r="C26" s="46">
        <f>'Parameter Input'!$M$211</f>
        <v>0.04</v>
      </c>
      <c r="D26" s="1" t="s">
        <v>57</v>
      </c>
      <c r="L26" s="54">
        <f>'Parameter Input'!$O$211</f>
        <v>17</v>
      </c>
      <c r="M26" s="37">
        <v>0</v>
      </c>
      <c r="N26" s="37">
        <v>1</v>
      </c>
      <c r="O26" s="37">
        <f>'Parameter Input'!$P$211</f>
        <v>0.9</v>
      </c>
      <c r="P26" s="55">
        <f>'Parameter Input'!$Q$211</f>
        <v>0.4</v>
      </c>
      <c r="Q26" s="4">
        <f t="shared" si="3"/>
        <v>0.99780374543478534</v>
      </c>
      <c r="R26" s="4">
        <f t="shared" si="3"/>
        <v>0.99685359315256394</v>
      </c>
      <c r="S26" s="4">
        <f t="shared" si="3"/>
        <v>0.99549347132349975</v>
      </c>
      <c r="T26" s="4">
        <f t="shared" si="3"/>
        <v>0.99354772139898062</v>
      </c>
      <c r="U26" s="4">
        <f t="shared" si="3"/>
        <v>0.99076681540580536</v>
      </c>
      <c r="V26" s="4">
        <f t="shared" si="3"/>
        <v>0.9867978615748374</v>
      </c>
      <c r="W26" s="4">
        <f t="shared" si="3"/>
        <v>0.98114509762858249</v>
      </c>
      <c r="X26" s="4">
        <f t="shared" si="3"/>
        <v>0.97311898315872036</v>
      </c>
      <c r="Y26" s="4">
        <f t="shared" si="3"/>
        <v>0.96177484161592774</v>
      </c>
      <c r="Z26" s="4">
        <f t="shared" si="3"/>
        <v>0.94584787155511363</v>
      </c>
      <c r="AA26" s="4">
        <f t="shared" si="3"/>
        <v>0.92370360150141495</v>
      </c>
      <c r="AB26" s="4">
        <f t="shared" si="3"/>
        <v>0.89334463567658451</v>
      </c>
      <c r="AC26" s="4">
        <f t="shared" si="3"/>
        <v>0.85254543874327005</v>
      </c>
      <c r="AD26" s="4">
        <f t="shared" si="3"/>
        <v>0.79921300652623883</v>
      </c>
      <c r="AE26" s="4">
        <f t="shared" si="3"/>
        <v>0.73204982249993378</v>
      </c>
      <c r="AF26" s="4">
        <f t="shared" si="3"/>
        <v>0.65145592958786691</v>
      </c>
      <c r="AG26" s="4">
        <f t="shared" si="1"/>
        <v>0.56032247880849573</v>
      </c>
      <c r="AH26" s="4">
        <f t="shared" si="1"/>
        <v>0.46411326873185343</v>
      </c>
      <c r="AI26" s="4">
        <f t="shared" si="1"/>
        <v>0.36979727595523937</v>
      </c>
      <c r="AJ26" s="4">
        <f t="shared" si="1"/>
        <v>0.28393948637231203</v>
      </c>
      <c r="AK26" s="4">
        <f t="shared" si="1"/>
        <v>0.21097259161117732</v>
      </c>
      <c r="AL26" s="4">
        <f t="shared" si="1"/>
        <v>0.15253917653798199</v>
      </c>
      <c r="AM26" s="4">
        <f t="shared" si="1"/>
        <v>0.10795188737709993</v>
      </c>
      <c r="AN26" s="4">
        <f t="shared" si="1"/>
        <v>7.5176653938091809E-2</v>
      </c>
      <c r="AO26" s="4">
        <f t="shared" si="1"/>
        <v>5.1742836177502194E-2</v>
      </c>
      <c r="AP26" s="4">
        <f t="shared" si="1"/>
        <v>3.5319190625345942E-2</v>
      </c>
      <c r="AQ26" s="4">
        <f t="shared" si="1"/>
        <v>2.3969442072658165E-2</v>
      </c>
      <c r="AR26" s="4">
        <f t="shared" si="1"/>
        <v>1.6202243558389728E-2</v>
      </c>
    </row>
    <row r="27" spans="1:44" ht="15.75" thickBot="1" x14ac:dyDescent="0.3">
      <c r="A27" s="24" t="s">
        <v>64</v>
      </c>
      <c r="B27" s="49">
        <f>'Parameter Input'!B161</f>
        <v>120000</v>
      </c>
      <c r="C27" s="50">
        <f>'Parameter Input'!C161</f>
        <v>120000</v>
      </c>
      <c r="D27" s="1" t="s">
        <v>65</v>
      </c>
      <c r="L27" s="56">
        <f>'Parameter Input'!E161</f>
        <v>17</v>
      </c>
      <c r="M27" s="57">
        <v>0</v>
      </c>
      <c r="N27" s="57">
        <v>1</v>
      </c>
      <c r="O27" s="57">
        <f>'Parameter Input'!F161</f>
        <v>0.9</v>
      </c>
      <c r="P27" s="58">
        <f>'Parameter Input'!G161</f>
        <v>0.4</v>
      </c>
      <c r="Q27" s="4">
        <f t="shared" si="3"/>
        <v>0.99780374543478534</v>
      </c>
      <c r="R27" s="4">
        <f t="shared" si="3"/>
        <v>0.99685359315256394</v>
      </c>
      <c r="S27" s="4">
        <f t="shared" si="3"/>
        <v>0.99549347132349975</v>
      </c>
      <c r="T27" s="4">
        <f t="shared" si="3"/>
        <v>0.99354772139898062</v>
      </c>
      <c r="U27" s="4">
        <f t="shared" si="3"/>
        <v>0.99076681540580536</v>
      </c>
      <c r="V27" s="4">
        <f t="shared" si="3"/>
        <v>0.9867978615748374</v>
      </c>
      <c r="W27" s="4">
        <f t="shared" si="3"/>
        <v>0.98114509762858249</v>
      </c>
      <c r="X27" s="4">
        <f t="shared" si="3"/>
        <v>0.97311898315872036</v>
      </c>
      <c r="Y27" s="4">
        <f t="shared" si="3"/>
        <v>0.96177484161592774</v>
      </c>
      <c r="Z27" s="4">
        <f t="shared" si="3"/>
        <v>0.94584787155511363</v>
      </c>
      <c r="AA27" s="4">
        <f t="shared" si="3"/>
        <v>0.92370360150141495</v>
      </c>
      <c r="AB27" s="4">
        <f t="shared" si="3"/>
        <v>0.89334463567658451</v>
      </c>
      <c r="AC27" s="4">
        <f t="shared" si="3"/>
        <v>0.85254543874327005</v>
      </c>
      <c r="AD27" s="4">
        <f t="shared" si="3"/>
        <v>0.79921300652623883</v>
      </c>
      <c r="AE27" s="4">
        <f t="shared" si="3"/>
        <v>0.73204982249993378</v>
      </c>
      <c r="AF27" s="4">
        <f t="shared" si="3"/>
        <v>0.65145592958786691</v>
      </c>
      <c r="AG27" s="4">
        <f t="shared" si="1"/>
        <v>0.56032247880849573</v>
      </c>
      <c r="AH27" s="4">
        <f t="shared" si="1"/>
        <v>0.46411326873185343</v>
      </c>
      <c r="AI27" s="4">
        <f t="shared" si="1"/>
        <v>0.36979727595523937</v>
      </c>
      <c r="AJ27" s="4">
        <f t="shared" si="1"/>
        <v>0.28393948637231203</v>
      </c>
      <c r="AK27" s="4">
        <f t="shared" si="1"/>
        <v>0.21097259161117732</v>
      </c>
      <c r="AL27" s="4">
        <f t="shared" si="1"/>
        <v>0.15253917653798199</v>
      </c>
      <c r="AM27" s="4">
        <f t="shared" si="1"/>
        <v>0.10795188737709993</v>
      </c>
      <c r="AN27" s="4">
        <f t="shared" si="1"/>
        <v>7.5176653938091809E-2</v>
      </c>
      <c r="AO27" s="4">
        <f t="shared" si="1"/>
        <v>5.1742836177502194E-2</v>
      </c>
      <c r="AP27" s="4">
        <f t="shared" si="1"/>
        <v>3.5319190625345942E-2</v>
      </c>
      <c r="AQ27" s="4">
        <f t="shared" si="1"/>
        <v>2.3969442072658165E-2</v>
      </c>
      <c r="AR27" s="4">
        <f t="shared" si="1"/>
        <v>1.6202243558389728E-2</v>
      </c>
    </row>
    <row r="28" spans="1:44" x14ac:dyDescent="0.25">
      <c r="A28" s="25"/>
      <c r="B28" s="40"/>
    </row>
    <row r="29" spans="1:44" ht="15.75" thickBot="1" x14ac:dyDescent="0.3"/>
    <row r="30" spans="1:44"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0" si="4">A11</f>
        <v>Capex vehicle</v>
      </c>
      <c r="B31" s="62">
        <f t="shared" ref="B31:B39" si="5">$B11+($C11-$B11)*(1-Q11)</f>
        <v>19490116.854456533</v>
      </c>
      <c r="C31" s="62">
        <f t="shared" ref="C31:C39" si="6">$B11+($C11-$B11)*(1-R11)</f>
        <v>19485841.169186536</v>
      </c>
      <c r="D31" s="62">
        <f t="shared" ref="D31:D39" si="7">$B11+($C11-$B11)*(1-S11)</f>
        <v>19479720.62095575</v>
      </c>
      <c r="E31" s="62">
        <f t="shared" ref="E31:E39" si="8">$B11+($C11-$B11)*(1-T11)</f>
        <v>19470964.746295411</v>
      </c>
      <c r="F31" s="62">
        <f t="shared" ref="F31:F39" si="9">$B11+($C11-$B11)*(1-U11)</f>
        <v>19458450.669326123</v>
      </c>
      <c r="G31" s="62">
        <f t="shared" ref="G31:G39" si="10">$B11+($C11-$B11)*(1-V11)</f>
        <v>19440590.37708677</v>
      </c>
      <c r="H31" s="62">
        <f t="shared" ref="H31:H39" si="11">$B11+($C11-$B11)*(1-W11)</f>
        <v>19415152.939328622</v>
      </c>
      <c r="I31" s="62">
        <f t="shared" ref="I31:I39" si="12">$B11+($C11-$B11)*(1-X11)</f>
        <v>19379035.42421424</v>
      </c>
      <c r="J31" s="62">
        <f t="shared" ref="J31:J39" si="13">$B11+($C11-$B11)*(1-Y11)</f>
        <v>19327986.787271675</v>
      </c>
      <c r="K31" s="62">
        <f t="shared" ref="K31:K39" si="14">$B11+($C11-$B11)*(1-Z11)</f>
        <v>19256315.421998013</v>
      </c>
      <c r="L31" s="62">
        <f t="shared" ref="L31:L39" si="15">$B11+($C11-$B11)*(1-AA11)</f>
        <v>19156666.206756368</v>
      </c>
      <c r="M31" s="62">
        <f t="shared" ref="M31:M39" si="16">$B11+($C11-$B11)*(1-AB11)</f>
        <v>19020050.860544629</v>
      </c>
      <c r="N31" s="62">
        <f t="shared" ref="N31:N39" si="17">$B11+($C11-$B11)*(1-AC11)</f>
        <v>18836454.474344715</v>
      </c>
      <c r="O31" s="62">
        <f t="shared" ref="O31:O39" si="18">$B11+($C11-$B11)*(1-AD11)</f>
        <v>18596458.529368076</v>
      </c>
      <c r="P31" s="62">
        <f t="shared" ref="P31:P39" si="19">$B11+($C11-$B11)*(1-AE11)</f>
        <v>18294224.201249704</v>
      </c>
      <c r="Q31" s="62">
        <f t="shared" ref="Q31:Q39" si="20">$B11+($C11-$B11)*(1-AF11)</f>
        <v>17931551.6831454</v>
      </c>
      <c r="R31" s="62">
        <f t="shared" ref="R31:R39" si="21">$B11+($C11-$B11)*(1-AG11)</f>
        <v>17521451.154638231</v>
      </c>
      <c r="S31" s="62">
        <f t="shared" ref="S31:S39" si="22">$B11+($C11-$B11)*(1-AH11)</f>
        <v>17088509.709293339</v>
      </c>
      <c r="T31" s="62">
        <f t="shared" ref="T31:T39" si="23">$B11+($C11-$B11)*(1-AI11)</f>
        <v>16664087.741798578</v>
      </c>
      <c r="U31" s="62">
        <f t="shared" ref="U31:U39" si="24">$B11+($C11-$B11)*(1-AJ11)</f>
        <v>16277727.688675404</v>
      </c>
      <c r="V31" s="62">
        <f t="shared" ref="V31:V39" si="25">$B11+($C11-$B11)*(1-AK11)</f>
        <v>15949376.662250299</v>
      </c>
      <c r="W31" s="62">
        <f t="shared" ref="W31:W39" si="26">$B11+($C11-$B11)*(1-AL11)</f>
        <v>15686426.294420918</v>
      </c>
      <c r="X31" s="62">
        <f t="shared" ref="X31:X39" si="27">$B11+($C11-$B11)*(1-AM11)</f>
        <v>15485783.493196949</v>
      </c>
      <c r="Y31" s="62">
        <f t="shared" ref="Y31:Y39" si="28">$B11+($C11-$B11)*(1-AN11)</f>
        <v>15338294.942721413</v>
      </c>
      <c r="Z31" s="62">
        <f t="shared" ref="Z31:Z39" si="29">$B11+($C11-$B11)*(1-AO11)</f>
        <v>15232842.76279876</v>
      </c>
      <c r="AA31" s="62">
        <f t="shared" ref="AA31:AA39" si="30">$B11+($C11-$B11)*(1-AP11)</f>
        <v>15158936.357814057</v>
      </c>
      <c r="AB31" s="62">
        <f t="shared" ref="AB31:AB39" si="31">$B11+($C11-$B11)*(1-AQ11)</f>
        <v>15107862.489326961</v>
      </c>
      <c r="AC31" s="62">
        <f t="shared" ref="AC31:AC39" si="32">$B11+($C11-$B11)*(1-AR11)</f>
        <v>15072910.096012753</v>
      </c>
    </row>
    <row r="32" spans="1:44" x14ac:dyDescent="0.25">
      <c r="A32" s="30" t="str">
        <f t="shared" si="4"/>
        <v>Residual value (vehicle)</v>
      </c>
      <c r="B32" s="62">
        <f t="shared" si="5"/>
        <v>-976153.03364673769</v>
      </c>
      <c r="C32" s="62">
        <f t="shared" si="6"/>
        <v>-976651.86359490396</v>
      </c>
      <c r="D32" s="62">
        <f t="shared" si="7"/>
        <v>-977365.92755516258</v>
      </c>
      <c r="E32" s="62">
        <f t="shared" si="8"/>
        <v>-978387.4462655352</v>
      </c>
      <c r="F32" s="62">
        <f t="shared" si="9"/>
        <v>-979847.4219119522</v>
      </c>
      <c r="G32" s="62">
        <f t="shared" si="10"/>
        <v>-981931.12267321034</v>
      </c>
      <c r="H32" s="62">
        <f t="shared" si="11"/>
        <v>-984898.82374499424</v>
      </c>
      <c r="I32" s="62">
        <f t="shared" si="12"/>
        <v>-989112.53384167177</v>
      </c>
      <c r="J32" s="62">
        <f t="shared" si="13"/>
        <v>-995068.20815163793</v>
      </c>
      <c r="K32" s="62">
        <f t="shared" si="14"/>
        <v>-1003429.8674335653</v>
      </c>
      <c r="L32" s="62">
        <f t="shared" si="15"/>
        <v>-1015055.6092117572</v>
      </c>
      <c r="M32" s="62">
        <f t="shared" si="16"/>
        <v>-1030994.0662697931</v>
      </c>
      <c r="N32" s="62">
        <f t="shared" si="17"/>
        <v>-1052413.6446597832</v>
      </c>
      <c r="O32" s="62">
        <f t="shared" si="18"/>
        <v>-1080413.1715737246</v>
      </c>
      <c r="P32" s="62">
        <f t="shared" si="19"/>
        <v>-1115673.8431875347</v>
      </c>
      <c r="Q32" s="62">
        <f t="shared" si="20"/>
        <v>-1157985.6369663698</v>
      </c>
      <c r="R32" s="62">
        <f t="shared" si="21"/>
        <v>-1205830.6986255397</v>
      </c>
      <c r="S32" s="62">
        <f t="shared" si="22"/>
        <v>-1256340.533915777</v>
      </c>
      <c r="T32" s="62">
        <f t="shared" si="23"/>
        <v>-1305856.4301234994</v>
      </c>
      <c r="U32" s="62">
        <f t="shared" si="24"/>
        <v>-1350931.7696545362</v>
      </c>
      <c r="V32" s="62">
        <f t="shared" si="25"/>
        <v>-1389239.389404132</v>
      </c>
      <c r="W32" s="62">
        <f t="shared" si="26"/>
        <v>-1419916.9323175594</v>
      </c>
      <c r="X32" s="62">
        <f t="shared" si="27"/>
        <v>-1443325.2591270225</v>
      </c>
      <c r="Y32" s="62">
        <f t="shared" si="28"/>
        <v>-1460532.2566825019</v>
      </c>
      <c r="Z32" s="62">
        <f t="shared" si="29"/>
        <v>-1472835.0110068114</v>
      </c>
      <c r="AA32" s="62">
        <f t="shared" si="30"/>
        <v>-1481457.4249216933</v>
      </c>
      <c r="AB32" s="62">
        <f t="shared" si="31"/>
        <v>-1487416.0429118546</v>
      </c>
      <c r="AC32" s="62">
        <f t="shared" si="32"/>
        <v>-1491493.8221318454</v>
      </c>
    </row>
    <row r="33" spans="1:29" x14ac:dyDescent="0.25">
      <c r="A33" s="30" t="str">
        <f t="shared" si="4"/>
        <v>Capex costumization</v>
      </c>
      <c r="B33" s="62">
        <f t="shared" si="5"/>
        <v>1000000</v>
      </c>
      <c r="C33" s="62">
        <f t="shared" si="6"/>
        <v>1000000</v>
      </c>
      <c r="D33" s="62">
        <f t="shared" si="7"/>
        <v>1000000</v>
      </c>
      <c r="E33" s="62">
        <f t="shared" si="8"/>
        <v>1000000</v>
      </c>
      <c r="F33" s="62">
        <f t="shared" si="9"/>
        <v>1000000</v>
      </c>
      <c r="G33" s="62">
        <f t="shared" si="10"/>
        <v>1000000</v>
      </c>
      <c r="H33" s="62">
        <f t="shared" si="11"/>
        <v>1000000</v>
      </c>
      <c r="I33" s="62">
        <f t="shared" si="12"/>
        <v>1000000</v>
      </c>
      <c r="J33" s="62">
        <f t="shared" si="13"/>
        <v>1000000</v>
      </c>
      <c r="K33" s="62">
        <f t="shared" si="14"/>
        <v>1000000</v>
      </c>
      <c r="L33" s="62">
        <f t="shared" si="15"/>
        <v>1000000</v>
      </c>
      <c r="M33" s="62">
        <f t="shared" si="16"/>
        <v>1000000</v>
      </c>
      <c r="N33" s="62">
        <f t="shared" si="17"/>
        <v>1000000</v>
      </c>
      <c r="O33" s="62">
        <f t="shared" si="18"/>
        <v>1000000</v>
      </c>
      <c r="P33" s="62">
        <f t="shared" si="19"/>
        <v>1000000</v>
      </c>
      <c r="Q33" s="62">
        <f t="shared" si="20"/>
        <v>1000000</v>
      </c>
      <c r="R33" s="62">
        <f t="shared" si="21"/>
        <v>1000000</v>
      </c>
      <c r="S33" s="62">
        <f t="shared" si="22"/>
        <v>1000000</v>
      </c>
      <c r="T33" s="62">
        <f t="shared" si="23"/>
        <v>1000000</v>
      </c>
      <c r="U33" s="62">
        <f t="shared" si="24"/>
        <v>1000000</v>
      </c>
      <c r="V33" s="62">
        <f t="shared" si="25"/>
        <v>1000000</v>
      </c>
      <c r="W33" s="62">
        <f t="shared" si="26"/>
        <v>1000000</v>
      </c>
      <c r="X33" s="62">
        <f t="shared" si="27"/>
        <v>1000000</v>
      </c>
      <c r="Y33" s="62">
        <f t="shared" si="28"/>
        <v>1000000</v>
      </c>
      <c r="Z33" s="62">
        <f t="shared" si="29"/>
        <v>1000000</v>
      </c>
      <c r="AA33" s="62">
        <f t="shared" si="30"/>
        <v>1000000</v>
      </c>
      <c r="AB33" s="62">
        <f t="shared" si="31"/>
        <v>1000000</v>
      </c>
      <c r="AC33" s="62">
        <f t="shared" si="32"/>
        <v>1000000</v>
      </c>
    </row>
    <row r="34" spans="1:29" x14ac:dyDescent="0.25">
      <c r="A34" s="30" t="str">
        <f t="shared" si="4"/>
        <v>Residual value (costumization)</v>
      </c>
      <c r="B34" s="62">
        <f t="shared" si="5"/>
        <v>-100000</v>
      </c>
      <c r="C34" s="62">
        <f t="shared" si="6"/>
        <v>-100000</v>
      </c>
      <c r="D34" s="62">
        <f t="shared" si="7"/>
        <v>-100000</v>
      </c>
      <c r="E34" s="62">
        <f t="shared" si="8"/>
        <v>-100000</v>
      </c>
      <c r="F34" s="62">
        <f t="shared" si="9"/>
        <v>-100000</v>
      </c>
      <c r="G34" s="62">
        <f t="shared" si="10"/>
        <v>-100000</v>
      </c>
      <c r="H34" s="62">
        <f t="shared" si="11"/>
        <v>-100000</v>
      </c>
      <c r="I34" s="62">
        <f t="shared" si="12"/>
        <v>-100000</v>
      </c>
      <c r="J34" s="62">
        <f t="shared" si="13"/>
        <v>-100000</v>
      </c>
      <c r="K34" s="62">
        <f t="shared" si="14"/>
        <v>-100000</v>
      </c>
      <c r="L34" s="62">
        <f t="shared" si="15"/>
        <v>-100000</v>
      </c>
      <c r="M34" s="62">
        <f t="shared" si="16"/>
        <v>-100000</v>
      </c>
      <c r="N34" s="62">
        <f t="shared" si="17"/>
        <v>-100000</v>
      </c>
      <c r="O34" s="62">
        <f t="shared" si="18"/>
        <v>-100000</v>
      </c>
      <c r="P34" s="62">
        <f t="shared" si="19"/>
        <v>-100000</v>
      </c>
      <c r="Q34" s="62">
        <f t="shared" si="20"/>
        <v>-100000</v>
      </c>
      <c r="R34" s="62">
        <f t="shared" si="21"/>
        <v>-100000</v>
      </c>
      <c r="S34" s="62">
        <f t="shared" si="22"/>
        <v>-100000</v>
      </c>
      <c r="T34" s="62">
        <f t="shared" si="23"/>
        <v>-100000</v>
      </c>
      <c r="U34" s="62">
        <f t="shared" si="24"/>
        <v>-100000</v>
      </c>
      <c r="V34" s="62">
        <f t="shared" si="25"/>
        <v>-100000</v>
      </c>
      <c r="W34" s="62">
        <f t="shared" si="26"/>
        <v>-100000</v>
      </c>
      <c r="X34" s="62">
        <f t="shared" si="27"/>
        <v>-100000</v>
      </c>
      <c r="Y34" s="62">
        <f t="shared" si="28"/>
        <v>-100000</v>
      </c>
      <c r="Z34" s="62">
        <f t="shared" si="29"/>
        <v>-100000</v>
      </c>
      <c r="AA34" s="62">
        <f t="shared" si="30"/>
        <v>-100000</v>
      </c>
      <c r="AB34" s="62">
        <f t="shared" si="31"/>
        <v>-100000</v>
      </c>
      <c r="AC34" s="62">
        <f t="shared" si="32"/>
        <v>-100000</v>
      </c>
    </row>
    <row r="35" spans="1:29" x14ac:dyDescent="0.25">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25">
      <c r="A36" s="30" t="str">
        <f t="shared" si="4"/>
        <v>Opex fix (admin, crew, insurance)</v>
      </c>
      <c r="B36" s="62">
        <f t="shared" si="5"/>
        <v>1208235.294117647</v>
      </c>
      <c r="C36" s="62">
        <f t="shared" si="6"/>
        <v>1208235.294117647</v>
      </c>
      <c r="D36" s="62">
        <f t="shared" si="7"/>
        <v>1208235.294117647</v>
      </c>
      <c r="E36" s="62">
        <f t="shared" si="8"/>
        <v>1208235.294117647</v>
      </c>
      <c r="F36" s="62">
        <f t="shared" si="9"/>
        <v>1208235.294117647</v>
      </c>
      <c r="G36" s="62">
        <f t="shared" si="10"/>
        <v>1208235.294117647</v>
      </c>
      <c r="H36" s="62">
        <f t="shared" si="11"/>
        <v>1208235.294117647</v>
      </c>
      <c r="I36" s="62">
        <f t="shared" si="12"/>
        <v>1208235.294117647</v>
      </c>
      <c r="J36" s="62">
        <f t="shared" si="13"/>
        <v>1208235.294117647</v>
      </c>
      <c r="K36" s="62">
        <f t="shared" si="14"/>
        <v>1208235.294117647</v>
      </c>
      <c r="L36" s="62">
        <f t="shared" si="15"/>
        <v>1208235.294117647</v>
      </c>
      <c r="M36" s="62">
        <f t="shared" si="16"/>
        <v>1208235.294117647</v>
      </c>
      <c r="N36" s="62">
        <f t="shared" si="17"/>
        <v>1208235.294117647</v>
      </c>
      <c r="O36" s="62">
        <f t="shared" si="18"/>
        <v>1208235.294117647</v>
      </c>
      <c r="P36" s="62">
        <f t="shared" si="19"/>
        <v>1208235.294117647</v>
      </c>
      <c r="Q36" s="62">
        <f t="shared" si="20"/>
        <v>1208235.294117647</v>
      </c>
      <c r="R36" s="62">
        <f t="shared" si="21"/>
        <v>1208235.294117647</v>
      </c>
      <c r="S36" s="62">
        <f t="shared" si="22"/>
        <v>1208235.294117647</v>
      </c>
      <c r="T36" s="62">
        <f t="shared" si="23"/>
        <v>1208235.294117647</v>
      </c>
      <c r="U36" s="62">
        <f t="shared" si="24"/>
        <v>1208235.294117647</v>
      </c>
      <c r="V36" s="62">
        <f t="shared" si="25"/>
        <v>1208235.294117647</v>
      </c>
      <c r="W36" s="62">
        <f t="shared" si="26"/>
        <v>1208235.294117647</v>
      </c>
      <c r="X36" s="62">
        <f t="shared" si="27"/>
        <v>1208235.294117647</v>
      </c>
      <c r="Y36" s="62">
        <f t="shared" si="28"/>
        <v>1208235.294117647</v>
      </c>
      <c r="Z36" s="62">
        <f t="shared" si="29"/>
        <v>1208235.294117647</v>
      </c>
      <c r="AA36" s="62">
        <f t="shared" si="30"/>
        <v>1208235.294117647</v>
      </c>
      <c r="AB36" s="62">
        <f t="shared" si="31"/>
        <v>1208235.294117647</v>
      </c>
      <c r="AC36" s="62">
        <f t="shared" si="32"/>
        <v>1208235.294117647</v>
      </c>
    </row>
    <row r="37" spans="1:29" x14ac:dyDescent="0.25">
      <c r="A37" s="30" t="str">
        <f t="shared" si="4"/>
        <v>Opex maintenance &amp; repair</v>
      </c>
      <c r="B37" s="62">
        <f t="shared" si="5"/>
        <v>488235.29411764705</v>
      </c>
      <c r="C37" s="62">
        <f t="shared" si="6"/>
        <v>488235.29411764705</v>
      </c>
      <c r="D37" s="62">
        <f t="shared" si="7"/>
        <v>488235.29411764705</v>
      </c>
      <c r="E37" s="62">
        <f t="shared" si="8"/>
        <v>488235.29411764705</v>
      </c>
      <c r="F37" s="62">
        <f t="shared" si="9"/>
        <v>488235.29411764705</v>
      </c>
      <c r="G37" s="62">
        <f t="shared" si="10"/>
        <v>488235.29411764705</v>
      </c>
      <c r="H37" s="62">
        <f t="shared" si="11"/>
        <v>488235.29411764705</v>
      </c>
      <c r="I37" s="62">
        <f t="shared" si="12"/>
        <v>488235.29411764705</v>
      </c>
      <c r="J37" s="62">
        <f t="shared" si="13"/>
        <v>488235.29411764705</v>
      </c>
      <c r="K37" s="62">
        <f t="shared" si="14"/>
        <v>488235.29411764705</v>
      </c>
      <c r="L37" s="62">
        <f t="shared" si="15"/>
        <v>488235.29411764705</v>
      </c>
      <c r="M37" s="62">
        <f t="shared" si="16"/>
        <v>488235.29411764705</v>
      </c>
      <c r="N37" s="62">
        <f t="shared" si="17"/>
        <v>488235.29411764705</v>
      </c>
      <c r="O37" s="62">
        <f t="shared" si="18"/>
        <v>488235.29411764705</v>
      </c>
      <c r="P37" s="62">
        <f t="shared" si="19"/>
        <v>488235.29411764705</v>
      </c>
      <c r="Q37" s="62">
        <f t="shared" si="20"/>
        <v>488235.29411764705</v>
      </c>
      <c r="R37" s="62">
        <f t="shared" si="21"/>
        <v>488235.29411764705</v>
      </c>
      <c r="S37" s="62">
        <f t="shared" si="22"/>
        <v>488235.29411764705</v>
      </c>
      <c r="T37" s="62">
        <f t="shared" si="23"/>
        <v>488235.29411764705</v>
      </c>
      <c r="U37" s="62">
        <f t="shared" si="24"/>
        <v>488235.29411764705</v>
      </c>
      <c r="V37" s="62">
        <f t="shared" si="25"/>
        <v>488235.29411764705</v>
      </c>
      <c r="W37" s="62">
        <f t="shared" si="26"/>
        <v>488235.29411764705</v>
      </c>
      <c r="X37" s="62">
        <f t="shared" si="27"/>
        <v>488235.29411764705</v>
      </c>
      <c r="Y37" s="62">
        <f t="shared" si="28"/>
        <v>488235.29411764705</v>
      </c>
      <c r="Z37" s="62">
        <f t="shared" si="29"/>
        <v>488235.29411764705</v>
      </c>
      <c r="AA37" s="62">
        <f t="shared" si="30"/>
        <v>488235.29411764705</v>
      </c>
      <c r="AB37" s="62">
        <f t="shared" si="31"/>
        <v>488235.29411764705</v>
      </c>
      <c r="AC37" s="62">
        <f t="shared" si="32"/>
        <v>488235.29411764705</v>
      </c>
    </row>
    <row r="38" spans="1:29" x14ac:dyDescent="0.25">
      <c r="A38" s="30" t="str">
        <f t="shared" si="4"/>
        <v>Opex var (mode-fees)</v>
      </c>
      <c r="B38" s="62">
        <f t="shared" si="5"/>
        <v>0.8458018624557011</v>
      </c>
      <c r="C38" s="62">
        <f t="shared" si="6"/>
        <v>0.8458018624557011</v>
      </c>
      <c r="D38" s="62">
        <f t="shared" si="7"/>
        <v>0.8458018624557011</v>
      </c>
      <c r="E38" s="62">
        <f t="shared" si="8"/>
        <v>0.8458018624557011</v>
      </c>
      <c r="F38" s="62">
        <f t="shared" si="9"/>
        <v>0.8458018624557011</v>
      </c>
      <c r="G38" s="62">
        <f t="shared" si="10"/>
        <v>0.8458018624557011</v>
      </c>
      <c r="H38" s="62">
        <f t="shared" si="11"/>
        <v>0.8458018624557011</v>
      </c>
      <c r="I38" s="62">
        <f t="shared" si="12"/>
        <v>0.8458018624557011</v>
      </c>
      <c r="J38" s="62">
        <f t="shared" si="13"/>
        <v>0.8458018624557011</v>
      </c>
      <c r="K38" s="62">
        <f t="shared" si="14"/>
        <v>0.8458018624557011</v>
      </c>
      <c r="L38" s="62">
        <f t="shared" si="15"/>
        <v>0.8458018624557011</v>
      </c>
      <c r="M38" s="62">
        <f t="shared" si="16"/>
        <v>0.8458018624557011</v>
      </c>
      <c r="N38" s="62">
        <f t="shared" si="17"/>
        <v>0.8458018624557011</v>
      </c>
      <c r="O38" s="62">
        <f t="shared" si="18"/>
        <v>0.8458018624557011</v>
      </c>
      <c r="P38" s="62">
        <f t="shared" si="19"/>
        <v>0.8458018624557011</v>
      </c>
      <c r="Q38" s="62">
        <f t="shared" si="20"/>
        <v>0.8458018624557011</v>
      </c>
      <c r="R38" s="62">
        <f t="shared" si="21"/>
        <v>0.8458018624557011</v>
      </c>
      <c r="S38" s="62">
        <f t="shared" si="22"/>
        <v>0.8458018624557011</v>
      </c>
      <c r="T38" s="62">
        <f t="shared" si="23"/>
        <v>0.8458018624557011</v>
      </c>
      <c r="U38" s="62">
        <f t="shared" si="24"/>
        <v>0.8458018624557011</v>
      </c>
      <c r="V38" s="62">
        <f t="shared" si="25"/>
        <v>0.8458018624557011</v>
      </c>
      <c r="W38" s="62">
        <f t="shared" si="26"/>
        <v>0.8458018624557011</v>
      </c>
      <c r="X38" s="62">
        <f t="shared" si="27"/>
        <v>0.8458018624557011</v>
      </c>
      <c r="Y38" s="62">
        <f t="shared" si="28"/>
        <v>0.8458018624557011</v>
      </c>
      <c r="Z38" s="62">
        <f t="shared" si="29"/>
        <v>0.8458018624557011</v>
      </c>
      <c r="AA38" s="62">
        <f t="shared" si="30"/>
        <v>0.8458018624557011</v>
      </c>
      <c r="AB38" s="62">
        <f t="shared" si="31"/>
        <v>0.8458018624557011</v>
      </c>
      <c r="AC38" s="62">
        <f t="shared" si="32"/>
        <v>0.8458018624557011</v>
      </c>
    </row>
    <row r="39" spans="1:29" x14ac:dyDescent="0.25">
      <c r="A39" s="30" t="str">
        <f t="shared" si="4"/>
        <v>Fuel Economy</v>
      </c>
      <c r="B39" s="62">
        <f t="shared" si="5"/>
        <v>646.89677603543487</v>
      </c>
      <c r="C39" s="62">
        <f t="shared" si="6"/>
        <v>646.85211887817047</v>
      </c>
      <c r="D39" s="62">
        <f t="shared" si="7"/>
        <v>646.78819315220449</v>
      </c>
      <c r="E39" s="62">
        <f t="shared" si="8"/>
        <v>646.6967429057521</v>
      </c>
      <c r="F39" s="62">
        <f t="shared" si="9"/>
        <v>646.5660403240729</v>
      </c>
      <c r="G39" s="62">
        <f t="shared" si="10"/>
        <v>646.37949949401741</v>
      </c>
      <c r="H39" s="62">
        <f t="shared" si="11"/>
        <v>646.11381958854338</v>
      </c>
      <c r="I39" s="62">
        <f t="shared" si="12"/>
        <v>645.73659220845991</v>
      </c>
      <c r="J39" s="62">
        <f t="shared" si="13"/>
        <v>645.20341755594859</v>
      </c>
      <c r="K39" s="62">
        <f t="shared" si="14"/>
        <v>644.4548499630904</v>
      </c>
      <c r="L39" s="62">
        <f t="shared" si="15"/>
        <v>643.41406927056653</v>
      </c>
      <c r="M39" s="62">
        <f t="shared" si="16"/>
        <v>641.98719787679943</v>
      </c>
      <c r="N39" s="62">
        <f t="shared" si="17"/>
        <v>640.0696356209337</v>
      </c>
      <c r="O39" s="62">
        <f t="shared" si="18"/>
        <v>637.56301130673319</v>
      </c>
      <c r="P39" s="62">
        <f t="shared" si="19"/>
        <v>634.40634165749691</v>
      </c>
      <c r="Q39" s="62">
        <f t="shared" si="20"/>
        <v>630.6184286906298</v>
      </c>
      <c r="R39" s="62">
        <f t="shared" si="21"/>
        <v>626.33515650399931</v>
      </c>
      <c r="S39" s="62">
        <f t="shared" si="22"/>
        <v>621.81332363039712</v>
      </c>
      <c r="T39" s="62">
        <f t="shared" si="23"/>
        <v>617.38047196989623</v>
      </c>
      <c r="U39" s="62">
        <f t="shared" si="24"/>
        <v>613.34515585949862</v>
      </c>
      <c r="V39" s="62">
        <f t="shared" si="25"/>
        <v>609.91571180572532</v>
      </c>
      <c r="W39" s="62">
        <f t="shared" si="26"/>
        <v>607.1693412972852</v>
      </c>
      <c r="X39" s="62">
        <f t="shared" si="27"/>
        <v>605.0737387067237</v>
      </c>
      <c r="Y39" s="62">
        <f t="shared" si="28"/>
        <v>603.53330273509027</v>
      </c>
      <c r="Z39" s="62">
        <f t="shared" si="29"/>
        <v>602.43191330034256</v>
      </c>
      <c r="AA39" s="62">
        <f t="shared" si="30"/>
        <v>601.66000195939125</v>
      </c>
      <c r="AB39" s="62">
        <f t="shared" si="31"/>
        <v>601.12656377741496</v>
      </c>
      <c r="AC39" s="62">
        <f t="shared" si="32"/>
        <v>600.7615054472443</v>
      </c>
    </row>
    <row r="40" spans="1:29" x14ac:dyDescent="0.25">
      <c r="A40" s="30" t="str">
        <f t="shared" si="4"/>
        <v>Fuel Cost</v>
      </c>
      <c r="B40" s="62">
        <f>$B20+($C20-$B20)*(1-Q20)</f>
        <v>0.46007018325085908</v>
      </c>
      <c r="C40" s="62">
        <f>$B20+($C20-$B20)*(1-R20)</f>
        <v>0.45976753828113842</v>
      </c>
      <c r="D40" s="62">
        <f>$B20+($C20-$B20)*(1-S20)</f>
        <v>0.45933430874785641</v>
      </c>
      <c r="E40" s="62">
        <f t="shared" ref="E40:AC40" si="33">$B20+($C20-$B20)*(1-T20)</f>
        <v>0.45871454343443391</v>
      </c>
      <c r="F40" s="62">
        <f t="shared" si="33"/>
        <v>0.45782876204354683</v>
      </c>
      <c r="G40" s="62">
        <f t="shared" si="33"/>
        <v>0.45656456057345435</v>
      </c>
      <c r="H40" s="62">
        <f t="shared" si="33"/>
        <v>0.45476402753747325</v>
      </c>
      <c r="I40" s="62">
        <f t="shared" si="33"/>
        <v>0.4522075287360105</v>
      </c>
      <c r="J40" s="62">
        <f t="shared" si="33"/>
        <v>0.44859416334399271</v>
      </c>
      <c r="K40" s="62">
        <f t="shared" si="33"/>
        <v>0.44352106352411141</v>
      </c>
      <c r="L40" s="62">
        <f t="shared" si="33"/>
        <v>0.43646761318221511</v>
      </c>
      <c r="M40" s="62">
        <f t="shared" si="33"/>
        <v>0.42679759663357736</v>
      </c>
      <c r="N40" s="62">
        <f t="shared" si="33"/>
        <v>0.4138021305892895</v>
      </c>
      <c r="O40" s="62">
        <f t="shared" si="33"/>
        <v>0.39681454592999976</v>
      </c>
      <c r="P40" s="62">
        <f t="shared" si="33"/>
        <v>0.37542155432610358</v>
      </c>
      <c r="Q40" s="62">
        <f t="shared" si="33"/>
        <v>0.34975057848734814</v>
      </c>
      <c r="R40" s="62">
        <f t="shared" si="33"/>
        <v>0.32072251533605989</v>
      </c>
      <c r="S40" s="62">
        <f t="shared" si="33"/>
        <v>0.29007770816639111</v>
      </c>
      <c r="T40" s="62">
        <f t="shared" si="33"/>
        <v>0.26003593348231735</v>
      </c>
      <c r="U40" s="62">
        <f t="shared" si="33"/>
        <v>0.23268828762089908</v>
      </c>
      <c r="V40" s="62">
        <f t="shared" si="33"/>
        <v>0.20944668301835428</v>
      </c>
      <c r="W40" s="62">
        <f t="shared" si="33"/>
        <v>0.19083432006727308</v>
      </c>
      <c r="X40" s="62">
        <f t="shared" si="33"/>
        <v>0.17663226105998037</v>
      </c>
      <c r="Y40" s="62">
        <f t="shared" si="33"/>
        <v>0.16619260868284136</v>
      </c>
      <c r="Z40" s="62">
        <f t="shared" si="33"/>
        <v>0.15872840826013385</v>
      </c>
      <c r="AA40" s="62">
        <f t="shared" si="33"/>
        <v>0.15349710607432565</v>
      </c>
      <c r="AB40" s="62">
        <f t="shared" si="33"/>
        <v>0.14988195472297094</v>
      </c>
      <c r="AC40" s="62">
        <f t="shared" si="33"/>
        <v>0.14740792650333712</v>
      </c>
    </row>
    <row r="41" spans="1:29" x14ac:dyDescent="0.25">
      <c r="A41" s="30" t="str">
        <f t="shared" ref="A41" si="34">A21</f>
        <v>Emission Cost</v>
      </c>
      <c r="B41" s="66">
        <f>$B21+($C21-$B21)*(1-Q21)</f>
        <v>3.1561641138930518</v>
      </c>
      <c r="C41" s="66">
        <f t="shared" ref="C41:AC41" si="35">$B21+($C21-$B21)*(1-R21)</f>
        <v>3.1531586766519095</v>
      </c>
      <c r="D41" s="66">
        <f t="shared" si="35"/>
        <v>3.148856460181932</v>
      </c>
      <c r="E41" s="66">
        <f t="shared" si="35"/>
        <v>3.1427018369762418</v>
      </c>
      <c r="F41" s="66">
        <f t="shared" si="35"/>
        <v>3.1339055223302736</v>
      </c>
      <c r="G41" s="66">
        <f t="shared" si="35"/>
        <v>3.1213512803680521</v>
      </c>
      <c r="H41" s="66">
        <f t="shared" si="35"/>
        <v>3.103470959921165</v>
      </c>
      <c r="I41" s="66">
        <f t="shared" si="35"/>
        <v>3.0780834680624944</v>
      </c>
      <c r="J41" s="66">
        <f t="shared" si="35"/>
        <v>3.0422006879024699</v>
      </c>
      <c r="K41" s="66">
        <f t="shared" si="35"/>
        <v>2.9918219119367748</v>
      </c>
      <c r="L41" s="66">
        <f t="shared" si="35"/>
        <v>2.9217771252824751</v>
      </c>
      <c r="M41" s="66">
        <f t="shared" si="35"/>
        <v>2.8257483431601118</v>
      </c>
      <c r="N41" s="66">
        <f t="shared" si="35"/>
        <v>2.6966959500159344</v>
      </c>
      <c r="O41" s="66">
        <f t="shared" si="35"/>
        <v>2.527999541087663</v>
      </c>
      <c r="P41" s="66">
        <f t="shared" si="35"/>
        <v>2.3155549274364571</v>
      </c>
      <c r="Q41" s="66">
        <f t="shared" si="35"/>
        <v>2.0606274892785992</v>
      </c>
      <c r="R41" s="66">
        <f t="shared" si="35"/>
        <v>1.7723622585244727</v>
      </c>
      <c r="S41" s="66">
        <f t="shared" si="35"/>
        <v>1.4680418371398225</v>
      </c>
      <c r="T41" s="66">
        <f t="shared" si="35"/>
        <v>1.1697098724326394</v>
      </c>
      <c r="U41" s="66">
        <f t="shared" si="35"/>
        <v>0.89813214422744192</v>
      </c>
      <c r="V41" s="66">
        <f t="shared" si="35"/>
        <v>0.66732974866522188</v>
      </c>
      <c r="W41" s="66">
        <f t="shared" si="35"/>
        <v>0.48249836418702996</v>
      </c>
      <c r="X41" s="66">
        <f t="shared" si="35"/>
        <v>0.34146381442791984</v>
      </c>
      <c r="Y41" s="66">
        <f t="shared" si="35"/>
        <v>0.23779210936773287</v>
      </c>
      <c r="Z41" s="66">
        <f t="shared" si="35"/>
        <v>0.16366834003345909</v>
      </c>
      <c r="AA41" s="66">
        <f t="shared" si="35"/>
        <v>0.11171852430248297</v>
      </c>
      <c r="AB41" s="66">
        <f t="shared" si="35"/>
        <v>7.5818008547159366E-2</v>
      </c>
      <c r="AC41" s="66">
        <f t="shared" si="35"/>
        <v>5.1249496624470758E-2</v>
      </c>
    </row>
    <row r="42" spans="1:29" x14ac:dyDescent="0.25">
      <c r="A42" s="30" t="str">
        <f>A22</f>
        <v>Lifetime vehicle</v>
      </c>
      <c r="B42" s="62">
        <f>$B22+($C22-$B22)*(1-Q22)</f>
        <v>25</v>
      </c>
      <c r="C42" s="62">
        <f t="shared" ref="C42:L44" si="36">$B22+($C22-$B22)*(1-R22)</f>
        <v>25</v>
      </c>
      <c r="D42" s="62">
        <f t="shared" si="36"/>
        <v>25</v>
      </c>
      <c r="E42" s="62">
        <f t="shared" si="36"/>
        <v>25</v>
      </c>
      <c r="F42" s="62">
        <f t="shared" si="36"/>
        <v>25</v>
      </c>
      <c r="G42" s="62">
        <f t="shared" si="36"/>
        <v>25</v>
      </c>
      <c r="H42" s="62">
        <f t="shared" si="36"/>
        <v>25</v>
      </c>
      <c r="I42" s="62">
        <f t="shared" si="36"/>
        <v>25</v>
      </c>
      <c r="J42" s="62">
        <f t="shared" si="36"/>
        <v>25</v>
      </c>
      <c r="K42" s="62">
        <f t="shared" si="36"/>
        <v>25</v>
      </c>
      <c r="L42" s="62">
        <f t="shared" si="36"/>
        <v>25</v>
      </c>
      <c r="M42" s="62">
        <f t="shared" ref="M42:V44" si="37">$B22+($C22-$B22)*(1-AB22)</f>
        <v>25</v>
      </c>
      <c r="N42" s="62">
        <f t="shared" si="37"/>
        <v>25</v>
      </c>
      <c r="O42" s="62">
        <f t="shared" si="37"/>
        <v>25</v>
      </c>
      <c r="P42" s="62">
        <f t="shared" si="37"/>
        <v>25</v>
      </c>
      <c r="Q42" s="62">
        <f t="shared" si="37"/>
        <v>25</v>
      </c>
      <c r="R42" s="62">
        <f t="shared" si="37"/>
        <v>25</v>
      </c>
      <c r="S42" s="62">
        <f t="shared" si="37"/>
        <v>25</v>
      </c>
      <c r="T42" s="62">
        <f t="shared" si="37"/>
        <v>25</v>
      </c>
      <c r="U42" s="62">
        <f t="shared" si="37"/>
        <v>25</v>
      </c>
      <c r="V42" s="62">
        <f t="shared" si="37"/>
        <v>25</v>
      </c>
      <c r="W42" s="62">
        <f t="shared" ref="W42:AC44" si="38">$B22+($C22-$B22)*(1-AL22)</f>
        <v>25</v>
      </c>
      <c r="X42" s="62">
        <f t="shared" si="38"/>
        <v>25</v>
      </c>
      <c r="Y42" s="62">
        <f t="shared" si="38"/>
        <v>25</v>
      </c>
      <c r="Z42" s="62">
        <f t="shared" si="38"/>
        <v>25</v>
      </c>
      <c r="AA42" s="62">
        <f t="shared" si="38"/>
        <v>25</v>
      </c>
      <c r="AB42" s="62">
        <f t="shared" si="38"/>
        <v>25</v>
      </c>
      <c r="AC42" s="62">
        <f t="shared" si="38"/>
        <v>25</v>
      </c>
    </row>
    <row r="43" spans="1:29" x14ac:dyDescent="0.25">
      <c r="A43" s="30" t="str">
        <f>A23</f>
        <v>Lifetime costumization</v>
      </c>
      <c r="B43" s="62">
        <f>$B23+($C23-$B23)*(1-Q23)</f>
        <v>25</v>
      </c>
      <c r="C43" s="62">
        <f t="shared" si="36"/>
        <v>25</v>
      </c>
      <c r="D43" s="62">
        <f t="shared" si="36"/>
        <v>25</v>
      </c>
      <c r="E43" s="62">
        <f t="shared" si="36"/>
        <v>25</v>
      </c>
      <c r="F43" s="62">
        <f t="shared" si="36"/>
        <v>25</v>
      </c>
      <c r="G43" s="62">
        <f t="shared" si="36"/>
        <v>25</v>
      </c>
      <c r="H43" s="62">
        <f t="shared" si="36"/>
        <v>25</v>
      </c>
      <c r="I43" s="62">
        <f t="shared" si="36"/>
        <v>25</v>
      </c>
      <c r="J43" s="62">
        <f t="shared" si="36"/>
        <v>25</v>
      </c>
      <c r="K43" s="62">
        <f t="shared" si="36"/>
        <v>25</v>
      </c>
      <c r="L43" s="62">
        <f t="shared" si="36"/>
        <v>25</v>
      </c>
      <c r="M43" s="62">
        <f t="shared" si="37"/>
        <v>25</v>
      </c>
      <c r="N43" s="62">
        <f t="shared" si="37"/>
        <v>25</v>
      </c>
      <c r="O43" s="62">
        <f t="shared" si="37"/>
        <v>25</v>
      </c>
      <c r="P43" s="62">
        <f t="shared" si="37"/>
        <v>25</v>
      </c>
      <c r="Q43" s="62">
        <f t="shared" si="37"/>
        <v>25</v>
      </c>
      <c r="R43" s="62">
        <f t="shared" si="37"/>
        <v>25</v>
      </c>
      <c r="S43" s="62">
        <f t="shared" si="37"/>
        <v>25</v>
      </c>
      <c r="T43" s="62">
        <f t="shared" si="37"/>
        <v>25</v>
      </c>
      <c r="U43" s="62">
        <f t="shared" si="37"/>
        <v>25</v>
      </c>
      <c r="V43" s="62">
        <f t="shared" si="37"/>
        <v>25</v>
      </c>
      <c r="W43" s="62">
        <f t="shared" si="38"/>
        <v>25</v>
      </c>
      <c r="X43" s="62">
        <f t="shared" si="38"/>
        <v>25</v>
      </c>
      <c r="Y43" s="62">
        <f t="shared" si="38"/>
        <v>25</v>
      </c>
      <c r="Z43" s="62">
        <f t="shared" si="38"/>
        <v>25</v>
      </c>
      <c r="AA43" s="62">
        <f t="shared" si="38"/>
        <v>25</v>
      </c>
      <c r="AB43" s="62">
        <f t="shared" si="38"/>
        <v>25</v>
      </c>
      <c r="AC43" s="62">
        <f t="shared" si="38"/>
        <v>25</v>
      </c>
    </row>
    <row r="44" spans="1:29" x14ac:dyDescent="0.25">
      <c r="A44" s="30" t="str">
        <f>A24</f>
        <v>Tonnage .</v>
      </c>
      <c r="B44" s="62">
        <f>$B24+($C24-$B24)*(1-Q24)</f>
        <v>9450</v>
      </c>
      <c r="C44" s="62">
        <f t="shared" si="36"/>
        <v>9450</v>
      </c>
      <c r="D44" s="62">
        <f t="shared" si="36"/>
        <v>9450</v>
      </c>
      <c r="E44" s="62">
        <f t="shared" si="36"/>
        <v>9450</v>
      </c>
      <c r="F44" s="62">
        <f t="shared" si="36"/>
        <v>9450</v>
      </c>
      <c r="G44" s="62">
        <f t="shared" si="36"/>
        <v>9450</v>
      </c>
      <c r="H44" s="62">
        <f t="shared" si="36"/>
        <v>9450</v>
      </c>
      <c r="I44" s="62">
        <f t="shared" si="36"/>
        <v>9450</v>
      </c>
      <c r="J44" s="62">
        <f t="shared" si="36"/>
        <v>9450</v>
      </c>
      <c r="K44" s="62">
        <f t="shared" si="36"/>
        <v>9450</v>
      </c>
      <c r="L44" s="62">
        <f t="shared" si="36"/>
        <v>9450</v>
      </c>
      <c r="M44" s="62">
        <f t="shared" si="37"/>
        <v>9450</v>
      </c>
      <c r="N44" s="62">
        <f t="shared" si="37"/>
        <v>9450</v>
      </c>
      <c r="O44" s="62">
        <f t="shared" si="37"/>
        <v>9450</v>
      </c>
      <c r="P44" s="62">
        <f t="shared" si="37"/>
        <v>9450</v>
      </c>
      <c r="Q44" s="62">
        <f t="shared" si="37"/>
        <v>9450</v>
      </c>
      <c r="R44" s="62">
        <f t="shared" si="37"/>
        <v>9450</v>
      </c>
      <c r="S44" s="62">
        <f t="shared" si="37"/>
        <v>9450</v>
      </c>
      <c r="T44" s="62">
        <f t="shared" si="37"/>
        <v>9450</v>
      </c>
      <c r="U44" s="62">
        <f t="shared" si="37"/>
        <v>9450</v>
      </c>
      <c r="V44" s="62">
        <f t="shared" si="37"/>
        <v>9450</v>
      </c>
      <c r="W44" s="62">
        <f t="shared" si="38"/>
        <v>9450</v>
      </c>
      <c r="X44" s="62">
        <f t="shared" si="38"/>
        <v>9450</v>
      </c>
      <c r="Y44" s="62">
        <f t="shared" si="38"/>
        <v>9450</v>
      </c>
      <c r="Z44" s="62">
        <f t="shared" si="38"/>
        <v>9450</v>
      </c>
      <c r="AA44" s="62">
        <f t="shared" si="38"/>
        <v>9450</v>
      </c>
      <c r="AB44" s="62">
        <f t="shared" si="38"/>
        <v>9450</v>
      </c>
      <c r="AC44" s="62">
        <f t="shared" si="38"/>
        <v>9450</v>
      </c>
    </row>
    <row r="45" spans="1:29" x14ac:dyDescent="0.25">
      <c r="A45" s="30" t="str">
        <f>A25</f>
        <v>Market failure (av. utilization)</v>
      </c>
      <c r="B45" s="62">
        <f t="shared" ref="B45:K46" si="39">($B25+($C25-$B25)*(1-Q25))*B$44</f>
        <v>6426.0000000000009</v>
      </c>
      <c r="C45" s="62">
        <f t="shared" si="39"/>
        <v>6426.0000000000009</v>
      </c>
      <c r="D45" s="62">
        <f t="shared" si="39"/>
        <v>6426.0000000000009</v>
      </c>
      <c r="E45" s="62">
        <f t="shared" si="39"/>
        <v>6426.0000000000009</v>
      </c>
      <c r="F45" s="62">
        <f t="shared" si="39"/>
        <v>6426.0000000000009</v>
      </c>
      <c r="G45" s="62">
        <f t="shared" si="39"/>
        <v>6426.0000000000009</v>
      </c>
      <c r="H45" s="62">
        <f t="shared" si="39"/>
        <v>6426.0000000000009</v>
      </c>
      <c r="I45" s="62">
        <f t="shared" si="39"/>
        <v>6426.0000000000009</v>
      </c>
      <c r="J45" s="62">
        <f t="shared" si="39"/>
        <v>6426.0000000000009</v>
      </c>
      <c r="K45" s="62">
        <f t="shared" si="39"/>
        <v>6426.0000000000009</v>
      </c>
      <c r="L45" s="62">
        <f t="shared" ref="L45:U46" si="40">($B25+($C25-$B25)*(1-AA25))*L$44</f>
        <v>6426.0000000000009</v>
      </c>
      <c r="M45" s="62">
        <f t="shared" si="40"/>
        <v>6426.0000000000009</v>
      </c>
      <c r="N45" s="62">
        <f t="shared" si="40"/>
        <v>6426.0000000000009</v>
      </c>
      <c r="O45" s="62">
        <f t="shared" si="40"/>
        <v>6426.0000000000009</v>
      </c>
      <c r="P45" s="62">
        <f t="shared" si="40"/>
        <v>6426.0000000000009</v>
      </c>
      <c r="Q45" s="62">
        <f t="shared" si="40"/>
        <v>6426.0000000000009</v>
      </c>
      <c r="R45" s="62">
        <f t="shared" si="40"/>
        <v>6426.0000000000009</v>
      </c>
      <c r="S45" s="62">
        <f t="shared" si="40"/>
        <v>6426.0000000000009</v>
      </c>
      <c r="T45" s="62">
        <f t="shared" si="40"/>
        <v>6426.0000000000009</v>
      </c>
      <c r="U45" s="62">
        <f t="shared" si="40"/>
        <v>6426.0000000000009</v>
      </c>
      <c r="V45" s="62">
        <f t="shared" ref="V45:AC46" si="41">($B25+($C25-$B25)*(1-AK25))*V$44</f>
        <v>6426.0000000000009</v>
      </c>
      <c r="W45" s="62">
        <f t="shared" si="41"/>
        <v>6426.0000000000009</v>
      </c>
      <c r="X45" s="62">
        <f t="shared" si="41"/>
        <v>6426.0000000000009</v>
      </c>
      <c r="Y45" s="62">
        <f t="shared" si="41"/>
        <v>6426.0000000000009</v>
      </c>
      <c r="Z45" s="62">
        <f t="shared" si="41"/>
        <v>6426.0000000000009</v>
      </c>
      <c r="AA45" s="62">
        <f t="shared" si="41"/>
        <v>6426.0000000000009</v>
      </c>
      <c r="AB45" s="62">
        <f t="shared" si="41"/>
        <v>6426.0000000000009</v>
      </c>
      <c r="AC45" s="62">
        <f t="shared" si="41"/>
        <v>6426.0000000000009</v>
      </c>
    </row>
    <row r="46" spans="1:29" x14ac:dyDescent="0.25">
      <c r="A46" s="30" t="s">
        <v>73</v>
      </c>
      <c r="B46" s="62">
        <f t="shared" si="39"/>
        <v>378</v>
      </c>
      <c r="C46" s="62">
        <f t="shared" si="39"/>
        <v>378</v>
      </c>
      <c r="D46" s="62">
        <f t="shared" si="39"/>
        <v>378</v>
      </c>
      <c r="E46" s="62">
        <f t="shared" si="39"/>
        <v>378</v>
      </c>
      <c r="F46" s="62">
        <f t="shared" si="39"/>
        <v>378</v>
      </c>
      <c r="G46" s="62">
        <f t="shared" si="39"/>
        <v>378</v>
      </c>
      <c r="H46" s="62">
        <f t="shared" si="39"/>
        <v>378</v>
      </c>
      <c r="I46" s="62">
        <f t="shared" si="39"/>
        <v>378</v>
      </c>
      <c r="J46" s="62">
        <f t="shared" si="39"/>
        <v>378</v>
      </c>
      <c r="K46" s="62">
        <f t="shared" si="39"/>
        <v>378</v>
      </c>
      <c r="L46" s="62">
        <f t="shared" si="40"/>
        <v>378</v>
      </c>
      <c r="M46" s="62">
        <f t="shared" si="40"/>
        <v>378</v>
      </c>
      <c r="N46" s="62">
        <f t="shared" si="40"/>
        <v>378</v>
      </c>
      <c r="O46" s="62">
        <f t="shared" si="40"/>
        <v>378</v>
      </c>
      <c r="P46" s="62">
        <f t="shared" si="40"/>
        <v>378</v>
      </c>
      <c r="Q46" s="62">
        <f t="shared" si="40"/>
        <v>378</v>
      </c>
      <c r="R46" s="62">
        <f t="shared" si="40"/>
        <v>378</v>
      </c>
      <c r="S46" s="62">
        <f t="shared" si="40"/>
        <v>378</v>
      </c>
      <c r="T46" s="62">
        <f t="shared" si="40"/>
        <v>378</v>
      </c>
      <c r="U46" s="62">
        <f t="shared" si="40"/>
        <v>378</v>
      </c>
      <c r="V46" s="62">
        <f t="shared" si="41"/>
        <v>378</v>
      </c>
      <c r="W46" s="62">
        <f t="shared" si="41"/>
        <v>378</v>
      </c>
      <c r="X46" s="62">
        <f t="shared" si="41"/>
        <v>378</v>
      </c>
      <c r="Y46" s="62">
        <f t="shared" si="41"/>
        <v>378</v>
      </c>
      <c r="Z46" s="62">
        <f t="shared" si="41"/>
        <v>378</v>
      </c>
      <c r="AA46" s="62">
        <f t="shared" si="41"/>
        <v>378</v>
      </c>
      <c r="AB46" s="62">
        <f t="shared" si="41"/>
        <v>378</v>
      </c>
      <c r="AC46" s="62">
        <f t="shared" si="41"/>
        <v>378</v>
      </c>
    </row>
    <row r="47" spans="1:29" x14ac:dyDescent="0.25">
      <c r="A47" s="30" t="str">
        <f>A27</f>
        <v>Annual Mileage</v>
      </c>
      <c r="B47" s="62">
        <f t="shared" ref="B47:AC47" si="42">$B27+($C27-$B27)*(1-Q27)</f>
        <v>120000</v>
      </c>
      <c r="C47" s="62">
        <f t="shared" si="42"/>
        <v>120000</v>
      </c>
      <c r="D47" s="62">
        <f t="shared" si="42"/>
        <v>120000</v>
      </c>
      <c r="E47" s="62">
        <f t="shared" si="42"/>
        <v>120000</v>
      </c>
      <c r="F47" s="62">
        <f t="shared" si="42"/>
        <v>120000</v>
      </c>
      <c r="G47" s="62">
        <f t="shared" si="42"/>
        <v>120000</v>
      </c>
      <c r="H47" s="62">
        <f t="shared" si="42"/>
        <v>120000</v>
      </c>
      <c r="I47" s="62">
        <f t="shared" si="42"/>
        <v>120000</v>
      </c>
      <c r="J47" s="62">
        <f t="shared" si="42"/>
        <v>120000</v>
      </c>
      <c r="K47" s="62">
        <f t="shared" si="42"/>
        <v>120000</v>
      </c>
      <c r="L47" s="62">
        <f t="shared" si="42"/>
        <v>120000</v>
      </c>
      <c r="M47" s="62">
        <f t="shared" si="42"/>
        <v>120000</v>
      </c>
      <c r="N47" s="62">
        <f t="shared" si="42"/>
        <v>120000</v>
      </c>
      <c r="O47" s="62">
        <f t="shared" si="42"/>
        <v>120000</v>
      </c>
      <c r="P47" s="62">
        <f t="shared" si="42"/>
        <v>120000</v>
      </c>
      <c r="Q47" s="62">
        <f t="shared" si="42"/>
        <v>120000</v>
      </c>
      <c r="R47" s="62">
        <f t="shared" si="42"/>
        <v>120000</v>
      </c>
      <c r="S47" s="62">
        <f t="shared" si="42"/>
        <v>120000</v>
      </c>
      <c r="T47" s="62">
        <f t="shared" si="42"/>
        <v>120000</v>
      </c>
      <c r="U47" s="62">
        <f t="shared" si="42"/>
        <v>120000</v>
      </c>
      <c r="V47" s="62">
        <f t="shared" si="42"/>
        <v>120000</v>
      </c>
      <c r="W47" s="62">
        <f t="shared" si="42"/>
        <v>120000</v>
      </c>
      <c r="X47" s="62">
        <f t="shared" si="42"/>
        <v>120000</v>
      </c>
      <c r="Y47" s="62">
        <f t="shared" si="42"/>
        <v>120000</v>
      </c>
      <c r="Z47" s="62">
        <f t="shared" si="42"/>
        <v>120000</v>
      </c>
      <c r="AA47" s="62">
        <f t="shared" si="42"/>
        <v>120000</v>
      </c>
      <c r="AB47" s="62">
        <f t="shared" si="42"/>
        <v>120000</v>
      </c>
      <c r="AC47" s="62">
        <f t="shared" si="42"/>
        <v>120000</v>
      </c>
    </row>
    <row r="48" spans="1:29"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1524647.8790978624</v>
      </c>
      <c r="C50" s="63">
        <f t="shared" ref="C50:AC50" si="43">((1+C35)^C42)*C35/(((1+C35)^C42)-1)*(C31)</f>
        <v>1524313.4062710819</v>
      </c>
      <c r="D50" s="63">
        <f t="shared" si="43"/>
        <v>1523834.6158693277</v>
      </c>
      <c r="E50" s="63">
        <f t="shared" si="43"/>
        <v>1523149.6725295712</v>
      </c>
      <c r="F50" s="63">
        <f t="shared" si="43"/>
        <v>1522170.737356808</v>
      </c>
      <c r="G50" s="63">
        <f t="shared" si="43"/>
        <v>1520773.5853086114</v>
      </c>
      <c r="H50" s="63">
        <f t="shared" si="43"/>
        <v>1518783.6980330625</v>
      </c>
      <c r="I50" s="63">
        <f t="shared" si="43"/>
        <v>1515958.3433556822</v>
      </c>
      <c r="J50" s="63">
        <f t="shared" si="43"/>
        <v>1511964.9760184553</v>
      </c>
      <c r="K50" s="63">
        <f t="shared" si="43"/>
        <v>1506358.3603233036</v>
      </c>
      <c r="L50" s="63">
        <f t="shared" si="43"/>
        <v>1498563.1292425212</v>
      </c>
      <c r="M50" s="63">
        <f t="shared" si="43"/>
        <v>1487876.1590509433</v>
      </c>
      <c r="N50" s="63">
        <f t="shared" si="43"/>
        <v>1473514.0162828909</v>
      </c>
      <c r="O50" s="63">
        <f t="shared" si="43"/>
        <v>1454739.9211231149</v>
      </c>
      <c r="P50" s="63">
        <f t="shared" si="43"/>
        <v>1431097.1215033231</v>
      </c>
      <c r="Q50" s="63">
        <f t="shared" si="43"/>
        <v>1402726.440626242</v>
      </c>
      <c r="R50" s="63">
        <f t="shared" si="43"/>
        <v>1370645.6221440069</v>
      </c>
      <c r="S50" s="63">
        <f t="shared" si="43"/>
        <v>1336778.0336965974</v>
      </c>
      <c r="T50" s="63">
        <f t="shared" si="43"/>
        <v>1303576.896042286</v>
      </c>
      <c r="U50" s="63">
        <f t="shared" si="43"/>
        <v>1273353.2170381402</v>
      </c>
      <c r="V50" s="63">
        <f t="shared" si="43"/>
        <v>1247667.3938192725</v>
      </c>
      <c r="W50" s="63">
        <f t="shared" si="43"/>
        <v>1227097.6494912698</v>
      </c>
      <c r="X50" s="63">
        <f t="shared" si="43"/>
        <v>1211402.0216186012</v>
      </c>
      <c r="Y50" s="63">
        <f t="shared" si="43"/>
        <v>1199864.4763410145</v>
      </c>
      <c r="Z50" s="63">
        <f t="shared" si="43"/>
        <v>1191615.2983773351</v>
      </c>
      <c r="AA50" s="63">
        <f t="shared" si="43"/>
        <v>1185833.8428605145</v>
      </c>
      <c r="AB50" s="63">
        <f t="shared" si="43"/>
        <v>1181838.5017423639</v>
      </c>
      <c r="AC50" s="63">
        <f t="shared" si="43"/>
        <v>1179104.2907197287</v>
      </c>
    </row>
    <row r="51" spans="1:29" x14ac:dyDescent="0.25">
      <c r="A51" s="30" t="str">
        <f>A32</f>
        <v>Residual value (vehicle)</v>
      </c>
      <c r="B51" s="62">
        <f>((1+B35)^B42)*B35/(((1+B35)^B42)-1)*(B32)</f>
        <v>-76361.248295139725</v>
      </c>
      <c r="C51" s="62">
        <f t="shared" ref="C51:AC51" si="44">((1+C35)^C42)*C35/(((1+C35)^C42)-1)*(C32)</f>
        <v>-76400.270124930772</v>
      </c>
      <c r="D51" s="62">
        <f t="shared" si="44"/>
        <v>-76456.129005135459</v>
      </c>
      <c r="E51" s="62">
        <f t="shared" si="44"/>
        <v>-76536.039061440344</v>
      </c>
      <c r="F51" s="62">
        <f t="shared" si="44"/>
        <v>-76650.248164929391</v>
      </c>
      <c r="G51" s="62">
        <f t="shared" si="44"/>
        <v>-76813.249237219032</v>
      </c>
      <c r="H51" s="62">
        <f t="shared" si="44"/>
        <v>-77045.402752699738</v>
      </c>
      <c r="I51" s="62">
        <f t="shared" si="44"/>
        <v>-77375.027465060732</v>
      </c>
      <c r="J51" s="62">
        <f t="shared" si="44"/>
        <v>-77840.920321070545</v>
      </c>
      <c r="K51" s="62">
        <f t="shared" si="44"/>
        <v>-78495.025485504913</v>
      </c>
      <c r="L51" s="62">
        <f t="shared" si="44"/>
        <v>-79404.46911159619</v>
      </c>
      <c r="M51" s="62">
        <f t="shared" si="44"/>
        <v>-80651.282300613602</v>
      </c>
      <c r="N51" s="62">
        <f t="shared" si="44"/>
        <v>-82326.865623553065</v>
      </c>
      <c r="O51" s="62">
        <f t="shared" si="44"/>
        <v>-84517.176725526937</v>
      </c>
      <c r="P51" s="62">
        <f t="shared" si="44"/>
        <v>-87275.503347835998</v>
      </c>
      <c r="Q51" s="62">
        <f t="shared" si="44"/>
        <v>-90585.416116828768</v>
      </c>
      <c r="R51" s="62">
        <f t="shared" si="44"/>
        <v>-94328.178273089521</v>
      </c>
      <c r="S51" s="62">
        <f t="shared" si="44"/>
        <v>-98279.396925287292</v>
      </c>
      <c r="T51" s="62">
        <f t="shared" si="44"/>
        <v>-102152.86298495698</v>
      </c>
      <c r="U51" s="62">
        <f t="shared" si="44"/>
        <v>-105678.95886877397</v>
      </c>
      <c r="V51" s="62">
        <f t="shared" si="44"/>
        <v>-108675.63824430856</v>
      </c>
      <c r="W51" s="62">
        <f t="shared" si="44"/>
        <v>-111075.44174924218</v>
      </c>
      <c r="X51" s="62">
        <f t="shared" si="44"/>
        <v>-112906.59833438687</v>
      </c>
      <c r="Y51" s="62">
        <f t="shared" si="44"/>
        <v>-114252.64528343864</v>
      </c>
      <c r="Z51" s="62">
        <f t="shared" si="44"/>
        <v>-115215.04937920124</v>
      </c>
      <c r="AA51" s="62">
        <f t="shared" si="44"/>
        <v>-115889.55252283029</v>
      </c>
      <c r="AB51" s="62">
        <f t="shared" si="44"/>
        <v>-116355.67565328123</v>
      </c>
      <c r="AC51" s="62">
        <f t="shared" si="44"/>
        <v>-116674.66693925532</v>
      </c>
    </row>
    <row r="52" spans="1:29" x14ac:dyDescent="0.25">
      <c r="A52" s="30" t="str">
        <f>A33</f>
        <v>Capex costumization</v>
      </c>
      <c r="B52" s="62">
        <f>((1+B35)^B43)*B35/(((1+B35)^B43)-1)*(B33)</f>
        <v>78226.718212273947</v>
      </c>
      <c r="C52" s="62">
        <f t="shared" ref="C52:AC52" si="45">((1+C35)^C43)*C35/(((1+C35)^C43)-1)*(C33)</f>
        <v>78226.718212273947</v>
      </c>
      <c r="D52" s="62">
        <f t="shared" si="45"/>
        <v>78226.718212273947</v>
      </c>
      <c r="E52" s="62">
        <f t="shared" si="45"/>
        <v>78226.718212273947</v>
      </c>
      <c r="F52" s="62">
        <f t="shared" si="45"/>
        <v>78226.718212273947</v>
      </c>
      <c r="G52" s="62">
        <f t="shared" si="45"/>
        <v>78226.718212273947</v>
      </c>
      <c r="H52" s="62">
        <f t="shared" si="45"/>
        <v>78226.718212273947</v>
      </c>
      <c r="I52" s="62">
        <f t="shared" si="45"/>
        <v>78226.718212273947</v>
      </c>
      <c r="J52" s="62">
        <f t="shared" si="45"/>
        <v>78226.718212273947</v>
      </c>
      <c r="K52" s="62">
        <f t="shared" si="45"/>
        <v>78226.718212273947</v>
      </c>
      <c r="L52" s="62">
        <f t="shared" si="45"/>
        <v>78226.718212273947</v>
      </c>
      <c r="M52" s="62">
        <f t="shared" si="45"/>
        <v>78226.718212273947</v>
      </c>
      <c r="N52" s="62">
        <f t="shared" si="45"/>
        <v>78226.718212273947</v>
      </c>
      <c r="O52" s="62">
        <f t="shared" si="45"/>
        <v>78226.718212273947</v>
      </c>
      <c r="P52" s="62">
        <f t="shared" si="45"/>
        <v>78226.718212273947</v>
      </c>
      <c r="Q52" s="62">
        <f t="shared" si="45"/>
        <v>78226.718212273947</v>
      </c>
      <c r="R52" s="62">
        <f t="shared" si="45"/>
        <v>78226.718212273947</v>
      </c>
      <c r="S52" s="62">
        <f t="shared" si="45"/>
        <v>78226.718212273947</v>
      </c>
      <c r="T52" s="62">
        <f t="shared" si="45"/>
        <v>78226.718212273947</v>
      </c>
      <c r="U52" s="62">
        <f t="shared" si="45"/>
        <v>78226.718212273947</v>
      </c>
      <c r="V52" s="62">
        <f t="shared" si="45"/>
        <v>78226.718212273947</v>
      </c>
      <c r="W52" s="62">
        <f t="shared" si="45"/>
        <v>78226.718212273947</v>
      </c>
      <c r="X52" s="62">
        <f t="shared" si="45"/>
        <v>78226.718212273947</v>
      </c>
      <c r="Y52" s="62">
        <f t="shared" si="45"/>
        <v>78226.718212273947</v>
      </c>
      <c r="Z52" s="62">
        <f t="shared" si="45"/>
        <v>78226.718212273947</v>
      </c>
      <c r="AA52" s="62">
        <f t="shared" si="45"/>
        <v>78226.718212273947</v>
      </c>
      <c r="AB52" s="62">
        <f t="shared" si="45"/>
        <v>78226.718212273947</v>
      </c>
      <c r="AC52" s="62">
        <f t="shared" si="45"/>
        <v>78226.718212273947</v>
      </c>
    </row>
    <row r="53" spans="1:29" x14ac:dyDescent="0.25">
      <c r="A53" s="30" t="str">
        <f>A34</f>
        <v>Residual value (costumization)</v>
      </c>
      <c r="B53" s="62">
        <f>((1+B35)^B43)*B35/(((1+B35)^B43)-1)*(B34)</f>
        <v>-7822.6718212273945</v>
      </c>
      <c r="C53" s="62">
        <f t="shared" ref="C53:AC53" si="46">((1+C35)^C43)*C35/(((1+C35)^C43)-1)*(C34)</f>
        <v>-7822.6718212273945</v>
      </c>
      <c r="D53" s="62">
        <f t="shared" si="46"/>
        <v>-7822.6718212273945</v>
      </c>
      <c r="E53" s="62">
        <f t="shared" si="46"/>
        <v>-7822.6718212273945</v>
      </c>
      <c r="F53" s="62">
        <f t="shared" si="46"/>
        <v>-7822.6718212273945</v>
      </c>
      <c r="G53" s="62">
        <f t="shared" si="46"/>
        <v>-7822.6718212273945</v>
      </c>
      <c r="H53" s="62">
        <f t="shared" si="46"/>
        <v>-7822.6718212273945</v>
      </c>
      <c r="I53" s="62">
        <f t="shared" si="46"/>
        <v>-7822.6718212273945</v>
      </c>
      <c r="J53" s="62">
        <f t="shared" si="46"/>
        <v>-7822.6718212273945</v>
      </c>
      <c r="K53" s="62">
        <f t="shared" si="46"/>
        <v>-7822.6718212273945</v>
      </c>
      <c r="L53" s="62">
        <f t="shared" si="46"/>
        <v>-7822.6718212273945</v>
      </c>
      <c r="M53" s="62">
        <f t="shared" si="46"/>
        <v>-7822.6718212273945</v>
      </c>
      <c r="N53" s="62">
        <f t="shared" si="46"/>
        <v>-7822.6718212273945</v>
      </c>
      <c r="O53" s="62">
        <f t="shared" si="46"/>
        <v>-7822.6718212273945</v>
      </c>
      <c r="P53" s="62">
        <f t="shared" si="46"/>
        <v>-7822.6718212273945</v>
      </c>
      <c r="Q53" s="62">
        <f t="shared" si="46"/>
        <v>-7822.6718212273945</v>
      </c>
      <c r="R53" s="62">
        <f t="shared" si="46"/>
        <v>-7822.6718212273945</v>
      </c>
      <c r="S53" s="62">
        <f t="shared" si="46"/>
        <v>-7822.6718212273945</v>
      </c>
      <c r="T53" s="62">
        <f t="shared" si="46"/>
        <v>-7822.6718212273945</v>
      </c>
      <c r="U53" s="62">
        <f t="shared" si="46"/>
        <v>-7822.6718212273945</v>
      </c>
      <c r="V53" s="62">
        <f t="shared" si="46"/>
        <v>-7822.6718212273945</v>
      </c>
      <c r="W53" s="62">
        <f t="shared" si="46"/>
        <v>-7822.6718212273945</v>
      </c>
      <c r="X53" s="62">
        <f t="shared" si="46"/>
        <v>-7822.6718212273945</v>
      </c>
      <c r="Y53" s="62">
        <f t="shared" si="46"/>
        <v>-7822.6718212273945</v>
      </c>
      <c r="Z53" s="62">
        <f t="shared" si="46"/>
        <v>-7822.6718212273945</v>
      </c>
      <c r="AA53" s="62">
        <f t="shared" si="46"/>
        <v>-7822.6718212273945</v>
      </c>
      <c r="AB53" s="62">
        <f t="shared" si="46"/>
        <v>-7822.6718212273945</v>
      </c>
      <c r="AC53" s="62">
        <f t="shared" si="46"/>
        <v>-7822.6718212273945</v>
      </c>
    </row>
    <row r="54" spans="1:29" x14ac:dyDescent="0.25">
      <c r="A54" s="30" t="str">
        <f t="shared" ref="A54:AC54" si="47">A36</f>
        <v>Opex fix (admin, crew, insurance)</v>
      </c>
      <c r="B54" s="62">
        <f t="shared" si="47"/>
        <v>1208235.294117647</v>
      </c>
      <c r="C54" s="62">
        <f t="shared" si="47"/>
        <v>1208235.294117647</v>
      </c>
      <c r="D54" s="62">
        <f t="shared" si="47"/>
        <v>1208235.294117647</v>
      </c>
      <c r="E54" s="62">
        <f t="shared" si="47"/>
        <v>1208235.294117647</v>
      </c>
      <c r="F54" s="62">
        <f t="shared" si="47"/>
        <v>1208235.294117647</v>
      </c>
      <c r="G54" s="62">
        <f t="shared" si="47"/>
        <v>1208235.294117647</v>
      </c>
      <c r="H54" s="62">
        <f t="shared" si="47"/>
        <v>1208235.294117647</v>
      </c>
      <c r="I54" s="62">
        <f t="shared" si="47"/>
        <v>1208235.294117647</v>
      </c>
      <c r="J54" s="62">
        <f t="shared" si="47"/>
        <v>1208235.294117647</v>
      </c>
      <c r="K54" s="62">
        <f t="shared" si="47"/>
        <v>1208235.294117647</v>
      </c>
      <c r="L54" s="62">
        <f t="shared" si="47"/>
        <v>1208235.294117647</v>
      </c>
      <c r="M54" s="62">
        <f t="shared" si="47"/>
        <v>1208235.294117647</v>
      </c>
      <c r="N54" s="62">
        <f t="shared" si="47"/>
        <v>1208235.294117647</v>
      </c>
      <c r="O54" s="62">
        <f t="shared" si="47"/>
        <v>1208235.294117647</v>
      </c>
      <c r="P54" s="62">
        <f t="shared" si="47"/>
        <v>1208235.294117647</v>
      </c>
      <c r="Q54" s="62">
        <f t="shared" si="47"/>
        <v>1208235.294117647</v>
      </c>
      <c r="R54" s="62">
        <f t="shared" si="47"/>
        <v>1208235.294117647</v>
      </c>
      <c r="S54" s="62">
        <f t="shared" si="47"/>
        <v>1208235.294117647</v>
      </c>
      <c r="T54" s="62">
        <f t="shared" si="47"/>
        <v>1208235.294117647</v>
      </c>
      <c r="U54" s="62">
        <f t="shared" si="47"/>
        <v>1208235.294117647</v>
      </c>
      <c r="V54" s="62">
        <f t="shared" si="47"/>
        <v>1208235.294117647</v>
      </c>
      <c r="W54" s="62">
        <f t="shared" si="47"/>
        <v>1208235.294117647</v>
      </c>
      <c r="X54" s="62">
        <f t="shared" si="47"/>
        <v>1208235.294117647</v>
      </c>
      <c r="Y54" s="62">
        <f t="shared" si="47"/>
        <v>1208235.294117647</v>
      </c>
      <c r="Z54" s="62">
        <f t="shared" si="47"/>
        <v>1208235.294117647</v>
      </c>
      <c r="AA54" s="62">
        <f t="shared" si="47"/>
        <v>1208235.294117647</v>
      </c>
      <c r="AB54" s="62">
        <f t="shared" si="47"/>
        <v>1208235.294117647</v>
      </c>
      <c r="AC54" s="62">
        <f t="shared" si="47"/>
        <v>1208235.294117647</v>
      </c>
    </row>
    <row r="55" spans="1:29" x14ac:dyDescent="0.25">
      <c r="A55" s="30" t="str">
        <f t="shared" ref="A55:AC55" si="48">A37</f>
        <v>Opex maintenance &amp; repair</v>
      </c>
      <c r="B55" s="62">
        <f t="shared" si="48"/>
        <v>488235.29411764705</v>
      </c>
      <c r="C55" s="62">
        <f t="shared" si="48"/>
        <v>488235.29411764705</v>
      </c>
      <c r="D55" s="62">
        <f t="shared" si="48"/>
        <v>488235.29411764705</v>
      </c>
      <c r="E55" s="62">
        <f t="shared" si="48"/>
        <v>488235.29411764705</v>
      </c>
      <c r="F55" s="62">
        <f t="shared" si="48"/>
        <v>488235.29411764705</v>
      </c>
      <c r="G55" s="62">
        <f t="shared" si="48"/>
        <v>488235.29411764705</v>
      </c>
      <c r="H55" s="62">
        <f t="shared" si="48"/>
        <v>488235.29411764705</v>
      </c>
      <c r="I55" s="62">
        <f t="shared" si="48"/>
        <v>488235.29411764705</v>
      </c>
      <c r="J55" s="62">
        <f t="shared" si="48"/>
        <v>488235.29411764705</v>
      </c>
      <c r="K55" s="62">
        <f t="shared" si="48"/>
        <v>488235.29411764705</v>
      </c>
      <c r="L55" s="62">
        <f t="shared" si="48"/>
        <v>488235.29411764705</v>
      </c>
      <c r="M55" s="62">
        <f t="shared" si="48"/>
        <v>488235.29411764705</v>
      </c>
      <c r="N55" s="62">
        <f t="shared" si="48"/>
        <v>488235.29411764705</v>
      </c>
      <c r="O55" s="62">
        <f t="shared" si="48"/>
        <v>488235.29411764705</v>
      </c>
      <c r="P55" s="62">
        <f t="shared" si="48"/>
        <v>488235.29411764705</v>
      </c>
      <c r="Q55" s="62">
        <f t="shared" si="48"/>
        <v>488235.29411764705</v>
      </c>
      <c r="R55" s="62">
        <f t="shared" si="48"/>
        <v>488235.29411764705</v>
      </c>
      <c r="S55" s="62">
        <f t="shared" si="48"/>
        <v>488235.29411764705</v>
      </c>
      <c r="T55" s="62">
        <f t="shared" si="48"/>
        <v>488235.29411764705</v>
      </c>
      <c r="U55" s="62">
        <f t="shared" si="48"/>
        <v>488235.29411764705</v>
      </c>
      <c r="V55" s="62">
        <f t="shared" si="48"/>
        <v>488235.29411764705</v>
      </c>
      <c r="W55" s="62">
        <f t="shared" si="48"/>
        <v>488235.29411764705</v>
      </c>
      <c r="X55" s="62">
        <f t="shared" si="48"/>
        <v>488235.29411764705</v>
      </c>
      <c r="Y55" s="62">
        <f t="shared" si="48"/>
        <v>488235.29411764705</v>
      </c>
      <c r="Z55" s="62">
        <f t="shared" si="48"/>
        <v>488235.29411764705</v>
      </c>
      <c r="AA55" s="62">
        <f t="shared" si="48"/>
        <v>488235.29411764705</v>
      </c>
      <c r="AB55" s="62">
        <f t="shared" si="48"/>
        <v>488235.29411764705</v>
      </c>
      <c r="AC55" s="62">
        <f t="shared" si="48"/>
        <v>488235.29411764705</v>
      </c>
    </row>
    <row r="56" spans="1:29" x14ac:dyDescent="0.25">
      <c r="A56" s="30" t="str">
        <f>A38</f>
        <v>Opex var (mode-fees)</v>
      </c>
      <c r="B56" s="62">
        <f>B38*B47</f>
        <v>101496.22349468413</v>
      </c>
      <c r="C56" s="62">
        <f t="shared" ref="C56:AC56" si="49">C38*C47</f>
        <v>101496.22349468413</v>
      </c>
      <c r="D56" s="62">
        <f t="shared" si="49"/>
        <v>101496.22349468413</v>
      </c>
      <c r="E56" s="62">
        <f t="shared" si="49"/>
        <v>101496.22349468413</v>
      </c>
      <c r="F56" s="62">
        <f t="shared" si="49"/>
        <v>101496.22349468413</v>
      </c>
      <c r="G56" s="62">
        <f t="shared" si="49"/>
        <v>101496.22349468413</v>
      </c>
      <c r="H56" s="62">
        <f t="shared" si="49"/>
        <v>101496.22349468413</v>
      </c>
      <c r="I56" s="62">
        <f t="shared" si="49"/>
        <v>101496.22349468413</v>
      </c>
      <c r="J56" s="62">
        <f t="shared" si="49"/>
        <v>101496.22349468413</v>
      </c>
      <c r="K56" s="62">
        <f t="shared" si="49"/>
        <v>101496.22349468413</v>
      </c>
      <c r="L56" s="62">
        <f t="shared" si="49"/>
        <v>101496.22349468413</v>
      </c>
      <c r="M56" s="62">
        <f t="shared" si="49"/>
        <v>101496.22349468413</v>
      </c>
      <c r="N56" s="62">
        <f t="shared" si="49"/>
        <v>101496.22349468413</v>
      </c>
      <c r="O56" s="62">
        <f t="shared" si="49"/>
        <v>101496.22349468413</v>
      </c>
      <c r="P56" s="62">
        <f t="shared" si="49"/>
        <v>101496.22349468413</v>
      </c>
      <c r="Q56" s="62">
        <f t="shared" si="49"/>
        <v>101496.22349468413</v>
      </c>
      <c r="R56" s="62">
        <f t="shared" si="49"/>
        <v>101496.22349468413</v>
      </c>
      <c r="S56" s="62">
        <f t="shared" si="49"/>
        <v>101496.22349468413</v>
      </c>
      <c r="T56" s="62">
        <f t="shared" si="49"/>
        <v>101496.22349468413</v>
      </c>
      <c r="U56" s="62">
        <f t="shared" si="49"/>
        <v>101496.22349468413</v>
      </c>
      <c r="V56" s="62">
        <f t="shared" si="49"/>
        <v>101496.22349468413</v>
      </c>
      <c r="W56" s="62">
        <f t="shared" si="49"/>
        <v>101496.22349468413</v>
      </c>
      <c r="X56" s="62">
        <f t="shared" si="49"/>
        <v>101496.22349468413</v>
      </c>
      <c r="Y56" s="62">
        <f t="shared" si="49"/>
        <v>101496.22349468413</v>
      </c>
      <c r="Z56" s="62">
        <f t="shared" si="49"/>
        <v>101496.22349468413</v>
      </c>
      <c r="AA56" s="62">
        <f t="shared" si="49"/>
        <v>101496.22349468413</v>
      </c>
      <c r="AB56" s="62">
        <f t="shared" si="49"/>
        <v>101496.22349468413</v>
      </c>
      <c r="AC56" s="62">
        <f t="shared" si="49"/>
        <v>101496.22349468413</v>
      </c>
    </row>
    <row r="57" spans="1:29" x14ac:dyDescent="0.25">
      <c r="A57" s="30" t="str">
        <f>A40</f>
        <v>Fuel Cost</v>
      </c>
      <c r="B57" s="62">
        <f>B39*B40*B47</f>
        <v>35714150.195401497</v>
      </c>
      <c r="C57" s="62">
        <f t="shared" ref="C57:AC57" si="50">C39*C40*C47</f>
        <v>35688192.759426571</v>
      </c>
      <c r="D57" s="62">
        <f t="shared" si="50"/>
        <v>35651040.91294115</v>
      </c>
      <c r="E57" s="62">
        <f t="shared" si="50"/>
        <v>35597904.139505707</v>
      </c>
      <c r="F57" s="62">
        <f t="shared" si="50"/>
        <v>35521983.578516193</v>
      </c>
      <c r="G57" s="62">
        <f t="shared" si="50"/>
        <v>35413676.658021048</v>
      </c>
      <c r="H57" s="62">
        <f t="shared" si="50"/>
        <v>35259518.741244763</v>
      </c>
      <c r="I57" s="62">
        <f t="shared" si="50"/>
        <v>35040833.829240076</v>
      </c>
      <c r="J57" s="62">
        <f t="shared" si="50"/>
        <v>34732138.474223465</v>
      </c>
      <c r="K57" s="62">
        <f t="shared" si="50"/>
        <v>34299516.053868182</v>
      </c>
      <c r="L57" s="62">
        <f t="shared" si="50"/>
        <v>33699528.372285672</v>
      </c>
      <c r="M57" s="62">
        <f t="shared" si="50"/>
        <v>32879831.174801141</v>
      </c>
      <c r="N57" s="62">
        <f t="shared" si="50"/>
        <v>31783461.473454308</v>
      </c>
      <c r="O57" s="62">
        <f t="shared" si="50"/>
        <v>30359313.220013358</v>
      </c>
      <c r="P57" s="62">
        <f t="shared" si="50"/>
        <v>28580377.783127353</v>
      </c>
      <c r="Q57" s="62">
        <f t="shared" si="50"/>
        <v>26467099.228719633</v>
      </c>
      <c r="R57" s="62">
        <f t="shared" si="50"/>
        <v>24105574.420484088</v>
      </c>
      <c r="S57" s="62">
        <f t="shared" si="50"/>
        <v>21644902.059123844</v>
      </c>
      <c r="T57" s="62">
        <f t="shared" si="50"/>
        <v>19264932.881093476</v>
      </c>
      <c r="U57" s="62">
        <f t="shared" si="50"/>
        <v>17126188.084502421</v>
      </c>
      <c r="V57" s="62">
        <f t="shared" si="50"/>
        <v>15329378.731018521</v>
      </c>
      <c r="W57" s="62">
        <f t="shared" si="50"/>
        <v>13904249.809459379</v>
      </c>
      <c r="X57" s="62">
        <f t="shared" si="50"/>
        <v>12825065.109094124</v>
      </c>
      <c r="Y57" s="62">
        <f t="shared" si="50"/>
        <v>12036332.881021881</v>
      </c>
      <c r="Z57" s="62">
        <f t="shared" si="50"/>
        <v>11474767.041992439</v>
      </c>
      <c r="AA57" s="62">
        <f t="shared" si="50"/>
        <v>11082368.296972759</v>
      </c>
      <c r="AB57" s="62">
        <f t="shared" si="50"/>
        <v>10811762.929783393</v>
      </c>
      <c r="AC57" s="62">
        <f t="shared" si="50"/>
        <v>10626840.940920185</v>
      </c>
    </row>
    <row r="58" spans="1:29" ht="15.75" thickBot="1" x14ac:dyDescent="0.3">
      <c r="A58" s="59" t="str">
        <f>A21</f>
        <v>Emission Cost</v>
      </c>
      <c r="B58" s="62">
        <f>B41*B47</f>
        <v>378739.69366716623</v>
      </c>
      <c r="C58" s="62">
        <f t="shared" ref="C58:AC58" si="51">C41*C47</f>
        <v>378379.04119822913</v>
      </c>
      <c r="D58" s="62">
        <f t="shared" si="51"/>
        <v>377862.77522183186</v>
      </c>
      <c r="E58" s="62">
        <f t="shared" si="51"/>
        <v>377124.22043714899</v>
      </c>
      <c r="F58" s="62">
        <f t="shared" si="51"/>
        <v>376068.66267963283</v>
      </c>
      <c r="G58" s="62">
        <f t="shared" si="51"/>
        <v>374562.15364416625</v>
      </c>
      <c r="H58" s="62">
        <f t="shared" si="51"/>
        <v>372416.51519053977</v>
      </c>
      <c r="I58" s="62">
        <f t="shared" si="51"/>
        <v>369370.01616749936</v>
      </c>
      <c r="J58" s="62">
        <f t="shared" si="51"/>
        <v>365064.08254829637</v>
      </c>
      <c r="K58" s="62">
        <f t="shared" si="51"/>
        <v>359018.62943241297</v>
      </c>
      <c r="L58" s="62">
        <f t="shared" si="51"/>
        <v>350613.255033897</v>
      </c>
      <c r="M58" s="62">
        <f t="shared" si="51"/>
        <v>339089.80117921339</v>
      </c>
      <c r="N58" s="62">
        <f t="shared" si="51"/>
        <v>323603.51400191215</v>
      </c>
      <c r="O58" s="62">
        <f t="shared" si="51"/>
        <v>303359.94493051956</v>
      </c>
      <c r="P58" s="62">
        <f t="shared" si="51"/>
        <v>277866.59129237483</v>
      </c>
      <c r="Q58" s="62">
        <f t="shared" si="51"/>
        <v>247275.2987134319</v>
      </c>
      <c r="R58" s="62">
        <f t="shared" si="51"/>
        <v>212683.47102293672</v>
      </c>
      <c r="S58" s="62">
        <f t="shared" si="51"/>
        <v>176165.0204567787</v>
      </c>
      <c r="T58" s="62">
        <f t="shared" si="51"/>
        <v>140365.18469191671</v>
      </c>
      <c r="U58" s="62">
        <f t="shared" si="51"/>
        <v>107775.85730729303</v>
      </c>
      <c r="V58" s="62">
        <f t="shared" si="51"/>
        <v>80079.569839826625</v>
      </c>
      <c r="W58" s="62">
        <f t="shared" si="51"/>
        <v>57899.803702443598</v>
      </c>
      <c r="X58" s="62">
        <f t="shared" si="51"/>
        <v>40975.65773135038</v>
      </c>
      <c r="Y58" s="62">
        <f t="shared" si="51"/>
        <v>28535.053124127946</v>
      </c>
      <c r="Z58" s="62">
        <f t="shared" si="51"/>
        <v>19640.20080401509</v>
      </c>
      <c r="AA58" s="62">
        <f t="shared" si="51"/>
        <v>13406.222916297957</v>
      </c>
      <c r="AB58" s="62">
        <f t="shared" si="51"/>
        <v>9098.161025659123</v>
      </c>
      <c r="AC58" s="62">
        <f t="shared" si="51"/>
        <v>6149.9395949364907</v>
      </c>
    </row>
    <row r="59" spans="1:29" ht="15.75" thickBot="1" x14ac:dyDescent="0.3">
      <c r="A59" s="31" t="s">
        <v>209</v>
      </c>
      <c r="B59" s="64">
        <f>B50+B51+B52+B53+B54+B55+B56+B57+B58</f>
        <v>39409547.377992414</v>
      </c>
      <c r="C59" s="64">
        <f t="shared" ref="C59:AC59" si="52">C50+C51+C52+C53+C54+C55+C56+C57+C58</f>
        <v>39382855.794891976</v>
      </c>
      <c r="D59" s="64">
        <f t="shared" si="52"/>
        <v>39344653.033148199</v>
      </c>
      <c r="E59" s="64">
        <f t="shared" si="52"/>
        <v>39290012.851532012</v>
      </c>
      <c r="F59" s="64">
        <f t="shared" si="52"/>
        <v>39211943.588508733</v>
      </c>
      <c r="G59" s="64">
        <f t="shared" si="52"/>
        <v>39100570.005857632</v>
      </c>
      <c r="H59" s="64">
        <f t="shared" si="52"/>
        <v>38942044.409836695</v>
      </c>
      <c r="I59" s="64">
        <f t="shared" si="52"/>
        <v>38717158.019419223</v>
      </c>
      <c r="J59" s="64">
        <f t="shared" si="52"/>
        <v>38399697.470590174</v>
      </c>
      <c r="K59" s="64">
        <f t="shared" si="52"/>
        <v>37954768.876259416</v>
      </c>
      <c r="L59" s="64">
        <f t="shared" si="52"/>
        <v>37337671.145571515</v>
      </c>
      <c r="M59" s="64">
        <f t="shared" si="52"/>
        <v>36494516.710851714</v>
      </c>
      <c r="N59" s="64">
        <f t="shared" si="52"/>
        <v>35366622.996236585</v>
      </c>
      <c r="O59" s="64">
        <f t="shared" si="52"/>
        <v>33901266.767462485</v>
      </c>
      <c r="P59" s="64">
        <f t="shared" si="52"/>
        <v>32070436.85069624</v>
      </c>
      <c r="Q59" s="64">
        <f t="shared" si="52"/>
        <v>29894886.410063501</v>
      </c>
      <c r="R59" s="64">
        <f t="shared" si="52"/>
        <v>27462946.193498969</v>
      </c>
      <c r="S59" s="64">
        <f t="shared" si="52"/>
        <v>24927936.57447296</v>
      </c>
      <c r="T59" s="64">
        <f t="shared" si="52"/>
        <v>22475092.956963748</v>
      </c>
      <c r="U59" s="64">
        <f t="shared" si="52"/>
        <v>20270009.058100104</v>
      </c>
      <c r="V59" s="64">
        <f t="shared" si="52"/>
        <v>18416820.914554339</v>
      </c>
      <c r="W59" s="64">
        <f t="shared" si="52"/>
        <v>16946542.679024875</v>
      </c>
      <c r="X59" s="64">
        <f t="shared" si="52"/>
        <v>15832907.048230715</v>
      </c>
      <c r="Y59" s="64">
        <f t="shared" si="52"/>
        <v>15018850.62332461</v>
      </c>
      <c r="Z59" s="64">
        <f t="shared" si="52"/>
        <v>14439178.349915614</v>
      </c>
      <c r="AA59" s="64">
        <f t="shared" si="52"/>
        <v>14034089.668347767</v>
      </c>
      <c r="AB59" s="64">
        <f t="shared" si="52"/>
        <v>13754714.775019158</v>
      </c>
      <c r="AC59" s="64">
        <f t="shared" si="52"/>
        <v>13563791.362416619</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53">A50</f>
        <v>Capex vehicle</v>
      </c>
      <c r="B62" s="65">
        <f>((1+B35)^B42)*B35/(((1+B35)^B42)-1)*(B31)/B47</f>
        <v>12.705398992482186</v>
      </c>
      <c r="C62" s="65">
        <f t="shared" ref="C62:AC62" si="54">((1+C35)^C42)*C35/(((1+C35)^C42)-1)*(C31)/C47</f>
        <v>12.702611718925683</v>
      </c>
      <c r="D62" s="65">
        <f t="shared" si="54"/>
        <v>12.698621798911065</v>
      </c>
      <c r="E62" s="65">
        <f t="shared" si="54"/>
        <v>12.692913937746427</v>
      </c>
      <c r="F62" s="65">
        <f t="shared" si="54"/>
        <v>12.684756144640067</v>
      </c>
      <c r="G62" s="65">
        <f t="shared" si="54"/>
        <v>12.673113210905095</v>
      </c>
      <c r="H62" s="65">
        <f t="shared" si="54"/>
        <v>12.656530816942187</v>
      </c>
      <c r="I62" s="65">
        <f t="shared" si="54"/>
        <v>12.632986194630686</v>
      </c>
      <c r="J62" s="65">
        <f t="shared" si="54"/>
        <v>12.599708133487129</v>
      </c>
      <c r="K62" s="65">
        <f t="shared" si="54"/>
        <v>12.55298633602753</v>
      </c>
      <c r="L62" s="65">
        <f t="shared" si="54"/>
        <v>12.48802607702101</v>
      </c>
      <c r="M62" s="65">
        <f t="shared" si="54"/>
        <v>12.398967992091194</v>
      </c>
      <c r="N62" s="65">
        <f t="shared" si="54"/>
        <v>12.27928346902409</v>
      </c>
      <c r="O62" s="65">
        <f t="shared" si="54"/>
        <v>12.122832676025958</v>
      </c>
      <c r="P62" s="65">
        <f t="shared" si="54"/>
        <v>11.925809345861026</v>
      </c>
      <c r="Q62" s="65">
        <f t="shared" si="54"/>
        <v>11.689387005218682</v>
      </c>
      <c r="R62" s="65">
        <f t="shared" si="54"/>
        <v>11.422046851200058</v>
      </c>
      <c r="S62" s="65">
        <f t="shared" si="54"/>
        <v>11.139816947471646</v>
      </c>
      <c r="T62" s="65">
        <f t="shared" si="54"/>
        <v>10.863140800352383</v>
      </c>
      <c r="U62" s="65">
        <f t="shared" si="54"/>
        <v>10.611276808651168</v>
      </c>
      <c r="V62" s="65">
        <f t="shared" si="54"/>
        <v>10.397228281827271</v>
      </c>
      <c r="W62" s="65">
        <f t="shared" si="54"/>
        <v>10.225813745760583</v>
      </c>
      <c r="X62" s="65">
        <f t="shared" si="54"/>
        <v>10.095016846821677</v>
      </c>
      <c r="Y62" s="65">
        <f t="shared" si="54"/>
        <v>9.9988706361751216</v>
      </c>
      <c r="Z62" s="65">
        <f t="shared" si="54"/>
        <v>9.930127486477792</v>
      </c>
      <c r="AA62" s="65">
        <f t="shared" si="54"/>
        <v>9.8819486905042879</v>
      </c>
      <c r="AB62" s="65">
        <f t="shared" si="54"/>
        <v>9.8486541811863653</v>
      </c>
      <c r="AC62" s="65">
        <f t="shared" si="54"/>
        <v>9.8258690893310732</v>
      </c>
    </row>
    <row r="63" spans="1:29" x14ac:dyDescent="0.25">
      <c r="A63" s="30" t="str">
        <f t="shared" si="53"/>
        <v>Residual value (vehicle)</v>
      </c>
      <c r="B63" s="66">
        <f>((1+B35)^B42)*B35/(((1+B35)^B42)-1)*(B32)/B47</f>
        <v>-0.63634373579283099</v>
      </c>
      <c r="C63" s="66">
        <f t="shared" ref="C63:AC63" si="55">((1+C35)^C42)*C35/(((1+C35)^C42)-1)*(C32)/C47</f>
        <v>-0.63666891770775647</v>
      </c>
      <c r="D63" s="66">
        <f t="shared" si="55"/>
        <v>-0.63713440837612878</v>
      </c>
      <c r="E63" s="66">
        <f t="shared" si="55"/>
        <v>-0.63780032551200283</v>
      </c>
      <c r="F63" s="66">
        <f t="shared" si="55"/>
        <v>-0.63875206804107831</v>
      </c>
      <c r="G63" s="66">
        <f t="shared" si="55"/>
        <v>-0.64011041031015858</v>
      </c>
      <c r="H63" s="66">
        <f t="shared" si="55"/>
        <v>-0.64204502293916443</v>
      </c>
      <c r="I63" s="66">
        <f t="shared" si="55"/>
        <v>-0.64479189554217275</v>
      </c>
      <c r="J63" s="66">
        <f t="shared" si="55"/>
        <v>-0.64867433600892122</v>
      </c>
      <c r="K63" s="66">
        <f t="shared" si="55"/>
        <v>-0.65412521237920762</v>
      </c>
      <c r="L63" s="66">
        <f t="shared" si="55"/>
        <v>-0.66170390926330158</v>
      </c>
      <c r="M63" s="66">
        <f t="shared" si="55"/>
        <v>-0.67209401917178002</v>
      </c>
      <c r="N63" s="66">
        <f t="shared" si="55"/>
        <v>-0.68605721352960891</v>
      </c>
      <c r="O63" s="66">
        <f t="shared" si="55"/>
        <v>-0.70430980604605786</v>
      </c>
      <c r="P63" s="66">
        <f t="shared" si="55"/>
        <v>-0.72729586123196666</v>
      </c>
      <c r="Q63" s="66">
        <f t="shared" si="55"/>
        <v>-0.75487846764023969</v>
      </c>
      <c r="R63" s="66">
        <f t="shared" si="55"/>
        <v>-0.786068152275746</v>
      </c>
      <c r="S63" s="66">
        <f t="shared" si="55"/>
        <v>-0.8189949743773941</v>
      </c>
      <c r="T63" s="66">
        <f t="shared" si="55"/>
        <v>-0.85127385820797485</v>
      </c>
      <c r="U63" s="66">
        <f t="shared" si="55"/>
        <v>-0.88065799057311644</v>
      </c>
      <c r="V63" s="66">
        <f t="shared" si="55"/>
        <v>-0.90563031870257138</v>
      </c>
      <c r="W63" s="66">
        <f t="shared" si="55"/>
        <v>-0.9256286812436848</v>
      </c>
      <c r="X63" s="66">
        <f t="shared" si="55"/>
        <v>-0.94088831945322393</v>
      </c>
      <c r="Y63" s="66">
        <f t="shared" si="55"/>
        <v>-0.95210537736198875</v>
      </c>
      <c r="Z63" s="66">
        <f t="shared" si="55"/>
        <v>-0.96012541149334374</v>
      </c>
      <c r="AA63" s="66">
        <f t="shared" si="55"/>
        <v>-0.96574627102358568</v>
      </c>
      <c r="AB63" s="66">
        <f t="shared" si="55"/>
        <v>-0.96963063044401021</v>
      </c>
      <c r="AC63" s="66">
        <f t="shared" si="55"/>
        <v>-0.97228889116046091</v>
      </c>
    </row>
    <row r="64" spans="1:29" x14ac:dyDescent="0.25">
      <c r="A64" s="30" t="str">
        <f t="shared" si="53"/>
        <v>Capex costumization</v>
      </c>
      <c r="B64" s="66">
        <f>((1+B35)^B43)*B35/(((1+B35)^B43)-1)*(B33)/B47</f>
        <v>0.65188931843561626</v>
      </c>
      <c r="C64" s="66">
        <f t="shared" ref="C64:AC64" si="56">((1+C35)^C43)*C35/(((1+C35)^C43)-1)*(C33)/C47</f>
        <v>0.65188931843561626</v>
      </c>
      <c r="D64" s="66">
        <f t="shared" si="56"/>
        <v>0.65188931843561626</v>
      </c>
      <c r="E64" s="66">
        <f t="shared" si="56"/>
        <v>0.65188931843561626</v>
      </c>
      <c r="F64" s="66">
        <f t="shared" si="56"/>
        <v>0.65188931843561626</v>
      </c>
      <c r="G64" s="66">
        <f t="shared" si="56"/>
        <v>0.65188931843561626</v>
      </c>
      <c r="H64" s="66">
        <f t="shared" si="56"/>
        <v>0.65188931843561626</v>
      </c>
      <c r="I64" s="66">
        <f t="shared" si="56"/>
        <v>0.65188931843561626</v>
      </c>
      <c r="J64" s="66">
        <f t="shared" si="56"/>
        <v>0.65188931843561626</v>
      </c>
      <c r="K64" s="66">
        <f t="shared" si="56"/>
        <v>0.65188931843561626</v>
      </c>
      <c r="L64" s="66">
        <f t="shared" si="56"/>
        <v>0.65188931843561626</v>
      </c>
      <c r="M64" s="66">
        <f t="shared" si="56"/>
        <v>0.65188931843561626</v>
      </c>
      <c r="N64" s="66">
        <f t="shared" si="56"/>
        <v>0.65188931843561626</v>
      </c>
      <c r="O64" s="66">
        <f t="shared" si="56"/>
        <v>0.65188931843561626</v>
      </c>
      <c r="P64" s="66">
        <f t="shared" si="56"/>
        <v>0.65188931843561626</v>
      </c>
      <c r="Q64" s="66">
        <f t="shared" si="56"/>
        <v>0.65188931843561626</v>
      </c>
      <c r="R64" s="66">
        <f t="shared" si="56"/>
        <v>0.65188931843561626</v>
      </c>
      <c r="S64" s="66">
        <f t="shared" si="56"/>
        <v>0.65188931843561626</v>
      </c>
      <c r="T64" s="66">
        <f t="shared" si="56"/>
        <v>0.65188931843561626</v>
      </c>
      <c r="U64" s="66">
        <f t="shared" si="56"/>
        <v>0.65188931843561626</v>
      </c>
      <c r="V64" s="66">
        <f t="shared" si="56"/>
        <v>0.65188931843561626</v>
      </c>
      <c r="W64" s="66">
        <f t="shared" si="56"/>
        <v>0.65188931843561626</v>
      </c>
      <c r="X64" s="66">
        <f t="shared" si="56"/>
        <v>0.65188931843561626</v>
      </c>
      <c r="Y64" s="66">
        <f t="shared" si="56"/>
        <v>0.65188931843561626</v>
      </c>
      <c r="Z64" s="66">
        <f t="shared" si="56"/>
        <v>0.65188931843561626</v>
      </c>
      <c r="AA64" s="66">
        <f t="shared" si="56"/>
        <v>0.65188931843561626</v>
      </c>
      <c r="AB64" s="66">
        <f t="shared" si="56"/>
        <v>0.65188931843561626</v>
      </c>
      <c r="AC64" s="66">
        <f t="shared" si="56"/>
        <v>0.65188931843561626</v>
      </c>
    </row>
    <row r="65" spans="1:29" x14ac:dyDescent="0.25">
      <c r="A65" s="30" t="str">
        <f t="shared" si="53"/>
        <v>Residual value (costumization)</v>
      </c>
      <c r="B65" s="66">
        <f>((1+B35)^B43)*B35/(((1+B35)^B43)-1)*(B34)/B47</f>
        <v>-6.5188931843561615E-2</v>
      </c>
      <c r="C65" s="66">
        <f t="shared" ref="C65:AC65" si="57">((1+C35)^C43)*C35/(((1+C35)^C43)-1)*(C34)/C47</f>
        <v>-6.5188931843561615E-2</v>
      </c>
      <c r="D65" s="66">
        <f t="shared" si="57"/>
        <v>-6.5188931843561615E-2</v>
      </c>
      <c r="E65" s="66">
        <f t="shared" si="57"/>
        <v>-6.5188931843561615E-2</v>
      </c>
      <c r="F65" s="66">
        <f t="shared" si="57"/>
        <v>-6.5188931843561615E-2</v>
      </c>
      <c r="G65" s="66">
        <f t="shared" si="57"/>
        <v>-6.5188931843561615E-2</v>
      </c>
      <c r="H65" s="66">
        <f t="shared" si="57"/>
        <v>-6.5188931843561615E-2</v>
      </c>
      <c r="I65" s="66">
        <f t="shared" si="57"/>
        <v>-6.5188931843561615E-2</v>
      </c>
      <c r="J65" s="66">
        <f t="shared" si="57"/>
        <v>-6.5188931843561615E-2</v>
      </c>
      <c r="K65" s="66">
        <f t="shared" si="57"/>
        <v>-6.5188931843561615E-2</v>
      </c>
      <c r="L65" s="66">
        <f t="shared" si="57"/>
        <v>-6.5188931843561615E-2</v>
      </c>
      <c r="M65" s="66">
        <f t="shared" si="57"/>
        <v>-6.5188931843561615E-2</v>
      </c>
      <c r="N65" s="66">
        <f t="shared" si="57"/>
        <v>-6.5188931843561615E-2</v>
      </c>
      <c r="O65" s="66">
        <f t="shared" si="57"/>
        <v>-6.5188931843561615E-2</v>
      </c>
      <c r="P65" s="66">
        <f t="shared" si="57"/>
        <v>-6.5188931843561615E-2</v>
      </c>
      <c r="Q65" s="66">
        <f t="shared" si="57"/>
        <v>-6.5188931843561615E-2</v>
      </c>
      <c r="R65" s="66">
        <f t="shared" si="57"/>
        <v>-6.5188931843561615E-2</v>
      </c>
      <c r="S65" s="66">
        <f t="shared" si="57"/>
        <v>-6.5188931843561615E-2</v>
      </c>
      <c r="T65" s="66">
        <f t="shared" si="57"/>
        <v>-6.5188931843561615E-2</v>
      </c>
      <c r="U65" s="66">
        <f t="shared" si="57"/>
        <v>-6.5188931843561615E-2</v>
      </c>
      <c r="V65" s="66">
        <f t="shared" si="57"/>
        <v>-6.5188931843561615E-2</v>
      </c>
      <c r="W65" s="66">
        <f t="shared" si="57"/>
        <v>-6.5188931843561615E-2</v>
      </c>
      <c r="X65" s="66">
        <f t="shared" si="57"/>
        <v>-6.5188931843561615E-2</v>
      </c>
      <c r="Y65" s="66">
        <f t="shared" si="57"/>
        <v>-6.5188931843561615E-2</v>
      </c>
      <c r="Z65" s="66">
        <f t="shared" si="57"/>
        <v>-6.5188931843561615E-2</v>
      </c>
      <c r="AA65" s="66">
        <f t="shared" si="57"/>
        <v>-6.5188931843561615E-2</v>
      </c>
      <c r="AB65" s="66">
        <f t="shared" si="57"/>
        <v>-6.5188931843561615E-2</v>
      </c>
      <c r="AC65" s="66">
        <f t="shared" si="57"/>
        <v>-6.5188931843561615E-2</v>
      </c>
    </row>
    <row r="66" spans="1:29" x14ac:dyDescent="0.25">
      <c r="A66" s="30" t="str">
        <f t="shared" si="53"/>
        <v>Opex fix (admin, crew, insurance)</v>
      </c>
      <c r="B66" s="66">
        <f>B36/B47</f>
        <v>10.068627450980392</v>
      </c>
      <c r="C66" s="66">
        <f t="shared" ref="C66:AC66" si="58">C36/C47</f>
        <v>10.068627450980392</v>
      </c>
      <c r="D66" s="66">
        <f t="shared" si="58"/>
        <v>10.068627450980392</v>
      </c>
      <c r="E66" s="66">
        <f t="shared" si="58"/>
        <v>10.068627450980392</v>
      </c>
      <c r="F66" s="66">
        <f t="shared" si="58"/>
        <v>10.068627450980392</v>
      </c>
      <c r="G66" s="66">
        <f t="shared" si="58"/>
        <v>10.068627450980392</v>
      </c>
      <c r="H66" s="66">
        <f t="shared" si="58"/>
        <v>10.068627450980392</v>
      </c>
      <c r="I66" s="66">
        <f t="shared" si="58"/>
        <v>10.068627450980392</v>
      </c>
      <c r="J66" s="66">
        <f t="shared" si="58"/>
        <v>10.068627450980392</v>
      </c>
      <c r="K66" s="66">
        <f t="shared" si="58"/>
        <v>10.068627450980392</v>
      </c>
      <c r="L66" s="66">
        <f t="shared" si="58"/>
        <v>10.068627450980392</v>
      </c>
      <c r="M66" s="66">
        <f t="shared" si="58"/>
        <v>10.068627450980392</v>
      </c>
      <c r="N66" s="66">
        <f t="shared" si="58"/>
        <v>10.068627450980392</v>
      </c>
      <c r="O66" s="66">
        <f t="shared" si="58"/>
        <v>10.068627450980392</v>
      </c>
      <c r="P66" s="66">
        <f t="shared" si="58"/>
        <v>10.068627450980392</v>
      </c>
      <c r="Q66" s="66">
        <f t="shared" si="58"/>
        <v>10.068627450980392</v>
      </c>
      <c r="R66" s="66">
        <f t="shared" si="58"/>
        <v>10.068627450980392</v>
      </c>
      <c r="S66" s="66">
        <f t="shared" si="58"/>
        <v>10.068627450980392</v>
      </c>
      <c r="T66" s="66">
        <f t="shared" si="58"/>
        <v>10.068627450980392</v>
      </c>
      <c r="U66" s="66">
        <f t="shared" si="58"/>
        <v>10.068627450980392</v>
      </c>
      <c r="V66" s="66">
        <f t="shared" si="58"/>
        <v>10.068627450980392</v>
      </c>
      <c r="W66" s="66">
        <f t="shared" si="58"/>
        <v>10.068627450980392</v>
      </c>
      <c r="X66" s="66">
        <f t="shared" si="58"/>
        <v>10.068627450980392</v>
      </c>
      <c r="Y66" s="66">
        <f t="shared" si="58"/>
        <v>10.068627450980392</v>
      </c>
      <c r="Z66" s="66">
        <f t="shared" si="58"/>
        <v>10.068627450980392</v>
      </c>
      <c r="AA66" s="66">
        <f t="shared" si="58"/>
        <v>10.068627450980392</v>
      </c>
      <c r="AB66" s="66">
        <f t="shared" si="58"/>
        <v>10.068627450980392</v>
      </c>
      <c r="AC66" s="66">
        <f t="shared" si="58"/>
        <v>10.068627450980392</v>
      </c>
    </row>
    <row r="67" spans="1:29" x14ac:dyDescent="0.25">
      <c r="A67" s="30" t="str">
        <f t="shared" si="53"/>
        <v>Opex maintenance &amp; repair</v>
      </c>
      <c r="B67" s="66">
        <f>B37/B47</f>
        <v>4.0686274509803919</v>
      </c>
      <c r="C67" s="66">
        <f t="shared" ref="C67:AC67" si="59">C37/C47</f>
        <v>4.0686274509803919</v>
      </c>
      <c r="D67" s="66">
        <f t="shared" si="59"/>
        <v>4.0686274509803919</v>
      </c>
      <c r="E67" s="66">
        <f t="shared" si="59"/>
        <v>4.0686274509803919</v>
      </c>
      <c r="F67" s="66">
        <f t="shared" si="59"/>
        <v>4.0686274509803919</v>
      </c>
      <c r="G67" s="66">
        <f t="shared" si="59"/>
        <v>4.0686274509803919</v>
      </c>
      <c r="H67" s="66">
        <f t="shared" si="59"/>
        <v>4.0686274509803919</v>
      </c>
      <c r="I67" s="66">
        <f t="shared" si="59"/>
        <v>4.0686274509803919</v>
      </c>
      <c r="J67" s="66">
        <f t="shared" si="59"/>
        <v>4.0686274509803919</v>
      </c>
      <c r="K67" s="66">
        <f t="shared" si="59"/>
        <v>4.0686274509803919</v>
      </c>
      <c r="L67" s="66">
        <f t="shared" si="59"/>
        <v>4.0686274509803919</v>
      </c>
      <c r="M67" s="66">
        <f t="shared" si="59"/>
        <v>4.0686274509803919</v>
      </c>
      <c r="N67" s="66">
        <f t="shared" si="59"/>
        <v>4.0686274509803919</v>
      </c>
      <c r="O67" s="66">
        <f t="shared" si="59"/>
        <v>4.0686274509803919</v>
      </c>
      <c r="P67" s="66">
        <f t="shared" si="59"/>
        <v>4.0686274509803919</v>
      </c>
      <c r="Q67" s="66">
        <f t="shared" si="59"/>
        <v>4.0686274509803919</v>
      </c>
      <c r="R67" s="66">
        <f t="shared" si="59"/>
        <v>4.0686274509803919</v>
      </c>
      <c r="S67" s="66">
        <f t="shared" si="59"/>
        <v>4.0686274509803919</v>
      </c>
      <c r="T67" s="66">
        <f t="shared" si="59"/>
        <v>4.0686274509803919</v>
      </c>
      <c r="U67" s="66">
        <f t="shared" si="59"/>
        <v>4.0686274509803919</v>
      </c>
      <c r="V67" s="66">
        <f t="shared" si="59"/>
        <v>4.0686274509803919</v>
      </c>
      <c r="W67" s="66">
        <f t="shared" si="59"/>
        <v>4.0686274509803919</v>
      </c>
      <c r="X67" s="66">
        <f t="shared" si="59"/>
        <v>4.0686274509803919</v>
      </c>
      <c r="Y67" s="66">
        <f t="shared" si="59"/>
        <v>4.0686274509803919</v>
      </c>
      <c r="Z67" s="66">
        <f t="shared" si="59"/>
        <v>4.0686274509803919</v>
      </c>
      <c r="AA67" s="66">
        <f t="shared" si="59"/>
        <v>4.0686274509803919</v>
      </c>
      <c r="AB67" s="66">
        <f t="shared" si="59"/>
        <v>4.0686274509803919</v>
      </c>
      <c r="AC67" s="66">
        <f t="shared" si="59"/>
        <v>4.0686274509803919</v>
      </c>
    </row>
    <row r="68" spans="1:29" x14ac:dyDescent="0.25">
      <c r="A68" s="30" t="str">
        <f t="shared" si="53"/>
        <v>Opex var (mode-fees)</v>
      </c>
      <c r="B68" s="66">
        <f>B38*B47/B47</f>
        <v>0.8458018624557011</v>
      </c>
      <c r="C68" s="66">
        <f t="shared" ref="C68:AC68" si="60">C38*C47/C47</f>
        <v>0.8458018624557011</v>
      </c>
      <c r="D68" s="66">
        <f t="shared" si="60"/>
        <v>0.8458018624557011</v>
      </c>
      <c r="E68" s="66">
        <f t="shared" si="60"/>
        <v>0.8458018624557011</v>
      </c>
      <c r="F68" s="66">
        <f t="shared" si="60"/>
        <v>0.8458018624557011</v>
      </c>
      <c r="G68" s="66">
        <f t="shared" si="60"/>
        <v>0.8458018624557011</v>
      </c>
      <c r="H68" s="66">
        <f t="shared" si="60"/>
        <v>0.8458018624557011</v>
      </c>
      <c r="I68" s="66">
        <f t="shared" si="60"/>
        <v>0.8458018624557011</v>
      </c>
      <c r="J68" s="66">
        <f t="shared" si="60"/>
        <v>0.8458018624557011</v>
      </c>
      <c r="K68" s="66">
        <f t="shared" si="60"/>
        <v>0.8458018624557011</v>
      </c>
      <c r="L68" s="66">
        <f t="shared" si="60"/>
        <v>0.8458018624557011</v>
      </c>
      <c r="M68" s="66">
        <f t="shared" si="60"/>
        <v>0.8458018624557011</v>
      </c>
      <c r="N68" s="66">
        <f t="shared" si="60"/>
        <v>0.8458018624557011</v>
      </c>
      <c r="O68" s="66">
        <f t="shared" si="60"/>
        <v>0.8458018624557011</v>
      </c>
      <c r="P68" s="66">
        <f t="shared" si="60"/>
        <v>0.8458018624557011</v>
      </c>
      <c r="Q68" s="66">
        <f t="shared" si="60"/>
        <v>0.8458018624557011</v>
      </c>
      <c r="R68" s="66">
        <f t="shared" si="60"/>
        <v>0.8458018624557011</v>
      </c>
      <c r="S68" s="66">
        <f t="shared" si="60"/>
        <v>0.8458018624557011</v>
      </c>
      <c r="T68" s="66">
        <f t="shared" si="60"/>
        <v>0.8458018624557011</v>
      </c>
      <c r="U68" s="66">
        <f t="shared" si="60"/>
        <v>0.8458018624557011</v>
      </c>
      <c r="V68" s="66">
        <f t="shared" si="60"/>
        <v>0.8458018624557011</v>
      </c>
      <c r="W68" s="66">
        <f t="shared" si="60"/>
        <v>0.8458018624557011</v>
      </c>
      <c r="X68" s="66">
        <f t="shared" si="60"/>
        <v>0.8458018624557011</v>
      </c>
      <c r="Y68" s="66">
        <f t="shared" si="60"/>
        <v>0.8458018624557011</v>
      </c>
      <c r="Z68" s="66">
        <f t="shared" si="60"/>
        <v>0.8458018624557011</v>
      </c>
      <c r="AA68" s="66">
        <f t="shared" si="60"/>
        <v>0.8458018624557011</v>
      </c>
      <c r="AB68" s="66">
        <f t="shared" si="60"/>
        <v>0.8458018624557011</v>
      </c>
      <c r="AC68" s="66">
        <f t="shared" si="60"/>
        <v>0.8458018624557011</v>
      </c>
    </row>
    <row r="69" spans="1:29" x14ac:dyDescent="0.25">
      <c r="A69" s="30" t="str">
        <f t="shared" si="53"/>
        <v>Fuel Cost</v>
      </c>
      <c r="B69" s="66">
        <f>B39*B40*B47/B47</f>
        <v>297.61791829501249</v>
      </c>
      <c r="C69" s="66">
        <f t="shared" ref="C69:AC69" si="61">C39*C40*C47/C47</f>
        <v>297.40160632855475</v>
      </c>
      <c r="D69" s="66">
        <f t="shared" si="61"/>
        <v>297.0920076078429</v>
      </c>
      <c r="E69" s="66">
        <f t="shared" si="61"/>
        <v>296.64920116254757</v>
      </c>
      <c r="F69" s="66">
        <f t="shared" si="61"/>
        <v>296.01652982096829</v>
      </c>
      <c r="G69" s="66">
        <f t="shared" si="61"/>
        <v>295.11397215017541</v>
      </c>
      <c r="H69" s="66">
        <f t="shared" si="61"/>
        <v>293.82932284370634</v>
      </c>
      <c r="I69" s="66">
        <f t="shared" si="61"/>
        <v>292.00694857700063</v>
      </c>
      <c r="J69" s="66">
        <f t="shared" si="61"/>
        <v>289.43448728519553</v>
      </c>
      <c r="K69" s="66">
        <f t="shared" si="61"/>
        <v>285.82930044890151</v>
      </c>
      <c r="L69" s="66">
        <f t="shared" si="61"/>
        <v>280.82940310238058</v>
      </c>
      <c r="M69" s="66">
        <f t="shared" si="61"/>
        <v>273.99859312334286</v>
      </c>
      <c r="N69" s="66">
        <f t="shared" si="61"/>
        <v>264.86217894545257</v>
      </c>
      <c r="O69" s="66">
        <f t="shared" si="61"/>
        <v>252.99427683344464</v>
      </c>
      <c r="P69" s="66">
        <f t="shared" si="61"/>
        <v>238.16981485939459</v>
      </c>
      <c r="Q69" s="66">
        <f t="shared" si="61"/>
        <v>220.55916023933028</v>
      </c>
      <c r="R69" s="66">
        <f t="shared" si="61"/>
        <v>200.87978683736739</v>
      </c>
      <c r="S69" s="66">
        <f t="shared" si="61"/>
        <v>180.37418382603204</v>
      </c>
      <c r="T69" s="66">
        <f t="shared" si="61"/>
        <v>160.54110734244563</v>
      </c>
      <c r="U69" s="66">
        <f t="shared" si="61"/>
        <v>142.71823403752018</v>
      </c>
      <c r="V69" s="66">
        <f t="shared" si="61"/>
        <v>127.74482275848767</v>
      </c>
      <c r="W69" s="66">
        <f t="shared" si="61"/>
        <v>115.86874841216149</v>
      </c>
      <c r="X69" s="66">
        <f t="shared" si="61"/>
        <v>106.87554257578437</v>
      </c>
      <c r="Y69" s="66">
        <f t="shared" si="61"/>
        <v>100.30277400851568</v>
      </c>
      <c r="Z69" s="66">
        <f t="shared" si="61"/>
        <v>95.62305868327033</v>
      </c>
      <c r="AA69" s="66">
        <f t="shared" si="61"/>
        <v>92.353069141439661</v>
      </c>
      <c r="AB69" s="66">
        <f t="shared" si="61"/>
        <v>90.098024414861612</v>
      </c>
      <c r="AC69" s="66">
        <f t="shared" si="61"/>
        <v>88.55700784100155</v>
      </c>
    </row>
    <row r="70" spans="1:29" ht="15.75" thickBot="1" x14ac:dyDescent="0.3">
      <c r="A70" s="59" t="str">
        <f t="shared" ref="A70" si="62">A58</f>
        <v>Emission Cost</v>
      </c>
      <c r="B70" s="66">
        <f>B41</f>
        <v>3.1561641138930518</v>
      </c>
      <c r="C70" s="66">
        <f t="shared" ref="C70:AC70" si="63">C41</f>
        <v>3.1531586766519095</v>
      </c>
      <c r="D70" s="66">
        <f t="shared" si="63"/>
        <v>3.148856460181932</v>
      </c>
      <c r="E70" s="66">
        <f t="shared" si="63"/>
        <v>3.1427018369762418</v>
      </c>
      <c r="F70" s="66">
        <f t="shared" si="63"/>
        <v>3.1339055223302736</v>
      </c>
      <c r="G70" s="66">
        <f t="shared" si="63"/>
        <v>3.1213512803680521</v>
      </c>
      <c r="H70" s="66">
        <f t="shared" si="63"/>
        <v>3.103470959921165</v>
      </c>
      <c r="I70" s="66">
        <f t="shared" si="63"/>
        <v>3.0780834680624944</v>
      </c>
      <c r="J70" s="66">
        <f t="shared" si="63"/>
        <v>3.0422006879024699</v>
      </c>
      <c r="K70" s="66">
        <f t="shared" si="63"/>
        <v>2.9918219119367748</v>
      </c>
      <c r="L70" s="66">
        <f t="shared" si="63"/>
        <v>2.9217771252824751</v>
      </c>
      <c r="M70" s="66">
        <f t="shared" si="63"/>
        <v>2.8257483431601118</v>
      </c>
      <c r="N70" s="66">
        <f t="shared" si="63"/>
        <v>2.6966959500159344</v>
      </c>
      <c r="O70" s="66">
        <f t="shared" si="63"/>
        <v>2.527999541087663</v>
      </c>
      <c r="P70" s="66">
        <f t="shared" si="63"/>
        <v>2.3155549274364571</v>
      </c>
      <c r="Q70" s="66">
        <f t="shared" si="63"/>
        <v>2.0606274892785992</v>
      </c>
      <c r="R70" s="66">
        <f t="shared" si="63"/>
        <v>1.7723622585244727</v>
      </c>
      <c r="S70" s="66">
        <f t="shared" si="63"/>
        <v>1.4680418371398225</v>
      </c>
      <c r="T70" s="66">
        <f t="shared" si="63"/>
        <v>1.1697098724326394</v>
      </c>
      <c r="U70" s="66">
        <f t="shared" si="63"/>
        <v>0.89813214422744192</v>
      </c>
      <c r="V70" s="66">
        <f t="shared" si="63"/>
        <v>0.66732974866522188</v>
      </c>
      <c r="W70" s="66">
        <f t="shared" si="63"/>
        <v>0.48249836418702996</v>
      </c>
      <c r="X70" s="66">
        <f t="shared" si="63"/>
        <v>0.34146381442791984</v>
      </c>
      <c r="Y70" s="66">
        <f t="shared" si="63"/>
        <v>0.23779210936773287</v>
      </c>
      <c r="Z70" s="66">
        <f t="shared" si="63"/>
        <v>0.16366834003345909</v>
      </c>
      <c r="AA70" s="66">
        <f t="shared" si="63"/>
        <v>0.11171852430248297</v>
      </c>
      <c r="AB70" s="66">
        <f t="shared" si="63"/>
        <v>7.5818008547159366E-2</v>
      </c>
      <c r="AC70" s="66">
        <f t="shared" si="63"/>
        <v>5.1249496624470758E-2</v>
      </c>
    </row>
    <row r="71" spans="1:29" ht="15.75" thickBot="1" x14ac:dyDescent="0.3">
      <c r="A71" s="31" t="s">
        <v>63</v>
      </c>
      <c r="B71" s="76">
        <f>B62+B63+B64-B65+B66+B67+B68+B69+B70</f>
        <v>328.54327268029056</v>
      </c>
      <c r="C71" s="76">
        <f t="shared" ref="C71:AC71" si="64">C62+C63+C64-C65+C66+C67+C68+C69+C70</f>
        <v>328.32084282112027</v>
      </c>
      <c r="D71" s="76">
        <f t="shared" si="64"/>
        <v>328.00248647325543</v>
      </c>
      <c r="E71" s="76">
        <f t="shared" si="64"/>
        <v>327.54715162645391</v>
      </c>
      <c r="F71" s="76">
        <f t="shared" si="64"/>
        <v>326.89657443459322</v>
      </c>
      <c r="G71" s="76">
        <f t="shared" si="64"/>
        <v>325.96846124583408</v>
      </c>
      <c r="H71" s="76">
        <f t="shared" si="64"/>
        <v>324.64741461232614</v>
      </c>
      <c r="I71" s="76">
        <f t="shared" si="64"/>
        <v>322.7733613588473</v>
      </c>
      <c r="J71" s="76">
        <f t="shared" si="64"/>
        <v>320.12785678527189</v>
      </c>
      <c r="K71" s="76">
        <f t="shared" si="64"/>
        <v>316.42011849918225</v>
      </c>
      <c r="L71" s="76">
        <f t="shared" si="64"/>
        <v>311.27763741011643</v>
      </c>
      <c r="M71" s="76">
        <f t="shared" si="64"/>
        <v>304.25135045411804</v>
      </c>
      <c r="N71" s="76">
        <f t="shared" si="64"/>
        <v>294.85223616565861</v>
      </c>
      <c r="O71" s="76">
        <f t="shared" si="64"/>
        <v>282.64093425920782</v>
      </c>
      <c r="P71" s="76">
        <f t="shared" si="64"/>
        <v>267.38401828615577</v>
      </c>
      <c r="Q71" s="76">
        <f t="shared" si="64"/>
        <v>249.25443128088298</v>
      </c>
      <c r="R71" s="76">
        <f t="shared" si="64"/>
        <v>228.98826280951184</v>
      </c>
      <c r="S71" s="76">
        <f t="shared" si="64"/>
        <v>207.86318265096179</v>
      </c>
      <c r="T71" s="76">
        <f t="shared" si="64"/>
        <v>187.42281917171834</v>
      </c>
      <c r="U71" s="76">
        <f t="shared" si="64"/>
        <v>169.04712001452134</v>
      </c>
      <c r="V71" s="76">
        <f t="shared" si="64"/>
        <v>153.60388548497326</v>
      </c>
      <c r="W71" s="76">
        <f t="shared" si="64"/>
        <v>141.35156685556109</v>
      </c>
      <c r="X71" s="76">
        <f t="shared" si="64"/>
        <v>132.07126993227641</v>
      </c>
      <c r="Y71" s="76">
        <f t="shared" si="64"/>
        <v>125.28746639139221</v>
      </c>
      <c r="Z71" s="76">
        <f t="shared" si="64"/>
        <v>120.45686411298389</v>
      </c>
      <c r="AA71" s="76">
        <f t="shared" si="64"/>
        <v>117.08112509991852</v>
      </c>
      <c r="AB71" s="76">
        <f t="shared" si="64"/>
        <v>114.75300098884679</v>
      </c>
      <c r="AC71" s="76">
        <f t="shared" si="64"/>
        <v>113.16197255049228</v>
      </c>
    </row>
    <row r="72" spans="1:29" ht="15.75" thickBot="1" x14ac:dyDescent="0.3"/>
    <row r="73" spans="1:29" ht="15.75" thickBot="1" x14ac:dyDescent="0.3">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5">A50</f>
        <v>Capex vehicle</v>
      </c>
      <c r="B74" s="65">
        <f>((1+B35)^B42)*B35/(((1+B35)^B42)-1)*(B31)/B47/(B44)</f>
        <v>1.3444866658711308E-3</v>
      </c>
      <c r="C74" s="65">
        <f t="shared" ref="C74:AC74" si="66">((1+C35)^C42)*C35/(((1+C35)^C42)-1)*(C31)/C47/(C44)</f>
        <v>1.344191716288432E-3</v>
      </c>
      <c r="D74" s="65">
        <f t="shared" si="66"/>
        <v>1.3437695025302714E-3</v>
      </c>
      <c r="E74" s="65">
        <f t="shared" si="66"/>
        <v>1.343165496057823E-3</v>
      </c>
      <c r="F74" s="65">
        <f t="shared" si="66"/>
        <v>1.3423022375280494E-3</v>
      </c>
      <c r="G74" s="65">
        <f t="shared" si="66"/>
        <v>1.3410701810481582E-3</v>
      </c>
      <c r="H74" s="65">
        <f t="shared" si="66"/>
        <v>1.3393154303642525E-3</v>
      </c>
      <c r="I74" s="65">
        <f t="shared" si="66"/>
        <v>1.3368239359397552E-3</v>
      </c>
      <c r="J74" s="65">
        <f t="shared" si="66"/>
        <v>1.3333024479880559E-3</v>
      </c>
      <c r="K74" s="65">
        <f t="shared" si="66"/>
        <v>1.3283583424367757E-3</v>
      </c>
      <c r="L74" s="65">
        <f t="shared" si="66"/>
        <v>1.3214842409546043E-3</v>
      </c>
      <c r="M74" s="65">
        <f t="shared" si="66"/>
        <v>1.3120601049831952E-3</v>
      </c>
      <c r="N74" s="65">
        <f t="shared" si="66"/>
        <v>1.2993950760872054E-3</v>
      </c>
      <c r="O74" s="65">
        <f t="shared" si="66"/>
        <v>1.2828394366165034E-3</v>
      </c>
      <c r="P74" s="65">
        <f t="shared" si="66"/>
        <v>1.2619904069694208E-3</v>
      </c>
      <c r="Q74" s="65">
        <f t="shared" si="66"/>
        <v>1.2369721698644108E-3</v>
      </c>
      <c r="R74" s="65">
        <f t="shared" si="66"/>
        <v>1.2086822064761966E-3</v>
      </c>
      <c r="S74" s="65">
        <f t="shared" si="66"/>
        <v>1.1788166081980577E-3</v>
      </c>
      <c r="T74" s="65">
        <f t="shared" si="66"/>
        <v>1.1495387090319981E-3</v>
      </c>
      <c r="U74" s="65">
        <f t="shared" si="66"/>
        <v>1.1228864347779014E-3</v>
      </c>
      <c r="V74" s="65">
        <f t="shared" si="66"/>
        <v>1.1002357970187589E-3</v>
      </c>
      <c r="W74" s="65">
        <f t="shared" si="66"/>
        <v>1.0820966926730776E-3</v>
      </c>
      <c r="X74" s="65">
        <f t="shared" si="66"/>
        <v>1.0682557509864208E-3</v>
      </c>
      <c r="Y74" s="65">
        <f t="shared" si="66"/>
        <v>1.0580815488016001E-3</v>
      </c>
      <c r="Z74" s="65">
        <f t="shared" si="66"/>
        <v>1.0508071414262214E-3</v>
      </c>
      <c r="AA74" s="65">
        <f t="shared" si="66"/>
        <v>1.0457088561380199E-3</v>
      </c>
      <c r="AB74" s="65">
        <f t="shared" si="66"/>
        <v>1.0421856276387688E-3</v>
      </c>
      <c r="AC74" s="65">
        <f t="shared" si="66"/>
        <v>1.0397745068075209E-3</v>
      </c>
    </row>
    <row r="75" spans="1:29" x14ac:dyDescent="0.25">
      <c r="A75" s="30" t="str">
        <f t="shared" si="65"/>
        <v>Residual value (vehicle)</v>
      </c>
      <c r="B75" s="68">
        <f>((1+B35)^B42)*B35/(((1+B35)^B42)-1)*(B32)/B47/(B44)</f>
        <v>-6.7337961459558828E-5</v>
      </c>
      <c r="C75" s="68">
        <f t="shared" ref="C75:AC75" si="67">((1+C35)^C42)*C35/(((1+C35)^C42)-1)*(C32)/C47/(C44)</f>
        <v>-6.7372372244207035E-5</v>
      </c>
      <c r="D75" s="68">
        <f t="shared" si="67"/>
        <v>-6.7421630515992462E-5</v>
      </c>
      <c r="E75" s="68">
        <f t="shared" si="67"/>
        <v>-6.7492097937778083E-5</v>
      </c>
      <c r="F75" s="68">
        <f t="shared" si="67"/>
        <v>-6.7592811432918334E-5</v>
      </c>
      <c r="G75" s="68">
        <f t="shared" si="67"/>
        <v>-6.773655135557234E-5</v>
      </c>
      <c r="H75" s="68">
        <f t="shared" si="67"/>
        <v>-6.7941272268694643E-5</v>
      </c>
      <c r="I75" s="68">
        <f t="shared" si="67"/>
        <v>-6.8231946618219335E-5</v>
      </c>
      <c r="J75" s="68">
        <f t="shared" si="67"/>
        <v>-6.8642786879250924E-5</v>
      </c>
      <c r="K75" s="68">
        <f t="shared" si="67"/>
        <v>-6.9219599193566945E-5</v>
      </c>
      <c r="L75" s="68">
        <f t="shared" si="67"/>
        <v>-7.0021577699820272E-5</v>
      </c>
      <c r="M75" s="68">
        <f t="shared" si="67"/>
        <v>-7.1121060229817985E-5</v>
      </c>
      <c r="N75" s="68">
        <f t="shared" si="67"/>
        <v>-7.2598646934350151E-5</v>
      </c>
      <c r="O75" s="68">
        <f t="shared" si="67"/>
        <v>-7.4530138205932043E-5</v>
      </c>
      <c r="P75" s="68">
        <f t="shared" si="67"/>
        <v>-7.6962524998091712E-5</v>
      </c>
      <c r="Q75" s="68">
        <f t="shared" si="67"/>
        <v>-7.9881319327009486E-5</v>
      </c>
      <c r="R75" s="68">
        <f t="shared" si="67"/>
        <v>-8.3181815055634491E-5</v>
      </c>
      <c r="S75" s="68">
        <f t="shared" si="67"/>
        <v>-8.6666134854750698E-5</v>
      </c>
      <c r="T75" s="68">
        <f t="shared" si="67"/>
        <v>-9.008188975745766E-5</v>
      </c>
      <c r="U75" s="68">
        <f t="shared" si="67"/>
        <v>-9.3191321753768942E-5</v>
      </c>
      <c r="V75" s="68">
        <f t="shared" si="67"/>
        <v>-9.583389615900226E-5</v>
      </c>
      <c r="W75" s="68">
        <f t="shared" si="67"/>
        <v>-9.7950124999331722E-5</v>
      </c>
      <c r="X75" s="68">
        <f t="shared" si="67"/>
        <v>-9.9564901529441686E-5</v>
      </c>
      <c r="Y75" s="68">
        <f t="shared" si="67"/>
        <v>-1.0075189178433743E-4</v>
      </c>
      <c r="Z75" s="68">
        <f t="shared" si="67"/>
        <v>-1.0160057264479828E-4</v>
      </c>
      <c r="AA75" s="68">
        <f t="shared" si="67"/>
        <v>-1.0219537259508843E-4</v>
      </c>
      <c r="AB75" s="68">
        <f t="shared" si="67"/>
        <v>-1.0260641592000108E-4</v>
      </c>
      <c r="AC75" s="68">
        <f t="shared" si="67"/>
        <v>-1.0288771335031333E-4</v>
      </c>
    </row>
    <row r="76" spans="1:29" x14ac:dyDescent="0.25">
      <c r="A76" s="30" t="str">
        <f t="shared" si="65"/>
        <v>Capex costumization</v>
      </c>
      <c r="B76" s="66">
        <f>((1+B35)^B43)*B35/(((1+B35)^B43)-1)*(B33)/B47/(B44)</f>
        <v>6.8982996659853576E-5</v>
      </c>
      <c r="C76" s="66">
        <f t="shared" ref="C76:AC76" si="68">((1+C35)^C43)*C35/(((1+C35)^C43)-1)*(C33)/C47/(C44)</f>
        <v>6.8982996659853576E-5</v>
      </c>
      <c r="D76" s="66">
        <f t="shared" si="68"/>
        <v>6.8982996659853576E-5</v>
      </c>
      <c r="E76" s="66">
        <f t="shared" si="68"/>
        <v>6.8982996659853576E-5</v>
      </c>
      <c r="F76" s="66">
        <f t="shared" si="68"/>
        <v>6.8982996659853576E-5</v>
      </c>
      <c r="G76" s="66">
        <f t="shared" si="68"/>
        <v>6.8982996659853576E-5</v>
      </c>
      <c r="H76" s="66">
        <f t="shared" si="68"/>
        <v>6.8982996659853576E-5</v>
      </c>
      <c r="I76" s="66">
        <f t="shared" si="68"/>
        <v>6.8982996659853576E-5</v>
      </c>
      <c r="J76" s="66">
        <f t="shared" si="68"/>
        <v>6.8982996659853576E-5</v>
      </c>
      <c r="K76" s="66">
        <f t="shared" si="68"/>
        <v>6.8982996659853576E-5</v>
      </c>
      <c r="L76" s="66">
        <f t="shared" si="68"/>
        <v>6.8982996659853576E-5</v>
      </c>
      <c r="M76" s="66">
        <f t="shared" si="68"/>
        <v>6.8982996659853576E-5</v>
      </c>
      <c r="N76" s="66">
        <f t="shared" si="68"/>
        <v>6.8982996659853576E-5</v>
      </c>
      <c r="O76" s="66">
        <f t="shared" si="68"/>
        <v>6.8982996659853576E-5</v>
      </c>
      <c r="P76" s="66">
        <f t="shared" si="68"/>
        <v>6.8982996659853576E-5</v>
      </c>
      <c r="Q76" s="66">
        <f t="shared" si="68"/>
        <v>6.8982996659853576E-5</v>
      </c>
      <c r="R76" s="66">
        <f t="shared" si="68"/>
        <v>6.8982996659853576E-5</v>
      </c>
      <c r="S76" s="66">
        <f t="shared" si="68"/>
        <v>6.8982996659853576E-5</v>
      </c>
      <c r="T76" s="66">
        <f t="shared" si="68"/>
        <v>6.8982996659853576E-5</v>
      </c>
      <c r="U76" s="66">
        <f t="shared" si="68"/>
        <v>6.8982996659853576E-5</v>
      </c>
      <c r="V76" s="66">
        <f t="shared" si="68"/>
        <v>6.8982996659853576E-5</v>
      </c>
      <c r="W76" s="66">
        <f t="shared" si="68"/>
        <v>6.8982996659853576E-5</v>
      </c>
      <c r="X76" s="66">
        <f t="shared" si="68"/>
        <v>6.8982996659853576E-5</v>
      </c>
      <c r="Y76" s="66">
        <f t="shared" si="68"/>
        <v>6.8982996659853576E-5</v>
      </c>
      <c r="Z76" s="66">
        <f t="shared" si="68"/>
        <v>6.8982996659853576E-5</v>
      </c>
      <c r="AA76" s="66">
        <f t="shared" si="68"/>
        <v>6.8982996659853576E-5</v>
      </c>
      <c r="AB76" s="66">
        <f t="shared" si="68"/>
        <v>6.8982996659853576E-5</v>
      </c>
      <c r="AC76" s="66">
        <f t="shared" si="68"/>
        <v>6.8982996659853576E-5</v>
      </c>
    </row>
    <row r="77" spans="1:29" x14ac:dyDescent="0.25">
      <c r="A77" s="30" t="str">
        <f t="shared" si="65"/>
        <v>Residual value (costumization)</v>
      </c>
      <c r="B77" s="69">
        <f>((1+B35)^B43)*B35/(((1+B35)^B43)-1)*(B34)/B47/(B44)</f>
        <v>-6.8982996659853564E-6</v>
      </c>
      <c r="C77" s="69">
        <f t="shared" ref="C77:AC77" si="69">((1+C35)^C43)*C35/(((1+C35)^C43)-1)*(C34)/C47/(C44)</f>
        <v>-6.8982996659853564E-6</v>
      </c>
      <c r="D77" s="69">
        <f t="shared" si="69"/>
        <v>-6.8982996659853564E-6</v>
      </c>
      <c r="E77" s="69">
        <f t="shared" si="69"/>
        <v>-6.8982996659853564E-6</v>
      </c>
      <c r="F77" s="69">
        <f t="shared" si="69"/>
        <v>-6.8982996659853564E-6</v>
      </c>
      <c r="G77" s="69">
        <f t="shared" si="69"/>
        <v>-6.8982996659853564E-6</v>
      </c>
      <c r="H77" s="69">
        <f t="shared" si="69"/>
        <v>-6.8982996659853564E-6</v>
      </c>
      <c r="I77" s="69">
        <f t="shared" si="69"/>
        <v>-6.8982996659853564E-6</v>
      </c>
      <c r="J77" s="69">
        <f t="shared" si="69"/>
        <v>-6.8982996659853564E-6</v>
      </c>
      <c r="K77" s="69">
        <f t="shared" si="69"/>
        <v>-6.8982996659853564E-6</v>
      </c>
      <c r="L77" s="69">
        <f t="shared" si="69"/>
        <v>-6.8982996659853564E-6</v>
      </c>
      <c r="M77" s="69">
        <f t="shared" si="69"/>
        <v>-6.8982996659853564E-6</v>
      </c>
      <c r="N77" s="69">
        <f t="shared" si="69"/>
        <v>-6.8982996659853564E-6</v>
      </c>
      <c r="O77" s="69">
        <f t="shared" si="69"/>
        <v>-6.8982996659853564E-6</v>
      </c>
      <c r="P77" s="69">
        <f t="shared" si="69"/>
        <v>-6.8982996659853564E-6</v>
      </c>
      <c r="Q77" s="69">
        <f t="shared" si="69"/>
        <v>-6.8982996659853564E-6</v>
      </c>
      <c r="R77" s="69">
        <f t="shared" si="69"/>
        <v>-6.8982996659853564E-6</v>
      </c>
      <c r="S77" s="69">
        <f t="shared" si="69"/>
        <v>-6.8982996659853564E-6</v>
      </c>
      <c r="T77" s="69">
        <f t="shared" si="69"/>
        <v>-6.8982996659853564E-6</v>
      </c>
      <c r="U77" s="69">
        <f t="shared" si="69"/>
        <v>-6.8982996659853564E-6</v>
      </c>
      <c r="V77" s="69">
        <f t="shared" si="69"/>
        <v>-6.8982996659853564E-6</v>
      </c>
      <c r="W77" s="69">
        <f t="shared" si="69"/>
        <v>-6.8982996659853564E-6</v>
      </c>
      <c r="X77" s="69">
        <f t="shared" si="69"/>
        <v>-6.8982996659853564E-6</v>
      </c>
      <c r="Y77" s="69">
        <f t="shared" si="69"/>
        <v>-6.8982996659853564E-6</v>
      </c>
      <c r="Z77" s="69">
        <f t="shared" si="69"/>
        <v>-6.8982996659853564E-6</v>
      </c>
      <c r="AA77" s="69">
        <f t="shared" si="69"/>
        <v>-6.8982996659853564E-6</v>
      </c>
      <c r="AB77" s="69">
        <f t="shared" si="69"/>
        <v>-6.8982996659853564E-6</v>
      </c>
      <c r="AC77" s="69">
        <f t="shared" si="69"/>
        <v>-6.8982996659853564E-6</v>
      </c>
    </row>
    <row r="78" spans="1:29" x14ac:dyDescent="0.25">
      <c r="A78" s="30" t="str">
        <f t="shared" si="65"/>
        <v>Opex fix (admin, crew, insurance)</v>
      </c>
      <c r="B78" s="66">
        <f>B36/B47/(B44)</f>
        <v>1.0654632223259673E-3</v>
      </c>
      <c r="C78" s="66">
        <f t="shared" ref="C78:AC78" si="70">C36/C47/(C44)</f>
        <v>1.0654632223259673E-3</v>
      </c>
      <c r="D78" s="66">
        <f t="shared" si="70"/>
        <v>1.0654632223259673E-3</v>
      </c>
      <c r="E78" s="66">
        <f t="shared" si="70"/>
        <v>1.0654632223259673E-3</v>
      </c>
      <c r="F78" s="66">
        <f t="shared" si="70"/>
        <v>1.0654632223259673E-3</v>
      </c>
      <c r="G78" s="66">
        <f t="shared" si="70"/>
        <v>1.0654632223259673E-3</v>
      </c>
      <c r="H78" s="66">
        <f t="shared" si="70"/>
        <v>1.0654632223259673E-3</v>
      </c>
      <c r="I78" s="66">
        <f t="shared" si="70"/>
        <v>1.0654632223259673E-3</v>
      </c>
      <c r="J78" s="66">
        <f t="shared" si="70"/>
        <v>1.0654632223259673E-3</v>
      </c>
      <c r="K78" s="66">
        <f t="shared" si="70"/>
        <v>1.0654632223259673E-3</v>
      </c>
      <c r="L78" s="66">
        <f t="shared" si="70"/>
        <v>1.0654632223259673E-3</v>
      </c>
      <c r="M78" s="66">
        <f t="shared" si="70"/>
        <v>1.0654632223259673E-3</v>
      </c>
      <c r="N78" s="66">
        <f t="shared" si="70"/>
        <v>1.0654632223259673E-3</v>
      </c>
      <c r="O78" s="66">
        <f t="shared" si="70"/>
        <v>1.0654632223259673E-3</v>
      </c>
      <c r="P78" s="66">
        <f t="shared" si="70"/>
        <v>1.0654632223259673E-3</v>
      </c>
      <c r="Q78" s="66">
        <f t="shared" si="70"/>
        <v>1.0654632223259673E-3</v>
      </c>
      <c r="R78" s="66">
        <f t="shared" si="70"/>
        <v>1.0654632223259673E-3</v>
      </c>
      <c r="S78" s="66">
        <f t="shared" si="70"/>
        <v>1.0654632223259673E-3</v>
      </c>
      <c r="T78" s="66">
        <f t="shared" si="70"/>
        <v>1.0654632223259673E-3</v>
      </c>
      <c r="U78" s="66">
        <f t="shared" si="70"/>
        <v>1.0654632223259673E-3</v>
      </c>
      <c r="V78" s="66">
        <f t="shared" si="70"/>
        <v>1.0654632223259673E-3</v>
      </c>
      <c r="W78" s="66">
        <f t="shared" si="70"/>
        <v>1.0654632223259673E-3</v>
      </c>
      <c r="X78" s="66">
        <f t="shared" si="70"/>
        <v>1.0654632223259673E-3</v>
      </c>
      <c r="Y78" s="66">
        <f t="shared" si="70"/>
        <v>1.0654632223259673E-3</v>
      </c>
      <c r="Z78" s="66">
        <f t="shared" si="70"/>
        <v>1.0654632223259673E-3</v>
      </c>
      <c r="AA78" s="66">
        <f t="shared" si="70"/>
        <v>1.0654632223259673E-3</v>
      </c>
      <c r="AB78" s="66">
        <f t="shared" si="70"/>
        <v>1.0654632223259673E-3</v>
      </c>
      <c r="AC78" s="66">
        <f t="shared" si="70"/>
        <v>1.0654632223259673E-3</v>
      </c>
    </row>
    <row r="79" spans="1:29" x14ac:dyDescent="0.25">
      <c r="A79" s="30" t="str">
        <f t="shared" si="65"/>
        <v>Opex maintenance &amp; repair</v>
      </c>
      <c r="B79" s="66">
        <f>B37/B47/(B44)</f>
        <v>4.305425874053325E-4</v>
      </c>
      <c r="C79" s="66">
        <f t="shared" ref="C79:AC79" si="71">C37/C47/(C44)</f>
        <v>4.305425874053325E-4</v>
      </c>
      <c r="D79" s="66">
        <f t="shared" si="71"/>
        <v>4.305425874053325E-4</v>
      </c>
      <c r="E79" s="66">
        <f t="shared" si="71"/>
        <v>4.305425874053325E-4</v>
      </c>
      <c r="F79" s="66">
        <f t="shared" si="71"/>
        <v>4.305425874053325E-4</v>
      </c>
      <c r="G79" s="66">
        <f t="shared" si="71"/>
        <v>4.305425874053325E-4</v>
      </c>
      <c r="H79" s="66">
        <f t="shared" si="71"/>
        <v>4.305425874053325E-4</v>
      </c>
      <c r="I79" s="66">
        <f t="shared" si="71"/>
        <v>4.305425874053325E-4</v>
      </c>
      <c r="J79" s="66">
        <f t="shared" si="71"/>
        <v>4.305425874053325E-4</v>
      </c>
      <c r="K79" s="66">
        <f t="shared" si="71"/>
        <v>4.305425874053325E-4</v>
      </c>
      <c r="L79" s="66">
        <f t="shared" si="71"/>
        <v>4.305425874053325E-4</v>
      </c>
      <c r="M79" s="66">
        <f t="shared" si="71"/>
        <v>4.305425874053325E-4</v>
      </c>
      <c r="N79" s="66">
        <f t="shared" si="71"/>
        <v>4.305425874053325E-4</v>
      </c>
      <c r="O79" s="66">
        <f t="shared" si="71"/>
        <v>4.305425874053325E-4</v>
      </c>
      <c r="P79" s="66">
        <f t="shared" si="71"/>
        <v>4.305425874053325E-4</v>
      </c>
      <c r="Q79" s="66">
        <f t="shared" si="71"/>
        <v>4.305425874053325E-4</v>
      </c>
      <c r="R79" s="66">
        <f t="shared" si="71"/>
        <v>4.305425874053325E-4</v>
      </c>
      <c r="S79" s="66">
        <f t="shared" si="71"/>
        <v>4.305425874053325E-4</v>
      </c>
      <c r="T79" s="66">
        <f t="shared" si="71"/>
        <v>4.305425874053325E-4</v>
      </c>
      <c r="U79" s="66">
        <f t="shared" si="71"/>
        <v>4.305425874053325E-4</v>
      </c>
      <c r="V79" s="66">
        <f t="shared" si="71"/>
        <v>4.305425874053325E-4</v>
      </c>
      <c r="W79" s="66">
        <f t="shared" si="71"/>
        <v>4.305425874053325E-4</v>
      </c>
      <c r="X79" s="66">
        <f t="shared" si="71"/>
        <v>4.305425874053325E-4</v>
      </c>
      <c r="Y79" s="66">
        <f t="shared" si="71"/>
        <v>4.305425874053325E-4</v>
      </c>
      <c r="Z79" s="66">
        <f t="shared" si="71"/>
        <v>4.305425874053325E-4</v>
      </c>
      <c r="AA79" s="66">
        <f t="shared" si="71"/>
        <v>4.305425874053325E-4</v>
      </c>
      <c r="AB79" s="66">
        <f t="shared" si="71"/>
        <v>4.305425874053325E-4</v>
      </c>
      <c r="AC79" s="66">
        <f t="shared" si="71"/>
        <v>4.305425874053325E-4</v>
      </c>
    </row>
    <row r="80" spans="1:29" x14ac:dyDescent="0.25">
      <c r="A80" s="30" t="str">
        <f t="shared" si="65"/>
        <v>Opex var (mode-fees)</v>
      </c>
      <c r="B80" s="66">
        <f>B38*B47/B47/(B44)</f>
        <v>8.9502842587904882E-5</v>
      </c>
      <c r="C80" s="66">
        <f t="shared" ref="C80:AC80" si="72">C38*C47/C47/(C44)</f>
        <v>8.9502842587904882E-5</v>
      </c>
      <c r="D80" s="66">
        <f t="shared" si="72"/>
        <v>8.9502842587904882E-5</v>
      </c>
      <c r="E80" s="66">
        <f t="shared" si="72"/>
        <v>8.9502842587904882E-5</v>
      </c>
      <c r="F80" s="66">
        <f t="shared" si="72"/>
        <v>8.9502842587904882E-5</v>
      </c>
      <c r="G80" s="66">
        <f t="shared" si="72"/>
        <v>8.9502842587904882E-5</v>
      </c>
      <c r="H80" s="66">
        <f t="shared" si="72"/>
        <v>8.9502842587904882E-5</v>
      </c>
      <c r="I80" s="66">
        <f t="shared" si="72"/>
        <v>8.9502842587904882E-5</v>
      </c>
      <c r="J80" s="66">
        <f t="shared" si="72"/>
        <v>8.9502842587904882E-5</v>
      </c>
      <c r="K80" s="66">
        <f t="shared" si="72"/>
        <v>8.9502842587904882E-5</v>
      </c>
      <c r="L80" s="66">
        <f t="shared" si="72"/>
        <v>8.9502842587904882E-5</v>
      </c>
      <c r="M80" s="66">
        <f t="shared" si="72"/>
        <v>8.9502842587904882E-5</v>
      </c>
      <c r="N80" s="66">
        <f t="shared" si="72"/>
        <v>8.9502842587904882E-5</v>
      </c>
      <c r="O80" s="66">
        <f t="shared" si="72"/>
        <v>8.9502842587904882E-5</v>
      </c>
      <c r="P80" s="66">
        <f t="shared" si="72"/>
        <v>8.9502842587904882E-5</v>
      </c>
      <c r="Q80" s="66">
        <f t="shared" si="72"/>
        <v>8.9502842587904882E-5</v>
      </c>
      <c r="R80" s="66">
        <f t="shared" si="72"/>
        <v>8.9502842587904882E-5</v>
      </c>
      <c r="S80" s="66">
        <f t="shared" si="72"/>
        <v>8.9502842587904882E-5</v>
      </c>
      <c r="T80" s="66">
        <f t="shared" si="72"/>
        <v>8.9502842587904882E-5</v>
      </c>
      <c r="U80" s="66">
        <f t="shared" si="72"/>
        <v>8.9502842587904882E-5</v>
      </c>
      <c r="V80" s="66">
        <f t="shared" si="72"/>
        <v>8.9502842587904882E-5</v>
      </c>
      <c r="W80" s="66">
        <f t="shared" si="72"/>
        <v>8.9502842587904882E-5</v>
      </c>
      <c r="X80" s="66">
        <f t="shared" si="72"/>
        <v>8.9502842587904882E-5</v>
      </c>
      <c r="Y80" s="66">
        <f t="shared" si="72"/>
        <v>8.9502842587904882E-5</v>
      </c>
      <c r="Z80" s="66">
        <f t="shared" si="72"/>
        <v>8.9502842587904882E-5</v>
      </c>
      <c r="AA80" s="66">
        <f t="shared" si="72"/>
        <v>8.9502842587904882E-5</v>
      </c>
      <c r="AB80" s="66">
        <f t="shared" si="72"/>
        <v>8.9502842587904882E-5</v>
      </c>
      <c r="AC80" s="66">
        <f t="shared" si="72"/>
        <v>8.9502842587904882E-5</v>
      </c>
    </row>
    <row r="81" spans="1:29" x14ac:dyDescent="0.25">
      <c r="A81" s="30" t="str">
        <f t="shared" si="65"/>
        <v>Fuel Cost</v>
      </c>
      <c r="B81" s="66">
        <f>B39*B40*B47/B47/(B44)</f>
        <v>3.1493959607937827E-2</v>
      </c>
      <c r="C81" s="66">
        <f t="shared" ref="C81:AC81" si="73">C39*C40*C47/C47/(C44)</f>
        <v>3.1471069452757114E-2</v>
      </c>
      <c r="D81" s="66">
        <f t="shared" si="73"/>
        <v>3.1438307683369617E-2</v>
      </c>
      <c r="E81" s="66">
        <f t="shared" si="73"/>
        <v>3.1391449858470644E-2</v>
      </c>
      <c r="F81" s="66">
        <f t="shared" si="73"/>
        <v>3.1324500510155374E-2</v>
      </c>
      <c r="G81" s="66">
        <f t="shared" si="73"/>
        <v>3.1228991761923324E-2</v>
      </c>
      <c r="H81" s="66">
        <f t="shared" si="73"/>
        <v>3.1093050036371042E-2</v>
      </c>
      <c r="I81" s="66">
        <f t="shared" si="73"/>
        <v>3.0900206198624405E-2</v>
      </c>
      <c r="J81" s="66">
        <f t="shared" si="73"/>
        <v>3.0627988072507464E-2</v>
      </c>
      <c r="K81" s="66">
        <f t="shared" si="73"/>
        <v>3.0246486819989576E-2</v>
      </c>
      <c r="L81" s="66">
        <f t="shared" si="73"/>
        <v>2.9717397153691066E-2</v>
      </c>
      <c r="M81" s="66">
        <f t="shared" si="73"/>
        <v>2.8994560118872258E-2</v>
      </c>
      <c r="N81" s="66">
        <f t="shared" si="73"/>
        <v>2.8027743803751594E-2</v>
      </c>
      <c r="O81" s="66">
        <f t="shared" si="73"/>
        <v>2.6771881146396257E-2</v>
      </c>
      <c r="P81" s="66">
        <f t="shared" si="73"/>
        <v>2.5203155011576148E-2</v>
      </c>
      <c r="Q81" s="66">
        <f t="shared" si="73"/>
        <v>2.3339593676119607E-2</v>
      </c>
      <c r="R81" s="66">
        <f t="shared" si="73"/>
        <v>2.1257120300250516E-2</v>
      </c>
      <c r="S81" s="66">
        <f t="shared" si="73"/>
        <v>1.908721521968593E-2</v>
      </c>
      <c r="T81" s="66">
        <f t="shared" si="73"/>
        <v>1.6988476967454563E-2</v>
      </c>
      <c r="U81" s="66">
        <f t="shared" si="73"/>
        <v>1.5102458628309013E-2</v>
      </c>
      <c r="V81" s="66">
        <f t="shared" si="73"/>
        <v>1.3517970662273828E-2</v>
      </c>
      <c r="W81" s="66">
        <f t="shared" si="73"/>
        <v>1.2261243218218148E-2</v>
      </c>
      <c r="X81" s="66">
        <f t="shared" si="73"/>
        <v>1.1309581224950727E-2</v>
      </c>
      <c r="Y81" s="66">
        <f t="shared" si="73"/>
        <v>1.0614050159631289E-2</v>
      </c>
      <c r="Z81" s="66">
        <f t="shared" si="73"/>
        <v>1.0118842188705854E-2</v>
      </c>
      <c r="AA81" s="66">
        <f t="shared" si="73"/>
        <v>9.772811549358695E-3</v>
      </c>
      <c r="AB81" s="66">
        <f t="shared" si="73"/>
        <v>9.5341824777631333E-3</v>
      </c>
      <c r="AC81" s="66">
        <f t="shared" si="73"/>
        <v>9.3711119408467249E-3</v>
      </c>
    </row>
    <row r="82" spans="1:29" x14ac:dyDescent="0.25">
      <c r="A82" s="59" t="str">
        <f>A45</f>
        <v>Market failure (av. utilization)</v>
      </c>
      <c r="B82" s="66">
        <f t="shared" ref="B82:AC82" si="74">B71/B45-B71/B44</f>
        <v>1.6360698297182223E-2</v>
      </c>
      <c r="C82" s="66">
        <f t="shared" si="74"/>
        <v>1.6349621802483422E-2</v>
      </c>
      <c r="D82" s="66">
        <f t="shared" si="74"/>
        <v>1.6333768389580096E-2</v>
      </c>
      <c r="E82" s="66">
        <f t="shared" si="74"/>
        <v>1.6311093762910865E-2</v>
      </c>
      <c r="F82" s="66">
        <f t="shared" si="74"/>
        <v>1.6278696517128821E-2</v>
      </c>
      <c r="G82" s="66">
        <f t="shared" si="74"/>
        <v>1.623247861790645E-2</v>
      </c>
      <c r="H82" s="66">
        <f t="shared" si="74"/>
        <v>1.6166693538117699E-2</v>
      </c>
      <c r="I82" s="66">
        <f t="shared" si="74"/>
        <v>1.6073370002307984E-2</v>
      </c>
      <c r="J82" s="66">
        <f t="shared" si="74"/>
        <v>1.5941629967520535E-2</v>
      </c>
      <c r="K82" s="66">
        <f t="shared" si="74"/>
        <v>1.5756993140326532E-2</v>
      </c>
      <c r="L82" s="66">
        <f t="shared" si="74"/>
        <v>1.5500909425962842E-2</v>
      </c>
      <c r="M82" s="66">
        <f t="shared" si="74"/>
        <v>1.5151016518101114E-2</v>
      </c>
      <c r="N82" s="66">
        <f t="shared" si="74"/>
        <v>1.4682962274044618E-2</v>
      </c>
      <c r="O82" s="66">
        <f t="shared" si="74"/>
        <v>1.4074867563483733E-2</v>
      </c>
      <c r="P82" s="66">
        <f t="shared" si="74"/>
        <v>1.331510828689228E-2</v>
      </c>
      <c r="Q82" s="66">
        <f t="shared" si="74"/>
        <v>1.2412296609069798E-2</v>
      </c>
      <c r="R82" s="66">
        <f t="shared" si="74"/>
        <v>1.1403088095089289E-2</v>
      </c>
      <c r="S82" s="66">
        <f t="shared" si="74"/>
        <v>1.0351107757284119E-2</v>
      </c>
      <c r="T82" s="66">
        <f t="shared" si="74"/>
        <v>9.3332247331076625E-3</v>
      </c>
      <c r="U82" s="66">
        <f t="shared" si="74"/>
        <v>8.4181572369509509E-3</v>
      </c>
      <c r="V82" s="66">
        <f t="shared" si="74"/>
        <v>7.6491197253643686E-3</v>
      </c>
      <c r="W82" s="66">
        <f t="shared" si="74"/>
        <v>7.0389824764674029E-3</v>
      </c>
      <c r="X82" s="66">
        <f t="shared" si="74"/>
        <v>6.5768450635431738E-3</v>
      </c>
      <c r="Y82" s="66">
        <f t="shared" si="74"/>
        <v>6.2390272712800308E-3</v>
      </c>
      <c r="Z82" s="66">
        <f t="shared" si="74"/>
        <v>5.9984744033854398E-3</v>
      </c>
      <c r="AA82" s="66">
        <f t="shared" si="74"/>
        <v>5.830370375346082E-3</v>
      </c>
      <c r="AB82" s="66">
        <f t="shared" si="74"/>
        <v>5.7144351566185744E-3</v>
      </c>
      <c r="AC82" s="66">
        <f t="shared" si="74"/>
        <v>5.6352056047552918E-3</v>
      </c>
    </row>
    <row r="83" spans="1:29" x14ac:dyDescent="0.25">
      <c r="A83" s="59" t="str">
        <f>A46</f>
        <v>Payload loss (fuel)</v>
      </c>
      <c r="B83" s="66">
        <f>B71/(B44-B46)-B71/B44</f>
        <v>1.4486034950630111E-3</v>
      </c>
      <c r="C83" s="66">
        <f t="shared" ref="C83:AC83" si="75">C71/(C44-C46)-C71/C44</f>
        <v>1.4476227637615566E-3</v>
      </c>
      <c r="D83" s="66">
        <f t="shared" si="75"/>
        <v>1.446219076160736E-3</v>
      </c>
      <c r="E83" s="66">
        <f t="shared" si="75"/>
        <v>1.4442114269243994E-3</v>
      </c>
      <c r="F83" s="66">
        <f t="shared" si="75"/>
        <v>1.4413429207874515E-3</v>
      </c>
      <c r="G83" s="66">
        <f t="shared" si="75"/>
        <v>1.4372507109604651E-3</v>
      </c>
      <c r="H83" s="66">
        <f t="shared" si="75"/>
        <v>1.4314259903541737E-3</v>
      </c>
      <c r="I83" s="66">
        <f t="shared" si="75"/>
        <v>1.4231629689543529E-3</v>
      </c>
      <c r="J83" s="66">
        <f t="shared" si="75"/>
        <v>1.4114984867075464E-3</v>
      </c>
      <c r="K83" s="66">
        <f t="shared" si="75"/>
        <v>1.3951504342997467E-3</v>
      </c>
      <c r="L83" s="66">
        <f t="shared" si="75"/>
        <v>1.372476355423792E-3</v>
      </c>
      <c r="M83" s="66">
        <f t="shared" si="75"/>
        <v>1.3414962542068753E-3</v>
      </c>
      <c r="N83" s="66">
        <f t="shared" si="75"/>
        <v>1.3000539513477009E-3</v>
      </c>
      <c r="O83" s="66">
        <f t="shared" si="75"/>
        <v>1.246212232183453E-3</v>
      </c>
      <c r="P83" s="66">
        <f t="shared" si="75"/>
        <v>1.1789418795685874E-3</v>
      </c>
      <c r="Q83" s="66">
        <f t="shared" si="75"/>
        <v>1.0990054289280529E-3</v>
      </c>
      <c r="R83" s="66">
        <f t="shared" si="75"/>
        <v>1.0096484250860308E-3</v>
      </c>
      <c r="S83" s="66">
        <f t="shared" si="75"/>
        <v>9.1650433267619763E-4</v>
      </c>
      <c r="T83" s="66">
        <f t="shared" si="75"/>
        <v>8.2637927324390875E-4</v>
      </c>
      <c r="U83" s="66">
        <f t="shared" si="75"/>
        <v>7.4535767202170075E-4</v>
      </c>
      <c r="V83" s="66">
        <f t="shared" si="75"/>
        <v>6.7726580901663821E-4</v>
      </c>
      <c r="W83" s="66">
        <f t="shared" si="75"/>
        <v>6.2324324010388545E-4</v>
      </c>
      <c r="X83" s="66">
        <f t="shared" si="75"/>
        <v>5.8232482333455196E-4</v>
      </c>
      <c r="Y83" s="66">
        <f t="shared" si="75"/>
        <v>5.5241387297791898E-4</v>
      </c>
      <c r="Z83" s="66">
        <f t="shared" si="75"/>
        <v>5.3111492113308567E-4</v>
      </c>
      <c r="AA83" s="66">
        <f t="shared" si="75"/>
        <v>5.1623071031710148E-4</v>
      </c>
      <c r="AB83" s="66">
        <f t="shared" si="75"/>
        <v>5.0596561282560334E-4</v>
      </c>
      <c r="AC83" s="66">
        <f t="shared" si="75"/>
        <v>4.9895049625437414E-4</v>
      </c>
    </row>
    <row r="84" spans="1:29" ht="15.75" thickBot="1" x14ac:dyDescent="0.3">
      <c r="A84" s="59" t="str">
        <f>A21</f>
        <v>Emission Cost</v>
      </c>
      <c r="B84" s="68">
        <f>B41*B47/B47/(B44)</f>
        <v>3.3398562051778328E-4</v>
      </c>
      <c r="C84" s="68">
        <f t="shared" ref="C84:AC84" si="76">C41*C47/C47/(C44)</f>
        <v>3.3366758483088988E-4</v>
      </c>
      <c r="D84" s="68">
        <f t="shared" si="76"/>
        <v>3.3321232382877585E-4</v>
      </c>
      <c r="E84" s="68">
        <f t="shared" si="76"/>
        <v>3.3256104094986681E-4</v>
      </c>
      <c r="F84" s="68">
        <f t="shared" si="76"/>
        <v>3.3163021400320358E-4</v>
      </c>
      <c r="G84" s="68">
        <f t="shared" si="76"/>
        <v>3.3030172279027004E-4</v>
      </c>
      <c r="H84" s="68">
        <f t="shared" si="76"/>
        <v>3.2840962538848302E-4</v>
      </c>
      <c r="I84" s="68">
        <f t="shared" si="76"/>
        <v>3.2572311831349148E-4</v>
      </c>
      <c r="J84" s="68">
        <f t="shared" si="76"/>
        <v>3.2192599871983809E-4</v>
      </c>
      <c r="K84" s="68">
        <f t="shared" si="76"/>
        <v>3.1659491131606082E-4</v>
      </c>
      <c r="L84" s="68">
        <f t="shared" si="76"/>
        <v>3.091827645801561E-4</v>
      </c>
      <c r="M84" s="68">
        <f t="shared" si="76"/>
        <v>2.9902098869419172E-4</v>
      </c>
      <c r="N84" s="68">
        <f t="shared" si="76"/>
        <v>2.8536465079533697E-4</v>
      </c>
      <c r="O84" s="68">
        <f t="shared" si="76"/>
        <v>2.6751317895107546E-4</v>
      </c>
      <c r="P84" s="68">
        <f t="shared" si="76"/>
        <v>2.4503226745359335E-4</v>
      </c>
      <c r="Q84" s="68">
        <f t="shared" si="76"/>
        <v>2.1805581897128034E-4</v>
      </c>
      <c r="R84" s="68">
        <f t="shared" si="76"/>
        <v>1.8755156174862146E-4</v>
      </c>
      <c r="S84" s="68">
        <f t="shared" si="76"/>
        <v>1.5534834255447857E-4</v>
      </c>
      <c r="T84" s="68">
        <f t="shared" si="76"/>
        <v>1.2377882247964437E-4</v>
      </c>
      <c r="U84" s="68">
        <f t="shared" si="76"/>
        <v>9.5040438542586453E-5</v>
      </c>
      <c r="V84" s="68">
        <f t="shared" si="76"/>
        <v>7.06169046206584E-5</v>
      </c>
      <c r="W84" s="68">
        <f t="shared" si="76"/>
        <v>5.1058027956299464E-5</v>
      </c>
      <c r="X84" s="68">
        <f t="shared" si="76"/>
        <v>3.6133736976499454E-5</v>
      </c>
      <c r="Y84" s="68">
        <f t="shared" si="76"/>
        <v>2.5163186176479669E-5</v>
      </c>
      <c r="Z84" s="68">
        <f t="shared" si="76"/>
        <v>1.7319401061741704E-5</v>
      </c>
      <c r="AA84" s="68">
        <f t="shared" si="76"/>
        <v>1.1822066063754811E-5</v>
      </c>
      <c r="AB84" s="68">
        <f t="shared" si="76"/>
        <v>8.0230696875300903E-6</v>
      </c>
      <c r="AC84" s="68">
        <f t="shared" si="76"/>
        <v>5.4232271560286516E-6</v>
      </c>
    </row>
    <row r="85" spans="1:29" ht="15.75" thickBot="1" x14ac:dyDescent="0.3">
      <c r="A85" s="31" t="s">
        <v>210</v>
      </c>
      <c r="B85" s="67">
        <f>B74+B75+B76+B77+B78+B79+B80+B81+B82+B83+B84</f>
        <v>5.256198907442549E-2</v>
      </c>
      <c r="C85" s="67">
        <f t="shared" ref="C85:AC85" si="77">C74+C75+C76+C77+C78+C79+C80+C81+C82+C83+C84</f>
        <v>5.2526394297190276E-2</v>
      </c>
      <c r="D85" s="67">
        <f t="shared" si="77"/>
        <v>5.2475448694266576E-2</v>
      </c>
      <c r="E85" s="67">
        <f t="shared" si="77"/>
        <v>5.2402582836688888E-2</v>
      </c>
      <c r="F85" s="67">
        <f t="shared" si="77"/>
        <v>5.2298472937483055E-2</v>
      </c>
      <c r="G85" s="67">
        <f t="shared" si="77"/>
        <v>5.2149949792586171E-2</v>
      </c>
      <c r="H85" s="67">
        <f t="shared" si="77"/>
        <v>5.1938546697640031E-2</v>
      </c>
      <c r="I85" s="67">
        <f t="shared" si="77"/>
        <v>5.1638647626834844E-2</v>
      </c>
      <c r="J85" s="67">
        <f t="shared" si="77"/>
        <v>5.121529553587726E-2</v>
      </c>
      <c r="K85" s="67">
        <f t="shared" si="77"/>
        <v>5.0621957398488196E-2</v>
      </c>
      <c r="L85" s="67">
        <f t="shared" si="77"/>
        <v>4.9799021712225715E-2</v>
      </c>
      <c r="M85" s="67">
        <f t="shared" si="77"/>
        <v>4.8674626273940889E-2</v>
      </c>
      <c r="N85" s="67">
        <f t="shared" si="77"/>
        <v>4.7170514458405179E-2</v>
      </c>
      <c r="O85" s="67">
        <f t="shared" si="77"/>
        <v>4.5216376768738159E-2</v>
      </c>
      <c r="P85" s="67">
        <f t="shared" si="77"/>
        <v>4.277485867677501E-2</v>
      </c>
      <c r="Q85" s="67">
        <f t="shared" si="77"/>
        <v>3.9873635732939214E-2</v>
      </c>
      <c r="R85" s="67">
        <f t="shared" si="77"/>
        <v>3.6630502122908096E-2</v>
      </c>
      <c r="S85" s="67">
        <f t="shared" si="77"/>
        <v>3.3249919474857101E-2</v>
      </c>
      <c r="T85" s="67">
        <f t="shared" si="77"/>
        <v>2.9978909964873391E-2</v>
      </c>
      <c r="U85" s="67">
        <f t="shared" si="77"/>
        <v>2.7038302438161455E-2</v>
      </c>
      <c r="V85" s="67">
        <f t="shared" si="77"/>
        <v>2.4566968351448323E-2</v>
      </c>
      <c r="W85" s="67">
        <f t="shared" si="77"/>
        <v>2.2606266879732554E-2</v>
      </c>
      <c r="X85" s="67">
        <f t="shared" si="77"/>
        <v>2.1121169047575002E-2</v>
      </c>
      <c r="Y85" s="67">
        <f t="shared" si="77"/>
        <v>2.0035577496396055E-2</v>
      </c>
      <c r="Z85" s="67">
        <f t="shared" si="77"/>
        <v>1.9262550832380616E-2</v>
      </c>
      <c r="AA85" s="67">
        <f t="shared" si="77"/>
        <v>1.8722341533941637E-2</v>
      </c>
      <c r="AB85" s="67">
        <f t="shared" si="77"/>
        <v>1.8349778877926683E-2</v>
      </c>
      <c r="AC85" s="67">
        <f t="shared" si="77"/>
        <v>1.8095171411782698E-2</v>
      </c>
    </row>
    <row r="87" spans="1:29" x14ac:dyDescent="0.25">
      <c r="B87" s="40"/>
    </row>
    <row r="107" spans="1:2" s="3" customFormat="1" ht="21" x14ac:dyDescent="0.35">
      <c r="A107" s="2" t="str">
        <f>'Parameter Input'!A167</f>
        <v>Short-sea: Container</v>
      </c>
    </row>
    <row r="108" spans="1:2" s="3" customFormat="1" ht="21" x14ac:dyDescent="0.35">
      <c r="A108" s="2" t="s">
        <v>187</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Input'!$L$205</f>
        <v>19500000</v>
      </c>
      <c r="C117" s="42">
        <f>'Parameter Input'!$M$205</f>
        <v>15000000</v>
      </c>
      <c r="D117" s="1" t="s">
        <v>15</v>
      </c>
      <c r="L117" s="51">
        <f>'Parameter Input'!$O$205</f>
        <v>17</v>
      </c>
      <c r="M117" s="52">
        <v>0</v>
      </c>
      <c r="N117" s="52">
        <v>1</v>
      </c>
      <c r="O117" s="52">
        <f>'Parameter Input'!$P$205</f>
        <v>0.9</v>
      </c>
      <c r="P117" s="53">
        <f>'Parameter Input'!$Q$205</f>
        <v>0.4</v>
      </c>
      <c r="Q117" s="4">
        <f t="shared" ref="Q117:AR126" si="78">$N117+($M117-$N117)*((1/(1+EXP(-$P117*(Q$9-$L117)))^$O117))</f>
        <v>0.99780374543478534</v>
      </c>
      <c r="R117" s="4">
        <f t="shared" si="78"/>
        <v>0.99685359315256394</v>
      </c>
      <c r="S117" s="4">
        <f t="shared" si="78"/>
        <v>0.99549347132349975</v>
      </c>
      <c r="T117" s="4">
        <f t="shared" si="78"/>
        <v>0.99354772139898062</v>
      </c>
      <c r="U117" s="4">
        <f t="shared" si="78"/>
        <v>0.99076681540580536</v>
      </c>
      <c r="V117" s="4">
        <f t="shared" si="78"/>
        <v>0.9867978615748374</v>
      </c>
      <c r="W117" s="4">
        <f t="shared" si="78"/>
        <v>0.98114509762858249</v>
      </c>
      <c r="X117" s="4">
        <f t="shared" si="78"/>
        <v>0.97311898315872036</v>
      </c>
      <c r="Y117" s="4">
        <f t="shared" si="78"/>
        <v>0.96177484161592774</v>
      </c>
      <c r="Z117" s="4">
        <f t="shared" si="78"/>
        <v>0.94584787155511363</v>
      </c>
      <c r="AA117" s="4">
        <f t="shared" si="78"/>
        <v>0.92370360150141495</v>
      </c>
      <c r="AB117" s="4">
        <f t="shared" si="78"/>
        <v>0.89334463567658451</v>
      </c>
      <c r="AC117" s="4">
        <f t="shared" si="78"/>
        <v>0.85254543874327005</v>
      </c>
      <c r="AD117" s="4">
        <f t="shared" si="78"/>
        <v>0.79921300652623883</v>
      </c>
      <c r="AE117" s="4">
        <f t="shared" si="78"/>
        <v>0.73204982249993378</v>
      </c>
      <c r="AF117" s="4">
        <f t="shared" si="78"/>
        <v>0.65145592958786691</v>
      </c>
      <c r="AG117" s="4">
        <f t="shared" si="78"/>
        <v>0.56032247880849573</v>
      </c>
      <c r="AH117" s="4">
        <f t="shared" si="78"/>
        <v>0.46411326873185343</v>
      </c>
      <c r="AI117" s="4">
        <f t="shared" si="78"/>
        <v>0.36979727595523937</v>
      </c>
      <c r="AJ117" s="4">
        <f t="shared" si="78"/>
        <v>0.28393948637231203</v>
      </c>
      <c r="AK117" s="4">
        <f t="shared" si="78"/>
        <v>0.21097259161117732</v>
      </c>
      <c r="AL117" s="4">
        <f t="shared" si="78"/>
        <v>0.15253917653798199</v>
      </c>
      <c r="AM117" s="4">
        <f t="shared" si="78"/>
        <v>0.10795188737709993</v>
      </c>
      <c r="AN117" s="4">
        <f t="shared" si="78"/>
        <v>7.5176653938091809E-2</v>
      </c>
      <c r="AO117" s="4">
        <f t="shared" si="78"/>
        <v>5.1742836177502194E-2</v>
      </c>
      <c r="AP117" s="4">
        <f t="shared" si="78"/>
        <v>3.5319190625345942E-2</v>
      </c>
      <c r="AQ117" s="4">
        <f t="shared" si="78"/>
        <v>2.3969442072658165E-2</v>
      </c>
      <c r="AR117" s="4">
        <f t="shared" si="78"/>
        <v>1.6202243558389728E-2</v>
      </c>
    </row>
    <row r="118" spans="1:44" x14ac:dyDescent="0.25">
      <c r="A118" s="24" t="s">
        <v>28</v>
      </c>
      <c r="B118" s="60">
        <f>'Parameter Input'!$L$206</f>
        <v>-975000</v>
      </c>
      <c r="C118" s="61">
        <f>'Parameter Input'!$M$206</f>
        <v>-1500000</v>
      </c>
      <c r="D118" s="1" t="s">
        <v>15</v>
      </c>
      <c r="L118" s="54">
        <f>'Parameter Input'!$O$206</f>
        <v>17</v>
      </c>
      <c r="M118" s="37">
        <v>0</v>
      </c>
      <c r="N118" s="37">
        <v>1</v>
      </c>
      <c r="O118" s="37">
        <f>'Parameter Input'!$P$206</f>
        <v>0.9</v>
      </c>
      <c r="P118" s="55">
        <f>'Parameter Input'!$Q$206</f>
        <v>0.4</v>
      </c>
      <c r="Q118" s="4">
        <f t="shared" si="78"/>
        <v>0.99780374543478534</v>
      </c>
      <c r="R118" s="4">
        <f t="shared" si="78"/>
        <v>0.99685359315256394</v>
      </c>
      <c r="S118" s="4">
        <f t="shared" si="78"/>
        <v>0.99549347132349975</v>
      </c>
      <c r="T118" s="4">
        <f t="shared" si="78"/>
        <v>0.99354772139898062</v>
      </c>
      <c r="U118" s="4">
        <f t="shared" si="78"/>
        <v>0.99076681540580536</v>
      </c>
      <c r="V118" s="4">
        <f t="shared" si="78"/>
        <v>0.9867978615748374</v>
      </c>
      <c r="W118" s="4">
        <f t="shared" si="78"/>
        <v>0.98114509762858249</v>
      </c>
      <c r="X118" s="4">
        <f t="shared" si="78"/>
        <v>0.97311898315872036</v>
      </c>
      <c r="Y118" s="4">
        <f t="shared" si="78"/>
        <v>0.96177484161592774</v>
      </c>
      <c r="Z118" s="4">
        <f t="shared" si="78"/>
        <v>0.94584787155511363</v>
      </c>
      <c r="AA118" s="4">
        <f t="shared" si="78"/>
        <v>0.92370360150141495</v>
      </c>
      <c r="AB118" s="4">
        <f t="shared" si="78"/>
        <v>0.89334463567658451</v>
      </c>
      <c r="AC118" s="4">
        <f t="shared" si="78"/>
        <v>0.85254543874327005</v>
      </c>
      <c r="AD118" s="4">
        <f t="shared" si="78"/>
        <v>0.79921300652623883</v>
      </c>
      <c r="AE118" s="4">
        <f t="shared" si="78"/>
        <v>0.73204982249993378</v>
      </c>
      <c r="AF118" s="4">
        <f t="shared" si="78"/>
        <v>0.65145592958786691</v>
      </c>
      <c r="AG118" s="4">
        <f t="shared" si="78"/>
        <v>0.56032247880849573</v>
      </c>
      <c r="AH118" s="4">
        <f t="shared" si="78"/>
        <v>0.46411326873185343</v>
      </c>
      <c r="AI118" s="4">
        <f t="shared" si="78"/>
        <v>0.36979727595523937</v>
      </c>
      <c r="AJ118" s="4">
        <f t="shared" si="78"/>
        <v>0.28393948637231203</v>
      </c>
      <c r="AK118" s="4">
        <f t="shared" si="78"/>
        <v>0.21097259161117732</v>
      </c>
      <c r="AL118" s="4">
        <f t="shared" si="78"/>
        <v>0.15253917653798199</v>
      </c>
      <c r="AM118" s="4">
        <f t="shared" si="78"/>
        <v>0.10795188737709993</v>
      </c>
      <c r="AN118" s="4">
        <f t="shared" si="78"/>
        <v>7.5176653938091809E-2</v>
      </c>
      <c r="AO118" s="4">
        <f t="shared" si="78"/>
        <v>5.1742836177502194E-2</v>
      </c>
      <c r="AP118" s="4">
        <f t="shared" si="78"/>
        <v>3.5319190625345942E-2</v>
      </c>
      <c r="AQ118" s="4">
        <f t="shared" si="78"/>
        <v>2.3969442072658165E-2</v>
      </c>
      <c r="AR118" s="4">
        <f t="shared" si="78"/>
        <v>1.6202243558389728E-2</v>
      </c>
    </row>
    <row r="119" spans="1:44" x14ac:dyDescent="0.25">
      <c r="A119" s="24" t="s">
        <v>14</v>
      </c>
      <c r="B119" s="60">
        <f>'Parameter Input'!B168</f>
        <v>5000000</v>
      </c>
      <c r="C119" s="61">
        <f>'Parameter Input'!C168</f>
        <v>5000000</v>
      </c>
      <c r="D119" s="1" t="s">
        <v>15</v>
      </c>
      <c r="L119" s="54">
        <f>'Parameter Input'!E168</f>
        <v>17</v>
      </c>
      <c r="M119" s="37">
        <v>0</v>
      </c>
      <c r="N119" s="37">
        <v>1</v>
      </c>
      <c r="O119" s="37">
        <f>'Parameter Input'!F168</f>
        <v>0.9</v>
      </c>
      <c r="P119" s="55">
        <f>'Parameter Input'!G168</f>
        <v>0.4</v>
      </c>
      <c r="Q119" s="4">
        <f t="shared" si="78"/>
        <v>0.99780374543478534</v>
      </c>
      <c r="R119" s="4">
        <f t="shared" si="78"/>
        <v>0.99685359315256394</v>
      </c>
      <c r="S119" s="4">
        <f t="shared" si="78"/>
        <v>0.99549347132349975</v>
      </c>
      <c r="T119" s="4">
        <f t="shared" si="78"/>
        <v>0.99354772139898062</v>
      </c>
      <c r="U119" s="4">
        <f t="shared" si="78"/>
        <v>0.99076681540580536</v>
      </c>
      <c r="V119" s="4">
        <f t="shared" si="78"/>
        <v>0.9867978615748374</v>
      </c>
      <c r="W119" s="4">
        <f t="shared" si="78"/>
        <v>0.98114509762858249</v>
      </c>
      <c r="X119" s="4">
        <f t="shared" si="78"/>
        <v>0.97311898315872036</v>
      </c>
      <c r="Y119" s="4">
        <f t="shared" si="78"/>
        <v>0.96177484161592774</v>
      </c>
      <c r="Z119" s="4">
        <f t="shared" si="78"/>
        <v>0.94584787155511363</v>
      </c>
      <c r="AA119" s="4">
        <f t="shared" si="78"/>
        <v>0.92370360150141495</v>
      </c>
      <c r="AB119" s="4">
        <f t="shared" si="78"/>
        <v>0.89334463567658451</v>
      </c>
      <c r="AC119" s="4">
        <f t="shared" si="78"/>
        <v>0.85254543874327005</v>
      </c>
      <c r="AD119" s="4">
        <f t="shared" si="78"/>
        <v>0.79921300652623883</v>
      </c>
      <c r="AE119" s="4">
        <f t="shared" si="78"/>
        <v>0.73204982249993378</v>
      </c>
      <c r="AF119" s="4">
        <f t="shared" si="78"/>
        <v>0.65145592958786691</v>
      </c>
      <c r="AG119" s="4">
        <f t="shared" si="78"/>
        <v>0.56032247880849573</v>
      </c>
      <c r="AH119" s="4">
        <f t="shared" si="78"/>
        <v>0.46411326873185343</v>
      </c>
      <c r="AI119" s="4">
        <f t="shared" si="78"/>
        <v>0.36979727595523937</v>
      </c>
      <c r="AJ119" s="4">
        <f t="shared" si="78"/>
        <v>0.28393948637231203</v>
      </c>
      <c r="AK119" s="4">
        <f t="shared" si="78"/>
        <v>0.21097259161117732</v>
      </c>
      <c r="AL119" s="4">
        <f t="shared" si="78"/>
        <v>0.15253917653798199</v>
      </c>
      <c r="AM119" s="4">
        <f t="shared" si="78"/>
        <v>0.10795188737709993</v>
      </c>
      <c r="AN119" s="4">
        <f t="shared" si="78"/>
        <v>7.5176653938091809E-2</v>
      </c>
      <c r="AO119" s="4">
        <f t="shared" si="78"/>
        <v>5.1742836177502194E-2</v>
      </c>
      <c r="AP119" s="4">
        <f t="shared" si="78"/>
        <v>3.5319190625345942E-2</v>
      </c>
      <c r="AQ119" s="4">
        <f t="shared" si="78"/>
        <v>2.3969442072658165E-2</v>
      </c>
      <c r="AR119" s="4">
        <f t="shared" si="78"/>
        <v>1.6202243558389728E-2</v>
      </c>
    </row>
    <row r="120" spans="1:44" x14ac:dyDescent="0.25">
      <c r="A120" s="24" t="s">
        <v>25</v>
      </c>
      <c r="B120" s="60">
        <f>'Parameter Input'!B169</f>
        <v>-500000</v>
      </c>
      <c r="C120" s="61">
        <f>'Parameter Input'!C169</f>
        <v>-500000</v>
      </c>
      <c r="D120" s="1" t="s">
        <v>15</v>
      </c>
      <c r="L120" s="54">
        <f>'Parameter Input'!E169</f>
        <v>17</v>
      </c>
      <c r="M120" s="37">
        <v>0</v>
      </c>
      <c r="N120" s="37">
        <v>1</v>
      </c>
      <c r="O120" s="37">
        <f>'Parameter Input'!F169</f>
        <v>0.9</v>
      </c>
      <c r="P120" s="55">
        <f>'Parameter Input'!G169</f>
        <v>0.4</v>
      </c>
      <c r="Q120" s="4">
        <f t="shared" si="78"/>
        <v>0.99780374543478534</v>
      </c>
      <c r="R120" s="4">
        <f t="shared" si="78"/>
        <v>0.99685359315256394</v>
      </c>
      <c r="S120" s="4">
        <f t="shared" si="78"/>
        <v>0.99549347132349975</v>
      </c>
      <c r="T120" s="4">
        <f t="shared" si="78"/>
        <v>0.99354772139898062</v>
      </c>
      <c r="U120" s="4">
        <f t="shared" si="78"/>
        <v>0.99076681540580536</v>
      </c>
      <c r="V120" s="4">
        <f t="shared" si="78"/>
        <v>0.9867978615748374</v>
      </c>
      <c r="W120" s="4">
        <f t="shared" si="78"/>
        <v>0.98114509762858249</v>
      </c>
      <c r="X120" s="4">
        <f t="shared" si="78"/>
        <v>0.97311898315872036</v>
      </c>
      <c r="Y120" s="4">
        <f t="shared" si="78"/>
        <v>0.96177484161592774</v>
      </c>
      <c r="Z120" s="4">
        <f t="shared" si="78"/>
        <v>0.94584787155511363</v>
      </c>
      <c r="AA120" s="4">
        <f t="shared" si="78"/>
        <v>0.92370360150141495</v>
      </c>
      <c r="AB120" s="4">
        <f t="shared" si="78"/>
        <v>0.89334463567658451</v>
      </c>
      <c r="AC120" s="4">
        <f t="shared" si="78"/>
        <v>0.85254543874327005</v>
      </c>
      <c r="AD120" s="4">
        <f t="shared" si="78"/>
        <v>0.79921300652623883</v>
      </c>
      <c r="AE120" s="4">
        <f t="shared" si="78"/>
        <v>0.73204982249993378</v>
      </c>
      <c r="AF120" s="4">
        <f t="shared" si="78"/>
        <v>0.65145592958786691</v>
      </c>
      <c r="AG120" s="4">
        <f t="shared" si="78"/>
        <v>0.56032247880849573</v>
      </c>
      <c r="AH120" s="4">
        <f t="shared" si="78"/>
        <v>0.46411326873185343</v>
      </c>
      <c r="AI120" s="4">
        <f t="shared" si="78"/>
        <v>0.36979727595523937</v>
      </c>
      <c r="AJ120" s="4">
        <f t="shared" si="78"/>
        <v>0.28393948637231203</v>
      </c>
      <c r="AK120" s="4">
        <f t="shared" si="78"/>
        <v>0.21097259161117732</v>
      </c>
      <c r="AL120" s="4">
        <f t="shared" si="78"/>
        <v>0.15253917653798199</v>
      </c>
      <c r="AM120" s="4">
        <f t="shared" si="78"/>
        <v>0.10795188737709993</v>
      </c>
      <c r="AN120" s="4">
        <f t="shared" si="78"/>
        <v>7.5176653938091809E-2</v>
      </c>
      <c r="AO120" s="4">
        <f t="shared" si="78"/>
        <v>5.1742836177502194E-2</v>
      </c>
      <c r="AP120" s="4">
        <f t="shared" si="78"/>
        <v>3.5319190625345942E-2</v>
      </c>
      <c r="AQ120" s="4">
        <f t="shared" si="78"/>
        <v>2.3969442072658165E-2</v>
      </c>
      <c r="AR120" s="4">
        <f t="shared" si="78"/>
        <v>1.6202243558389728E-2</v>
      </c>
    </row>
    <row r="121" spans="1:44" x14ac:dyDescent="0.25">
      <c r="A121" s="24" t="s">
        <v>79</v>
      </c>
      <c r="B121" s="92">
        <f>'Parameter Input'!$L$212</f>
        <v>0.06</v>
      </c>
      <c r="C121" s="91">
        <f>'Parameter Input'!$M$212</f>
        <v>0.06</v>
      </c>
      <c r="D121" s="1" t="s">
        <v>57</v>
      </c>
      <c r="L121" s="54">
        <f>'Parameter Input'!$O$212</f>
        <v>17</v>
      </c>
      <c r="M121" s="37">
        <v>0</v>
      </c>
      <c r="N121" s="37">
        <v>1</v>
      </c>
      <c r="O121" s="37">
        <f>'Parameter Input'!$P$212</f>
        <v>0.9</v>
      </c>
      <c r="P121" s="55">
        <f>'Parameter Input'!$Q$212</f>
        <v>0.4</v>
      </c>
      <c r="Q121" s="4">
        <f t="shared" si="78"/>
        <v>0.99780374543478534</v>
      </c>
      <c r="R121" s="4">
        <f t="shared" si="78"/>
        <v>0.99685359315256394</v>
      </c>
      <c r="S121" s="4">
        <f t="shared" si="78"/>
        <v>0.99549347132349975</v>
      </c>
      <c r="T121" s="4">
        <f t="shared" si="78"/>
        <v>0.99354772139898062</v>
      </c>
      <c r="U121" s="4">
        <f t="shared" si="78"/>
        <v>0.99076681540580536</v>
      </c>
      <c r="V121" s="4">
        <f t="shared" si="78"/>
        <v>0.9867978615748374</v>
      </c>
      <c r="W121" s="4">
        <f t="shared" si="78"/>
        <v>0.98114509762858249</v>
      </c>
      <c r="X121" s="4">
        <f t="shared" si="78"/>
        <v>0.97311898315872036</v>
      </c>
      <c r="Y121" s="4">
        <f t="shared" si="78"/>
        <v>0.96177484161592774</v>
      </c>
      <c r="Z121" s="4">
        <f t="shared" si="78"/>
        <v>0.94584787155511363</v>
      </c>
      <c r="AA121" s="4">
        <f t="shared" si="78"/>
        <v>0.92370360150141495</v>
      </c>
      <c r="AB121" s="4">
        <f t="shared" si="78"/>
        <v>0.89334463567658451</v>
      </c>
      <c r="AC121" s="4">
        <f t="shared" si="78"/>
        <v>0.85254543874327005</v>
      </c>
      <c r="AD121" s="4">
        <f t="shared" si="78"/>
        <v>0.79921300652623883</v>
      </c>
      <c r="AE121" s="4">
        <f t="shared" si="78"/>
        <v>0.73204982249993378</v>
      </c>
      <c r="AF121" s="4">
        <f t="shared" si="78"/>
        <v>0.65145592958786691</v>
      </c>
      <c r="AG121" s="4">
        <f t="shared" si="78"/>
        <v>0.56032247880849573</v>
      </c>
      <c r="AH121" s="4">
        <f t="shared" si="78"/>
        <v>0.46411326873185343</v>
      </c>
      <c r="AI121" s="4">
        <f t="shared" si="78"/>
        <v>0.36979727595523937</v>
      </c>
      <c r="AJ121" s="4">
        <f t="shared" si="78"/>
        <v>0.28393948637231203</v>
      </c>
      <c r="AK121" s="4">
        <f t="shared" si="78"/>
        <v>0.21097259161117732</v>
      </c>
      <c r="AL121" s="4">
        <f t="shared" si="78"/>
        <v>0.15253917653798199</v>
      </c>
      <c r="AM121" s="4">
        <f t="shared" si="78"/>
        <v>0.10795188737709993</v>
      </c>
      <c r="AN121" s="4">
        <f t="shared" si="78"/>
        <v>7.5176653938091809E-2</v>
      </c>
      <c r="AO121" s="4">
        <f t="shared" si="78"/>
        <v>5.1742836177502194E-2</v>
      </c>
      <c r="AP121" s="4">
        <f t="shared" si="78"/>
        <v>3.5319190625345942E-2</v>
      </c>
      <c r="AQ121" s="4">
        <f t="shared" si="78"/>
        <v>2.3969442072658165E-2</v>
      </c>
      <c r="AR121" s="4">
        <f t="shared" si="78"/>
        <v>1.6202243558389728E-2</v>
      </c>
    </row>
    <row r="122" spans="1:44" x14ac:dyDescent="0.25">
      <c r="A122" s="24" t="s">
        <v>37</v>
      </c>
      <c r="B122" s="60">
        <f>'Parameter Input'!B170</f>
        <v>1208235.294117647</v>
      </c>
      <c r="C122" s="61">
        <f>'Parameter Input'!C170</f>
        <v>1208235.294117647</v>
      </c>
      <c r="D122" s="1" t="s">
        <v>38</v>
      </c>
      <c r="L122" s="54">
        <f>'Parameter Input'!E170</f>
        <v>17</v>
      </c>
      <c r="M122" s="37">
        <v>0</v>
      </c>
      <c r="N122" s="37">
        <v>1</v>
      </c>
      <c r="O122" s="37">
        <f>'Parameter Input'!F170</f>
        <v>0.9</v>
      </c>
      <c r="P122" s="55">
        <f>'Parameter Input'!G170</f>
        <v>0.4</v>
      </c>
      <c r="Q122" s="4">
        <f t="shared" si="78"/>
        <v>0.99780374543478534</v>
      </c>
      <c r="R122" s="4">
        <f t="shared" si="78"/>
        <v>0.99685359315256394</v>
      </c>
      <c r="S122" s="4">
        <f t="shared" si="78"/>
        <v>0.99549347132349975</v>
      </c>
      <c r="T122" s="4">
        <f t="shared" si="78"/>
        <v>0.99354772139898062</v>
      </c>
      <c r="U122" s="4">
        <f t="shared" si="78"/>
        <v>0.99076681540580536</v>
      </c>
      <c r="V122" s="4">
        <f t="shared" si="78"/>
        <v>0.9867978615748374</v>
      </c>
      <c r="W122" s="4">
        <f t="shared" si="78"/>
        <v>0.98114509762858249</v>
      </c>
      <c r="X122" s="4">
        <f t="shared" si="78"/>
        <v>0.97311898315872036</v>
      </c>
      <c r="Y122" s="4">
        <f t="shared" si="78"/>
        <v>0.96177484161592774</v>
      </c>
      <c r="Z122" s="4">
        <f t="shared" si="78"/>
        <v>0.94584787155511363</v>
      </c>
      <c r="AA122" s="4">
        <f t="shared" si="78"/>
        <v>0.92370360150141495</v>
      </c>
      <c r="AB122" s="4">
        <f t="shared" si="78"/>
        <v>0.89334463567658451</v>
      </c>
      <c r="AC122" s="4">
        <f t="shared" si="78"/>
        <v>0.85254543874327005</v>
      </c>
      <c r="AD122" s="4">
        <f t="shared" si="78"/>
        <v>0.79921300652623883</v>
      </c>
      <c r="AE122" s="4">
        <f t="shared" si="78"/>
        <v>0.73204982249993378</v>
      </c>
      <c r="AF122" s="4">
        <f t="shared" si="78"/>
        <v>0.65145592958786691</v>
      </c>
      <c r="AG122" s="4">
        <f t="shared" si="78"/>
        <v>0.56032247880849573</v>
      </c>
      <c r="AH122" s="4">
        <f t="shared" si="78"/>
        <v>0.46411326873185343</v>
      </c>
      <c r="AI122" s="4">
        <f t="shared" si="78"/>
        <v>0.36979727595523937</v>
      </c>
      <c r="AJ122" s="4">
        <f t="shared" si="78"/>
        <v>0.28393948637231203</v>
      </c>
      <c r="AK122" s="4">
        <f t="shared" si="78"/>
        <v>0.21097259161117732</v>
      </c>
      <c r="AL122" s="4">
        <f t="shared" si="78"/>
        <v>0.15253917653798199</v>
      </c>
      <c r="AM122" s="4">
        <f t="shared" si="78"/>
        <v>0.10795188737709993</v>
      </c>
      <c r="AN122" s="4">
        <f t="shared" si="78"/>
        <v>7.5176653938091809E-2</v>
      </c>
      <c r="AO122" s="4">
        <f t="shared" si="78"/>
        <v>5.1742836177502194E-2</v>
      </c>
      <c r="AP122" s="4">
        <f t="shared" si="78"/>
        <v>3.5319190625345942E-2</v>
      </c>
      <c r="AQ122" s="4">
        <f t="shared" si="78"/>
        <v>2.3969442072658165E-2</v>
      </c>
      <c r="AR122" s="4">
        <f t="shared" si="78"/>
        <v>1.6202243558389728E-2</v>
      </c>
    </row>
    <row r="123" spans="1:44" x14ac:dyDescent="0.25">
      <c r="A123" s="24" t="s">
        <v>52</v>
      </c>
      <c r="B123" s="60">
        <f>'Parameter Input'!$L$208</f>
        <v>488235.29411764705</v>
      </c>
      <c r="C123" s="61">
        <f>'Parameter Input'!$M$208</f>
        <v>488235.29411764705</v>
      </c>
      <c r="D123" s="1" t="s">
        <v>38</v>
      </c>
      <c r="L123" s="54">
        <f>'Parameter Input'!$O$208</f>
        <v>17</v>
      </c>
      <c r="M123" s="37">
        <v>0</v>
      </c>
      <c r="N123" s="37">
        <v>1</v>
      </c>
      <c r="O123" s="37">
        <f>'Parameter Input'!$P$208</f>
        <v>0.9</v>
      </c>
      <c r="P123" s="55">
        <f>'Parameter Input'!$Q$208</f>
        <v>0.4</v>
      </c>
      <c r="Q123" s="4">
        <f t="shared" si="78"/>
        <v>0.99780374543478534</v>
      </c>
      <c r="R123" s="4">
        <f t="shared" si="78"/>
        <v>0.99685359315256394</v>
      </c>
      <c r="S123" s="4">
        <f t="shared" si="78"/>
        <v>0.99549347132349975</v>
      </c>
      <c r="T123" s="4">
        <f t="shared" si="78"/>
        <v>0.99354772139898062</v>
      </c>
      <c r="U123" s="4">
        <f t="shared" si="78"/>
        <v>0.99076681540580536</v>
      </c>
      <c r="V123" s="4">
        <f t="shared" si="78"/>
        <v>0.9867978615748374</v>
      </c>
      <c r="W123" s="4">
        <f t="shared" si="78"/>
        <v>0.98114509762858249</v>
      </c>
      <c r="X123" s="4">
        <f t="shared" si="78"/>
        <v>0.97311898315872036</v>
      </c>
      <c r="Y123" s="4">
        <f t="shared" si="78"/>
        <v>0.96177484161592774</v>
      </c>
      <c r="Z123" s="4">
        <f t="shared" si="78"/>
        <v>0.94584787155511363</v>
      </c>
      <c r="AA123" s="4">
        <f t="shared" si="78"/>
        <v>0.92370360150141495</v>
      </c>
      <c r="AB123" s="4">
        <f t="shared" si="78"/>
        <v>0.89334463567658451</v>
      </c>
      <c r="AC123" s="4">
        <f t="shared" si="78"/>
        <v>0.85254543874327005</v>
      </c>
      <c r="AD123" s="4">
        <f t="shared" si="78"/>
        <v>0.79921300652623883</v>
      </c>
      <c r="AE123" s="4">
        <f t="shared" si="78"/>
        <v>0.73204982249993378</v>
      </c>
      <c r="AF123" s="4">
        <f t="shared" si="78"/>
        <v>0.65145592958786691</v>
      </c>
      <c r="AG123" s="4">
        <f t="shared" si="78"/>
        <v>0.56032247880849573</v>
      </c>
      <c r="AH123" s="4">
        <f t="shared" si="78"/>
        <v>0.46411326873185343</v>
      </c>
      <c r="AI123" s="4">
        <f t="shared" si="78"/>
        <v>0.36979727595523937</v>
      </c>
      <c r="AJ123" s="4">
        <f t="shared" si="78"/>
        <v>0.28393948637231203</v>
      </c>
      <c r="AK123" s="4">
        <f t="shared" si="78"/>
        <v>0.21097259161117732</v>
      </c>
      <c r="AL123" s="4">
        <f t="shared" si="78"/>
        <v>0.15253917653798199</v>
      </c>
      <c r="AM123" s="4">
        <f t="shared" si="78"/>
        <v>0.10795188737709993</v>
      </c>
      <c r="AN123" s="4">
        <f t="shared" si="78"/>
        <v>7.5176653938091809E-2</v>
      </c>
      <c r="AO123" s="4">
        <f t="shared" si="78"/>
        <v>5.1742836177502194E-2</v>
      </c>
      <c r="AP123" s="4">
        <f t="shared" si="78"/>
        <v>3.5319190625345942E-2</v>
      </c>
      <c r="AQ123" s="4">
        <f t="shared" si="78"/>
        <v>2.3969442072658165E-2</v>
      </c>
      <c r="AR123" s="4">
        <f t="shared" si="78"/>
        <v>1.6202243558389728E-2</v>
      </c>
    </row>
    <row r="124" spans="1:44" x14ac:dyDescent="0.25">
      <c r="A124" s="24" t="s">
        <v>272</v>
      </c>
      <c r="B124" s="92">
        <f>'Parameter Input'!B175</f>
        <v>1.6886890630966982</v>
      </c>
      <c r="C124" s="61">
        <f>'Parameter Input'!C175</f>
        <v>1.6886890630966982</v>
      </c>
      <c r="D124" s="1" t="s">
        <v>76</v>
      </c>
      <c r="L124" s="54">
        <f>'Parameter Input'!E175</f>
        <v>17</v>
      </c>
      <c r="M124" s="37">
        <v>0</v>
      </c>
      <c r="N124" s="37">
        <v>1</v>
      </c>
      <c r="O124" s="37">
        <f>'Parameter Input'!F175</f>
        <v>0.9</v>
      </c>
      <c r="P124" s="55">
        <f>'Parameter Input'!G175</f>
        <v>0.4</v>
      </c>
      <c r="Q124" s="4">
        <f t="shared" si="78"/>
        <v>0.99780374543478534</v>
      </c>
      <c r="R124" s="4">
        <f t="shared" si="78"/>
        <v>0.99685359315256394</v>
      </c>
      <c r="S124" s="4">
        <f t="shared" si="78"/>
        <v>0.99549347132349975</v>
      </c>
      <c r="T124" s="4">
        <f t="shared" si="78"/>
        <v>0.99354772139898062</v>
      </c>
      <c r="U124" s="4">
        <f t="shared" si="78"/>
        <v>0.99076681540580536</v>
      </c>
      <c r="V124" s="4">
        <f t="shared" si="78"/>
        <v>0.9867978615748374</v>
      </c>
      <c r="W124" s="4">
        <f t="shared" si="78"/>
        <v>0.98114509762858249</v>
      </c>
      <c r="X124" s="4">
        <f t="shared" si="78"/>
        <v>0.97311898315872036</v>
      </c>
      <c r="Y124" s="4">
        <f t="shared" si="78"/>
        <v>0.96177484161592774</v>
      </c>
      <c r="Z124" s="4">
        <f t="shared" si="78"/>
        <v>0.94584787155511363</v>
      </c>
      <c r="AA124" s="4">
        <f t="shared" si="78"/>
        <v>0.92370360150141495</v>
      </c>
      <c r="AB124" s="4">
        <f t="shared" si="78"/>
        <v>0.89334463567658451</v>
      </c>
      <c r="AC124" s="4">
        <f t="shared" si="78"/>
        <v>0.85254543874327005</v>
      </c>
      <c r="AD124" s="4">
        <f t="shared" si="78"/>
        <v>0.79921300652623883</v>
      </c>
      <c r="AE124" s="4">
        <f t="shared" si="78"/>
        <v>0.73204982249993378</v>
      </c>
      <c r="AF124" s="4">
        <f t="shared" si="78"/>
        <v>0.65145592958786691</v>
      </c>
      <c r="AG124" s="4">
        <f t="shared" si="78"/>
        <v>0.56032247880849573</v>
      </c>
      <c r="AH124" s="4">
        <f t="shared" si="78"/>
        <v>0.46411326873185343</v>
      </c>
      <c r="AI124" s="4">
        <f t="shared" si="78"/>
        <v>0.36979727595523937</v>
      </c>
      <c r="AJ124" s="4">
        <f t="shared" si="78"/>
        <v>0.28393948637231203</v>
      </c>
      <c r="AK124" s="4">
        <f t="shared" si="78"/>
        <v>0.21097259161117732</v>
      </c>
      <c r="AL124" s="4">
        <f t="shared" si="78"/>
        <v>0.15253917653798199</v>
      </c>
      <c r="AM124" s="4">
        <f t="shared" si="78"/>
        <v>0.10795188737709993</v>
      </c>
      <c r="AN124" s="4">
        <f t="shared" si="78"/>
        <v>7.5176653938091809E-2</v>
      </c>
      <c r="AO124" s="4">
        <f t="shared" si="78"/>
        <v>5.1742836177502194E-2</v>
      </c>
      <c r="AP124" s="4">
        <f t="shared" si="78"/>
        <v>3.5319190625345942E-2</v>
      </c>
      <c r="AQ124" s="4">
        <f t="shared" si="78"/>
        <v>2.3969442072658165E-2</v>
      </c>
      <c r="AR124" s="4">
        <f t="shared" si="78"/>
        <v>1.6202243558389728E-2</v>
      </c>
    </row>
    <row r="125" spans="1:44" x14ac:dyDescent="0.25">
      <c r="A125" s="24" t="s">
        <v>59</v>
      </c>
      <c r="B125" s="60">
        <f>'Parameter Input'!$L$209</f>
        <v>647</v>
      </c>
      <c r="C125" s="61">
        <f>'Parameter Input'!$M$209</f>
        <v>600</v>
      </c>
      <c r="D125" s="1" t="s">
        <v>60</v>
      </c>
      <c r="L125" s="54">
        <f>'Parameter Input'!$O$209</f>
        <v>17</v>
      </c>
      <c r="M125" s="37">
        <v>0</v>
      </c>
      <c r="N125" s="37">
        <v>1</v>
      </c>
      <c r="O125" s="37">
        <f>'Parameter Input'!$P$209</f>
        <v>0.9</v>
      </c>
      <c r="P125" s="55">
        <f>'Parameter Input'!$Q$209</f>
        <v>0.4</v>
      </c>
      <c r="Q125" s="4">
        <f t="shared" si="78"/>
        <v>0.99780374543478534</v>
      </c>
      <c r="R125" s="4">
        <f t="shared" si="78"/>
        <v>0.99685359315256394</v>
      </c>
      <c r="S125" s="4">
        <f t="shared" si="78"/>
        <v>0.99549347132349975</v>
      </c>
      <c r="T125" s="4">
        <f t="shared" si="78"/>
        <v>0.99354772139898062</v>
      </c>
      <c r="U125" s="4">
        <f t="shared" si="78"/>
        <v>0.99076681540580536</v>
      </c>
      <c r="V125" s="4">
        <f t="shared" si="78"/>
        <v>0.9867978615748374</v>
      </c>
      <c r="W125" s="4">
        <f t="shared" si="78"/>
        <v>0.98114509762858249</v>
      </c>
      <c r="X125" s="4">
        <f t="shared" si="78"/>
        <v>0.97311898315872036</v>
      </c>
      <c r="Y125" s="4">
        <f t="shared" si="78"/>
        <v>0.96177484161592774</v>
      </c>
      <c r="Z125" s="4">
        <f t="shared" si="78"/>
        <v>0.94584787155511363</v>
      </c>
      <c r="AA125" s="4">
        <f t="shared" si="78"/>
        <v>0.92370360150141495</v>
      </c>
      <c r="AB125" s="4">
        <f t="shared" si="78"/>
        <v>0.89334463567658451</v>
      </c>
      <c r="AC125" s="4">
        <f t="shared" si="78"/>
        <v>0.85254543874327005</v>
      </c>
      <c r="AD125" s="4">
        <f t="shared" si="78"/>
        <v>0.79921300652623883</v>
      </c>
      <c r="AE125" s="4">
        <f t="shared" si="78"/>
        <v>0.73204982249993378</v>
      </c>
      <c r="AF125" s="4">
        <f t="shared" si="78"/>
        <v>0.65145592958786691</v>
      </c>
      <c r="AG125" s="4">
        <f t="shared" si="78"/>
        <v>0.56032247880849573</v>
      </c>
      <c r="AH125" s="4">
        <f t="shared" si="78"/>
        <v>0.46411326873185343</v>
      </c>
      <c r="AI125" s="4">
        <f t="shared" si="78"/>
        <v>0.36979727595523937</v>
      </c>
      <c r="AJ125" s="4">
        <f t="shared" si="78"/>
        <v>0.28393948637231203</v>
      </c>
      <c r="AK125" s="4">
        <f t="shared" si="78"/>
        <v>0.21097259161117732</v>
      </c>
      <c r="AL125" s="4">
        <f t="shared" si="78"/>
        <v>0.15253917653798199</v>
      </c>
      <c r="AM125" s="4">
        <f t="shared" si="78"/>
        <v>0.10795188737709993</v>
      </c>
      <c r="AN125" s="4">
        <f t="shared" si="78"/>
        <v>7.5176653938091809E-2</v>
      </c>
      <c r="AO125" s="4">
        <f t="shared" si="78"/>
        <v>5.1742836177502194E-2</v>
      </c>
      <c r="AP125" s="4">
        <f t="shared" si="78"/>
        <v>3.5319190625345942E-2</v>
      </c>
      <c r="AQ125" s="4">
        <f t="shared" si="78"/>
        <v>2.3969442072658165E-2</v>
      </c>
      <c r="AR125" s="4">
        <f t="shared" si="78"/>
        <v>1.6202243558389728E-2</v>
      </c>
    </row>
    <row r="126" spans="1:44" x14ac:dyDescent="0.25">
      <c r="A126" s="24" t="s">
        <v>67</v>
      </c>
      <c r="B126" s="78">
        <f>'Parameter Input'!$L$210</f>
        <v>0.46076973995226939</v>
      </c>
      <c r="C126" s="61">
        <f>'Parameter Input'!$M$210</f>
        <v>0.14224714585492179</v>
      </c>
      <c r="D126" s="1" t="s">
        <v>68</v>
      </c>
      <c r="L126" s="54">
        <f>'Parameter Input'!$O$210</f>
        <v>17</v>
      </c>
      <c r="M126" s="37">
        <v>0</v>
      </c>
      <c r="N126" s="37">
        <v>1</v>
      </c>
      <c r="O126" s="37">
        <f>'Parameter Input'!$P$210</f>
        <v>0.9</v>
      </c>
      <c r="P126" s="55">
        <f>'Parameter Input'!$Q$210</f>
        <v>0.4</v>
      </c>
      <c r="Q126" s="4">
        <f t="shared" si="78"/>
        <v>0.99780374543478534</v>
      </c>
      <c r="R126" s="4">
        <f t="shared" si="78"/>
        <v>0.99685359315256394</v>
      </c>
      <c r="S126" s="4">
        <f t="shared" si="78"/>
        <v>0.99549347132349975</v>
      </c>
      <c r="T126" s="4">
        <f t="shared" ref="T126:AI133" si="79">$N126+($M126-$N126)*((1/(1+EXP(-$P126*(T$9-$L126)))^$O126))</f>
        <v>0.99354772139898062</v>
      </c>
      <c r="U126" s="4">
        <f t="shared" si="79"/>
        <v>0.99076681540580536</v>
      </c>
      <c r="V126" s="4">
        <f t="shared" si="79"/>
        <v>0.9867978615748374</v>
      </c>
      <c r="W126" s="4">
        <f t="shared" si="79"/>
        <v>0.98114509762858249</v>
      </c>
      <c r="X126" s="4">
        <f t="shared" si="79"/>
        <v>0.97311898315872036</v>
      </c>
      <c r="Y126" s="4">
        <f t="shared" si="79"/>
        <v>0.96177484161592774</v>
      </c>
      <c r="Z126" s="4">
        <f t="shared" si="79"/>
        <v>0.94584787155511363</v>
      </c>
      <c r="AA126" s="4">
        <f t="shared" si="79"/>
        <v>0.92370360150141495</v>
      </c>
      <c r="AB126" s="4">
        <f t="shared" si="79"/>
        <v>0.89334463567658451</v>
      </c>
      <c r="AC126" s="4">
        <f t="shared" si="79"/>
        <v>0.85254543874327005</v>
      </c>
      <c r="AD126" s="4">
        <f t="shared" si="79"/>
        <v>0.79921300652623883</v>
      </c>
      <c r="AE126" s="4">
        <f t="shared" si="79"/>
        <v>0.73204982249993378</v>
      </c>
      <c r="AF126" s="4">
        <f t="shared" si="79"/>
        <v>0.65145592958786691</v>
      </c>
      <c r="AG126" s="4">
        <f t="shared" si="79"/>
        <v>0.56032247880849573</v>
      </c>
      <c r="AH126" s="4">
        <f t="shared" si="79"/>
        <v>0.46411326873185343</v>
      </c>
      <c r="AI126" s="4">
        <f t="shared" si="79"/>
        <v>0.36979727595523937</v>
      </c>
      <c r="AJ126" s="4">
        <f t="shared" ref="AJ126:AR133" si="80">$N126+($M126-$N126)*((1/(1+EXP(-$P126*(AJ$9-$L126)))^$O126))</f>
        <v>0.28393948637231203</v>
      </c>
      <c r="AK126" s="4">
        <f t="shared" si="80"/>
        <v>0.21097259161117732</v>
      </c>
      <c r="AL126" s="4">
        <f t="shared" si="80"/>
        <v>0.15253917653798199</v>
      </c>
      <c r="AM126" s="4">
        <f t="shared" si="80"/>
        <v>0.10795188737709993</v>
      </c>
      <c r="AN126" s="4">
        <f t="shared" si="80"/>
        <v>7.5176653938091809E-2</v>
      </c>
      <c r="AO126" s="4">
        <f t="shared" si="80"/>
        <v>5.1742836177502194E-2</v>
      </c>
      <c r="AP126" s="4">
        <f t="shared" si="80"/>
        <v>3.5319190625345942E-2</v>
      </c>
      <c r="AQ126" s="4">
        <f t="shared" si="80"/>
        <v>2.3969442072658165E-2</v>
      </c>
      <c r="AR126" s="4">
        <f t="shared" si="80"/>
        <v>1.6202243558389728E-2</v>
      </c>
    </row>
    <row r="127" spans="1:44" x14ac:dyDescent="0.25">
      <c r="A127" s="24" t="s">
        <v>206</v>
      </c>
      <c r="B127" s="115">
        <f>'Parameter Input'!$L$213</f>
        <v>3.1631111111111108</v>
      </c>
      <c r="C127" s="116">
        <f>'Parameter Input'!$M$213</f>
        <v>0</v>
      </c>
      <c r="D127" s="1" t="s">
        <v>76</v>
      </c>
      <c r="L127" s="54">
        <f>'Parameter Input'!$O$213</f>
        <v>17</v>
      </c>
      <c r="M127" s="37">
        <v>0</v>
      </c>
      <c r="N127" s="37">
        <v>1</v>
      </c>
      <c r="O127" s="37">
        <f>'Parameter Input'!$P$213</f>
        <v>0.9</v>
      </c>
      <c r="P127" s="55">
        <f>'Parameter Input'!$Q$213</f>
        <v>0.4</v>
      </c>
      <c r="Q127" s="4">
        <f t="shared" ref="Q127:AR127" si="81">$N127+($M127-$N127)*((1/(1+EXP(-$P127*(Q$9-$L127)))^$O127))</f>
        <v>0.99780374543478534</v>
      </c>
      <c r="R127" s="4">
        <f t="shared" si="81"/>
        <v>0.99685359315256394</v>
      </c>
      <c r="S127" s="4">
        <f t="shared" si="81"/>
        <v>0.99549347132349975</v>
      </c>
      <c r="T127" s="4">
        <f t="shared" si="81"/>
        <v>0.99354772139898062</v>
      </c>
      <c r="U127" s="4">
        <f t="shared" si="81"/>
        <v>0.99076681540580536</v>
      </c>
      <c r="V127" s="4">
        <f t="shared" si="81"/>
        <v>0.9867978615748374</v>
      </c>
      <c r="W127" s="4">
        <f t="shared" si="81"/>
        <v>0.98114509762858249</v>
      </c>
      <c r="X127" s="4">
        <f t="shared" si="81"/>
        <v>0.97311898315872036</v>
      </c>
      <c r="Y127" s="4">
        <f t="shared" si="81"/>
        <v>0.96177484161592774</v>
      </c>
      <c r="Z127" s="4">
        <f t="shared" si="81"/>
        <v>0.94584787155511363</v>
      </c>
      <c r="AA127" s="4">
        <f t="shared" si="81"/>
        <v>0.92370360150141495</v>
      </c>
      <c r="AB127" s="4">
        <f t="shared" si="81"/>
        <v>0.89334463567658451</v>
      </c>
      <c r="AC127" s="4">
        <f t="shared" si="81"/>
        <v>0.85254543874327005</v>
      </c>
      <c r="AD127" s="4">
        <f t="shared" si="81"/>
        <v>0.79921300652623883</v>
      </c>
      <c r="AE127" s="4">
        <f t="shared" si="81"/>
        <v>0.73204982249993378</v>
      </c>
      <c r="AF127" s="4">
        <f t="shared" si="81"/>
        <v>0.65145592958786691</v>
      </c>
      <c r="AG127" s="4">
        <f t="shared" si="81"/>
        <v>0.56032247880849573</v>
      </c>
      <c r="AH127" s="4">
        <f t="shared" si="81"/>
        <v>0.46411326873185343</v>
      </c>
      <c r="AI127" s="4">
        <f t="shared" si="81"/>
        <v>0.36979727595523937</v>
      </c>
      <c r="AJ127" s="4">
        <f t="shared" si="81"/>
        <v>0.28393948637231203</v>
      </c>
      <c r="AK127" s="4">
        <f t="shared" si="81"/>
        <v>0.21097259161117732</v>
      </c>
      <c r="AL127" s="4">
        <f t="shared" si="81"/>
        <v>0.15253917653798199</v>
      </c>
      <c r="AM127" s="4">
        <f t="shared" si="81"/>
        <v>0.10795188737709993</v>
      </c>
      <c r="AN127" s="4">
        <f t="shared" si="81"/>
        <v>7.5176653938091809E-2</v>
      </c>
      <c r="AO127" s="4">
        <f t="shared" si="81"/>
        <v>5.1742836177502194E-2</v>
      </c>
      <c r="AP127" s="4">
        <f t="shared" si="81"/>
        <v>3.5319190625345942E-2</v>
      </c>
      <c r="AQ127" s="4">
        <f t="shared" si="81"/>
        <v>2.3969442072658165E-2</v>
      </c>
      <c r="AR127" s="4">
        <f t="shared" si="81"/>
        <v>1.6202243558389728E-2</v>
      </c>
    </row>
    <row r="128" spans="1:44" x14ac:dyDescent="0.25">
      <c r="A128" s="24" t="s">
        <v>41</v>
      </c>
      <c r="B128" s="60">
        <f>'Parameter Input'!$L$207</f>
        <v>25</v>
      </c>
      <c r="C128" s="61">
        <f>'Parameter Input'!$M$207</f>
        <v>25</v>
      </c>
      <c r="D128" s="1" t="s">
        <v>42</v>
      </c>
      <c r="L128" s="54">
        <f>'Parameter Input'!$O$207</f>
        <v>17</v>
      </c>
      <c r="M128" s="37">
        <v>0</v>
      </c>
      <c r="N128" s="37">
        <v>1</v>
      </c>
      <c r="O128" s="37">
        <f>'Parameter Input'!$P$207</f>
        <v>0.9</v>
      </c>
      <c r="P128" s="55">
        <f>'Parameter Input'!$Q$207</f>
        <v>0.4</v>
      </c>
      <c r="Q128" s="4">
        <f t="shared" ref="Q128:AF133" si="82">$N128+($M128-$N128)*((1/(1+EXP(-$P128*(Q$9-$L128)))^$O128))</f>
        <v>0.99780374543478534</v>
      </c>
      <c r="R128" s="4">
        <f t="shared" si="82"/>
        <v>0.99685359315256394</v>
      </c>
      <c r="S128" s="4">
        <f t="shared" si="82"/>
        <v>0.99549347132349975</v>
      </c>
      <c r="T128" s="4">
        <f t="shared" si="82"/>
        <v>0.99354772139898062</v>
      </c>
      <c r="U128" s="4">
        <f t="shared" si="82"/>
        <v>0.99076681540580536</v>
      </c>
      <c r="V128" s="4">
        <f t="shared" si="82"/>
        <v>0.9867978615748374</v>
      </c>
      <c r="W128" s="4">
        <f t="shared" si="82"/>
        <v>0.98114509762858249</v>
      </c>
      <c r="X128" s="4">
        <f t="shared" si="82"/>
        <v>0.97311898315872036</v>
      </c>
      <c r="Y128" s="4">
        <f t="shared" si="82"/>
        <v>0.96177484161592774</v>
      </c>
      <c r="Z128" s="4">
        <f t="shared" si="82"/>
        <v>0.94584787155511363</v>
      </c>
      <c r="AA128" s="4">
        <f t="shared" si="82"/>
        <v>0.92370360150141495</v>
      </c>
      <c r="AB128" s="4">
        <f t="shared" si="82"/>
        <v>0.89334463567658451</v>
      </c>
      <c r="AC128" s="4">
        <f t="shared" si="82"/>
        <v>0.85254543874327005</v>
      </c>
      <c r="AD128" s="4">
        <f t="shared" si="82"/>
        <v>0.79921300652623883</v>
      </c>
      <c r="AE128" s="4">
        <f t="shared" si="82"/>
        <v>0.73204982249993378</v>
      </c>
      <c r="AF128" s="4">
        <f t="shared" si="82"/>
        <v>0.65145592958786691</v>
      </c>
      <c r="AG128" s="4">
        <f t="shared" si="79"/>
        <v>0.56032247880849573</v>
      </c>
      <c r="AH128" s="4">
        <f t="shared" si="79"/>
        <v>0.46411326873185343</v>
      </c>
      <c r="AI128" s="4">
        <f t="shared" si="79"/>
        <v>0.36979727595523937</v>
      </c>
      <c r="AJ128" s="4">
        <f t="shared" si="80"/>
        <v>0.28393948637231203</v>
      </c>
      <c r="AK128" s="4">
        <f t="shared" si="80"/>
        <v>0.21097259161117732</v>
      </c>
      <c r="AL128" s="4">
        <f t="shared" si="80"/>
        <v>0.15253917653798199</v>
      </c>
      <c r="AM128" s="4">
        <f t="shared" si="80"/>
        <v>0.10795188737709993</v>
      </c>
      <c r="AN128" s="4">
        <f t="shared" si="80"/>
        <v>7.5176653938091809E-2</v>
      </c>
      <c r="AO128" s="4">
        <f t="shared" si="80"/>
        <v>5.1742836177502194E-2</v>
      </c>
      <c r="AP128" s="4">
        <f t="shared" si="80"/>
        <v>3.5319190625345942E-2</v>
      </c>
      <c r="AQ128" s="4">
        <f t="shared" si="80"/>
        <v>2.3969442072658165E-2</v>
      </c>
      <c r="AR128" s="4">
        <f t="shared" si="80"/>
        <v>1.6202243558389728E-2</v>
      </c>
    </row>
    <row r="129" spans="1:44" x14ac:dyDescent="0.25">
      <c r="A129" s="24" t="s">
        <v>70</v>
      </c>
      <c r="B129" s="60">
        <f>'Parameter Input'!B174</f>
        <v>25</v>
      </c>
      <c r="C129" s="61">
        <f>'Parameter Input'!C174</f>
        <v>25</v>
      </c>
      <c r="D129" s="1" t="s">
        <v>42</v>
      </c>
      <c r="L129" s="54">
        <f>'Parameter Input'!E174</f>
        <v>17</v>
      </c>
      <c r="M129" s="37">
        <v>0</v>
      </c>
      <c r="N129" s="37">
        <v>1</v>
      </c>
      <c r="O129" s="37">
        <f>'Parameter Input'!F174</f>
        <v>0.9</v>
      </c>
      <c r="P129" s="55">
        <f>'Parameter Input'!G174</f>
        <v>0.4</v>
      </c>
      <c r="Q129" s="4">
        <f t="shared" si="82"/>
        <v>0.99780374543478534</v>
      </c>
      <c r="R129" s="4">
        <f t="shared" si="82"/>
        <v>0.99685359315256394</v>
      </c>
      <c r="S129" s="4">
        <f t="shared" si="82"/>
        <v>0.99549347132349975</v>
      </c>
      <c r="T129" s="4">
        <f t="shared" si="82"/>
        <v>0.99354772139898062</v>
      </c>
      <c r="U129" s="4">
        <f t="shared" si="82"/>
        <v>0.99076681540580536</v>
      </c>
      <c r="V129" s="4">
        <f t="shared" si="82"/>
        <v>0.9867978615748374</v>
      </c>
      <c r="W129" s="4">
        <f t="shared" si="82"/>
        <v>0.98114509762858249</v>
      </c>
      <c r="X129" s="4">
        <f t="shared" si="82"/>
        <v>0.97311898315872036</v>
      </c>
      <c r="Y129" s="4">
        <f t="shared" si="82"/>
        <v>0.96177484161592774</v>
      </c>
      <c r="Z129" s="4">
        <f t="shared" si="82"/>
        <v>0.94584787155511363</v>
      </c>
      <c r="AA129" s="4">
        <f t="shared" si="82"/>
        <v>0.92370360150141495</v>
      </c>
      <c r="AB129" s="4">
        <f t="shared" si="82"/>
        <v>0.89334463567658451</v>
      </c>
      <c r="AC129" s="4">
        <f t="shared" si="82"/>
        <v>0.85254543874327005</v>
      </c>
      <c r="AD129" s="4">
        <f t="shared" si="82"/>
        <v>0.79921300652623883</v>
      </c>
      <c r="AE129" s="4">
        <f t="shared" si="82"/>
        <v>0.73204982249993378</v>
      </c>
      <c r="AF129" s="4">
        <f t="shared" si="82"/>
        <v>0.65145592958786691</v>
      </c>
      <c r="AG129" s="4">
        <f t="shared" si="79"/>
        <v>0.56032247880849573</v>
      </c>
      <c r="AH129" s="4">
        <f t="shared" si="79"/>
        <v>0.46411326873185343</v>
      </c>
      <c r="AI129" s="4">
        <f t="shared" si="79"/>
        <v>0.36979727595523937</v>
      </c>
      <c r="AJ129" s="4">
        <f t="shared" si="80"/>
        <v>0.28393948637231203</v>
      </c>
      <c r="AK129" s="4">
        <f t="shared" si="80"/>
        <v>0.21097259161117732</v>
      </c>
      <c r="AL129" s="4">
        <f t="shared" si="80"/>
        <v>0.15253917653798199</v>
      </c>
      <c r="AM129" s="4">
        <f t="shared" si="80"/>
        <v>0.10795188737709993</v>
      </c>
      <c r="AN129" s="4">
        <f t="shared" si="80"/>
        <v>7.5176653938091809E-2</v>
      </c>
      <c r="AO129" s="4">
        <f t="shared" si="80"/>
        <v>5.1742836177502194E-2</v>
      </c>
      <c r="AP129" s="4">
        <f t="shared" si="80"/>
        <v>3.5319190625345942E-2</v>
      </c>
      <c r="AQ129" s="4">
        <f t="shared" si="80"/>
        <v>2.3969442072658165E-2</v>
      </c>
      <c r="AR129" s="4">
        <f t="shared" si="80"/>
        <v>1.6202243558389728E-2</v>
      </c>
    </row>
    <row r="130" spans="1:44" x14ac:dyDescent="0.25">
      <c r="A130" s="24" t="s">
        <v>207</v>
      </c>
      <c r="B130" s="43">
        <f>'Parameter Input'!B171</f>
        <v>9450</v>
      </c>
      <c r="C130" s="44">
        <f>'Parameter Input'!C171</f>
        <v>9450</v>
      </c>
      <c r="D130" s="1" t="s">
        <v>49</v>
      </c>
      <c r="L130" s="54">
        <f>'Parameter Input'!E171</f>
        <v>17</v>
      </c>
      <c r="M130" s="37">
        <v>0</v>
      </c>
      <c r="N130" s="37">
        <v>1</v>
      </c>
      <c r="O130" s="37">
        <f>'Parameter Input'!F171</f>
        <v>0.9</v>
      </c>
      <c r="P130" s="55">
        <f>'Parameter Input'!G171</f>
        <v>0.4</v>
      </c>
      <c r="Q130" s="4">
        <f t="shared" si="82"/>
        <v>0.99780374543478534</v>
      </c>
      <c r="R130" s="4">
        <f t="shared" si="82"/>
        <v>0.99685359315256394</v>
      </c>
      <c r="S130" s="4">
        <f t="shared" si="82"/>
        <v>0.99549347132349975</v>
      </c>
      <c r="T130" s="4">
        <f t="shared" si="82"/>
        <v>0.99354772139898062</v>
      </c>
      <c r="U130" s="4">
        <f t="shared" si="82"/>
        <v>0.99076681540580536</v>
      </c>
      <c r="V130" s="4">
        <f t="shared" si="82"/>
        <v>0.9867978615748374</v>
      </c>
      <c r="W130" s="4">
        <f t="shared" si="82"/>
        <v>0.98114509762858249</v>
      </c>
      <c r="X130" s="4">
        <f t="shared" si="82"/>
        <v>0.97311898315872036</v>
      </c>
      <c r="Y130" s="4">
        <f t="shared" si="82"/>
        <v>0.96177484161592774</v>
      </c>
      <c r="Z130" s="4">
        <f t="shared" si="82"/>
        <v>0.94584787155511363</v>
      </c>
      <c r="AA130" s="4">
        <f t="shared" si="82"/>
        <v>0.92370360150141495</v>
      </c>
      <c r="AB130" s="4">
        <f t="shared" si="82"/>
        <v>0.89334463567658451</v>
      </c>
      <c r="AC130" s="4">
        <f t="shared" si="82"/>
        <v>0.85254543874327005</v>
      </c>
      <c r="AD130" s="4">
        <f t="shared" si="82"/>
        <v>0.79921300652623883</v>
      </c>
      <c r="AE130" s="4">
        <f t="shared" si="82"/>
        <v>0.73204982249993378</v>
      </c>
      <c r="AF130" s="4">
        <f t="shared" si="82"/>
        <v>0.65145592958786691</v>
      </c>
      <c r="AG130" s="4">
        <f t="shared" si="79"/>
        <v>0.56032247880849573</v>
      </c>
      <c r="AH130" s="4">
        <f t="shared" si="79"/>
        <v>0.46411326873185343</v>
      </c>
      <c r="AI130" s="4">
        <f t="shared" si="79"/>
        <v>0.36979727595523937</v>
      </c>
      <c r="AJ130" s="4">
        <f t="shared" si="80"/>
        <v>0.28393948637231203</v>
      </c>
      <c r="AK130" s="4">
        <f t="shared" si="80"/>
        <v>0.21097259161117732</v>
      </c>
      <c r="AL130" s="4">
        <f t="shared" si="80"/>
        <v>0.15253917653798199</v>
      </c>
      <c r="AM130" s="4">
        <f t="shared" si="80"/>
        <v>0.10795188737709993</v>
      </c>
      <c r="AN130" s="4">
        <f t="shared" si="80"/>
        <v>7.5176653938091809E-2</v>
      </c>
      <c r="AO130" s="4">
        <f t="shared" si="80"/>
        <v>5.1742836177502194E-2</v>
      </c>
      <c r="AP130" s="4">
        <f t="shared" si="80"/>
        <v>3.5319190625345942E-2</v>
      </c>
      <c r="AQ130" s="4">
        <f t="shared" si="80"/>
        <v>2.3969442072658165E-2</v>
      </c>
      <c r="AR130" s="4">
        <f t="shared" si="80"/>
        <v>1.6202243558389728E-2</v>
      </c>
    </row>
    <row r="131" spans="1:44" x14ac:dyDescent="0.25">
      <c r="A131" s="24" t="s">
        <v>56</v>
      </c>
      <c r="B131" s="45">
        <f>'Parameter Input'!B172</f>
        <v>0.57333333333333336</v>
      </c>
      <c r="C131" s="46">
        <f>'Parameter Input'!C172</f>
        <v>0.57333333333333336</v>
      </c>
      <c r="D131" s="1" t="s">
        <v>57</v>
      </c>
      <c r="L131" s="54">
        <f>'Parameter Input'!E172</f>
        <v>17</v>
      </c>
      <c r="M131" s="37">
        <v>0</v>
      </c>
      <c r="N131" s="37">
        <v>1</v>
      </c>
      <c r="O131" s="37">
        <f>'Parameter Input'!F172</f>
        <v>0.9</v>
      </c>
      <c r="P131" s="55">
        <f>'Parameter Input'!G172</f>
        <v>0.4</v>
      </c>
      <c r="Q131" s="4">
        <f t="shared" si="82"/>
        <v>0.99780374543478534</v>
      </c>
      <c r="R131" s="4">
        <f t="shared" si="82"/>
        <v>0.99685359315256394</v>
      </c>
      <c r="S131" s="4">
        <f t="shared" si="82"/>
        <v>0.99549347132349975</v>
      </c>
      <c r="T131" s="4">
        <f t="shared" si="82"/>
        <v>0.99354772139898062</v>
      </c>
      <c r="U131" s="4">
        <f t="shared" si="82"/>
        <v>0.99076681540580536</v>
      </c>
      <c r="V131" s="4">
        <f t="shared" si="82"/>
        <v>0.9867978615748374</v>
      </c>
      <c r="W131" s="4">
        <f t="shared" si="82"/>
        <v>0.98114509762858249</v>
      </c>
      <c r="X131" s="4">
        <f t="shared" si="82"/>
        <v>0.97311898315872036</v>
      </c>
      <c r="Y131" s="4">
        <f t="shared" si="82"/>
        <v>0.96177484161592774</v>
      </c>
      <c r="Z131" s="4">
        <f t="shared" si="82"/>
        <v>0.94584787155511363</v>
      </c>
      <c r="AA131" s="4">
        <f t="shared" si="82"/>
        <v>0.92370360150141495</v>
      </c>
      <c r="AB131" s="4">
        <f t="shared" si="82"/>
        <v>0.89334463567658451</v>
      </c>
      <c r="AC131" s="4">
        <f t="shared" si="82"/>
        <v>0.85254543874327005</v>
      </c>
      <c r="AD131" s="4">
        <f t="shared" si="82"/>
        <v>0.79921300652623883</v>
      </c>
      <c r="AE131" s="4">
        <f t="shared" si="82"/>
        <v>0.73204982249993378</v>
      </c>
      <c r="AF131" s="4">
        <f t="shared" si="82"/>
        <v>0.65145592958786691</v>
      </c>
      <c r="AG131" s="4">
        <f t="shared" si="79"/>
        <v>0.56032247880849573</v>
      </c>
      <c r="AH131" s="4">
        <f t="shared" si="79"/>
        <v>0.46411326873185343</v>
      </c>
      <c r="AI131" s="4">
        <f t="shared" si="79"/>
        <v>0.36979727595523937</v>
      </c>
      <c r="AJ131" s="4">
        <f t="shared" si="80"/>
        <v>0.28393948637231203</v>
      </c>
      <c r="AK131" s="4">
        <f t="shared" si="80"/>
        <v>0.21097259161117732</v>
      </c>
      <c r="AL131" s="4">
        <f t="shared" si="80"/>
        <v>0.15253917653798199</v>
      </c>
      <c r="AM131" s="4">
        <f t="shared" si="80"/>
        <v>0.10795188737709993</v>
      </c>
      <c r="AN131" s="4">
        <f t="shared" si="80"/>
        <v>7.5176653938091809E-2</v>
      </c>
      <c r="AO131" s="4">
        <f t="shared" si="80"/>
        <v>5.1742836177502194E-2</v>
      </c>
      <c r="AP131" s="4">
        <f t="shared" si="80"/>
        <v>3.5319190625345942E-2</v>
      </c>
      <c r="AQ131" s="4">
        <f t="shared" si="80"/>
        <v>2.3969442072658165E-2</v>
      </c>
      <c r="AR131" s="4">
        <f t="shared" si="80"/>
        <v>1.6202243558389728E-2</v>
      </c>
    </row>
    <row r="132" spans="1:44" x14ac:dyDescent="0.25">
      <c r="A132" s="24" t="s">
        <v>73</v>
      </c>
      <c r="B132" s="45">
        <f>'Parameter Input'!$L$211</f>
        <v>0.04</v>
      </c>
      <c r="C132" s="46">
        <f>'Parameter Input'!$M$211</f>
        <v>0.04</v>
      </c>
      <c r="D132" s="1" t="s">
        <v>57</v>
      </c>
      <c r="L132" s="54">
        <f>'Parameter Input'!$O$211</f>
        <v>17</v>
      </c>
      <c r="M132" s="37">
        <v>0</v>
      </c>
      <c r="N132" s="37">
        <v>1</v>
      </c>
      <c r="O132" s="37">
        <f>'Parameter Input'!$P$211</f>
        <v>0.9</v>
      </c>
      <c r="P132" s="55">
        <f>'Parameter Input'!$Q$211</f>
        <v>0.4</v>
      </c>
      <c r="Q132" s="4">
        <f t="shared" si="82"/>
        <v>0.99780374543478534</v>
      </c>
      <c r="R132" s="4">
        <f t="shared" si="82"/>
        <v>0.99685359315256394</v>
      </c>
      <c r="S132" s="4">
        <f t="shared" si="82"/>
        <v>0.99549347132349975</v>
      </c>
      <c r="T132" s="4">
        <f t="shared" si="82"/>
        <v>0.99354772139898062</v>
      </c>
      <c r="U132" s="4">
        <f t="shared" si="82"/>
        <v>0.99076681540580536</v>
      </c>
      <c r="V132" s="4">
        <f t="shared" si="82"/>
        <v>0.9867978615748374</v>
      </c>
      <c r="W132" s="4">
        <f t="shared" si="82"/>
        <v>0.98114509762858249</v>
      </c>
      <c r="X132" s="4">
        <f t="shared" si="82"/>
        <v>0.97311898315872036</v>
      </c>
      <c r="Y132" s="4">
        <f t="shared" si="82"/>
        <v>0.96177484161592774</v>
      </c>
      <c r="Z132" s="4">
        <f t="shared" si="82"/>
        <v>0.94584787155511363</v>
      </c>
      <c r="AA132" s="4">
        <f t="shared" si="82"/>
        <v>0.92370360150141495</v>
      </c>
      <c r="AB132" s="4">
        <f t="shared" si="82"/>
        <v>0.89334463567658451</v>
      </c>
      <c r="AC132" s="4">
        <f t="shared" si="82"/>
        <v>0.85254543874327005</v>
      </c>
      <c r="AD132" s="4">
        <f t="shared" si="82"/>
        <v>0.79921300652623883</v>
      </c>
      <c r="AE132" s="4">
        <f t="shared" si="82"/>
        <v>0.73204982249993378</v>
      </c>
      <c r="AF132" s="4">
        <f t="shared" si="82"/>
        <v>0.65145592958786691</v>
      </c>
      <c r="AG132" s="4">
        <f t="shared" si="79"/>
        <v>0.56032247880849573</v>
      </c>
      <c r="AH132" s="4">
        <f t="shared" si="79"/>
        <v>0.46411326873185343</v>
      </c>
      <c r="AI132" s="4">
        <f t="shared" si="79"/>
        <v>0.36979727595523937</v>
      </c>
      <c r="AJ132" s="4">
        <f t="shared" si="80"/>
        <v>0.28393948637231203</v>
      </c>
      <c r="AK132" s="4">
        <f t="shared" si="80"/>
        <v>0.21097259161117732</v>
      </c>
      <c r="AL132" s="4">
        <f t="shared" si="80"/>
        <v>0.15253917653798199</v>
      </c>
      <c r="AM132" s="4">
        <f t="shared" si="80"/>
        <v>0.10795188737709993</v>
      </c>
      <c r="AN132" s="4">
        <f t="shared" si="80"/>
        <v>7.5176653938091809E-2</v>
      </c>
      <c r="AO132" s="4">
        <f t="shared" si="80"/>
        <v>5.1742836177502194E-2</v>
      </c>
      <c r="AP132" s="4">
        <f t="shared" si="80"/>
        <v>3.5319190625345942E-2</v>
      </c>
      <c r="AQ132" s="4">
        <f t="shared" si="80"/>
        <v>2.3969442072658165E-2</v>
      </c>
      <c r="AR132" s="4">
        <f t="shared" si="80"/>
        <v>1.6202243558389728E-2</v>
      </c>
    </row>
    <row r="133" spans="1:44" ht="15.75" thickBot="1" x14ac:dyDescent="0.3">
      <c r="A133" s="24" t="s">
        <v>64</v>
      </c>
      <c r="B133" s="49">
        <f>'Parameter Input'!B173</f>
        <v>120000</v>
      </c>
      <c r="C133" s="50">
        <f>'Parameter Input'!C173</f>
        <v>120000</v>
      </c>
      <c r="D133" s="1" t="s">
        <v>65</v>
      </c>
      <c r="L133" s="56">
        <f>'Parameter Input'!E173</f>
        <v>17</v>
      </c>
      <c r="M133" s="57">
        <v>0</v>
      </c>
      <c r="N133" s="57">
        <v>1</v>
      </c>
      <c r="O133" s="57">
        <f>'Parameter Input'!F173</f>
        <v>0.9</v>
      </c>
      <c r="P133" s="58">
        <f>'Parameter Input'!G173</f>
        <v>0.4</v>
      </c>
      <c r="Q133" s="4">
        <f t="shared" si="82"/>
        <v>0.99780374543478534</v>
      </c>
      <c r="R133" s="4">
        <f t="shared" si="82"/>
        <v>0.99685359315256394</v>
      </c>
      <c r="S133" s="4">
        <f t="shared" si="82"/>
        <v>0.99549347132349975</v>
      </c>
      <c r="T133" s="4">
        <f t="shared" si="82"/>
        <v>0.99354772139898062</v>
      </c>
      <c r="U133" s="4">
        <f t="shared" si="82"/>
        <v>0.99076681540580536</v>
      </c>
      <c r="V133" s="4">
        <f t="shared" si="82"/>
        <v>0.9867978615748374</v>
      </c>
      <c r="W133" s="4">
        <f t="shared" si="82"/>
        <v>0.98114509762858249</v>
      </c>
      <c r="X133" s="4">
        <f t="shared" si="82"/>
        <v>0.97311898315872036</v>
      </c>
      <c r="Y133" s="4">
        <f t="shared" si="82"/>
        <v>0.96177484161592774</v>
      </c>
      <c r="Z133" s="4">
        <f t="shared" si="82"/>
        <v>0.94584787155511363</v>
      </c>
      <c r="AA133" s="4">
        <f t="shared" si="82"/>
        <v>0.92370360150141495</v>
      </c>
      <c r="AB133" s="4">
        <f t="shared" si="82"/>
        <v>0.89334463567658451</v>
      </c>
      <c r="AC133" s="4">
        <f t="shared" si="82"/>
        <v>0.85254543874327005</v>
      </c>
      <c r="AD133" s="4">
        <f t="shared" si="82"/>
        <v>0.79921300652623883</v>
      </c>
      <c r="AE133" s="4">
        <f t="shared" si="82"/>
        <v>0.73204982249993378</v>
      </c>
      <c r="AF133" s="4">
        <f t="shared" si="82"/>
        <v>0.65145592958786691</v>
      </c>
      <c r="AG133" s="4">
        <f t="shared" si="79"/>
        <v>0.56032247880849573</v>
      </c>
      <c r="AH133" s="4">
        <f t="shared" si="79"/>
        <v>0.46411326873185343</v>
      </c>
      <c r="AI133" s="4">
        <f t="shared" si="79"/>
        <v>0.36979727595523937</v>
      </c>
      <c r="AJ133" s="4">
        <f t="shared" si="80"/>
        <v>0.28393948637231203</v>
      </c>
      <c r="AK133" s="4">
        <f t="shared" si="80"/>
        <v>0.21097259161117732</v>
      </c>
      <c r="AL133" s="4">
        <f t="shared" si="80"/>
        <v>0.15253917653798199</v>
      </c>
      <c r="AM133" s="4">
        <f t="shared" si="80"/>
        <v>0.10795188737709993</v>
      </c>
      <c r="AN133" s="4">
        <f t="shared" si="80"/>
        <v>7.5176653938091809E-2</v>
      </c>
      <c r="AO133" s="4">
        <f t="shared" si="80"/>
        <v>5.1742836177502194E-2</v>
      </c>
      <c r="AP133" s="4">
        <f t="shared" si="80"/>
        <v>3.5319190625345942E-2</v>
      </c>
      <c r="AQ133" s="4">
        <f t="shared" si="80"/>
        <v>2.3969442072658165E-2</v>
      </c>
      <c r="AR133" s="4">
        <f t="shared" si="80"/>
        <v>1.6202243558389728E-2</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83">A117</f>
        <v>Capex vehicle</v>
      </c>
      <c r="B137" s="62">
        <f t="shared" ref="B137:B146" si="84">$B117+($C117-$B117)*(1-Q117)</f>
        <v>19490116.854456533</v>
      </c>
      <c r="C137" s="62">
        <f t="shared" ref="C137:C146" si="85">$B117+($C117-$B117)*(1-R117)</f>
        <v>19485841.169186536</v>
      </c>
      <c r="D137" s="62">
        <f t="shared" ref="D137:D146" si="86">$B117+($C117-$B117)*(1-S117)</f>
        <v>19479720.62095575</v>
      </c>
      <c r="E137" s="62">
        <f t="shared" ref="E137:E146" si="87">$B117+($C117-$B117)*(1-T117)</f>
        <v>19470964.746295411</v>
      </c>
      <c r="F137" s="62">
        <f t="shared" ref="F137:F146" si="88">$B117+($C117-$B117)*(1-U117)</f>
        <v>19458450.669326123</v>
      </c>
      <c r="G137" s="62">
        <f t="shared" ref="G137:G146" si="89">$B117+($C117-$B117)*(1-V117)</f>
        <v>19440590.37708677</v>
      </c>
      <c r="H137" s="62">
        <f t="shared" ref="H137:H146" si="90">$B117+($C117-$B117)*(1-W117)</f>
        <v>19415152.939328622</v>
      </c>
      <c r="I137" s="62">
        <f t="shared" ref="I137:I146" si="91">$B117+($C117-$B117)*(1-X117)</f>
        <v>19379035.42421424</v>
      </c>
      <c r="J137" s="62">
        <f t="shared" ref="J137:J146" si="92">$B117+($C117-$B117)*(1-Y117)</f>
        <v>19327986.787271675</v>
      </c>
      <c r="K137" s="62">
        <f t="shared" ref="K137:K146" si="93">$B117+($C117-$B117)*(1-Z117)</f>
        <v>19256315.421998013</v>
      </c>
      <c r="L137" s="62">
        <f t="shared" ref="L137:L146" si="94">$B117+($C117-$B117)*(1-AA117)</f>
        <v>19156666.206756368</v>
      </c>
      <c r="M137" s="62">
        <f t="shared" ref="M137:M146" si="95">$B117+($C117-$B117)*(1-AB117)</f>
        <v>19020050.860544629</v>
      </c>
      <c r="N137" s="62">
        <f t="shared" ref="N137:N146" si="96">$B117+($C117-$B117)*(1-AC117)</f>
        <v>18836454.474344715</v>
      </c>
      <c r="O137" s="62">
        <f t="shared" ref="O137:O146" si="97">$B117+($C117-$B117)*(1-AD117)</f>
        <v>18596458.529368076</v>
      </c>
      <c r="P137" s="62">
        <f t="shared" ref="P137:P146" si="98">$B117+($C117-$B117)*(1-AE117)</f>
        <v>18294224.201249704</v>
      </c>
      <c r="Q137" s="62">
        <f t="shared" ref="Q137:Q146" si="99">$B117+($C117-$B117)*(1-AF117)</f>
        <v>17931551.6831454</v>
      </c>
      <c r="R137" s="62">
        <f t="shared" ref="R137:R146" si="100">$B117+($C117-$B117)*(1-AG117)</f>
        <v>17521451.154638231</v>
      </c>
      <c r="S137" s="62">
        <f t="shared" ref="S137:S146" si="101">$B117+($C117-$B117)*(1-AH117)</f>
        <v>17088509.709293339</v>
      </c>
      <c r="T137" s="62">
        <f t="shared" ref="T137:T146" si="102">$B117+($C117-$B117)*(1-AI117)</f>
        <v>16664087.741798578</v>
      </c>
      <c r="U137" s="62">
        <f t="shared" ref="U137:U146" si="103">$B117+($C117-$B117)*(1-AJ117)</f>
        <v>16277727.688675404</v>
      </c>
      <c r="V137" s="62">
        <f t="shared" ref="V137:V146" si="104">$B117+($C117-$B117)*(1-AK117)</f>
        <v>15949376.662250299</v>
      </c>
      <c r="W137" s="62">
        <f t="shared" ref="W137:W146" si="105">$B117+($C117-$B117)*(1-AL117)</f>
        <v>15686426.294420918</v>
      </c>
      <c r="X137" s="62">
        <f t="shared" ref="X137:X146" si="106">$B117+($C117-$B117)*(1-AM117)</f>
        <v>15485783.493196949</v>
      </c>
      <c r="Y137" s="62">
        <f t="shared" ref="Y137:Y146" si="107">$B117+($C117-$B117)*(1-AN117)</f>
        <v>15338294.942721413</v>
      </c>
      <c r="Z137" s="62">
        <f t="shared" ref="Z137:Z146" si="108">$B117+($C117-$B117)*(1-AO117)</f>
        <v>15232842.76279876</v>
      </c>
      <c r="AA137" s="62">
        <f t="shared" ref="AA137:AA146" si="109">$B117+($C117-$B117)*(1-AP117)</f>
        <v>15158936.357814057</v>
      </c>
      <c r="AB137" s="62">
        <f t="shared" ref="AB137:AB146" si="110">$B117+($C117-$B117)*(1-AQ117)</f>
        <v>15107862.489326961</v>
      </c>
      <c r="AC137" s="62">
        <f t="shared" ref="AC137:AC146" si="111">$B117+($C117-$B117)*(1-AR117)</f>
        <v>15072910.096012753</v>
      </c>
    </row>
    <row r="138" spans="1:44" x14ac:dyDescent="0.25">
      <c r="A138" s="30" t="str">
        <f t="shared" si="83"/>
        <v>Residual value (vehicle)</v>
      </c>
      <c r="B138" s="62">
        <f t="shared" si="84"/>
        <v>-976153.03364673769</v>
      </c>
      <c r="C138" s="62">
        <f t="shared" si="85"/>
        <v>-976651.86359490396</v>
      </c>
      <c r="D138" s="62">
        <f t="shared" si="86"/>
        <v>-977365.92755516258</v>
      </c>
      <c r="E138" s="62">
        <f t="shared" si="87"/>
        <v>-978387.4462655352</v>
      </c>
      <c r="F138" s="62">
        <f t="shared" si="88"/>
        <v>-979847.4219119522</v>
      </c>
      <c r="G138" s="62">
        <f t="shared" si="89"/>
        <v>-981931.12267321034</v>
      </c>
      <c r="H138" s="62">
        <f t="shared" si="90"/>
        <v>-984898.82374499424</v>
      </c>
      <c r="I138" s="62">
        <f t="shared" si="91"/>
        <v>-989112.53384167177</v>
      </c>
      <c r="J138" s="62">
        <f t="shared" si="92"/>
        <v>-995068.20815163793</v>
      </c>
      <c r="K138" s="62">
        <f t="shared" si="93"/>
        <v>-1003429.8674335653</v>
      </c>
      <c r="L138" s="62">
        <f t="shared" si="94"/>
        <v>-1015055.6092117572</v>
      </c>
      <c r="M138" s="62">
        <f t="shared" si="95"/>
        <v>-1030994.0662697931</v>
      </c>
      <c r="N138" s="62">
        <f t="shared" si="96"/>
        <v>-1052413.6446597832</v>
      </c>
      <c r="O138" s="62">
        <f t="shared" si="97"/>
        <v>-1080413.1715737246</v>
      </c>
      <c r="P138" s="62">
        <f t="shared" si="98"/>
        <v>-1115673.8431875347</v>
      </c>
      <c r="Q138" s="62">
        <f t="shared" si="99"/>
        <v>-1157985.6369663698</v>
      </c>
      <c r="R138" s="62">
        <f t="shared" si="100"/>
        <v>-1205830.6986255397</v>
      </c>
      <c r="S138" s="62">
        <f t="shared" si="101"/>
        <v>-1256340.533915777</v>
      </c>
      <c r="T138" s="62">
        <f t="shared" si="102"/>
        <v>-1305856.4301234994</v>
      </c>
      <c r="U138" s="62">
        <f t="shared" si="103"/>
        <v>-1350931.7696545362</v>
      </c>
      <c r="V138" s="62">
        <f t="shared" si="104"/>
        <v>-1389239.389404132</v>
      </c>
      <c r="W138" s="62">
        <f t="shared" si="105"/>
        <v>-1419916.9323175594</v>
      </c>
      <c r="X138" s="62">
        <f t="shared" si="106"/>
        <v>-1443325.2591270225</v>
      </c>
      <c r="Y138" s="62">
        <f t="shared" si="107"/>
        <v>-1460532.2566825019</v>
      </c>
      <c r="Z138" s="62">
        <f t="shared" si="108"/>
        <v>-1472835.0110068114</v>
      </c>
      <c r="AA138" s="62">
        <f t="shared" si="109"/>
        <v>-1481457.4249216933</v>
      </c>
      <c r="AB138" s="62">
        <f t="shared" si="110"/>
        <v>-1487416.0429118546</v>
      </c>
      <c r="AC138" s="62">
        <f t="shared" si="111"/>
        <v>-1491493.8221318454</v>
      </c>
    </row>
    <row r="139" spans="1:44" x14ac:dyDescent="0.25">
      <c r="A139" s="30" t="str">
        <f t="shared" si="83"/>
        <v>Capex costumization</v>
      </c>
      <c r="B139" s="62">
        <f t="shared" si="84"/>
        <v>5000000</v>
      </c>
      <c r="C139" s="62">
        <f t="shared" si="85"/>
        <v>5000000</v>
      </c>
      <c r="D139" s="62">
        <f t="shared" si="86"/>
        <v>5000000</v>
      </c>
      <c r="E139" s="62">
        <f t="shared" si="87"/>
        <v>5000000</v>
      </c>
      <c r="F139" s="62">
        <f t="shared" si="88"/>
        <v>5000000</v>
      </c>
      <c r="G139" s="62">
        <f t="shared" si="89"/>
        <v>5000000</v>
      </c>
      <c r="H139" s="62">
        <f t="shared" si="90"/>
        <v>5000000</v>
      </c>
      <c r="I139" s="62">
        <f t="shared" si="91"/>
        <v>5000000</v>
      </c>
      <c r="J139" s="62">
        <f t="shared" si="92"/>
        <v>5000000</v>
      </c>
      <c r="K139" s="62">
        <f t="shared" si="93"/>
        <v>5000000</v>
      </c>
      <c r="L139" s="62">
        <f t="shared" si="94"/>
        <v>5000000</v>
      </c>
      <c r="M139" s="62">
        <f t="shared" si="95"/>
        <v>5000000</v>
      </c>
      <c r="N139" s="62">
        <f t="shared" si="96"/>
        <v>5000000</v>
      </c>
      <c r="O139" s="62">
        <f t="shared" si="97"/>
        <v>5000000</v>
      </c>
      <c r="P139" s="62">
        <f t="shared" si="98"/>
        <v>5000000</v>
      </c>
      <c r="Q139" s="62">
        <f t="shared" si="99"/>
        <v>5000000</v>
      </c>
      <c r="R139" s="62">
        <f t="shared" si="100"/>
        <v>5000000</v>
      </c>
      <c r="S139" s="62">
        <f t="shared" si="101"/>
        <v>5000000</v>
      </c>
      <c r="T139" s="62">
        <f t="shared" si="102"/>
        <v>5000000</v>
      </c>
      <c r="U139" s="62">
        <f t="shared" si="103"/>
        <v>5000000</v>
      </c>
      <c r="V139" s="62">
        <f t="shared" si="104"/>
        <v>5000000</v>
      </c>
      <c r="W139" s="62">
        <f t="shared" si="105"/>
        <v>5000000</v>
      </c>
      <c r="X139" s="62">
        <f t="shared" si="106"/>
        <v>5000000</v>
      </c>
      <c r="Y139" s="62">
        <f t="shared" si="107"/>
        <v>5000000</v>
      </c>
      <c r="Z139" s="62">
        <f t="shared" si="108"/>
        <v>5000000</v>
      </c>
      <c r="AA139" s="62">
        <f t="shared" si="109"/>
        <v>5000000</v>
      </c>
      <c r="AB139" s="62">
        <f t="shared" si="110"/>
        <v>5000000</v>
      </c>
      <c r="AC139" s="62">
        <f t="shared" si="111"/>
        <v>5000000</v>
      </c>
    </row>
    <row r="140" spans="1:44" x14ac:dyDescent="0.25">
      <c r="A140" s="30" t="str">
        <f t="shared" si="83"/>
        <v>Residual value (costumization)</v>
      </c>
      <c r="B140" s="62">
        <f t="shared" si="84"/>
        <v>-500000</v>
      </c>
      <c r="C140" s="62">
        <f t="shared" si="85"/>
        <v>-500000</v>
      </c>
      <c r="D140" s="62">
        <f t="shared" si="86"/>
        <v>-500000</v>
      </c>
      <c r="E140" s="62">
        <f t="shared" si="87"/>
        <v>-500000</v>
      </c>
      <c r="F140" s="62">
        <f t="shared" si="88"/>
        <v>-500000</v>
      </c>
      <c r="G140" s="62">
        <f t="shared" si="89"/>
        <v>-500000</v>
      </c>
      <c r="H140" s="62">
        <f t="shared" si="90"/>
        <v>-500000</v>
      </c>
      <c r="I140" s="62">
        <f t="shared" si="91"/>
        <v>-500000</v>
      </c>
      <c r="J140" s="62">
        <f t="shared" si="92"/>
        <v>-500000</v>
      </c>
      <c r="K140" s="62">
        <f t="shared" si="93"/>
        <v>-500000</v>
      </c>
      <c r="L140" s="62">
        <f t="shared" si="94"/>
        <v>-500000</v>
      </c>
      <c r="M140" s="62">
        <f t="shared" si="95"/>
        <v>-500000</v>
      </c>
      <c r="N140" s="62">
        <f t="shared" si="96"/>
        <v>-500000</v>
      </c>
      <c r="O140" s="62">
        <f t="shared" si="97"/>
        <v>-500000</v>
      </c>
      <c r="P140" s="62">
        <f t="shared" si="98"/>
        <v>-500000</v>
      </c>
      <c r="Q140" s="62">
        <f t="shared" si="99"/>
        <v>-500000</v>
      </c>
      <c r="R140" s="62">
        <f t="shared" si="100"/>
        <v>-500000</v>
      </c>
      <c r="S140" s="62">
        <f t="shared" si="101"/>
        <v>-500000</v>
      </c>
      <c r="T140" s="62">
        <f t="shared" si="102"/>
        <v>-500000</v>
      </c>
      <c r="U140" s="62">
        <f t="shared" si="103"/>
        <v>-500000</v>
      </c>
      <c r="V140" s="62">
        <f t="shared" si="104"/>
        <v>-500000</v>
      </c>
      <c r="W140" s="62">
        <f t="shared" si="105"/>
        <v>-500000</v>
      </c>
      <c r="X140" s="62">
        <f t="shared" si="106"/>
        <v>-500000</v>
      </c>
      <c r="Y140" s="62">
        <f t="shared" si="107"/>
        <v>-500000</v>
      </c>
      <c r="Z140" s="62">
        <f t="shared" si="108"/>
        <v>-500000</v>
      </c>
      <c r="AA140" s="62">
        <f t="shared" si="109"/>
        <v>-500000</v>
      </c>
      <c r="AB140" s="62">
        <f t="shared" si="110"/>
        <v>-500000</v>
      </c>
      <c r="AC140" s="62">
        <f t="shared" si="111"/>
        <v>-500000</v>
      </c>
    </row>
    <row r="141" spans="1:44" x14ac:dyDescent="0.25">
      <c r="A141" s="30" t="str">
        <f t="shared" si="83"/>
        <v>WACC</v>
      </c>
      <c r="B141" s="62">
        <f t="shared" si="84"/>
        <v>0.06</v>
      </c>
      <c r="C141" s="62">
        <f t="shared" si="85"/>
        <v>0.06</v>
      </c>
      <c r="D141" s="62">
        <f t="shared" si="86"/>
        <v>0.06</v>
      </c>
      <c r="E141" s="62">
        <f t="shared" si="87"/>
        <v>0.06</v>
      </c>
      <c r="F141" s="62">
        <f t="shared" si="88"/>
        <v>0.06</v>
      </c>
      <c r="G141" s="62">
        <f t="shared" si="89"/>
        <v>0.06</v>
      </c>
      <c r="H141" s="62">
        <f t="shared" si="90"/>
        <v>0.06</v>
      </c>
      <c r="I141" s="62">
        <f t="shared" si="91"/>
        <v>0.06</v>
      </c>
      <c r="J141" s="62">
        <f t="shared" si="92"/>
        <v>0.06</v>
      </c>
      <c r="K141" s="62">
        <f t="shared" si="93"/>
        <v>0.06</v>
      </c>
      <c r="L141" s="62">
        <f t="shared" si="94"/>
        <v>0.06</v>
      </c>
      <c r="M141" s="62">
        <f t="shared" si="95"/>
        <v>0.06</v>
      </c>
      <c r="N141" s="62">
        <f t="shared" si="96"/>
        <v>0.06</v>
      </c>
      <c r="O141" s="62">
        <f t="shared" si="97"/>
        <v>0.06</v>
      </c>
      <c r="P141" s="62">
        <f t="shared" si="98"/>
        <v>0.06</v>
      </c>
      <c r="Q141" s="62">
        <f t="shared" si="99"/>
        <v>0.06</v>
      </c>
      <c r="R141" s="62">
        <f t="shared" si="100"/>
        <v>0.06</v>
      </c>
      <c r="S141" s="62">
        <f t="shared" si="101"/>
        <v>0.06</v>
      </c>
      <c r="T141" s="62">
        <f t="shared" si="102"/>
        <v>0.06</v>
      </c>
      <c r="U141" s="62">
        <f t="shared" si="103"/>
        <v>0.06</v>
      </c>
      <c r="V141" s="62">
        <f t="shared" si="104"/>
        <v>0.06</v>
      </c>
      <c r="W141" s="62">
        <f t="shared" si="105"/>
        <v>0.06</v>
      </c>
      <c r="X141" s="62">
        <f t="shared" si="106"/>
        <v>0.06</v>
      </c>
      <c r="Y141" s="62">
        <f t="shared" si="107"/>
        <v>0.06</v>
      </c>
      <c r="Z141" s="62">
        <f t="shared" si="108"/>
        <v>0.06</v>
      </c>
      <c r="AA141" s="62">
        <f t="shared" si="109"/>
        <v>0.06</v>
      </c>
      <c r="AB141" s="62">
        <f t="shared" si="110"/>
        <v>0.06</v>
      </c>
      <c r="AC141" s="62">
        <f t="shared" si="111"/>
        <v>0.06</v>
      </c>
    </row>
    <row r="142" spans="1:44" x14ac:dyDescent="0.25">
      <c r="A142" s="30" t="str">
        <f t="shared" si="83"/>
        <v>Opex fix (admin, crew, insurance)</v>
      </c>
      <c r="B142" s="62">
        <f t="shared" si="84"/>
        <v>1208235.294117647</v>
      </c>
      <c r="C142" s="62">
        <f t="shared" si="85"/>
        <v>1208235.294117647</v>
      </c>
      <c r="D142" s="62">
        <f t="shared" si="86"/>
        <v>1208235.294117647</v>
      </c>
      <c r="E142" s="62">
        <f t="shared" si="87"/>
        <v>1208235.294117647</v>
      </c>
      <c r="F142" s="62">
        <f t="shared" si="88"/>
        <v>1208235.294117647</v>
      </c>
      <c r="G142" s="62">
        <f t="shared" si="89"/>
        <v>1208235.294117647</v>
      </c>
      <c r="H142" s="62">
        <f t="shared" si="90"/>
        <v>1208235.294117647</v>
      </c>
      <c r="I142" s="62">
        <f t="shared" si="91"/>
        <v>1208235.294117647</v>
      </c>
      <c r="J142" s="62">
        <f t="shared" si="92"/>
        <v>1208235.294117647</v>
      </c>
      <c r="K142" s="62">
        <f t="shared" si="93"/>
        <v>1208235.294117647</v>
      </c>
      <c r="L142" s="62">
        <f t="shared" si="94"/>
        <v>1208235.294117647</v>
      </c>
      <c r="M142" s="62">
        <f t="shared" si="95"/>
        <v>1208235.294117647</v>
      </c>
      <c r="N142" s="62">
        <f t="shared" si="96"/>
        <v>1208235.294117647</v>
      </c>
      <c r="O142" s="62">
        <f t="shared" si="97"/>
        <v>1208235.294117647</v>
      </c>
      <c r="P142" s="62">
        <f t="shared" si="98"/>
        <v>1208235.294117647</v>
      </c>
      <c r="Q142" s="62">
        <f t="shared" si="99"/>
        <v>1208235.294117647</v>
      </c>
      <c r="R142" s="62">
        <f t="shared" si="100"/>
        <v>1208235.294117647</v>
      </c>
      <c r="S142" s="62">
        <f t="shared" si="101"/>
        <v>1208235.294117647</v>
      </c>
      <c r="T142" s="62">
        <f t="shared" si="102"/>
        <v>1208235.294117647</v>
      </c>
      <c r="U142" s="62">
        <f t="shared" si="103"/>
        <v>1208235.294117647</v>
      </c>
      <c r="V142" s="62">
        <f t="shared" si="104"/>
        <v>1208235.294117647</v>
      </c>
      <c r="W142" s="62">
        <f t="shared" si="105"/>
        <v>1208235.294117647</v>
      </c>
      <c r="X142" s="62">
        <f t="shared" si="106"/>
        <v>1208235.294117647</v>
      </c>
      <c r="Y142" s="62">
        <f t="shared" si="107"/>
        <v>1208235.294117647</v>
      </c>
      <c r="Z142" s="62">
        <f t="shared" si="108"/>
        <v>1208235.294117647</v>
      </c>
      <c r="AA142" s="62">
        <f t="shared" si="109"/>
        <v>1208235.294117647</v>
      </c>
      <c r="AB142" s="62">
        <f t="shared" si="110"/>
        <v>1208235.294117647</v>
      </c>
      <c r="AC142" s="62">
        <f t="shared" si="111"/>
        <v>1208235.294117647</v>
      </c>
    </row>
    <row r="143" spans="1:44" x14ac:dyDescent="0.25">
      <c r="A143" s="30" t="str">
        <f t="shared" si="83"/>
        <v>Opex maintenance &amp; repair</v>
      </c>
      <c r="B143" s="62">
        <f t="shared" si="84"/>
        <v>488235.29411764705</v>
      </c>
      <c r="C143" s="62">
        <f t="shared" si="85"/>
        <v>488235.29411764705</v>
      </c>
      <c r="D143" s="62">
        <f t="shared" si="86"/>
        <v>488235.29411764705</v>
      </c>
      <c r="E143" s="62">
        <f t="shared" si="87"/>
        <v>488235.29411764705</v>
      </c>
      <c r="F143" s="62">
        <f t="shared" si="88"/>
        <v>488235.29411764705</v>
      </c>
      <c r="G143" s="62">
        <f t="shared" si="89"/>
        <v>488235.29411764705</v>
      </c>
      <c r="H143" s="62">
        <f t="shared" si="90"/>
        <v>488235.29411764705</v>
      </c>
      <c r="I143" s="62">
        <f t="shared" si="91"/>
        <v>488235.29411764705</v>
      </c>
      <c r="J143" s="62">
        <f t="shared" si="92"/>
        <v>488235.29411764705</v>
      </c>
      <c r="K143" s="62">
        <f t="shared" si="93"/>
        <v>488235.29411764705</v>
      </c>
      <c r="L143" s="62">
        <f t="shared" si="94"/>
        <v>488235.29411764705</v>
      </c>
      <c r="M143" s="62">
        <f t="shared" si="95"/>
        <v>488235.29411764705</v>
      </c>
      <c r="N143" s="62">
        <f t="shared" si="96"/>
        <v>488235.29411764705</v>
      </c>
      <c r="O143" s="62">
        <f t="shared" si="97"/>
        <v>488235.29411764705</v>
      </c>
      <c r="P143" s="62">
        <f t="shared" si="98"/>
        <v>488235.29411764705</v>
      </c>
      <c r="Q143" s="62">
        <f t="shared" si="99"/>
        <v>488235.29411764705</v>
      </c>
      <c r="R143" s="62">
        <f t="shared" si="100"/>
        <v>488235.29411764705</v>
      </c>
      <c r="S143" s="62">
        <f t="shared" si="101"/>
        <v>488235.29411764705</v>
      </c>
      <c r="T143" s="62">
        <f t="shared" si="102"/>
        <v>488235.29411764705</v>
      </c>
      <c r="U143" s="62">
        <f t="shared" si="103"/>
        <v>488235.29411764705</v>
      </c>
      <c r="V143" s="62">
        <f t="shared" si="104"/>
        <v>488235.29411764705</v>
      </c>
      <c r="W143" s="62">
        <f t="shared" si="105"/>
        <v>488235.29411764705</v>
      </c>
      <c r="X143" s="62">
        <f t="shared" si="106"/>
        <v>488235.29411764705</v>
      </c>
      <c r="Y143" s="62">
        <f t="shared" si="107"/>
        <v>488235.29411764705</v>
      </c>
      <c r="Z143" s="62">
        <f t="shared" si="108"/>
        <v>488235.29411764705</v>
      </c>
      <c r="AA143" s="62">
        <f t="shared" si="109"/>
        <v>488235.29411764705</v>
      </c>
      <c r="AB143" s="62">
        <f t="shared" si="110"/>
        <v>488235.29411764705</v>
      </c>
      <c r="AC143" s="62">
        <f t="shared" si="111"/>
        <v>488235.29411764705</v>
      </c>
    </row>
    <row r="144" spans="1:44" x14ac:dyDescent="0.25">
      <c r="A144" s="30" t="str">
        <f t="shared" si="83"/>
        <v>Opex var (mode-fees)</v>
      </c>
      <c r="B144" s="62">
        <f t="shared" si="84"/>
        <v>1.6886890630966982</v>
      </c>
      <c r="C144" s="62">
        <f t="shared" si="85"/>
        <v>1.6886890630966982</v>
      </c>
      <c r="D144" s="62">
        <f t="shared" si="86"/>
        <v>1.6886890630966982</v>
      </c>
      <c r="E144" s="62">
        <f t="shared" si="87"/>
        <v>1.6886890630966982</v>
      </c>
      <c r="F144" s="62">
        <f t="shared" si="88"/>
        <v>1.6886890630966982</v>
      </c>
      <c r="G144" s="62">
        <f t="shared" si="89"/>
        <v>1.6886890630966982</v>
      </c>
      <c r="H144" s="62">
        <f t="shared" si="90"/>
        <v>1.6886890630966982</v>
      </c>
      <c r="I144" s="62">
        <f t="shared" si="91"/>
        <v>1.6886890630966982</v>
      </c>
      <c r="J144" s="62">
        <f t="shared" si="92"/>
        <v>1.6886890630966982</v>
      </c>
      <c r="K144" s="62">
        <f t="shared" si="93"/>
        <v>1.6886890630966982</v>
      </c>
      <c r="L144" s="62">
        <f t="shared" si="94"/>
        <v>1.6886890630966982</v>
      </c>
      <c r="M144" s="62">
        <f t="shared" si="95"/>
        <v>1.6886890630966982</v>
      </c>
      <c r="N144" s="62">
        <f t="shared" si="96"/>
        <v>1.6886890630966982</v>
      </c>
      <c r="O144" s="62">
        <f t="shared" si="97"/>
        <v>1.6886890630966982</v>
      </c>
      <c r="P144" s="62">
        <f t="shared" si="98"/>
        <v>1.6886890630966982</v>
      </c>
      <c r="Q144" s="62">
        <f t="shared" si="99"/>
        <v>1.6886890630966982</v>
      </c>
      <c r="R144" s="62">
        <f t="shared" si="100"/>
        <v>1.6886890630966982</v>
      </c>
      <c r="S144" s="62">
        <f t="shared" si="101"/>
        <v>1.6886890630966982</v>
      </c>
      <c r="T144" s="62">
        <f t="shared" si="102"/>
        <v>1.6886890630966982</v>
      </c>
      <c r="U144" s="62">
        <f t="shared" si="103"/>
        <v>1.6886890630966982</v>
      </c>
      <c r="V144" s="62">
        <f t="shared" si="104"/>
        <v>1.6886890630966982</v>
      </c>
      <c r="W144" s="62">
        <f t="shared" si="105"/>
        <v>1.6886890630966982</v>
      </c>
      <c r="X144" s="62">
        <f t="shared" si="106"/>
        <v>1.6886890630966982</v>
      </c>
      <c r="Y144" s="62">
        <f t="shared" si="107"/>
        <v>1.6886890630966982</v>
      </c>
      <c r="Z144" s="62">
        <f t="shared" si="108"/>
        <v>1.6886890630966982</v>
      </c>
      <c r="AA144" s="62">
        <f t="shared" si="109"/>
        <v>1.6886890630966982</v>
      </c>
      <c r="AB144" s="62">
        <f t="shared" si="110"/>
        <v>1.6886890630966982</v>
      </c>
      <c r="AC144" s="62">
        <f t="shared" si="111"/>
        <v>1.6886890630966982</v>
      </c>
    </row>
    <row r="145" spans="1:29" x14ac:dyDescent="0.25">
      <c r="A145" s="30" t="str">
        <f t="shared" si="83"/>
        <v>Fuel Economy</v>
      </c>
      <c r="B145" s="62">
        <f t="shared" si="84"/>
        <v>646.89677603543487</v>
      </c>
      <c r="C145" s="62">
        <f t="shared" si="85"/>
        <v>646.85211887817047</v>
      </c>
      <c r="D145" s="62">
        <f t="shared" si="86"/>
        <v>646.78819315220449</v>
      </c>
      <c r="E145" s="62">
        <f t="shared" si="87"/>
        <v>646.6967429057521</v>
      </c>
      <c r="F145" s="62">
        <f t="shared" si="88"/>
        <v>646.5660403240729</v>
      </c>
      <c r="G145" s="62">
        <f t="shared" si="89"/>
        <v>646.37949949401741</v>
      </c>
      <c r="H145" s="62">
        <f t="shared" si="90"/>
        <v>646.11381958854338</v>
      </c>
      <c r="I145" s="62">
        <f t="shared" si="91"/>
        <v>645.73659220845991</v>
      </c>
      <c r="J145" s="62">
        <f t="shared" si="92"/>
        <v>645.20341755594859</v>
      </c>
      <c r="K145" s="62">
        <f t="shared" si="93"/>
        <v>644.4548499630904</v>
      </c>
      <c r="L145" s="62">
        <f t="shared" si="94"/>
        <v>643.41406927056653</v>
      </c>
      <c r="M145" s="62">
        <f t="shared" si="95"/>
        <v>641.98719787679943</v>
      </c>
      <c r="N145" s="62">
        <f t="shared" si="96"/>
        <v>640.0696356209337</v>
      </c>
      <c r="O145" s="62">
        <f t="shared" si="97"/>
        <v>637.56301130673319</v>
      </c>
      <c r="P145" s="62">
        <f t="shared" si="98"/>
        <v>634.40634165749691</v>
      </c>
      <c r="Q145" s="62">
        <f t="shared" si="99"/>
        <v>630.6184286906298</v>
      </c>
      <c r="R145" s="62">
        <f t="shared" si="100"/>
        <v>626.33515650399931</v>
      </c>
      <c r="S145" s="62">
        <f t="shared" si="101"/>
        <v>621.81332363039712</v>
      </c>
      <c r="T145" s="62">
        <f t="shared" si="102"/>
        <v>617.38047196989623</v>
      </c>
      <c r="U145" s="62">
        <f t="shared" si="103"/>
        <v>613.34515585949862</v>
      </c>
      <c r="V145" s="62">
        <f t="shared" si="104"/>
        <v>609.91571180572532</v>
      </c>
      <c r="W145" s="62">
        <f t="shared" si="105"/>
        <v>607.1693412972852</v>
      </c>
      <c r="X145" s="62">
        <f t="shared" si="106"/>
        <v>605.0737387067237</v>
      </c>
      <c r="Y145" s="62">
        <f t="shared" si="107"/>
        <v>603.53330273509027</v>
      </c>
      <c r="Z145" s="62">
        <f t="shared" si="108"/>
        <v>602.43191330034256</v>
      </c>
      <c r="AA145" s="62">
        <f t="shared" si="109"/>
        <v>601.66000195939125</v>
      </c>
      <c r="AB145" s="62">
        <f t="shared" si="110"/>
        <v>601.12656377741496</v>
      </c>
      <c r="AC145" s="62">
        <f t="shared" si="111"/>
        <v>600.7615054472443</v>
      </c>
    </row>
    <row r="146" spans="1:29" x14ac:dyDescent="0.25">
      <c r="A146" s="30" t="str">
        <f t="shared" si="83"/>
        <v>Fuel Cost</v>
      </c>
      <c r="B146" s="62">
        <f t="shared" si="84"/>
        <v>0.46007018325085908</v>
      </c>
      <c r="C146" s="62">
        <f t="shared" si="85"/>
        <v>0.45976753828113842</v>
      </c>
      <c r="D146" s="62">
        <f t="shared" si="86"/>
        <v>0.45933430874785641</v>
      </c>
      <c r="E146" s="62">
        <f t="shared" si="87"/>
        <v>0.45871454343443391</v>
      </c>
      <c r="F146" s="62">
        <f t="shared" si="88"/>
        <v>0.45782876204354683</v>
      </c>
      <c r="G146" s="62">
        <f t="shared" si="89"/>
        <v>0.45656456057345435</v>
      </c>
      <c r="H146" s="62">
        <f t="shared" si="90"/>
        <v>0.45476402753747325</v>
      </c>
      <c r="I146" s="62">
        <f t="shared" si="91"/>
        <v>0.4522075287360105</v>
      </c>
      <c r="J146" s="62">
        <f t="shared" si="92"/>
        <v>0.44859416334399271</v>
      </c>
      <c r="K146" s="62">
        <f t="shared" si="93"/>
        <v>0.44352106352411141</v>
      </c>
      <c r="L146" s="62">
        <f t="shared" si="94"/>
        <v>0.43646761318221511</v>
      </c>
      <c r="M146" s="62">
        <f t="shared" si="95"/>
        <v>0.42679759663357736</v>
      </c>
      <c r="N146" s="62">
        <f t="shared" si="96"/>
        <v>0.4138021305892895</v>
      </c>
      <c r="O146" s="62">
        <f t="shared" si="97"/>
        <v>0.39681454592999976</v>
      </c>
      <c r="P146" s="62">
        <f t="shared" si="98"/>
        <v>0.37542155432610358</v>
      </c>
      <c r="Q146" s="62">
        <f t="shared" si="99"/>
        <v>0.34975057848734814</v>
      </c>
      <c r="R146" s="62">
        <f t="shared" si="100"/>
        <v>0.32072251533605989</v>
      </c>
      <c r="S146" s="62">
        <f t="shared" si="101"/>
        <v>0.29007770816639111</v>
      </c>
      <c r="T146" s="62">
        <f t="shared" si="102"/>
        <v>0.26003593348231735</v>
      </c>
      <c r="U146" s="62">
        <f t="shared" si="103"/>
        <v>0.23268828762089908</v>
      </c>
      <c r="V146" s="62">
        <f t="shared" si="104"/>
        <v>0.20944668301835428</v>
      </c>
      <c r="W146" s="62">
        <f t="shared" si="105"/>
        <v>0.19083432006727308</v>
      </c>
      <c r="X146" s="62">
        <f t="shared" si="106"/>
        <v>0.17663226105998037</v>
      </c>
      <c r="Y146" s="62">
        <f t="shared" si="107"/>
        <v>0.16619260868284136</v>
      </c>
      <c r="Z146" s="62">
        <f t="shared" si="108"/>
        <v>0.15872840826013385</v>
      </c>
      <c r="AA146" s="62">
        <f t="shared" si="109"/>
        <v>0.15349710607432565</v>
      </c>
      <c r="AB146" s="62">
        <f t="shared" si="110"/>
        <v>0.14988195472297094</v>
      </c>
      <c r="AC146" s="62">
        <f t="shared" si="111"/>
        <v>0.14740792650333712</v>
      </c>
    </row>
    <row r="147" spans="1:29" x14ac:dyDescent="0.25">
      <c r="A147" s="30" t="str">
        <f t="shared" ref="A147" si="112">A127</f>
        <v>Emission Cost</v>
      </c>
      <c r="B147" s="66">
        <f>$B127+($C127-$B127)*(1-Q127)</f>
        <v>3.1561641138930518</v>
      </c>
      <c r="C147" s="66">
        <f t="shared" ref="C147:AC147" si="113">$B127+($C127-$B127)*(1-R127)</f>
        <v>3.1531586766519095</v>
      </c>
      <c r="D147" s="66">
        <f t="shared" si="113"/>
        <v>3.148856460181932</v>
      </c>
      <c r="E147" s="66">
        <f t="shared" si="113"/>
        <v>3.1427018369762418</v>
      </c>
      <c r="F147" s="66">
        <f t="shared" si="113"/>
        <v>3.1339055223302736</v>
      </c>
      <c r="G147" s="66">
        <f t="shared" si="113"/>
        <v>3.1213512803680521</v>
      </c>
      <c r="H147" s="66">
        <f t="shared" si="113"/>
        <v>3.103470959921165</v>
      </c>
      <c r="I147" s="66">
        <f t="shared" si="113"/>
        <v>3.0780834680624944</v>
      </c>
      <c r="J147" s="66">
        <f t="shared" si="113"/>
        <v>3.0422006879024699</v>
      </c>
      <c r="K147" s="66">
        <f t="shared" si="113"/>
        <v>2.9918219119367748</v>
      </c>
      <c r="L147" s="66">
        <f t="shared" si="113"/>
        <v>2.9217771252824751</v>
      </c>
      <c r="M147" s="66">
        <f t="shared" si="113"/>
        <v>2.8257483431601118</v>
      </c>
      <c r="N147" s="66">
        <f t="shared" si="113"/>
        <v>2.6966959500159344</v>
      </c>
      <c r="O147" s="66">
        <f t="shared" si="113"/>
        <v>2.527999541087663</v>
      </c>
      <c r="P147" s="66">
        <f t="shared" si="113"/>
        <v>2.3155549274364571</v>
      </c>
      <c r="Q147" s="66">
        <f t="shared" si="113"/>
        <v>2.0606274892785992</v>
      </c>
      <c r="R147" s="66">
        <f t="shared" si="113"/>
        <v>1.7723622585244727</v>
      </c>
      <c r="S147" s="66">
        <f t="shared" si="113"/>
        <v>1.4680418371398225</v>
      </c>
      <c r="T147" s="66">
        <f t="shared" si="113"/>
        <v>1.1697098724326394</v>
      </c>
      <c r="U147" s="66">
        <f t="shared" si="113"/>
        <v>0.89813214422744192</v>
      </c>
      <c r="V147" s="66">
        <f t="shared" si="113"/>
        <v>0.66732974866522188</v>
      </c>
      <c r="W147" s="66">
        <f t="shared" si="113"/>
        <v>0.48249836418702996</v>
      </c>
      <c r="X147" s="66">
        <f t="shared" si="113"/>
        <v>0.34146381442791984</v>
      </c>
      <c r="Y147" s="66">
        <f t="shared" si="113"/>
        <v>0.23779210936773287</v>
      </c>
      <c r="Z147" s="66">
        <f t="shared" si="113"/>
        <v>0.16366834003345909</v>
      </c>
      <c r="AA147" s="66">
        <f t="shared" si="113"/>
        <v>0.11171852430248297</v>
      </c>
      <c r="AB147" s="66">
        <f t="shared" si="113"/>
        <v>7.5818008547159366E-2</v>
      </c>
      <c r="AC147" s="66">
        <f t="shared" si="113"/>
        <v>5.1249496624470758E-2</v>
      </c>
    </row>
    <row r="148" spans="1:29" x14ac:dyDescent="0.25">
      <c r="A148" s="30" t="str">
        <f>A128</f>
        <v>Lifetime vehicle</v>
      </c>
      <c r="B148" s="62">
        <f>$B128+($C128-$B128)*(1-Q128)</f>
        <v>25</v>
      </c>
      <c r="C148" s="62">
        <f t="shared" ref="C148:L150" si="114">$B128+($C128-$B128)*(1-R128)</f>
        <v>25</v>
      </c>
      <c r="D148" s="62">
        <f t="shared" si="114"/>
        <v>25</v>
      </c>
      <c r="E148" s="62">
        <f t="shared" si="114"/>
        <v>25</v>
      </c>
      <c r="F148" s="62">
        <f t="shared" si="114"/>
        <v>25</v>
      </c>
      <c r="G148" s="62">
        <f t="shared" si="114"/>
        <v>25</v>
      </c>
      <c r="H148" s="62">
        <f t="shared" si="114"/>
        <v>25</v>
      </c>
      <c r="I148" s="62">
        <f t="shared" si="114"/>
        <v>25</v>
      </c>
      <c r="J148" s="62">
        <f t="shared" si="114"/>
        <v>25</v>
      </c>
      <c r="K148" s="62">
        <f t="shared" si="114"/>
        <v>25</v>
      </c>
      <c r="L148" s="62">
        <f t="shared" si="114"/>
        <v>25</v>
      </c>
      <c r="M148" s="62">
        <f t="shared" ref="M148:V150" si="115">$B128+($C128-$B128)*(1-AB128)</f>
        <v>25</v>
      </c>
      <c r="N148" s="62">
        <f t="shared" si="115"/>
        <v>25</v>
      </c>
      <c r="O148" s="62">
        <f t="shared" si="115"/>
        <v>25</v>
      </c>
      <c r="P148" s="62">
        <f t="shared" si="115"/>
        <v>25</v>
      </c>
      <c r="Q148" s="62">
        <f t="shared" si="115"/>
        <v>25</v>
      </c>
      <c r="R148" s="62">
        <f t="shared" si="115"/>
        <v>25</v>
      </c>
      <c r="S148" s="62">
        <f t="shared" si="115"/>
        <v>25</v>
      </c>
      <c r="T148" s="62">
        <f t="shared" si="115"/>
        <v>25</v>
      </c>
      <c r="U148" s="62">
        <f t="shared" si="115"/>
        <v>25</v>
      </c>
      <c r="V148" s="62">
        <f t="shared" si="115"/>
        <v>25</v>
      </c>
      <c r="W148" s="62">
        <f t="shared" ref="W148:AC150" si="116">$B128+($C128-$B128)*(1-AL128)</f>
        <v>25</v>
      </c>
      <c r="X148" s="62">
        <f t="shared" si="116"/>
        <v>25</v>
      </c>
      <c r="Y148" s="62">
        <f t="shared" si="116"/>
        <v>25</v>
      </c>
      <c r="Z148" s="62">
        <f t="shared" si="116"/>
        <v>25</v>
      </c>
      <c r="AA148" s="62">
        <f t="shared" si="116"/>
        <v>25</v>
      </c>
      <c r="AB148" s="62">
        <f t="shared" si="116"/>
        <v>25</v>
      </c>
      <c r="AC148" s="62">
        <f t="shared" si="116"/>
        <v>25</v>
      </c>
    </row>
    <row r="149" spans="1:29" x14ac:dyDescent="0.25">
      <c r="A149" s="30" t="str">
        <f>A129</f>
        <v>Lifetime costumization</v>
      </c>
      <c r="B149" s="62">
        <f>$B129+($C129-$B129)*(1-Q129)</f>
        <v>25</v>
      </c>
      <c r="C149" s="62">
        <f t="shared" si="114"/>
        <v>25</v>
      </c>
      <c r="D149" s="62">
        <f t="shared" si="114"/>
        <v>25</v>
      </c>
      <c r="E149" s="62">
        <f t="shared" si="114"/>
        <v>25</v>
      </c>
      <c r="F149" s="62">
        <f t="shared" si="114"/>
        <v>25</v>
      </c>
      <c r="G149" s="62">
        <f t="shared" si="114"/>
        <v>25</v>
      </c>
      <c r="H149" s="62">
        <f t="shared" si="114"/>
        <v>25</v>
      </c>
      <c r="I149" s="62">
        <f t="shared" si="114"/>
        <v>25</v>
      </c>
      <c r="J149" s="62">
        <f t="shared" si="114"/>
        <v>25</v>
      </c>
      <c r="K149" s="62">
        <f t="shared" si="114"/>
        <v>25</v>
      </c>
      <c r="L149" s="62">
        <f t="shared" si="114"/>
        <v>25</v>
      </c>
      <c r="M149" s="62">
        <f t="shared" si="115"/>
        <v>25</v>
      </c>
      <c r="N149" s="62">
        <f t="shared" si="115"/>
        <v>25</v>
      </c>
      <c r="O149" s="62">
        <f t="shared" si="115"/>
        <v>25</v>
      </c>
      <c r="P149" s="62">
        <f t="shared" si="115"/>
        <v>25</v>
      </c>
      <c r="Q149" s="62">
        <f t="shared" si="115"/>
        <v>25</v>
      </c>
      <c r="R149" s="62">
        <f t="shared" si="115"/>
        <v>25</v>
      </c>
      <c r="S149" s="62">
        <f t="shared" si="115"/>
        <v>25</v>
      </c>
      <c r="T149" s="62">
        <f t="shared" si="115"/>
        <v>25</v>
      </c>
      <c r="U149" s="62">
        <f t="shared" si="115"/>
        <v>25</v>
      </c>
      <c r="V149" s="62">
        <f t="shared" si="115"/>
        <v>25</v>
      </c>
      <c r="W149" s="62">
        <f t="shared" si="116"/>
        <v>25</v>
      </c>
      <c r="X149" s="62">
        <f t="shared" si="116"/>
        <v>25</v>
      </c>
      <c r="Y149" s="62">
        <f t="shared" si="116"/>
        <v>25</v>
      </c>
      <c r="Z149" s="62">
        <f t="shared" si="116"/>
        <v>25</v>
      </c>
      <c r="AA149" s="62">
        <f t="shared" si="116"/>
        <v>25</v>
      </c>
      <c r="AB149" s="62">
        <f t="shared" si="116"/>
        <v>25</v>
      </c>
      <c r="AC149" s="62">
        <f t="shared" si="116"/>
        <v>25</v>
      </c>
    </row>
    <row r="150" spans="1:29" x14ac:dyDescent="0.25">
      <c r="A150" s="30" t="str">
        <f>A130</f>
        <v>Tonnage .</v>
      </c>
      <c r="B150" s="62">
        <f>$B130+($C130-$B130)*(1-Q130)</f>
        <v>9450</v>
      </c>
      <c r="C150" s="62">
        <f t="shared" si="114"/>
        <v>9450</v>
      </c>
      <c r="D150" s="62">
        <f t="shared" si="114"/>
        <v>9450</v>
      </c>
      <c r="E150" s="62">
        <f t="shared" si="114"/>
        <v>9450</v>
      </c>
      <c r="F150" s="62">
        <f t="shared" si="114"/>
        <v>9450</v>
      </c>
      <c r="G150" s="62">
        <f t="shared" si="114"/>
        <v>9450</v>
      </c>
      <c r="H150" s="62">
        <f t="shared" si="114"/>
        <v>9450</v>
      </c>
      <c r="I150" s="62">
        <f t="shared" si="114"/>
        <v>9450</v>
      </c>
      <c r="J150" s="62">
        <f t="shared" si="114"/>
        <v>9450</v>
      </c>
      <c r="K150" s="62">
        <f t="shared" si="114"/>
        <v>9450</v>
      </c>
      <c r="L150" s="62">
        <f t="shared" si="114"/>
        <v>9450</v>
      </c>
      <c r="M150" s="62">
        <f t="shared" si="115"/>
        <v>9450</v>
      </c>
      <c r="N150" s="62">
        <f t="shared" si="115"/>
        <v>9450</v>
      </c>
      <c r="O150" s="62">
        <f t="shared" si="115"/>
        <v>9450</v>
      </c>
      <c r="P150" s="62">
        <f t="shared" si="115"/>
        <v>9450</v>
      </c>
      <c r="Q150" s="62">
        <f t="shared" si="115"/>
        <v>9450</v>
      </c>
      <c r="R150" s="62">
        <f t="shared" si="115"/>
        <v>9450</v>
      </c>
      <c r="S150" s="62">
        <f t="shared" si="115"/>
        <v>9450</v>
      </c>
      <c r="T150" s="62">
        <f t="shared" si="115"/>
        <v>9450</v>
      </c>
      <c r="U150" s="62">
        <f t="shared" si="115"/>
        <v>9450</v>
      </c>
      <c r="V150" s="62">
        <f t="shared" si="115"/>
        <v>9450</v>
      </c>
      <c r="W150" s="62">
        <f t="shared" si="116"/>
        <v>9450</v>
      </c>
      <c r="X150" s="62">
        <f t="shared" si="116"/>
        <v>9450</v>
      </c>
      <c r="Y150" s="62">
        <f t="shared" si="116"/>
        <v>9450</v>
      </c>
      <c r="Z150" s="62">
        <f t="shared" si="116"/>
        <v>9450</v>
      </c>
      <c r="AA150" s="62">
        <f t="shared" si="116"/>
        <v>9450</v>
      </c>
      <c r="AB150" s="62">
        <f t="shared" si="116"/>
        <v>9450</v>
      </c>
      <c r="AC150" s="62">
        <f t="shared" si="116"/>
        <v>9450</v>
      </c>
    </row>
    <row r="151" spans="1:29" x14ac:dyDescent="0.25">
      <c r="A151" s="30" t="str">
        <f>A131</f>
        <v>Market failure (av. utilization)</v>
      </c>
      <c r="B151" s="62">
        <f t="shared" ref="B151:K152" si="117">($B131+($C131-$B131)*(1-Q131))*B$44</f>
        <v>5418</v>
      </c>
      <c r="C151" s="62">
        <f t="shared" si="117"/>
        <v>5418</v>
      </c>
      <c r="D151" s="62">
        <f t="shared" si="117"/>
        <v>5418</v>
      </c>
      <c r="E151" s="62">
        <f t="shared" si="117"/>
        <v>5418</v>
      </c>
      <c r="F151" s="62">
        <f t="shared" si="117"/>
        <v>5418</v>
      </c>
      <c r="G151" s="62">
        <f t="shared" si="117"/>
        <v>5418</v>
      </c>
      <c r="H151" s="62">
        <f t="shared" si="117"/>
        <v>5418</v>
      </c>
      <c r="I151" s="62">
        <f t="shared" si="117"/>
        <v>5418</v>
      </c>
      <c r="J151" s="62">
        <f t="shared" si="117"/>
        <v>5418</v>
      </c>
      <c r="K151" s="62">
        <f t="shared" si="117"/>
        <v>5418</v>
      </c>
      <c r="L151" s="62">
        <f t="shared" ref="L151:U152" si="118">($B131+($C131-$B131)*(1-AA131))*L$44</f>
        <v>5418</v>
      </c>
      <c r="M151" s="62">
        <f t="shared" si="118"/>
        <v>5418</v>
      </c>
      <c r="N151" s="62">
        <f t="shared" si="118"/>
        <v>5418</v>
      </c>
      <c r="O151" s="62">
        <f t="shared" si="118"/>
        <v>5418</v>
      </c>
      <c r="P151" s="62">
        <f t="shared" si="118"/>
        <v>5418</v>
      </c>
      <c r="Q151" s="62">
        <f t="shared" si="118"/>
        <v>5418</v>
      </c>
      <c r="R151" s="62">
        <f t="shared" si="118"/>
        <v>5418</v>
      </c>
      <c r="S151" s="62">
        <f t="shared" si="118"/>
        <v>5418</v>
      </c>
      <c r="T151" s="62">
        <f t="shared" si="118"/>
        <v>5418</v>
      </c>
      <c r="U151" s="62">
        <f t="shared" si="118"/>
        <v>5418</v>
      </c>
      <c r="V151" s="62">
        <f t="shared" ref="V151:AC152" si="119">($B131+($C131-$B131)*(1-AK131))*V$44</f>
        <v>5418</v>
      </c>
      <c r="W151" s="62">
        <f t="shared" si="119"/>
        <v>5418</v>
      </c>
      <c r="X151" s="62">
        <f t="shared" si="119"/>
        <v>5418</v>
      </c>
      <c r="Y151" s="62">
        <f t="shared" si="119"/>
        <v>5418</v>
      </c>
      <c r="Z151" s="62">
        <f t="shared" si="119"/>
        <v>5418</v>
      </c>
      <c r="AA151" s="62">
        <f t="shared" si="119"/>
        <v>5418</v>
      </c>
      <c r="AB151" s="62">
        <f t="shared" si="119"/>
        <v>5418</v>
      </c>
      <c r="AC151" s="62">
        <f t="shared" si="119"/>
        <v>5418</v>
      </c>
    </row>
    <row r="152" spans="1:29" x14ac:dyDescent="0.25">
      <c r="A152" s="30" t="s">
        <v>73</v>
      </c>
      <c r="B152" s="62">
        <f t="shared" si="117"/>
        <v>378</v>
      </c>
      <c r="C152" s="62">
        <f t="shared" si="117"/>
        <v>378</v>
      </c>
      <c r="D152" s="62">
        <f t="shared" si="117"/>
        <v>378</v>
      </c>
      <c r="E152" s="62">
        <f t="shared" si="117"/>
        <v>378</v>
      </c>
      <c r="F152" s="62">
        <f t="shared" si="117"/>
        <v>378</v>
      </c>
      <c r="G152" s="62">
        <f t="shared" si="117"/>
        <v>378</v>
      </c>
      <c r="H152" s="62">
        <f t="shared" si="117"/>
        <v>378</v>
      </c>
      <c r="I152" s="62">
        <f t="shared" si="117"/>
        <v>378</v>
      </c>
      <c r="J152" s="62">
        <f t="shared" si="117"/>
        <v>378</v>
      </c>
      <c r="K152" s="62">
        <f t="shared" si="117"/>
        <v>378</v>
      </c>
      <c r="L152" s="62">
        <f t="shared" si="118"/>
        <v>378</v>
      </c>
      <c r="M152" s="62">
        <f t="shared" si="118"/>
        <v>378</v>
      </c>
      <c r="N152" s="62">
        <f t="shared" si="118"/>
        <v>378</v>
      </c>
      <c r="O152" s="62">
        <f t="shared" si="118"/>
        <v>378</v>
      </c>
      <c r="P152" s="62">
        <f t="shared" si="118"/>
        <v>378</v>
      </c>
      <c r="Q152" s="62">
        <f t="shared" si="118"/>
        <v>378</v>
      </c>
      <c r="R152" s="62">
        <f t="shared" si="118"/>
        <v>378</v>
      </c>
      <c r="S152" s="62">
        <f t="shared" si="118"/>
        <v>378</v>
      </c>
      <c r="T152" s="62">
        <f t="shared" si="118"/>
        <v>378</v>
      </c>
      <c r="U152" s="62">
        <f t="shared" si="118"/>
        <v>378</v>
      </c>
      <c r="V152" s="62">
        <f t="shared" si="119"/>
        <v>378</v>
      </c>
      <c r="W152" s="62">
        <f t="shared" si="119"/>
        <v>378</v>
      </c>
      <c r="X152" s="62">
        <f t="shared" si="119"/>
        <v>378</v>
      </c>
      <c r="Y152" s="62">
        <f t="shared" si="119"/>
        <v>378</v>
      </c>
      <c r="Z152" s="62">
        <f t="shared" si="119"/>
        <v>378</v>
      </c>
      <c r="AA152" s="62">
        <f t="shared" si="119"/>
        <v>378</v>
      </c>
      <c r="AB152" s="62">
        <f t="shared" si="119"/>
        <v>378</v>
      </c>
      <c r="AC152" s="62">
        <f t="shared" si="119"/>
        <v>378</v>
      </c>
    </row>
    <row r="153" spans="1:29" x14ac:dyDescent="0.25">
      <c r="A153" s="30" t="str">
        <f>A133</f>
        <v>Annual Mileage</v>
      </c>
      <c r="B153" s="62">
        <f t="shared" ref="B153:AC153" si="120">$B133+($C133-$B133)*(1-Q133)</f>
        <v>120000</v>
      </c>
      <c r="C153" s="62">
        <f t="shared" si="120"/>
        <v>120000</v>
      </c>
      <c r="D153" s="62">
        <f t="shared" si="120"/>
        <v>120000</v>
      </c>
      <c r="E153" s="62">
        <f t="shared" si="120"/>
        <v>120000</v>
      </c>
      <c r="F153" s="62">
        <f t="shared" si="120"/>
        <v>120000</v>
      </c>
      <c r="G153" s="62">
        <f t="shared" si="120"/>
        <v>120000</v>
      </c>
      <c r="H153" s="62">
        <f t="shared" si="120"/>
        <v>120000</v>
      </c>
      <c r="I153" s="62">
        <f t="shared" si="120"/>
        <v>120000</v>
      </c>
      <c r="J153" s="62">
        <f t="shared" si="120"/>
        <v>120000</v>
      </c>
      <c r="K153" s="62">
        <f t="shared" si="120"/>
        <v>120000</v>
      </c>
      <c r="L153" s="62">
        <f t="shared" si="120"/>
        <v>120000</v>
      </c>
      <c r="M153" s="62">
        <f t="shared" si="120"/>
        <v>120000</v>
      </c>
      <c r="N153" s="62">
        <f t="shared" si="120"/>
        <v>120000</v>
      </c>
      <c r="O153" s="62">
        <f t="shared" si="120"/>
        <v>120000</v>
      </c>
      <c r="P153" s="62">
        <f t="shared" si="120"/>
        <v>120000</v>
      </c>
      <c r="Q153" s="62">
        <f t="shared" si="120"/>
        <v>120000</v>
      </c>
      <c r="R153" s="62">
        <f t="shared" si="120"/>
        <v>120000</v>
      </c>
      <c r="S153" s="62">
        <f t="shared" si="120"/>
        <v>120000</v>
      </c>
      <c r="T153" s="62">
        <f t="shared" si="120"/>
        <v>120000</v>
      </c>
      <c r="U153" s="62">
        <f t="shared" si="120"/>
        <v>120000</v>
      </c>
      <c r="V153" s="62">
        <f t="shared" si="120"/>
        <v>120000</v>
      </c>
      <c r="W153" s="62">
        <f t="shared" si="120"/>
        <v>120000</v>
      </c>
      <c r="X153" s="62">
        <f t="shared" si="120"/>
        <v>120000</v>
      </c>
      <c r="Y153" s="62">
        <f t="shared" si="120"/>
        <v>120000</v>
      </c>
      <c r="Z153" s="62">
        <f t="shared" si="120"/>
        <v>120000</v>
      </c>
      <c r="AA153" s="62">
        <f t="shared" si="120"/>
        <v>120000</v>
      </c>
      <c r="AB153" s="62">
        <f t="shared" si="120"/>
        <v>120000</v>
      </c>
      <c r="AC153" s="62">
        <f t="shared" si="120"/>
        <v>120000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1524647.8790978624</v>
      </c>
      <c r="C156" s="63">
        <f t="shared" ref="C156:AC156" si="121">((1+C141)^C148)*C141/(((1+C141)^C148)-1)*(C137)</f>
        <v>1524313.4062710819</v>
      </c>
      <c r="D156" s="63">
        <f t="shared" si="121"/>
        <v>1523834.6158693277</v>
      </c>
      <c r="E156" s="63">
        <f t="shared" si="121"/>
        <v>1523149.6725295712</v>
      </c>
      <c r="F156" s="63">
        <f t="shared" si="121"/>
        <v>1522170.737356808</v>
      </c>
      <c r="G156" s="63">
        <f t="shared" si="121"/>
        <v>1520773.5853086114</v>
      </c>
      <c r="H156" s="63">
        <f t="shared" si="121"/>
        <v>1518783.6980330625</v>
      </c>
      <c r="I156" s="63">
        <f t="shared" si="121"/>
        <v>1515958.3433556822</v>
      </c>
      <c r="J156" s="63">
        <f t="shared" si="121"/>
        <v>1511964.9760184553</v>
      </c>
      <c r="K156" s="63">
        <f t="shared" si="121"/>
        <v>1506358.3603233036</v>
      </c>
      <c r="L156" s="63">
        <f t="shared" si="121"/>
        <v>1498563.1292425212</v>
      </c>
      <c r="M156" s="63">
        <f t="shared" si="121"/>
        <v>1487876.1590509433</v>
      </c>
      <c r="N156" s="63">
        <f t="shared" si="121"/>
        <v>1473514.0162828909</v>
      </c>
      <c r="O156" s="63">
        <f t="shared" si="121"/>
        <v>1454739.9211231149</v>
      </c>
      <c r="P156" s="63">
        <f t="shared" si="121"/>
        <v>1431097.1215033231</v>
      </c>
      <c r="Q156" s="63">
        <f t="shared" si="121"/>
        <v>1402726.440626242</v>
      </c>
      <c r="R156" s="63">
        <f t="shared" si="121"/>
        <v>1370645.6221440069</v>
      </c>
      <c r="S156" s="63">
        <f t="shared" si="121"/>
        <v>1336778.0336965974</v>
      </c>
      <c r="T156" s="63">
        <f t="shared" si="121"/>
        <v>1303576.896042286</v>
      </c>
      <c r="U156" s="63">
        <f t="shared" si="121"/>
        <v>1273353.2170381402</v>
      </c>
      <c r="V156" s="63">
        <f t="shared" si="121"/>
        <v>1247667.3938192725</v>
      </c>
      <c r="W156" s="63">
        <f t="shared" si="121"/>
        <v>1227097.6494912698</v>
      </c>
      <c r="X156" s="63">
        <f t="shared" si="121"/>
        <v>1211402.0216186012</v>
      </c>
      <c r="Y156" s="63">
        <f t="shared" si="121"/>
        <v>1199864.4763410145</v>
      </c>
      <c r="Z156" s="63">
        <f t="shared" si="121"/>
        <v>1191615.2983773351</v>
      </c>
      <c r="AA156" s="63">
        <f t="shared" si="121"/>
        <v>1185833.8428605145</v>
      </c>
      <c r="AB156" s="63">
        <f t="shared" si="121"/>
        <v>1181838.5017423639</v>
      </c>
      <c r="AC156" s="63">
        <f t="shared" si="121"/>
        <v>1179104.2907197287</v>
      </c>
    </row>
    <row r="157" spans="1:29" x14ac:dyDescent="0.25">
      <c r="A157" s="30" t="str">
        <f>A138</f>
        <v>Residual value (vehicle)</v>
      </c>
      <c r="B157" s="62">
        <f>((1+B141)^B148)*B141/(((1+B141)^B148)-1)*(B138)</f>
        <v>-76361.248295139725</v>
      </c>
      <c r="C157" s="62">
        <f t="shared" ref="C157:AC157" si="122">((1+C141)^C148)*C141/(((1+C141)^C148)-1)*(C138)</f>
        <v>-76400.270124930772</v>
      </c>
      <c r="D157" s="62">
        <f t="shared" si="122"/>
        <v>-76456.129005135459</v>
      </c>
      <c r="E157" s="62">
        <f t="shared" si="122"/>
        <v>-76536.039061440344</v>
      </c>
      <c r="F157" s="62">
        <f t="shared" si="122"/>
        <v>-76650.248164929391</v>
      </c>
      <c r="G157" s="62">
        <f t="shared" si="122"/>
        <v>-76813.249237219032</v>
      </c>
      <c r="H157" s="62">
        <f t="shared" si="122"/>
        <v>-77045.402752699738</v>
      </c>
      <c r="I157" s="62">
        <f t="shared" si="122"/>
        <v>-77375.027465060732</v>
      </c>
      <c r="J157" s="62">
        <f t="shared" si="122"/>
        <v>-77840.920321070545</v>
      </c>
      <c r="K157" s="62">
        <f t="shared" si="122"/>
        <v>-78495.025485504913</v>
      </c>
      <c r="L157" s="62">
        <f t="shared" si="122"/>
        <v>-79404.46911159619</v>
      </c>
      <c r="M157" s="62">
        <f t="shared" si="122"/>
        <v>-80651.282300613602</v>
      </c>
      <c r="N157" s="62">
        <f t="shared" si="122"/>
        <v>-82326.865623553065</v>
      </c>
      <c r="O157" s="62">
        <f t="shared" si="122"/>
        <v>-84517.176725526937</v>
      </c>
      <c r="P157" s="62">
        <f t="shared" si="122"/>
        <v>-87275.503347835998</v>
      </c>
      <c r="Q157" s="62">
        <f t="shared" si="122"/>
        <v>-90585.416116828768</v>
      </c>
      <c r="R157" s="62">
        <f t="shared" si="122"/>
        <v>-94328.178273089521</v>
      </c>
      <c r="S157" s="62">
        <f t="shared" si="122"/>
        <v>-98279.396925287292</v>
      </c>
      <c r="T157" s="62">
        <f t="shared" si="122"/>
        <v>-102152.86298495698</v>
      </c>
      <c r="U157" s="62">
        <f t="shared" si="122"/>
        <v>-105678.95886877397</v>
      </c>
      <c r="V157" s="62">
        <f t="shared" si="122"/>
        <v>-108675.63824430856</v>
      </c>
      <c r="W157" s="62">
        <f t="shared" si="122"/>
        <v>-111075.44174924218</v>
      </c>
      <c r="X157" s="62">
        <f t="shared" si="122"/>
        <v>-112906.59833438687</v>
      </c>
      <c r="Y157" s="62">
        <f t="shared" si="122"/>
        <v>-114252.64528343864</v>
      </c>
      <c r="Z157" s="62">
        <f t="shared" si="122"/>
        <v>-115215.04937920124</v>
      </c>
      <c r="AA157" s="62">
        <f t="shared" si="122"/>
        <v>-115889.55252283029</v>
      </c>
      <c r="AB157" s="62">
        <f t="shared" si="122"/>
        <v>-116355.67565328123</v>
      </c>
      <c r="AC157" s="62">
        <f t="shared" si="122"/>
        <v>-116674.66693925532</v>
      </c>
    </row>
    <row r="158" spans="1:29" x14ac:dyDescent="0.25">
      <c r="A158" s="30" t="str">
        <f>A139</f>
        <v>Capex costumization</v>
      </c>
      <c r="B158" s="62">
        <f>((1+B141)^B149)*B141/(((1+B141)^B149)-1)*(B139)</f>
        <v>391133.59106136975</v>
      </c>
      <c r="C158" s="62">
        <f t="shared" ref="C158:AC158" si="123">((1+C141)^C149)*C141/(((1+C141)^C149)-1)*(C139)</f>
        <v>391133.59106136975</v>
      </c>
      <c r="D158" s="62">
        <f t="shared" si="123"/>
        <v>391133.59106136975</v>
      </c>
      <c r="E158" s="62">
        <f t="shared" si="123"/>
        <v>391133.59106136975</v>
      </c>
      <c r="F158" s="62">
        <f t="shared" si="123"/>
        <v>391133.59106136975</v>
      </c>
      <c r="G158" s="62">
        <f t="shared" si="123"/>
        <v>391133.59106136975</v>
      </c>
      <c r="H158" s="62">
        <f t="shared" si="123"/>
        <v>391133.59106136975</v>
      </c>
      <c r="I158" s="62">
        <f t="shared" si="123"/>
        <v>391133.59106136975</v>
      </c>
      <c r="J158" s="62">
        <f t="shared" si="123"/>
        <v>391133.59106136975</v>
      </c>
      <c r="K158" s="62">
        <f t="shared" si="123"/>
        <v>391133.59106136975</v>
      </c>
      <c r="L158" s="62">
        <f t="shared" si="123"/>
        <v>391133.59106136975</v>
      </c>
      <c r="M158" s="62">
        <f t="shared" si="123"/>
        <v>391133.59106136975</v>
      </c>
      <c r="N158" s="62">
        <f t="shared" si="123"/>
        <v>391133.59106136975</v>
      </c>
      <c r="O158" s="62">
        <f t="shared" si="123"/>
        <v>391133.59106136975</v>
      </c>
      <c r="P158" s="62">
        <f t="shared" si="123"/>
        <v>391133.59106136975</v>
      </c>
      <c r="Q158" s="62">
        <f t="shared" si="123"/>
        <v>391133.59106136975</v>
      </c>
      <c r="R158" s="62">
        <f t="shared" si="123"/>
        <v>391133.59106136975</v>
      </c>
      <c r="S158" s="62">
        <f t="shared" si="123"/>
        <v>391133.59106136975</v>
      </c>
      <c r="T158" s="62">
        <f t="shared" si="123"/>
        <v>391133.59106136975</v>
      </c>
      <c r="U158" s="62">
        <f t="shared" si="123"/>
        <v>391133.59106136975</v>
      </c>
      <c r="V158" s="62">
        <f t="shared" si="123"/>
        <v>391133.59106136975</v>
      </c>
      <c r="W158" s="62">
        <f t="shared" si="123"/>
        <v>391133.59106136975</v>
      </c>
      <c r="X158" s="62">
        <f t="shared" si="123"/>
        <v>391133.59106136975</v>
      </c>
      <c r="Y158" s="62">
        <f t="shared" si="123"/>
        <v>391133.59106136975</v>
      </c>
      <c r="Z158" s="62">
        <f t="shared" si="123"/>
        <v>391133.59106136975</v>
      </c>
      <c r="AA158" s="62">
        <f t="shared" si="123"/>
        <v>391133.59106136975</v>
      </c>
      <c r="AB158" s="62">
        <f t="shared" si="123"/>
        <v>391133.59106136975</v>
      </c>
      <c r="AC158" s="62">
        <f t="shared" si="123"/>
        <v>391133.59106136975</v>
      </c>
    </row>
    <row r="159" spans="1:29" x14ac:dyDescent="0.25">
      <c r="A159" s="30" t="str">
        <f>A140</f>
        <v>Residual value (costumization)</v>
      </c>
      <c r="B159" s="62">
        <f>((1+B141)^B149)*B141/(((1+B141)^B149)-1)*(B140)</f>
        <v>-39113.359106136973</v>
      </c>
      <c r="C159" s="62">
        <f t="shared" ref="C159:AC159" si="124">((1+C141)^C149)*C141/(((1+C141)^C149)-1)*(C140)</f>
        <v>-39113.359106136973</v>
      </c>
      <c r="D159" s="62">
        <f t="shared" si="124"/>
        <v>-39113.359106136973</v>
      </c>
      <c r="E159" s="62">
        <f t="shared" si="124"/>
        <v>-39113.359106136973</v>
      </c>
      <c r="F159" s="62">
        <f t="shared" si="124"/>
        <v>-39113.359106136973</v>
      </c>
      <c r="G159" s="62">
        <f t="shared" si="124"/>
        <v>-39113.359106136973</v>
      </c>
      <c r="H159" s="62">
        <f t="shared" si="124"/>
        <v>-39113.359106136973</v>
      </c>
      <c r="I159" s="62">
        <f t="shared" si="124"/>
        <v>-39113.359106136973</v>
      </c>
      <c r="J159" s="62">
        <f t="shared" si="124"/>
        <v>-39113.359106136973</v>
      </c>
      <c r="K159" s="62">
        <f t="shared" si="124"/>
        <v>-39113.359106136973</v>
      </c>
      <c r="L159" s="62">
        <f t="shared" si="124"/>
        <v>-39113.359106136973</v>
      </c>
      <c r="M159" s="62">
        <f t="shared" si="124"/>
        <v>-39113.359106136973</v>
      </c>
      <c r="N159" s="62">
        <f t="shared" si="124"/>
        <v>-39113.359106136973</v>
      </c>
      <c r="O159" s="62">
        <f t="shared" si="124"/>
        <v>-39113.359106136973</v>
      </c>
      <c r="P159" s="62">
        <f t="shared" si="124"/>
        <v>-39113.359106136973</v>
      </c>
      <c r="Q159" s="62">
        <f t="shared" si="124"/>
        <v>-39113.359106136973</v>
      </c>
      <c r="R159" s="62">
        <f t="shared" si="124"/>
        <v>-39113.359106136973</v>
      </c>
      <c r="S159" s="62">
        <f t="shared" si="124"/>
        <v>-39113.359106136973</v>
      </c>
      <c r="T159" s="62">
        <f t="shared" si="124"/>
        <v>-39113.359106136973</v>
      </c>
      <c r="U159" s="62">
        <f t="shared" si="124"/>
        <v>-39113.359106136973</v>
      </c>
      <c r="V159" s="62">
        <f t="shared" si="124"/>
        <v>-39113.359106136973</v>
      </c>
      <c r="W159" s="62">
        <f t="shared" si="124"/>
        <v>-39113.359106136973</v>
      </c>
      <c r="X159" s="62">
        <f t="shared" si="124"/>
        <v>-39113.359106136973</v>
      </c>
      <c r="Y159" s="62">
        <f t="shared" si="124"/>
        <v>-39113.359106136973</v>
      </c>
      <c r="Z159" s="62">
        <f t="shared" si="124"/>
        <v>-39113.359106136973</v>
      </c>
      <c r="AA159" s="62">
        <f t="shared" si="124"/>
        <v>-39113.359106136973</v>
      </c>
      <c r="AB159" s="62">
        <f t="shared" si="124"/>
        <v>-39113.359106136973</v>
      </c>
      <c r="AC159" s="62">
        <f t="shared" si="124"/>
        <v>-39113.359106136973</v>
      </c>
    </row>
    <row r="160" spans="1:29" x14ac:dyDescent="0.25">
      <c r="A160" s="30" t="str">
        <f t="shared" ref="A160:AC160" si="125">A142</f>
        <v>Opex fix (admin, crew, insurance)</v>
      </c>
      <c r="B160" s="62">
        <f t="shared" si="125"/>
        <v>1208235.294117647</v>
      </c>
      <c r="C160" s="62">
        <f t="shared" si="125"/>
        <v>1208235.294117647</v>
      </c>
      <c r="D160" s="62">
        <f t="shared" si="125"/>
        <v>1208235.294117647</v>
      </c>
      <c r="E160" s="62">
        <f t="shared" si="125"/>
        <v>1208235.294117647</v>
      </c>
      <c r="F160" s="62">
        <f t="shared" si="125"/>
        <v>1208235.294117647</v>
      </c>
      <c r="G160" s="62">
        <f t="shared" si="125"/>
        <v>1208235.294117647</v>
      </c>
      <c r="H160" s="62">
        <f t="shared" si="125"/>
        <v>1208235.294117647</v>
      </c>
      <c r="I160" s="62">
        <f t="shared" si="125"/>
        <v>1208235.294117647</v>
      </c>
      <c r="J160" s="62">
        <f t="shared" si="125"/>
        <v>1208235.294117647</v>
      </c>
      <c r="K160" s="62">
        <f t="shared" si="125"/>
        <v>1208235.294117647</v>
      </c>
      <c r="L160" s="62">
        <f t="shared" si="125"/>
        <v>1208235.294117647</v>
      </c>
      <c r="M160" s="62">
        <f t="shared" si="125"/>
        <v>1208235.294117647</v>
      </c>
      <c r="N160" s="62">
        <f t="shared" si="125"/>
        <v>1208235.294117647</v>
      </c>
      <c r="O160" s="62">
        <f t="shared" si="125"/>
        <v>1208235.294117647</v>
      </c>
      <c r="P160" s="62">
        <f t="shared" si="125"/>
        <v>1208235.294117647</v>
      </c>
      <c r="Q160" s="62">
        <f t="shared" si="125"/>
        <v>1208235.294117647</v>
      </c>
      <c r="R160" s="62">
        <f t="shared" si="125"/>
        <v>1208235.294117647</v>
      </c>
      <c r="S160" s="62">
        <f t="shared" si="125"/>
        <v>1208235.294117647</v>
      </c>
      <c r="T160" s="62">
        <f t="shared" si="125"/>
        <v>1208235.294117647</v>
      </c>
      <c r="U160" s="62">
        <f t="shared" si="125"/>
        <v>1208235.294117647</v>
      </c>
      <c r="V160" s="62">
        <f t="shared" si="125"/>
        <v>1208235.294117647</v>
      </c>
      <c r="W160" s="62">
        <f t="shared" si="125"/>
        <v>1208235.294117647</v>
      </c>
      <c r="X160" s="62">
        <f t="shared" si="125"/>
        <v>1208235.294117647</v>
      </c>
      <c r="Y160" s="62">
        <f t="shared" si="125"/>
        <v>1208235.294117647</v>
      </c>
      <c r="Z160" s="62">
        <f t="shared" si="125"/>
        <v>1208235.294117647</v>
      </c>
      <c r="AA160" s="62">
        <f t="shared" si="125"/>
        <v>1208235.294117647</v>
      </c>
      <c r="AB160" s="62">
        <f t="shared" si="125"/>
        <v>1208235.294117647</v>
      </c>
      <c r="AC160" s="62">
        <f t="shared" si="125"/>
        <v>1208235.294117647</v>
      </c>
    </row>
    <row r="161" spans="1:29" x14ac:dyDescent="0.25">
      <c r="A161" s="30" t="str">
        <f t="shared" ref="A161:AC161" si="126">A143</f>
        <v>Opex maintenance &amp; repair</v>
      </c>
      <c r="B161" s="62">
        <f t="shared" si="126"/>
        <v>488235.29411764705</v>
      </c>
      <c r="C161" s="62">
        <f t="shared" si="126"/>
        <v>488235.29411764705</v>
      </c>
      <c r="D161" s="62">
        <f t="shared" si="126"/>
        <v>488235.29411764705</v>
      </c>
      <c r="E161" s="62">
        <f t="shared" si="126"/>
        <v>488235.29411764705</v>
      </c>
      <c r="F161" s="62">
        <f t="shared" si="126"/>
        <v>488235.29411764705</v>
      </c>
      <c r="G161" s="62">
        <f t="shared" si="126"/>
        <v>488235.29411764705</v>
      </c>
      <c r="H161" s="62">
        <f t="shared" si="126"/>
        <v>488235.29411764705</v>
      </c>
      <c r="I161" s="62">
        <f t="shared" si="126"/>
        <v>488235.29411764705</v>
      </c>
      <c r="J161" s="62">
        <f t="shared" si="126"/>
        <v>488235.29411764705</v>
      </c>
      <c r="K161" s="62">
        <f t="shared" si="126"/>
        <v>488235.29411764705</v>
      </c>
      <c r="L161" s="62">
        <f t="shared" si="126"/>
        <v>488235.29411764705</v>
      </c>
      <c r="M161" s="62">
        <f t="shared" si="126"/>
        <v>488235.29411764705</v>
      </c>
      <c r="N161" s="62">
        <f t="shared" si="126"/>
        <v>488235.29411764705</v>
      </c>
      <c r="O161" s="62">
        <f t="shared" si="126"/>
        <v>488235.29411764705</v>
      </c>
      <c r="P161" s="62">
        <f t="shared" si="126"/>
        <v>488235.29411764705</v>
      </c>
      <c r="Q161" s="62">
        <f t="shared" si="126"/>
        <v>488235.29411764705</v>
      </c>
      <c r="R161" s="62">
        <f t="shared" si="126"/>
        <v>488235.29411764705</v>
      </c>
      <c r="S161" s="62">
        <f t="shared" si="126"/>
        <v>488235.29411764705</v>
      </c>
      <c r="T161" s="62">
        <f t="shared" si="126"/>
        <v>488235.29411764705</v>
      </c>
      <c r="U161" s="62">
        <f t="shared" si="126"/>
        <v>488235.29411764705</v>
      </c>
      <c r="V161" s="62">
        <f t="shared" si="126"/>
        <v>488235.29411764705</v>
      </c>
      <c r="W161" s="62">
        <f t="shared" si="126"/>
        <v>488235.29411764705</v>
      </c>
      <c r="X161" s="62">
        <f t="shared" si="126"/>
        <v>488235.29411764705</v>
      </c>
      <c r="Y161" s="62">
        <f t="shared" si="126"/>
        <v>488235.29411764705</v>
      </c>
      <c r="Z161" s="62">
        <f t="shared" si="126"/>
        <v>488235.29411764705</v>
      </c>
      <c r="AA161" s="62">
        <f t="shared" si="126"/>
        <v>488235.29411764705</v>
      </c>
      <c r="AB161" s="62">
        <f t="shared" si="126"/>
        <v>488235.29411764705</v>
      </c>
      <c r="AC161" s="62">
        <f t="shared" si="126"/>
        <v>488235.29411764705</v>
      </c>
    </row>
    <row r="162" spans="1:29" x14ac:dyDescent="0.25">
      <c r="A162" s="30" t="str">
        <f>A144</f>
        <v>Opex var (mode-fees)</v>
      </c>
      <c r="B162" s="62">
        <f>B144*B153</f>
        <v>202642.68757160378</v>
      </c>
      <c r="C162" s="62">
        <f t="shared" ref="C162:AC162" si="127">C144*C153</f>
        <v>202642.68757160378</v>
      </c>
      <c r="D162" s="62">
        <f t="shared" si="127"/>
        <v>202642.68757160378</v>
      </c>
      <c r="E162" s="62">
        <f t="shared" si="127"/>
        <v>202642.68757160378</v>
      </c>
      <c r="F162" s="62">
        <f t="shared" si="127"/>
        <v>202642.68757160378</v>
      </c>
      <c r="G162" s="62">
        <f t="shared" si="127"/>
        <v>202642.68757160378</v>
      </c>
      <c r="H162" s="62">
        <f t="shared" si="127"/>
        <v>202642.68757160378</v>
      </c>
      <c r="I162" s="62">
        <f t="shared" si="127"/>
        <v>202642.68757160378</v>
      </c>
      <c r="J162" s="62">
        <f t="shared" si="127"/>
        <v>202642.68757160378</v>
      </c>
      <c r="K162" s="62">
        <f t="shared" si="127"/>
        <v>202642.68757160378</v>
      </c>
      <c r="L162" s="62">
        <f t="shared" si="127"/>
        <v>202642.68757160378</v>
      </c>
      <c r="M162" s="62">
        <f t="shared" si="127"/>
        <v>202642.68757160378</v>
      </c>
      <c r="N162" s="62">
        <f t="shared" si="127"/>
        <v>202642.68757160378</v>
      </c>
      <c r="O162" s="62">
        <f t="shared" si="127"/>
        <v>202642.68757160378</v>
      </c>
      <c r="P162" s="62">
        <f t="shared" si="127"/>
        <v>202642.68757160378</v>
      </c>
      <c r="Q162" s="62">
        <f t="shared" si="127"/>
        <v>202642.68757160378</v>
      </c>
      <c r="R162" s="62">
        <f t="shared" si="127"/>
        <v>202642.68757160378</v>
      </c>
      <c r="S162" s="62">
        <f t="shared" si="127"/>
        <v>202642.68757160378</v>
      </c>
      <c r="T162" s="62">
        <f t="shared" si="127"/>
        <v>202642.68757160378</v>
      </c>
      <c r="U162" s="62">
        <f t="shared" si="127"/>
        <v>202642.68757160378</v>
      </c>
      <c r="V162" s="62">
        <f t="shared" si="127"/>
        <v>202642.68757160378</v>
      </c>
      <c r="W162" s="62">
        <f t="shared" si="127"/>
        <v>202642.68757160378</v>
      </c>
      <c r="X162" s="62">
        <f t="shared" si="127"/>
        <v>202642.68757160378</v>
      </c>
      <c r="Y162" s="62">
        <f t="shared" si="127"/>
        <v>202642.68757160378</v>
      </c>
      <c r="Z162" s="62">
        <f t="shared" si="127"/>
        <v>202642.68757160378</v>
      </c>
      <c r="AA162" s="62">
        <f t="shared" si="127"/>
        <v>202642.68757160378</v>
      </c>
      <c r="AB162" s="62">
        <f t="shared" si="127"/>
        <v>202642.68757160378</v>
      </c>
      <c r="AC162" s="62">
        <f t="shared" si="127"/>
        <v>202642.68757160378</v>
      </c>
    </row>
    <row r="163" spans="1:29" x14ac:dyDescent="0.25">
      <c r="A163" s="30" t="str">
        <f>A146</f>
        <v>Fuel Cost</v>
      </c>
      <c r="B163" s="62">
        <f>B145*B146*B153</f>
        <v>35714150.195401497</v>
      </c>
      <c r="C163" s="62">
        <f t="shared" ref="C163:AC163" si="128">C145*C146*C153</f>
        <v>35688192.759426571</v>
      </c>
      <c r="D163" s="62">
        <f t="shared" si="128"/>
        <v>35651040.91294115</v>
      </c>
      <c r="E163" s="62">
        <f t="shared" si="128"/>
        <v>35597904.139505707</v>
      </c>
      <c r="F163" s="62">
        <f t="shared" si="128"/>
        <v>35521983.578516193</v>
      </c>
      <c r="G163" s="62">
        <f t="shared" si="128"/>
        <v>35413676.658021048</v>
      </c>
      <c r="H163" s="62">
        <f t="shared" si="128"/>
        <v>35259518.741244763</v>
      </c>
      <c r="I163" s="62">
        <f t="shared" si="128"/>
        <v>35040833.829240076</v>
      </c>
      <c r="J163" s="62">
        <f t="shared" si="128"/>
        <v>34732138.474223465</v>
      </c>
      <c r="K163" s="62">
        <f t="shared" si="128"/>
        <v>34299516.053868182</v>
      </c>
      <c r="L163" s="62">
        <f t="shared" si="128"/>
        <v>33699528.372285672</v>
      </c>
      <c r="M163" s="62">
        <f t="shared" si="128"/>
        <v>32879831.174801141</v>
      </c>
      <c r="N163" s="62">
        <f t="shared" si="128"/>
        <v>31783461.473454308</v>
      </c>
      <c r="O163" s="62">
        <f t="shared" si="128"/>
        <v>30359313.220013358</v>
      </c>
      <c r="P163" s="62">
        <f t="shared" si="128"/>
        <v>28580377.783127353</v>
      </c>
      <c r="Q163" s="62">
        <f t="shared" si="128"/>
        <v>26467099.228719633</v>
      </c>
      <c r="R163" s="62">
        <f t="shared" si="128"/>
        <v>24105574.420484088</v>
      </c>
      <c r="S163" s="62">
        <f t="shared" si="128"/>
        <v>21644902.059123844</v>
      </c>
      <c r="T163" s="62">
        <f t="shared" si="128"/>
        <v>19264932.881093476</v>
      </c>
      <c r="U163" s="62">
        <f t="shared" si="128"/>
        <v>17126188.084502421</v>
      </c>
      <c r="V163" s="62">
        <f t="shared" si="128"/>
        <v>15329378.731018521</v>
      </c>
      <c r="W163" s="62">
        <f t="shared" si="128"/>
        <v>13904249.809459379</v>
      </c>
      <c r="X163" s="62">
        <f t="shared" si="128"/>
        <v>12825065.109094124</v>
      </c>
      <c r="Y163" s="62">
        <f t="shared" si="128"/>
        <v>12036332.881021881</v>
      </c>
      <c r="Z163" s="62">
        <f t="shared" si="128"/>
        <v>11474767.041992439</v>
      </c>
      <c r="AA163" s="62">
        <f t="shared" si="128"/>
        <v>11082368.296972759</v>
      </c>
      <c r="AB163" s="62">
        <f t="shared" si="128"/>
        <v>10811762.929783393</v>
      </c>
      <c r="AC163" s="62">
        <f t="shared" si="128"/>
        <v>10626840.940920185</v>
      </c>
    </row>
    <row r="164" spans="1:29" ht="15.75" thickBot="1" x14ac:dyDescent="0.3">
      <c r="A164" s="59" t="str">
        <f>A127</f>
        <v>Emission Cost</v>
      </c>
      <c r="B164" s="62">
        <f>B147*B153</f>
        <v>378739.69366716623</v>
      </c>
      <c r="C164" s="62">
        <f t="shared" ref="C164:AC164" si="129">C147*C153</f>
        <v>378379.04119822913</v>
      </c>
      <c r="D164" s="62">
        <f t="shared" si="129"/>
        <v>377862.77522183186</v>
      </c>
      <c r="E164" s="62">
        <f t="shared" si="129"/>
        <v>377124.22043714899</v>
      </c>
      <c r="F164" s="62">
        <f t="shared" si="129"/>
        <v>376068.66267963283</v>
      </c>
      <c r="G164" s="62">
        <f t="shared" si="129"/>
        <v>374562.15364416625</v>
      </c>
      <c r="H164" s="62">
        <f t="shared" si="129"/>
        <v>372416.51519053977</v>
      </c>
      <c r="I164" s="62">
        <f t="shared" si="129"/>
        <v>369370.01616749936</v>
      </c>
      <c r="J164" s="62">
        <f t="shared" si="129"/>
        <v>365064.08254829637</v>
      </c>
      <c r="K164" s="62">
        <f t="shared" si="129"/>
        <v>359018.62943241297</v>
      </c>
      <c r="L164" s="62">
        <f t="shared" si="129"/>
        <v>350613.255033897</v>
      </c>
      <c r="M164" s="62">
        <f t="shared" si="129"/>
        <v>339089.80117921339</v>
      </c>
      <c r="N164" s="62">
        <f t="shared" si="129"/>
        <v>323603.51400191215</v>
      </c>
      <c r="O164" s="62">
        <f t="shared" si="129"/>
        <v>303359.94493051956</v>
      </c>
      <c r="P164" s="62">
        <f t="shared" si="129"/>
        <v>277866.59129237483</v>
      </c>
      <c r="Q164" s="62">
        <f t="shared" si="129"/>
        <v>247275.2987134319</v>
      </c>
      <c r="R164" s="62">
        <f t="shared" si="129"/>
        <v>212683.47102293672</v>
      </c>
      <c r="S164" s="62">
        <f t="shared" si="129"/>
        <v>176165.0204567787</v>
      </c>
      <c r="T164" s="62">
        <f t="shared" si="129"/>
        <v>140365.18469191671</v>
      </c>
      <c r="U164" s="62">
        <f t="shared" si="129"/>
        <v>107775.85730729303</v>
      </c>
      <c r="V164" s="62">
        <f t="shared" si="129"/>
        <v>80079.569839826625</v>
      </c>
      <c r="W164" s="62">
        <f t="shared" si="129"/>
        <v>57899.803702443598</v>
      </c>
      <c r="X164" s="62">
        <f t="shared" si="129"/>
        <v>40975.65773135038</v>
      </c>
      <c r="Y164" s="62">
        <f t="shared" si="129"/>
        <v>28535.053124127946</v>
      </c>
      <c r="Z164" s="62">
        <f t="shared" si="129"/>
        <v>19640.20080401509</v>
      </c>
      <c r="AA164" s="62">
        <f t="shared" si="129"/>
        <v>13406.222916297957</v>
      </c>
      <c r="AB164" s="62">
        <f t="shared" si="129"/>
        <v>9098.161025659123</v>
      </c>
      <c r="AC164" s="62">
        <f t="shared" si="129"/>
        <v>6149.9395949364907</v>
      </c>
    </row>
    <row r="165" spans="1:29" ht="15.75" thickBot="1" x14ac:dyDescent="0.3">
      <c r="A165" s="31" t="s">
        <v>209</v>
      </c>
      <c r="B165" s="64">
        <f>B156+B157+B158+B159+B160+B161+B162+B163+B164</f>
        <v>39792310.027633518</v>
      </c>
      <c r="C165" s="64">
        <f t="shared" ref="C165:AC165" si="130">C156+C157+C158+C159+C160+C161+C162+C163+C164</f>
        <v>39765618.444533087</v>
      </c>
      <c r="D165" s="64">
        <f t="shared" si="130"/>
        <v>39727415.682789303</v>
      </c>
      <c r="E165" s="64">
        <f t="shared" si="130"/>
        <v>39672775.501173116</v>
      </c>
      <c r="F165" s="64">
        <f t="shared" si="130"/>
        <v>39594706.238149837</v>
      </c>
      <c r="G165" s="64">
        <f t="shared" si="130"/>
        <v>39483332.655498736</v>
      </c>
      <c r="H165" s="64">
        <f t="shared" si="130"/>
        <v>39324807.059477799</v>
      </c>
      <c r="I165" s="64">
        <f t="shared" si="130"/>
        <v>39099920.669060327</v>
      </c>
      <c r="J165" s="64">
        <f t="shared" si="130"/>
        <v>38782460.120231278</v>
      </c>
      <c r="K165" s="64">
        <f t="shared" si="130"/>
        <v>38337531.52590052</v>
      </c>
      <c r="L165" s="64">
        <f t="shared" si="130"/>
        <v>37720433.795212626</v>
      </c>
      <c r="M165" s="64">
        <f t="shared" si="130"/>
        <v>36877279.360492818</v>
      </c>
      <c r="N165" s="64">
        <f t="shared" si="130"/>
        <v>35749385.645877689</v>
      </c>
      <c r="O165" s="64">
        <f t="shared" si="130"/>
        <v>34284029.417103596</v>
      </c>
      <c r="P165" s="64">
        <f t="shared" si="130"/>
        <v>32453199.500337344</v>
      </c>
      <c r="Q165" s="64">
        <f t="shared" si="130"/>
        <v>30277649.059704609</v>
      </c>
      <c r="R165" s="64">
        <f t="shared" si="130"/>
        <v>27845708.843140073</v>
      </c>
      <c r="S165" s="64">
        <f t="shared" si="130"/>
        <v>25310699.224114064</v>
      </c>
      <c r="T165" s="64">
        <f t="shared" si="130"/>
        <v>22857855.606604852</v>
      </c>
      <c r="U165" s="64">
        <f t="shared" si="130"/>
        <v>20652771.707741212</v>
      </c>
      <c r="V165" s="64">
        <f t="shared" si="130"/>
        <v>18799583.564195443</v>
      </c>
      <c r="W165" s="64">
        <f t="shared" si="130"/>
        <v>17329305.328665979</v>
      </c>
      <c r="X165" s="64">
        <f t="shared" si="130"/>
        <v>16215669.697871819</v>
      </c>
      <c r="Y165" s="64">
        <f t="shared" si="130"/>
        <v>15401613.272965716</v>
      </c>
      <c r="Z165" s="64">
        <f t="shared" si="130"/>
        <v>14821940.999556718</v>
      </c>
      <c r="AA165" s="64">
        <f t="shared" si="130"/>
        <v>14416852.317988873</v>
      </c>
      <c r="AB165" s="64">
        <f t="shared" si="130"/>
        <v>14137477.424660265</v>
      </c>
      <c r="AC165" s="64">
        <f t="shared" si="130"/>
        <v>13946554.012057725</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31">A156</f>
        <v>Capex vehicle</v>
      </c>
      <c r="B168" s="65">
        <f>((1+B141)^B148)*B141/(((1+B141)^B148)-1)*(B137)/B153</f>
        <v>12.705398992482186</v>
      </c>
      <c r="C168" s="65">
        <f t="shared" ref="C168:AC168" si="132">((1+C141)^C148)*C141/(((1+C141)^C148)-1)*(C137)/C153</f>
        <v>12.702611718925683</v>
      </c>
      <c r="D168" s="65">
        <f t="shared" si="132"/>
        <v>12.698621798911065</v>
      </c>
      <c r="E168" s="65">
        <f t="shared" si="132"/>
        <v>12.692913937746427</v>
      </c>
      <c r="F168" s="65">
        <f t="shared" si="132"/>
        <v>12.684756144640067</v>
      </c>
      <c r="G168" s="65">
        <f t="shared" si="132"/>
        <v>12.673113210905095</v>
      </c>
      <c r="H168" s="65">
        <f t="shared" si="132"/>
        <v>12.656530816942187</v>
      </c>
      <c r="I168" s="65">
        <f t="shared" si="132"/>
        <v>12.632986194630686</v>
      </c>
      <c r="J168" s="65">
        <f t="shared" si="132"/>
        <v>12.599708133487129</v>
      </c>
      <c r="K168" s="65">
        <f t="shared" si="132"/>
        <v>12.55298633602753</v>
      </c>
      <c r="L168" s="65">
        <f t="shared" si="132"/>
        <v>12.48802607702101</v>
      </c>
      <c r="M168" s="65">
        <f t="shared" si="132"/>
        <v>12.398967992091194</v>
      </c>
      <c r="N168" s="65">
        <f t="shared" si="132"/>
        <v>12.27928346902409</v>
      </c>
      <c r="O168" s="65">
        <f t="shared" si="132"/>
        <v>12.122832676025958</v>
      </c>
      <c r="P168" s="65">
        <f t="shared" si="132"/>
        <v>11.925809345861026</v>
      </c>
      <c r="Q168" s="65">
        <f t="shared" si="132"/>
        <v>11.689387005218682</v>
      </c>
      <c r="R168" s="65">
        <f t="shared" si="132"/>
        <v>11.422046851200058</v>
      </c>
      <c r="S168" s="65">
        <f t="shared" si="132"/>
        <v>11.139816947471646</v>
      </c>
      <c r="T168" s="65">
        <f t="shared" si="132"/>
        <v>10.863140800352383</v>
      </c>
      <c r="U168" s="65">
        <f t="shared" si="132"/>
        <v>10.611276808651168</v>
      </c>
      <c r="V168" s="65">
        <f t="shared" si="132"/>
        <v>10.397228281827271</v>
      </c>
      <c r="W168" s="65">
        <f t="shared" si="132"/>
        <v>10.225813745760583</v>
      </c>
      <c r="X168" s="65">
        <f t="shared" si="132"/>
        <v>10.095016846821677</v>
      </c>
      <c r="Y168" s="65">
        <f t="shared" si="132"/>
        <v>9.9988706361751216</v>
      </c>
      <c r="Z168" s="65">
        <f t="shared" si="132"/>
        <v>9.930127486477792</v>
      </c>
      <c r="AA168" s="65">
        <f t="shared" si="132"/>
        <v>9.8819486905042879</v>
      </c>
      <c r="AB168" s="65">
        <f t="shared" si="132"/>
        <v>9.8486541811863653</v>
      </c>
      <c r="AC168" s="65">
        <f t="shared" si="132"/>
        <v>9.8258690893310732</v>
      </c>
    </row>
    <row r="169" spans="1:29" x14ac:dyDescent="0.25">
      <c r="A169" s="30" t="str">
        <f t="shared" si="131"/>
        <v>Residual value (vehicle)</v>
      </c>
      <c r="B169" s="66">
        <f>((1+B141)^B148)*B141/(((1+B141)^B148)-1)*(B138)/B153</f>
        <v>-0.63634373579283099</v>
      </c>
      <c r="C169" s="66">
        <f t="shared" ref="C169:AC169" si="133">((1+C141)^C148)*C141/(((1+C141)^C148)-1)*(C138)/C153</f>
        <v>-0.63666891770775647</v>
      </c>
      <c r="D169" s="66">
        <f t="shared" si="133"/>
        <v>-0.63713440837612878</v>
      </c>
      <c r="E169" s="66">
        <f t="shared" si="133"/>
        <v>-0.63780032551200283</v>
      </c>
      <c r="F169" s="66">
        <f t="shared" si="133"/>
        <v>-0.63875206804107831</v>
      </c>
      <c r="G169" s="66">
        <f t="shared" si="133"/>
        <v>-0.64011041031015858</v>
      </c>
      <c r="H169" s="66">
        <f t="shared" si="133"/>
        <v>-0.64204502293916443</v>
      </c>
      <c r="I169" s="66">
        <f t="shared" si="133"/>
        <v>-0.64479189554217275</v>
      </c>
      <c r="J169" s="66">
        <f t="shared" si="133"/>
        <v>-0.64867433600892122</v>
      </c>
      <c r="K169" s="66">
        <f t="shared" si="133"/>
        <v>-0.65412521237920762</v>
      </c>
      <c r="L169" s="66">
        <f t="shared" si="133"/>
        <v>-0.66170390926330158</v>
      </c>
      <c r="M169" s="66">
        <f t="shared" si="133"/>
        <v>-0.67209401917178002</v>
      </c>
      <c r="N169" s="66">
        <f t="shared" si="133"/>
        <v>-0.68605721352960891</v>
      </c>
      <c r="O169" s="66">
        <f t="shared" si="133"/>
        <v>-0.70430980604605786</v>
      </c>
      <c r="P169" s="66">
        <f t="shared" si="133"/>
        <v>-0.72729586123196666</v>
      </c>
      <c r="Q169" s="66">
        <f t="shared" si="133"/>
        <v>-0.75487846764023969</v>
      </c>
      <c r="R169" s="66">
        <f t="shared" si="133"/>
        <v>-0.786068152275746</v>
      </c>
      <c r="S169" s="66">
        <f t="shared" si="133"/>
        <v>-0.8189949743773941</v>
      </c>
      <c r="T169" s="66">
        <f t="shared" si="133"/>
        <v>-0.85127385820797485</v>
      </c>
      <c r="U169" s="66">
        <f t="shared" si="133"/>
        <v>-0.88065799057311644</v>
      </c>
      <c r="V169" s="66">
        <f t="shared" si="133"/>
        <v>-0.90563031870257138</v>
      </c>
      <c r="W169" s="66">
        <f t="shared" si="133"/>
        <v>-0.9256286812436848</v>
      </c>
      <c r="X169" s="66">
        <f t="shared" si="133"/>
        <v>-0.94088831945322393</v>
      </c>
      <c r="Y169" s="66">
        <f t="shared" si="133"/>
        <v>-0.95210537736198875</v>
      </c>
      <c r="Z169" s="66">
        <f t="shared" si="133"/>
        <v>-0.96012541149334374</v>
      </c>
      <c r="AA169" s="66">
        <f t="shared" si="133"/>
        <v>-0.96574627102358568</v>
      </c>
      <c r="AB169" s="66">
        <f t="shared" si="133"/>
        <v>-0.96963063044401021</v>
      </c>
      <c r="AC169" s="66">
        <f t="shared" si="133"/>
        <v>-0.97228889116046091</v>
      </c>
    </row>
    <row r="170" spans="1:29" x14ac:dyDescent="0.25">
      <c r="A170" s="30" t="str">
        <f t="shared" si="131"/>
        <v>Capex costumization</v>
      </c>
      <c r="B170" s="66">
        <f>((1+B141)^B149)*B141/(((1+B141)^B149)-1)*(B139)/B153</f>
        <v>3.2594465921780813</v>
      </c>
      <c r="C170" s="66">
        <f t="shared" ref="C170:AC170" si="134">((1+C141)^C149)*C141/(((1+C141)^C149)-1)*(C139)/C153</f>
        <v>3.2594465921780813</v>
      </c>
      <c r="D170" s="66">
        <f t="shared" si="134"/>
        <v>3.2594465921780813</v>
      </c>
      <c r="E170" s="66">
        <f t="shared" si="134"/>
        <v>3.2594465921780813</v>
      </c>
      <c r="F170" s="66">
        <f t="shared" si="134"/>
        <v>3.2594465921780813</v>
      </c>
      <c r="G170" s="66">
        <f t="shared" si="134"/>
        <v>3.2594465921780813</v>
      </c>
      <c r="H170" s="66">
        <f t="shared" si="134"/>
        <v>3.2594465921780813</v>
      </c>
      <c r="I170" s="66">
        <f t="shared" si="134"/>
        <v>3.2594465921780813</v>
      </c>
      <c r="J170" s="66">
        <f t="shared" si="134"/>
        <v>3.2594465921780813</v>
      </c>
      <c r="K170" s="66">
        <f t="shared" si="134"/>
        <v>3.2594465921780813</v>
      </c>
      <c r="L170" s="66">
        <f t="shared" si="134"/>
        <v>3.2594465921780813</v>
      </c>
      <c r="M170" s="66">
        <f t="shared" si="134"/>
        <v>3.2594465921780813</v>
      </c>
      <c r="N170" s="66">
        <f t="shared" si="134"/>
        <v>3.2594465921780813</v>
      </c>
      <c r="O170" s="66">
        <f t="shared" si="134"/>
        <v>3.2594465921780813</v>
      </c>
      <c r="P170" s="66">
        <f t="shared" si="134"/>
        <v>3.2594465921780813</v>
      </c>
      <c r="Q170" s="66">
        <f t="shared" si="134"/>
        <v>3.2594465921780813</v>
      </c>
      <c r="R170" s="66">
        <f t="shared" si="134"/>
        <v>3.2594465921780813</v>
      </c>
      <c r="S170" s="66">
        <f t="shared" si="134"/>
        <v>3.2594465921780813</v>
      </c>
      <c r="T170" s="66">
        <f t="shared" si="134"/>
        <v>3.2594465921780813</v>
      </c>
      <c r="U170" s="66">
        <f t="shared" si="134"/>
        <v>3.2594465921780813</v>
      </c>
      <c r="V170" s="66">
        <f t="shared" si="134"/>
        <v>3.2594465921780813</v>
      </c>
      <c r="W170" s="66">
        <f t="shared" si="134"/>
        <v>3.2594465921780813</v>
      </c>
      <c r="X170" s="66">
        <f t="shared" si="134"/>
        <v>3.2594465921780813</v>
      </c>
      <c r="Y170" s="66">
        <f t="shared" si="134"/>
        <v>3.2594465921780813</v>
      </c>
      <c r="Z170" s="66">
        <f t="shared" si="134"/>
        <v>3.2594465921780813</v>
      </c>
      <c r="AA170" s="66">
        <f t="shared" si="134"/>
        <v>3.2594465921780813</v>
      </c>
      <c r="AB170" s="66">
        <f t="shared" si="134"/>
        <v>3.2594465921780813</v>
      </c>
      <c r="AC170" s="66">
        <f t="shared" si="134"/>
        <v>3.2594465921780813</v>
      </c>
    </row>
    <row r="171" spans="1:29" x14ac:dyDescent="0.25">
      <c r="A171" s="30" t="str">
        <f t="shared" si="131"/>
        <v>Residual value (costumization)</v>
      </c>
      <c r="B171" s="66">
        <f>((1+B141)^B149)*B141/(((1+B141)^B149)-1)*(B140)/B153</f>
        <v>-0.32594465921780813</v>
      </c>
      <c r="C171" s="66">
        <f t="shared" ref="C171:AC171" si="135">((1+C141)^C149)*C141/(((1+C141)^C149)-1)*(C140)/C153</f>
        <v>-0.32594465921780813</v>
      </c>
      <c r="D171" s="66">
        <f t="shared" si="135"/>
        <v>-0.32594465921780813</v>
      </c>
      <c r="E171" s="66">
        <f t="shared" si="135"/>
        <v>-0.32594465921780813</v>
      </c>
      <c r="F171" s="66">
        <f t="shared" si="135"/>
        <v>-0.32594465921780813</v>
      </c>
      <c r="G171" s="66">
        <f t="shared" si="135"/>
        <v>-0.32594465921780813</v>
      </c>
      <c r="H171" s="66">
        <f t="shared" si="135"/>
        <v>-0.32594465921780813</v>
      </c>
      <c r="I171" s="66">
        <f t="shared" si="135"/>
        <v>-0.32594465921780813</v>
      </c>
      <c r="J171" s="66">
        <f t="shared" si="135"/>
        <v>-0.32594465921780813</v>
      </c>
      <c r="K171" s="66">
        <f t="shared" si="135"/>
        <v>-0.32594465921780813</v>
      </c>
      <c r="L171" s="66">
        <f t="shared" si="135"/>
        <v>-0.32594465921780813</v>
      </c>
      <c r="M171" s="66">
        <f t="shared" si="135"/>
        <v>-0.32594465921780813</v>
      </c>
      <c r="N171" s="66">
        <f t="shared" si="135"/>
        <v>-0.32594465921780813</v>
      </c>
      <c r="O171" s="66">
        <f t="shared" si="135"/>
        <v>-0.32594465921780813</v>
      </c>
      <c r="P171" s="66">
        <f t="shared" si="135"/>
        <v>-0.32594465921780813</v>
      </c>
      <c r="Q171" s="66">
        <f t="shared" si="135"/>
        <v>-0.32594465921780813</v>
      </c>
      <c r="R171" s="66">
        <f t="shared" si="135"/>
        <v>-0.32594465921780813</v>
      </c>
      <c r="S171" s="66">
        <f t="shared" si="135"/>
        <v>-0.32594465921780813</v>
      </c>
      <c r="T171" s="66">
        <f t="shared" si="135"/>
        <v>-0.32594465921780813</v>
      </c>
      <c r="U171" s="66">
        <f t="shared" si="135"/>
        <v>-0.32594465921780813</v>
      </c>
      <c r="V171" s="66">
        <f t="shared" si="135"/>
        <v>-0.32594465921780813</v>
      </c>
      <c r="W171" s="66">
        <f t="shared" si="135"/>
        <v>-0.32594465921780813</v>
      </c>
      <c r="X171" s="66">
        <f t="shared" si="135"/>
        <v>-0.32594465921780813</v>
      </c>
      <c r="Y171" s="66">
        <f t="shared" si="135"/>
        <v>-0.32594465921780813</v>
      </c>
      <c r="Z171" s="66">
        <f t="shared" si="135"/>
        <v>-0.32594465921780813</v>
      </c>
      <c r="AA171" s="66">
        <f t="shared" si="135"/>
        <v>-0.32594465921780813</v>
      </c>
      <c r="AB171" s="66">
        <f t="shared" si="135"/>
        <v>-0.32594465921780813</v>
      </c>
      <c r="AC171" s="66">
        <f t="shared" si="135"/>
        <v>-0.32594465921780813</v>
      </c>
    </row>
    <row r="172" spans="1:29" x14ac:dyDescent="0.25">
      <c r="A172" s="30" t="str">
        <f t="shared" si="131"/>
        <v>Opex fix (admin, crew, insurance)</v>
      </c>
      <c r="B172" s="66">
        <f>B142/B153</f>
        <v>10.068627450980392</v>
      </c>
      <c r="C172" s="66">
        <f t="shared" ref="C172:AC172" si="136">C142/C153</f>
        <v>10.068627450980392</v>
      </c>
      <c r="D172" s="66">
        <f t="shared" si="136"/>
        <v>10.068627450980392</v>
      </c>
      <c r="E172" s="66">
        <f t="shared" si="136"/>
        <v>10.068627450980392</v>
      </c>
      <c r="F172" s="66">
        <f t="shared" si="136"/>
        <v>10.068627450980392</v>
      </c>
      <c r="G172" s="66">
        <f t="shared" si="136"/>
        <v>10.068627450980392</v>
      </c>
      <c r="H172" s="66">
        <f t="shared" si="136"/>
        <v>10.068627450980392</v>
      </c>
      <c r="I172" s="66">
        <f t="shared" si="136"/>
        <v>10.068627450980392</v>
      </c>
      <c r="J172" s="66">
        <f t="shared" si="136"/>
        <v>10.068627450980392</v>
      </c>
      <c r="K172" s="66">
        <f t="shared" si="136"/>
        <v>10.068627450980392</v>
      </c>
      <c r="L172" s="66">
        <f t="shared" si="136"/>
        <v>10.068627450980392</v>
      </c>
      <c r="M172" s="66">
        <f t="shared" si="136"/>
        <v>10.068627450980392</v>
      </c>
      <c r="N172" s="66">
        <f t="shared" si="136"/>
        <v>10.068627450980392</v>
      </c>
      <c r="O172" s="66">
        <f t="shared" si="136"/>
        <v>10.068627450980392</v>
      </c>
      <c r="P172" s="66">
        <f t="shared" si="136"/>
        <v>10.068627450980392</v>
      </c>
      <c r="Q172" s="66">
        <f t="shared" si="136"/>
        <v>10.068627450980392</v>
      </c>
      <c r="R172" s="66">
        <f t="shared" si="136"/>
        <v>10.068627450980392</v>
      </c>
      <c r="S172" s="66">
        <f t="shared" si="136"/>
        <v>10.068627450980392</v>
      </c>
      <c r="T172" s="66">
        <f t="shared" si="136"/>
        <v>10.068627450980392</v>
      </c>
      <c r="U172" s="66">
        <f t="shared" si="136"/>
        <v>10.068627450980392</v>
      </c>
      <c r="V172" s="66">
        <f t="shared" si="136"/>
        <v>10.068627450980392</v>
      </c>
      <c r="W172" s="66">
        <f t="shared" si="136"/>
        <v>10.068627450980392</v>
      </c>
      <c r="X172" s="66">
        <f t="shared" si="136"/>
        <v>10.068627450980392</v>
      </c>
      <c r="Y172" s="66">
        <f t="shared" si="136"/>
        <v>10.068627450980392</v>
      </c>
      <c r="Z172" s="66">
        <f t="shared" si="136"/>
        <v>10.068627450980392</v>
      </c>
      <c r="AA172" s="66">
        <f t="shared" si="136"/>
        <v>10.068627450980392</v>
      </c>
      <c r="AB172" s="66">
        <f t="shared" si="136"/>
        <v>10.068627450980392</v>
      </c>
      <c r="AC172" s="66">
        <f t="shared" si="136"/>
        <v>10.068627450980392</v>
      </c>
    </row>
    <row r="173" spans="1:29" x14ac:dyDescent="0.25">
      <c r="A173" s="30" t="str">
        <f t="shared" si="131"/>
        <v>Opex maintenance &amp; repair</v>
      </c>
      <c r="B173" s="66">
        <f>B143/B153</f>
        <v>4.0686274509803919</v>
      </c>
      <c r="C173" s="66">
        <f t="shared" ref="C173:AC173" si="137">C143/C153</f>
        <v>4.0686274509803919</v>
      </c>
      <c r="D173" s="66">
        <f t="shared" si="137"/>
        <v>4.0686274509803919</v>
      </c>
      <c r="E173" s="66">
        <f t="shared" si="137"/>
        <v>4.0686274509803919</v>
      </c>
      <c r="F173" s="66">
        <f t="shared" si="137"/>
        <v>4.0686274509803919</v>
      </c>
      <c r="G173" s="66">
        <f t="shared" si="137"/>
        <v>4.0686274509803919</v>
      </c>
      <c r="H173" s="66">
        <f t="shared" si="137"/>
        <v>4.0686274509803919</v>
      </c>
      <c r="I173" s="66">
        <f t="shared" si="137"/>
        <v>4.0686274509803919</v>
      </c>
      <c r="J173" s="66">
        <f t="shared" si="137"/>
        <v>4.0686274509803919</v>
      </c>
      <c r="K173" s="66">
        <f t="shared" si="137"/>
        <v>4.0686274509803919</v>
      </c>
      <c r="L173" s="66">
        <f t="shared" si="137"/>
        <v>4.0686274509803919</v>
      </c>
      <c r="M173" s="66">
        <f t="shared" si="137"/>
        <v>4.0686274509803919</v>
      </c>
      <c r="N173" s="66">
        <f t="shared" si="137"/>
        <v>4.0686274509803919</v>
      </c>
      <c r="O173" s="66">
        <f t="shared" si="137"/>
        <v>4.0686274509803919</v>
      </c>
      <c r="P173" s="66">
        <f t="shared" si="137"/>
        <v>4.0686274509803919</v>
      </c>
      <c r="Q173" s="66">
        <f t="shared" si="137"/>
        <v>4.0686274509803919</v>
      </c>
      <c r="R173" s="66">
        <f t="shared" si="137"/>
        <v>4.0686274509803919</v>
      </c>
      <c r="S173" s="66">
        <f t="shared" si="137"/>
        <v>4.0686274509803919</v>
      </c>
      <c r="T173" s="66">
        <f t="shared" si="137"/>
        <v>4.0686274509803919</v>
      </c>
      <c r="U173" s="66">
        <f t="shared" si="137"/>
        <v>4.0686274509803919</v>
      </c>
      <c r="V173" s="66">
        <f t="shared" si="137"/>
        <v>4.0686274509803919</v>
      </c>
      <c r="W173" s="66">
        <f t="shared" si="137"/>
        <v>4.0686274509803919</v>
      </c>
      <c r="X173" s="66">
        <f t="shared" si="137"/>
        <v>4.0686274509803919</v>
      </c>
      <c r="Y173" s="66">
        <f t="shared" si="137"/>
        <v>4.0686274509803919</v>
      </c>
      <c r="Z173" s="66">
        <f t="shared" si="137"/>
        <v>4.0686274509803919</v>
      </c>
      <c r="AA173" s="66">
        <f t="shared" si="137"/>
        <v>4.0686274509803919</v>
      </c>
      <c r="AB173" s="66">
        <f t="shared" si="137"/>
        <v>4.0686274509803919</v>
      </c>
      <c r="AC173" s="66">
        <f t="shared" si="137"/>
        <v>4.0686274509803919</v>
      </c>
    </row>
    <row r="174" spans="1:29" x14ac:dyDescent="0.25">
      <c r="A174" s="30" t="str">
        <f t="shared" si="131"/>
        <v>Opex var (mode-fees)</v>
      </c>
      <c r="B174" s="66">
        <f>B144*B153/B153</f>
        <v>1.6886890630966982</v>
      </c>
      <c r="C174" s="66">
        <f t="shared" ref="C174:AC174" si="138">C144*C153/C153</f>
        <v>1.6886890630966982</v>
      </c>
      <c r="D174" s="66">
        <f t="shared" si="138"/>
        <v>1.6886890630966982</v>
      </c>
      <c r="E174" s="66">
        <f t="shared" si="138"/>
        <v>1.6886890630966982</v>
      </c>
      <c r="F174" s="66">
        <f t="shared" si="138"/>
        <v>1.6886890630966982</v>
      </c>
      <c r="G174" s="66">
        <f t="shared" si="138"/>
        <v>1.6886890630966982</v>
      </c>
      <c r="H174" s="66">
        <f t="shared" si="138"/>
        <v>1.6886890630966982</v>
      </c>
      <c r="I174" s="66">
        <f t="shared" si="138"/>
        <v>1.6886890630966982</v>
      </c>
      <c r="J174" s="66">
        <f t="shared" si="138"/>
        <v>1.6886890630966982</v>
      </c>
      <c r="K174" s="66">
        <f t="shared" si="138"/>
        <v>1.6886890630966982</v>
      </c>
      <c r="L174" s="66">
        <f t="shared" si="138"/>
        <v>1.6886890630966982</v>
      </c>
      <c r="M174" s="66">
        <f t="shared" si="138"/>
        <v>1.6886890630966982</v>
      </c>
      <c r="N174" s="66">
        <f t="shared" si="138"/>
        <v>1.6886890630966982</v>
      </c>
      <c r="O174" s="66">
        <f t="shared" si="138"/>
        <v>1.6886890630966982</v>
      </c>
      <c r="P174" s="66">
        <f t="shared" si="138"/>
        <v>1.6886890630966982</v>
      </c>
      <c r="Q174" s="66">
        <f t="shared" si="138"/>
        <v>1.6886890630966982</v>
      </c>
      <c r="R174" s="66">
        <f t="shared" si="138"/>
        <v>1.6886890630966982</v>
      </c>
      <c r="S174" s="66">
        <f t="shared" si="138"/>
        <v>1.6886890630966982</v>
      </c>
      <c r="T174" s="66">
        <f t="shared" si="138"/>
        <v>1.6886890630966982</v>
      </c>
      <c r="U174" s="66">
        <f t="shared" si="138"/>
        <v>1.6886890630966982</v>
      </c>
      <c r="V174" s="66">
        <f t="shared" si="138"/>
        <v>1.6886890630966982</v>
      </c>
      <c r="W174" s="66">
        <f t="shared" si="138"/>
        <v>1.6886890630966982</v>
      </c>
      <c r="X174" s="66">
        <f t="shared" si="138"/>
        <v>1.6886890630966982</v>
      </c>
      <c r="Y174" s="66">
        <f t="shared" si="138"/>
        <v>1.6886890630966982</v>
      </c>
      <c r="Z174" s="66">
        <f t="shared" si="138"/>
        <v>1.6886890630966982</v>
      </c>
      <c r="AA174" s="66">
        <f t="shared" si="138"/>
        <v>1.6886890630966982</v>
      </c>
      <c r="AB174" s="66">
        <f t="shared" si="138"/>
        <v>1.6886890630966982</v>
      </c>
      <c r="AC174" s="66">
        <f t="shared" si="138"/>
        <v>1.6886890630966982</v>
      </c>
    </row>
    <row r="175" spans="1:29" x14ac:dyDescent="0.25">
      <c r="A175" s="30" t="str">
        <f t="shared" si="131"/>
        <v>Fuel Cost</v>
      </c>
      <c r="B175" s="66">
        <f>B145*B146*B153/B153</f>
        <v>297.61791829501249</v>
      </c>
      <c r="C175" s="66">
        <f t="shared" ref="C175:AC175" si="139">C145*C146*C153/C153</f>
        <v>297.40160632855475</v>
      </c>
      <c r="D175" s="66">
        <f t="shared" si="139"/>
        <v>297.0920076078429</v>
      </c>
      <c r="E175" s="66">
        <f t="shared" si="139"/>
        <v>296.64920116254757</v>
      </c>
      <c r="F175" s="66">
        <f t="shared" si="139"/>
        <v>296.01652982096829</v>
      </c>
      <c r="G175" s="66">
        <f t="shared" si="139"/>
        <v>295.11397215017541</v>
      </c>
      <c r="H175" s="66">
        <f t="shared" si="139"/>
        <v>293.82932284370634</v>
      </c>
      <c r="I175" s="66">
        <f t="shared" si="139"/>
        <v>292.00694857700063</v>
      </c>
      <c r="J175" s="66">
        <f t="shared" si="139"/>
        <v>289.43448728519553</v>
      </c>
      <c r="K175" s="66">
        <f t="shared" si="139"/>
        <v>285.82930044890151</v>
      </c>
      <c r="L175" s="66">
        <f t="shared" si="139"/>
        <v>280.82940310238058</v>
      </c>
      <c r="M175" s="66">
        <f t="shared" si="139"/>
        <v>273.99859312334286</v>
      </c>
      <c r="N175" s="66">
        <f t="shared" si="139"/>
        <v>264.86217894545257</v>
      </c>
      <c r="O175" s="66">
        <f t="shared" si="139"/>
        <v>252.99427683344464</v>
      </c>
      <c r="P175" s="66">
        <f t="shared" si="139"/>
        <v>238.16981485939459</v>
      </c>
      <c r="Q175" s="66">
        <f t="shared" si="139"/>
        <v>220.55916023933028</v>
      </c>
      <c r="R175" s="66">
        <f t="shared" si="139"/>
        <v>200.87978683736739</v>
      </c>
      <c r="S175" s="66">
        <f t="shared" si="139"/>
        <v>180.37418382603204</v>
      </c>
      <c r="T175" s="66">
        <f t="shared" si="139"/>
        <v>160.54110734244563</v>
      </c>
      <c r="U175" s="66">
        <f t="shared" si="139"/>
        <v>142.71823403752018</v>
      </c>
      <c r="V175" s="66">
        <f t="shared" si="139"/>
        <v>127.74482275848767</v>
      </c>
      <c r="W175" s="66">
        <f t="shared" si="139"/>
        <v>115.86874841216149</v>
      </c>
      <c r="X175" s="66">
        <f t="shared" si="139"/>
        <v>106.87554257578437</v>
      </c>
      <c r="Y175" s="66">
        <f t="shared" si="139"/>
        <v>100.30277400851568</v>
      </c>
      <c r="Z175" s="66">
        <f t="shared" si="139"/>
        <v>95.62305868327033</v>
      </c>
      <c r="AA175" s="66">
        <f t="shared" si="139"/>
        <v>92.353069141439661</v>
      </c>
      <c r="AB175" s="66">
        <f t="shared" si="139"/>
        <v>90.098024414861612</v>
      </c>
      <c r="AC175" s="66">
        <f t="shared" si="139"/>
        <v>88.55700784100155</v>
      </c>
    </row>
    <row r="176" spans="1:29" ht="15.75" thickBot="1" x14ac:dyDescent="0.3">
      <c r="A176" s="59" t="str">
        <f t="shared" ref="A176" si="140">A164</f>
        <v>Emission Cost</v>
      </c>
      <c r="B176" s="66">
        <f>B147</f>
        <v>3.1561641138930518</v>
      </c>
      <c r="C176" s="66">
        <f t="shared" ref="C176:AC176" si="141">C147</f>
        <v>3.1531586766519095</v>
      </c>
      <c r="D176" s="66">
        <f t="shared" si="141"/>
        <v>3.148856460181932</v>
      </c>
      <c r="E176" s="66">
        <f t="shared" si="141"/>
        <v>3.1427018369762418</v>
      </c>
      <c r="F176" s="66">
        <f t="shared" si="141"/>
        <v>3.1339055223302736</v>
      </c>
      <c r="G176" s="66">
        <f t="shared" si="141"/>
        <v>3.1213512803680521</v>
      </c>
      <c r="H176" s="66">
        <f t="shared" si="141"/>
        <v>3.103470959921165</v>
      </c>
      <c r="I176" s="66">
        <f t="shared" si="141"/>
        <v>3.0780834680624944</v>
      </c>
      <c r="J176" s="66">
        <f t="shared" si="141"/>
        <v>3.0422006879024699</v>
      </c>
      <c r="K176" s="66">
        <f t="shared" si="141"/>
        <v>2.9918219119367748</v>
      </c>
      <c r="L176" s="66">
        <f t="shared" si="141"/>
        <v>2.9217771252824751</v>
      </c>
      <c r="M176" s="66">
        <f t="shared" si="141"/>
        <v>2.8257483431601118</v>
      </c>
      <c r="N176" s="66">
        <f t="shared" si="141"/>
        <v>2.6966959500159344</v>
      </c>
      <c r="O176" s="66">
        <f t="shared" si="141"/>
        <v>2.527999541087663</v>
      </c>
      <c r="P176" s="66">
        <f t="shared" si="141"/>
        <v>2.3155549274364571</v>
      </c>
      <c r="Q176" s="66">
        <f t="shared" si="141"/>
        <v>2.0606274892785992</v>
      </c>
      <c r="R176" s="66">
        <f t="shared" si="141"/>
        <v>1.7723622585244727</v>
      </c>
      <c r="S176" s="66">
        <f t="shared" si="141"/>
        <v>1.4680418371398225</v>
      </c>
      <c r="T176" s="66">
        <f t="shared" si="141"/>
        <v>1.1697098724326394</v>
      </c>
      <c r="U176" s="66">
        <f t="shared" si="141"/>
        <v>0.89813214422744192</v>
      </c>
      <c r="V176" s="66">
        <f t="shared" si="141"/>
        <v>0.66732974866522188</v>
      </c>
      <c r="W176" s="66">
        <f t="shared" si="141"/>
        <v>0.48249836418702996</v>
      </c>
      <c r="X176" s="66">
        <f t="shared" si="141"/>
        <v>0.34146381442791984</v>
      </c>
      <c r="Y176" s="66">
        <f t="shared" si="141"/>
        <v>0.23779210936773287</v>
      </c>
      <c r="Z176" s="66">
        <f t="shared" si="141"/>
        <v>0.16366834003345909</v>
      </c>
      <c r="AA176" s="66">
        <f t="shared" si="141"/>
        <v>0.11171852430248297</v>
      </c>
      <c r="AB176" s="66">
        <f t="shared" si="141"/>
        <v>7.5818008547159366E-2</v>
      </c>
      <c r="AC176" s="66">
        <f t="shared" si="141"/>
        <v>5.1249496624470758E-2</v>
      </c>
    </row>
    <row r="177" spans="1:29" ht="15.75" thickBot="1" x14ac:dyDescent="0.3">
      <c r="A177" s="31" t="s">
        <v>63</v>
      </c>
      <c r="B177" s="76">
        <f>B168+B169+B170-B171+B172+B173+B174+B175+B176</f>
        <v>332.25447288204828</v>
      </c>
      <c r="C177" s="76">
        <f t="shared" ref="C177:AC177" si="142">C168+C169+C170-C171+C172+C173+C174+C175+C176</f>
        <v>332.03204302287799</v>
      </c>
      <c r="D177" s="76">
        <f t="shared" si="142"/>
        <v>331.71368667501315</v>
      </c>
      <c r="E177" s="76">
        <f t="shared" si="142"/>
        <v>331.25835182821163</v>
      </c>
      <c r="F177" s="76">
        <f t="shared" si="142"/>
        <v>330.60777463635094</v>
      </c>
      <c r="G177" s="76">
        <f t="shared" si="142"/>
        <v>329.6796614475918</v>
      </c>
      <c r="H177" s="76">
        <f t="shared" si="142"/>
        <v>328.35861481408386</v>
      </c>
      <c r="I177" s="76">
        <f t="shared" si="142"/>
        <v>326.48456156060502</v>
      </c>
      <c r="J177" s="76">
        <f t="shared" si="142"/>
        <v>323.83905698702961</v>
      </c>
      <c r="K177" s="76">
        <f t="shared" si="142"/>
        <v>320.13131870093997</v>
      </c>
      <c r="L177" s="76">
        <f t="shared" si="142"/>
        <v>314.98883761187415</v>
      </c>
      <c r="M177" s="76">
        <f t="shared" si="142"/>
        <v>307.96255065587576</v>
      </c>
      <c r="N177" s="76">
        <f t="shared" si="142"/>
        <v>298.56343636741633</v>
      </c>
      <c r="O177" s="76">
        <f t="shared" si="142"/>
        <v>286.35213446096554</v>
      </c>
      <c r="P177" s="76">
        <f t="shared" si="142"/>
        <v>271.09521848791348</v>
      </c>
      <c r="Q177" s="76">
        <f t="shared" si="142"/>
        <v>252.9656314826407</v>
      </c>
      <c r="R177" s="76">
        <f t="shared" si="142"/>
        <v>232.69946301126956</v>
      </c>
      <c r="S177" s="76">
        <f t="shared" si="142"/>
        <v>211.57438285271948</v>
      </c>
      <c r="T177" s="76">
        <f t="shared" si="142"/>
        <v>191.13401937347604</v>
      </c>
      <c r="U177" s="76">
        <f t="shared" si="142"/>
        <v>172.75832021627906</v>
      </c>
      <c r="V177" s="76">
        <f t="shared" si="142"/>
        <v>157.31508568673098</v>
      </c>
      <c r="W177" s="76">
        <f t="shared" si="142"/>
        <v>145.06276705731878</v>
      </c>
      <c r="X177" s="76">
        <f t="shared" si="142"/>
        <v>135.78247013403413</v>
      </c>
      <c r="Y177" s="76">
        <f t="shared" si="142"/>
        <v>128.99866659314995</v>
      </c>
      <c r="Z177" s="76">
        <f t="shared" si="142"/>
        <v>124.1680643147416</v>
      </c>
      <c r="AA177" s="76">
        <f t="shared" si="142"/>
        <v>120.79232530167623</v>
      </c>
      <c r="AB177" s="76">
        <f t="shared" si="142"/>
        <v>118.4642011906045</v>
      </c>
      <c r="AC177" s="76">
        <f t="shared" si="142"/>
        <v>116.87317275225</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43">A156</f>
        <v>Capex vehicle</v>
      </c>
      <c r="B180" s="65">
        <f>((1+B141)^B148)*B141/(((1+B141)^B148)-1)*(B137)/B153/(B150)</f>
        <v>1.3444866658711308E-3</v>
      </c>
      <c r="C180" s="65">
        <f t="shared" ref="C180:AC180" si="144">((1+C141)^C148)*C141/(((1+C141)^C148)-1)*(C137)/C153/(C150)</f>
        <v>1.344191716288432E-3</v>
      </c>
      <c r="D180" s="65">
        <f t="shared" si="144"/>
        <v>1.3437695025302714E-3</v>
      </c>
      <c r="E180" s="65">
        <f t="shared" si="144"/>
        <v>1.343165496057823E-3</v>
      </c>
      <c r="F180" s="65">
        <f t="shared" si="144"/>
        <v>1.3423022375280494E-3</v>
      </c>
      <c r="G180" s="65">
        <f t="shared" si="144"/>
        <v>1.3410701810481582E-3</v>
      </c>
      <c r="H180" s="65">
        <f t="shared" si="144"/>
        <v>1.3393154303642525E-3</v>
      </c>
      <c r="I180" s="65">
        <f t="shared" si="144"/>
        <v>1.3368239359397552E-3</v>
      </c>
      <c r="J180" s="65">
        <f t="shared" si="144"/>
        <v>1.3333024479880559E-3</v>
      </c>
      <c r="K180" s="65">
        <f t="shared" si="144"/>
        <v>1.3283583424367757E-3</v>
      </c>
      <c r="L180" s="65">
        <f t="shared" si="144"/>
        <v>1.3214842409546043E-3</v>
      </c>
      <c r="M180" s="65">
        <f t="shared" si="144"/>
        <v>1.3120601049831952E-3</v>
      </c>
      <c r="N180" s="65">
        <f t="shared" si="144"/>
        <v>1.2993950760872054E-3</v>
      </c>
      <c r="O180" s="65">
        <f t="shared" si="144"/>
        <v>1.2828394366165034E-3</v>
      </c>
      <c r="P180" s="65">
        <f t="shared" si="144"/>
        <v>1.2619904069694208E-3</v>
      </c>
      <c r="Q180" s="65">
        <f t="shared" si="144"/>
        <v>1.2369721698644108E-3</v>
      </c>
      <c r="R180" s="65">
        <f t="shared" si="144"/>
        <v>1.2086822064761966E-3</v>
      </c>
      <c r="S180" s="65">
        <f t="shared" si="144"/>
        <v>1.1788166081980577E-3</v>
      </c>
      <c r="T180" s="65">
        <f t="shared" si="144"/>
        <v>1.1495387090319981E-3</v>
      </c>
      <c r="U180" s="65">
        <f t="shared" si="144"/>
        <v>1.1228864347779014E-3</v>
      </c>
      <c r="V180" s="65">
        <f t="shared" si="144"/>
        <v>1.1002357970187589E-3</v>
      </c>
      <c r="W180" s="65">
        <f t="shared" si="144"/>
        <v>1.0820966926730776E-3</v>
      </c>
      <c r="X180" s="65">
        <f t="shared" si="144"/>
        <v>1.0682557509864208E-3</v>
      </c>
      <c r="Y180" s="65">
        <f t="shared" si="144"/>
        <v>1.0580815488016001E-3</v>
      </c>
      <c r="Z180" s="65">
        <f t="shared" si="144"/>
        <v>1.0508071414262214E-3</v>
      </c>
      <c r="AA180" s="65">
        <f t="shared" si="144"/>
        <v>1.0457088561380199E-3</v>
      </c>
      <c r="AB180" s="65">
        <f t="shared" si="144"/>
        <v>1.0421856276387688E-3</v>
      </c>
      <c r="AC180" s="65">
        <f t="shared" si="144"/>
        <v>1.0397745068075209E-3</v>
      </c>
    </row>
    <row r="181" spans="1:29" x14ac:dyDescent="0.25">
      <c r="A181" s="30" t="str">
        <f t="shared" si="143"/>
        <v>Residual value (vehicle)</v>
      </c>
      <c r="B181" s="68">
        <f>((1+B141)^B148)*B141/(((1+B141)^B148)-1)*(B138)/B153/(B150)</f>
        <v>-6.7337961459558828E-5</v>
      </c>
      <c r="C181" s="68">
        <f t="shared" ref="C181:AC181" si="145">((1+C141)^C148)*C141/(((1+C141)^C148)-1)*(C138)/C153/(C150)</f>
        <v>-6.7372372244207035E-5</v>
      </c>
      <c r="D181" s="68">
        <f t="shared" si="145"/>
        <v>-6.7421630515992462E-5</v>
      </c>
      <c r="E181" s="68">
        <f t="shared" si="145"/>
        <v>-6.7492097937778083E-5</v>
      </c>
      <c r="F181" s="68">
        <f t="shared" si="145"/>
        <v>-6.7592811432918334E-5</v>
      </c>
      <c r="G181" s="68">
        <f t="shared" si="145"/>
        <v>-6.773655135557234E-5</v>
      </c>
      <c r="H181" s="68">
        <f t="shared" si="145"/>
        <v>-6.7941272268694643E-5</v>
      </c>
      <c r="I181" s="68">
        <f t="shared" si="145"/>
        <v>-6.8231946618219335E-5</v>
      </c>
      <c r="J181" s="68">
        <f t="shared" si="145"/>
        <v>-6.8642786879250924E-5</v>
      </c>
      <c r="K181" s="68">
        <f t="shared" si="145"/>
        <v>-6.9219599193566945E-5</v>
      </c>
      <c r="L181" s="68">
        <f t="shared" si="145"/>
        <v>-7.0021577699820272E-5</v>
      </c>
      <c r="M181" s="68">
        <f t="shared" si="145"/>
        <v>-7.1121060229817985E-5</v>
      </c>
      <c r="N181" s="68">
        <f t="shared" si="145"/>
        <v>-7.2598646934350151E-5</v>
      </c>
      <c r="O181" s="68">
        <f t="shared" si="145"/>
        <v>-7.4530138205932043E-5</v>
      </c>
      <c r="P181" s="68">
        <f t="shared" si="145"/>
        <v>-7.6962524998091712E-5</v>
      </c>
      <c r="Q181" s="68">
        <f t="shared" si="145"/>
        <v>-7.9881319327009486E-5</v>
      </c>
      <c r="R181" s="68">
        <f t="shared" si="145"/>
        <v>-8.3181815055634491E-5</v>
      </c>
      <c r="S181" s="68">
        <f t="shared" si="145"/>
        <v>-8.6666134854750698E-5</v>
      </c>
      <c r="T181" s="68">
        <f t="shared" si="145"/>
        <v>-9.008188975745766E-5</v>
      </c>
      <c r="U181" s="68">
        <f t="shared" si="145"/>
        <v>-9.3191321753768942E-5</v>
      </c>
      <c r="V181" s="68">
        <f t="shared" si="145"/>
        <v>-9.583389615900226E-5</v>
      </c>
      <c r="W181" s="68">
        <f t="shared" si="145"/>
        <v>-9.7950124999331722E-5</v>
      </c>
      <c r="X181" s="68">
        <f t="shared" si="145"/>
        <v>-9.9564901529441686E-5</v>
      </c>
      <c r="Y181" s="68">
        <f t="shared" si="145"/>
        <v>-1.0075189178433743E-4</v>
      </c>
      <c r="Z181" s="68">
        <f t="shared" si="145"/>
        <v>-1.0160057264479828E-4</v>
      </c>
      <c r="AA181" s="68">
        <f t="shared" si="145"/>
        <v>-1.0219537259508843E-4</v>
      </c>
      <c r="AB181" s="68">
        <f t="shared" si="145"/>
        <v>-1.0260641592000108E-4</v>
      </c>
      <c r="AC181" s="68">
        <f t="shared" si="145"/>
        <v>-1.0288771335031333E-4</v>
      </c>
    </row>
    <row r="182" spans="1:29" x14ac:dyDescent="0.25">
      <c r="A182" s="30" t="str">
        <f t="shared" si="143"/>
        <v>Capex costumization</v>
      </c>
      <c r="B182" s="66">
        <f>((1+B141)^B149)*B141/(((1+B141)^B149)-1)*(B139)/B153/(B150)</f>
        <v>3.4491498329926784E-4</v>
      </c>
      <c r="C182" s="66">
        <f t="shared" ref="C182:AC182" si="146">((1+C141)^C149)*C141/(((1+C141)^C149)-1)*(C139)/C153/(C150)</f>
        <v>3.4491498329926784E-4</v>
      </c>
      <c r="D182" s="66">
        <f t="shared" si="146"/>
        <v>3.4491498329926784E-4</v>
      </c>
      <c r="E182" s="66">
        <f t="shared" si="146"/>
        <v>3.4491498329926784E-4</v>
      </c>
      <c r="F182" s="66">
        <f t="shared" si="146"/>
        <v>3.4491498329926784E-4</v>
      </c>
      <c r="G182" s="66">
        <f t="shared" si="146"/>
        <v>3.4491498329926784E-4</v>
      </c>
      <c r="H182" s="66">
        <f t="shared" si="146"/>
        <v>3.4491498329926784E-4</v>
      </c>
      <c r="I182" s="66">
        <f t="shared" si="146"/>
        <v>3.4491498329926784E-4</v>
      </c>
      <c r="J182" s="66">
        <f t="shared" si="146"/>
        <v>3.4491498329926784E-4</v>
      </c>
      <c r="K182" s="66">
        <f t="shared" si="146"/>
        <v>3.4491498329926784E-4</v>
      </c>
      <c r="L182" s="66">
        <f t="shared" si="146"/>
        <v>3.4491498329926784E-4</v>
      </c>
      <c r="M182" s="66">
        <f t="shared" si="146"/>
        <v>3.4491498329926784E-4</v>
      </c>
      <c r="N182" s="66">
        <f t="shared" si="146"/>
        <v>3.4491498329926784E-4</v>
      </c>
      <c r="O182" s="66">
        <f t="shared" si="146"/>
        <v>3.4491498329926784E-4</v>
      </c>
      <c r="P182" s="66">
        <f t="shared" si="146"/>
        <v>3.4491498329926784E-4</v>
      </c>
      <c r="Q182" s="66">
        <f t="shared" si="146"/>
        <v>3.4491498329926784E-4</v>
      </c>
      <c r="R182" s="66">
        <f t="shared" si="146"/>
        <v>3.4491498329926784E-4</v>
      </c>
      <c r="S182" s="66">
        <f t="shared" si="146"/>
        <v>3.4491498329926784E-4</v>
      </c>
      <c r="T182" s="66">
        <f t="shared" si="146"/>
        <v>3.4491498329926784E-4</v>
      </c>
      <c r="U182" s="66">
        <f t="shared" si="146"/>
        <v>3.4491498329926784E-4</v>
      </c>
      <c r="V182" s="66">
        <f t="shared" si="146"/>
        <v>3.4491498329926784E-4</v>
      </c>
      <c r="W182" s="66">
        <f t="shared" si="146"/>
        <v>3.4491498329926784E-4</v>
      </c>
      <c r="X182" s="66">
        <f t="shared" si="146"/>
        <v>3.4491498329926784E-4</v>
      </c>
      <c r="Y182" s="66">
        <f t="shared" si="146"/>
        <v>3.4491498329926784E-4</v>
      </c>
      <c r="Z182" s="66">
        <f t="shared" si="146"/>
        <v>3.4491498329926784E-4</v>
      </c>
      <c r="AA182" s="66">
        <f t="shared" si="146"/>
        <v>3.4491498329926784E-4</v>
      </c>
      <c r="AB182" s="66">
        <f t="shared" si="146"/>
        <v>3.4491498329926784E-4</v>
      </c>
      <c r="AC182" s="66">
        <f t="shared" si="146"/>
        <v>3.4491498329926784E-4</v>
      </c>
    </row>
    <row r="183" spans="1:29" x14ac:dyDescent="0.25">
      <c r="A183" s="30" t="str">
        <f t="shared" si="143"/>
        <v>Residual value (costumization)</v>
      </c>
      <c r="B183" s="69">
        <f>((1+B141)^B149)*B141/(((1+B141)^B149)-1)*(B140)/B153/(B150)</f>
        <v>-3.4491498329926788E-5</v>
      </c>
      <c r="C183" s="69">
        <f t="shared" ref="C183:AC183" si="147">((1+C141)^C149)*C141/(((1+C141)^C149)-1)*(C140)/C153/(C150)</f>
        <v>-3.4491498329926788E-5</v>
      </c>
      <c r="D183" s="69">
        <f t="shared" si="147"/>
        <v>-3.4491498329926788E-5</v>
      </c>
      <c r="E183" s="69">
        <f t="shared" si="147"/>
        <v>-3.4491498329926788E-5</v>
      </c>
      <c r="F183" s="69">
        <f t="shared" si="147"/>
        <v>-3.4491498329926788E-5</v>
      </c>
      <c r="G183" s="69">
        <f t="shared" si="147"/>
        <v>-3.4491498329926788E-5</v>
      </c>
      <c r="H183" s="69">
        <f t="shared" si="147"/>
        <v>-3.4491498329926788E-5</v>
      </c>
      <c r="I183" s="69">
        <f t="shared" si="147"/>
        <v>-3.4491498329926788E-5</v>
      </c>
      <c r="J183" s="69">
        <f t="shared" si="147"/>
        <v>-3.4491498329926788E-5</v>
      </c>
      <c r="K183" s="69">
        <f t="shared" si="147"/>
        <v>-3.4491498329926788E-5</v>
      </c>
      <c r="L183" s="69">
        <f t="shared" si="147"/>
        <v>-3.4491498329926788E-5</v>
      </c>
      <c r="M183" s="69">
        <f t="shared" si="147"/>
        <v>-3.4491498329926788E-5</v>
      </c>
      <c r="N183" s="69">
        <f t="shared" si="147"/>
        <v>-3.4491498329926788E-5</v>
      </c>
      <c r="O183" s="69">
        <f t="shared" si="147"/>
        <v>-3.4491498329926788E-5</v>
      </c>
      <c r="P183" s="69">
        <f t="shared" si="147"/>
        <v>-3.4491498329926788E-5</v>
      </c>
      <c r="Q183" s="69">
        <f t="shared" si="147"/>
        <v>-3.4491498329926788E-5</v>
      </c>
      <c r="R183" s="69">
        <f t="shared" si="147"/>
        <v>-3.4491498329926788E-5</v>
      </c>
      <c r="S183" s="69">
        <f t="shared" si="147"/>
        <v>-3.4491498329926788E-5</v>
      </c>
      <c r="T183" s="69">
        <f t="shared" si="147"/>
        <v>-3.4491498329926788E-5</v>
      </c>
      <c r="U183" s="69">
        <f t="shared" si="147"/>
        <v>-3.4491498329926788E-5</v>
      </c>
      <c r="V183" s="69">
        <f t="shared" si="147"/>
        <v>-3.4491498329926788E-5</v>
      </c>
      <c r="W183" s="69">
        <f t="shared" si="147"/>
        <v>-3.4491498329926788E-5</v>
      </c>
      <c r="X183" s="69">
        <f t="shared" si="147"/>
        <v>-3.4491498329926788E-5</v>
      </c>
      <c r="Y183" s="69">
        <f t="shared" si="147"/>
        <v>-3.4491498329926788E-5</v>
      </c>
      <c r="Z183" s="69">
        <f t="shared" si="147"/>
        <v>-3.4491498329926788E-5</v>
      </c>
      <c r="AA183" s="69">
        <f t="shared" si="147"/>
        <v>-3.4491498329926788E-5</v>
      </c>
      <c r="AB183" s="69">
        <f t="shared" si="147"/>
        <v>-3.4491498329926788E-5</v>
      </c>
      <c r="AC183" s="69">
        <f t="shared" si="147"/>
        <v>-3.4491498329926788E-5</v>
      </c>
    </row>
    <row r="184" spans="1:29" x14ac:dyDescent="0.25">
      <c r="A184" s="30" t="str">
        <f t="shared" si="143"/>
        <v>Opex fix (admin, crew, insurance)</v>
      </c>
      <c r="B184" s="66">
        <f>B142/B153/(B150)</f>
        <v>1.0654632223259673E-3</v>
      </c>
      <c r="C184" s="66">
        <f t="shared" ref="C184:AC184" si="148">C142/C153/(C150)</f>
        <v>1.0654632223259673E-3</v>
      </c>
      <c r="D184" s="66">
        <f t="shared" si="148"/>
        <v>1.0654632223259673E-3</v>
      </c>
      <c r="E184" s="66">
        <f t="shared" si="148"/>
        <v>1.0654632223259673E-3</v>
      </c>
      <c r="F184" s="66">
        <f t="shared" si="148"/>
        <v>1.0654632223259673E-3</v>
      </c>
      <c r="G184" s="66">
        <f t="shared" si="148"/>
        <v>1.0654632223259673E-3</v>
      </c>
      <c r="H184" s="66">
        <f t="shared" si="148"/>
        <v>1.0654632223259673E-3</v>
      </c>
      <c r="I184" s="66">
        <f t="shared" si="148"/>
        <v>1.0654632223259673E-3</v>
      </c>
      <c r="J184" s="66">
        <f t="shared" si="148"/>
        <v>1.0654632223259673E-3</v>
      </c>
      <c r="K184" s="66">
        <f t="shared" si="148"/>
        <v>1.0654632223259673E-3</v>
      </c>
      <c r="L184" s="66">
        <f t="shared" si="148"/>
        <v>1.0654632223259673E-3</v>
      </c>
      <c r="M184" s="66">
        <f t="shared" si="148"/>
        <v>1.0654632223259673E-3</v>
      </c>
      <c r="N184" s="66">
        <f t="shared" si="148"/>
        <v>1.0654632223259673E-3</v>
      </c>
      <c r="O184" s="66">
        <f t="shared" si="148"/>
        <v>1.0654632223259673E-3</v>
      </c>
      <c r="P184" s="66">
        <f t="shared" si="148"/>
        <v>1.0654632223259673E-3</v>
      </c>
      <c r="Q184" s="66">
        <f t="shared" si="148"/>
        <v>1.0654632223259673E-3</v>
      </c>
      <c r="R184" s="66">
        <f t="shared" si="148"/>
        <v>1.0654632223259673E-3</v>
      </c>
      <c r="S184" s="66">
        <f t="shared" si="148"/>
        <v>1.0654632223259673E-3</v>
      </c>
      <c r="T184" s="66">
        <f t="shared" si="148"/>
        <v>1.0654632223259673E-3</v>
      </c>
      <c r="U184" s="66">
        <f t="shared" si="148"/>
        <v>1.0654632223259673E-3</v>
      </c>
      <c r="V184" s="66">
        <f t="shared" si="148"/>
        <v>1.0654632223259673E-3</v>
      </c>
      <c r="W184" s="66">
        <f t="shared" si="148"/>
        <v>1.0654632223259673E-3</v>
      </c>
      <c r="X184" s="66">
        <f t="shared" si="148"/>
        <v>1.0654632223259673E-3</v>
      </c>
      <c r="Y184" s="66">
        <f t="shared" si="148"/>
        <v>1.0654632223259673E-3</v>
      </c>
      <c r="Z184" s="66">
        <f t="shared" si="148"/>
        <v>1.0654632223259673E-3</v>
      </c>
      <c r="AA184" s="66">
        <f t="shared" si="148"/>
        <v>1.0654632223259673E-3</v>
      </c>
      <c r="AB184" s="66">
        <f t="shared" si="148"/>
        <v>1.0654632223259673E-3</v>
      </c>
      <c r="AC184" s="66">
        <f t="shared" si="148"/>
        <v>1.0654632223259673E-3</v>
      </c>
    </row>
    <row r="185" spans="1:29" x14ac:dyDescent="0.25">
      <c r="A185" s="30" t="str">
        <f t="shared" si="143"/>
        <v>Opex maintenance &amp; repair</v>
      </c>
      <c r="B185" s="66">
        <f>B143/B153/(B150)</f>
        <v>4.305425874053325E-4</v>
      </c>
      <c r="C185" s="66">
        <f t="shared" ref="C185:AC185" si="149">C143/C153/(C150)</f>
        <v>4.305425874053325E-4</v>
      </c>
      <c r="D185" s="66">
        <f t="shared" si="149"/>
        <v>4.305425874053325E-4</v>
      </c>
      <c r="E185" s="66">
        <f t="shared" si="149"/>
        <v>4.305425874053325E-4</v>
      </c>
      <c r="F185" s="66">
        <f t="shared" si="149"/>
        <v>4.305425874053325E-4</v>
      </c>
      <c r="G185" s="66">
        <f t="shared" si="149"/>
        <v>4.305425874053325E-4</v>
      </c>
      <c r="H185" s="66">
        <f t="shared" si="149"/>
        <v>4.305425874053325E-4</v>
      </c>
      <c r="I185" s="66">
        <f t="shared" si="149"/>
        <v>4.305425874053325E-4</v>
      </c>
      <c r="J185" s="66">
        <f t="shared" si="149"/>
        <v>4.305425874053325E-4</v>
      </c>
      <c r="K185" s="66">
        <f t="shared" si="149"/>
        <v>4.305425874053325E-4</v>
      </c>
      <c r="L185" s="66">
        <f t="shared" si="149"/>
        <v>4.305425874053325E-4</v>
      </c>
      <c r="M185" s="66">
        <f t="shared" si="149"/>
        <v>4.305425874053325E-4</v>
      </c>
      <c r="N185" s="66">
        <f t="shared" si="149"/>
        <v>4.305425874053325E-4</v>
      </c>
      <c r="O185" s="66">
        <f t="shared" si="149"/>
        <v>4.305425874053325E-4</v>
      </c>
      <c r="P185" s="66">
        <f t="shared" si="149"/>
        <v>4.305425874053325E-4</v>
      </c>
      <c r="Q185" s="66">
        <f t="shared" si="149"/>
        <v>4.305425874053325E-4</v>
      </c>
      <c r="R185" s="66">
        <f t="shared" si="149"/>
        <v>4.305425874053325E-4</v>
      </c>
      <c r="S185" s="66">
        <f t="shared" si="149"/>
        <v>4.305425874053325E-4</v>
      </c>
      <c r="T185" s="66">
        <f t="shared" si="149"/>
        <v>4.305425874053325E-4</v>
      </c>
      <c r="U185" s="66">
        <f t="shared" si="149"/>
        <v>4.305425874053325E-4</v>
      </c>
      <c r="V185" s="66">
        <f t="shared" si="149"/>
        <v>4.305425874053325E-4</v>
      </c>
      <c r="W185" s="66">
        <f t="shared" si="149"/>
        <v>4.305425874053325E-4</v>
      </c>
      <c r="X185" s="66">
        <f t="shared" si="149"/>
        <v>4.305425874053325E-4</v>
      </c>
      <c r="Y185" s="66">
        <f t="shared" si="149"/>
        <v>4.305425874053325E-4</v>
      </c>
      <c r="Z185" s="66">
        <f t="shared" si="149"/>
        <v>4.305425874053325E-4</v>
      </c>
      <c r="AA185" s="66">
        <f t="shared" si="149"/>
        <v>4.305425874053325E-4</v>
      </c>
      <c r="AB185" s="66">
        <f t="shared" si="149"/>
        <v>4.305425874053325E-4</v>
      </c>
      <c r="AC185" s="66">
        <f t="shared" si="149"/>
        <v>4.305425874053325E-4</v>
      </c>
    </row>
    <row r="186" spans="1:29" x14ac:dyDescent="0.25">
      <c r="A186" s="30" t="str">
        <f t="shared" si="143"/>
        <v>Opex var (mode-fees)</v>
      </c>
      <c r="B186" s="66">
        <f>B144*B153/B153/(B150)</f>
        <v>1.7869725535414797E-4</v>
      </c>
      <c r="C186" s="66">
        <f t="shared" ref="C186:AC186" si="150">C144*C153/C153/(C150)</f>
        <v>1.7869725535414797E-4</v>
      </c>
      <c r="D186" s="66">
        <f t="shared" si="150"/>
        <v>1.7869725535414797E-4</v>
      </c>
      <c r="E186" s="66">
        <f t="shared" si="150"/>
        <v>1.7869725535414797E-4</v>
      </c>
      <c r="F186" s="66">
        <f t="shared" si="150"/>
        <v>1.7869725535414797E-4</v>
      </c>
      <c r="G186" s="66">
        <f t="shared" si="150"/>
        <v>1.7869725535414797E-4</v>
      </c>
      <c r="H186" s="66">
        <f t="shared" si="150"/>
        <v>1.7869725535414797E-4</v>
      </c>
      <c r="I186" s="66">
        <f t="shared" si="150"/>
        <v>1.7869725535414797E-4</v>
      </c>
      <c r="J186" s="66">
        <f t="shared" si="150"/>
        <v>1.7869725535414797E-4</v>
      </c>
      <c r="K186" s="66">
        <f t="shared" si="150"/>
        <v>1.7869725535414797E-4</v>
      </c>
      <c r="L186" s="66">
        <f t="shared" si="150"/>
        <v>1.7869725535414797E-4</v>
      </c>
      <c r="M186" s="66">
        <f t="shared" si="150"/>
        <v>1.7869725535414797E-4</v>
      </c>
      <c r="N186" s="66">
        <f t="shared" si="150"/>
        <v>1.7869725535414797E-4</v>
      </c>
      <c r="O186" s="66">
        <f t="shared" si="150"/>
        <v>1.7869725535414797E-4</v>
      </c>
      <c r="P186" s="66">
        <f t="shared" si="150"/>
        <v>1.7869725535414797E-4</v>
      </c>
      <c r="Q186" s="66">
        <f t="shared" si="150"/>
        <v>1.7869725535414797E-4</v>
      </c>
      <c r="R186" s="66">
        <f t="shared" si="150"/>
        <v>1.7869725535414797E-4</v>
      </c>
      <c r="S186" s="66">
        <f t="shared" si="150"/>
        <v>1.7869725535414797E-4</v>
      </c>
      <c r="T186" s="66">
        <f t="shared" si="150"/>
        <v>1.7869725535414797E-4</v>
      </c>
      <c r="U186" s="66">
        <f t="shared" si="150"/>
        <v>1.7869725535414797E-4</v>
      </c>
      <c r="V186" s="66">
        <f t="shared" si="150"/>
        <v>1.7869725535414797E-4</v>
      </c>
      <c r="W186" s="66">
        <f t="shared" si="150"/>
        <v>1.7869725535414797E-4</v>
      </c>
      <c r="X186" s="66">
        <f t="shared" si="150"/>
        <v>1.7869725535414797E-4</v>
      </c>
      <c r="Y186" s="66">
        <f t="shared" si="150"/>
        <v>1.7869725535414797E-4</v>
      </c>
      <c r="Z186" s="66">
        <f t="shared" si="150"/>
        <v>1.7869725535414797E-4</v>
      </c>
      <c r="AA186" s="66">
        <f t="shared" si="150"/>
        <v>1.7869725535414797E-4</v>
      </c>
      <c r="AB186" s="66">
        <f t="shared" si="150"/>
        <v>1.7869725535414797E-4</v>
      </c>
      <c r="AC186" s="66">
        <f t="shared" si="150"/>
        <v>1.7869725535414797E-4</v>
      </c>
    </row>
    <row r="187" spans="1:29" x14ac:dyDescent="0.25">
      <c r="A187" s="30" t="str">
        <f t="shared" si="143"/>
        <v>Fuel Cost</v>
      </c>
      <c r="B187" s="66">
        <f>B145*B146*B153/B153/(B150)</f>
        <v>3.1493959607937827E-2</v>
      </c>
      <c r="C187" s="66">
        <f t="shared" ref="C187:AC187" si="151">C145*C146*C153/C153/(C150)</f>
        <v>3.1471069452757114E-2</v>
      </c>
      <c r="D187" s="66">
        <f t="shared" si="151"/>
        <v>3.1438307683369617E-2</v>
      </c>
      <c r="E187" s="66">
        <f t="shared" si="151"/>
        <v>3.1391449858470644E-2</v>
      </c>
      <c r="F187" s="66">
        <f t="shared" si="151"/>
        <v>3.1324500510155374E-2</v>
      </c>
      <c r="G187" s="66">
        <f t="shared" si="151"/>
        <v>3.1228991761923324E-2</v>
      </c>
      <c r="H187" s="66">
        <f t="shared" si="151"/>
        <v>3.1093050036371042E-2</v>
      </c>
      <c r="I187" s="66">
        <f t="shared" si="151"/>
        <v>3.0900206198624405E-2</v>
      </c>
      <c r="J187" s="66">
        <f t="shared" si="151"/>
        <v>3.0627988072507464E-2</v>
      </c>
      <c r="K187" s="66">
        <f t="shared" si="151"/>
        <v>3.0246486819989576E-2</v>
      </c>
      <c r="L187" s="66">
        <f t="shared" si="151"/>
        <v>2.9717397153691066E-2</v>
      </c>
      <c r="M187" s="66">
        <f t="shared" si="151"/>
        <v>2.8994560118872258E-2</v>
      </c>
      <c r="N187" s="66">
        <f t="shared" si="151"/>
        <v>2.8027743803751594E-2</v>
      </c>
      <c r="O187" s="66">
        <f t="shared" si="151"/>
        <v>2.6771881146396257E-2</v>
      </c>
      <c r="P187" s="66">
        <f t="shared" si="151"/>
        <v>2.5203155011576148E-2</v>
      </c>
      <c r="Q187" s="66">
        <f t="shared" si="151"/>
        <v>2.3339593676119607E-2</v>
      </c>
      <c r="R187" s="66">
        <f t="shared" si="151"/>
        <v>2.1257120300250516E-2</v>
      </c>
      <c r="S187" s="66">
        <f t="shared" si="151"/>
        <v>1.908721521968593E-2</v>
      </c>
      <c r="T187" s="66">
        <f t="shared" si="151"/>
        <v>1.6988476967454563E-2</v>
      </c>
      <c r="U187" s="66">
        <f t="shared" si="151"/>
        <v>1.5102458628309013E-2</v>
      </c>
      <c r="V187" s="66">
        <f t="shared" si="151"/>
        <v>1.3517970662273828E-2</v>
      </c>
      <c r="W187" s="66">
        <f t="shared" si="151"/>
        <v>1.2261243218218148E-2</v>
      </c>
      <c r="X187" s="66">
        <f t="shared" si="151"/>
        <v>1.1309581224950727E-2</v>
      </c>
      <c r="Y187" s="66">
        <f t="shared" si="151"/>
        <v>1.0614050159631289E-2</v>
      </c>
      <c r="Z187" s="66">
        <f t="shared" si="151"/>
        <v>1.0118842188705854E-2</v>
      </c>
      <c r="AA187" s="66">
        <f t="shared" si="151"/>
        <v>9.772811549358695E-3</v>
      </c>
      <c r="AB187" s="66">
        <f t="shared" si="151"/>
        <v>9.5341824777631333E-3</v>
      </c>
      <c r="AC187" s="66">
        <f t="shared" si="151"/>
        <v>9.3711119408467249E-3</v>
      </c>
    </row>
    <row r="188" spans="1:29" x14ac:dyDescent="0.25">
      <c r="A188" s="59" t="str">
        <f>A151</f>
        <v>Market failure (av. utilization)</v>
      </c>
      <c r="B188" s="66">
        <f t="shared" ref="B188:AC188" si="152">B177/B151-B177/B150</f>
        <v>2.6164988635967876E-2</v>
      </c>
      <c r="C188" s="66">
        <f t="shared" si="152"/>
        <v>2.6147472318769772E-2</v>
      </c>
      <c r="D188" s="66">
        <f t="shared" si="152"/>
        <v>2.6122401805341255E-2</v>
      </c>
      <c r="E188" s="66">
        <f t="shared" si="152"/>
        <v>2.6086544256189913E-2</v>
      </c>
      <c r="F188" s="66">
        <f t="shared" si="152"/>
        <v>2.6035311402395053E-2</v>
      </c>
      <c r="G188" s="66">
        <f t="shared" si="152"/>
        <v>2.5962222631531778E-2</v>
      </c>
      <c r="H188" s="66">
        <f t="shared" si="152"/>
        <v>2.5858190412330957E-2</v>
      </c>
      <c r="I188" s="66">
        <f t="shared" si="152"/>
        <v>2.5710609006864428E-2</v>
      </c>
      <c r="J188" s="66">
        <f t="shared" si="152"/>
        <v>2.5502275928595913E-2</v>
      </c>
      <c r="K188" s="66">
        <f t="shared" si="152"/>
        <v>2.5210292108847253E-2</v>
      </c>
      <c r="L188" s="66">
        <f t="shared" si="152"/>
        <v>2.4805322514039552E-2</v>
      </c>
      <c r="M188" s="66">
        <f t="shared" si="152"/>
        <v>2.4252003496955887E-2</v>
      </c>
      <c r="N188" s="66">
        <f t="shared" si="152"/>
        <v>2.3511824692401435E-2</v>
      </c>
      <c r="O188" s="66">
        <f t="shared" si="152"/>
        <v>2.2550186545467941E-2</v>
      </c>
      <c r="P188" s="66">
        <f t="shared" si="152"/>
        <v>2.1348706759230299E-2</v>
      </c>
      <c r="Q188" s="66">
        <f t="shared" si="152"/>
        <v>1.9921004571045904E-2</v>
      </c>
      <c r="R188" s="66">
        <f t="shared" si="152"/>
        <v>1.8325046921030208E-2</v>
      </c>
      <c r="S188" s="66">
        <f t="shared" si="152"/>
        <v>1.6661450107756916E-2</v>
      </c>
      <c r="T188" s="66">
        <f t="shared" si="152"/>
        <v>1.5051774627663918E-2</v>
      </c>
      <c r="U188" s="66">
        <f t="shared" si="152"/>
        <v>1.360469114536958E-2</v>
      </c>
      <c r="V188" s="66">
        <f t="shared" si="152"/>
        <v>1.2388538801465218E-2</v>
      </c>
      <c r="W188" s="66">
        <f t="shared" si="152"/>
        <v>1.1423670593907226E-2</v>
      </c>
      <c r="X188" s="66">
        <f t="shared" si="152"/>
        <v>1.0692848638585191E-2</v>
      </c>
      <c r="Y188" s="66">
        <f t="shared" si="152"/>
        <v>1.0158625153145806E-2</v>
      </c>
      <c r="Z188" s="66">
        <f t="shared" si="152"/>
        <v>9.7782159667078403E-3</v>
      </c>
      <c r="AA188" s="66">
        <f t="shared" si="152"/>
        <v>9.5123770386456013E-3</v>
      </c>
      <c r="AB188" s="66">
        <f t="shared" si="152"/>
        <v>9.3290376229834965E-3</v>
      </c>
      <c r="AC188" s="66">
        <f t="shared" si="152"/>
        <v>9.20374437817645E-3</v>
      </c>
    </row>
    <row r="189" spans="1:29" x14ac:dyDescent="0.25">
      <c r="A189" s="59" t="str">
        <f>A152</f>
        <v>Payload loss (fuel)</v>
      </c>
      <c r="B189" s="66">
        <f>B177/(B150-B152)-B177/B150</f>
        <v>1.4649668116492459E-3</v>
      </c>
      <c r="C189" s="66">
        <f t="shared" ref="C189:AC189" si="153">C177/(C150-C152)-C177/C150</f>
        <v>1.4639860803477914E-3</v>
      </c>
      <c r="D189" s="66">
        <f t="shared" si="153"/>
        <v>1.4625823927469708E-3</v>
      </c>
      <c r="E189" s="66">
        <f t="shared" si="153"/>
        <v>1.4605747435106342E-3</v>
      </c>
      <c r="F189" s="66">
        <f t="shared" si="153"/>
        <v>1.4577062373736793E-3</v>
      </c>
      <c r="G189" s="66">
        <f t="shared" si="153"/>
        <v>1.4536140275466999E-3</v>
      </c>
      <c r="H189" s="66">
        <f t="shared" si="153"/>
        <v>1.4477893069404016E-3</v>
      </c>
      <c r="I189" s="66">
        <f t="shared" si="153"/>
        <v>1.4395262855405877E-3</v>
      </c>
      <c r="J189" s="66">
        <f t="shared" si="153"/>
        <v>1.4278618032937812E-3</v>
      </c>
      <c r="K189" s="66">
        <f t="shared" si="153"/>
        <v>1.4115137508859815E-3</v>
      </c>
      <c r="L189" s="66">
        <f t="shared" si="153"/>
        <v>1.3888396720100268E-3</v>
      </c>
      <c r="M189" s="66">
        <f t="shared" si="153"/>
        <v>1.3578595707931032E-3</v>
      </c>
      <c r="N189" s="66">
        <f t="shared" si="153"/>
        <v>1.3164172679339392E-3</v>
      </c>
      <c r="O189" s="66">
        <f t="shared" si="153"/>
        <v>1.2625755487696913E-3</v>
      </c>
      <c r="P189" s="66">
        <f t="shared" si="153"/>
        <v>1.1953051961548222E-3</v>
      </c>
      <c r="Q189" s="66">
        <f t="shared" si="153"/>
        <v>1.1153687455142877E-3</v>
      </c>
      <c r="R189" s="66">
        <f t="shared" si="153"/>
        <v>1.0260117416722621E-3</v>
      </c>
      <c r="S189" s="66">
        <f t="shared" si="153"/>
        <v>9.3286764926243243E-4</v>
      </c>
      <c r="T189" s="66">
        <f t="shared" si="153"/>
        <v>8.4274258983014008E-4</v>
      </c>
      <c r="U189" s="66">
        <f t="shared" si="153"/>
        <v>7.6172098860793208E-4</v>
      </c>
      <c r="V189" s="66">
        <f t="shared" si="153"/>
        <v>6.9362912560286955E-4</v>
      </c>
      <c r="W189" s="66">
        <f t="shared" si="153"/>
        <v>6.3960655669011851E-4</v>
      </c>
      <c r="X189" s="66">
        <f t="shared" si="153"/>
        <v>5.9868813992078503E-4</v>
      </c>
      <c r="Y189" s="66">
        <f t="shared" si="153"/>
        <v>5.6877718956415378E-4</v>
      </c>
      <c r="Z189" s="66">
        <f t="shared" si="153"/>
        <v>5.4747823771931874E-4</v>
      </c>
      <c r="AA189" s="66">
        <f t="shared" si="153"/>
        <v>5.3259402690333454E-4</v>
      </c>
      <c r="AB189" s="66">
        <f t="shared" si="153"/>
        <v>5.2232892941183641E-4</v>
      </c>
      <c r="AC189" s="66">
        <f t="shared" si="153"/>
        <v>5.1531381284060894E-4</v>
      </c>
    </row>
    <row r="190" spans="1:29" ht="15.75" thickBot="1" x14ac:dyDescent="0.3">
      <c r="A190" s="59" t="str">
        <f>A127</f>
        <v>Emission Cost</v>
      </c>
      <c r="B190" s="68">
        <f>B147*B153/B153/(B150)</f>
        <v>3.3398562051778328E-4</v>
      </c>
      <c r="C190" s="68">
        <f t="shared" ref="C190:AC190" si="154">C147*C153/C153/(C150)</f>
        <v>3.3366758483088988E-4</v>
      </c>
      <c r="D190" s="68">
        <f t="shared" si="154"/>
        <v>3.3321232382877585E-4</v>
      </c>
      <c r="E190" s="68">
        <f t="shared" si="154"/>
        <v>3.3256104094986681E-4</v>
      </c>
      <c r="F190" s="68">
        <f t="shared" si="154"/>
        <v>3.3163021400320358E-4</v>
      </c>
      <c r="G190" s="68">
        <f t="shared" si="154"/>
        <v>3.3030172279027004E-4</v>
      </c>
      <c r="H190" s="68">
        <f t="shared" si="154"/>
        <v>3.2840962538848302E-4</v>
      </c>
      <c r="I190" s="68">
        <f t="shared" si="154"/>
        <v>3.2572311831349148E-4</v>
      </c>
      <c r="J190" s="68">
        <f t="shared" si="154"/>
        <v>3.2192599871983809E-4</v>
      </c>
      <c r="K190" s="68">
        <f t="shared" si="154"/>
        <v>3.1659491131606082E-4</v>
      </c>
      <c r="L190" s="68">
        <f t="shared" si="154"/>
        <v>3.091827645801561E-4</v>
      </c>
      <c r="M190" s="68">
        <f t="shared" si="154"/>
        <v>2.9902098869419172E-4</v>
      </c>
      <c r="N190" s="68">
        <f t="shared" si="154"/>
        <v>2.8536465079533697E-4</v>
      </c>
      <c r="O190" s="68">
        <f t="shared" si="154"/>
        <v>2.6751317895107546E-4</v>
      </c>
      <c r="P190" s="68">
        <f t="shared" si="154"/>
        <v>2.4503226745359335E-4</v>
      </c>
      <c r="Q190" s="68">
        <f t="shared" si="154"/>
        <v>2.1805581897128034E-4</v>
      </c>
      <c r="R190" s="68">
        <f t="shared" si="154"/>
        <v>1.8755156174862146E-4</v>
      </c>
      <c r="S190" s="68">
        <f t="shared" si="154"/>
        <v>1.5534834255447857E-4</v>
      </c>
      <c r="T190" s="68">
        <f t="shared" si="154"/>
        <v>1.2377882247964437E-4</v>
      </c>
      <c r="U190" s="68">
        <f t="shared" si="154"/>
        <v>9.5040438542586453E-5</v>
      </c>
      <c r="V190" s="68">
        <f t="shared" si="154"/>
        <v>7.06169046206584E-5</v>
      </c>
      <c r="W190" s="68">
        <f t="shared" si="154"/>
        <v>5.1058027956299464E-5</v>
      </c>
      <c r="X190" s="68">
        <f t="shared" si="154"/>
        <v>3.6133736976499454E-5</v>
      </c>
      <c r="Y190" s="68">
        <f t="shared" si="154"/>
        <v>2.5163186176479669E-5</v>
      </c>
      <c r="Z190" s="68">
        <f t="shared" si="154"/>
        <v>1.7319401061741704E-5</v>
      </c>
      <c r="AA190" s="68">
        <f t="shared" si="154"/>
        <v>1.1822066063754811E-5</v>
      </c>
      <c r="AB190" s="68">
        <f t="shared" si="154"/>
        <v>8.0230696875300903E-6</v>
      </c>
      <c r="AC190" s="68">
        <f t="shared" si="154"/>
        <v>5.4232271560286516E-6</v>
      </c>
    </row>
    <row r="191" spans="1:29" ht="15.75" thickBot="1" x14ac:dyDescent="0.3">
      <c r="A191" s="31" t="s">
        <v>210</v>
      </c>
      <c r="B191" s="67">
        <f>B180+B181+B182+B183+B184+B185+B186+B187+B188+B189+B190</f>
        <v>6.2720175930539093E-2</v>
      </c>
      <c r="C191" s="67">
        <f t="shared" ref="C191:AC191" si="155">C180+C181+C182+C183+C184+C185+C186+C187+C188+C189+C190</f>
        <v>6.2678141330804585E-2</v>
      </c>
      <c r="D191" s="67">
        <f t="shared" si="155"/>
        <v>6.2617978627355686E-2</v>
      </c>
      <c r="E191" s="67">
        <f t="shared" si="155"/>
        <v>6.2531929847295886E-2</v>
      </c>
      <c r="F191" s="67">
        <f t="shared" si="155"/>
        <v>6.2408984340077231E-2</v>
      </c>
      <c r="G191" s="67">
        <f t="shared" si="155"/>
        <v>6.2233590323539451E-2</v>
      </c>
      <c r="H191" s="67">
        <f t="shared" si="155"/>
        <v>6.1983940089181233E-2</v>
      </c>
      <c r="I191" s="67">
        <f t="shared" si="155"/>
        <v>6.1629783148719239E-2</v>
      </c>
      <c r="J191" s="67">
        <f t="shared" si="155"/>
        <v>6.1129838014280589E-2</v>
      </c>
      <c r="K191" s="67">
        <f t="shared" si="155"/>
        <v>6.0429152884336867E-2</v>
      </c>
      <c r="L191" s="67">
        <f t="shared" si="155"/>
        <v>5.9457331317630376E-2</v>
      </c>
      <c r="M191" s="67">
        <f t="shared" si="155"/>
        <v>5.8129509770123607E-2</v>
      </c>
      <c r="N191" s="67">
        <f t="shared" si="155"/>
        <v>5.6353273394089951E-2</v>
      </c>
      <c r="O191" s="67">
        <f t="shared" si="155"/>
        <v>5.4045592268050321E-2</v>
      </c>
      <c r="P191" s="67">
        <f t="shared" si="155"/>
        <v>5.1162353666440979E-2</v>
      </c>
      <c r="Q191" s="67">
        <f t="shared" si="155"/>
        <v>4.7736240212243271E-2</v>
      </c>
      <c r="R191" s="67">
        <f t="shared" si="155"/>
        <v>4.3906357466176958E-2</v>
      </c>
      <c r="S191" s="67">
        <f t="shared" si="155"/>
        <v>3.9914158342657852E-2</v>
      </c>
      <c r="T191" s="67">
        <f t="shared" si="155"/>
        <v>3.605135637675759E-2</v>
      </c>
      <c r="U191" s="67">
        <f t="shared" si="155"/>
        <v>3.2578732863908035E-2</v>
      </c>
      <c r="V191" s="67">
        <f t="shared" si="155"/>
        <v>2.966028394487712E-2</v>
      </c>
      <c r="W191" s="67">
        <f t="shared" si="155"/>
        <v>2.7344851514500328E-2</v>
      </c>
      <c r="X191" s="67">
        <f t="shared" si="155"/>
        <v>2.559106913994497E-2</v>
      </c>
      <c r="Y191" s="67">
        <f t="shared" si="155"/>
        <v>2.4309071895589777E-2</v>
      </c>
      <c r="Z191" s="67">
        <f t="shared" si="155"/>
        <v>2.3396188913030969E-2</v>
      </c>
      <c r="AA191" s="67">
        <f t="shared" si="155"/>
        <v>2.2758244714569106E-2</v>
      </c>
      <c r="AB191" s="67">
        <f t="shared" si="155"/>
        <v>2.2318277861619551E-2</v>
      </c>
      <c r="AC191" s="67">
        <f t="shared" si="155"/>
        <v>2.2017606702531806E-2</v>
      </c>
    </row>
    <row r="193" spans="2:2" x14ac:dyDescent="0.25">
      <c r="B193" s="40"/>
    </row>
    <row r="215" spans="1:44" s="3" customFormat="1" ht="21" x14ac:dyDescent="0.35">
      <c r="A215" s="2" t="str">
        <f>'Parameter Input'!A179</f>
        <v>Short-sea: Break bulk</v>
      </c>
    </row>
    <row r="216" spans="1:44" s="3" customFormat="1" ht="21" x14ac:dyDescent="0.35">
      <c r="A216" s="2" t="s">
        <v>187</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Input'!$L$205</f>
        <v>19500000</v>
      </c>
      <c r="C225" s="42">
        <f>'Parameter Input'!$M$205</f>
        <v>15000000</v>
      </c>
      <c r="D225" s="1" t="s">
        <v>15</v>
      </c>
      <c r="L225" s="51">
        <f>'Parameter Input'!$O$205</f>
        <v>17</v>
      </c>
      <c r="M225" s="52">
        <v>0</v>
      </c>
      <c r="N225" s="52">
        <v>1</v>
      </c>
      <c r="O225" s="52">
        <f>'Parameter Input'!$P$205</f>
        <v>0.9</v>
      </c>
      <c r="P225" s="53">
        <f>'Parameter Input'!$Q$205</f>
        <v>0.4</v>
      </c>
      <c r="Q225" s="4">
        <f t="shared" ref="Q225:AR234" si="156">$N225+($M225-$N225)*((1/(1+EXP(-$P225*(Q$9-$L225)))^$O225))</f>
        <v>0.99780374543478534</v>
      </c>
      <c r="R225" s="4">
        <f t="shared" si="156"/>
        <v>0.99685359315256394</v>
      </c>
      <c r="S225" s="4">
        <f t="shared" si="156"/>
        <v>0.99549347132349975</v>
      </c>
      <c r="T225" s="4">
        <f t="shared" si="156"/>
        <v>0.99354772139898062</v>
      </c>
      <c r="U225" s="4">
        <f t="shared" si="156"/>
        <v>0.99076681540580536</v>
      </c>
      <c r="V225" s="4">
        <f t="shared" si="156"/>
        <v>0.9867978615748374</v>
      </c>
      <c r="W225" s="4">
        <f t="shared" si="156"/>
        <v>0.98114509762858249</v>
      </c>
      <c r="X225" s="4">
        <f t="shared" si="156"/>
        <v>0.97311898315872036</v>
      </c>
      <c r="Y225" s="4">
        <f t="shared" si="156"/>
        <v>0.96177484161592774</v>
      </c>
      <c r="Z225" s="4">
        <f t="shared" si="156"/>
        <v>0.94584787155511363</v>
      </c>
      <c r="AA225" s="4">
        <f t="shared" si="156"/>
        <v>0.92370360150141495</v>
      </c>
      <c r="AB225" s="4">
        <f t="shared" si="156"/>
        <v>0.89334463567658451</v>
      </c>
      <c r="AC225" s="4">
        <f t="shared" si="156"/>
        <v>0.85254543874327005</v>
      </c>
      <c r="AD225" s="4">
        <f t="shared" si="156"/>
        <v>0.79921300652623883</v>
      </c>
      <c r="AE225" s="4">
        <f t="shared" si="156"/>
        <v>0.73204982249993378</v>
      </c>
      <c r="AF225" s="4">
        <f t="shared" si="156"/>
        <v>0.65145592958786691</v>
      </c>
      <c r="AG225" s="4">
        <f t="shared" si="156"/>
        <v>0.56032247880849573</v>
      </c>
      <c r="AH225" s="4">
        <f t="shared" si="156"/>
        <v>0.46411326873185343</v>
      </c>
      <c r="AI225" s="4">
        <f t="shared" si="156"/>
        <v>0.36979727595523937</v>
      </c>
      <c r="AJ225" s="4">
        <f t="shared" si="156"/>
        <v>0.28393948637231203</v>
      </c>
      <c r="AK225" s="4">
        <f t="shared" si="156"/>
        <v>0.21097259161117732</v>
      </c>
      <c r="AL225" s="4">
        <f t="shared" si="156"/>
        <v>0.15253917653798199</v>
      </c>
      <c r="AM225" s="4">
        <f t="shared" si="156"/>
        <v>0.10795188737709993</v>
      </c>
      <c r="AN225" s="4">
        <f t="shared" si="156"/>
        <v>7.5176653938091809E-2</v>
      </c>
      <c r="AO225" s="4">
        <f t="shared" si="156"/>
        <v>5.1742836177502194E-2</v>
      </c>
      <c r="AP225" s="4">
        <f t="shared" si="156"/>
        <v>3.5319190625345942E-2</v>
      </c>
      <c r="AQ225" s="4">
        <f t="shared" si="156"/>
        <v>2.3969442072658165E-2</v>
      </c>
      <c r="AR225" s="4">
        <f t="shared" si="156"/>
        <v>1.6202243558389728E-2</v>
      </c>
    </row>
    <row r="226" spans="1:44" x14ac:dyDescent="0.25">
      <c r="A226" s="24" t="s">
        <v>28</v>
      </c>
      <c r="B226" s="60">
        <f>'Parameter Input'!$L$206</f>
        <v>-975000</v>
      </c>
      <c r="C226" s="61">
        <f>'Parameter Input'!$M$206</f>
        <v>-1500000</v>
      </c>
      <c r="D226" s="1" t="s">
        <v>15</v>
      </c>
      <c r="L226" s="54">
        <f>'Parameter Input'!$O$206</f>
        <v>17</v>
      </c>
      <c r="M226" s="37">
        <v>0</v>
      </c>
      <c r="N226" s="37">
        <v>1</v>
      </c>
      <c r="O226" s="37">
        <f>'Parameter Input'!$P$206</f>
        <v>0.9</v>
      </c>
      <c r="P226" s="55">
        <f>'Parameter Input'!$Q$206</f>
        <v>0.4</v>
      </c>
      <c r="Q226" s="4">
        <f t="shared" si="156"/>
        <v>0.99780374543478534</v>
      </c>
      <c r="R226" s="4">
        <f t="shared" si="156"/>
        <v>0.99685359315256394</v>
      </c>
      <c r="S226" s="4">
        <f t="shared" si="156"/>
        <v>0.99549347132349975</v>
      </c>
      <c r="T226" s="4">
        <f t="shared" si="156"/>
        <v>0.99354772139898062</v>
      </c>
      <c r="U226" s="4">
        <f t="shared" si="156"/>
        <v>0.99076681540580536</v>
      </c>
      <c r="V226" s="4">
        <f t="shared" si="156"/>
        <v>0.9867978615748374</v>
      </c>
      <c r="W226" s="4">
        <f t="shared" si="156"/>
        <v>0.98114509762858249</v>
      </c>
      <c r="X226" s="4">
        <f t="shared" si="156"/>
        <v>0.97311898315872036</v>
      </c>
      <c r="Y226" s="4">
        <f t="shared" si="156"/>
        <v>0.96177484161592774</v>
      </c>
      <c r="Z226" s="4">
        <f t="shared" si="156"/>
        <v>0.94584787155511363</v>
      </c>
      <c r="AA226" s="4">
        <f t="shared" si="156"/>
        <v>0.92370360150141495</v>
      </c>
      <c r="AB226" s="4">
        <f t="shared" si="156"/>
        <v>0.89334463567658451</v>
      </c>
      <c r="AC226" s="4">
        <f t="shared" si="156"/>
        <v>0.85254543874327005</v>
      </c>
      <c r="AD226" s="4">
        <f t="shared" si="156"/>
        <v>0.79921300652623883</v>
      </c>
      <c r="AE226" s="4">
        <f t="shared" si="156"/>
        <v>0.73204982249993378</v>
      </c>
      <c r="AF226" s="4">
        <f t="shared" si="156"/>
        <v>0.65145592958786691</v>
      </c>
      <c r="AG226" s="4">
        <f t="shared" si="156"/>
        <v>0.56032247880849573</v>
      </c>
      <c r="AH226" s="4">
        <f t="shared" si="156"/>
        <v>0.46411326873185343</v>
      </c>
      <c r="AI226" s="4">
        <f t="shared" si="156"/>
        <v>0.36979727595523937</v>
      </c>
      <c r="AJ226" s="4">
        <f t="shared" si="156"/>
        <v>0.28393948637231203</v>
      </c>
      <c r="AK226" s="4">
        <f t="shared" si="156"/>
        <v>0.21097259161117732</v>
      </c>
      <c r="AL226" s="4">
        <f t="shared" si="156"/>
        <v>0.15253917653798199</v>
      </c>
      <c r="AM226" s="4">
        <f t="shared" si="156"/>
        <v>0.10795188737709993</v>
      </c>
      <c r="AN226" s="4">
        <f t="shared" si="156"/>
        <v>7.5176653938091809E-2</v>
      </c>
      <c r="AO226" s="4">
        <f t="shared" si="156"/>
        <v>5.1742836177502194E-2</v>
      </c>
      <c r="AP226" s="4">
        <f t="shared" si="156"/>
        <v>3.5319190625345942E-2</v>
      </c>
      <c r="AQ226" s="4">
        <f t="shared" si="156"/>
        <v>2.3969442072658165E-2</v>
      </c>
      <c r="AR226" s="4">
        <f t="shared" si="156"/>
        <v>1.6202243558389728E-2</v>
      </c>
    </row>
    <row r="227" spans="1:44" x14ac:dyDescent="0.25">
      <c r="A227" s="24" t="s">
        <v>14</v>
      </c>
      <c r="B227" s="60">
        <f>'Parameter Input'!B180</f>
        <v>1000000</v>
      </c>
      <c r="C227" s="61">
        <f>'Parameter Input'!C180</f>
        <v>1000000</v>
      </c>
      <c r="D227" s="1" t="s">
        <v>15</v>
      </c>
      <c r="L227" s="54">
        <f>'Parameter Input'!E180</f>
        <v>17</v>
      </c>
      <c r="M227" s="37">
        <v>0</v>
      </c>
      <c r="N227" s="37">
        <v>1</v>
      </c>
      <c r="O227" s="37">
        <f>'Parameter Input'!F180</f>
        <v>0.9</v>
      </c>
      <c r="P227" s="55">
        <f>'Parameter Input'!G180</f>
        <v>0.4</v>
      </c>
      <c r="Q227" s="4">
        <f t="shared" si="156"/>
        <v>0.99780374543478534</v>
      </c>
      <c r="R227" s="4">
        <f t="shared" si="156"/>
        <v>0.99685359315256394</v>
      </c>
      <c r="S227" s="4">
        <f t="shared" si="156"/>
        <v>0.99549347132349975</v>
      </c>
      <c r="T227" s="4">
        <f t="shared" si="156"/>
        <v>0.99354772139898062</v>
      </c>
      <c r="U227" s="4">
        <f t="shared" si="156"/>
        <v>0.99076681540580536</v>
      </c>
      <c r="V227" s="4">
        <f t="shared" si="156"/>
        <v>0.9867978615748374</v>
      </c>
      <c r="W227" s="4">
        <f t="shared" si="156"/>
        <v>0.98114509762858249</v>
      </c>
      <c r="X227" s="4">
        <f t="shared" si="156"/>
        <v>0.97311898315872036</v>
      </c>
      <c r="Y227" s="4">
        <f t="shared" si="156"/>
        <v>0.96177484161592774</v>
      </c>
      <c r="Z227" s="4">
        <f t="shared" si="156"/>
        <v>0.94584787155511363</v>
      </c>
      <c r="AA227" s="4">
        <f t="shared" si="156"/>
        <v>0.92370360150141495</v>
      </c>
      <c r="AB227" s="4">
        <f t="shared" si="156"/>
        <v>0.89334463567658451</v>
      </c>
      <c r="AC227" s="4">
        <f t="shared" si="156"/>
        <v>0.85254543874327005</v>
      </c>
      <c r="AD227" s="4">
        <f t="shared" si="156"/>
        <v>0.79921300652623883</v>
      </c>
      <c r="AE227" s="4">
        <f t="shared" si="156"/>
        <v>0.73204982249993378</v>
      </c>
      <c r="AF227" s="4">
        <f t="shared" si="156"/>
        <v>0.65145592958786691</v>
      </c>
      <c r="AG227" s="4">
        <f t="shared" si="156"/>
        <v>0.56032247880849573</v>
      </c>
      <c r="AH227" s="4">
        <f t="shared" si="156"/>
        <v>0.46411326873185343</v>
      </c>
      <c r="AI227" s="4">
        <f t="shared" si="156"/>
        <v>0.36979727595523937</v>
      </c>
      <c r="AJ227" s="4">
        <f t="shared" si="156"/>
        <v>0.28393948637231203</v>
      </c>
      <c r="AK227" s="4">
        <f t="shared" si="156"/>
        <v>0.21097259161117732</v>
      </c>
      <c r="AL227" s="4">
        <f t="shared" si="156"/>
        <v>0.15253917653798199</v>
      </c>
      <c r="AM227" s="4">
        <f t="shared" si="156"/>
        <v>0.10795188737709993</v>
      </c>
      <c r="AN227" s="4">
        <f t="shared" si="156"/>
        <v>7.5176653938091809E-2</v>
      </c>
      <c r="AO227" s="4">
        <f t="shared" si="156"/>
        <v>5.1742836177502194E-2</v>
      </c>
      <c r="AP227" s="4">
        <f t="shared" si="156"/>
        <v>3.5319190625345942E-2</v>
      </c>
      <c r="AQ227" s="4">
        <f t="shared" si="156"/>
        <v>2.3969442072658165E-2</v>
      </c>
      <c r="AR227" s="4">
        <f t="shared" si="156"/>
        <v>1.6202243558389728E-2</v>
      </c>
    </row>
    <row r="228" spans="1:44" x14ac:dyDescent="0.25">
      <c r="A228" s="24" t="s">
        <v>25</v>
      </c>
      <c r="B228" s="60">
        <f>'Parameter Input'!B181</f>
        <v>-100000</v>
      </c>
      <c r="C228" s="61">
        <f>'Parameter Input'!C181</f>
        <v>-100000</v>
      </c>
      <c r="D228" s="1" t="s">
        <v>15</v>
      </c>
      <c r="L228" s="54">
        <f>'Parameter Input'!E181</f>
        <v>17</v>
      </c>
      <c r="M228" s="37">
        <v>0</v>
      </c>
      <c r="N228" s="37">
        <v>1</v>
      </c>
      <c r="O228" s="37">
        <f>'Parameter Input'!F181</f>
        <v>0.9</v>
      </c>
      <c r="P228" s="55">
        <f>'Parameter Input'!G181</f>
        <v>0.4</v>
      </c>
      <c r="Q228" s="4">
        <f t="shared" si="156"/>
        <v>0.99780374543478534</v>
      </c>
      <c r="R228" s="4">
        <f t="shared" si="156"/>
        <v>0.99685359315256394</v>
      </c>
      <c r="S228" s="4">
        <f t="shared" si="156"/>
        <v>0.99549347132349975</v>
      </c>
      <c r="T228" s="4">
        <f t="shared" si="156"/>
        <v>0.99354772139898062</v>
      </c>
      <c r="U228" s="4">
        <f t="shared" si="156"/>
        <v>0.99076681540580536</v>
      </c>
      <c r="V228" s="4">
        <f t="shared" si="156"/>
        <v>0.9867978615748374</v>
      </c>
      <c r="W228" s="4">
        <f t="shared" si="156"/>
        <v>0.98114509762858249</v>
      </c>
      <c r="X228" s="4">
        <f t="shared" si="156"/>
        <v>0.97311898315872036</v>
      </c>
      <c r="Y228" s="4">
        <f t="shared" si="156"/>
        <v>0.96177484161592774</v>
      </c>
      <c r="Z228" s="4">
        <f t="shared" si="156"/>
        <v>0.94584787155511363</v>
      </c>
      <c r="AA228" s="4">
        <f t="shared" si="156"/>
        <v>0.92370360150141495</v>
      </c>
      <c r="AB228" s="4">
        <f t="shared" si="156"/>
        <v>0.89334463567658451</v>
      </c>
      <c r="AC228" s="4">
        <f t="shared" si="156"/>
        <v>0.85254543874327005</v>
      </c>
      <c r="AD228" s="4">
        <f t="shared" si="156"/>
        <v>0.79921300652623883</v>
      </c>
      <c r="AE228" s="4">
        <f t="shared" si="156"/>
        <v>0.73204982249993378</v>
      </c>
      <c r="AF228" s="4">
        <f t="shared" si="156"/>
        <v>0.65145592958786691</v>
      </c>
      <c r="AG228" s="4">
        <f t="shared" si="156"/>
        <v>0.56032247880849573</v>
      </c>
      <c r="AH228" s="4">
        <f t="shared" si="156"/>
        <v>0.46411326873185343</v>
      </c>
      <c r="AI228" s="4">
        <f t="shared" si="156"/>
        <v>0.36979727595523937</v>
      </c>
      <c r="AJ228" s="4">
        <f t="shared" si="156"/>
        <v>0.28393948637231203</v>
      </c>
      <c r="AK228" s="4">
        <f t="shared" si="156"/>
        <v>0.21097259161117732</v>
      </c>
      <c r="AL228" s="4">
        <f t="shared" si="156"/>
        <v>0.15253917653798199</v>
      </c>
      <c r="AM228" s="4">
        <f t="shared" si="156"/>
        <v>0.10795188737709993</v>
      </c>
      <c r="AN228" s="4">
        <f t="shared" si="156"/>
        <v>7.5176653938091809E-2</v>
      </c>
      <c r="AO228" s="4">
        <f t="shared" si="156"/>
        <v>5.1742836177502194E-2</v>
      </c>
      <c r="AP228" s="4">
        <f t="shared" si="156"/>
        <v>3.5319190625345942E-2</v>
      </c>
      <c r="AQ228" s="4">
        <f t="shared" si="156"/>
        <v>2.3969442072658165E-2</v>
      </c>
      <c r="AR228" s="4">
        <f t="shared" si="156"/>
        <v>1.6202243558389728E-2</v>
      </c>
    </row>
    <row r="229" spans="1:44" x14ac:dyDescent="0.25">
      <c r="A229" s="24" t="s">
        <v>79</v>
      </c>
      <c r="B229" s="92">
        <f>'Parameter Input'!$L$212</f>
        <v>0.06</v>
      </c>
      <c r="C229" s="91">
        <f>'Parameter Input'!$M$212</f>
        <v>0.06</v>
      </c>
      <c r="D229" s="1" t="s">
        <v>57</v>
      </c>
      <c r="L229" s="54">
        <f>'Parameter Input'!$O$212</f>
        <v>17</v>
      </c>
      <c r="M229" s="37">
        <v>0</v>
      </c>
      <c r="N229" s="37">
        <v>1</v>
      </c>
      <c r="O229" s="37">
        <f>'Parameter Input'!$P$212</f>
        <v>0.9</v>
      </c>
      <c r="P229" s="55">
        <f>'Parameter Input'!$Q$212</f>
        <v>0.4</v>
      </c>
      <c r="Q229" s="4">
        <f t="shared" si="156"/>
        <v>0.99780374543478534</v>
      </c>
      <c r="R229" s="4">
        <f t="shared" si="156"/>
        <v>0.99685359315256394</v>
      </c>
      <c r="S229" s="4">
        <f t="shared" si="156"/>
        <v>0.99549347132349975</v>
      </c>
      <c r="T229" s="4">
        <f t="shared" si="156"/>
        <v>0.99354772139898062</v>
      </c>
      <c r="U229" s="4">
        <f t="shared" si="156"/>
        <v>0.99076681540580536</v>
      </c>
      <c r="V229" s="4">
        <f t="shared" si="156"/>
        <v>0.9867978615748374</v>
      </c>
      <c r="W229" s="4">
        <f t="shared" si="156"/>
        <v>0.98114509762858249</v>
      </c>
      <c r="X229" s="4">
        <f t="shared" si="156"/>
        <v>0.97311898315872036</v>
      </c>
      <c r="Y229" s="4">
        <f t="shared" si="156"/>
        <v>0.96177484161592774</v>
      </c>
      <c r="Z229" s="4">
        <f t="shared" si="156"/>
        <v>0.94584787155511363</v>
      </c>
      <c r="AA229" s="4">
        <f t="shared" si="156"/>
        <v>0.92370360150141495</v>
      </c>
      <c r="AB229" s="4">
        <f t="shared" si="156"/>
        <v>0.89334463567658451</v>
      </c>
      <c r="AC229" s="4">
        <f t="shared" si="156"/>
        <v>0.85254543874327005</v>
      </c>
      <c r="AD229" s="4">
        <f t="shared" si="156"/>
        <v>0.79921300652623883</v>
      </c>
      <c r="AE229" s="4">
        <f t="shared" si="156"/>
        <v>0.73204982249993378</v>
      </c>
      <c r="AF229" s="4">
        <f t="shared" si="156"/>
        <v>0.65145592958786691</v>
      </c>
      <c r="AG229" s="4">
        <f t="shared" si="156"/>
        <v>0.56032247880849573</v>
      </c>
      <c r="AH229" s="4">
        <f t="shared" si="156"/>
        <v>0.46411326873185343</v>
      </c>
      <c r="AI229" s="4">
        <f t="shared" si="156"/>
        <v>0.36979727595523937</v>
      </c>
      <c r="AJ229" s="4">
        <f t="shared" si="156"/>
        <v>0.28393948637231203</v>
      </c>
      <c r="AK229" s="4">
        <f t="shared" si="156"/>
        <v>0.21097259161117732</v>
      </c>
      <c r="AL229" s="4">
        <f t="shared" si="156"/>
        <v>0.15253917653798199</v>
      </c>
      <c r="AM229" s="4">
        <f t="shared" si="156"/>
        <v>0.10795188737709993</v>
      </c>
      <c r="AN229" s="4">
        <f t="shared" si="156"/>
        <v>7.5176653938091809E-2</v>
      </c>
      <c r="AO229" s="4">
        <f t="shared" si="156"/>
        <v>5.1742836177502194E-2</v>
      </c>
      <c r="AP229" s="4">
        <f t="shared" si="156"/>
        <v>3.5319190625345942E-2</v>
      </c>
      <c r="AQ229" s="4">
        <f t="shared" si="156"/>
        <v>2.3969442072658165E-2</v>
      </c>
      <c r="AR229" s="4">
        <f t="shared" si="156"/>
        <v>1.6202243558389728E-2</v>
      </c>
    </row>
    <row r="230" spans="1:44" x14ac:dyDescent="0.25">
      <c r="A230" s="24" t="s">
        <v>37</v>
      </c>
      <c r="B230" s="60">
        <f>'Parameter Input'!B182</f>
        <v>1208235.294117647</v>
      </c>
      <c r="C230" s="61">
        <f>'Parameter Input'!C182</f>
        <v>1208235.294117647</v>
      </c>
      <c r="D230" s="1" t="s">
        <v>38</v>
      </c>
      <c r="L230" s="54">
        <f>'Parameter Input'!E182</f>
        <v>17</v>
      </c>
      <c r="M230" s="37">
        <v>0</v>
      </c>
      <c r="N230" s="37">
        <v>1</v>
      </c>
      <c r="O230" s="37">
        <f>'Parameter Input'!F182</f>
        <v>0.9</v>
      </c>
      <c r="P230" s="55">
        <f>'Parameter Input'!G182</f>
        <v>0.4</v>
      </c>
      <c r="Q230" s="4">
        <f t="shared" si="156"/>
        <v>0.99780374543478534</v>
      </c>
      <c r="R230" s="4">
        <f t="shared" si="156"/>
        <v>0.99685359315256394</v>
      </c>
      <c r="S230" s="4">
        <f t="shared" si="156"/>
        <v>0.99549347132349975</v>
      </c>
      <c r="T230" s="4">
        <f t="shared" si="156"/>
        <v>0.99354772139898062</v>
      </c>
      <c r="U230" s="4">
        <f t="shared" si="156"/>
        <v>0.99076681540580536</v>
      </c>
      <c r="V230" s="4">
        <f t="shared" si="156"/>
        <v>0.9867978615748374</v>
      </c>
      <c r="W230" s="4">
        <f t="shared" si="156"/>
        <v>0.98114509762858249</v>
      </c>
      <c r="X230" s="4">
        <f t="shared" si="156"/>
        <v>0.97311898315872036</v>
      </c>
      <c r="Y230" s="4">
        <f t="shared" si="156"/>
        <v>0.96177484161592774</v>
      </c>
      <c r="Z230" s="4">
        <f t="shared" si="156"/>
        <v>0.94584787155511363</v>
      </c>
      <c r="AA230" s="4">
        <f t="shared" si="156"/>
        <v>0.92370360150141495</v>
      </c>
      <c r="AB230" s="4">
        <f t="shared" si="156"/>
        <v>0.89334463567658451</v>
      </c>
      <c r="AC230" s="4">
        <f t="shared" si="156"/>
        <v>0.85254543874327005</v>
      </c>
      <c r="AD230" s="4">
        <f t="shared" si="156"/>
        <v>0.79921300652623883</v>
      </c>
      <c r="AE230" s="4">
        <f t="shared" si="156"/>
        <v>0.73204982249993378</v>
      </c>
      <c r="AF230" s="4">
        <f t="shared" si="156"/>
        <v>0.65145592958786691</v>
      </c>
      <c r="AG230" s="4">
        <f t="shared" si="156"/>
        <v>0.56032247880849573</v>
      </c>
      <c r="AH230" s="4">
        <f t="shared" si="156"/>
        <v>0.46411326873185343</v>
      </c>
      <c r="AI230" s="4">
        <f t="shared" si="156"/>
        <v>0.36979727595523937</v>
      </c>
      <c r="AJ230" s="4">
        <f t="shared" si="156"/>
        <v>0.28393948637231203</v>
      </c>
      <c r="AK230" s="4">
        <f t="shared" si="156"/>
        <v>0.21097259161117732</v>
      </c>
      <c r="AL230" s="4">
        <f t="shared" si="156"/>
        <v>0.15253917653798199</v>
      </c>
      <c r="AM230" s="4">
        <f t="shared" si="156"/>
        <v>0.10795188737709993</v>
      </c>
      <c r="AN230" s="4">
        <f t="shared" si="156"/>
        <v>7.5176653938091809E-2</v>
      </c>
      <c r="AO230" s="4">
        <f t="shared" si="156"/>
        <v>5.1742836177502194E-2</v>
      </c>
      <c r="AP230" s="4">
        <f t="shared" si="156"/>
        <v>3.5319190625345942E-2</v>
      </c>
      <c r="AQ230" s="4">
        <f t="shared" si="156"/>
        <v>2.3969442072658165E-2</v>
      </c>
      <c r="AR230" s="4">
        <f t="shared" si="156"/>
        <v>1.6202243558389728E-2</v>
      </c>
    </row>
    <row r="231" spans="1:44" x14ac:dyDescent="0.25">
      <c r="A231" s="24" t="s">
        <v>52</v>
      </c>
      <c r="B231" s="60">
        <f>'Parameter Input'!$L$208</f>
        <v>488235.29411764705</v>
      </c>
      <c r="C231" s="61">
        <f>'Parameter Input'!$M$208</f>
        <v>488235.29411764705</v>
      </c>
      <c r="D231" s="1" t="s">
        <v>38</v>
      </c>
      <c r="L231" s="54">
        <f>'Parameter Input'!$O$208</f>
        <v>17</v>
      </c>
      <c r="M231" s="37">
        <v>0</v>
      </c>
      <c r="N231" s="37">
        <v>1</v>
      </c>
      <c r="O231" s="37">
        <f>'Parameter Input'!$P$208</f>
        <v>0.9</v>
      </c>
      <c r="P231" s="55">
        <f>'Parameter Input'!$Q$208</f>
        <v>0.4</v>
      </c>
      <c r="Q231" s="4">
        <f t="shared" si="156"/>
        <v>0.99780374543478534</v>
      </c>
      <c r="R231" s="4">
        <f t="shared" si="156"/>
        <v>0.99685359315256394</v>
      </c>
      <c r="S231" s="4">
        <f t="shared" si="156"/>
        <v>0.99549347132349975</v>
      </c>
      <c r="T231" s="4">
        <f t="shared" si="156"/>
        <v>0.99354772139898062</v>
      </c>
      <c r="U231" s="4">
        <f t="shared" si="156"/>
        <v>0.99076681540580536</v>
      </c>
      <c r="V231" s="4">
        <f t="shared" si="156"/>
        <v>0.9867978615748374</v>
      </c>
      <c r="W231" s="4">
        <f t="shared" si="156"/>
        <v>0.98114509762858249</v>
      </c>
      <c r="X231" s="4">
        <f t="shared" si="156"/>
        <v>0.97311898315872036</v>
      </c>
      <c r="Y231" s="4">
        <f t="shared" si="156"/>
        <v>0.96177484161592774</v>
      </c>
      <c r="Z231" s="4">
        <f t="shared" si="156"/>
        <v>0.94584787155511363</v>
      </c>
      <c r="AA231" s="4">
        <f t="shared" si="156"/>
        <v>0.92370360150141495</v>
      </c>
      <c r="AB231" s="4">
        <f t="shared" si="156"/>
        <v>0.89334463567658451</v>
      </c>
      <c r="AC231" s="4">
        <f t="shared" si="156"/>
        <v>0.85254543874327005</v>
      </c>
      <c r="AD231" s="4">
        <f t="shared" si="156"/>
        <v>0.79921300652623883</v>
      </c>
      <c r="AE231" s="4">
        <f t="shared" si="156"/>
        <v>0.73204982249993378</v>
      </c>
      <c r="AF231" s="4">
        <f t="shared" si="156"/>
        <v>0.65145592958786691</v>
      </c>
      <c r="AG231" s="4">
        <f t="shared" si="156"/>
        <v>0.56032247880849573</v>
      </c>
      <c r="AH231" s="4">
        <f t="shared" si="156"/>
        <v>0.46411326873185343</v>
      </c>
      <c r="AI231" s="4">
        <f t="shared" si="156"/>
        <v>0.36979727595523937</v>
      </c>
      <c r="AJ231" s="4">
        <f t="shared" si="156"/>
        <v>0.28393948637231203</v>
      </c>
      <c r="AK231" s="4">
        <f t="shared" si="156"/>
        <v>0.21097259161117732</v>
      </c>
      <c r="AL231" s="4">
        <f t="shared" si="156"/>
        <v>0.15253917653798199</v>
      </c>
      <c r="AM231" s="4">
        <f t="shared" si="156"/>
        <v>0.10795188737709993</v>
      </c>
      <c r="AN231" s="4">
        <f t="shared" si="156"/>
        <v>7.5176653938091809E-2</v>
      </c>
      <c r="AO231" s="4">
        <f t="shared" si="156"/>
        <v>5.1742836177502194E-2</v>
      </c>
      <c r="AP231" s="4">
        <f t="shared" si="156"/>
        <v>3.5319190625345942E-2</v>
      </c>
      <c r="AQ231" s="4">
        <f t="shared" si="156"/>
        <v>2.3969442072658165E-2</v>
      </c>
      <c r="AR231" s="4">
        <f t="shared" si="156"/>
        <v>1.6202243558389728E-2</v>
      </c>
    </row>
    <row r="232" spans="1:44" x14ac:dyDescent="0.25">
      <c r="A232" s="24" t="s">
        <v>272</v>
      </c>
      <c r="B232" s="92">
        <f>'Parameter Input'!B187</f>
        <v>0.81280569096848254</v>
      </c>
      <c r="C232" s="61">
        <f>'Parameter Input'!C187</f>
        <v>0.81280569096848254</v>
      </c>
      <c r="D232" s="1" t="s">
        <v>76</v>
      </c>
      <c r="L232" s="54">
        <f>'Parameter Input'!E187</f>
        <v>17</v>
      </c>
      <c r="M232" s="37">
        <v>0</v>
      </c>
      <c r="N232" s="37">
        <v>1</v>
      </c>
      <c r="O232" s="37">
        <f>'Parameter Input'!F187</f>
        <v>0.9</v>
      </c>
      <c r="P232" s="55">
        <f>'Parameter Input'!G187</f>
        <v>0.4</v>
      </c>
      <c r="Q232" s="4">
        <f t="shared" si="156"/>
        <v>0.99780374543478534</v>
      </c>
      <c r="R232" s="4">
        <f t="shared" si="156"/>
        <v>0.99685359315256394</v>
      </c>
      <c r="S232" s="4">
        <f t="shared" si="156"/>
        <v>0.99549347132349975</v>
      </c>
      <c r="T232" s="4">
        <f t="shared" si="156"/>
        <v>0.99354772139898062</v>
      </c>
      <c r="U232" s="4">
        <f t="shared" si="156"/>
        <v>0.99076681540580536</v>
      </c>
      <c r="V232" s="4">
        <f t="shared" si="156"/>
        <v>0.9867978615748374</v>
      </c>
      <c r="W232" s="4">
        <f t="shared" si="156"/>
        <v>0.98114509762858249</v>
      </c>
      <c r="X232" s="4">
        <f t="shared" si="156"/>
        <v>0.97311898315872036</v>
      </c>
      <c r="Y232" s="4">
        <f t="shared" si="156"/>
        <v>0.96177484161592774</v>
      </c>
      <c r="Z232" s="4">
        <f t="shared" si="156"/>
        <v>0.94584787155511363</v>
      </c>
      <c r="AA232" s="4">
        <f t="shared" si="156"/>
        <v>0.92370360150141495</v>
      </c>
      <c r="AB232" s="4">
        <f t="shared" si="156"/>
        <v>0.89334463567658451</v>
      </c>
      <c r="AC232" s="4">
        <f t="shared" si="156"/>
        <v>0.85254543874327005</v>
      </c>
      <c r="AD232" s="4">
        <f t="shared" si="156"/>
        <v>0.79921300652623883</v>
      </c>
      <c r="AE232" s="4">
        <f t="shared" si="156"/>
        <v>0.73204982249993378</v>
      </c>
      <c r="AF232" s="4">
        <f t="shared" si="156"/>
        <v>0.65145592958786691</v>
      </c>
      <c r="AG232" s="4">
        <f t="shared" si="156"/>
        <v>0.56032247880849573</v>
      </c>
      <c r="AH232" s="4">
        <f t="shared" si="156"/>
        <v>0.46411326873185343</v>
      </c>
      <c r="AI232" s="4">
        <f t="shared" si="156"/>
        <v>0.36979727595523937</v>
      </c>
      <c r="AJ232" s="4">
        <f t="shared" si="156"/>
        <v>0.28393948637231203</v>
      </c>
      <c r="AK232" s="4">
        <f t="shared" si="156"/>
        <v>0.21097259161117732</v>
      </c>
      <c r="AL232" s="4">
        <f t="shared" si="156"/>
        <v>0.15253917653798199</v>
      </c>
      <c r="AM232" s="4">
        <f t="shared" si="156"/>
        <v>0.10795188737709993</v>
      </c>
      <c r="AN232" s="4">
        <f t="shared" si="156"/>
        <v>7.5176653938091809E-2</v>
      </c>
      <c r="AO232" s="4">
        <f t="shared" si="156"/>
        <v>5.1742836177502194E-2</v>
      </c>
      <c r="AP232" s="4">
        <f t="shared" si="156"/>
        <v>3.5319190625345942E-2</v>
      </c>
      <c r="AQ232" s="4">
        <f t="shared" si="156"/>
        <v>2.3969442072658165E-2</v>
      </c>
      <c r="AR232" s="4">
        <f t="shared" si="156"/>
        <v>1.6202243558389728E-2</v>
      </c>
    </row>
    <row r="233" spans="1:44" x14ac:dyDescent="0.25">
      <c r="A233" s="24" t="s">
        <v>59</v>
      </c>
      <c r="B233" s="60">
        <f>'Parameter Input'!$L$209</f>
        <v>647</v>
      </c>
      <c r="C233" s="61">
        <f>'Parameter Input'!$M$209</f>
        <v>600</v>
      </c>
      <c r="D233" s="1" t="s">
        <v>60</v>
      </c>
      <c r="L233" s="54">
        <f>'Parameter Input'!$O$209</f>
        <v>17</v>
      </c>
      <c r="M233" s="37">
        <v>0</v>
      </c>
      <c r="N233" s="37">
        <v>1</v>
      </c>
      <c r="O233" s="37">
        <f>'Parameter Input'!$P$209</f>
        <v>0.9</v>
      </c>
      <c r="P233" s="55">
        <f>'Parameter Input'!$Q$209</f>
        <v>0.4</v>
      </c>
      <c r="Q233" s="4">
        <f t="shared" si="156"/>
        <v>0.99780374543478534</v>
      </c>
      <c r="R233" s="4">
        <f t="shared" si="156"/>
        <v>0.99685359315256394</v>
      </c>
      <c r="S233" s="4">
        <f t="shared" si="156"/>
        <v>0.99549347132349975</v>
      </c>
      <c r="T233" s="4">
        <f t="shared" si="156"/>
        <v>0.99354772139898062</v>
      </c>
      <c r="U233" s="4">
        <f t="shared" si="156"/>
        <v>0.99076681540580536</v>
      </c>
      <c r="V233" s="4">
        <f t="shared" si="156"/>
        <v>0.9867978615748374</v>
      </c>
      <c r="W233" s="4">
        <f t="shared" si="156"/>
        <v>0.98114509762858249</v>
      </c>
      <c r="X233" s="4">
        <f t="shared" si="156"/>
        <v>0.97311898315872036</v>
      </c>
      <c r="Y233" s="4">
        <f t="shared" si="156"/>
        <v>0.96177484161592774</v>
      </c>
      <c r="Z233" s="4">
        <f t="shared" si="156"/>
        <v>0.94584787155511363</v>
      </c>
      <c r="AA233" s="4">
        <f t="shared" si="156"/>
        <v>0.92370360150141495</v>
      </c>
      <c r="AB233" s="4">
        <f t="shared" si="156"/>
        <v>0.89334463567658451</v>
      </c>
      <c r="AC233" s="4">
        <f t="shared" si="156"/>
        <v>0.85254543874327005</v>
      </c>
      <c r="AD233" s="4">
        <f t="shared" si="156"/>
        <v>0.79921300652623883</v>
      </c>
      <c r="AE233" s="4">
        <f t="shared" si="156"/>
        <v>0.73204982249993378</v>
      </c>
      <c r="AF233" s="4">
        <f t="shared" si="156"/>
        <v>0.65145592958786691</v>
      </c>
      <c r="AG233" s="4">
        <f t="shared" si="156"/>
        <v>0.56032247880849573</v>
      </c>
      <c r="AH233" s="4">
        <f t="shared" si="156"/>
        <v>0.46411326873185343</v>
      </c>
      <c r="AI233" s="4">
        <f t="shared" si="156"/>
        <v>0.36979727595523937</v>
      </c>
      <c r="AJ233" s="4">
        <f t="shared" si="156"/>
        <v>0.28393948637231203</v>
      </c>
      <c r="AK233" s="4">
        <f t="shared" si="156"/>
        <v>0.21097259161117732</v>
      </c>
      <c r="AL233" s="4">
        <f t="shared" si="156"/>
        <v>0.15253917653798199</v>
      </c>
      <c r="AM233" s="4">
        <f t="shared" si="156"/>
        <v>0.10795188737709993</v>
      </c>
      <c r="AN233" s="4">
        <f t="shared" si="156"/>
        <v>7.5176653938091809E-2</v>
      </c>
      <c r="AO233" s="4">
        <f t="shared" si="156"/>
        <v>5.1742836177502194E-2</v>
      </c>
      <c r="AP233" s="4">
        <f t="shared" si="156"/>
        <v>3.5319190625345942E-2</v>
      </c>
      <c r="AQ233" s="4">
        <f t="shared" si="156"/>
        <v>2.3969442072658165E-2</v>
      </c>
      <c r="AR233" s="4">
        <f t="shared" si="156"/>
        <v>1.6202243558389728E-2</v>
      </c>
    </row>
    <row r="234" spans="1:44" x14ac:dyDescent="0.25">
      <c r="A234" s="24" t="s">
        <v>67</v>
      </c>
      <c r="B234" s="78">
        <f>'Parameter Input'!$L$210</f>
        <v>0.46076973995226939</v>
      </c>
      <c r="C234" s="61">
        <f>'Parameter Input'!$M$210</f>
        <v>0.14224714585492179</v>
      </c>
      <c r="D234" s="1" t="s">
        <v>68</v>
      </c>
      <c r="L234" s="54">
        <f>'Parameter Input'!$O$210</f>
        <v>17</v>
      </c>
      <c r="M234" s="37">
        <v>0</v>
      </c>
      <c r="N234" s="37">
        <v>1</v>
      </c>
      <c r="O234" s="37">
        <f>'Parameter Input'!$P$210</f>
        <v>0.9</v>
      </c>
      <c r="P234" s="55">
        <f>'Parameter Input'!$Q$210</f>
        <v>0.4</v>
      </c>
      <c r="Q234" s="4">
        <f t="shared" si="156"/>
        <v>0.99780374543478534</v>
      </c>
      <c r="R234" s="4">
        <f t="shared" si="156"/>
        <v>0.99685359315256394</v>
      </c>
      <c r="S234" s="4">
        <f t="shared" si="156"/>
        <v>0.99549347132349975</v>
      </c>
      <c r="T234" s="4">
        <f t="shared" ref="T234:AI241" si="157">$N234+($M234-$N234)*((1/(1+EXP(-$P234*(T$9-$L234)))^$O234))</f>
        <v>0.99354772139898062</v>
      </c>
      <c r="U234" s="4">
        <f t="shared" si="157"/>
        <v>0.99076681540580536</v>
      </c>
      <c r="V234" s="4">
        <f t="shared" si="157"/>
        <v>0.9867978615748374</v>
      </c>
      <c r="W234" s="4">
        <f t="shared" si="157"/>
        <v>0.98114509762858249</v>
      </c>
      <c r="X234" s="4">
        <f t="shared" si="157"/>
        <v>0.97311898315872036</v>
      </c>
      <c r="Y234" s="4">
        <f t="shared" si="157"/>
        <v>0.96177484161592774</v>
      </c>
      <c r="Z234" s="4">
        <f t="shared" si="157"/>
        <v>0.94584787155511363</v>
      </c>
      <c r="AA234" s="4">
        <f t="shared" si="157"/>
        <v>0.92370360150141495</v>
      </c>
      <c r="AB234" s="4">
        <f t="shared" si="157"/>
        <v>0.89334463567658451</v>
      </c>
      <c r="AC234" s="4">
        <f t="shared" si="157"/>
        <v>0.85254543874327005</v>
      </c>
      <c r="AD234" s="4">
        <f t="shared" si="157"/>
        <v>0.79921300652623883</v>
      </c>
      <c r="AE234" s="4">
        <f t="shared" si="157"/>
        <v>0.73204982249993378</v>
      </c>
      <c r="AF234" s="4">
        <f t="shared" si="157"/>
        <v>0.65145592958786691</v>
      </c>
      <c r="AG234" s="4">
        <f t="shared" si="157"/>
        <v>0.56032247880849573</v>
      </c>
      <c r="AH234" s="4">
        <f t="shared" si="157"/>
        <v>0.46411326873185343</v>
      </c>
      <c r="AI234" s="4">
        <f t="shared" si="157"/>
        <v>0.36979727595523937</v>
      </c>
      <c r="AJ234" s="4">
        <f t="shared" ref="AJ234:AR241" si="158">$N234+($M234-$N234)*((1/(1+EXP(-$P234*(AJ$9-$L234)))^$O234))</f>
        <v>0.28393948637231203</v>
      </c>
      <c r="AK234" s="4">
        <f t="shared" si="158"/>
        <v>0.21097259161117732</v>
      </c>
      <c r="AL234" s="4">
        <f t="shared" si="158"/>
        <v>0.15253917653798199</v>
      </c>
      <c r="AM234" s="4">
        <f t="shared" si="158"/>
        <v>0.10795188737709993</v>
      </c>
      <c r="AN234" s="4">
        <f t="shared" si="158"/>
        <v>7.5176653938091809E-2</v>
      </c>
      <c r="AO234" s="4">
        <f t="shared" si="158"/>
        <v>5.1742836177502194E-2</v>
      </c>
      <c r="AP234" s="4">
        <f t="shared" si="158"/>
        <v>3.5319190625345942E-2</v>
      </c>
      <c r="AQ234" s="4">
        <f t="shared" si="158"/>
        <v>2.3969442072658165E-2</v>
      </c>
      <c r="AR234" s="4">
        <f t="shared" si="158"/>
        <v>1.6202243558389728E-2</v>
      </c>
    </row>
    <row r="235" spans="1:44" x14ac:dyDescent="0.25">
      <c r="A235" s="24" t="s">
        <v>206</v>
      </c>
      <c r="B235" s="115">
        <f>'Parameter Input'!$L$213</f>
        <v>3.1631111111111108</v>
      </c>
      <c r="C235" s="116">
        <f>'Parameter Input'!$M$213</f>
        <v>0</v>
      </c>
      <c r="D235" s="1" t="s">
        <v>76</v>
      </c>
      <c r="L235" s="54">
        <f>'Parameter Input'!$O$213</f>
        <v>17</v>
      </c>
      <c r="M235" s="37">
        <v>0</v>
      </c>
      <c r="N235" s="37">
        <v>1</v>
      </c>
      <c r="O235" s="37">
        <f>'Parameter Input'!$P$213</f>
        <v>0.9</v>
      </c>
      <c r="P235" s="55">
        <f>'Parameter Input'!$Q$213</f>
        <v>0.4</v>
      </c>
      <c r="Q235" s="4">
        <f t="shared" ref="Q235:AR235" si="159">$N235+($M235-$N235)*((1/(1+EXP(-$P235*(Q$9-$L235)))^$O235))</f>
        <v>0.99780374543478534</v>
      </c>
      <c r="R235" s="4">
        <f t="shared" si="159"/>
        <v>0.99685359315256394</v>
      </c>
      <c r="S235" s="4">
        <f t="shared" si="159"/>
        <v>0.99549347132349975</v>
      </c>
      <c r="T235" s="4">
        <f t="shared" si="159"/>
        <v>0.99354772139898062</v>
      </c>
      <c r="U235" s="4">
        <f t="shared" si="159"/>
        <v>0.99076681540580536</v>
      </c>
      <c r="V235" s="4">
        <f t="shared" si="159"/>
        <v>0.9867978615748374</v>
      </c>
      <c r="W235" s="4">
        <f t="shared" si="159"/>
        <v>0.98114509762858249</v>
      </c>
      <c r="X235" s="4">
        <f t="shared" si="159"/>
        <v>0.97311898315872036</v>
      </c>
      <c r="Y235" s="4">
        <f t="shared" si="159"/>
        <v>0.96177484161592774</v>
      </c>
      <c r="Z235" s="4">
        <f t="shared" si="159"/>
        <v>0.94584787155511363</v>
      </c>
      <c r="AA235" s="4">
        <f t="shared" si="159"/>
        <v>0.92370360150141495</v>
      </c>
      <c r="AB235" s="4">
        <f t="shared" si="159"/>
        <v>0.89334463567658451</v>
      </c>
      <c r="AC235" s="4">
        <f t="shared" si="159"/>
        <v>0.85254543874327005</v>
      </c>
      <c r="AD235" s="4">
        <f t="shared" si="159"/>
        <v>0.79921300652623883</v>
      </c>
      <c r="AE235" s="4">
        <f t="shared" si="159"/>
        <v>0.73204982249993378</v>
      </c>
      <c r="AF235" s="4">
        <f t="shared" si="159"/>
        <v>0.65145592958786691</v>
      </c>
      <c r="AG235" s="4">
        <f t="shared" si="159"/>
        <v>0.56032247880849573</v>
      </c>
      <c r="AH235" s="4">
        <f t="shared" si="159"/>
        <v>0.46411326873185343</v>
      </c>
      <c r="AI235" s="4">
        <f t="shared" si="159"/>
        <v>0.36979727595523937</v>
      </c>
      <c r="AJ235" s="4">
        <f t="shared" si="159"/>
        <v>0.28393948637231203</v>
      </c>
      <c r="AK235" s="4">
        <f t="shared" si="159"/>
        <v>0.21097259161117732</v>
      </c>
      <c r="AL235" s="4">
        <f t="shared" si="159"/>
        <v>0.15253917653798199</v>
      </c>
      <c r="AM235" s="4">
        <f t="shared" si="159"/>
        <v>0.10795188737709993</v>
      </c>
      <c r="AN235" s="4">
        <f t="shared" si="159"/>
        <v>7.5176653938091809E-2</v>
      </c>
      <c r="AO235" s="4">
        <f t="shared" si="159"/>
        <v>5.1742836177502194E-2</v>
      </c>
      <c r="AP235" s="4">
        <f t="shared" si="159"/>
        <v>3.5319190625345942E-2</v>
      </c>
      <c r="AQ235" s="4">
        <f t="shared" si="159"/>
        <v>2.3969442072658165E-2</v>
      </c>
      <c r="AR235" s="4">
        <f t="shared" si="159"/>
        <v>1.6202243558389728E-2</v>
      </c>
    </row>
    <row r="236" spans="1:44" x14ac:dyDescent="0.25">
      <c r="A236" s="24" t="s">
        <v>41</v>
      </c>
      <c r="B236" s="60">
        <f>'Parameter Input'!$L$207</f>
        <v>25</v>
      </c>
      <c r="C236" s="61">
        <f>'Parameter Input'!$M$207</f>
        <v>25</v>
      </c>
      <c r="D236" s="1" t="s">
        <v>42</v>
      </c>
      <c r="L236" s="54">
        <f>'Parameter Input'!$O$207</f>
        <v>17</v>
      </c>
      <c r="M236" s="37">
        <v>0</v>
      </c>
      <c r="N236" s="37">
        <v>1</v>
      </c>
      <c r="O236" s="37">
        <f>'Parameter Input'!$P$207</f>
        <v>0.9</v>
      </c>
      <c r="P236" s="55">
        <f>'Parameter Input'!$Q$207</f>
        <v>0.4</v>
      </c>
      <c r="Q236" s="4">
        <f t="shared" ref="Q236:AF241" si="160">$N236+($M236-$N236)*((1/(1+EXP(-$P236*(Q$9-$L236)))^$O236))</f>
        <v>0.99780374543478534</v>
      </c>
      <c r="R236" s="4">
        <f t="shared" si="160"/>
        <v>0.99685359315256394</v>
      </c>
      <c r="S236" s="4">
        <f t="shared" si="160"/>
        <v>0.99549347132349975</v>
      </c>
      <c r="T236" s="4">
        <f t="shared" si="160"/>
        <v>0.99354772139898062</v>
      </c>
      <c r="U236" s="4">
        <f t="shared" si="160"/>
        <v>0.99076681540580536</v>
      </c>
      <c r="V236" s="4">
        <f t="shared" si="160"/>
        <v>0.9867978615748374</v>
      </c>
      <c r="W236" s="4">
        <f t="shared" si="160"/>
        <v>0.98114509762858249</v>
      </c>
      <c r="X236" s="4">
        <f t="shared" si="160"/>
        <v>0.97311898315872036</v>
      </c>
      <c r="Y236" s="4">
        <f t="shared" si="160"/>
        <v>0.96177484161592774</v>
      </c>
      <c r="Z236" s="4">
        <f t="shared" si="160"/>
        <v>0.94584787155511363</v>
      </c>
      <c r="AA236" s="4">
        <f t="shared" si="160"/>
        <v>0.92370360150141495</v>
      </c>
      <c r="AB236" s="4">
        <f t="shared" si="160"/>
        <v>0.89334463567658451</v>
      </c>
      <c r="AC236" s="4">
        <f t="shared" si="160"/>
        <v>0.85254543874327005</v>
      </c>
      <c r="AD236" s="4">
        <f t="shared" si="160"/>
        <v>0.79921300652623883</v>
      </c>
      <c r="AE236" s="4">
        <f t="shared" si="160"/>
        <v>0.73204982249993378</v>
      </c>
      <c r="AF236" s="4">
        <f t="shared" si="160"/>
        <v>0.65145592958786691</v>
      </c>
      <c r="AG236" s="4">
        <f t="shared" si="157"/>
        <v>0.56032247880849573</v>
      </c>
      <c r="AH236" s="4">
        <f t="shared" si="157"/>
        <v>0.46411326873185343</v>
      </c>
      <c r="AI236" s="4">
        <f t="shared" si="157"/>
        <v>0.36979727595523937</v>
      </c>
      <c r="AJ236" s="4">
        <f t="shared" si="158"/>
        <v>0.28393948637231203</v>
      </c>
      <c r="AK236" s="4">
        <f t="shared" si="158"/>
        <v>0.21097259161117732</v>
      </c>
      <c r="AL236" s="4">
        <f t="shared" si="158"/>
        <v>0.15253917653798199</v>
      </c>
      <c r="AM236" s="4">
        <f t="shared" si="158"/>
        <v>0.10795188737709993</v>
      </c>
      <c r="AN236" s="4">
        <f t="shared" si="158"/>
        <v>7.5176653938091809E-2</v>
      </c>
      <c r="AO236" s="4">
        <f t="shared" si="158"/>
        <v>5.1742836177502194E-2</v>
      </c>
      <c r="AP236" s="4">
        <f t="shared" si="158"/>
        <v>3.5319190625345942E-2</v>
      </c>
      <c r="AQ236" s="4">
        <f t="shared" si="158"/>
        <v>2.3969442072658165E-2</v>
      </c>
      <c r="AR236" s="4">
        <f t="shared" si="158"/>
        <v>1.6202243558389728E-2</v>
      </c>
    </row>
    <row r="237" spans="1:44" x14ac:dyDescent="0.25">
      <c r="A237" s="24" t="s">
        <v>70</v>
      </c>
      <c r="B237" s="60">
        <f>'Parameter Input'!B186</f>
        <v>25</v>
      </c>
      <c r="C237" s="61">
        <f>'Parameter Input'!C186</f>
        <v>25</v>
      </c>
      <c r="D237" s="1" t="s">
        <v>42</v>
      </c>
      <c r="L237" s="54">
        <f>'Parameter Input'!E186</f>
        <v>17</v>
      </c>
      <c r="M237" s="37">
        <v>0</v>
      </c>
      <c r="N237" s="37">
        <v>1</v>
      </c>
      <c r="O237" s="37">
        <f>'Parameter Input'!F186</f>
        <v>0.9</v>
      </c>
      <c r="P237" s="55">
        <f>'Parameter Input'!G186</f>
        <v>0.4</v>
      </c>
      <c r="Q237" s="4">
        <f t="shared" si="160"/>
        <v>0.99780374543478534</v>
      </c>
      <c r="R237" s="4">
        <f t="shared" si="160"/>
        <v>0.99685359315256394</v>
      </c>
      <c r="S237" s="4">
        <f t="shared" si="160"/>
        <v>0.99549347132349975</v>
      </c>
      <c r="T237" s="4">
        <f t="shared" si="160"/>
        <v>0.99354772139898062</v>
      </c>
      <c r="U237" s="4">
        <f t="shared" si="160"/>
        <v>0.99076681540580536</v>
      </c>
      <c r="V237" s="4">
        <f t="shared" si="160"/>
        <v>0.9867978615748374</v>
      </c>
      <c r="W237" s="4">
        <f t="shared" si="160"/>
        <v>0.98114509762858249</v>
      </c>
      <c r="X237" s="4">
        <f t="shared" si="160"/>
        <v>0.97311898315872036</v>
      </c>
      <c r="Y237" s="4">
        <f t="shared" si="160"/>
        <v>0.96177484161592774</v>
      </c>
      <c r="Z237" s="4">
        <f t="shared" si="160"/>
        <v>0.94584787155511363</v>
      </c>
      <c r="AA237" s="4">
        <f t="shared" si="160"/>
        <v>0.92370360150141495</v>
      </c>
      <c r="AB237" s="4">
        <f t="shared" si="160"/>
        <v>0.89334463567658451</v>
      </c>
      <c r="AC237" s="4">
        <f t="shared" si="160"/>
        <v>0.85254543874327005</v>
      </c>
      <c r="AD237" s="4">
        <f t="shared" si="160"/>
        <v>0.79921300652623883</v>
      </c>
      <c r="AE237" s="4">
        <f t="shared" si="160"/>
        <v>0.73204982249993378</v>
      </c>
      <c r="AF237" s="4">
        <f t="shared" si="160"/>
        <v>0.65145592958786691</v>
      </c>
      <c r="AG237" s="4">
        <f t="shared" si="157"/>
        <v>0.56032247880849573</v>
      </c>
      <c r="AH237" s="4">
        <f t="shared" si="157"/>
        <v>0.46411326873185343</v>
      </c>
      <c r="AI237" s="4">
        <f t="shared" si="157"/>
        <v>0.36979727595523937</v>
      </c>
      <c r="AJ237" s="4">
        <f t="shared" si="158"/>
        <v>0.28393948637231203</v>
      </c>
      <c r="AK237" s="4">
        <f t="shared" si="158"/>
        <v>0.21097259161117732</v>
      </c>
      <c r="AL237" s="4">
        <f t="shared" si="158"/>
        <v>0.15253917653798199</v>
      </c>
      <c r="AM237" s="4">
        <f t="shared" si="158"/>
        <v>0.10795188737709993</v>
      </c>
      <c r="AN237" s="4">
        <f t="shared" si="158"/>
        <v>7.5176653938091809E-2</v>
      </c>
      <c r="AO237" s="4">
        <f t="shared" si="158"/>
        <v>5.1742836177502194E-2</v>
      </c>
      <c r="AP237" s="4">
        <f t="shared" si="158"/>
        <v>3.5319190625345942E-2</v>
      </c>
      <c r="AQ237" s="4">
        <f t="shared" si="158"/>
        <v>2.3969442072658165E-2</v>
      </c>
      <c r="AR237" s="4">
        <f t="shared" si="158"/>
        <v>1.6202243558389728E-2</v>
      </c>
    </row>
    <row r="238" spans="1:44" x14ac:dyDescent="0.25">
      <c r="A238" s="24" t="s">
        <v>207</v>
      </c>
      <c r="B238" s="43">
        <f>'Parameter Input'!B183</f>
        <v>9450</v>
      </c>
      <c r="C238" s="44">
        <f>'Parameter Input'!C183</f>
        <v>9450</v>
      </c>
      <c r="D238" s="1" t="s">
        <v>49</v>
      </c>
      <c r="L238" s="54">
        <f>'Parameter Input'!E183</f>
        <v>17</v>
      </c>
      <c r="M238" s="37">
        <v>0</v>
      </c>
      <c r="N238" s="37">
        <v>1</v>
      </c>
      <c r="O238" s="37">
        <f>'Parameter Input'!F183</f>
        <v>0.9</v>
      </c>
      <c r="P238" s="55">
        <f>'Parameter Input'!G183</f>
        <v>0.4</v>
      </c>
      <c r="Q238" s="4">
        <f t="shared" si="160"/>
        <v>0.99780374543478534</v>
      </c>
      <c r="R238" s="4">
        <f t="shared" si="160"/>
        <v>0.99685359315256394</v>
      </c>
      <c r="S238" s="4">
        <f t="shared" si="160"/>
        <v>0.99549347132349975</v>
      </c>
      <c r="T238" s="4">
        <f t="shared" si="160"/>
        <v>0.99354772139898062</v>
      </c>
      <c r="U238" s="4">
        <f t="shared" si="160"/>
        <v>0.99076681540580536</v>
      </c>
      <c r="V238" s="4">
        <f t="shared" si="160"/>
        <v>0.9867978615748374</v>
      </c>
      <c r="W238" s="4">
        <f t="shared" si="160"/>
        <v>0.98114509762858249</v>
      </c>
      <c r="X238" s="4">
        <f t="shared" si="160"/>
        <v>0.97311898315872036</v>
      </c>
      <c r="Y238" s="4">
        <f t="shared" si="160"/>
        <v>0.96177484161592774</v>
      </c>
      <c r="Z238" s="4">
        <f t="shared" si="160"/>
        <v>0.94584787155511363</v>
      </c>
      <c r="AA238" s="4">
        <f t="shared" si="160"/>
        <v>0.92370360150141495</v>
      </c>
      <c r="AB238" s="4">
        <f t="shared" si="160"/>
        <v>0.89334463567658451</v>
      </c>
      <c r="AC238" s="4">
        <f t="shared" si="160"/>
        <v>0.85254543874327005</v>
      </c>
      <c r="AD238" s="4">
        <f t="shared" si="160"/>
        <v>0.79921300652623883</v>
      </c>
      <c r="AE238" s="4">
        <f t="shared" si="160"/>
        <v>0.73204982249993378</v>
      </c>
      <c r="AF238" s="4">
        <f t="shared" si="160"/>
        <v>0.65145592958786691</v>
      </c>
      <c r="AG238" s="4">
        <f t="shared" si="157"/>
        <v>0.56032247880849573</v>
      </c>
      <c r="AH238" s="4">
        <f t="shared" si="157"/>
        <v>0.46411326873185343</v>
      </c>
      <c r="AI238" s="4">
        <f t="shared" si="157"/>
        <v>0.36979727595523937</v>
      </c>
      <c r="AJ238" s="4">
        <f t="shared" si="158"/>
        <v>0.28393948637231203</v>
      </c>
      <c r="AK238" s="4">
        <f t="shared" si="158"/>
        <v>0.21097259161117732</v>
      </c>
      <c r="AL238" s="4">
        <f t="shared" si="158"/>
        <v>0.15253917653798199</v>
      </c>
      <c r="AM238" s="4">
        <f t="shared" si="158"/>
        <v>0.10795188737709993</v>
      </c>
      <c r="AN238" s="4">
        <f t="shared" si="158"/>
        <v>7.5176653938091809E-2</v>
      </c>
      <c r="AO238" s="4">
        <f t="shared" si="158"/>
        <v>5.1742836177502194E-2</v>
      </c>
      <c r="AP238" s="4">
        <f t="shared" si="158"/>
        <v>3.5319190625345942E-2</v>
      </c>
      <c r="AQ238" s="4">
        <f t="shared" si="158"/>
        <v>2.3969442072658165E-2</v>
      </c>
      <c r="AR238" s="4">
        <f t="shared" si="158"/>
        <v>1.6202243558389728E-2</v>
      </c>
    </row>
    <row r="239" spans="1:44" x14ac:dyDescent="0.25">
      <c r="A239" s="24" t="s">
        <v>56</v>
      </c>
      <c r="B239" s="45">
        <f>'Parameter Input'!B184</f>
        <v>0.52</v>
      </c>
      <c r="C239" s="46">
        <f>'Parameter Input'!C184</f>
        <v>0.52</v>
      </c>
      <c r="D239" s="1" t="s">
        <v>57</v>
      </c>
      <c r="L239" s="54">
        <f>'Parameter Input'!E184</f>
        <v>17</v>
      </c>
      <c r="M239" s="37">
        <v>0</v>
      </c>
      <c r="N239" s="37">
        <v>1</v>
      </c>
      <c r="O239" s="37">
        <f>'Parameter Input'!F184</f>
        <v>0.9</v>
      </c>
      <c r="P239" s="55">
        <f>'Parameter Input'!G184</f>
        <v>0.4</v>
      </c>
      <c r="Q239" s="4">
        <f t="shared" si="160"/>
        <v>0.99780374543478534</v>
      </c>
      <c r="R239" s="4">
        <f t="shared" si="160"/>
        <v>0.99685359315256394</v>
      </c>
      <c r="S239" s="4">
        <f t="shared" si="160"/>
        <v>0.99549347132349975</v>
      </c>
      <c r="T239" s="4">
        <f t="shared" si="160"/>
        <v>0.99354772139898062</v>
      </c>
      <c r="U239" s="4">
        <f t="shared" si="160"/>
        <v>0.99076681540580536</v>
      </c>
      <c r="V239" s="4">
        <f t="shared" si="160"/>
        <v>0.9867978615748374</v>
      </c>
      <c r="W239" s="4">
        <f t="shared" si="160"/>
        <v>0.98114509762858249</v>
      </c>
      <c r="X239" s="4">
        <f t="shared" si="160"/>
        <v>0.97311898315872036</v>
      </c>
      <c r="Y239" s="4">
        <f t="shared" si="160"/>
        <v>0.96177484161592774</v>
      </c>
      <c r="Z239" s="4">
        <f t="shared" si="160"/>
        <v>0.94584787155511363</v>
      </c>
      <c r="AA239" s="4">
        <f t="shared" si="160"/>
        <v>0.92370360150141495</v>
      </c>
      <c r="AB239" s="4">
        <f t="shared" si="160"/>
        <v>0.89334463567658451</v>
      </c>
      <c r="AC239" s="4">
        <f t="shared" si="160"/>
        <v>0.85254543874327005</v>
      </c>
      <c r="AD239" s="4">
        <f t="shared" si="160"/>
        <v>0.79921300652623883</v>
      </c>
      <c r="AE239" s="4">
        <f t="shared" si="160"/>
        <v>0.73204982249993378</v>
      </c>
      <c r="AF239" s="4">
        <f t="shared" si="160"/>
        <v>0.65145592958786691</v>
      </c>
      <c r="AG239" s="4">
        <f t="shared" si="157"/>
        <v>0.56032247880849573</v>
      </c>
      <c r="AH239" s="4">
        <f t="shared" si="157"/>
        <v>0.46411326873185343</v>
      </c>
      <c r="AI239" s="4">
        <f t="shared" si="157"/>
        <v>0.36979727595523937</v>
      </c>
      <c r="AJ239" s="4">
        <f t="shared" si="158"/>
        <v>0.28393948637231203</v>
      </c>
      <c r="AK239" s="4">
        <f t="shared" si="158"/>
        <v>0.21097259161117732</v>
      </c>
      <c r="AL239" s="4">
        <f t="shared" si="158"/>
        <v>0.15253917653798199</v>
      </c>
      <c r="AM239" s="4">
        <f t="shared" si="158"/>
        <v>0.10795188737709993</v>
      </c>
      <c r="AN239" s="4">
        <f t="shared" si="158"/>
        <v>7.5176653938091809E-2</v>
      </c>
      <c r="AO239" s="4">
        <f t="shared" si="158"/>
        <v>5.1742836177502194E-2</v>
      </c>
      <c r="AP239" s="4">
        <f t="shared" si="158"/>
        <v>3.5319190625345942E-2</v>
      </c>
      <c r="AQ239" s="4">
        <f t="shared" si="158"/>
        <v>2.3969442072658165E-2</v>
      </c>
      <c r="AR239" s="4">
        <f t="shared" si="158"/>
        <v>1.6202243558389728E-2</v>
      </c>
    </row>
    <row r="240" spans="1:44" x14ac:dyDescent="0.25">
      <c r="A240" s="24" t="s">
        <v>73</v>
      </c>
      <c r="B240" s="45">
        <f>'Parameter Input'!$L$211</f>
        <v>0.04</v>
      </c>
      <c r="C240" s="46">
        <f>'Parameter Input'!$M$211</f>
        <v>0.04</v>
      </c>
      <c r="D240" s="1" t="s">
        <v>57</v>
      </c>
      <c r="L240" s="54">
        <f>'Parameter Input'!$O$211</f>
        <v>17</v>
      </c>
      <c r="M240" s="37">
        <v>0</v>
      </c>
      <c r="N240" s="37">
        <v>1</v>
      </c>
      <c r="O240" s="37">
        <f>'Parameter Input'!$P$211</f>
        <v>0.9</v>
      </c>
      <c r="P240" s="55">
        <f>'Parameter Input'!$Q$211</f>
        <v>0.4</v>
      </c>
      <c r="Q240" s="4">
        <f t="shared" si="160"/>
        <v>0.99780374543478534</v>
      </c>
      <c r="R240" s="4">
        <f t="shared" si="160"/>
        <v>0.99685359315256394</v>
      </c>
      <c r="S240" s="4">
        <f t="shared" si="160"/>
        <v>0.99549347132349975</v>
      </c>
      <c r="T240" s="4">
        <f t="shared" si="160"/>
        <v>0.99354772139898062</v>
      </c>
      <c r="U240" s="4">
        <f t="shared" si="160"/>
        <v>0.99076681540580536</v>
      </c>
      <c r="V240" s="4">
        <f t="shared" si="160"/>
        <v>0.9867978615748374</v>
      </c>
      <c r="W240" s="4">
        <f t="shared" si="160"/>
        <v>0.98114509762858249</v>
      </c>
      <c r="X240" s="4">
        <f t="shared" si="160"/>
        <v>0.97311898315872036</v>
      </c>
      <c r="Y240" s="4">
        <f t="shared" si="160"/>
        <v>0.96177484161592774</v>
      </c>
      <c r="Z240" s="4">
        <f t="shared" si="160"/>
        <v>0.94584787155511363</v>
      </c>
      <c r="AA240" s="4">
        <f t="shared" si="160"/>
        <v>0.92370360150141495</v>
      </c>
      <c r="AB240" s="4">
        <f t="shared" si="160"/>
        <v>0.89334463567658451</v>
      </c>
      <c r="AC240" s="4">
        <f t="shared" si="160"/>
        <v>0.85254543874327005</v>
      </c>
      <c r="AD240" s="4">
        <f t="shared" si="160"/>
        <v>0.79921300652623883</v>
      </c>
      <c r="AE240" s="4">
        <f t="shared" si="160"/>
        <v>0.73204982249993378</v>
      </c>
      <c r="AF240" s="4">
        <f t="shared" si="160"/>
        <v>0.65145592958786691</v>
      </c>
      <c r="AG240" s="4">
        <f t="shared" si="157"/>
        <v>0.56032247880849573</v>
      </c>
      <c r="AH240" s="4">
        <f t="shared" si="157"/>
        <v>0.46411326873185343</v>
      </c>
      <c r="AI240" s="4">
        <f t="shared" si="157"/>
        <v>0.36979727595523937</v>
      </c>
      <c r="AJ240" s="4">
        <f t="shared" si="158"/>
        <v>0.28393948637231203</v>
      </c>
      <c r="AK240" s="4">
        <f t="shared" si="158"/>
        <v>0.21097259161117732</v>
      </c>
      <c r="AL240" s="4">
        <f t="shared" si="158"/>
        <v>0.15253917653798199</v>
      </c>
      <c r="AM240" s="4">
        <f t="shared" si="158"/>
        <v>0.10795188737709993</v>
      </c>
      <c r="AN240" s="4">
        <f t="shared" si="158"/>
        <v>7.5176653938091809E-2</v>
      </c>
      <c r="AO240" s="4">
        <f t="shared" si="158"/>
        <v>5.1742836177502194E-2</v>
      </c>
      <c r="AP240" s="4">
        <f t="shared" si="158"/>
        <v>3.5319190625345942E-2</v>
      </c>
      <c r="AQ240" s="4">
        <f t="shared" si="158"/>
        <v>2.3969442072658165E-2</v>
      </c>
      <c r="AR240" s="4">
        <f t="shared" si="158"/>
        <v>1.6202243558389728E-2</v>
      </c>
    </row>
    <row r="241" spans="1:44" ht="15.75" thickBot="1" x14ac:dyDescent="0.3">
      <c r="A241" s="24" t="s">
        <v>64</v>
      </c>
      <c r="B241" s="49">
        <f>'Parameter Input'!B185</f>
        <v>120000</v>
      </c>
      <c r="C241" s="50">
        <f>'Parameter Input'!C185</f>
        <v>120000</v>
      </c>
      <c r="D241" s="1" t="s">
        <v>65</v>
      </c>
      <c r="L241" s="56">
        <f>'Parameter Input'!E185</f>
        <v>17</v>
      </c>
      <c r="M241" s="57">
        <v>0</v>
      </c>
      <c r="N241" s="57">
        <v>1</v>
      </c>
      <c r="O241" s="57">
        <f>'Parameter Input'!F185</f>
        <v>0.9</v>
      </c>
      <c r="P241" s="58">
        <f>'Parameter Input'!G185</f>
        <v>0.4</v>
      </c>
      <c r="Q241" s="4">
        <f t="shared" si="160"/>
        <v>0.99780374543478534</v>
      </c>
      <c r="R241" s="4">
        <f t="shared" si="160"/>
        <v>0.99685359315256394</v>
      </c>
      <c r="S241" s="4">
        <f t="shared" si="160"/>
        <v>0.99549347132349975</v>
      </c>
      <c r="T241" s="4">
        <f t="shared" si="160"/>
        <v>0.99354772139898062</v>
      </c>
      <c r="U241" s="4">
        <f t="shared" si="160"/>
        <v>0.99076681540580536</v>
      </c>
      <c r="V241" s="4">
        <f t="shared" si="160"/>
        <v>0.9867978615748374</v>
      </c>
      <c r="W241" s="4">
        <f t="shared" si="160"/>
        <v>0.98114509762858249</v>
      </c>
      <c r="X241" s="4">
        <f t="shared" si="160"/>
        <v>0.97311898315872036</v>
      </c>
      <c r="Y241" s="4">
        <f t="shared" si="160"/>
        <v>0.96177484161592774</v>
      </c>
      <c r="Z241" s="4">
        <f t="shared" si="160"/>
        <v>0.94584787155511363</v>
      </c>
      <c r="AA241" s="4">
        <f t="shared" si="160"/>
        <v>0.92370360150141495</v>
      </c>
      <c r="AB241" s="4">
        <f t="shared" si="160"/>
        <v>0.89334463567658451</v>
      </c>
      <c r="AC241" s="4">
        <f t="shared" si="160"/>
        <v>0.85254543874327005</v>
      </c>
      <c r="AD241" s="4">
        <f t="shared" si="160"/>
        <v>0.79921300652623883</v>
      </c>
      <c r="AE241" s="4">
        <f t="shared" si="160"/>
        <v>0.73204982249993378</v>
      </c>
      <c r="AF241" s="4">
        <f t="shared" si="160"/>
        <v>0.65145592958786691</v>
      </c>
      <c r="AG241" s="4">
        <f t="shared" si="157"/>
        <v>0.56032247880849573</v>
      </c>
      <c r="AH241" s="4">
        <f t="shared" si="157"/>
        <v>0.46411326873185343</v>
      </c>
      <c r="AI241" s="4">
        <f t="shared" si="157"/>
        <v>0.36979727595523937</v>
      </c>
      <c r="AJ241" s="4">
        <f t="shared" si="158"/>
        <v>0.28393948637231203</v>
      </c>
      <c r="AK241" s="4">
        <f t="shared" si="158"/>
        <v>0.21097259161117732</v>
      </c>
      <c r="AL241" s="4">
        <f t="shared" si="158"/>
        <v>0.15253917653798199</v>
      </c>
      <c r="AM241" s="4">
        <f t="shared" si="158"/>
        <v>0.10795188737709993</v>
      </c>
      <c r="AN241" s="4">
        <f t="shared" si="158"/>
        <v>7.5176653938091809E-2</v>
      </c>
      <c r="AO241" s="4">
        <f t="shared" si="158"/>
        <v>5.1742836177502194E-2</v>
      </c>
      <c r="AP241" s="4">
        <f t="shared" si="158"/>
        <v>3.5319190625345942E-2</v>
      </c>
      <c r="AQ241" s="4">
        <f t="shared" si="158"/>
        <v>2.3969442072658165E-2</v>
      </c>
      <c r="AR241" s="4">
        <f t="shared" si="158"/>
        <v>1.6202243558389728E-2</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61">A225</f>
        <v>Capex vehicle</v>
      </c>
      <c r="B245" s="62">
        <f t="shared" ref="B245:B254" si="162">$B225+($C225-$B225)*(1-Q225)</f>
        <v>19490116.854456533</v>
      </c>
      <c r="C245" s="62">
        <f t="shared" ref="C245:C254" si="163">$B225+($C225-$B225)*(1-R225)</f>
        <v>19485841.169186536</v>
      </c>
      <c r="D245" s="62">
        <f t="shared" ref="D245:D254" si="164">$B225+($C225-$B225)*(1-S225)</f>
        <v>19479720.62095575</v>
      </c>
      <c r="E245" s="62">
        <f t="shared" ref="E245:E254" si="165">$B225+($C225-$B225)*(1-T225)</f>
        <v>19470964.746295411</v>
      </c>
      <c r="F245" s="62">
        <f t="shared" ref="F245:F254" si="166">$B225+($C225-$B225)*(1-U225)</f>
        <v>19458450.669326123</v>
      </c>
      <c r="G245" s="62">
        <f t="shared" ref="G245:G254" si="167">$B225+($C225-$B225)*(1-V225)</f>
        <v>19440590.37708677</v>
      </c>
      <c r="H245" s="62">
        <f t="shared" ref="H245:H254" si="168">$B225+($C225-$B225)*(1-W225)</f>
        <v>19415152.939328622</v>
      </c>
      <c r="I245" s="62">
        <f t="shared" ref="I245:I254" si="169">$B225+($C225-$B225)*(1-X225)</f>
        <v>19379035.42421424</v>
      </c>
      <c r="J245" s="62">
        <f t="shared" ref="J245:J254" si="170">$B225+($C225-$B225)*(1-Y225)</f>
        <v>19327986.787271675</v>
      </c>
      <c r="K245" s="62">
        <f t="shared" ref="K245:K254" si="171">$B225+($C225-$B225)*(1-Z225)</f>
        <v>19256315.421998013</v>
      </c>
      <c r="L245" s="62">
        <f t="shared" ref="L245:L254" si="172">$B225+($C225-$B225)*(1-AA225)</f>
        <v>19156666.206756368</v>
      </c>
      <c r="M245" s="62">
        <f t="shared" ref="M245:M254" si="173">$B225+($C225-$B225)*(1-AB225)</f>
        <v>19020050.860544629</v>
      </c>
      <c r="N245" s="62">
        <f t="shared" ref="N245:N254" si="174">$B225+($C225-$B225)*(1-AC225)</f>
        <v>18836454.474344715</v>
      </c>
      <c r="O245" s="62">
        <f t="shared" ref="O245:O254" si="175">$B225+($C225-$B225)*(1-AD225)</f>
        <v>18596458.529368076</v>
      </c>
      <c r="P245" s="62">
        <f t="shared" ref="P245:P254" si="176">$B225+($C225-$B225)*(1-AE225)</f>
        <v>18294224.201249704</v>
      </c>
      <c r="Q245" s="62">
        <f t="shared" ref="Q245:Q254" si="177">$B225+($C225-$B225)*(1-AF225)</f>
        <v>17931551.6831454</v>
      </c>
      <c r="R245" s="62">
        <f t="shared" ref="R245:R254" si="178">$B225+($C225-$B225)*(1-AG225)</f>
        <v>17521451.154638231</v>
      </c>
      <c r="S245" s="62">
        <f t="shared" ref="S245:S254" si="179">$B225+($C225-$B225)*(1-AH225)</f>
        <v>17088509.709293339</v>
      </c>
      <c r="T245" s="62">
        <f t="shared" ref="T245:T254" si="180">$B225+($C225-$B225)*(1-AI225)</f>
        <v>16664087.741798578</v>
      </c>
      <c r="U245" s="62">
        <f t="shared" ref="U245:U254" si="181">$B225+($C225-$B225)*(1-AJ225)</f>
        <v>16277727.688675404</v>
      </c>
      <c r="V245" s="62">
        <f t="shared" ref="V245:V254" si="182">$B225+($C225-$B225)*(1-AK225)</f>
        <v>15949376.662250299</v>
      </c>
      <c r="W245" s="62">
        <f t="shared" ref="W245:W254" si="183">$B225+($C225-$B225)*(1-AL225)</f>
        <v>15686426.294420918</v>
      </c>
      <c r="X245" s="62">
        <f t="shared" ref="X245:X254" si="184">$B225+($C225-$B225)*(1-AM225)</f>
        <v>15485783.493196949</v>
      </c>
      <c r="Y245" s="62">
        <f t="shared" ref="Y245:Y254" si="185">$B225+($C225-$B225)*(1-AN225)</f>
        <v>15338294.942721413</v>
      </c>
      <c r="Z245" s="62">
        <f t="shared" ref="Z245:Z254" si="186">$B225+($C225-$B225)*(1-AO225)</f>
        <v>15232842.76279876</v>
      </c>
      <c r="AA245" s="62">
        <f t="shared" ref="AA245:AA254" si="187">$B225+($C225-$B225)*(1-AP225)</f>
        <v>15158936.357814057</v>
      </c>
      <c r="AB245" s="62">
        <f t="shared" ref="AB245:AB254" si="188">$B225+($C225-$B225)*(1-AQ225)</f>
        <v>15107862.489326961</v>
      </c>
      <c r="AC245" s="62">
        <f t="shared" ref="AC245:AC254" si="189">$B225+($C225-$B225)*(1-AR225)</f>
        <v>15072910.096012753</v>
      </c>
    </row>
    <row r="246" spans="1:44" x14ac:dyDescent="0.25">
      <c r="A246" s="30" t="str">
        <f t="shared" si="161"/>
        <v>Residual value (vehicle)</v>
      </c>
      <c r="B246" s="62">
        <f t="shared" si="162"/>
        <v>-976153.03364673769</v>
      </c>
      <c r="C246" s="62">
        <f t="shared" si="163"/>
        <v>-976651.86359490396</v>
      </c>
      <c r="D246" s="62">
        <f t="shared" si="164"/>
        <v>-977365.92755516258</v>
      </c>
      <c r="E246" s="62">
        <f t="shared" si="165"/>
        <v>-978387.4462655352</v>
      </c>
      <c r="F246" s="62">
        <f t="shared" si="166"/>
        <v>-979847.4219119522</v>
      </c>
      <c r="G246" s="62">
        <f t="shared" si="167"/>
        <v>-981931.12267321034</v>
      </c>
      <c r="H246" s="62">
        <f t="shared" si="168"/>
        <v>-984898.82374499424</v>
      </c>
      <c r="I246" s="62">
        <f t="shared" si="169"/>
        <v>-989112.53384167177</v>
      </c>
      <c r="J246" s="62">
        <f t="shared" si="170"/>
        <v>-995068.20815163793</v>
      </c>
      <c r="K246" s="62">
        <f t="shared" si="171"/>
        <v>-1003429.8674335653</v>
      </c>
      <c r="L246" s="62">
        <f t="shared" si="172"/>
        <v>-1015055.6092117572</v>
      </c>
      <c r="M246" s="62">
        <f t="shared" si="173"/>
        <v>-1030994.0662697931</v>
      </c>
      <c r="N246" s="62">
        <f t="shared" si="174"/>
        <v>-1052413.6446597832</v>
      </c>
      <c r="O246" s="62">
        <f t="shared" si="175"/>
        <v>-1080413.1715737246</v>
      </c>
      <c r="P246" s="62">
        <f t="shared" si="176"/>
        <v>-1115673.8431875347</v>
      </c>
      <c r="Q246" s="62">
        <f t="shared" si="177"/>
        <v>-1157985.6369663698</v>
      </c>
      <c r="R246" s="62">
        <f t="shared" si="178"/>
        <v>-1205830.6986255397</v>
      </c>
      <c r="S246" s="62">
        <f t="shared" si="179"/>
        <v>-1256340.533915777</v>
      </c>
      <c r="T246" s="62">
        <f t="shared" si="180"/>
        <v>-1305856.4301234994</v>
      </c>
      <c r="U246" s="62">
        <f t="shared" si="181"/>
        <v>-1350931.7696545362</v>
      </c>
      <c r="V246" s="62">
        <f t="shared" si="182"/>
        <v>-1389239.389404132</v>
      </c>
      <c r="W246" s="62">
        <f t="shared" si="183"/>
        <v>-1419916.9323175594</v>
      </c>
      <c r="X246" s="62">
        <f t="shared" si="184"/>
        <v>-1443325.2591270225</v>
      </c>
      <c r="Y246" s="62">
        <f t="shared" si="185"/>
        <v>-1460532.2566825019</v>
      </c>
      <c r="Z246" s="62">
        <f t="shared" si="186"/>
        <v>-1472835.0110068114</v>
      </c>
      <c r="AA246" s="62">
        <f t="shared" si="187"/>
        <v>-1481457.4249216933</v>
      </c>
      <c r="AB246" s="62">
        <f t="shared" si="188"/>
        <v>-1487416.0429118546</v>
      </c>
      <c r="AC246" s="62">
        <f t="shared" si="189"/>
        <v>-1491493.8221318454</v>
      </c>
    </row>
    <row r="247" spans="1:44" x14ac:dyDescent="0.25">
      <c r="A247" s="30" t="str">
        <f t="shared" si="161"/>
        <v>Capex costumization</v>
      </c>
      <c r="B247" s="62">
        <f t="shared" si="162"/>
        <v>1000000</v>
      </c>
      <c r="C247" s="62">
        <f t="shared" si="163"/>
        <v>1000000</v>
      </c>
      <c r="D247" s="62">
        <f t="shared" si="164"/>
        <v>1000000</v>
      </c>
      <c r="E247" s="62">
        <f t="shared" si="165"/>
        <v>1000000</v>
      </c>
      <c r="F247" s="62">
        <f t="shared" si="166"/>
        <v>1000000</v>
      </c>
      <c r="G247" s="62">
        <f t="shared" si="167"/>
        <v>1000000</v>
      </c>
      <c r="H247" s="62">
        <f t="shared" si="168"/>
        <v>1000000</v>
      </c>
      <c r="I247" s="62">
        <f t="shared" si="169"/>
        <v>1000000</v>
      </c>
      <c r="J247" s="62">
        <f t="shared" si="170"/>
        <v>1000000</v>
      </c>
      <c r="K247" s="62">
        <f t="shared" si="171"/>
        <v>1000000</v>
      </c>
      <c r="L247" s="62">
        <f t="shared" si="172"/>
        <v>1000000</v>
      </c>
      <c r="M247" s="62">
        <f t="shared" si="173"/>
        <v>1000000</v>
      </c>
      <c r="N247" s="62">
        <f t="shared" si="174"/>
        <v>1000000</v>
      </c>
      <c r="O247" s="62">
        <f t="shared" si="175"/>
        <v>1000000</v>
      </c>
      <c r="P247" s="62">
        <f t="shared" si="176"/>
        <v>1000000</v>
      </c>
      <c r="Q247" s="62">
        <f t="shared" si="177"/>
        <v>1000000</v>
      </c>
      <c r="R247" s="62">
        <f t="shared" si="178"/>
        <v>1000000</v>
      </c>
      <c r="S247" s="62">
        <f t="shared" si="179"/>
        <v>1000000</v>
      </c>
      <c r="T247" s="62">
        <f t="shared" si="180"/>
        <v>1000000</v>
      </c>
      <c r="U247" s="62">
        <f t="shared" si="181"/>
        <v>1000000</v>
      </c>
      <c r="V247" s="62">
        <f t="shared" si="182"/>
        <v>1000000</v>
      </c>
      <c r="W247" s="62">
        <f t="shared" si="183"/>
        <v>1000000</v>
      </c>
      <c r="X247" s="62">
        <f t="shared" si="184"/>
        <v>1000000</v>
      </c>
      <c r="Y247" s="62">
        <f t="shared" si="185"/>
        <v>1000000</v>
      </c>
      <c r="Z247" s="62">
        <f t="shared" si="186"/>
        <v>1000000</v>
      </c>
      <c r="AA247" s="62">
        <f t="shared" si="187"/>
        <v>1000000</v>
      </c>
      <c r="AB247" s="62">
        <f t="shared" si="188"/>
        <v>1000000</v>
      </c>
      <c r="AC247" s="62">
        <f t="shared" si="189"/>
        <v>1000000</v>
      </c>
    </row>
    <row r="248" spans="1:44" x14ac:dyDescent="0.25">
      <c r="A248" s="30" t="str">
        <f t="shared" si="161"/>
        <v>Residual value (costumization)</v>
      </c>
      <c r="B248" s="62">
        <f t="shared" si="162"/>
        <v>-100000</v>
      </c>
      <c r="C248" s="62">
        <f t="shared" si="163"/>
        <v>-100000</v>
      </c>
      <c r="D248" s="62">
        <f t="shared" si="164"/>
        <v>-100000</v>
      </c>
      <c r="E248" s="62">
        <f t="shared" si="165"/>
        <v>-100000</v>
      </c>
      <c r="F248" s="62">
        <f t="shared" si="166"/>
        <v>-100000</v>
      </c>
      <c r="G248" s="62">
        <f t="shared" si="167"/>
        <v>-100000</v>
      </c>
      <c r="H248" s="62">
        <f t="shared" si="168"/>
        <v>-100000</v>
      </c>
      <c r="I248" s="62">
        <f t="shared" si="169"/>
        <v>-100000</v>
      </c>
      <c r="J248" s="62">
        <f t="shared" si="170"/>
        <v>-100000</v>
      </c>
      <c r="K248" s="62">
        <f t="shared" si="171"/>
        <v>-100000</v>
      </c>
      <c r="L248" s="62">
        <f t="shared" si="172"/>
        <v>-100000</v>
      </c>
      <c r="M248" s="62">
        <f t="shared" si="173"/>
        <v>-100000</v>
      </c>
      <c r="N248" s="62">
        <f t="shared" si="174"/>
        <v>-100000</v>
      </c>
      <c r="O248" s="62">
        <f t="shared" si="175"/>
        <v>-100000</v>
      </c>
      <c r="P248" s="62">
        <f t="shared" si="176"/>
        <v>-100000</v>
      </c>
      <c r="Q248" s="62">
        <f t="shared" si="177"/>
        <v>-100000</v>
      </c>
      <c r="R248" s="62">
        <f t="shared" si="178"/>
        <v>-100000</v>
      </c>
      <c r="S248" s="62">
        <f t="shared" si="179"/>
        <v>-100000</v>
      </c>
      <c r="T248" s="62">
        <f t="shared" si="180"/>
        <v>-100000</v>
      </c>
      <c r="U248" s="62">
        <f t="shared" si="181"/>
        <v>-100000</v>
      </c>
      <c r="V248" s="62">
        <f t="shared" si="182"/>
        <v>-100000</v>
      </c>
      <c r="W248" s="62">
        <f t="shared" si="183"/>
        <v>-100000</v>
      </c>
      <c r="X248" s="62">
        <f t="shared" si="184"/>
        <v>-100000</v>
      </c>
      <c r="Y248" s="62">
        <f t="shared" si="185"/>
        <v>-100000</v>
      </c>
      <c r="Z248" s="62">
        <f t="shared" si="186"/>
        <v>-100000</v>
      </c>
      <c r="AA248" s="62">
        <f t="shared" si="187"/>
        <v>-100000</v>
      </c>
      <c r="AB248" s="62">
        <f t="shared" si="188"/>
        <v>-100000</v>
      </c>
      <c r="AC248" s="62">
        <f t="shared" si="189"/>
        <v>-100000</v>
      </c>
    </row>
    <row r="249" spans="1:44" x14ac:dyDescent="0.25">
      <c r="A249" s="30" t="str">
        <f t="shared" si="161"/>
        <v>WACC</v>
      </c>
      <c r="B249" s="62">
        <f t="shared" si="162"/>
        <v>0.06</v>
      </c>
      <c r="C249" s="62">
        <f t="shared" si="163"/>
        <v>0.06</v>
      </c>
      <c r="D249" s="62">
        <f t="shared" si="164"/>
        <v>0.06</v>
      </c>
      <c r="E249" s="62">
        <f t="shared" si="165"/>
        <v>0.06</v>
      </c>
      <c r="F249" s="62">
        <f t="shared" si="166"/>
        <v>0.06</v>
      </c>
      <c r="G249" s="62">
        <f t="shared" si="167"/>
        <v>0.06</v>
      </c>
      <c r="H249" s="62">
        <f t="shared" si="168"/>
        <v>0.06</v>
      </c>
      <c r="I249" s="62">
        <f t="shared" si="169"/>
        <v>0.06</v>
      </c>
      <c r="J249" s="62">
        <f t="shared" si="170"/>
        <v>0.06</v>
      </c>
      <c r="K249" s="62">
        <f t="shared" si="171"/>
        <v>0.06</v>
      </c>
      <c r="L249" s="62">
        <f t="shared" si="172"/>
        <v>0.06</v>
      </c>
      <c r="M249" s="62">
        <f t="shared" si="173"/>
        <v>0.06</v>
      </c>
      <c r="N249" s="62">
        <f t="shared" si="174"/>
        <v>0.06</v>
      </c>
      <c r="O249" s="62">
        <f t="shared" si="175"/>
        <v>0.06</v>
      </c>
      <c r="P249" s="62">
        <f t="shared" si="176"/>
        <v>0.06</v>
      </c>
      <c r="Q249" s="62">
        <f t="shared" si="177"/>
        <v>0.06</v>
      </c>
      <c r="R249" s="62">
        <f t="shared" si="178"/>
        <v>0.06</v>
      </c>
      <c r="S249" s="62">
        <f t="shared" si="179"/>
        <v>0.06</v>
      </c>
      <c r="T249" s="62">
        <f t="shared" si="180"/>
        <v>0.06</v>
      </c>
      <c r="U249" s="62">
        <f t="shared" si="181"/>
        <v>0.06</v>
      </c>
      <c r="V249" s="62">
        <f t="shared" si="182"/>
        <v>0.06</v>
      </c>
      <c r="W249" s="62">
        <f t="shared" si="183"/>
        <v>0.06</v>
      </c>
      <c r="X249" s="62">
        <f t="shared" si="184"/>
        <v>0.06</v>
      </c>
      <c r="Y249" s="62">
        <f t="shared" si="185"/>
        <v>0.06</v>
      </c>
      <c r="Z249" s="62">
        <f t="shared" si="186"/>
        <v>0.06</v>
      </c>
      <c r="AA249" s="62">
        <f t="shared" si="187"/>
        <v>0.06</v>
      </c>
      <c r="AB249" s="62">
        <f t="shared" si="188"/>
        <v>0.06</v>
      </c>
      <c r="AC249" s="62">
        <f t="shared" si="189"/>
        <v>0.06</v>
      </c>
    </row>
    <row r="250" spans="1:44" x14ac:dyDescent="0.25">
      <c r="A250" s="30" t="str">
        <f t="shared" si="161"/>
        <v>Opex fix (admin, crew, insurance)</v>
      </c>
      <c r="B250" s="62">
        <f t="shared" si="162"/>
        <v>1208235.294117647</v>
      </c>
      <c r="C250" s="62">
        <f t="shared" si="163"/>
        <v>1208235.294117647</v>
      </c>
      <c r="D250" s="62">
        <f t="shared" si="164"/>
        <v>1208235.294117647</v>
      </c>
      <c r="E250" s="62">
        <f t="shared" si="165"/>
        <v>1208235.294117647</v>
      </c>
      <c r="F250" s="62">
        <f t="shared" si="166"/>
        <v>1208235.294117647</v>
      </c>
      <c r="G250" s="62">
        <f t="shared" si="167"/>
        <v>1208235.294117647</v>
      </c>
      <c r="H250" s="62">
        <f t="shared" si="168"/>
        <v>1208235.294117647</v>
      </c>
      <c r="I250" s="62">
        <f t="shared" si="169"/>
        <v>1208235.294117647</v>
      </c>
      <c r="J250" s="62">
        <f t="shared" si="170"/>
        <v>1208235.294117647</v>
      </c>
      <c r="K250" s="62">
        <f t="shared" si="171"/>
        <v>1208235.294117647</v>
      </c>
      <c r="L250" s="62">
        <f t="shared" si="172"/>
        <v>1208235.294117647</v>
      </c>
      <c r="M250" s="62">
        <f t="shared" si="173"/>
        <v>1208235.294117647</v>
      </c>
      <c r="N250" s="62">
        <f t="shared" si="174"/>
        <v>1208235.294117647</v>
      </c>
      <c r="O250" s="62">
        <f t="shared" si="175"/>
        <v>1208235.294117647</v>
      </c>
      <c r="P250" s="62">
        <f t="shared" si="176"/>
        <v>1208235.294117647</v>
      </c>
      <c r="Q250" s="62">
        <f t="shared" si="177"/>
        <v>1208235.294117647</v>
      </c>
      <c r="R250" s="62">
        <f t="shared" si="178"/>
        <v>1208235.294117647</v>
      </c>
      <c r="S250" s="62">
        <f t="shared" si="179"/>
        <v>1208235.294117647</v>
      </c>
      <c r="T250" s="62">
        <f t="shared" si="180"/>
        <v>1208235.294117647</v>
      </c>
      <c r="U250" s="62">
        <f t="shared" si="181"/>
        <v>1208235.294117647</v>
      </c>
      <c r="V250" s="62">
        <f t="shared" si="182"/>
        <v>1208235.294117647</v>
      </c>
      <c r="W250" s="62">
        <f t="shared" si="183"/>
        <v>1208235.294117647</v>
      </c>
      <c r="X250" s="62">
        <f t="shared" si="184"/>
        <v>1208235.294117647</v>
      </c>
      <c r="Y250" s="62">
        <f t="shared" si="185"/>
        <v>1208235.294117647</v>
      </c>
      <c r="Z250" s="62">
        <f t="shared" si="186"/>
        <v>1208235.294117647</v>
      </c>
      <c r="AA250" s="62">
        <f t="shared" si="187"/>
        <v>1208235.294117647</v>
      </c>
      <c r="AB250" s="62">
        <f t="shared" si="188"/>
        <v>1208235.294117647</v>
      </c>
      <c r="AC250" s="62">
        <f t="shared" si="189"/>
        <v>1208235.294117647</v>
      </c>
    </row>
    <row r="251" spans="1:44" x14ac:dyDescent="0.25">
      <c r="A251" s="30" t="str">
        <f t="shared" si="161"/>
        <v>Opex maintenance &amp; repair</v>
      </c>
      <c r="B251" s="62">
        <f t="shared" si="162"/>
        <v>488235.29411764705</v>
      </c>
      <c r="C251" s="62">
        <f t="shared" si="163"/>
        <v>488235.29411764705</v>
      </c>
      <c r="D251" s="62">
        <f t="shared" si="164"/>
        <v>488235.29411764705</v>
      </c>
      <c r="E251" s="62">
        <f t="shared" si="165"/>
        <v>488235.29411764705</v>
      </c>
      <c r="F251" s="62">
        <f t="shared" si="166"/>
        <v>488235.29411764705</v>
      </c>
      <c r="G251" s="62">
        <f t="shared" si="167"/>
        <v>488235.29411764705</v>
      </c>
      <c r="H251" s="62">
        <f t="shared" si="168"/>
        <v>488235.29411764705</v>
      </c>
      <c r="I251" s="62">
        <f t="shared" si="169"/>
        <v>488235.29411764705</v>
      </c>
      <c r="J251" s="62">
        <f t="shared" si="170"/>
        <v>488235.29411764705</v>
      </c>
      <c r="K251" s="62">
        <f t="shared" si="171"/>
        <v>488235.29411764705</v>
      </c>
      <c r="L251" s="62">
        <f t="shared" si="172"/>
        <v>488235.29411764705</v>
      </c>
      <c r="M251" s="62">
        <f t="shared" si="173"/>
        <v>488235.29411764705</v>
      </c>
      <c r="N251" s="62">
        <f t="shared" si="174"/>
        <v>488235.29411764705</v>
      </c>
      <c r="O251" s="62">
        <f t="shared" si="175"/>
        <v>488235.29411764705</v>
      </c>
      <c r="P251" s="62">
        <f t="shared" si="176"/>
        <v>488235.29411764705</v>
      </c>
      <c r="Q251" s="62">
        <f t="shared" si="177"/>
        <v>488235.29411764705</v>
      </c>
      <c r="R251" s="62">
        <f t="shared" si="178"/>
        <v>488235.29411764705</v>
      </c>
      <c r="S251" s="62">
        <f t="shared" si="179"/>
        <v>488235.29411764705</v>
      </c>
      <c r="T251" s="62">
        <f t="shared" si="180"/>
        <v>488235.29411764705</v>
      </c>
      <c r="U251" s="62">
        <f t="shared" si="181"/>
        <v>488235.29411764705</v>
      </c>
      <c r="V251" s="62">
        <f t="shared" si="182"/>
        <v>488235.29411764705</v>
      </c>
      <c r="W251" s="62">
        <f t="shared" si="183"/>
        <v>488235.29411764705</v>
      </c>
      <c r="X251" s="62">
        <f t="shared" si="184"/>
        <v>488235.29411764705</v>
      </c>
      <c r="Y251" s="62">
        <f t="shared" si="185"/>
        <v>488235.29411764705</v>
      </c>
      <c r="Z251" s="62">
        <f t="shared" si="186"/>
        <v>488235.29411764705</v>
      </c>
      <c r="AA251" s="62">
        <f t="shared" si="187"/>
        <v>488235.29411764705</v>
      </c>
      <c r="AB251" s="62">
        <f t="shared" si="188"/>
        <v>488235.29411764705</v>
      </c>
      <c r="AC251" s="62">
        <f t="shared" si="189"/>
        <v>488235.29411764705</v>
      </c>
    </row>
    <row r="252" spans="1:44" x14ac:dyDescent="0.25">
      <c r="A252" s="30" t="str">
        <f t="shared" si="161"/>
        <v>Opex var (mode-fees)</v>
      </c>
      <c r="B252" s="62">
        <f t="shared" si="162"/>
        <v>0.81280569096848254</v>
      </c>
      <c r="C252" s="62">
        <f t="shared" si="163"/>
        <v>0.81280569096848254</v>
      </c>
      <c r="D252" s="62">
        <f t="shared" si="164"/>
        <v>0.81280569096848254</v>
      </c>
      <c r="E252" s="62">
        <f t="shared" si="165"/>
        <v>0.81280569096848254</v>
      </c>
      <c r="F252" s="62">
        <f t="shared" si="166"/>
        <v>0.81280569096848254</v>
      </c>
      <c r="G252" s="62">
        <f t="shared" si="167"/>
        <v>0.81280569096848254</v>
      </c>
      <c r="H252" s="62">
        <f t="shared" si="168"/>
        <v>0.81280569096848254</v>
      </c>
      <c r="I252" s="62">
        <f t="shared" si="169"/>
        <v>0.81280569096848254</v>
      </c>
      <c r="J252" s="62">
        <f t="shared" si="170"/>
        <v>0.81280569096848254</v>
      </c>
      <c r="K252" s="62">
        <f t="shared" si="171"/>
        <v>0.81280569096848254</v>
      </c>
      <c r="L252" s="62">
        <f t="shared" si="172"/>
        <v>0.81280569096848254</v>
      </c>
      <c r="M252" s="62">
        <f t="shared" si="173"/>
        <v>0.81280569096848254</v>
      </c>
      <c r="N252" s="62">
        <f t="shared" si="174"/>
        <v>0.81280569096848254</v>
      </c>
      <c r="O252" s="62">
        <f t="shared" si="175"/>
        <v>0.81280569096848254</v>
      </c>
      <c r="P252" s="62">
        <f t="shared" si="176"/>
        <v>0.81280569096848254</v>
      </c>
      <c r="Q252" s="62">
        <f t="shared" si="177"/>
        <v>0.81280569096848254</v>
      </c>
      <c r="R252" s="62">
        <f t="shared" si="178"/>
        <v>0.81280569096848254</v>
      </c>
      <c r="S252" s="62">
        <f t="shared" si="179"/>
        <v>0.81280569096848254</v>
      </c>
      <c r="T252" s="62">
        <f t="shared" si="180"/>
        <v>0.81280569096848254</v>
      </c>
      <c r="U252" s="62">
        <f t="shared" si="181"/>
        <v>0.81280569096848254</v>
      </c>
      <c r="V252" s="62">
        <f t="shared" si="182"/>
        <v>0.81280569096848254</v>
      </c>
      <c r="W252" s="62">
        <f t="shared" si="183"/>
        <v>0.81280569096848254</v>
      </c>
      <c r="X252" s="62">
        <f t="shared" si="184"/>
        <v>0.81280569096848254</v>
      </c>
      <c r="Y252" s="62">
        <f t="shared" si="185"/>
        <v>0.81280569096848254</v>
      </c>
      <c r="Z252" s="62">
        <f t="shared" si="186"/>
        <v>0.81280569096848254</v>
      </c>
      <c r="AA252" s="62">
        <f t="shared" si="187"/>
        <v>0.81280569096848254</v>
      </c>
      <c r="AB252" s="62">
        <f t="shared" si="188"/>
        <v>0.81280569096848254</v>
      </c>
      <c r="AC252" s="62">
        <f t="shared" si="189"/>
        <v>0.81280569096848254</v>
      </c>
    </row>
    <row r="253" spans="1:44" x14ac:dyDescent="0.25">
      <c r="A253" s="30" t="str">
        <f t="shared" si="161"/>
        <v>Fuel Economy</v>
      </c>
      <c r="B253" s="62">
        <f t="shared" si="162"/>
        <v>646.89677603543487</v>
      </c>
      <c r="C253" s="62">
        <f t="shared" si="163"/>
        <v>646.85211887817047</v>
      </c>
      <c r="D253" s="62">
        <f t="shared" si="164"/>
        <v>646.78819315220449</v>
      </c>
      <c r="E253" s="62">
        <f t="shared" si="165"/>
        <v>646.6967429057521</v>
      </c>
      <c r="F253" s="62">
        <f t="shared" si="166"/>
        <v>646.5660403240729</v>
      </c>
      <c r="G253" s="62">
        <f t="shared" si="167"/>
        <v>646.37949949401741</v>
      </c>
      <c r="H253" s="62">
        <f t="shared" si="168"/>
        <v>646.11381958854338</v>
      </c>
      <c r="I253" s="62">
        <f t="shared" si="169"/>
        <v>645.73659220845991</v>
      </c>
      <c r="J253" s="62">
        <f t="shared" si="170"/>
        <v>645.20341755594859</v>
      </c>
      <c r="K253" s="62">
        <f t="shared" si="171"/>
        <v>644.4548499630904</v>
      </c>
      <c r="L253" s="62">
        <f t="shared" si="172"/>
        <v>643.41406927056653</v>
      </c>
      <c r="M253" s="62">
        <f t="shared" si="173"/>
        <v>641.98719787679943</v>
      </c>
      <c r="N253" s="62">
        <f t="shared" si="174"/>
        <v>640.0696356209337</v>
      </c>
      <c r="O253" s="62">
        <f t="shared" si="175"/>
        <v>637.56301130673319</v>
      </c>
      <c r="P253" s="62">
        <f t="shared" si="176"/>
        <v>634.40634165749691</v>
      </c>
      <c r="Q253" s="62">
        <f t="shared" si="177"/>
        <v>630.6184286906298</v>
      </c>
      <c r="R253" s="62">
        <f t="shared" si="178"/>
        <v>626.33515650399931</v>
      </c>
      <c r="S253" s="62">
        <f t="shared" si="179"/>
        <v>621.81332363039712</v>
      </c>
      <c r="T253" s="62">
        <f t="shared" si="180"/>
        <v>617.38047196989623</v>
      </c>
      <c r="U253" s="62">
        <f t="shared" si="181"/>
        <v>613.34515585949862</v>
      </c>
      <c r="V253" s="62">
        <f t="shared" si="182"/>
        <v>609.91571180572532</v>
      </c>
      <c r="W253" s="62">
        <f t="shared" si="183"/>
        <v>607.1693412972852</v>
      </c>
      <c r="X253" s="62">
        <f t="shared" si="184"/>
        <v>605.0737387067237</v>
      </c>
      <c r="Y253" s="62">
        <f t="shared" si="185"/>
        <v>603.53330273509027</v>
      </c>
      <c r="Z253" s="62">
        <f t="shared" si="186"/>
        <v>602.43191330034256</v>
      </c>
      <c r="AA253" s="62">
        <f t="shared" si="187"/>
        <v>601.66000195939125</v>
      </c>
      <c r="AB253" s="62">
        <f t="shared" si="188"/>
        <v>601.12656377741496</v>
      </c>
      <c r="AC253" s="62">
        <f t="shared" si="189"/>
        <v>600.7615054472443</v>
      </c>
    </row>
    <row r="254" spans="1:44" x14ac:dyDescent="0.25">
      <c r="A254" s="30" t="str">
        <f t="shared" si="161"/>
        <v>Fuel Cost</v>
      </c>
      <c r="B254" s="62">
        <f t="shared" si="162"/>
        <v>0.46007018325085908</v>
      </c>
      <c r="C254" s="62">
        <f t="shared" si="163"/>
        <v>0.45976753828113842</v>
      </c>
      <c r="D254" s="62">
        <f t="shared" si="164"/>
        <v>0.45933430874785641</v>
      </c>
      <c r="E254" s="62">
        <f t="shared" si="165"/>
        <v>0.45871454343443391</v>
      </c>
      <c r="F254" s="62">
        <f t="shared" si="166"/>
        <v>0.45782876204354683</v>
      </c>
      <c r="G254" s="62">
        <f t="shared" si="167"/>
        <v>0.45656456057345435</v>
      </c>
      <c r="H254" s="62">
        <f t="shared" si="168"/>
        <v>0.45476402753747325</v>
      </c>
      <c r="I254" s="62">
        <f t="shared" si="169"/>
        <v>0.4522075287360105</v>
      </c>
      <c r="J254" s="62">
        <f t="shared" si="170"/>
        <v>0.44859416334399271</v>
      </c>
      <c r="K254" s="62">
        <f t="shared" si="171"/>
        <v>0.44352106352411141</v>
      </c>
      <c r="L254" s="62">
        <f t="shared" si="172"/>
        <v>0.43646761318221511</v>
      </c>
      <c r="M254" s="62">
        <f t="shared" si="173"/>
        <v>0.42679759663357736</v>
      </c>
      <c r="N254" s="62">
        <f t="shared" si="174"/>
        <v>0.4138021305892895</v>
      </c>
      <c r="O254" s="62">
        <f t="shared" si="175"/>
        <v>0.39681454592999976</v>
      </c>
      <c r="P254" s="62">
        <f t="shared" si="176"/>
        <v>0.37542155432610358</v>
      </c>
      <c r="Q254" s="62">
        <f t="shared" si="177"/>
        <v>0.34975057848734814</v>
      </c>
      <c r="R254" s="62">
        <f t="shared" si="178"/>
        <v>0.32072251533605989</v>
      </c>
      <c r="S254" s="62">
        <f t="shared" si="179"/>
        <v>0.29007770816639111</v>
      </c>
      <c r="T254" s="62">
        <f t="shared" si="180"/>
        <v>0.26003593348231735</v>
      </c>
      <c r="U254" s="62">
        <f t="shared" si="181"/>
        <v>0.23268828762089908</v>
      </c>
      <c r="V254" s="62">
        <f t="shared" si="182"/>
        <v>0.20944668301835428</v>
      </c>
      <c r="W254" s="62">
        <f t="shared" si="183"/>
        <v>0.19083432006727308</v>
      </c>
      <c r="X254" s="62">
        <f t="shared" si="184"/>
        <v>0.17663226105998037</v>
      </c>
      <c r="Y254" s="62">
        <f t="shared" si="185"/>
        <v>0.16619260868284136</v>
      </c>
      <c r="Z254" s="62">
        <f t="shared" si="186"/>
        <v>0.15872840826013385</v>
      </c>
      <c r="AA254" s="62">
        <f t="shared" si="187"/>
        <v>0.15349710607432565</v>
      </c>
      <c r="AB254" s="62">
        <f t="shared" si="188"/>
        <v>0.14988195472297094</v>
      </c>
      <c r="AC254" s="62">
        <f t="shared" si="189"/>
        <v>0.14740792650333712</v>
      </c>
    </row>
    <row r="255" spans="1:44" x14ac:dyDescent="0.25">
      <c r="A255" s="30" t="str">
        <f t="shared" ref="A255" si="190">A235</f>
        <v>Emission Cost</v>
      </c>
      <c r="B255" s="66">
        <f>$B235+($C235-$B235)*(1-Q235)</f>
        <v>3.1561641138930518</v>
      </c>
      <c r="C255" s="66">
        <f t="shared" ref="C255:AC255" si="191">$B235+($C235-$B235)*(1-R235)</f>
        <v>3.1531586766519095</v>
      </c>
      <c r="D255" s="66">
        <f t="shared" si="191"/>
        <v>3.148856460181932</v>
      </c>
      <c r="E255" s="66">
        <f t="shared" si="191"/>
        <v>3.1427018369762418</v>
      </c>
      <c r="F255" s="66">
        <f t="shared" si="191"/>
        <v>3.1339055223302736</v>
      </c>
      <c r="G255" s="66">
        <f t="shared" si="191"/>
        <v>3.1213512803680521</v>
      </c>
      <c r="H255" s="66">
        <f t="shared" si="191"/>
        <v>3.103470959921165</v>
      </c>
      <c r="I255" s="66">
        <f t="shared" si="191"/>
        <v>3.0780834680624944</v>
      </c>
      <c r="J255" s="66">
        <f t="shared" si="191"/>
        <v>3.0422006879024699</v>
      </c>
      <c r="K255" s="66">
        <f t="shared" si="191"/>
        <v>2.9918219119367748</v>
      </c>
      <c r="L255" s="66">
        <f t="shared" si="191"/>
        <v>2.9217771252824751</v>
      </c>
      <c r="M255" s="66">
        <f t="shared" si="191"/>
        <v>2.8257483431601118</v>
      </c>
      <c r="N255" s="66">
        <f t="shared" si="191"/>
        <v>2.6966959500159344</v>
      </c>
      <c r="O255" s="66">
        <f t="shared" si="191"/>
        <v>2.527999541087663</v>
      </c>
      <c r="P255" s="66">
        <f t="shared" si="191"/>
        <v>2.3155549274364571</v>
      </c>
      <c r="Q255" s="66">
        <f t="shared" si="191"/>
        <v>2.0606274892785992</v>
      </c>
      <c r="R255" s="66">
        <f t="shared" si="191"/>
        <v>1.7723622585244727</v>
      </c>
      <c r="S255" s="66">
        <f t="shared" si="191"/>
        <v>1.4680418371398225</v>
      </c>
      <c r="T255" s="66">
        <f t="shared" si="191"/>
        <v>1.1697098724326394</v>
      </c>
      <c r="U255" s="66">
        <f t="shared" si="191"/>
        <v>0.89813214422744192</v>
      </c>
      <c r="V255" s="66">
        <f t="shared" si="191"/>
        <v>0.66732974866522188</v>
      </c>
      <c r="W255" s="66">
        <f t="shared" si="191"/>
        <v>0.48249836418702996</v>
      </c>
      <c r="X255" s="66">
        <f t="shared" si="191"/>
        <v>0.34146381442791984</v>
      </c>
      <c r="Y255" s="66">
        <f t="shared" si="191"/>
        <v>0.23779210936773287</v>
      </c>
      <c r="Z255" s="66">
        <f t="shared" si="191"/>
        <v>0.16366834003345909</v>
      </c>
      <c r="AA255" s="66">
        <f t="shared" si="191"/>
        <v>0.11171852430248297</v>
      </c>
      <c r="AB255" s="66">
        <f t="shared" si="191"/>
        <v>7.5818008547159366E-2</v>
      </c>
      <c r="AC255" s="66">
        <f t="shared" si="191"/>
        <v>5.1249496624470758E-2</v>
      </c>
    </row>
    <row r="256" spans="1:44" x14ac:dyDescent="0.25">
      <c r="A256" s="30" t="str">
        <f>A236</f>
        <v>Lifetime vehicle</v>
      </c>
      <c r="B256" s="62">
        <f>$B236+($C236-$B236)*(1-Q236)</f>
        <v>25</v>
      </c>
      <c r="C256" s="62">
        <f t="shared" ref="C256:L258" si="192">$B236+($C236-$B236)*(1-R236)</f>
        <v>25</v>
      </c>
      <c r="D256" s="62">
        <f t="shared" si="192"/>
        <v>25</v>
      </c>
      <c r="E256" s="62">
        <f t="shared" si="192"/>
        <v>25</v>
      </c>
      <c r="F256" s="62">
        <f t="shared" si="192"/>
        <v>25</v>
      </c>
      <c r="G256" s="62">
        <f t="shared" si="192"/>
        <v>25</v>
      </c>
      <c r="H256" s="62">
        <f t="shared" si="192"/>
        <v>25</v>
      </c>
      <c r="I256" s="62">
        <f t="shared" si="192"/>
        <v>25</v>
      </c>
      <c r="J256" s="62">
        <f t="shared" si="192"/>
        <v>25</v>
      </c>
      <c r="K256" s="62">
        <f t="shared" si="192"/>
        <v>25</v>
      </c>
      <c r="L256" s="62">
        <f t="shared" si="192"/>
        <v>25</v>
      </c>
      <c r="M256" s="62">
        <f t="shared" ref="M256:V258" si="193">$B236+($C236-$B236)*(1-AB236)</f>
        <v>25</v>
      </c>
      <c r="N256" s="62">
        <f t="shared" si="193"/>
        <v>25</v>
      </c>
      <c r="O256" s="62">
        <f t="shared" si="193"/>
        <v>25</v>
      </c>
      <c r="P256" s="62">
        <f t="shared" si="193"/>
        <v>25</v>
      </c>
      <c r="Q256" s="62">
        <f t="shared" si="193"/>
        <v>25</v>
      </c>
      <c r="R256" s="62">
        <f t="shared" si="193"/>
        <v>25</v>
      </c>
      <c r="S256" s="62">
        <f t="shared" si="193"/>
        <v>25</v>
      </c>
      <c r="T256" s="62">
        <f t="shared" si="193"/>
        <v>25</v>
      </c>
      <c r="U256" s="62">
        <f t="shared" si="193"/>
        <v>25</v>
      </c>
      <c r="V256" s="62">
        <f t="shared" si="193"/>
        <v>25</v>
      </c>
      <c r="W256" s="62">
        <f t="shared" ref="W256:AC258" si="194">$B236+($C236-$B236)*(1-AL236)</f>
        <v>25</v>
      </c>
      <c r="X256" s="62">
        <f t="shared" si="194"/>
        <v>25</v>
      </c>
      <c r="Y256" s="62">
        <f t="shared" si="194"/>
        <v>25</v>
      </c>
      <c r="Z256" s="62">
        <f t="shared" si="194"/>
        <v>25</v>
      </c>
      <c r="AA256" s="62">
        <f t="shared" si="194"/>
        <v>25</v>
      </c>
      <c r="AB256" s="62">
        <f t="shared" si="194"/>
        <v>25</v>
      </c>
      <c r="AC256" s="62">
        <f t="shared" si="194"/>
        <v>25</v>
      </c>
    </row>
    <row r="257" spans="1:29" x14ac:dyDescent="0.25">
      <c r="A257" s="30" t="str">
        <f>A237</f>
        <v>Lifetime costumization</v>
      </c>
      <c r="B257" s="62">
        <f>$B237+($C237-$B237)*(1-Q237)</f>
        <v>25</v>
      </c>
      <c r="C257" s="62">
        <f t="shared" si="192"/>
        <v>25</v>
      </c>
      <c r="D257" s="62">
        <f t="shared" si="192"/>
        <v>25</v>
      </c>
      <c r="E257" s="62">
        <f t="shared" si="192"/>
        <v>25</v>
      </c>
      <c r="F257" s="62">
        <f t="shared" si="192"/>
        <v>25</v>
      </c>
      <c r="G257" s="62">
        <f t="shared" si="192"/>
        <v>25</v>
      </c>
      <c r="H257" s="62">
        <f t="shared" si="192"/>
        <v>25</v>
      </c>
      <c r="I257" s="62">
        <f t="shared" si="192"/>
        <v>25</v>
      </c>
      <c r="J257" s="62">
        <f t="shared" si="192"/>
        <v>25</v>
      </c>
      <c r="K257" s="62">
        <f t="shared" si="192"/>
        <v>25</v>
      </c>
      <c r="L257" s="62">
        <f t="shared" si="192"/>
        <v>25</v>
      </c>
      <c r="M257" s="62">
        <f t="shared" si="193"/>
        <v>25</v>
      </c>
      <c r="N257" s="62">
        <f t="shared" si="193"/>
        <v>25</v>
      </c>
      <c r="O257" s="62">
        <f t="shared" si="193"/>
        <v>25</v>
      </c>
      <c r="P257" s="62">
        <f t="shared" si="193"/>
        <v>25</v>
      </c>
      <c r="Q257" s="62">
        <f t="shared" si="193"/>
        <v>25</v>
      </c>
      <c r="R257" s="62">
        <f t="shared" si="193"/>
        <v>25</v>
      </c>
      <c r="S257" s="62">
        <f t="shared" si="193"/>
        <v>25</v>
      </c>
      <c r="T257" s="62">
        <f t="shared" si="193"/>
        <v>25</v>
      </c>
      <c r="U257" s="62">
        <f t="shared" si="193"/>
        <v>25</v>
      </c>
      <c r="V257" s="62">
        <f t="shared" si="193"/>
        <v>25</v>
      </c>
      <c r="W257" s="62">
        <f t="shared" si="194"/>
        <v>25</v>
      </c>
      <c r="X257" s="62">
        <f t="shared" si="194"/>
        <v>25</v>
      </c>
      <c r="Y257" s="62">
        <f t="shared" si="194"/>
        <v>25</v>
      </c>
      <c r="Z257" s="62">
        <f t="shared" si="194"/>
        <v>25</v>
      </c>
      <c r="AA257" s="62">
        <f t="shared" si="194"/>
        <v>25</v>
      </c>
      <c r="AB257" s="62">
        <f t="shared" si="194"/>
        <v>25</v>
      </c>
      <c r="AC257" s="62">
        <f t="shared" si="194"/>
        <v>25</v>
      </c>
    </row>
    <row r="258" spans="1:29" x14ac:dyDescent="0.25">
      <c r="A258" s="30" t="str">
        <f>A238</f>
        <v>Tonnage .</v>
      </c>
      <c r="B258" s="62">
        <f>$B238+($C238-$B238)*(1-Q238)</f>
        <v>9450</v>
      </c>
      <c r="C258" s="62">
        <f t="shared" si="192"/>
        <v>9450</v>
      </c>
      <c r="D258" s="62">
        <f t="shared" si="192"/>
        <v>9450</v>
      </c>
      <c r="E258" s="62">
        <f t="shared" si="192"/>
        <v>9450</v>
      </c>
      <c r="F258" s="62">
        <f t="shared" si="192"/>
        <v>9450</v>
      </c>
      <c r="G258" s="62">
        <f t="shared" si="192"/>
        <v>9450</v>
      </c>
      <c r="H258" s="62">
        <f t="shared" si="192"/>
        <v>9450</v>
      </c>
      <c r="I258" s="62">
        <f t="shared" si="192"/>
        <v>9450</v>
      </c>
      <c r="J258" s="62">
        <f t="shared" si="192"/>
        <v>9450</v>
      </c>
      <c r="K258" s="62">
        <f t="shared" si="192"/>
        <v>9450</v>
      </c>
      <c r="L258" s="62">
        <f t="shared" si="192"/>
        <v>9450</v>
      </c>
      <c r="M258" s="62">
        <f t="shared" si="193"/>
        <v>9450</v>
      </c>
      <c r="N258" s="62">
        <f t="shared" si="193"/>
        <v>9450</v>
      </c>
      <c r="O258" s="62">
        <f t="shared" si="193"/>
        <v>9450</v>
      </c>
      <c r="P258" s="62">
        <f t="shared" si="193"/>
        <v>9450</v>
      </c>
      <c r="Q258" s="62">
        <f t="shared" si="193"/>
        <v>9450</v>
      </c>
      <c r="R258" s="62">
        <f t="shared" si="193"/>
        <v>9450</v>
      </c>
      <c r="S258" s="62">
        <f t="shared" si="193"/>
        <v>9450</v>
      </c>
      <c r="T258" s="62">
        <f t="shared" si="193"/>
        <v>9450</v>
      </c>
      <c r="U258" s="62">
        <f t="shared" si="193"/>
        <v>9450</v>
      </c>
      <c r="V258" s="62">
        <f t="shared" si="193"/>
        <v>9450</v>
      </c>
      <c r="W258" s="62">
        <f t="shared" si="194"/>
        <v>9450</v>
      </c>
      <c r="X258" s="62">
        <f t="shared" si="194"/>
        <v>9450</v>
      </c>
      <c r="Y258" s="62">
        <f t="shared" si="194"/>
        <v>9450</v>
      </c>
      <c r="Z258" s="62">
        <f t="shared" si="194"/>
        <v>9450</v>
      </c>
      <c r="AA258" s="62">
        <f t="shared" si="194"/>
        <v>9450</v>
      </c>
      <c r="AB258" s="62">
        <f t="shared" si="194"/>
        <v>9450</v>
      </c>
      <c r="AC258" s="62">
        <f t="shared" si="194"/>
        <v>9450</v>
      </c>
    </row>
    <row r="259" spans="1:29" x14ac:dyDescent="0.25">
      <c r="A259" s="30" t="str">
        <f>A239</f>
        <v>Market failure (av. utilization)</v>
      </c>
      <c r="B259" s="62">
        <f t="shared" ref="B259:K260" si="195">($B239+($C239-$B239)*(1-Q239))*B$44</f>
        <v>4914</v>
      </c>
      <c r="C259" s="62">
        <f t="shared" si="195"/>
        <v>4914</v>
      </c>
      <c r="D259" s="62">
        <f t="shared" si="195"/>
        <v>4914</v>
      </c>
      <c r="E259" s="62">
        <f t="shared" si="195"/>
        <v>4914</v>
      </c>
      <c r="F259" s="62">
        <f t="shared" si="195"/>
        <v>4914</v>
      </c>
      <c r="G259" s="62">
        <f t="shared" si="195"/>
        <v>4914</v>
      </c>
      <c r="H259" s="62">
        <f t="shared" si="195"/>
        <v>4914</v>
      </c>
      <c r="I259" s="62">
        <f t="shared" si="195"/>
        <v>4914</v>
      </c>
      <c r="J259" s="62">
        <f t="shared" si="195"/>
        <v>4914</v>
      </c>
      <c r="K259" s="62">
        <f t="shared" si="195"/>
        <v>4914</v>
      </c>
      <c r="L259" s="62">
        <f t="shared" ref="L259:U260" si="196">($B239+($C239-$B239)*(1-AA239))*L$44</f>
        <v>4914</v>
      </c>
      <c r="M259" s="62">
        <f t="shared" si="196"/>
        <v>4914</v>
      </c>
      <c r="N259" s="62">
        <f t="shared" si="196"/>
        <v>4914</v>
      </c>
      <c r="O259" s="62">
        <f t="shared" si="196"/>
        <v>4914</v>
      </c>
      <c r="P259" s="62">
        <f t="shared" si="196"/>
        <v>4914</v>
      </c>
      <c r="Q259" s="62">
        <f t="shared" si="196"/>
        <v>4914</v>
      </c>
      <c r="R259" s="62">
        <f t="shared" si="196"/>
        <v>4914</v>
      </c>
      <c r="S259" s="62">
        <f t="shared" si="196"/>
        <v>4914</v>
      </c>
      <c r="T259" s="62">
        <f t="shared" si="196"/>
        <v>4914</v>
      </c>
      <c r="U259" s="62">
        <f t="shared" si="196"/>
        <v>4914</v>
      </c>
      <c r="V259" s="62">
        <f t="shared" ref="V259:AC260" si="197">($B239+($C239-$B239)*(1-AK239))*V$44</f>
        <v>4914</v>
      </c>
      <c r="W259" s="62">
        <f t="shared" si="197"/>
        <v>4914</v>
      </c>
      <c r="X259" s="62">
        <f t="shared" si="197"/>
        <v>4914</v>
      </c>
      <c r="Y259" s="62">
        <f t="shared" si="197"/>
        <v>4914</v>
      </c>
      <c r="Z259" s="62">
        <f t="shared" si="197"/>
        <v>4914</v>
      </c>
      <c r="AA259" s="62">
        <f t="shared" si="197"/>
        <v>4914</v>
      </c>
      <c r="AB259" s="62">
        <f t="shared" si="197"/>
        <v>4914</v>
      </c>
      <c r="AC259" s="62">
        <f t="shared" si="197"/>
        <v>4914</v>
      </c>
    </row>
    <row r="260" spans="1:29" x14ac:dyDescent="0.25">
      <c r="A260" s="30" t="s">
        <v>73</v>
      </c>
      <c r="B260" s="62">
        <f t="shared" si="195"/>
        <v>378</v>
      </c>
      <c r="C260" s="62">
        <f t="shared" si="195"/>
        <v>378</v>
      </c>
      <c r="D260" s="62">
        <f t="shared" si="195"/>
        <v>378</v>
      </c>
      <c r="E260" s="62">
        <f t="shared" si="195"/>
        <v>378</v>
      </c>
      <c r="F260" s="62">
        <f t="shared" si="195"/>
        <v>378</v>
      </c>
      <c r="G260" s="62">
        <f t="shared" si="195"/>
        <v>378</v>
      </c>
      <c r="H260" s="62">
        <f t="shared" si="195"/>
        <v>378</v>
      </c>
      <c r="I260" s="62">
        <f t="shared" si="195"/>
        <v>378</v>
      </c>
      <c r="J260" s="62">
        <f t="shared" si="195"/>
        <v>378</v>
      </c>
      <c r="K260" s="62">
        <f t="shared" si="195"/>
        <v>378</v>
      </c>
      <c r="L260" s="62">
        <f t="shared" si="196"/>
        <v>378</v>
      </c>
      <c r="M260" s="62">
        <f t="shared" si="196"/>
        <v>378</v>
      </c>
      <c r="N260" s="62">
        <f t="shared" si="196"/>
        <v>378</v>
      </c>
      <c r="O260" s="62">
        <f t="shared" si="196"/>
        <v>378</v>
      </c>
      <c r="P260" s="62">
        <f t="shared" si="196"/>
        <v>378</v>
      </c>
      <c r="Q260" s="62">
        <f t="shared" si="196"/>
        <v>378</v>
      </c>
      <c r="R260" s="62">
        <f t="shared" si="196"/>
        <v>378</v>
      </c>
      <c r="S260" s="62">
        <f t="shared" si="196"/>
        <v>378</v>
      </c>
      <c r="T260" s="62">
        <f t="shared" si="196"/>
        <v>378</v>
      </c>
      <c r="U260" s="62">
        <f t="shared" si="196"/>
        <v>378</v>
      </c>
      <c r="V260" s="62">
        <f t="shared" si="197"/>
        <v>378</v>
      </c>
      <c r="W260" s="62">
        <f t="shared" si="197"/>
        <v>378</v>
      </c>
      <c r="X260" s="62">
        <f t="shared" si="197"/>
        <v>378</v>
      </c>
      <c r="Y260" s="62">
        <f t="shared" si="197"/>
        <v>378</v>
      </c>
      <c r="Z260" s="62">
        <f t="shared" si="197"/>
        <v>378</v>
      </c>
      <c r="AA260" s="62">
        <f t="shared" si="197"/>
        <v>378</v>
      </c>
      <c r="AB260" s="62">
        <f t="shared" si="197"/>
        <v>378</v>
      </c>
      <c r="AC260" s="62">
        <f t="shared" si="197"/>
        <v>378</v>
      </c>
    </row>
    <row r="261" spans="1:29" x14ac:dyDescent="0.25">
      <c r="A261" s="30" t="str">
        <f>A241</f>
        <v>Annual Mileage</v>
      </c>
      <c r="B261" s="62">
        <f t="shared" ref="B261:AC261" si="198">$B241+($C241-$B241)*(1-Q241)</f>
        <v>120000</v>
      </c>
      <c r="C261" s="62">
        <f t="shared" si="198"/>
        <v>120000</v>
      </c>
      <c r="D261" s="62">
        <f t="shared" si="198"/>
        <v>120000</v>
      </c>
      <c r="E261" s="62">
        <f t="shared" si="198"/>
        <v>120000</v>
      </c>
      <c r="F261" s="62">
        <f t="shared" si="198"/>
        <v>120000</v>
      </c>
      <c r="G261" s="62">
        <f t="shared" si="198"/>
        <v>120000</v>
      </c>
      <c r="H261" s="62">
        <f t="shared" si="198"/>
        <v>120000</v>
      </c>
      <c r="I261" s="62">
        <f t="shared" si="198"/>
        <v>120000</v>
      </c>
      <c r="J261" s="62">
        <f t="shared" si="198"/>
        <v>120000</v>
      </c>
      <c r="K261" s="62">
        <f t="shared" si="198"/>
        <v>120000</v>
      </c>
      <c r="L261" s="62">
        <f t="shared" si="198"/>
        <v>120000</v>
      </c>
      <c r="M261" s="62">
        <f t="shared" si="198"/>
        <v>120000</v>
      </c>
      <c r="N261" s="62">
        <f t="shared" si="198"/>
        <v>120000</v>
      </c>
      <c r="O261" s="62">
        <f t="shared" si="198"/>
        <v>120000</v>
      </c>
      <c r="P261" s="62">
        <f t="shared" si="198"/>
        <v>120000</v>
      </c>
      <c r="Q261" s="62">
        <f t="shared" si="198"/>
        <v>120000</v>
      </c>
      <c r="R261" s="62">
        <f t="shared" si="198"/>
        <v>120000</v>
      </c>
      <c r="S261" s="62">
        <f t="shared" si="198"/>
        <v>120000</v>
      </c>
      <c r="T261" s="62">
        <f t="shared" si="198"/>
        <v>120000</v>
      </c>
      <c r="U261" s="62">
        <f t="shared" si="198"/>
        <v>120000</v>
      </c>
      <c r="V261" s="62">
        <f t="shared" si="198"/>
        <v>120000</v>
      </c>
      <c r="W261" s="62">
        <f t="shared" si="198"/>
        <v>120000</v>
      </c>
      <c r="X261" s="62">
        <f t="shared" si="198"/>
        <v>120000</v>
      </c>
      <c r="Y261" s="62">
        <f t="shared" si="198"/>
        <v>120000</v>
      </c>
      <c r="Z261" s="62">
        <f t="shared" si="198"/>
        <v>120000</v>
      </c>
      <c r="AA261" s="62">
        <f t="shared" si="198"/>
        <v>120000</v>
      </c>
      <c r="AB261" s="62">
        <f t="shared" si="198"/>
        <v>120000</v>
      </c>
      <c r="AC261" s="62">
        <f t="shared" si="198"/>
        <v>120000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1524647.8790978624</v>
      </c>
      <c r="C264" s="63">
        <f t="shared" ref="C264:AC264" si="199">((1+C249)^C256)*C249/(((1+C249)^C256)-1)*(C245)</f>
        <v>1524313.4062710819</v>
      </c>
      <c r="D264" s="63">
        <f t="shared" si="199"/>
        <v>1523834.6158693277</v>
      </c>
      <c r="E264" s="63">
        <f t="shared" si="199"/>
        <v>1523149.6725295712</v>
      </c>
      <c r="F264" s="63">
        <f t="shared" si="199"/>
        <v>1522170.737356808</v>
      </c>
      <c r="G264" s="63">
        <f t="shared" si="199"/>
        <v>1520773.5853086114</v>
      </c>
      <c r="H264" s="63">
        <f t="shared" si="199"/>
        <v>1518783.6980330625</v>
      </c>
      <c r="I264" s="63">
        <f t="shared" si="199"/>
        <v>1515958.3433556822</v>
      </c>
      <c r="J264" s="63">
        <f t="shared" si="199"/>
        <v>1511964.9760184553</v>
      </c>
      <c r="K264" s="63">
        <f t="shared" si="199"/>
        <v>1506358.3603233036</v>
      </c>
      <c r="L264" s="63">
        <f t="shared" si="199"/>
        <v>1498563.1292425212</v>
      </c>
      <c r="M264" s="63">
        <f t="shared" si="199"/>
        <v>1487876.1590509433</v>
      </c>
      <c r="N264" s="63">
        <f t="shared" si="199"/>
        <v>1473514.0162828909</v>
      </c>
      <c r="O264" s="63">
        <f t="shared" si="199"/>
        <v>1454739.9211231149</v>
      </c>
      <c r="P264" s="63">
        <f t="shared" si="199"/>
        <v>1431097.1215033231</v>
      </c>
      <c r="Q264" s="63">
        <f t="shared" si="199"/>
        <v>1402726.440626242</v>
      </c>
      <c r="R264" s="63">
        <f t="shared" si="199"/>
        <v>1370645.6221440069</v>
      </c>
      <c r="S264" s="63">
        <f t="shared" si="199"/>
        <v>1336778.0336965974</v>
      </c>
      <c r="T264" s="63">
        <f t="shared" si="199"/>
        <v>1303576.896042286</v>
      </c>
      <c r="U264" s="63">
        <f t="shared" si="199"/>
        <v>1273353.2170381402</v>
      </c>
      <c r="V264" s="63">
        <f t="shared" si="199"/>
        <v>1247667.3938192725</v>
      </c>
      <c r="W264" s="63">
        <f t="shared" si="199"/>
        <v>1227097.6494912698</v>
      </c>
      <c r="X264" s="63">
        <f t="shared" si="199"/>
        <v>1211402.0216186012</v>
      </c>
      <c r="Y264" s="63">
        <f t="shared" si="199"/>
        <v>1199864.4763410145</v>
      </c>
      <c r="Z264" s="63">
        <f t="shared" si="199"/>
        <v>1191615.2983773351</v>
      </c>
      <c r="AA264" s="63">
        <f t="shared" si="199"/>
        <v>1185833.8428605145</v>
      </c>
      <c r="AB264" s="63">
        <f t="shared" si="199"/>
        <v>1181838.5017423639</v>
      </c>
      <c r="AC264" s="63">
        <f t="shared" si="199"/>
        <v>1179104.2907197287</v>
      </c>
    </row>
    <row r="265" spans="1:29" x14ac:dyDescent="0.25">
      <c r="A265" s="30" t="str">
        <f>A246</f>
        <v>Residual value (vehicle)</v>
      </c>
      <c r="B265" s="62">
        <f>((1+B249)^B256)*B249/(((1+B249)^B256)-1)*(B246)</f>
        <v>-76361.248295139725</v>
      </c>
      <c r="C265" s="62">
        <f t="shared" ref="C265:AC265" si="200">((1+C249)^C256)*C249/(((1+C249)^C256)-1)*(C246)</f>
        <v>-76400.270124930772</v>
      </c>
      <c r="D265" s="62">
        <f t="shared" si="200"/>
        <v>-76456.129005135459</v>
      </c>
      <c r="E265" s="62">
        <f t="shared" si="200"/>
        <v>-76536.039061440344</v>
      </c>
      <c r="F265" s="62">
        <f t="shared" si="200"/>
        <v>-76650.248164929391</v>
      </c>
      <c r="G265" s="62">
        <f t="shared" si="200"/>
        <v>-76813.249237219032</v>
      </c>
      <c r="H265" s="62">
        <f t="shared" si="200"/>
        <v>-77045.402752699738</v>
      </c>
      <c r="I265" s="62">
        <f t="shared" si="200"/>
        <v>-77375.027465060732</v>
      </c>
      <c r="J265" s="62">
        <f t="shared" si="200"/>
        <v>-77840.920321070545</v>
      </c>
      <c r="K265" s="62">
        <f t="shared" si="200"/>
        <v>-78495.025485504913</v>
      </c>
      <c r="L265" s="62">
        <f t="shared" si="200"/>
        <v>-79404.46911159619</v>
      </c>
      <c r="M265" s="62">
        <f t="shared" si="200"/>
        <v>-80651.282300613602</v>
      </c>
      <c r="N265" s="62">
        <f t="shared" si="200"/>
        <v>-82326.865623553065</v>
      </c>
      <c r="O265" s="62">
        <f t="shared" si="200"/>
        <v>-84517.176725526937</v>
      </c>
      <c r="P265" s="62">
        <f t="shared" si="200"/>
        <v>-87275.503347835998</v>
      </c>
      <c r="Q265" s="62">
        <f t="shared" si="200"/>
        <v>-90585.416116828768</v>
      </c>
      <c r="R265" s="62">
        <f t="shared" si="200"/>
        <v>-94328.178273089521</v>
      </c>
      <c r="S265" s="62">
        <f t="shared" si="200"/>
        <v>-98279.396925287292</v>
      </c>
      <c r="T265" s="62">
        <f t="shared" si="200"/>
        <v>-102152.86298495698</v>
      </c>
      <c r="U265" s="62">
        <f t="shared" si="200"/>
        <v>-105678.95886877397</v>
      </c>
      <c r="V265" s="62">
        <f t="shared" si="200"/>
        <v>-108675.63824430856</v>
      </c>
      <c r="W265" s="62">
        <f t="shared" si="200"/>
        <v>-111075.44174924218</v>
      </c>
      <c r="X265" s="62">
        <f t="shared" si="200"/>
        <v>-112906.59833438687</v>
      </c>
      <c r="Y265" s="62">
        <f t="shared" si="200"/>
        <v>-114252.64528343864</v>
      </c>
      <c r="Z265" s="62">
        <f t="shared" si="200"/>
        <v>-115215.04937920124</v>
      </c>
      <c r="AA265" s="62">
        <f t="shared" si="200"/>
        <v>-115889.55252283029</v>
      </c>
      <c r="AB265" s="62">
        <f t="shared" si="200"/>
        <v>-116355.67565328123</v>
      </c>
      <c r="AC265" s="62">
        <f t="shared" si="200"/>
        <v>-116674.66693925532</v>
      </c>
    </row>
    <row r="266" spans="1:29" x14ac:dyDescent="0.25">
      <c r="A266" s="30" t="str">
        <f>A247</f>
        <v>Capex costumization</v>
      </c>
      <c r="B266" s="62">
        <f>((1+B249)^B257)*B249/(((1+B249)^B257)-1)*(B247)</f>
        <v>78226.718212273947</v>
      </c>
      <c r="C266" s="62">
        <f t="shared" ref="C266:AC266" si="201">((1+C249)^C257)*C249/(((1+C249)^C257)-1)*(C247)</f>
        <v>78226.718212273947</v>
      </c>
      <c r="D266" s="62">
        <f t="shared" si="201"/>
        <v>78226.718212273947</v>
      </c>
      <c r="E266" s="62">
        <f t="shared" si="201"/>
        <v>78226.718212273947</v>
      </c>
      <c r="F266" s="62">
        <f t="shared" si="201"/>
        <v>78226.718212273947</v>
      </c>
      <c r="G266" s="62">
        <f t="shared" si="201"/>
        <v>78226.718212273947</v>
      </c>
      <c r="H266" s="62">
        <f t="shared" si="201"/>
        <v>78226.718212273947</v>
      </c>
      <c r="I266" s="62">
        <f t="shared" si="201"/>
        <v>78226.718212273947</v>
      </c>
      <c r="J266" s="62">
        <f t="shared" si="201"/>
        <v>78226.718212273947</v>
      </c>
      <c r="K266" s="62">
        <f t="shared" si="201"/>
        <v>78226.718212273947</v>
      </c>
      <c r="L266" s="62">
        <f t="shared" si="201"/>
        <v>78226.718212273947</v>
      </c>
      <c r="M266" s="62">
        <f t="shared" si="201"/>
        <v>78226.718212273947</v>
      </c>
      <c r="N266" s="62">
        <f t="shared" si="201"/>
        <v>78226.718212273947</v>
      </c>
      <c r="O266" s="62">
        <f t="shared" si="201"/>
        <v>78226.718212273947</v>
      </c>
      <c r="P266" s="62">
        <f t="shared" si="201"/>
        <v>78226.718212273947</v>
      </c>
      <c r="Q266" s="62">
        <f t="shared" si="201"/>
        <v>78226.718212273947</v>
      </c>
      <c r="R266" s="62">
        <f t="shared" si="201"/>
        <v>78226.718212273947</v>
      </c>
      <c r="S266" s="62">
        <f t="shared" si="201"/>
        <v>78226.718212273947</v>
      </c>
      <c r="T266" s="62">
        <f t="shared" si="201"/>
        <v>78226.718212273947</v>
      </c>
      <c r="U266" s="62">
        <f t="shared" si="201"/>
        <v>78226.718212273947</v>
      </c>
      <c r="V266" s="62">
        <f t="shared" si="201"/>
        <v>78226.718212273947</v>
      </c>
      <c r="W266" s="62">
        <f t="shared" si="201"/>
        <v>78226.718212273947</v>
      </c>
      <c r="X266" s="62">
        <f t="shared" si="201"/>
        <v>78226.718212273947</v>
      </c>
      <c r="Y266" s="62">
        <f t="shared" si="201"/>
        <v>78226.718212273947</v>
      </c>
      <c r="Z266" s="62">
        <f t="shared" si="201"/>
        <v>78226.718212273947</v>
      </c>
      <c r="AA266" s="62">
        <f t="shared" si="201"/>
        <v>78226.718212273947</v>
      </c>
      <c r="AB266" s="62">
        <f t="shared" si="201"/>
        <v>78226.718212273947</v>
      </c>
      <c r="AC266" s="62">
        <f t="shared" si="201"/>
        <v>78226.718212273947</v>
      </c>
    </row>
    <row r="267" spans="1:29" x14ac:dyDescent="0.25">
      <c r="A267" s="30" t="str">
        <f>A248</f>
        <v>Residual value (costumization)</v>
      </c>
      <c r="B267" s="62">
        <f>((1+B249)^B257)*B249/(((1+B249)^B257)-1)*(B248)</f>
        <v>-7822.6718212273945</v>
      </c>
      <c r="C267" s="62">
        <f t="shared" ref="C267:AC267" si="202">((1+C249)^C257)*C249/(((1+C249)^C257)-1)*(C248)</f>
        <v>-7822.6718212273945</v>
      </c>
      <c r="D267" s="62">
        <f t="shared" si="202"/>
        <v>-7822.6718212273945</v>
      </c>
      <c r="E267" s="62">
        <f t="shared" si="202"/>
        <v>-7822.6718212273945</v>
      </c>
      <c r="F267" s="62">
        <f t="shared" si="202"/>
        <v>-7822.6718212273945</v>
      </c>
      <c r="G267" s="62">
        <f t="shared" si="202"/>
        <v>-7822.6718212273945</v>
      </c>
      <c r="H267" s="62">
        <f t="shared" si="202"/>
        <v>-7822.6718212273945</v>
      </c>
      <c r="I267" s="62">
        <f t="shared" si="202"/>
        <v>-7822.6718212273945</v>
      </c>
      <c r="J267" s="62">
        <f t="shared" si="202"/>
        <v>-7822.6718212273945</v>
      </c>
      <c r="K267" s="62">
        <f t="shared" si="202"/>
        <v>-7822.6718212273945</v>
      </c>
      <c r="L267" s="62">
        <f t="shared" si="202"/>
        <v>-7822.6718212273945</v>
      </c>
      <c r="M267" s="62">
        <f t="shared" si="202"/>
        <v>-7822.6718212273945</v>
      </c>
      <c r="N267" s="62">
        <f t="shared" si="202"/>
        <v>-7822.6718212273945</v>
      </c>
      <c r="O267" s="62">
        <f t="shared" si="202"/>
        <v>-7822.6718212273945</v>
      </c>
      <c r="P267" s="62">
        <f t="shared" si="202"/>
        <v>-7822.6718212273945</v>
      </c>
      <c r="Q267" s="62">
        <f t="shared" si="202"/>
        <v>-7822.6718212273945</v>
      </c>
      <c r="R267" s="62">
        <f t="shared" si="202"/>
        <v>-7822.6718212273945</v>
      </c>
      <c r="S267" s="62">
        <f t="shared" si="202"/>
        <v>-7822.6718212273945</v>
      </c>
      <c r="T267" s="62">
        <f t="shared" si="202"/>
        <v>-7822.6718212273945</v>
      </c>
      <c r="U267" s="62">
        <f t="shared" si="202"/>
        <v>-7822.6718212273945</v>
      </c>
      <c r="V267" s="62">
        <f t="shared" si="202"/>
        <v>-7822.6718212273945</v>
      </c>
      <c r="W267" s="62">
        <f t="shared" si="202"/>
        <v>-7822.6718212273945</v>
      </c>
      <c r="X267" s="62">
        <f t="shared" si="202"/>
        <v>-7822.6718212273945</v>
      </c>
      <c r="Y267" s="62">
        <f t="shared" si="202"/>
        <v>-7822.6718212273945</v>
      </c>
      <c r="Z267" s="62">
        <f t="shared" si="202"/>
        <v>-7822.6718212273945</v>
      </c>
      <c r="AA267" s="62">
        <f t="shared" si="202"/>
        <v>-7822.6718212273945</v>
      </c>
      <c r="AB267" s="62">
        <f t="shared" si="202"/>
        <v>-7822.6718212273945</v>
      </c>
      <c r="AC267" s="62">
        <f t="shared" si="202"/>
        <v>-7822.6718212273945</v>
      </c>
    </row>
    <row r="268" spans="1:29" x14ac:dyDescent="0.25">
      <c r="A268" s="30" t="str">
        <f t="shared" ref="A268:AC268" si="203">A250</f>
        <v>Opex fix (admin, crew, insurance)</v>
      </c>
      <c r="B268" s="62">
        <f t="shared" si="203"/>
        <v>1208235.294117647</v>
      </c>
      <c r="C268" s="62">
        <f t="shared" si="203"/>
        <v>1208235.294117647</v>
      </c>
      <c r="D268" s="62">
        <f t="shared" si="203"/>
        <v>1208235.294117647</v>
      </c>
      <c r="E268" s="62">
        <f t="shared" si="203"/>
        <v>1208235.294117647</v>
      </c>
      <c r="F268" s="62">
        <f t="shared" si="203"/>
        <v>1208235.294117647</v>
      </c>
      <c r="G268" s="62">
        <f t="shared" si="203"/>
        <v>1208235.294117647</v>
      </c>
      <c r="H268" s="62">
        <f t="shared" si="203"/>
        <v>1208235.294117647</v>
      </c>
      <c r="I268" s="62">
        <f t="shared" si="203"/>
        <v>1208235.294117647</v>
      </c>
      <c r="J268" s="62">
        <f t="shared" si="203"/>
        <v>1208235.294117647</v>
      </c>
      <c r="K268" s="62">
        <f t="shared" si="203"/>
        <v>1208235.294117647</v>
      </c>
      <c r="L268" s="62">
        <f t="shared" si="203"/>
        <v>1208235.294117647</v>
      </c>
      <c r="M268" s="62">
        <f t="shared" si="203"/>
        <v>1208235.294117647</v>
      </c>
      <c r="N268" s="62">
        <f t="shared" si="203"/>
        <v>1208235.294117647</v>
      </c>
      <c r="O268" s="62">
        <f t="shared" si="203"/>
        <v>1208235.294117647</v>
      </c>
      <c r="P268" s="62">
        <f t="shared" si="203"/>
        <v>1208235.294117647</v>
      </c>
      <c r="Q268" s="62">
        <f t="shared" si="203"/>
        <v>1208235.294117647</v>
      </c>
      <c r="R268" s="62">
        <f t="shared" si="203"/>
        <v>1208235.294117647</v>
      </c>
      <c r="S268" s="62">
        <f t="shared" si="203"/>
        <v>1208235.294117647</v>
      </c>
      <c r="T268" s="62">
        <f t="shared" si="203"/>
        <v>1208235.294117647</v>
      </c>
      <c r="U268" s="62">
        <f t="shared" si="203"/>
        <v>1208235.294117647</v>
      </c>
      <c r="V268" s="62">
        <f t="shared" si="203"/>
        <v>1208235.294117647</v>
      </c>
      <c r="W268" s="62">
        <f t="shared" si="203"/>
        <v>1208235.294117647</v>
      </c>
      <c r="X268" s="62">
        <f t="shared" si="203"/>
        <v>1208235.294117647</v>
      </c>
      <c r="Y268" s="62">
        <f t="shared" si="203"/>
        <v>1208235.294117647</v>
      </c>
      <c r="Z268" s="62">
        <f t="shared" si="203"/>
        <v>1208235.294117647</v>
      </c>
      <c r="AA268" s="62">
        <f t="shared" si="203"/>
        <v>1208235.294117647</v>
      </c>
      <c r="AB268" s="62">
        <f t="shared" si="203"/>
        <v>1208235.294117647</v>
      </c>
      <c r="AC268" s="62">
        <f t="shared" si="203"/>
        <v>1208235.294117647</v>
      </c>
    </row>
    <row r="269" spans="1:29" x14ac:dyDescent="0.25">
      <c r="A269" s="30" t="str">
        <f t="shared" ref="A269:AC269" si="204">A251</f>
        <v>Opex maintenance &amp; repair</v>
      </c>
      <c r="B269" s="62">
        <f t="shared" si="204"/>
        <v>488235.29411764705</v>
      </c>
      <c r="C269" s="62">
        <f t="shared" si="204"/>
        <v>488235.29411764705</v>
      </c>
      <c r="D269" s="62">
        <f t="shared" si="204"/>
        <v>488235.29411764705</v>
      </c>
      <c r="E269" s="62">
        <f t="shared" si="204"/>
        <v>488235.29411764705</v>
      </c>
      <c r="F269" s="62">
        <f t="shared" si="204"/>
        <v>488235.29411764705</v>
      </c>
      <c r="G269" s="62">
        <f t="shared" si="204"/>
        <v>488235.29411764705</v>
      </c>
      <c r="H269" s="62">
        <f t="shared" si="204"/>
        <v>488235.29411764705</v>
      </c>
      <c r="I269" s="62">
        <f t="shared" si="204"/>
        <v>488235.29411764705</v>
      </c>
      <c r="J269" s="62">
        <f t="shared" si="204"/>
        <v>488235.29411764705</v>
      </c>
      <c r="K269" s="62">
        <f t="shared" si="204"/>
        <v>488235.29411764705</v>
      </c>
      <c r="L269" s="62">
        <f t="shared" si="204"/>
        <v>488235.29411764705</v>
      </c>
      <c r="M269" s="62">
        <f t="shared" si="204"/>
        <v>488235.29411764705</v>
      </c>
      <c r="N269" s="62">
        <f t="shared" si="204"/>
        <v>488235.29411764705</v>
      </c>
      <c r="O269" s="62">
        <f t="shared" si="204"/>
        <v>488235.29411764705</v>
      </c>
      <c r="P269" s="62">
        <f t="shared" si="204"/>
        <v>488235.29411764705</v>
      </c>
      <c r="Q269" s="62">
        <f t="shared" si="204"/>
        <v>488235.29411764705</v>
      </c>
      <c r="R269" s="62">
        <f t="shared" si="204"/>
        <v>488235.29411764705</v>
      </c>
      <c r="S269" s="62">
        <f t="shared" si="204"/>
        <v>488235.29411764705</v>
      </c>
      <c r="T269" s="62">
        <f t="shared" si="204"/>
        <v>488235.29411764705</v>
      </c>
      <c r="U269" s="62">
        <f t="shared" si="204"/>
        <v>488235.29411764705</v>
      </c>
      <c r="V269" s="62">
        <f t="shared" si="204"/>
        <v>488235.29411764705</v>
      </c>
      <c r="W269" s="62">
        <f t="shared" si="204"/>
        <v>488235.29411764705</v>
      </c>
      <c r="X269" s="62">
        <f t="shared" si="204"/>
        <v>488235.29411764705</v>
      </c>
      <c r="Y269" s="62">
        <f t="shared" si="204"/>
        <v>488235.29411764705</v>
      </c>
      <c r="Z269" s="62">
        <f t="shared" si="204"/>
        <v>488235.29411764705</v>
      </c>
      <c r="AA269" s="62">
        <f t="shared" si="204"/>
        <v>488235.29411764705</v>
      </c>
      <c r="AB269" s="62">
        <f t="shared" si="204"/>
        <v>488235.29411764705</v>
      </c>
      <c r="AC269" s="62">
        <f t="shared" si="204"/>
        <v>488235.29411764705</v>
      </c>
    </row>
    <row r="270" spans="1:29" x14ac:dyDescent="0.25">
      <c r="A270" s="30" t="str">
        <f>A252</f>
        <v>Opex var (mode-fees)</v>
      </c>
      <c r="B270" s="62">
        <f>B252*B261</f>
        <v>97536.682916217906</v>
      </c>
      <c r="C270" s="62">
        <f t="shared" ref="C270:AC270" si="205">C252*C261</f>
        <v>97536.682916217906</v>
      </c>
      <c r="D270" s="62">
        <f t="shared" si="205"/>
        <v>97536.682916217906</v>
      </c>
      <c r="E270" s="62">
        <f t="shared" si="205"/>
        <v>97536.682916217906</v>
      </c>
      <c r="F270" s="62">
        <f t="shared" si="205"/>
        <v>97536.682916217906</v>
      </c>
      <c r="G270" s="62">
        <f t="shared" si="205"/>
        <v>97536.682916217906</v>
      </c>
      <c r="H270" s="62">
        <f t="shared" si="205"/>
        <v>97536.682916217906</v>
      </c>
      <c r="I270" s="62">
        <f t="shared" si="205"/>
        <v>97536.682916217906</v>
      </c>
      <c r="J270" s="62">
        <f t="shared" si="205"/>
        <v>97536.682916217906</v>
      </c>
      <c r="K270" s="62">
        <f t="shared" si="205"/>
        <v>97536.682916217906</v>
      </c>
      <c r="L270" s="62">
        <f t="shared" si="205"/>
        <v>97536.682916217906</v>
      </c>
      <c r="M270" s="62">
        <f t="shared" si="205"/>
        <v>97536.682916217906</v>
      </c>
      <c r="N270" s="62">
        <f t="shared" si="205"/>
        <v>97536.682916217906</v>
      </c>
      <c r="O270" s="62">
        <f t="shared" si="205"/>
        <v>97536.682916217906</v>
      </c>
      <c r="P270" s="62">
        <f t="shared" si="205"/>
        <v>97536.682916217906</v>
      </c>
      <c r="Q270" s="62">
        <f t="shared" si="205"/>
        <v>97536.682916217906</v>
      </c>
      <c r="R270" s="62">
        <f t="shared" si="205"/>
        <v>97536.682916217906</v>
      </c>
      <c r="S270" s="62">
        <f t="shared" si="205"/>
        <v>97536.682916217906</v>
      </c>
      <c r="T270" s="62">
        <f t="shared" si="205"/>
        <v>97536.682916217906</v>
      </c>
      <c r="U270" s="62">
        <f t="shared" si="205"/>
        <v>97536.682916217906</v>
      </c>
      <c r="V270" s="62">
        <f t="shared" si="205"/>
        <v>97536.682916217906</v>
      </c>
      <c r="W270" s="62">
        <f t="shared" si="205"/>
        <v>97536.682916217906</v>
      </c>
      <c r="X270" s="62">
        <f t="shared" si="205"/>
        <v>97536.682916217906</v>
      </c>
      <c r="Y270" s="62">
        <f t="shared" si="205"/>
        <v>97536.682916217906</v>
      </c>
      <c r="Z270" s="62">
        <f t="shared" si="205"/>
        <v>97536.682916217906</v>
      </c>
      <c r="AA270" s="62">
        <f t="shared" si="205"/>
        <v>97536.682916217906</v>
      </c>
      <c r="AB270" s="62">
        <f t="shared" si="205"/>
        <v>97536.682916217906</v>
      </c>
      <c r="AC270" s="62">
        <f t="shared" si="205"/>
        <v>97536.682916217906</v>
      </c>
    </row>
    <row r="271" spans="1:29" x14ac:dyDescent="0.25">
      <c r="A271" s="30" t="str">
        <f>A254</f>
        <v>Fuel Cost</v>
      </c>
      <c r="B271" s="62">
        <f>B253*B254*B261</f>
        <v>35714150.195401497</v>
      </c>
      <c r="C271" s="62">
        <f t="shared" ref="C271:AC271" si="206">C253*C254*C261</f>
        <v>35688192.759426571</v>
      </c>
      <c r="D271" s="62">
        <f t="shared" si="206"/>
        <v>35651040.91294115</v>
      </c>
      <c r="E271" s="62">
        <f t="shared" si="206"/>
        <v>35597904.139505707</v>
      </c>
      <c r="F271" s="62">
        <f t="shared" si="206"/>
        <v>35521983.578516193</v>
      </c>
      <c r="G271" s="62">
        <f t="shared" si="206"/>
        <v>35413676.658021048</v>
      </c>
      <c r="H271" s="62">
        <f t="shared" si="206"/>
        <v>35259518.741244763</v>
      </c>
      <c r="I271" s="62">
        <f t="shared" si="206"/>
        <v>35040833.829240076</v>
      </c>
      <c r="J271" s="62">
        <f t="shared" si="206"/>
        <v>34732138.474223465</v>
      </c>
      <c r="K271" s="62">
        <f t="shared" si="206"/>
        <v>34299516.053868182</v>
      </c>
      <c r="L271" s="62">
        <f t="shared" si="206"/>
        <v>33699528.372285672</v>
      </c>
      <c r="M271" s="62">
        <f t="shared" si="206"/>
        <v>32879831.174801141</v>
      </c>
      <c r="N271" s="62">
        <f t="shared" si="206"/>
        <v>31783461.473454308</v>
      </c>
      <c r="O271" s="62">
        <f t="shared" si="206"/>
        <v>30359313.220013358</v>
      </c>
      <c r="P271" s="62">
        <f t="shared" si="206"/>
        <v>28580377.783127353</v>
      </c>
      <c r="Q271" s="62">
        <f t="shared" si="206"/>
        <v>26467099.228719633</v>
      </c>
      <c r="R271" s="62">
        <f t="shared" si="206"/>
        <v>24105574.420484088</v>
      </c>
      <c r="S271" s="62">
        <f t="shared" si="206"/>
        <v>21644902.059123844</v>
      </c>
      <c r="T271" s="62">
        <f t="shared" si="206"/>
        <v>19264932.881093476</v>
      </c>
      <c r="U271" s="62">
        <f t="shared" si="206"/>
        <v>17126188.084502421</v>
      </c>
      <c r="V271" s="62">
        <f t="shared" si="206"/>
        <v>15329378.731018521</v>
      </c>
      <c r="W271" s="62">
        <f t="shared" si="206"/>
        <v>13904249.809459379</v>
      </c>
      <c r="X271" s="62">
        <f t="shared" si="206"/>
        <v>12825065.109094124</v>
      </c>
      <c r="Y271" s="62">
        <f t="shared" si="206"/>
        <v>12036332.881021881</v>
      </c>
      <c r="Z271" s="62">
        <f t="shared" si="206"/>
        <v>11474767.041992439</v>
      </c>
      <c r="AA271" s="62">
        <f t="shared" si="206"/>
        <v>11082368.296972759</v>
      </c>
      <c r="AB271" s="62">
        <f t="shared" si="206"/>
        <v>10811762.929783393</v>
      </c>
      <c r="AC271" s="62">
        <f t="shared" si="206"/>
        <v>10626840.940920185</v>
      </c>
    </row>
    <row r="272" spans="1:29" ht="15.75" thickBot="1" x14ac:dyDescent="0.3">
      <c r="A272" s="59" t="str">
        <f>A235</f>
        <v>Emission Cost</v>
      </c>
      <c r="B272" s="62">
        <f>B255*B261</f>
        <v>378739.69366716623</v>
      </c>
      <c r="C272" s="62">
        <f t="shared" ref="C272:AC272" si="207">C255*C261</f>
        <v>378379.04119822913</v>
      </c>
      <c r="D272" s="62">
        <f t="shared" si="207"/>
        <v>377862.77522183186</v>
      </c>
      <c r="E272" s="62">
        <f t="shared" si="207"/>
        <v>377124.22043714899</v>
      </c>
      <c r="F272" s="62">
        <f t="shared" si="207"/>
        <v>376068.66267963283</v>
      </c>
      <c r="G272" s="62">
        <f t="shared" si="207"/>
        <v>374562.15364416625</v>
      </c>
      <c r="H272" s="62">
        <f t="shared" si="207"/>
        <v>372416.51519053977</v>
      </c>
      <c r="I272" s="62">
        <f t="shared" si="207"/>
        <v>369370.01616749936</v>
      </c>
      <c r="J272" s="62">
        <f t="shared" si="207"/>
        <v>365064.08254829637</v>
      </c>
      <c r="K272" s="62">
        <f t="shared" si="207"/>
        <v>359018.62943241297</v>
      </c>
      <c r="L272" s="62">
        <f t="shared" si="207"/>
        <v>350613.255033897</v>
      </c>
      <c r="M272" s="62">
        <f t="shared" si="207"/>
        <v>339089.80117921339</v>
      </c>
      <c r="N272" s="62">
        <f t="shared" si="207"/>
        <v>323603.51400191215</v>
      </c>
      <c r="O272" s="62">
        <f t="shared" si="207"/>
        <v>303359.94493051956</v>
      </c>
      <c r="P272" s="62">
        <f t="shared" si="207"/>
        <v>277866.59129237483</v>
      </c>
      <c r="Q272" s="62">
        <f t="shared" si="207"/>
        <v>247275.2987134319</v>
      </c>
      <c r="R272" s="62">
        <f t="shared" si="207"/>
        <v>212683.47102293672</v>
      </c>
      <c r="S272" s="62">
        <f t="shared" si="207"/>
        <v>176165.0204567787</v>
      </c>
      <c r="T272" s="62">
        <f t="shared" si="207"/>
        <v>140365.18469191671</v>
      </c>
      <c r="U272" s="62">
        <f t="shared" si="207"/>
        <v>107775.85730729303</v>
      </c>
      <c r="V272" s="62">
        <f t="shared" si="207"/>
        <v>80079.569839826625</v>
      </c>
      <c r="W272" s="62">
        <f t="shared" si="207"/>
        <v>57899.803702443598</v>
      </c>
      <c r="X272" s="62">
        <f t="shared" si="207"/>
        <v>40975.65773135038</v>
      </c>
      <c r="Y272" s="62">
        <f t="shared" si="207"/>
        <v>28535.053124127946</v>
      </c>
      <c r="Z272" s="62">
        <f t="shared" si="207"/>
        <v>19640.20080401509</v>
      </c>
      <c r="AA272" s="62">
        <f t="shared" si="207"/>
        <v>13406.222916297957</v>
      </c>
      <c r="AB272" s="62">
        <f t="shared" si="207"/>
        <v>9098.161025659123</v>
      </c>
      <c r="AC272" s="62">
        <f t="shared" si="207"/>
        <v>6149.9395949364907</v>
      </c>
    </row>
    <row r="273" spans="1:29" ht="15.75" thickBot="1" x14ac:dyDescent="0.3">
      <c r="A273" s="31" t="s">
        <v>209</v>
      </c>
      <c r="B273" s="64">
        <f>B264+B265+B266+B267+B268+B269+B270+B271+B272</f>
        <v>39405587.837413944</v>
      </c>
      <c r="C273" s="64">
        <f t="shared" ref="C273:AC273" si="208">C264+C265+C266+C267+C268+C269+C270+C271+C272</f>
        <v>39378896.254313514</v>
      </c>
      <c r="D273" s="64">
        <f t="shared" si="208"/>
        <v>39340693.492569737</v>
      </c>
      <c r="E273" s="64">
        <f t="shared" si="208"/>
        <v>39286053.310953543</v>
      </c>
      <c r="F273" s="64">
        <f t="shared" si="208"/>
        <v>39207984.047930263</v>
      </c>
      <c r="G273" s="64">
        <f t="shared" si="208"/>
        <v>39096610.465279169</v>
      </c>
      <c r="H273" s="64">
        <f t="shared" si="208"/>
        <v>38938084.869258225</v>
      </c>
      <c r="I273" s="64">
        <f t="shared" si="208"/>
        <v>38713198.478840753</v>
      </c>
      <c r="J273" s="64">
        <f t="shared" si="208"/>
        <v>38395737.930011705</v>
      </c>
      <c r="K273" s="64">
        <f t="shared" si="208"/>
        <v>37950809.335680947</v>
      </c>
      <c r="L273" s="64">
        <f t="shared" si="208"/>
        <v>37333711.604993053</v>
      </c>
      <c r="M273" s="64">
        <f t="shared" si="208"/>
        <v>36490557.170273244</v>
      </c>
      <c r="N273" s="64">
        <f t="shared" si="208"/>
        <v>35362663.455658115</v>
      </c>
      <c r="O273" s="64">
        <f t="shared" si="208"/>
        <v>33897307.226884022</v>
      </c>
      <c r="P273" s="64">
        <f t="shared" si="208"/>
        <v>32066477.310117774</v>
      </c>
      <c r="Q273" s="64">
        <f t="shared" si="208"/>
        <v>29890926.869485036</v>
      </c>
      <c r="R273" s="64">
        <f t="shared" si="208"/>
        <v>27458986.652920503</v>
      </c>
      <c r="S273" s="64">
        <f t="shared" si="208"/>
        <v>24923977.033894494</v>
      </c>
      <c r="T273" s="64">
        <f t="shared" si="208"/>
        <v>22471133.416385282</v>
      </c>
      <c r="U273" s="64">
        <f t="shared" si="208"/>
        <v>20266049.517521638</v>
      </c>
      <c r="V273" s="64">
        <f t="shared" si="208"/>
        <v>18412861.373975873</v>
      </c>
      <c r="W273" s="64">
        <f t="shared" si="208"/>
        <v>16942583.138446409</v>
      </c>
      <c r="X273" s="64">
        <f t="shared" si="208"/>
        <v>15828947.507652247</v>
      </c>
      <c r="Y273" s="64">
        <f t="shared" si="208"/>
        <v>15014891.082746144</v>
      </c>
      <c r="Z273" s="64">
        <f t="shared" si="208"/>
        <v>14435218.809337147</v>
      </c>
      <c r="AA273" s="64">
        <f t="shared" si="208"/>
        <v>14030130.127769299</v>
      </c>
      <c r="AB273" s="64">
        <f t="shared" si="208"/>
        <v>13750755.234440692</v>
      </c>
      <c r="AC273" s="64">
        <f t="shared" si="208"/>
        <v>13559831.821838154</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09">A264</f>
        <v>Capex vehicle</v>
      </c>
      <c r="B276" s="65">
        <f>((1+B249)^B256)*B249/(((1+B249)^B256)-1)*(B245)/B261</f>
        <v>12.705398992482186</v>
      </c>
      <c r="C276" s="65">
        <f t="shared" ref="C276:AC276" si="210">((1+C249)^C256)*C249/(((1+C249)^C256)-1)*(C245)/C261</f>
        <v>12.702611718925683</v>
      </c>
      <c r="D276" s="65">
        <f t="shared" si="210"/>
        <v>12.698621798911065</v>
      </c>
      <c r="E276" s="65">
        <f t="shared" si="210"/>
        <v>12.692913937746427</v>
      </c>
      <c r="F276" s="65">
        <f t="shared" si="210"/>
        <v>12.684756144640067</v>
      </c>
      <c r="G276" s="65">
        <f t="shared" si="210"/>
        <v>12.673113210905095</v>
      </c>
      <c r="H276" s="65">
        <f t="shared" si="210"/>
        <v>12.656530816942187</v>
      </c>
      <c r="I276" s="65">
        <f t="shared" si="210"/>
        <v>12.632986194630686</v>
      </c>
      <c r="J276" s="65">
        <f t="shared" si="210"/>
        <v>12.599708133487129</v>
      </c>
      <c r="K276" s="65">
        <f t="shared" si="210"/>
        <v>12.55298633602753</v>
      </c>
      <c r="L276" s="65">
        <f t="shared" si="210"/>
        <v>12.48802607702101</v>
      </c>
      <c r="M276" s="65">
        <f t="shared" si="210"/>
        <v>12.398967992091194</v>
      </c>
      <c r="N276" s="65">
        <f t="shared" si="210"/>
        <v>12.27928346902409</v>
      </c>
      <c r="O276" s="65">
        <f t="shared" si="210"/>
        <v>12.122832676025958</v>
      </c>
      <c r="P276" s="65">
        <f t="shared" si="210"/>
        <v>11.925809345861026</v>
      </c>
      <c r="Q276" s="65">
        <f t="shared" si="210"/>
        <v>11.689387005218682</v>
      </c>
      <c r="R276" s="65">
        <f t="shared" si="210"/>
        <v>11.422046851200058</v>
      </c>
      <c r="S276" s="65">
        <f t="shared" si="210"/>
        <v>11.139816947471646</v>
      </c>
      <c r="T276" s="65">
        <f t="shared" si="210"/>
        <v>10.863140800352383</v>
      </c>
      <c r="U276" s="65">
        <f t="shared" si="210"/>
        <v>10.611276808651168</v>
      </c>
      <c r="V276" s="65">
        <f t="shared" si="210"/>
        <v>10.397228281827271</v>
      </c>
      <c r="W276" s="65">
        <f t="shared" si="210"/>
        <v>10.225813745760583</v>
      </c>
      <c r="X276" s="65">
        <f t="shared" si="210"/>
        <v>10.095016846821677</v>
      </c>
      <c r="Y276" s="65">
        <f t="shared" si="210"/>
        <v>9.9988706361751216</v>
      </c>
      <c r="Z276" s="65">
        <f t="shared" si="210"/>
        <v>9.930127486477792</v>
      </c>
      <c r="AA276" s="65">
        <f t="shared" si="210"/>
        <v>9.8819486905042879</v>
      </c>
      <c r="AB276" s="65">
        <f t="shared" si="210"/>
        <v>9.8486541811863653</v>
      </c>
      <c r="AC276" s="65">
        <f t="shared" si="210"/>
        <v>9.8258690893310732</v>
      </c>
    </row>
    <row r="277" spans="1:29" x14ac:dyDescent="0.25">
      <c r="A277" s="30" t="str">
        <f t="shared" si="209"/>
        <v>Residual value (vehicle)</v>
      </c>
      <c r="B277" s="66">
        <f>((1+B249)^B256)*B249/(((1+B249)^B256)-1)*(B246)/B261</f>
        <v>-0.63634373579283099</v>
      </c>
      <c r="C277" s="66">
        <f t="shared" ref="C277:AC277" si="211">((1+C249)^C256)*C249/(((1+C249)^C256)-1)*(C246)/C261</f>
        <v>-0.63666891770775647</v>
      </c>
      <c r="D277" s="66">
        <f t="shared" si="211"/>
        <v>-0.63713440837612878</v>
      </c>
      <c r="E277" s="66">
        <f t="shared" si="211"/>
        <v>-0.63780032551200283</v>
      </c>
      <c r="F277" s="66">
        <f t="shared" si="211"/>
        <v>-0.63875206804107831</v>
      </c>
      <c r="G277" s="66">
        <f t="shared" si="211"/>
        <v>-0.64011041031015858</v>
      </c>
      <c r="H277" s="66">
        <f t="shared" si="211"/>
        <v>-0.64204502293916443</v>
      </c>
      <c r="I277" s="66">
        <f t="shared" si="211"/>
        <v>-0.64479189554217275</v>
      </c>
      <c r="J277" s="66">
        <f t="shared" si="211"/>
        <v>-0.64867433600892122</v>
      </c>
      <c r="K277" s="66">
        <f t="shared" si="211"/>
        <v>-0.65412521237920762</v>
      </c>
      <c r="L277" s="66">
        <f t="shared" si="211"/>
        <v>-0.66170390926330158</v>
      </c>
      <c r="M277" s="66">
        <f t="shared" si="211"/>
        <v>-0.67209401917178002</v>
      </c>
      <c r="N277" s="66">
        <f t="shared" si="211"/>
        <v>-0.68605721352960891</v>
      </c>
      <c r="O277" s="66">
        <f t="shared" si="211"/>
        <v>-0.70430980604605786</v>
      </c>
      <c r="P277" s="66">
        <f t="shared" si="211"/>
        <v>-0.72729586123196666</v>
      </c>
      <c r="Q277" s="66">
        <f t="shared" si="211"/>
        <v>-0.75487846764023969</v>
      </c>
      <c r="R277" s="66">
        <f t="shared" si="211"/>
        <v>-0.786068152275746</v>
      </c>
      <c r="S277" s="66">
        <f t="shared" si="211"/>
        <v>-0.8189949743773941</v>
      </c>
      <c r="T277" s="66">
        <f t="shared" si="211"/>
        <v>-0.85127385820797485</v>
      </c>
      <c r="U277" s="66">
        <f t="shared" si="211"/>
        <v>-0.88065799057311644</v>
      </c>
      <c r="V277" s="66">
        <f t="shared" si="211"/>
        <v>-0.90563031870257138</v>
      </c>
      <c r="W277" s="66">
        <f t="shared" si="211"/>
        <v>-0.9256286812436848</v>
      </c>
      <c r="X277" s="66">
        <f t="shared" si="211"/>
        <v>-0.94088831945322393</v>
      </c>
      <c r="Y277" s="66">
        <f t="shared" si="211"/>
        <v>-0.95210537736198875</v>
      </c>
      <c r="Z277" s="66">
        <f t="shared" si="211"/>
        <v>-0.96012541149334374</v>
      </c>
      <c r="AA277" s="66">
        <f t="shared" si="211"/>
        <v>-0.96574627102358568</v>
      </c>
      <c r="AB277" s="66">
        <f t="shared" si="211"/>
        <v>-0.96963063044401021</v>
      </c>
      <c r="AC277" s="66">
        <f t="shared" si="211"/>
        <v>-0.97228889116046091</v>
      </c>
    </row>
    <row r="278" spans="1:29" x14ac:dyDescent="0.25">
      <c r="A278" s="30" t="str">
        <f t="shared" si="209"/>
        <v>Capex costumization</v>
      </c>
      <c r="B278" s="66">
        <f>((1+B249)^B257)*B249/(((1+B249)^B257)-1)*(B247)/B261</f>
        <v>0.65188931843561626</v>
      </c>
      <c r="C278" s="66">
        <f t="shared" ref="C278:AC278" si="212">((1+C249)^C257)*C249/(((1+C249)^C257)-1)*(C247)/C261</f>
        <v>0.65188931843561626</v>
      </c>
      <c r="D278" s="66">
        <f t="shared" si="212"/>
        <v>0.65188931843561626</v>
      </c>
      <c r="E278" s="66">
        <f t="shared" si="212"/>
        <v>0.65188931843561626</v>
      </c>
      <c r="F278" s="66">
        <f t="shared" si="212"/>
        <v>0.65188931843561626</v>
      </c>
      <c r="G278" s="66">
        <f t="shared" si="212"/>
        <v>0.65188931843561626</v>
      </c>
      <c r="H278" s="66">
        <f t="shared" si="212"/>
        <v>0.65188931843561626</v>
      </c>
      <c r="I278" s="66">
        <f t="shared" si="212"/>
        <v>0.65188931843561626</v>
      </c>
      <c r="J278" s="66">
        <f t="shared" si="212"/>
        <v>0.65188931843561626</v>
      </c>
      <c r="K278" s="66">
        <f t="shared" si="212"/>
        <v>0.65188931843561626</v>
      </c>
      <c r="L278" s="66">
        <f t="shared" si="212"/>
        <v>0.65188931843561626</v>
      </c>
      <c r="M278" s="66">
        <f t="shared" si="212"/>
        <v>0.65188931843561626</v>
      </c>
      <c r="N278" s="66">
        <f t="shared" si="212"/>
        <v>0.65188931843561626</v>
      </c>
      <c r="O278" s="66">
        <f t="shared" si="212"/>
        <v>0.65188931843561626</v>
      </c>
      <c r="P278" s="66">
        <f t="shared" si="212"/>
        <v>0.65188931843561626</v>
      </c>
      <c r="Q278" s="66">
        <f t="shared" si="212"/>
        <v>0.65188931843561626</v>
      </c>
      <c r="R278" s="66">
        <f t="shared" si="212"/>
        <v>0.65188931843561626</v>
      </c>
      <c r="S278" s="66">
        <f t="shared" si="212"/>
        <v>0.65188931843561626</v>
      </c>
      <c r="T278" s="66">
        <f t="shared" si="212"/>
        <v>0.65188931843561626</v>
      </c>
      <c r="U278" s="66">
        <f t="shared" si="212"/>
        <v>0.65188931843561626</v>
      </c>
      <c r="V278" s="66">
        <f t="shared" si="212"/>
        <v>0.65188931843561626</v>
      </c>
      <c r="W278" s="66">
        <f t="shared" si="212"/>
        <v>0.65188931843561626</v>
      </c>
      <c r="X278" s="66">
        <f t="shared" si="212"/>
        <v>0.65188931843561626</v>
      </c>
      <c r="Y278" s="66">
        <f t="shared" si="212"/>
        <v>0.65188931843561626</v>
      </c>
      <c r="Z278" s="66">
        <f t="shared" si="212"/>
        <v>0.65188931843561626</v>
      </c>
      <c r="AA278" s="66">
        <f t="shared" si="212"/>
        <v>0.65188931843561626</v>
      </c>
      <c r="AB278" s="66">
        <f t="shared" si="212"/>
        <v>0.65188931843561626</v>
      </c>
      <c r="AC278" s="66">
        <f t="shared" si="212"/>
        <v>0.65188931843561626</v>
      </c>
    </row>
    <row r="279" spans="1:29" x14ac:dyDescent="0.25">
      <c r="A279" s="30" t="str">
        <f t="shared" si="209"/>
        <v>Residual value (costumization)</v>
      </c>
      <c r="B279" s="66">
        <f>((1+B249)^B257)*B249/(((1+B249)^B257)-1)*(B248)/B261</f>
        <v>-6.5188931843561615E-2</v>
      </c>
      <c r="C279" s="66">
        <f t="shared" ref="C279:AC279" si="213">((1+C249)^C257)*C249/(((1+C249)^C257)-1)*(C248)/C261</f>
        <v>-6.5188931843561615E-2</v>
      </c>
      <c r="D279" s="66">
        <f t="shared" si="213"/>
        <v>-6.5188931843561615E-2</v>
      </c>
      <c r="E279" s="66">
        <f t="shared" si="213"/>
        <v>-6.5188931843561615E-2</v>
      </c>
      <c r="F279" s="66">
        <f t="shared" si="213"/>
        <v>-6.5188931843561615E-2</v>
      </c>
      <c r="G279" s="66">
        <f t="shared" si="213"/>
        <v>-6.5188931843561615E-2</v>
      </c>
      <c r="H279" s="66">
        <f t="shared" si="213"/>
        <v>-6.5188931843561615E-2</v>
      </c>
      <c r="I279" s="66">
        <f t="shared" si="213"/>
        <v>-6.5188931843561615E-2</v>
      </c>
      <c r="J279" s="66">
        <f t="shared" si="213"/>
        <v>-6.5188931843561615E-2</v>
      </c>
      <c r="K279" s="66">
        <f t="shared" si="213"/>
        <v>-6.5188931843561615E-2</v>
      </c>
      <c r="L279" s="66">
        <f t="shared" si="213"/>
        <v>-6.5188931843561615E-2</v>
      </c>
      <c r="M279" s="66">
        <f t="shared" si="213"/>
        <v>-6.5188931843561615E-2</v>
      </c>
      <c r="N279" s="66">
        <f t="shared" si="213"/>
        <v>-6.5188931843561615E-2</v>
      </c>
      <c r="O279" s="66">
        <f t="shared" si="213"/>
        <v>-6.5188931843561615E-2</v>
      </c>
      <c r="P279" s="66">
        <f t="shared" si="213"/>
        <v>-6.5188931843561615E-2</v>
      </c>
      <c r="Q279" s="66">
        <f t="shared" si="213"/>
        <v>-6.5188931843561615E-2</v>
      </c>
      <c r="R279" s="66">
        <f t="shared" si="213"/>
        <v>-6.5188931843561615E-2</v>
      </c>
      <c r="S279" s="66">
        <f t="shared" si="213"/>
        <v>-6.5188931843561615E-2</v>
      </c>
      <c r="T279" s="66">
        <f t="shared" si="213"/>
        <v>-6.5188931843561615E-2</v>
      </c>
      <c r="U279" s="66">
        <f t="shared" si="213"/>
        <v>-6.5188931843561615E-2</v>
      </c>
      <c r="V279" s="66">
        <f t="shared" si="213"/>
        <v>-6.5188931843561615E-2</v>
      </c>
      <c r="W279" s="66">
        <f t="shared" si="213"/>
        <v>-6.5188931843561615E-2</v>
      </c>
      <c r="X279" s="66">
        <f t="shared" si="213"/>
        <v>-6.5188931843561615E-2</v>
      </c>
      <c r="Y279" s="66">
        <f t="shared" si="213"/>
        <v>-6.5188931843561615E-2</v>
      </c>
      <c r="Z279" s="66">
        <f t="shared" si="213"/>
        <v>-6.5188931843561615E-2</v>
      </c>
      <c r="AA279" s="66">
        <f t="shared" si="213"/>
        <v>-6.5188931843561615E-2</v>
      </c>
      <c r="AB279" s="66">
        <f t="shared" si="213"/>
        <v>-6.5188931843561615E-2</v>
      </c>
      <c r="AC279" s="66">
        <f t="shared" si="213"/>
        <v>-6.5188931843561615E-2</v>
      </c>
    </row>
    <row r="280" spans="1:29" x14ac:dyDescent="0.25">
      <c r="A280" s="30" t="str">
        <f t="shared" si="209"/>
        <v>Opex fix (admin, crew, insurance)</v>
      </c>
      <c r="B280" s="66">
        <f>B250/B261</f>
        <v>10.068627450980392</v>
      </c>
      <c r="C280" s="66">
        <f t="shared" ref="C280:AC280" si="214">C250/C261</f>
        <v>10.068627450980392</v>
      </c>
      <c r="D280" s="66">
        <f t="shared" si="214"/>
        <v>10.068627450980392</v>
      </c>
      <c r="E280" s="66">
        <f t="shared" si="214"/>
        <v>10.068627450980392</v>
      </c>
      <c r="F280" s="66">
        <f t="shared" si="214"/>
        <v>10.068627450980392</v>
      </c>
      <c r="G280" s="66">
        <f t="shared" si="214"/>
        <v>10.068627450980392</v>
      </c>
      <c r="H280" s="66">
        <f t="shared" si="214"/>
        <v>10.068627450980392</v>
      </c>
      <c r="I280" s="66">
        <f t="shared" si="214"/>
        <v>10.068627450980392</v>
      </c>
      <c r="J280" s="66">
        <f t="shared" si="214"/>
        <v>10.068627450980392</v>
      </c>
      <c r="K280" s="66">
        <f t="shared" si="214"/>
        <v>10.068627450980392</v>
      </c>
      <c r="L280" s="66">
        <f t="shared" si="214"/>
        <v>10.068627450980392</v>
      </c>
      <c r="M280" s="66">
        <f t="shared" si="214"/>
        <v>10.068627450980392</v>
      </c>
      <c r="N280" s="66">
        <f t="shared" si="214"/>
        <v>10.068627450980392</v>
      </c>
      <c r="O280" s="66">
        <f t="shared" si="214"/>
        <v>10.068627450980392</v>
      </c>
      <c r="P280" s="66">
        <f t="shared" si="214"/>
        <v>10.068627450980392</v>
      </c>
      <c r="Q280" s="66">
        <f t="shared" si="214"/>
        <v>10.068627450980392</v>
      </c>
      <c r="R280" s="66">
        <f t="shared" si="214"/>
        <v>10.068627450980392</v>
      </c>
      <c r="S280" s="66">
        <f t="shared" si="214"/>
        <v>10.068627450980392</v>
      </c>
      <c r="T280" s="66">
        <f t="shared" si="214"/>
        <v>10.068627450980392</v>
      </c>
      <c r="U280" s="66">
        <f t="shared" si="214"/>
        <v>10.068627450980392</v>
      </c>
      <c r="V280" s="66">
        <f t="shared" si="214"/>
        <v>10.068627450980392</v>
      </c>
      <c r="W280" s="66">
        <f t="shared" si="214"/>
        <v>10.068627450980392</v>
      </c>
      <c r="X280" s="66">
        <f t="shared" si="214"/>
        <v>10.068627450980392</v>
      </c>
      <c r="Y280" s="66">
        <f t="shared" si="214"/>
        <v>10.068627450980392</v>
      </c>
      <c r="Z280" s="66">
        <f t="shared" si="214"/>
        <v>10.068627450980392</v>
      </c>
      <c r="AA280" s="66">
        <f t="shared" si="214"/>
        <v>10.068627450980392</v>
      </c>
      <c r="AB280" s="66">
        <f t="shared" si="214"/>
        <v>10.068627450980392</v>
      </c>
      <c r="AC280" s="66">
        <f t="shared" si="214"/>
        <v>10.068627450980392</v>
      </c>
    </row>
    <row r="281" spans="1:29" x14ac:dyDescent="0.25">
      <c r="A281" s="30" t="str">
        <f t="shared" si="209"/>
        <v>Opex maintenance &amp; repair</v>
      </c>
      <c r="B281" s="66">
        <f>B251/B261</f>
        <v>4.0686274509803919</v>
      </c>
      <c r="C281" s="66">
        <f t="shared" ref="C281:AC281" si="215">C251/C261</f>
        <v>4.0686274509803919</v>
      </c>
      <c r="D281" s="66">
        <f t="shared" si="215"/>
        <v>4.0686274509803919</v>
      </c>
      <c r="E281" s="66">
        <f t="shared" si="215"/>
        <v>4.0686274509803919</v>
      </c>
      <c r="F281" s="66">
        <f t="shared" si="215"/>
        <v>4.0686274509803919</v>
      </c>
      <c r="G281" s="66">
        <f t="shared" si="215"/>
        <v>4.0686274509803919</v>
      </c>
      <c r="H281" s="66">
        <f t="shared" si="215"/>
        <v>4.0686274509803919</v>
      </c>
      <c r="I281" s="66">
        <f t="shared" si="215"/>
        <v>4.0686274509803919</v>
      </c>
      <c r="J281" s="66">
        <f t="shared" si="215"/>
        <v>4.0686274509803919</v>
      </c>
      <c r="K281" s="66">
        <f t="shared" si="215"/>
        <v>4.0686274509803919</v>
      </c>
      <c r="L281" s="66">
        <f t="shared" si="215"/>
        <v>4.0686274509803919</v>
      </c>
      <c r="M281" s="66">
        <f t="shared" si="215"/>
        <v>4.0686274509803919</v>
      </c>
      <c r="N281" s="66">
        <f t="shared" si="215"/>
        <v>4.0686274509803919</v>
      </c>
      <c r="O281" s="66">
        <f t="shared" si="215"/>
        <v>4.0686274509803919</v>
      </c>
      <c r="P281" s="66">
        <f t="shared" si="215"/>
        <v>4.0686274509803919</v>
      </c>
      <c r="Q281" s="66">
        <f t="shared" si="215"/>
        <v>4.0686274509803919</v>
      </c>
      <c r="R281" s="66">
        <f t="shared" si="215"/>
        <v>4.0686274509803919</v>
      </c>
      <c r="S281" s="66">
        <f t="shared" si="215"/>
        <v>4.0686274509803919</v>
      </c>
      <c r="T281" s="66">
        <f t="shared" si="215"/>
        <v>4.0686274509803919</v>
      </c>
      <c r="U281" s="66">
        <f t="shared" si="215"/>
        <v>4.0686274509803919</v>
      </c>
      <c r="V281" s="66">
        <f t="shared" si="215"/>
        <v>4.0686274509803919</v>
      </c>
      <c r="W281" s="66">
        <f t="shared" si="215"/>
        <v>4.0686274509803919</v>
      </c>
      <c r="X281" s="66">
        <f t="shared" si="215"/>
        <v>4.0686274509803919</v>
      </c>
      <c r="Y281" s="66">
        <f t="shared" si="215"/>
        <v>4.0686274509803919</v>
      </c>
      <c r="Z281" s="66">
        <f t="shared" si="215"/>
        <v>4.0686274509803919</v>
      </c>
      <c r="AA281" s="66">
        <f t="shared" si="215"/>
        <v>4.0686274509803919</v>
      </c>
      <c r="AB281" s="66">
        <f t="shared" si="215"/>
        <v>4.0686274509803919</v>
      </c>
      <c r="AC281" s="66">
        <f t="shared" si="215"/>
        <v>4.0686274509803919</v>
      </c>
    </row>
    <row r="282" spans="1:29" x14ac:dyDescent="0.25">
      <c r="A282" s="30" t="str">
        <f t="shared" si="209"/>
        <v>Opex var (mode-fees)</v>
      </c>
      <c r="B282" s="66">
        <f>B252*B261/B261</f>
        <v>0.81280569096848254</v>
      </c>
      <c r="C282" s="66">
        <f t="shared" ref="C282:AC282" si="216">C252*C261/C261</f>
        <v>0.81280569096848254</v>
      </c>
      <c r="D282" s="66">
        <f t="shared" si="216"/>
        <v>0.81280569096848254</v>
      </c>
      <c r="E282" s="66">
        <f t="shared" si="216"/>
        <v>0.81280569096848254</v>
      </c>
      <c r="F282" s="66">
        <f t="shared" si="216"/>
        <v>0.81280569096848254</v>
      </c>
      <c r="G282" s="66">
        <f t="shared" si="216"/>
        <v>0.81280569096848254</v>
      </c>
      <c r="H282" s="66">
        <f t="shared" si="216"/>
        <v>0.81280569096848254</v>
      </c>
      <c r="I282" s="66">
        <f t="shared" si="216"/>
        <v>0.81280569096848254</v>
      </c>
      <c r="J282" s="66">
        <f t="shared" si="216"/>
        <v>0.81280569096848254</v>
      </c>
      <c r="K282" s="66">
        <f t="shared" si="216"/>
        <v>0.81280569096848254</v>
      </c>
      <c r="L282" s="66">
        <f t="shared" si="216"/>
        <v>0.81280569096848254</v>
      </c>
      <c r="M282" s="66">
        <f t="shared" si="216"/>
        <v>0.81280569096848254</v>
      </c>
      <c r="N282" s="66">
        <f t="shared" si="216"/>
        <v>0.81280569096848254</v>
      </c>
      <c r="O282" s="66">
        <f t="shared" si="216"/>
        <v>0.81280569096848254</v>
      </c>
      <c r="P282" s="66">
        <f t="shared" si="216"/>
        <v>0.81280569096848254</v>
      </c>
      <c r="Q282" s="66">
        <f t="shared" si="216"/>
        <v>0.81280569096848254</v>
      </c>
      <c r="R282" s="66">
        <f t="shared" si="216"/>
        <v>0.81280569096848254</v>
      </c>
      <c r="S282" s="66">
        <f t="shared" si="216"/>
        <v>0.81280569096848254</v>
      </c>
      <c r="T282" s="66">
        <f t="shared" si="216"/>
        <v>0.81280569096848254</v>
      </c>
      <c r="U282" s="66">
        <f t="shared" si="216"/>
        <v>0.81280569096848254</v>
      </c>
      <c r="V282" s="66">
        <f t="shared" si="216"/>
        <v>0.81280569096848254</v>
      </c>
      <c r="W282" s="66">
        <f t="shared" si="216"/>
        <v>0.81280569096848254</v>
      </c>
      <c r="X282" s="66">
        <f t="shared" si="216"/>
        <v>0.81280569096848254</v>
      </c>
      <c r="Y282" s="66">
        <f t="shared" si="216"/>
        <v>0.81280569096848254</v>
      </c>
      <c r="Z282" s="66">
        <f t="shared" si="216"/>
        <v>0.81280569096848254</v>
      </c>
      <c r="AA282" s="66">
        <f t="shared" si="216"/>
        <v>0.81280569096848254</v>
      </c>
      <c r="AB282" s="66">
        <f t="shared" si="216"/>
        <v>0.81280569096848254</v>
      </c>
      <c r="AC282" s="66">
        <f t="shared" si="216"/>
        <v>0.81280569096848254</v>
      </c>
    </row>
    <row r="283" spans="1:29" x14ac:dyDescent="0.25">
      <c r="A283" s="30" t="str">
        <f t="shared" si="209"/>
        <v>Fuel Cost</v>
      </c>
      <c r="B283" s="66">
        <f>B253*B254*B261/B261</f>
        <v>297.61791829501249</v>
      </c>
      <c r="C283" s="66">
        <f t="shared" ref="C283:AC283" si="217">C253*C254*C261/C261</f>
        <v>297.40160632855475</v>
      </c>
      <c r="D283" s="66">
        <f t="shared" si="217"/>
        <v>297.0920076078429</v>
      </c>
      <c r="E283" s="66">
        <f t="shared" si="217"/>
        <v>296.64920116254757</v>
      </c>
      <c r="F283" s="66">
        <f t="shared" si="217"/>
        <v>296.01652982096829</v>
      </c>
      <c r="G283" s="66">
        <f t="shared" si="217"/>
        <v>295.11397215017541</v>
      </c>
      <c r="H283" s="66">
        <f t="shared" si="217"/>
        <v>293.82932284370634</v>
      </c>
      <c r="I283" s="66">
        <f t="shared" si="217"/>
        <v>292.00694857700063</v>
      </c>
      <c r="J283" s="66">
        <f t="shared" si="217"/>
        <v>289.43448728519553</v>
      </c>
      <c r="K283" s="66">
        <f t="shared" si="217"/>
        <v>285.82930044890151</v>
      </c>
      <c r="L283" s="66">
        <f t="shared" si="217"/>
        <v>280.82940310238058</v>
      </c>
      <c r="M283" s="66">
        <f t="shared" si="217"/>
        <v>273.99859312334286</v>
      </c>
      <c r="N283" s="66">
        <f t="shared" si="217"/>
        <v>264.86217894545257</v>
      </c>
      <c r="O283" s="66">
        <f t="shared" si="217"/>
        <v>252.99427683344464</v>
      </c>
      <c r="P283" s="66">
        <f t="shared" si="217"/>
        <v>238.16981485939459</v>
      </c>
      <c r="Q283" s="66">
        <f t="shared" si="217"/>
        <v>220.55916023933028</v>
      </c>
      <c r="R283" s="66">
        <f t="shared" si="217"/>
        <v>200.87978683736739</v>
      </c>
      <c r="S283" s="66">
        <f t="shared" si="217"/>
        <v>180.37418382603204</v>
      </c>
      <c r="T283" s="66">
        <f t="shared" si="217"/>
        <v>160.54110734244563</v>
      </c>
      <c r="U283" s="66">
        <f t="shared" si="217"/>
        <v>142.71823403752018</v>
      </c>
      <c r="V283" s="66">
        <f t="shared" si="217"/>
        <v>127.74482275848767</v>
      </c>
      <c r="W283" s="66">
        <f t="shared" si="217"/>
        <v>115.86874841216149</v>
      </c>
      <c r="X283" s="66">
        <f t="shared" si="217"/>
        <v>106.87554257578437</v>
      </c>
      <c r="Y283" s="66">
        <f t="shared" si="217"/>
        <v>100.30277400851568</v>
      </c>
      <c r="Z283" s="66">
        <f t="shared" si="217"/>
        <v>95.62305868327033</v>
      </c>
      <c r="AA283" s="66">
        <f t="shared" si="217"/>
        <v>92.353069141439661</v>
      </c>
      <c r="AB283" s="66">
        <f t="shared" si="217"/>
        <v>90.098024414861612</v>
      </c>
      <c r="AC283" s="66">
        <f t="shared" si="217"/>
        <v>88.55700784100155</v>
      </c>
    </row>
    <row r="284" spans="1:29" ht="15.75" thickBot="1" x14ac:dyDescent="0.3">
      <c r="A284" s="59" t="str">
        <f t="shared" ref="A284" si="218">A272</f>
        <v>Emission Cost</v>
      </c>
      <c r="B284" s="66">
        <f>B255</f>
        <v>3.1561641138930518</v>
      </c>
      <c r="C284" s="66">
        <f t="shared" ref="C284:AC284" si="219">C255</f>
        <v>3.1531586766519095</v>
      </c>
      <c r="D284" s="66">
        <f t="shared" si="219"/>
        <v>3.148856460181932</v>
      </c>
      <c r="E284" s="66">
        <f t="shared" si="219"/>
        <v>3.1427018369762418</v>
      </c>
      <c r="F284" s="66">
        <f t="shared" si="219"/>
        <v>3.1339055223302736</v>
      </c>
      <c r="G284" s="66">
        <f t="shared" si="219"/>
        <v>3.1213512803680521</v>
      </c>
      <c r="H284" s="66">
        <f t="shared" si="219"/>
        <v>3.103470959921165</v>
      </c>
      <c r="I284" s="66">
        <f t="shared" si="219"/>
        <v>3.0780834680624944</v>
      </c>
      <c r="J284" s="66">
        <f t="shared" si="219"/>
        <v>3.0422006879024699</v>
      </c>
      <c r="K284" s="66">
        <f t="shared" si="219"/>
        <v>2.9918219119367748</v>
      </c>
      <c r="L284" s="66">
        <f t="shared" si="219"/>
        <v>2.9217771252824751</v>
      </c>
      <c r="M284" s="66">
        <f t="shared" si="219"/>
        <v>2.8257483431601118</v>
      </c>
      <c r="N284" s="66">
        <f t="shared" si="219"/>
        <v>2.6966959500159344</v>
      </c>
      <c r="O284" s="66">
        <f t="shared" si="219"/>
        <v>2.527999541087663</v>
      </c>
      <c r="P284" s="66">
        <f t="shared" si="219"/>
        <v>2.3155549274364571</v>
      </c>
      <c r="Q284" s="66">
        <f t="shared" si="219"/>
        <v>2.0606274892785992</v>
      </c>
      <c r="R284" s="66">
        <f t="shared" si="219"/>
        <v>1.7723622585244727</v>
      </c>
      <c r="S284" s="66">
        <f t="shared" si="219"/>
        <v>1.4680418371398225</v>
      </c>
      <c r="T284" s="66">
        <f t="shared" si="219"/>
        <v>1.1697098724326394</v>
      </c>
      <c r="U284" s="66">
        <f t="shared" si="219"/>
        <v>0.89813214422744192</v>
      </c>
      <c r="V284" s="66">
        <f t="shared" si="219"/>
        <v>0.66732974866522188</v>
      </c>
      <c r="W284" s="66">
        <f t="shared" si="219"/>
        <v>0.48249836418702996</v>
      </c>
      <c r="X284" s="66">
        <f t="shared" si="219"/>
        <v>0.34146381442791984</v>
      </c>
      <c r="Y284" s="66">
        <f t="shared" si="219"/>
        <v>0.23779210936773287</v>
      </c>
      <c r="Z284" s="66">
        <f t="shared" si="219"/>
        <v>0.16366834003345909</v>
      </c>
      <c r="AA284" s="66">
        <f t="shared" si="219"/>
        <v>0.11171852430248297</v>
      </c>
      <c r="AB284" s="66">
        <f t="shared" si="219"/>
        <v>7.5818008547159366E-2</v>
      </c>
      <c r="AC284" s="66">
        <f t="shared" si="219"/>
        <v>5.1249496624470758E-2</v>
      </c>
    </row>
    <row r="285" spans="1:29" ht="15.75" thickBot="1" x14ac:dyDescent="0.3">
      <c r="A285" s="31" t="s">
        <v>63</v>
      </c>
      <c r="B285" s="76">
        <f>B276+B277+B278-B279+B280+B281+B282+B283+B284</f>
        <v>328.51027650880337</v>
      </c>
      <c r="C285" s="76">
        <f t="shared" ref="C285:AC285" si="220">C276+C277+C278-C279+C280+C281+C282+C283+C284</f>
        <v>328.28784664963302</v>
      </c>
      <c r="D285" s="76">
        <f t="shared" si="220"/>
        <v>327.96949030176825</v>
      </c>
      <c r="E285" s="76">
        <f t="shared" si="220"/>
        <v>327.51415545496667</v>
      </c>
      <c r="F285" s="76">
        <f t="shared" si="220"/>
        <v>326.86357826310598</v>
      </c>
      <c r="G285" s="76">
        <f t="shared" si="220"/>
        <v>325.93546507434684</v>
      </c>
      <c r="H285" s="76">
        <f t="shared" si="220"/>
        <v>324.61441844083896</v>
      </c>
      <c r="I285" s="76">
        <f t="shared" si="220"/>
        <v>322.74036518736011</v>
      </c>
      <c r="J285" s="76">
        <f t="shared" si="220"/>
        <v>320.09486061378465</v>
      </c>
      <c r="K285" s="76">
        <f t="shared" si="220"/>
        <v>316.38712232769501</v>
      </c>
      <c r="L285" s="76">
        <f t="shared" si="220"/>
        <v>311.24464123862919</v>
      </c>
      <c r="M285" s="76">
        <f t="shared" si="220"/>
        <v>304.21835428263086</v>
      </c>
      <c r="N285" s="76">
        <f t="shared" si="220"/>
        <v>294.81923999417143</v>
      </c>
      <c r="O285" s="76">
        <f t="shared" si="220"/>
        <v>282.60793808772064</v>
      </c>
      <c r="P285" s="76">
        <f t="shared" si="220"/>
        <v>267.35102211466852</v>
      </c>
      <c r="Q285" s="76">
        <f t="shared" si="220"/>
        <v>249.22143510939577</v>
      </c>
      <c r="R285" s="76">
        <f t="shared" si="220"/>
        <v>228.95526663802463</v>
      </c>
      <c r="S285" s="76">
        <f t="shared" si="220"/>
        <v>207.83018647947455</v>
      </c>
      <c r="T285" s="76">
        <f t="shared" si="220"/>
        <v>187.3898230002311</v>
      </c>
      <c r="U285" s="76">
        <f t="shared" si="220"/>
        <v>169.01412384303413</v>
      </c>
      <c r="V285" s="76">
        <f t="shared" si="220"/>
        <v>153.57088931348605</v>
      </c>
      <c r="W285" s="76">
        <f t="shared" si="220"/>
        <v>141.31857068407388</v>
      </c>
      <c r="X285" s="76">
        <f t="shared" si="220"/>
        <v>132.0382737607892</v>
      </c>
      <c r="Y285" s="76">
        <f t="shared" si="220"/>
        <v>125.254470219905</v>
      </c>
      <c r="Z285" s="76">
        <f t="shared" si="220"/>
        <v>120.42386794149668</v>
      </c>
      <c r="AA285" s="76">
        <f t="shared" si="220"/>
        <v>117.0481289284313</v>
      </c>
      <c r="AB285" s="76">
        <f t="shared" si="220"/>
        <v>114.72000481735957</v>
      </c>
      <c r="AC285" s="76">
        <f t="shared" si="220"/>
        <v>113.12897637900507</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21">A264</f>
        <v>Capex vehicle</v>
      </c>
      <c r="B288" s="65">
        <f>((1+B249)^B256)*B249/(((1+B249)^B256)-1)*(B245)/B261/(B258)</f>
        <v>1.3444866658711308E-3</v>
      </c>
      <c r="C288" s="65">
        <f t="shared" ref="C288:AC288" si="222">((1+C249)^C256)*C249/(((1+C249)^C256)-1)*(C245)/C261/(C258)</f>
        <v>1.344191716288432E-3</v>
      </c>
      <c r="D288" s="65">
        <f t="shared" si="222"/>
        <v>1.3437695025302714E-3</v>
      </c>
      <c r="E288" s="65">
        <f t="shared" si="222"/>
        <v>1.343165496057823E-3</v>
      </c>
      <c r="F288" s="65">
        <f t="shared" si="222"/>
        <v>1.3423022375280494E-3</v>
      </c>
      <c r="G288" s="65">
        <f t="shared" si="222"/>
        <v>1.3410701810481582E-3</v>
      </c>
      <c r="H288" s="65">
        <f t="shared" si="222"/>
        <v>1.3393154303642525E-3</v>
      </c>
      <c r="I288" s="65">
        <f t="shared" si="222"/>
        <v>1.3368239359397552E-3</v>
      </c>
      <c r="J288" s="65">
        <f t="shared" si="222"/>
        <v>1.3333024479880559E-3</v>
      </c>
      <c r="K288" s="65">
        <f t="shared" si="222"/>
        <v>1.3283583424367757E-3</v>
      </c>
      <c r="L288" s="65">
        <f t="shared" si="222"/>
        <v>1.3214842409546043E-3</v>
      </c>
      <c r="M288" s="65">
        <f t="shared" si="222"/>
        <v>1.3120601049831952E-3</v>
      </c>
      <c r="N288" s="65">
        <f t="shared" si="222"/>
        <v>1.2993950760872054E-3</v>
      </c>
      <c r="O288" s="65">
        <f t="shared" si="222"/>
        <v>1.2828394366165034E-3</v>
      </c>
      <c r="P288" s="65">
        <f t="shared" si="222"/>
        <v>1.2619904069694208E-3</v>
      </c>
      <c r="Q288" s="65">
        <f t="shared" si="222"/>
        <v>1.2369721698644108E-3</v>
      </c>
      <c r="R288" s="65">
        <f t="shared" si="222"/>
        <v>1.2086822064761966E-3</v>
      </c>
      <c r="S288" s="65">
        <f t="shared" si="222"/>
        <v>1.1788166081980577E-3</v>
      </c>
      <c r="T288" s="65">
        <f t="shared" si="222"/>
        <v>1.1495387090319981E-3</v>
      </c>
      <c r="U288" s="65">
        <f t="shared" si="222"/>
        <v>1.1228864347779014E-3</v>
      </c>
      <c r="V288" s="65">
        <f t="shared" si="222"/>
        <v>1.1002357970187589E-3</v>
      </c>
      <c r="W288" s="65">
        <f t="shared" si="222"/>
        <v>1.0820966926730776E-3</v>
      </c>
      <c r="X288" s="65">
        <f t="shared" si="222"/>
        <v>1.0682557509864208E-3</v>
      </c>
      <c r="Y288" s="65">
        <f t="shared" si="222"/>
        <v>1.0580815488016001E-3</v>
      </c>
      <c r="Z288" s="65">
        <f t="shared" si="222"/>
        <v>1.0508071414262214E-3</v>
      </c>
      <c r="AA288" s="65">
        <f t="shared" si="222"/>
        <v>1.0457088561380199E-3</v>
      </c>
      <c r="AB288" s="65">
        <f t="shared" si="222"/>
        <v>1.0421856276387688E-3</v>
      </c>
      <c r="AC288" s="65">
        <f t="shared" si="222"/>
        <v>1.0397745068075209E-3</v>
      </c>
    </row>
    <row r="289" spans="1:29" x14ac:dyDescent="0.25">
      <c r="A289" s="30" t="str">
        <f t="shared" si="221"/>
        <v>Residual value (vehicle)</v>
      </c>
      <c r="B289" s="68">
        <f>((1+B249)^B256)*B249/(((1+B249)^B256)-1)*(B246)/B261/(B258)</f>
        <v>-6.7337961459558828E-5</v>
      </c>
      <c r="C289" s="68">
        <f t="shared" ref="C289:AC289" si="223">((1+C249)^C256)*C249/(((1+C249)^C256)-1)*(C246)/C261/(C258)</f>
        <v>-6.7372372244207035E-5</v>
      </c>
      <c r="D289" s="68">
        <f t="shared" si="223"/>
        <v>-6.7421630515992462E-5</v>
      </c>
      <c r="E289" s="68">
        <f t="shared" si="223"/>
        <v>-6.7492097937778083E-5</v>
      </c>
      <c r="F289" s="68">
        <f t="shared" si="223"/>
        <v>-6.7592811432918334E-5</v>
      </c>
      <c r="G289" s="68">
        <f t="shared" si="223"/>
        <v>-6.773655135557234E-5</v>
      </c>
      <c r="H289" s="68">
        <f t="shared" si="223"/>
        <v>-6.7941272268694643E-5</v>
      </c>
      <c r="I289" s="68">
        <f t="shared" si="223"/>
        <v>-6.8231946618219335E-5</v>
      </c>
      <c r="J289" s="68">
        <f t="shared" si="223"/>
        <v>-6.8642786879250924E-5</v>
      </c>
      <c r="K289" s="68">
        <f t="shared" si="223"/>
        <v>-6.9219599193566945E-5</v>
      </c>
      <c r="L289" s="68">
        <f t="shared" si="223"/>
        <v>-7.0021577699820272E-5</v>
      </c>
      <c r="M289" s="68">
        <f t="shared" si="223"/>
        <v>-7.1121060229817985E-5</v>
      </c>
      <c r="N289" s="68">
        <f t="shared" si="223"/>
        <v>-7.2598646934350151E-5</v>
      </c>
      <c r="O289" s="68">
        <f t="shared" si="223"/>
        <v>-7.4530138205932043E-5</v>
      </c>
      <c r="P289" s="68">
        <f t="shared" si="223"/>
        <v>-7.6962524998091712E-5</v>
      </c>
      <c r="Q289" s="68">
        <f t="shared" si="223"/>
        <v>-7.9881319327009486E-5</v>
      </c>
      <c r="R289" s="68">
        <f t="shared" si="223"/>
        <v>-8.3181815055634491E-5</v>
      </c>
      <c r="S289" s="68">
        <f t="shared" si="223"/>
        <v>-8.6666134854750698E-5</v>
      </c>
      <c r="T289" s="68">
        <f t="shared" si="223"/>
        <v>-9.008188975745766E-5</v>
      </c>
      <c r="U289" s="68">
        <f t="shared" si="223"/>
        <v>-9.3191321753768942E-5</v>
      </c>
      <c r="V289" s="68">
        <f t="shared" si="223"/>
        <v>-9.583389615900226E-5</v>
      </c>
      <c r="W289" s="68">
        <f t="shared" si="223"/>
        <v>-9.7950124999331722E-5</v>
      </c>
      <c r="X289" s="68">
        <f t="shared" si="223"/>
        <v>-9.9564901529441686E-5</v>
      </c>
      <c r="Y289" s="68">
        <f t="shared" si="223"/>
        <v>-1.0075189178433743E-4</v>
      </c>
      <c r="Z289" s="68">
        <f t="shared" si="223"/>
        <v>-1.0160057264479828E-4</v>
      </c>
      <c r="AA289" s="68">
        <f t="shared" si="223"/>
        <v>-1.0219537259508843E-4</v>
      </c>
      <c r="AB289" s="68">
        <f t="shared" si="223"/>
        <v>-1.0260641592000108E-4</v>
      </c>
      <c r="AC289" s="68">
        <f t="shared" si="223"/>
        <v>-1.0288771335031333E-4</v>
      </c>
    </row>
    <row r="290" spans="1:29" x14ac:dyDescent="0.25">
      <c r="A290" s="30" t="str">
        <f t="shared" si="221"/>
        <v>Capex costumization</v>
      </c>
      <c r="B290" s="66">
        <f>((1+B249)^B257)*B249/(((1+B249)^B257)-1)*(B247)/B261/(B258)</f>
        <v>6.8982996659853576E-5</v>
      </c>
      <c r="C290" s="66">
        <f t="shared" ref="C290:AC290" si="224">((1+C249)^C257)*C249/(((1+C249)^C257)-1)*(C247)/C261/(C258)</f>
        <v>6.8982996659853576E-5</v>
      </c>
      <c r="D290" s="66">
        <f t="shared" si="224"/>
        <v>6.8982996659853576E-5</v>
      </c>
      <c r="E290" s="66">
        <f t="shared" si="224"/>
        <v>6.8982996659853576E-5</v>
      </c>
      <c r="F290" s="66">
        <f t="shared" si="224"/>
        <v>6.8982996659853576E-5</v>
      </c>
      <c r="G290" s="66">
        <f t="shared" si="224"/>
        <v>6.8982996659853576E-5</v>
      </c>
      <c r="H290" s="66">
        <f t="shared" si="224"/>
        <v>6.8982996659853576E-5</v>
      </c>
      <c r="I290" s="66">
        <f t="shared" si="224"/>
        <v>6.8982996659853576E-5</v>
      </c>
      <c r="J290" s="66">
        <f t="shared" si="224"/>
        <v>6.8982996659853576E-5</v>
      </c>
      <c r="K290" s="66">
        <f t="shared" si="224"/>
        <v>6.8982996659853576E-5</v>
      </c>
      <c r="L290" s="66">
        <f t="shared" si="224"/>
        <v>6.8982996659853576E-5</v>
      </c>
      <c r="M290" s="66">
        <f t="shared" si="224"/>
        <v>6.8982996659853576E-5</v>
      </c>
      <c r="N290" s="66">
        <f t="shared" si="224"/>
        <v>6.8982996659853576E-5</v>
      </c>
      <c r="O290" s="66">
        <f t="shared" si="224"/>
        <v>6.8982996659853576E-5</v>
      </c>
      <c r="P290" s="66">
        <f t="shared" si="224"/>
        <v>6.8982996659853576E-5</v>
      </c>
      <c r="Q290" s="66">
        <f t="shared" si="224"/>
        <v>6.8982996659853576E-5</v>
      </c>
      <c r="R290" s="66">
        <f t="shared" si="224"/>
        <v>6.8982996659853576E-5</v>
      </c>
      <c r="S290" s="66">
        <f t="shared" si="224"/>
        <v>6.8982996659853576E-5</v>
      </c>
      <c r="T290" s="66">
        <f t="shared" si="224"/>
        <v>6.8982996659853576E-5</v>
      </c>
      <c r="U290" s="66">
        <f t="shared" si="224"/>
        <v>6.8982996659853576E-5</v>
      </c>
      <c r="V290" s="66">
        <f t="shared" si="224"/>
        <v>6.8982996659853576E-5</v>
      </c>
      <c r="W290" s="66">
        <f t="shared" si="224"/>
        <v>6.8982996659853576E-5</v>
      </c>
      <c r="X290" s="66">
        <f t="shared" si="224"/>
        <v>6.8982996659853576E-5</v>
      </c>
      <c r="Y290" s="66">
        <f t="shared" si="224"/>
        <v>6.8982996659853576E-5</v>
      </c>
      <c r="Z290" s="66">
        <f t="shared" si="224"/>
        <v>6.8982996659853576E-5</v>
      </c>
      <c r="AA290" s="66">
        <f t="shared" si="224"/>
        <v>6.8982996659853576E-5</v>
      </c>
      <c r="AB290" s="66">
        <f t="shared" si="224"/>
        <v>6.8982996659853576E-5</v>
      </c>
      <c r="AC290" s="66">
        <f t="shared" si="224"/>
        <v>6.8982996659853576E-5</v>
      </c>
    </row>
    <row r="291" spans="1:29" x14ac:dyDescent="0.25">
      <c r="A291" s="30" t="str">
        <f t="shared" si="221"/>
        <v>Residual value (costumization)</v>
      </c>
      <c r="B291" s="69">
        <f>((1+B249)^B257)*B249/(((1+B249)^B257)-1)*(B248)/B261/(B258)</f>
        <v>-6.8982996659853564E-6</v>
      </c>
      <c r="C291" s="69">
        <f t="shared" ref="C291:AC291" si="225">((1+C249)^C257)*C249/(((1+C249)^C257)-1)*(C248)/C261/(C258)</f>
        <v>-6.8982996659853564E-6</v>
      </c>
      <c r="D291" s="69">
        <f t="shared" si="225"/>
        <v>-6.8982996659853564E-6</v>
      </c>
      <c r="E291" s="69">
        <f t="shared" si="225"/>
        <v>-6.8982996659853564E-6</v>
      </c>
      <c r="F291" s="69">
        <f t="shared" si="225"/>
        <v>-6.8982996659853564E-6</v>
      </c>
      <c r="G291" s="69">
        <f t="shared" si="225"/>
        <v>-6.8982996659853564E-6</v>
      </c>
      <c r="H291" s="69">
        <f t="shared" si="225"/>
        <v>-6.8982996659853564E-6</v>
      </c>
      <c r="I291" s="69">
        <f t="shared" si="225"/>
        <v>-6.8982996659853564E-6</v>
      </c>
      <c r="J291" s="69">
        <f t="shared" si="225"/>
        <v>-6.8982996659853564E-6</v>
      </c>
      <c r="K291" s="69">
        <f t="shared" si="225"/>
        <v>-6.8982996659853564E-6</v>
      </c>
      <c r="L291" s="69">
        <f t="shared" si="225"/>
        <v>-6.8982996659853564E-6</v>
      </c>
      <c r="M291" s="69">
        <f t="shared" si="225"/>
        <v>-6.8982996659853564E-6</v>
      </c>
      <c r="N291" s="69">
        <f t="shared" si="225"/>
        <v>-6.8982996659853564E-6</v>
      </c>
      <c r="O291" s="69">
        <f t="shared" si="225"/>
        <v>-6.8982996659853564E-6</v>
      </c>
      <c r="P291" s="69">
        <f t="shared" si="225"/>
        <v>-6.8982996659853564E-6</v>
      </c>
      <c r="Q291" s="69">
        <f t="shared" si="225"/>
        <v>-6.8982996659853564E-6</v>
      </c>
      <c r="R291" s="69">
        <f t="shared" si="225"/>
        <v>-6.8982996659853564E-6</v>
      </c>
      <c r="S291" s="69">
        <f t="shared" si="225"/>
        <v>-6.8982996659853564E-6</v>
      </c>
      <c r="T291" s="69">
        <f t="shared" si="225"/>
        <v>-6.8982996659853564E-6</v>
      </c>
      <c r="U291" s="69">
        <f t="shared" si="225"/>
        <v>-6.8982996659853564E-6</v>
      </c>
      <c r="V291" s="69">
        <f t="shared" si="225"/>
        <v>-6.8982996659853564E-6</v>
      </c>
      <c r="W291" s="69">
        <f t="shared" si="225"/>
        <v>-6.8982996659853564E-6</v>
      </c>
      <c r="X291" s="69">
        <f t="shared" si="225"/>
        <v>-6.8982996659853564E-6</v>
      </c>
      <c r="Y291" s="69">
        <f t="shared" si="225"/>
        <v>-6.8982996659853564E-6</v>
      </c>
      <c r="Z291" s="69">
        <f t="shared" si="225"/>
        <v>-6.8982996659853564E-6</v>
      </c>
      <c r="AA291" s="69">
        <f t="shared" si="225"/>
        <v>-6.8982996659853564E-6</v>
      </c>
      <c r="AB291" s="69">
        <f t="shared" si="225"/>
        <v>-6.8982996659853564E-6</v>
      </c>
      <c r="AC291" s="69">
        <f t="shared" si="225"/>
        <v>-6.8982996659853564E-6</v>
      </c>
    </row>
    <row r="292" spans="1:29" x14ac:dyDescent="0.25">
      <c r="A292" s="30" t="str">
        <f t="shared" si="221"/>
        <v>Opex fix (admin, crew, insurance)</v>
      </c>
      <c r="B292" s="66">
        <f>B250/B261/(B258)</f>
        <v>1.0654632223259673E-3</v>
      </c>
      <c r="C292" s="66">
        <f t="shared" ref="C292:AC292" si="226">C250/C261/(C258)</f>
        <v>1.0654632223259673E-3</v>
      </c>
      <c r="D292" s="66">
        <f t="shared" si="226"/>
        <v>1.0654632223259673E-3</v>
      </c>
      <c r="E292" s="66">
        <f t="shared" si="226"/>
        <v>1.0654632223259673E-3</v>
      </c>
      <c r="F292" s="66">
        <f t="shared" si="226"/>
        <v>1.0654632223259673E-3</v>
      </c>
      <c r="G292" s="66">
        <f t="shared" si="226"/>
        <v>1.0654632223259673E-3</v>
      </c>
      <c r="H292" s="66">
        <f t="shared" si="226"/>
        <v>1.0654632223259673E-3</v>
      </c>
      <c r="I292" s="66">
        <f t="shared" si="226"/>
        <v>1.0654632223259673E-3</v>
      </c>
      <c r="J292" s="66">
        <f t="shared" si="226"/>
        <v>1.0654632223259673E-3</v>
      </c>
      <c r="K292" s="66">
        <f t="shared" si="226"/>
        <v>1.0654632223259673E-3</v>
      </c>
      <c r="L292" s="66">
        <f t="shared" si="226"/>
        <v>1.0654632223259673E-3</v>
      </c>
      <c r="M292" s="66">
        <f t="shared" si="226"/>
        <v>1.0654632223259673E-3</v>
      </c>
      <c r="N292" s="66">
        <f t="shared" si="226"/>
        <v>1.0654632223259673E-3</v>
      </c>
      <c r="O292" s="66">
        <f t="shared" si="226"/>
        <v>1.0654632223259673E-3</v>
      </c>
      <c r="P292" s="66">
        <f t="shared" si="226"/>
        <v>1.0654632223259673E-3</v>
      </c>
      <c r="Q292" s="66">
        <f t="shared" si="226"/>
        <v>1.0654632223259673E-3</v>
      </c>
      <c r="R292" s="66">
        <f t="shared" si="226"/>
        <v>1.0654632223259673E-3</v>
      </c>
      <c r="S292" s="66">
        <f t="shared" si="226"/>
        <v>1.0654632223259673E-3</v>
      </c>
      <c r="T292" s="66">
        <f t="shared" si="226"/>
        <v>1.0654632223259673E-3</v>
      </c>
      <c r="U292" s="66">
        <f t="shared" si="226"/>
        <v>1.0654632223259673E-3</v>
      </c>
      <c r="V292" s="66">
        <f t="shared" si="226"/>
        <v>1.0654632223259673E-3</v>
      </c>
      <c r="W292" s="66">
        <f t="shared" si="226"/>
        <v>1.0654632223259673E-3</v>
      </c>
      <c r="X292" s="66">
        <f t="shared" si="226"/>
        <v>1.0654632223259673E-3</v>
      </c>
      <c r="Y292" s="66">
        <f t="shared" si="226"/>
        <v>1.0654632223259673E-3</v>
      </c>
      <c r="Z292" s="66">
        <f t="shared" si="226"/>
        <v>1.0654632223259673E-3</v>
      </c>
      <c r="AA292" s="66">
        <f t="shared" si="226"/>
        <v>1.0654632223259673E-3</v>
      </c>
      <c r="AB292" s="66">
        <f t="shared" si="226"/>
        <v>1.0654632223259673E-3</v>
      </c>
      <c r="AC292" s="66">
        <f t="shared" si="226"/>
        <v>1.0654632223259673E-3</v>
      </c>
    </row>
    <row r="293" spans="1:29" x14ac:dyDescent="0.25">
      <c r="A293" s="30" t="str">
        <f t="shared" si="221"/>
        <v>Opex maintenance &amp; repair</v>
      </c>
      <c r="B293" s="66">
        <f>B251/B261/(B258)</f>
        <v>4.305425874053325E-4</v>
      </c>
      <c r="C293" s="66">
        <f t="shared" ref="C293:AC293" si="227">C251/C261/(C258)</f>
        <v>4.305425874053325E-4</v>
      </c>
      <c r="D293" s="66">
        <f t="shared" si="227"/>
        <v>4.305425874053325E-4</v>
      </c>
      <c r="E293" s="66">
        <f t="shared" si="227"/>
        <v>4.305425874053325E-4</v>
      </c>
      <c r="F293" s="66">
        <f t="shared" si="227"/>
        <v>4.305425874053325E-4</v>
      </c>
      <c r="G293" s="66">
        <f t="shared" si="227"/>
        <v>4.305425874053325E-4</v>
      </c>
      <c r="H293" s="66">
        <f t="shared" si="227"/>
        <v>4.305425874053325E-4</v>
      </c>
      <c r="I293" s="66">
        <f t="shared" si="227"/>
        <v>4.305425874053325E-4</v>
      </c>
      <c r="J293" s="66">
        <f t="shared" si="227"/>
        <v>4.305425874053325E-4</v>
      </c>
      <c r="K293" s="66">
        <f t="shared" si="227"/>
        <v>4.305425874053325E-4</v>
      </c>
      <c r="L293" s="66">
        <f t="shared" si="227"/>
        <v>4.305425874053325E-4</v>
      </c>
      <c r="M293" s="66">
        <f t="shared" si="227"/>
        <v>4.305425874053325E-4</v>
      </c>
      <c r="N293" s="66">
        <f t="shared" si="227"/>
        <v>4.305425874053325E-4</v>
      </c>
      <c r="O293" s="66">
        <f t="shared" si="227"/>
        <v>4.305425874053325E-4</v>
      </c>
      <c r="P293" s="66">
        <f t="shared" si="227"/>
        <v>4.305425874053325E-4</v>
      </c>
      <c r="Q293" s="66">
        <f t="shared" si="227"/>
        <v>4.305425874053325E-4</v>
      </c>
      <c r="R293" s="66">
        <f t="shared" si="227"/>
        <v>4.305425874053325E-4</v>
      </c>
      <c r="S293" s="66">
        <f t="shared" si="227"/>
        <v>4.305425874053325E-4</v>
      </c>
      <c r="T293" s="66">
        <f t="shared" si="227"/>
        <v>4.305425874053325E-4</v>
      </c>
      <c r="U293" s="66">
        <f t="shared" si="227"/>
        <v>4.305425874053325E-4</v>
      </c>
      <c r="V293" s="66">
        <f t="shared" si="227"/>
        <v>4.305425874053325E-4</v>
      </c>
      <c r="W293" s="66">
        <f t="shared" si="227"/>
        <v>4.305425874053325E-4</v>
      </c>
      <c r="X293" s="66">
        <f t="shared" si="227"/>
        <v>4.305425874053325E-4</v>
      </c>
      <c r="Y293" s="66">
        <f t="shared" si="227"/>
        <v>4.305425874053325E-4</v>
      </c>
      <c r="Z293" s="66">
        <f t="shared" si="227"/>
        <v>4.305425874053325E-4</v>
      </c>
      <c r="AA293" s="66">
        <f t="shared" si="227"/>
        <v>4.305425874053325E-4</v>
      </c>
      <c r="AB293" s="66">
        <f t="shared" si="227"/>
        <v>4.305425874053325E-4</v>
      </c>
      <c r="AC293" s="66">
        <f t="shared" si="227"/>
        <v>4.305425874053325E-4</v>
      </c>
    </row>
    <row r="294" spans="1:29" x14ac:dyDescent="0.25">
      <c r="A294" s="30" t="str">
        <f t="shared" si="221"/>
        <v>Opex var (mode-fees)</v>
      </c>
      <c r="B294" s="66">
        <f>B252*B261/B261/(B258)</f>
        <v>8.6011184229469056E-5</v>
      </c>
      <c r="C294" s="66">
        <f t="shared" ref="C294:AC294" si="228">C252*C261/C261/(C258)</f>
        <v>8.6011184229469056E-5</v>
      </c>
      <c r="D294" s="66">
        <f t="shared" si="228"/>
        <v>8.6011184229469056E-5</v>
      </c>
      <c r="E294" s="66">
        <f t="shared" si="228"/>
        <v>8.6011184229469056E-5</v>
      </c>
      <c r="F294" s="66">
        <f t="shared" si="228"/>
        <v>8.6011184229469056E-5</v>
      </c>
      <c r="G294" s="66">
        <f t="shared" si="228"/>
        <v>8.6011184229469056E-5</v>
      </c>
      <c r="H294" s="66">
        <f t="shared" si="228"/>
        <v>8.6011184229469056E-5</v>
      </c>
      <c r="I294" s="66">
        <f t="shared" si="228"/>
        <v>8.6011184229469056E-5</v>
      </c>
      <c r="J294" s="66">
        <f t="shared" si="228"/>
        <v>8.6011184229469056E-5</v>
      </c>
      <c r="K294" s="66">
        <f t="shared" si="228"/>
        <v>8.6011184229469056E-5</v>
      </c>
      <c r="L294" s="66">
        <f t="shared" si="228"/>
        <v>8.6011184229469056E-5</v>
      </c>
      <c r="M294" s="66">
        <f t="shared" si="228"/>
        <v>8.6011184229469056E-5</v>
      </c>
      <c r="N294" s="66">
        <f t="shared" si="228"/>
        <v>8.6011184229469056E-5</v>
      </c>
      <c r="O294" s="66">
        <f t="shared" si="228"/>
        <v>8.6011184229469056E-5</v>
      </c>
      <c r="P294" s="66">
        <f t="shared" si="228"/>
        <v>8.6011184229469056E-5</v>
      </c>
      <c r="Q294" s="66">
        <f t="shared" si="228"/>
        <v>8.6011184229469056E-5</v>
      </c>
      <c r="R294" s="66">
        <f t="shared" si="228"/>
        <v>8.6011184229469056E-5</v>
      </c>
      <c r="S294" s="66">
        <f t="shared" si="228"/>
        <v>8.6011184229469056E-5</v>
      </c>
      <c r="T294" s="66">
        <f t="shared" si="228"/>
        <v>8.6011184229469056E-5</v>
      </c>
      <c r="U294" s="66">
        <f t="shared" si="228"/>
        <v>8.6011184229469056E-5</v>
      </c>
      <c r="V294" s="66">
        <f t="shared" si="228"/>
        <v>8.6011184229469056E-5</v>
      </c>
      <c r="W294" s="66">
        <f t="shared" si="228"/>
        <v>8.6011184229469056E-5</v>
      </c>
      <c r="X294" s="66">
        <f t="shared" si="228"/>
        <v>8.6011184229469056E-5</v>
      </c>
      <c r="Y294" s="66">
        <f t="shared" si="228"/>
        <v>8.6011184229469056E-5</v>
      </c>
      <c r="Z294" s="66">
        <f t="shared" si="228"/>
        <v>8.6011184229469056E-5</v>
      </c>
      <c r="AA294" s="66">
        <f t="shared" si="228"/>
        <v>8.6011184229469056E-5</v>
      </c>
      <c r="AB294" s="66">
        <f t="shared" si="228"/>
        <v>8.6011184229469056E-5</v>
      </c>
      <c r="AC294" s="66">
        <f t="shared" si="228"/>
        <v>8.6011184229469056E-5</v>
      </c>
    </row>
    <row r="295" spans="1:29" x14ac:dyDescent="0.25">
      <c r="A295" s="30" t="str">
        <f t="shared" si="221"/>
        <v>Fuel Cost</v>
      </c>
      <c r="B295" s="66">
        <f>B253*B254*B261/B261/(B258)</f>
        <v>3.1493959607937827E-2</v>
      </c>
      <c r="C295" s="66">
        <f t="shared" ref="C295:AC295" si="229">C253*C254*C261/C261/(C258)</f>
        <v>3.1471069452757114E-2</v>
      </c>
      <c r="D295" s="66">
        <f t="shared" si="229"/>
        <v>3.1438307683369617E-2</v>
      </c>
      <c r="E295" s="66">
        <f t="shared" si="229"/>
        <v>3.1391449858470644E-2</v>
      </c>
      <c r="F295" s="66">
        <f t="shared" si="229"/>
        <v>3.1324500510155374E-2</v>
      </c>
      <c r="G295" s="66">
        <f t="shared" si="229"/>
        <v>3.1228991761923324E-2</v>
      </c>
      <c r="H295" s="66">
        <f t="shared" si="229"/>
        <v>3.1093050036371042E-2</v>
      </c>
      <c r="I295" s="66">
        <f t="shared" si="229"/>
        <v>3.0900206198624405E-2</v>
      </c>
      <c r="J295" s="66">
        <f t="shared" si="229"/>
        <v>3.0627988072507464E-2</v>
      </c>
      <c r="K295" s="66">
        <f t="shared" si="229"/>
        <v>3.0246486819989576E-2</v>
      </c>
      <c r="L295" s="66">
        <f t="shared" si="229"/>
        <v>2.9717397153691066E-2</v>
      </c>
      <c r="M295" s="66">
        <f t="shared" si="229"/>
        <v>2.8994560118872258E-2</v>
      </c>
      <c r="N295" s="66">
        <f t="shared" si="229"/>
        <v>2.8027743803751594E-2</v>
      </c>
      <c r="O295" s="66">
        <f t="shared" si="229"/>
        <v>2.6771881146396257E-2</v>
      </c>
      <c r="P295" s="66">
        <f t="shared" si="229"/>
        <v>2.5203155011576148E-2</v>
      </c>
      <c r="Q295" s="66">
        <f t="shared" si="229"/>
        <v>2.3339593676119607E-2</v>
      </c>
      <c r="R295" s="66">
        <f t="shared" si="229"/>
        <v>2.1257120300250516E-2</v>
      </c>
      <c r="S295" s="66">
        <f t="shared" si="229"/>
        <v>1.908721521968593E-2</v>
      </c>
      <c r="T295" s="66">
        <f t="shared" si="229"/>
        <v>1.6988476967454563E-2</v>
      </c>
      <c r="U295" s="66">
        <f t="shared" si="229"/>
        <v>1.5102458628309013E-2</v>
      </c>
      <c r="V295" s="66">
        <f t="shared" si="229"/>
        <v>1.3517970662273828E-2</v>
      </c>
      <c r="W295" s="66">
        <f t="shared" si="229"/>
        <v>1.2261243218218148E-2</v>
      </c>
      <c r="X295" s="66">
        <f t="shared" si="229"/>
        <v>1.1309581224950727E-2</v>
      </c>
      <c r="Y295" s="66">
        <f t="shared" si="229"/>
        <v>1.0614050159631289E-2</v>
      </c>
      <c r="Z295" s="66">
        <f t="shared" si="229"/>
        <v>1.0118842188705854E-2</v>
      </c>
      <c r="AA295" s="66">
        <f t="shared" si="229"/>
        <v>9.772811549358695E-3</v>
      </c>
      <c r="AB295" s="66">
        <f t="shared" si="229"/>
        <v>9.5341824777631333E-3</v>
      </c>
      <c r="AC295" s="66">
        <f t="shared" si="229"/>
        <v>9.3711119408467249E-3</v>
      </c>
    </row>
    <row r="296" spans="1:29" x14ac:dyDescent="0.25">
      <c r="A296" s="59" t="str">
        <f>A259</f>
        <v>Market failure (av. utilization)</v>
      </c>
      <c r="B296" s="66">
        <f t="shared" ref="B296:AC296" si="230">B285/B259-B285/B258</f>
        <v>3.2088915898295808E-2</v>
      </c>
      <c r="C296" s="66">
        <f t="shared" si="230"/>
        <v>3.2067188927925087E-2</v>
      </c>
      <c r="D296" s="66">
        <f t="shared" si="230"/>
        <v>3.2036091848768572E-2</v>
      </c>
      <c r="E296" s="66">
        <f t="shared" si="230"/>
        <v>3.1991614696455846E-2</v>
      </c>
      <c r="F296" s="66">
        <f t="shared" si="230"/>
        <v>3.192806625280644E-2</v>
      </c>
      <c r="G296" s="66">
        <f t="shared" si="230"/>
        <v>3.1837408065870265E-2</v>
      </c>
      <c r="H296" s="66">
        <f t="shared" si="230"/>
        <v>3.170836810166925E-2</v>
      </c>
      <c r="I296" s="66">
        <f t="shared" si="230"/>
        <v>3.152531039681173E-2</v>
      </c>
      <c r="J296" s="66">
        <f t="shared" si="230"/>
        <v>3.1266897251651736E-2</v>
      </c>
      <c r="K296" s="66">
        <f t="shared" si="230"/>
        <v>3.0904725013694262E-2</v>
      </c>
      <c r="L296" s="66">
        <f t="shared" si="230"/>
        <v>3.0402406958596258E-2</v>
      </c>
      <c r="M296" s="66">
        <f t="shared" si="230"/>
        <v>2.9716078562405948E-2</v>
      </c>
      <c r="N296" s="66">
        <f t="shared" si="230"/>
        <v>2.8797972160602824E-2</v>
      </c>
      <c r="O296" s="66">
        <f t="shared" si="230"/>
        <v>2.7605170997579552E-2</v>
      </c>
      <c r="P296" s="66">
        <f t="shared" si="230"/>
        <v>2.6114873955034777E-2</v>
      </c>
      <c r="Q296" s="66">
        <f t="shared" si="230"/>
        <v>2.43439741254599E-2</v>
      </c>
      <c r="R296" s="66">
        <f t="shared" si="230"/>
        <v>2.2364372809575057E-2</v>
      </c>
      <c r="S296" s="66">
        <f t="shared" si="230"/>
        <v>2.0300872916187988E-2</v>
      </c>
      <c r="T296" s="66">
        <f t="shared" si="230"/>
        <v>1.8304256214918792E-2</v>
      </c>
      <c r="U296" s="66">
        <f t="shared" si="230"/>
        <v>1.6509316126303703E-2</v>
      </c>
      <c r="V296" s="66">
        <f t="shared" si="230"/>
        <v>1.5000819468960785E-2</v>
      </c>
      <c r="W296" s="66">
        <f t="shared" si="230"/>
        <v>1.3804011788432123E-2</v>
      </c>
      <c r="X296" s="66">
        <f t="shared" si="230"/>
        <v>1.2897511478465367E-2</v>
      </c>
      <c r="Y296" s="66">
        <f t="shared" si="230"/>
        <v>1.2234868885949208E-2</v>
      </c>
      <c r="Z296" s="66">
        <f t="shared" si="230"/>
        <v>1.176301518354058E-2</v>
      </c>
      <c r="AA296" s="66">
        <f t="shared" si="230"/>
        <v>1.1433272667001835E-2</v>
      </c>
      <c r="AB296" s="66">
        <f t="shared" si="230"/>
        <v>1.120586127642096E-2</v>
      </c>
      <c r="AC296" s="66">
        <f t="shared" si="230"/>
        <v>1.1050449463150678E-2</v>
      </c>
    </row>
    <row r="297" spans="1:29" x14ac:dyDescent="0.25">
      <c r="A297" s="59" t="str">
        <f>A260</f>
        <v>Payload loss (fuel)</v>
      </c>
      <c r="B297" s="66">
        <f>B285/(B258-B260)-B285/B258</f>
        <v>1.4484580092980759E-3</v>
      </c>
      <c r="C297" s="66">
        <f t="shared" ref="C297:AC297" si="231">C285/(C258-C260)-C285/C258</f>
        <v>1.4474772779966213E-3</v>
      </c>
      <c r="D297" s="66">
        <f t="shared" si="231"/>
        <v>1.4460735903958008E-3</v>
      </c>
      <c r="E297" s="66">
        <f t="shared" si="231"/>
        <v>1.4440659411594642E-3</v>
      </c>
      <c r="F297" s="66">
        <f t="shared" si="231"/>
        <v>1.4411974350225162E-3</v>
      </c>
      <c r="G297" s="66">
        <f t="shared" si="231"/>
        <v>1.4371052251955299E-3</v>
      </c>
      <c r="H297" s="66">
        <f t="shared" si="231"/>
        <v>1.4312805045892385E-3</v>
      </c>
      <c r="I297" s="66">
        <f t="shared" si="231"/>
        <v>1.4230174831894177E-3</v>
      </c>
      <c r="J297" s="66">
        <f t="shared" si="231"/>
        <v>1.4113530009426112E-3</v>
      </c>
      <c r="K297" s="66">
        <f t="shared" si="231"/>
        <v>1.3950049485348115E-3</v>
      </c>
      <c r="L297" s="66">
        <f t="shared" si="231"/>
        <v>1.3723308696588568E-3</v>
      </c>
      <c r="M297" s="66">
        <f t="shared" si="231"/>
        <v>1.3413507684419401E-3</v>
      </c>
      <c r="N297" s="66">
        <f t="shared" si="231"/>
        <v>1.2999084655827657E-3</v>
      </c>
      <c r="O297" s="66">
        <f t="shared" si="231"/>
        <v>1.2460667464185213E-3</v>
      </c>
      <c r="P297" s="66">
        <f t="shared" si="231"/>
        <v>1.1787963938036557E-3</v>
      </c>
      <c r="Q297" s="66">
        <f t="shared" si="231"/>
        <v>1.0988599431631212E-3</v>
      </c>
      <c r="R297" s="66">
        <f t="shared" si="231"/>
        <v>1.0095029393210955E-3</v>
      </c>
      <c r="S297" s="66">
        <f t="shared" si="231"/>
        <v>9.163588469112624E-4</v>
      </c>
      <c r="T297" s="66">
        <f t="shared" si="231"/>
        <v>8.2623378747897352E-4</v>
      </c>
      <c r="U297" s="66">
        <f t="shared" si="231"/>
        <v>7.4521218625676552E-4</v>
      </c>
      <c r="V297" s="66">
        <f t="shared" si="231"/>
        <v>6.7712032325170299E-4</v>
      </c>
      <c r="W297" s="66">
        <f t="shared" si="231"/>
        <v>6.2309775433895022E-4</v>
      </c>
      <c r="X297" s="66">
        <f t="shared" si="231"/>
        <v>5.8217933756961847E-4</v>
      </c>
      <c r="Y297" s="66">
        <f t="shared" si="231"/>
        <v>5.5226838721298549E-4</v>
      </c>
      <c r="Z297" s="66">
        <f t="shared" si="231"/>
        <v>5.3096943536815044E-4</v>
      </c>
      <c r="AA297" s="66">
        <f t="shared" si="231"/>
        <v>5.1608522455216625E-4</v>
      </c>
      <c r="AB297" s="66">
        <f t="shared" si="231"/>
        <v>5.0582012706066812E-4</v>
      </c>
      <c r="AC297" s="66">
        <f t="shared" si="231"/>
        <v>4.9880501048943891E-4</v>
      </c>
    </row>
    <row r="298" spans="1:29" ht="15.75" thickBot="1" x14ac:dyDescent="0.3">
      <c r="A298" s="59" t="str">
        <f>A235</f>
        <v>Emission Cost</v>
      </c>
      <c r="B298" s="68">
        <f>B255*B261/B261/(B258)</f>
        <v>3.3398562051778328E-4</v>
      </c>
      <c r="C298" s="68">
        <f t="shared" ref="C298:AC298" si="232">C255*C261/C261/(C258)</f>
        <v>3.3366758483088988E-4</v>
      </c>
      <c r="D298" s="68">
        <f t="shared" si="232"/>
        <v>3.3321232382877585E-4</v>
      </c>
      <c r="E298" s="68">
        <f t="shared" si="232"/>
        <v>3.3256104094986681E-4</v>
      </c>
      <c r="F298" s="68">
        <f t="shared" si="232"/>
        <v>3.3163021400320358E-4</v>
      </c>
      <c r="G298" s="68">
        <f t="shared" si="232"/>
        <v>3.3030172279027004E-4</v>
      </c>
      <c r="H298" s="68">
        <f t="shared" si="232"/>
        <v>3.2840962538848302E-4</v>
      </c>
      <c r="I298" s="68">
        <f t="shared" si="232"/>
        <v>3.2572311831349148E-4</v>
      </c>
      <c r="J298" s="68">
        <f t="shared" si="232"/>
        <v>3.2192599871983809E-4</v>
      </c>
      <c r="K298" s="68">
        <f t="shared" si="232"/>
        <v>3.1659491131606082E-4</v>
      </c>
      <c r="L298" s="68">
        <f t="shared" si="232"/>
        <v>3.091827645801561E-4</v>
      </c>
      <c r="M298" s="68">
        <f t="shared" si="232"/>
        <v>2.9902098869419172E-4</v>
      </c>
      <c r="N298" s="68">
        <f t="shared" si="232"/>
        <v>2.8536465079533697E-4</v>
      </c>
      <c r="O298" s="68">
        <f t="shared" si="232"/>
        <v>2.6751317895107546E-4</v>
      </c>
      <c r="P298" s="68">
        <f t="shared" si="232"/>
        <v>2.4503226745359335E-4</v>
      </c>
      <c r="Q298" s="68">
        <f t="shared" si="232"/>
        <v>2.1805581897128034E-4</v>
      </c>
      <c r="R298" s="68">
        <f t="shared" si="232"/>
        <v>1.8755156174862146E-4</v>
      </c>
      <c r="S298" s="68">
        <f t="shared" si="232"/>
        <v>1.5534834255447857E-4</v>
      </c>
      <c r="T298" s="68">
        <f t="shared" si="232"/>
        <v>1.2377882247964437E-4</v>
      </c>
      <c r="U298" s="68">
        <f t="shared" si="232"/>
        <v>9.5040438542586453E-5</v>
      </c>
      <c r="V298" s="68">
        <f t="shared" si="232"/>
        <v>7.06169046206584E-5</v>
      </c>
      <c r="W298" s="68">
        <f t="shared" si="232"/>
        <v>5.1058027956299464E-5</v>
      </c>
      <c r="X298" s="68">
        <f t="shared" si="232"/>
        <v>3.6133736976499454E-5</v>
      </c>
      <c r="Y298" s="68">
        <f t="shared" si="232"/>
        <v>2.5163186176479669E-5</v>
      </c>
      <c r="Z298" s="68">
        <f t="shared" si="232"/>
        <v>1.7319401061741704E-5</v>
      </c>
      <c r="AA298" s="68">
        <f t="shared" si="232"/>
        <v>1.1822066063754811E-5</v>
      </c>
      <c r="AB298" s="68">
        <f t="shared" si="232"/>
        <v>8.0230696875300903E-6</v>
      </c>
      <c r="AC298" s="68">
        <f t="shared" si="232"/>
        <v>5.4232271560286516E-6</v>
      </c>
    </row>
    <row r="299" spans="1:29" ht="15.75" thickBot="1" x14ac:dyDescent="0.3">
      <c r="A299" s="31" t="s">
        <v>210</v>
      </c>
      <c r="B299" s="67">
        <f>B288+B289+B290+B291+B292+B293+B294+B295+B296+B297+B298</f>
        <v>6.8286569531415708E-2</v>
      </c>
      <c r="C299" s="67">
        <f t="shared" ref="C299:AC299" si="233">C288+C289+C290+C291+C292+C293+C294+C295+C296+C297+C298</f>
        <v>6.8240324278508568E-2</v>
      </c>
      <c r="D299" s="67">
        <f t="shared" si="233"/>
        <v>6.8174135009331685E-2</v>
      </c>
      <c r="E299" s="67">
        <f t="shared" si="233"/>
        <v>6.8079466626110502E-2</v>
      </c>
      <c r="F299" s="67">
        <f t="shared" si="233"/>
        <v>6.7944205529037294E-2</v>
      </c>
      <c r="G299" s="67">
        <f t="shared" si="233"/>
        <v>6.7751242096426592E-2</v>
      </c>
      <c r="H299" s="67">
        <f t="shared" si="233"/>
        <v>6.7476584117068208E-2</v>
      </c>
      <c r="I299" s="67">
        <f t="shared" si="233"/>
        <v>6.7086950877215223E-2</v>
      </c>
      <c r="J299" s="67">
        <f t="shared" si="233"/>
        <v>6.6536925675885095E-2</v>
      </c>
      <c r="K299" s="67">
        <f t="shared" si="233"/>
        <v>6.5766052127732566E-2</v>
      </c>
      <c r="L299" s="67">
        <f t="shared" si="233"/>
        <v>6.469688210073575E-2</v>
      </c>
      <c r="M299" s="67">
        <f t="shared" si="233"/>
        <v>6.3236051174122357E-2</v>
      </c>
      <c r="N299" s="67">
        <f t="shared" si="233"/>
        <v>6.1281887200840011E-2</v>
      </c>
      <c r="O299" s="67">
        <f t="shared" si="233"/>
        <v>5.8743043058710608E-2</v>
      </c>
      <c r="P299" s="67">
        <f t="shared" si="233"/>
        <v>5.5570987200794134E-2</v>
      </c>
      <c r="Q299" s="67">
        <f t="shared" si="233"/>
        <v>5.1801676105205953E-2</v>
      </c>
      <c r="R299" s="67">
        <f t="shared" si="233"/>
        <v>4.7588149693270493E-2</v>
      </c>
      <c r="S299" s="67">
        <f t="shared" si="233"/>
        <v>4.3196047489637603E-2</v>
      </c>
      <c r="T299" s="67">
        <f t="shared" si="233"/>
        <v>3.8946304302561151E-2</v>
      </c>
      <c r="U299" s="67">
        <f t="shared" si="233"/>
        <v>3.5125824183390837E-2</v>
      </c>
      <c r="V299" s="67">
        <f t="shared" si="233"/>
        <v>3.1915030950921373E-2</v>
      </c>
      <c r="W299" s="67">
        <f t="shared" si="233"/>
        <v>2.9367659047573904E-2</v>
      </c>
      <c r="X299" s="67">
        <f t="shared" si="233"/>
        <v>2.7438198318373828E-2</v>
      </c>
      <c r="Y299" s="67">
        <f t="shared" si="233"/>
        <v>2.602778196694186E-2</v>
      </c>
      <c r="Z299" s="67">
        <f t="shared" si="233"/>
        <v>2.5023454468412386E-2</v>
      </c>
      <c r="AA299" s="67">
        <f t="shared" si="233"/>
        <v>2.4321606681474019E-2</v>
      </c>
      <c r="AB299" s="67">
        <f t="shared" si="233"/>
        <v>2.3837567853605694E-2</v>
      </c>
      <c r="AC299" s="67">
        <f t="shared" si="233"/>
        <v>2.3506778126054714E-2</v>
      </c>
    </row>
    <row r="301" spans="1:29" x14ac:dyDescent="0.25">
      <c r="B301" s="40"/>
    </row>
    <row r="324" spans="1:44" s="3" customFormat="1" ht="21" x14ac:dyDescent="0.35">
      <c r="A324" s="2" t="str">
        <f>'Parameter Input'!A192</f>
        <v>Short-sea:  Neo bulk</v>
      </c>
    </row>
    <row r="325" spans="1:44" s="3" customFormat="1" ht="21" x14ac:dyDescent="0.35">
      <c r="A325" s="2" t="s">
        <v>187</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Input'!$L$205</f>
        <v>19500000</v>
      </c>
      <c r="C334" s="42">
        <f>'Parameter Input'!$M$205</f>
        <v>15000000</v>
      </c>
      <c r="D334" s="1" t="s">
        <v>15</v>
      </c>
      <c r="L334" s="51">
        <f>'Parameter Input'!$O$205</f>
        <v>17</v>
      </c>
      <c r="M334" s="52">
        <v>0</v>
      </c>
      <c r="N334" s="52">
        <v>1</v>
      </c>
      <c r="O334" s="52">
        <f>'Parameter Input'!$P$205</f>
        <v>0.9</v>
      </c>
      <c r="P334" s="53">
        <f>'Parameter Input'!$Q$205</f>
        <v>0.4</v>
      </c>
      <c r="Q334" s="4">
        <f t="shared" ref="Q334:AR343" si="234">$N334+($M334-$N334)*((1/(1+EXP(-$P334*(Q$9-$L334)))^$O334))</f>
        <v>0.99780374543478534</v>
      </c>
      <c r="R334" s="4">
        <f t="shared" si="234"/>
        <v>0.99685359315256394</v>
      </c>
      <c r="S334" s="4">
        <f t="shared" si="234"/>
        <v>0.99549347132349975</v>
      </c>
      <c r="T334" s="4">
        <f t="shared" si="234"/>
        <v>0.99354772139898062</v>
      </c>
      <c r="U334" s="4">
        <f t="shared" si="234"/>
        <v>0.99076681540580536</v>
      </c>
      <c r="V334" s="4">
        <f t="shared" si="234"/>
        <v>0.9867978615748374</v>
      </c>
      <c r="W334" s="4">
        <f t="shared" si="234"/>
        <v>0.98114509762858249</v>
      </c>
      <c r="X334" s="4">
        <f t="shared" si="234"/>
        <v>0.97311898315872036</v>
      </c>
      <c r="Y334" s="4">
        <f t="shared" si="234"/>
        <v>0.96177484161592774</v>
      </c>
      <c r="Z334" s="4">
        <f t="shared" si="234"/>
        <v>0.94584787155511363</v>
      </c>
      <c r="AA334" s="4">
        <f t="shared" si="234"/>
        <v>0.92370360150141495</v>
      </c>
      <c r="AB334" s="4">
        <f t="shared" si="234"/>
        <v>0.89334463567658451</v>
      </c>
      <c r="AC334" s="4">
        <f t="shared" si="234"/>
        <v>0.85254543874327005</v>
      </c>
      <c r="AD334" s="4">
        <f t="shared" si="234"/>
        <v>0.79921300652623883</v>
      </c>
      <c r="AE334" s="4">
        <f t="shared" si="234"/>
        <v>0.73204982249993378</v>
      </c>
      <c r="AF334" s="4">
        <f t="shared" si="234"/>
        <v>0.65145592958786691</v>
      </c>
      <c r="AG334" s="4">
        <f t="shared" si="234"/>
        <v>0.56032247880849573</v>
      </c>
      <c r="AH334" s="4">
        <f t="shared" si="234"/>
        <v>0.46411326873185343</v>
      </c>
      <c r="AI334" s="4">
        <f t="shared" si="234"/>
        <v>0.36979727595523937</v>
      </c>
      <c r="AJ334" s="4">
        <f t="shared" si="234"/>
        <v>0.28393948637231203</v>
      </c>
      <c r="AK334" s="4">
        <f t="shared" si="234"/>
        <v>0.21097259161117732</v>
      </c>
      <c r="AL334" s="4">
        <f t="shared" si="234"/>
        <v>0.15253917653798199</v>
      </c>
      <c r="AM334" s="4">
        <f t="shared" si="234"/>
        <v>0.10795188737709993</v>
      </c>
      <c r="AN334" s="4">
        <f t="shared" si="234"/>
        <v>7.5176653938091809E-2</v>
      </c>
      <c r="AO334" s="4">
        <f t="shared" si="234"/>
        <v>5.1742836177502194E-2</v>
      </c>
      <c r="AP334" s="4">
        <f t="shared" si="234"/>
        <v>3.5319190625345942E-2</v>
      </c>
      <c r="AQ334" s="4">
        <f t="shared" si="234"/>
        <v>2.3969442072658165E-2</v>
      </c>
      <c r="AR334" s="4">
        <f t="shared" si="234"/>
        <v>1.6202243558389728E-2</v>
      </c>
    </row>
    <row r="335" spans="1:44" x14ac:dyDescent="0.25">
      <c r="A335" s="24" t="s">
        <v>28</v>
      </c>
      <c r="B335" s="60">
        <f>'Parameter Input'!$L$206</f>
        <v>-975000</v>
      </c>
      <c r="C335" s="61">
        <f>'Parameter Input'!$M$206</f>
        <v>-1500000</v>
      </c>
      <c r="D335" s="1" t="s">
        <v>15</v>
      </c>
      <c r="L335" s="54">
        <f>'Parameter Input'!$O$206</f>
        <v>17</v>
      </c>
      <c r="M335" s="37">
        <v>0</v>
      </c>
      <c r="N335" s="37">
        <v>1</v>
      </c>
      <c r="O335" s="37">
        <f>'Parameter Input'!$P$206</f>
        <v>0.9</v>
      </c>
      <c r="P335" s="55">
        <f>'Parameter Input'!$Q$206</f>
        <v>0.4</v>
      </c>
      <c r="Q335" s="4">
        <f t="shared" si="234"/>
        <v>0.99780374543478534</v>
      </c>
      <c r="R335" s="4">
        <f t="shared" si="234"/>
        <v>0.99685359315256394</v>
      </c>
      <c r="S335" s="4">
        <f t="shared" si="234"/>
        <v>0.99549347132349975</v>
      </c>
      <c r="T335" s="4">
        <f t="shared" si="234"/>
        <v>0.99354772139898062</v>
      </c>
      <c r="U335" s="4">
        <f t="shared" si="234"/>
        <v>0.99076681540580536</v>
      </c>
      <c r="V335" s="4">
        <f t="shared" si="234"/>
        <v>0.9867978615748374</v>
      </c>
      <c r="W335" s="4">
        <f t="shared" si="234"/>
        <v>0.98114509762858249</v>
      </c>
      <c r="X335" s="4">
        <f t="shared" si="234"/>
        <v>0.97311898315872036</v>
      </c>
      <c r="Y335" s="4">
        <f t="shared" si="234"/>
        <v>0.96177484161592774</v>
      </c>
      <c r="Z335" s="4">
        <f t="shared" si="234"/>
        <v>0.94584787155511363</v>
      </c>
      <c r="AA335" s="4">
        <f t="shared" si="234"/>
        <v>0.92370360150141495</v>
      </c>
      <c r="AB335" s="4">
        <f t="shared" si="234"/>
        <v>0.89334463567658451</v>
      </c>
      <c r="AC335" s="4">
        <f t="shared" si="234"/>
        <v>0.85254543874327005</v>
      </c>
      <c r="AD335" s="4">
        <f t="shared" si="234"/>
        <v>0.79921300652623883</v>
      </c>
      <c r="AE335" s="4">
        <f t="shared" si="234"/>
        <v>0.73204982249993378</v>
      </c>
      <c r="AF335" s="4">
        <f t="shared" si="234"/>
        <v>0.65145592958786691</v>
      </c>
      <c r="AG335" s="4">
        <f t="shared" si="234"/>
        <v>0.56032247880849573</v>
      </c>
      <c r="AH335" s="4">
        <f t="shared" si="234"/>
        <v>0.46411326873185343</v>
      </c>
      <c r="AI335" s="4">
        <f t="shared" si="234"/>
        <v>0.36979727595523937</v>
      </c>
      <c r="AJ335" s="4">
        <f t="shared" si="234"/>
        <v>0.28393948637231203</v>
      </c>
      <c r="AK335" s="4">
        <f t="shared" si="234"/>
        <v>0.21097259161117732</v>
      </c>
      <c r="AL335" s="4">
        <f t="shared" si="234"/>
        <v>0.15253917653798199</v>
      </c>
      <c r="AM335" s="4">
        <f t="shared" si="234"/>
        <v>0.10795188737709993</v>
      </c>
      <c r="AN335" s="4">
        <f t="shared" si="234"/>
        <v>7.5176653938091809E-2</v>
      </c>
      <c r="AO335" s="4">
        <f t="shared" si="234"/>
        <v>5.1742836177502194E-2</v>
      </c>
      <c r="AP335" s="4">
        <f t="shared" si="234"/>
        <v>3.5319190625345942E-2</v>
      </c>
      <c r="AQ335" s="4">
        <f t="shared" si="234"/>
        <v>2.3969442072658165E-2</v>
      </c>
      <c r="AR335" s="4">
        <f t="shared" si="234"/>
        <v>1.6202243558389728E-2</v>
      </c>
    </row>
    <row r="336" spans="1:44" x14ac:dyDescent="0.25">
      <c r="A336" s="24" t="s">
        <v>14</v>
      </c>
      <c r="B336" s="60">
        <f>'Parameter Input'!B193</f>
        <v>1000000</v>
      </c>
      <c r="C336" s="61">
        <f>'Parameter Input'!C193</f>
        <v>1000000</v>
      </c>
      <c r="D336" s="1" t="s">
        <v>15</v>
      </c>
      <c r="L336" s="54">
        <f>'Parameter Input'!E193</f>
        <v>17</v>
      </c>
      <c r="M336" s="37">
        <v>0</v>
      </c>
      <c r="N336" s="37">
        <v>1</v>
      </c>
      <c r="O336" s="37">
        <f>'Parameter Input'!F193</f>
        <v>0.9</v>
      </c>
      <c r="P336" s="55">
        <f>'Parameter Input'!G193</f>
        <v>0.4</v>
      </c>
      <c r="Q336" s="4">
        <f t="shared" si="234"/>
        <v>0.99780374543478534</v>
      </c>
      <c r="R336" s="4">
        <f t="shared" si="234"/>
        <v>0.99685359315256394</v>
      </c>
      <c r="S336" s="4">
        <f t="shared" si="234"/>
        <v>0.99549347132349975</v>
      </c>
      <c r="T336" s="4">
        <f t="shared" si="234"/>
        <v>0.99354772139898062</v>
      </c>
      <c r="U336" s="4">
        <f t="shared" si="234"/>
        <v>0.99076681540580536</v>
      </c>
      <c r="V336" s="4">
        <f t="shared" si="234"/>
        <v>0.9867978615748374</v>
      </c>
      <c r="W336" s="4">
        <f t="shared" si="234"/>
        <v>0.98114509762858249</v>
      </c>
      <c r="X336" s="4">
        <f t="shared" si="234"/>
        <v>0.97311898315872036</v>
      </c>
      <c r="Y336" s="4">
        <f t="shared" si="234"/>
        <v>0.96177484161592774</v>
      </c>
      <c r="Z336" s="4">
        <f t="shared" si="234"/>
        <v>0.94584787155511363</v>
      </c>
      <c r="AA336" s="4">
        <f t="shared" si="234"/>
        <v>0.92370360150141495</v>
      </c>
      <c r="AB336" s="4">
        <f t="shared" si="234"/>
        <v>0.89334463567658451</v>
      </c>
      <c r="AC336" s="4">
        <f t="shared" si="234"/>
        <v>0.85254543874327005</v>
      </c>
      <c r="AD336" s="4">
        <f t="shared" si="234"/>
        <v>0.79921300652623883</v>
      </c>
      <c r="AE336" s="4">
        <f t="shared" si="234"/>
        <v>0.73204982249993378</v>
      </c>
      <c r="AF336" s="4">
        <f t="shared" si="234"/>
        <v>0.65145592958786691</v>
      </c>
      <c r="AG336" s="4">
        <f t="shared" si="234"/>
        <v>0.56032247880849573</v>
      </c>
      <c r="AH336" s="4">
        <f t="shared" si="234"/>
        <v>0.46411326873185343</v>
      </c>
      <c r="AI336" s="4">
        <f t="shared" si="234"/>
        <v>0.36979727595523937</v>
      </c>
      <c r="AJ336" s="4">
        <f t="shared" si="234"/>
        <v>0.28393948637231203</v>
      </c>
      <c r="AK336" s="4">
        <f t="shared" si="234"/>
        <v>0.21097259161117732</v>
      </c>
      <c r="AL336" s="4">
        <f t="shared" si="234"/>
        <v>0.15253917653798199</v>
      </c>
      <c r="AM336" s="4">
        <f t="shared" si="234"/>
        <v>0.10795188737709993</v>
      </c>
      <c r="AN336" s="4">
        <f t="shared" si="234"/>
        <v>7.5176653938091809E-2</v>
      </c>
      <c r="AO336" s="4">
        <f t="shared" si="234"/>
        <v>5.1742836177502194E-2</v>
      </c>
      <c r="AP336" s="4">
        <f t="shared" si="234"/>
        <v>3.5319190625345942E-2</v>
      </c>
      <c r="AQ336" s="4">
        <f t="shared" si="234"/>
        <v>2.3969442072658165E-2</v>
      </c>
      <c r="AR336" s="4">
        <f t="shared" si="234"/>
        <v>1.6202243558389728E-2</v>
      </c>
    </row>
    <row r="337" spans="1:44" x14ac:dyDescent="0.25">
      <c r="A337" s="24" t="s">
        <v>25</v>
      </c>
      <c r="B337" s="60">
        <f>'Parameter Input'!B194</f>
        <v>-100000</v>
      </c>
      <c r="C337" s="61">
        <f>'Parameter Input'!C194</f>
        <v>-100000</v>
      </c>
      <c r="D337" s="1" t="s">
        <v>15</v>
      </c>
      <c r="L337" s="54">
        <f>'Parameter Input'!E194</f>
        <v>17</v>
      </c>
      <c r="M337" s="37">
        <v>0</v>
      </c>
      <c r="N337" s="37">
        <v>1</v>
      </c>
      <c r="O337" s="37">
        <f>'Parameter Input'!F194</f>
        <v>0.9</v>
      </c>
      <c r="P337" s="55">
        <f>'Parameter Input'!G194</f>
        <v>0.4</v>
      </c>
      <c r="Q337" s="4">
        <f t="shared" si="234"/>
        <v>0.99780374543478534</v>
      </c>
      <c r="R337" s="4">
        <f t="shared" si="234"/>
        <v>0.99685359315256394</v>
      </c>
      <c r="S337" s="4">
        <f t="shared" si="234"/>
        <v>0.99549347132349975</v>
      </c>
      <c r="T337" s="4">
        <f t="shared" si="234"/>
        <v>0.99354772139898062</v>
      </c>
      <c r="U337" s="4">
        <f t="shared" si="234"/>
        <v>0.99076681540580536</v>
      </c>
      <c r="V337" s="4">
        <f t="shared" si="234"/>
        <v>0.9867978615748374</v>
      </c>
      <c r="W337" s="4">
        <f t="shared" si="234"/>
        <v>0.98114509762858249</v>
      </c>
      <c r="X337" s="4">
        <f t="shared" si="234"/>
        <v>0.97311898315872036</v>
      </c>
      <c r="Y337" s="4">
        <f t="shared" si="234"/>
        <v>0.96177484161592774</v>
      </c>
      <c r="Z337" s="4">
        <f t="shared" si="234"/>
        <v>0.94584787155511363</v>
      </c>
      <c r="AA337" s="4">
        <f t="shared" si="234"/>
        <v>0.92370360150141495</v>
      </c>
      <c r="AB337" s="4">
        <f t="shared" si="234"/>
        <v>0.89334463567658451</v>
      </c>
      <c r="AC337" s="4">
        <f t="shared" si="234"/>
        <v>0.85254543874327005</v>
      </c>
      <c r="AD337" s="4">
        <f t="shared" si="234"/>
        <v>0.79921300652623883</v>
      </c>
      <c r="AE337" s="4">
        <f t="shared" si="234"/>
        <v>0.73204982249993378</v>
      </c>
      <c r="AF337" s="4">
        <f t="shared" si="234"/>
        <v>0.65145592958786691</v>
      </c>
      <c r="AG337" s="4">
        <f t="shared" si="234"/>
        <v>0.56032247880849573</v>
      </c>
      <c r="AH337" s="4">
        <f t="shared" si="234"/>
        <v>0.46411326873185343</v>
      </c>
      <c r="AI337" s="4">
        <f t="shared" si="234"/>
        <v>0.36979727595523937</v>
      </c>
      <c r="AJ337" s="4">
        <f t="shared" si="234"/>
        <v>0.28393948637231203</v>
      </c>
      <c r="AK337" s="4">
        <f t="shared" si="234"/>
        <v>0.21097259161117732</v>
      </c>
      <c r="AL337" s="4">
        <f t="shared" si="234"/>
        <v>0.15253917653798199</v>
      </c>
      <c r="AM337" s="4">
        <f t="shared" si="234"/>
        <v>0.10795188737709993</v>
      </c>
      <c r="AN337" s="4">
        <f t="shared" si="234"/>
        <v>7.5176653938091809E-2</v>
      </c>
      <c r="AO337" s="4">
        <f t="shared" si="234"/>
        <v>5.1742836177502194E-2</v>
      </c>
      <c r="AP337" s="4">
        <f t="shared" si="234"/>
        <v>3.5319190625345942E-2</v>
      </c>
      <c r="AQ337" s="4">
        <f t="shared" si="234"/>
        <v>2.3969442072658165E-2</v>
      </c>
      <c r="AR337" s="4">
        <f t="shared" si="234"/>
        <v>1.6202243558389728E-2</v>
      </c>
    </row>
    <row r="338" spans="1:44" x14ac:dyDescent="0.25">
      <c r="A338" s="24" t="s">
        <v>79</v>
      </c>
      <c r="B338" s="92">
        <f>'Parameter Input'!$L$212</f>
        <v>0.06</v>
      </c>
      <c r="C338" s="91">
        <f>'Parameter Input'!$M$212</f>
        <v>0.06</v>
      </c>
      <c r="D338" s="1" t="s">
        <v>57</v>
      </c>
      <c r="L338" s="54">
        <f>'Parameter Input'!$O$212</f>
        <v>17</v>
      </c>
      <c r="M338" s="37">
        <v>0</v>
      </c>
      <c r="N338" s="37">
        <v>1</v>
      </c>
      <c r="O338" s="37">
        <f>'Parameter Input'!$P$212</f>
        <v>0.9</v>
      </c>
      <c r="P338" s="55">
        <f>'Parameter Input'!$Q$212</f>
        <v>0.4</v>
      </c>
      <c r="Q338" s="4">
        <f t="shared" si="234"/>
        <v>0.99780374543478534</v>
      </c>
      <c r="R338" s="4">
        <f t="shared" si="234"/>
        <v>0.99685359315256394</v>
      </c>
      <c r="S338" s="4">
        <f t="shared" si="234"/>
        <v>0.99549347132349975</v>
      </c>
      <c r="T338" s="4">
        <f t="shared" si="234"/>
        <v>0.99354772139898062</v>
      </c>
      <c r="U338" s="4">
        <f t="shared" si="234"/>
        <v>0.99076681540580536</v>
      </c>
      <c r="V338" s="4">
        <f t="shared" si="234"/>
        <v>0.9867978615748374</v>
      </c>
      <c r="W338" s="4">
        <f t="shared" si="234"/>
        <v>0.98114509762858249</v>
      </c>
      <c r="X338" s="4">
        <f t="shared" si="234"/>
        <v>0.97311898315872036</v>
      </c>
      <c r="Y338" s="4">
        <f t="shared" si="234"/>
        <v>0.96177484161592774</v>
      </c>
      <c r="Z338" s="4">
        <f t="shared" si="234"/>
        <v>0.94584787155511363</v>
      </c>
      <c r="AA338" s="4">
        <f t="shared" si="234"/>
        <v>0.92370360150141495</v>
      </c>
      <c r="AB338" s="4">
        <f t="shared" si="234"/>
        <v>0.89334463567658451</v>
      </c>
      <c r="AC338" s="4">
        <f t="shared" si="234"/>
        <v>0.85254543874327005</v>
      </c>
      <c r="AD338" s="4">
        <f t="shared" si="234"/>
        <v>0.79921300652623883</v>
      </c>
      <c r="AE338" s="4">
        <f t="shared" si="234"/>
        <v>0.73204982249993378</v>
      </c>
      <c r="AF338" s="4">
        <f t="shared" si="234"/>
        <v>0.65145592958786691</v>
      </c>
      <c r="AG338" s="4">
        <f t="shared" si="234"/>
        <v>0.56032247880849573</v>
      </c>
      <c r="AH338" s="4">
        <f t="shared" si="234"/>
        <v>0.46411326873185343</v>
      </c>
      <c r="AI338" s="4">
        <f t="shared" si="234"/>
        <v>0.36979727595523937</v>
      </c>
      <c r="AJ338" s="4">
        <f t="shared" si="234"/>
        <v>0.28393948637231203</v>
      </c>
      <c r="AK338" s="4">
        <f t="shared" si="234"/>
        <v>0.21097259161117732</v>
      </c>
      <c r="AL338" s="4">
        <f t="shared" si="234"/>
        <v>0.15253917653798199</v>
      </c>
      <c r="AM338" s="4">
        <f t="shared" si="234"/>
        <v>0.10795188737709993</v>
      </c>
      <c r="AN338" s="4">
        <f t="shared" si="234"/>
        <v>7.5176653938091809E-2</v>
      </c>
      <c r="AO338" s="4">
        <f t="shared" si="234"/>
        <v>5.1742836177502194E-2</v>
      </c>
      <c r="AP338" s="4">
        <f t="shared" si="234"/>
        <v>3.5319190625345942E-2</v>
      </c>
      <c r="AQ338" s="4">
        <f t="shared" si="234"/>
        <v>2.3969442072658165E-2</v>
      </c>
      <c r="AR338" s="4">
        <f t="shared" si="234"/>
        <v>1.6202243558389728E-2</v>
      </c>
    </row>
    <row r="339" spans="1:44" x14ac:dyDescent="0.25">
      <c r="A339" s="24" t="s">
        <v>37</v>
      </c>
      <c r="B339" s="60">
        <f>'Parameter Input'!B195</f>
        <v>1208235.294117647</v>
      </c>
      <c r="C339" s="61">
        <f>'Parameter Input'!C195</f>
        <v>1208235.294117647</v>
      </c>
      <c r="D339" s="1" t="s">
        <v>38</v>
      </c>
      <c r="L339" s="54">
        <f>'Parameter Input'!E195</f>
        <v>17</v>
      </c>
      <c r="M339" s="37">
        <v>0</v>
      </c>
      <c r="N339" s="37">
        <v>1</v>
      </c>
      <c r="O339" s="37">
        <f>'Parameter Input'!F195</f>
        <v>0.9</v>
      </c>
      <c r="P339" s="55">
        <f>'Parameter Input'!G195</f>
        <v>0.4</v>
      </c>
      <c r="Q339" s="4">
        <f t="shared" si="234"/>
        <v>0.99780374543478534</v>
      </c>
      <c r="R339" s="4">
        <f t="shared" si="234"/>
        <v>0.99685359315256394</v>
      </c>
      <c r="S339" s="4">
        <f t="shared" si="234"/>
        <v>0.99549347132349975</v>
      </c>
      <c r="T339" s="4">
        <f t="shared" si="234"/>
        <v>0.99354772139898062</v>
      </c>
      <c r="U339" s="4">
        <f t="shared" si="234"/>
        <v>0.99076681540580536</v>
      </c>
      <c r="V339" s="4">
        <f t="shared" si="234"/>
        <v>0.9867978615748374</v>
      </c>
      <c r="W339" s="4">
        <f t="shared" si="234"/>
        <v>0.98114509762858249</v>
      </c>
      <c r="X339" s="4">
        <f t="shared" si="234"/>
        <v>0.97311898315872036</v>
      </c>
      <c r="Y339" s="4">
        <f t="shared" si="234"/>
        <v>0.96177484161592774</v>
      </c>
      <c r="Z339" s="4">
        <f t="shared" si="234"/>
        <v>0.94584787155511363</v>
      </c>
      <c r="AA339" s="4">
        <f t="shared" si="234"/>
        <v>0.92370360150141495</v>
      </c>
      <c r="AB339" s="4">
        <f t="shared" si="234"/>
        <v>0.89334463567658451</v>
      </c>
      <c r="AC339" s="4">
        <f t="shared" si="234"/>
        <v>0.85254543874327005</v>
      </c>
      <c r="AD339" s="4">
        <f t="shared" si="234"/>
        <v>0.79921300652623883</v>
      </c>
      <c r="AE339" s="4">
        <f t="shared" si="234"/>
        <v>0.73204982249993378</v>
      </c>
      <c r="AF339" s="4">
        <f t="shared" si="234"/>
        <v>0.65145592958786691</v>
      </c>
      <c r="AG339" s="4">
        <f t="shared" si="234"/>
        <v>0.56032247880849573</v>
      </c>
      <c r="AH339" s="4">
        <f t="shared" si="234"/>
        <v>0.46411326873185343</v>
      </c>
      <c r="AI339" s="4">
        <f t="shared" si="234"/>
        <v>0.36979727595523937</v>
      </c>
      <c r="AJ339" s="4">
        <f t="shared" si="234"/>
        <v>0.28393948637231203</v>
      </c>
      <c r="AK339" s="4">
        <f t="shared" si="234"/>
        <v>0.21097259161117732</v>
      </c>
      <c r="AL339" s="4">
        <f t="shared" si="234"/>
        <v>0.15253917653798199</v>
      </c>
      <c r="AM339" s="4">
        <f t="shared" si="234"/>
        <v>0.10795188737709993</v>
      </c>
      <c r="AN339" s="4">
        <f t="shared" si="234"/>
        <v>7.5176653938091809E-2</v>
      </c>
      <c r="AO339" s="4">
        <f t="shared" si="234"/>
        <v>5.1742836177502194E-2</v>
      </c>
      <c r="AP339" s="4">
        <f t="shared" si="234"/>
        <v>3.5319190625345942E-2</v>
      </c>
      <c r="AQ339" s="4">
        <f t="shared" si="234"/>
        <v>2.3969442072658165E-2</v>
      </c>
      <c r="AR339" s="4">
        <f t="shared" si="234"/>
        <v>1.6202243558389728E-2</v>
      </c>
    </row>
    <row r="340" spans="1:44" x14ac:dyDescent="0.25">
      <c r="A340" s="24" t="s">
        <v>52</v>
      </c>
      <c r="B340" s="60">
        <f>'Parameter Input'!$L$208</f>
        <v>488235.29411764705</v>
      </c>
      <c r="C340" s="61">
        <f>'Parameter Input'!$M$208</f>
        <v>488235.29411764705</v>
      </c>
      <c r="D340" s="1" t="s">
        <v>38</v>
      </c>
      <c r="L340" s="54">
        <f>'Parameter Input'!$O$208</f>
        <v>17</v>
      </c>
      <c r="M340" s="37">
        <v>0</v>
      </c>
      <c r="N340" s="37">
        <v>1</v>
      </c>
      <c r="O340" s="37">
        <f>'Parameter Input'!$P$208</f>
        <v>0.9</v>
      </c>
      <c r="P340" s="55">
        <f>'Parameter Input'!$Q$208</f>
        <v>0.4</v>
      </c>
      <c r="Q340" s="4">
        <f t="shared" si="234"/>
        <v>0.99780374543478534</v>
      </c>
      <c r="R340" s="4">
        <f t="shared" si="234"/>
        <v>0.99685359315256394</v>
      </c>
      <c r="S340" s="4">
        <f t="shared" si="234"/>
        <v>0.99549347132349975</v>
      </c>
      <c r="T340" s="4">
        <f t="shared" si="234"/>
        <v>0.99354772139898062</v>
      </c>
      <c r="U340" s="4">
        <f t="shared" si="234"/>
        <v>0.99076681540580536</v>
      </c>
      <c r="V340" s="4">
        <f t="shared" si="234"/>
        <v>0.9867978615748374</v>
      </c>
      <c r="W340" s="4">
        <f t="shared" si="234"/>
        <v>0.98114509762858249</v>
      </c>
      <c r="X340" s="4">
        <f t="shared" si="234"/>
        <v>0.97311898315872036</v>
      </c>
      <c r="Y340" s="4">
        <f t="shared" si="234"/>
        <v>0.96177484161592774</v>
      </c>
      <c r="Z340" s="4">
        <f t="shared" si="234"/>
        <v>0.94584787155511363</v>
      </c>
      <c r="AA340" s="4">
        <f t="shared" si="234"/>
        <v>0.92370360150141495</v>
      </c>
      <c r="AB340" s="4">
        <f t="shared" si="234"/>
        <v>0.89334463567658451</v>
      </c>
      <c r="AC340" s="4">
        <f t="shared" si="234"/>
        <v>0.85254543874327005</v>
      </c>
      <c r="AD340" s="4">
        <f t="shared" si="234"/>
        <v>0.79921300652623883</v>
      </c>
      <c r="AE340" s="4">
        <f t="shared" si="234"/>
        <v>0.73204982249993378</v>
      </c>
      <c r="AF340" s="4">
        <f t="shared" si="234"/>
        <v>0.65145592958786691</v>
      </c>
      <c r="AG340" s="4">
        <f t="shared" si="234"/>
        <v>0.56032247880849573</v>
      </c>
      <c r="AH340" s="4">
        <f t="shared" si="234"/>
        <v>0.46411326873185343</v>
      </c>
      <c r="AI340" s="4">
        <f t="shared" si="234"/>
        <v>0.36979727595523937</v>
      </c>
      <c r="AJ340" s="4">
        <f t="shared" si="234"/>
        <v>0.28393948637231203</v>
      </c>
      <c r="AK340" s="4">
        <f t="shared" si="234"/>
        <v>0.21097259161117732</v>
      </c>
      <c r="AL340" s="4">
        <f t="shared" si="234"/>
        <v>0.15253917653798199</v>
      </c>
      <c r="AM340" s="4">
        <f t="shared" si="234"/>
        <v>0.10795188737709993</v>
      </c>
      <c r="AN340" s="4">
        <f t="shared" si="234"/>
        <v>7.5176653938091809E-2</v>
      </c>
      <c r="AO340" s="4">
        <f t="shared" si="234"/>
        <v>5.1742836177502194E-2</v>
      </c>
      <c r="AP340" s="4">
        <f t="shared" si="234"/>
        <v>3.5319190625345942E-2</v>
      </c>
      <c r="AQ340" s="4">
        <f t="shared" si="234"/>
        <v>2.3969442072658165E-2</v>
      </c>
      <c r="AR340" s="4">
        <f t="shared" si="234"/>
        <v>1.6202243558389728E-2</v>
      </c>
    </row>
    <row r="341" spans="1:44" x14ac:dyDescent="0.25">
      <c r="A341" s="24" t="s">
        <v>272</v>
      </c>
      <c r="B341" s="92">
        <f>'Parameter Input'!B200</f>
        <v>0.81280569096848254</v>
      </c>
      <c r="C341" s="61">
        <f>'Parameter Input'!C200</f>
        <v>0.81280569096848254</v>
      </c>
      <c r="D341" s="1" t="s">
        <v>76</v>
      </c>
      <c r="L341" s="54">
        <f>'Parameter Input'!E200</f>
        <v>17</v>
      </c>
      <c r="M341" s="37">
        <v>0</v>
      </c>
      <c r="N341" s="37">
        <v>1</v>
      </c>
      <c r="O341" s="37">
        <f>'Parameter Input'!F200</f>
        <v>0.9</v>
      </c>
      <c r="P341" s="55">
        <f>'Parameter Input'!G200</f>
        <v>0.4</v>
      </c>
      <c r="Q341" s="4">
        <f t="shared" si="234"/>
        <v>0.99780374543478534</v>
      </c>
      <c r="R341" s="4">
        <f t="shared" si="234"/>
        <v>0.99685359315256394</v>
      </c>
      <c r="S341" s="4">
        <f t="shared" si="234"/>
        <v>0.99549347132349975</v>
      </c>
      <c r="T341" s="4">
        <f t="shared" si="234"/>
        <v>0.99354772139898062</v>
      </c>
      <c r="U341" s="4">
        <f t="shared" si="234"/>
        <v>0.99076681540580536</v>
      </c>
      <c r="V341" s="4">
        <f t="shared" si="234"/>
        <v>0.9867978615748374</v>
      </c>
      <c r="W341" s="4">
        <f t="shared" si="234"/>
        <v>0.98114509762858249</v>
      </c>
      <c r="X341" s="4">
        <f t="shared" si="234"/>
        <v>0.97311898315872036</v>
      </c>
      <c r="Y341" s="4">
        <f t="shared" si="234"/>
        <v>0.96177484161592774</v>
      </c>
      <c r="Z341" s="4">
        <f t="shared" si="234"/>
        <v>0.94584787155511363</v>
      </c>
      <c r="AA341" s="4">
        <f t="shared" si="234"/>
        <v>0.92370360150141495</v>
      </c>
      <c r="AB341" s="4">
        <f t="shared" si="234"/>
        <v>0.89334463567658451</v>
      </c>
      <c r="AC341" s="4">
        <f t="shared" si="234"/>
        <v>0.85254543874327005</v>
      </c>
      <c r="AD341" s="4">
        <f t="shared" si="234"/>
        <v>0.79921300652623883</v>
      </c>
      <c r="AE341" s="4">
        <f t="shared" si="234"/>
        <v>0.73204982249993378</v>
      </c>
      <c r="AF341" s="4">
        <f t="shared" si="234"/>
        <v>0.65145592958786691</v>
      </c>
      <c r="AG341" s="4">
        <f t="shared" si="234"/>
        <v>0.56032247880849573</v>
      </c>
      <c r="AH341" s="4">
        <f t="shared" si="234"/>
        <v>0.46411326873185343</v>
      </c>
      <c r="AI341" s="4">
        <f t="shared" si="234"/>
        <v>0.36979727595523937</v>
      </c>
      <c r="AJ341" s="4">
        <f t="shared" si="234"/>
        <v>0.28393948637231203</v>
      </c>
      <c r="AK341" s="4">
        <f t="shared" si="234"/>
        <v>0.21097259161117732</v>
      </c>
      <c r="AL341" s="4">
        <f t="shared" si="234"/>
        <v>0.15253917653798199</v>
      </c>
      <c r="AM341" s="4">
        <f t="shared" si="234"/>
        <v>0.10795188737709993</v>
      </c>
      <c r="AN341" s="4">
        <f t="shared" si="234"/>
        <v>7.5176653938091809E-2</v>
      </c>
      <c r="AO341" s="4">
        <f t="shared" si="234"/>
        <v>5.1742836177502194E-2</v>
      </c>
      <c r="AP341" s="4">
        <f t="shared" si="234"/>
        <v>3.5319190625345942E-2</v>
      </c>
      <c r="AQ341" s="4">
        <f t="shared" si="234"/>
        <v>2.3969442072658165E-2</v>
      </c>
      <c r="AR341" s="4">
        <f t="shared" si="234"/>
        <v>1.6202243558389728E-2</v>
      </c>
    </row>
    <row r="342" spans="1:44" x14ac:dyDescent="0.25">
      <c r="A342" s="24" t="s">
        <v>59</v>
      </c>
      <c r="B342" s="60">
        <f>'Parameter Input'!$L$209</f>
        <v>647</v>
      </c>
      <c r="C342" s="61">
        <f>'Parameter Input'!$M$209</f>
        <v>600</v>
      </c>
      <c r="D342" s="1" t="s">
        <v>60</v>
      </c>
      <c r="L342" s="54">
        <f>'Parameter Input'!$O$209</f>
        <v>17</v>
      </c>
      <c r="M342" s="37">
        <v>0</v>
      </c>
      <c r="N342" s="37">
        <v>1</v>
      </c>
      <c r="O342" s="37">
        <f>'Parameter Input'!$P$209</f>
        <v>0.9</v>
      </c>
      <c r="P342" s="55">
        <f>'Parameter Input'!$Q$209</f>
        <v>0.4</v>
      </c>
      <c r="Q342" s="4">
        <f t="shared" si="234"/>
        <v>0.99780374543478534</v>
      </c>
      <c r="R342" s="4">
        <f t="shared" si="234"/>
        <v>0.99685359315256394</v>
      </c>
      <c r="S342" s="4">
        <f t="shared" si="234"/>
        <v>0.99549347132349975</v>
      </c>
      <c r="T342" s="4">
        <f t="shared" si="234"/>
        <v>0.99354772139898062</v>
      </c>
      <c r="U342" s="4">
        <f t="shared" si="234"/>
        <v>0.99076681540580536</v>
      </c>
      <c r="V342" s="4">
        <f t="shared" si="234"/>
        <v>0.9867978615748374</v>
      </c>
      <c r="W342" s="4">
        <f t="shared" si="234"/>
        <v>0.98114509762858249</v>
      </c>
      <c r="X342" s="4">
        <f t="shared" si="234"/>
        <v>0.97311898315872036</v>
      </c>
      <c r="Y342" s="4">
        <f t="shared" si="234"/>
        <v>0.96177484161592774</v>
      </c>
      <c r="Z342" s="4">
        <f t="shared" si="234"/>
        <v>0.94584787155511363</v>
      </c>
      <c r="AA342" s="4">
        <f t="shared" si="234"/>
        <v>0.92370360150141495</v>
      </c>
      <c r="AB342" s="4">
        <f t="shared" si="234"/>
        <v>0.89334463567658451</v>
      </c>
      <c r="AC342" s="4">
        <f t="shared" si="234"/>
        <v>0.85254543874327005</v>
      </c>
      <c r="AD342" s="4">
        <f t="shared" si="234"/>
        <v>0.79921300652623883</v>
      </c>
      <c r="AE342" s="4">
        <f t="shared" si="234"/>
        <v>0.73204982249993378</v>
      </c>
      <c r="AF342" s="4">
        <f t="shared" si="234"/>
        <v>0.65145592958786691</v>
      </c>
      <c r="AG342" s="4">
        <f t="shared" si="234"/>
        <v>0.56032247880849573</v>
      </c>
      <c r="AH342" s="4">
        <f t="shared" si="234"/>
        <v>0.46411326873185343</v>
      </c>
      <c r="AI342" s="4">
        <f t="shared" si="234"/>
        <v>0.36979727595523937</v>
      </c>
      <c r="AJ342" s="4">
        <f t="shared" si="234"/>
        <v>0.28393948637231203</v>
      </c>
      <c r="AK342" s="4">
        <f t="shared" si="234"/>
        <v>0.21097259161117732</v>
      </c>
      <c r="AL342" s="4">
        <f t="shared" si="234"/>
        <v>0.15253917653798199</v>
      </c>
      <c r="AM342" s="4">
        <f t="shared" si="234"/>
        <v>0.10795188737709993</v>
      </c>
      <c r="AN342" s="4">
        <f t="shared" si="234"/>
        <v>7.5176653938091809E-2</v>
      </c>
      <c r="AO342" s="4">
        <f t="shared" si="234"/>
        <v>5.1742836177502194E-2</v>
      </c>
      <c r="AP342" s="4">
        <f t="shared" si="234"/>
        <v>3.5319190625345942E-2</v>
      </c>
      <c r="AQ342" s="4">
        <f t="shared" si="234"/>
        <v>2.3969442072658165E-2</v>
      </c>
      <c r="AR342" s="4">
        <f t="shared" si="234"/>
        <v>1.6202243558389728E-2</v>
      </c>
    </row>
    <row r="343" spans="1:44" x14ac:dyDescent="0.25">
      <c r="A343" s="24" t="s">
        <v>67</v>
      </c>
      <c r="B343" s="78">
        <f>'Parameter Input'!$L$210</f>
        <v>0.46076973995226939</v>
      </c>
      <c r="C343" s="61">
        <f>'Parameter Input'!$M$210</f>
        <v>0.14224714585492179</v>
      </c>
      <c r="D343" s="1" t="s">
        <v>68</v>
      </c>
      <c r="L343" s="54">
        <f>'Parameter Input'!$O$210</f>
        <v>17</v>
      </c>
      <c r="M343" s="37">
        <v>0</v>
      </c>
      <c r="N343" s="37">
        <v>1</v>
      </c>
      <c r="O343" s="37">
        <f>'Parameter Input'!$P$210</f>
        <v>0.9</v>
      </c>
      <c r="P343" s="55">
        <f>'Parameter Input'!$Q$210</f>
        <v>0.4</v>
      </c>
      <c r="Q343" s="4">
        <f t="shared" si="234"/>
        <v>0.99780374543478534</v>
      </c>
      <c r="R343" s="4">
        <f t="shared" si="234"/>
        <v>0.99685359315256394</v>
      </c>
      <c r="S343" s="4">
        <f t="shared" si="234"/>
        <v>0.99549347132349975</v>
      </c>
      <c r="T343" s="4">
        <f t="shared" ref="T343:AI350" si="235">$N343+($M343-$N343)*((1/(1+EXP(-$P343*(T$9-$L343)))^$O343))</f>
        <v>0.99354772139898062</v>
      </c>
      <c r="U343" s="4">
        <f t="shared" si="235"/>
        <v>0.99076681540580536</v>
      </c>
      <c r="V343" s="4">
        <f t="shared" si="235"/>
        <v>0.9867978615748374</v>
      </c>
      <c r="W343" s="4">
        <f t="shared" si="235"/>
        <v>0.98114509762858249</v>
      </c>
      <c r="X343" s="4">
        <f t="shared" si="235"/>
        <v>0.97311898315872036</v>
      </c>
      <c r="Y343" s="4">
        <f t="shared" si="235"/>
        <v>0.96177484161592774</v>
      </c>
      <c r="Z343" s="4">
        <f t="shared" si="235"/>
        <v>0.94584787155511363</v>
      </c>
      <c r="AA343" s="4">
        <f t="shared" si="235"/>
        <v>0.92370360150141495</v>
      </c>
      <c r="AB343" s="4">
        <f t="shared" si="235"/>
        <v>0.89334463567658451</v>
      </c>
      <c r="AC343" s="4">
        <f t="shared" si="235"/>
        <v>0.85254543874327005</v>
      </c>
      <c r="AD343" s="4">
        <f t="shared" si="235"/>
        <v>0.79921300652623883</v>
      </c>
      <c r="AE343" s="4">
        <f t="shared" si="235"/>
        <v>0.73204982249993378</v>
      </c>
      <c r="AF343" s="4">
        <f t="shared" si="235"/>
        <v>0.65145592958786691</v>
      </c>
      <c r="AG343" s="4">
        <f t="shared" si="235"/>
        <v>0.56032247880849573</v>
      </c>
      <c r="AH343" s="4">
        <f t="shared" si="235"/>
        <v>0.46411326873185343</v>
      </c>
      <c r="AI343" s="4">
        <f t="shared" si="235"/>
        <v>0.36979727595523937</v>
      </c>
      <c r="AJ343" s="4">
        <f t="shared" ref="AJ343:AR350" si="236">$N343+($M343-$N343)*((1/(1+EXP(-$P343*(AJ$9-$L343)))^$O343))</f>
        <v>0.28393948637231203</v>
      </c>
      <c r="AK343" s="4">
        <f t="shared" si="236"/>
        <v>0.21097259161117732</v>
      </c>
      <c r="AL343" s="4">
        <f t="shared" si="236"/>
        <v>0.15253917653798199</v>
      </c>
      <c r="AM343" s="4">
        <f t="shared" si="236"/>
        <v>0.10795188737709993</v>
      </c>
      <c r="AN343" s="4">
        <f t="shared" si="236"/>
        <v>7.5176653938091809E-2</v>
      </c>
      <c r="AO343" s="4">
        <f t="shared" si="236"/>
        <v>5.1742836177502194E-2</v>
      </c>
      <c r="AP343" s="4">
        <f t="shared" si="236"/>
        <v>3.5319190625345942E-2</v>
      </c>
      <c r="AQ343" s="4">
        <f t="shared" si="236"/>
        <v>2.3969442072658165E-2</v>
      </c>
      <c r="AR343" s="4">
        <f t="shared" si="236"/>
        <v>1.6202243558389728E-2</v>
      </c>
    </row>
    <row r="344" spans="1:44" x14ac:dyDescent="0.25">
      <c r="A344" s="24" t="s">
        <v>206</v>
      </c>
      <c r="B344" s="115">
        <f>'Parameter Input'!$L$213</f>
        <v>3.1631111111111108</v>
      </c>
      <c r="C344" s="116">
        <f>'Parameter Input'!$M$213</f>
        <v>0</v>
      </c>
      <c r="D344" s="1" t="s">
        <v>76</v>
      </c>
      <c r="L344" s="54">
        <f>'Parameter Input'!$O$213</f>
        <v>17</v>
      </c>
      <c r="M344" s="37">
        <v>0</v>
      </c>
      <c r="N344" s="37">
        <v>1</v>
      </c>
      <c r="O344" s="37">
        <f>'Parameter Input'!$P$213</f>
        <v>0.9</v>
      </c>
      <c r="P344" s="55">
        <f>'Parameter Input'!$Q$213</f>
        <v>0.4</v>
      </c>
      <c r="Q344" s="4">
        <f t="shared" ref="Q344:AR344" si="237">$N344+($M344-$N344)*((1/(1+EXP(-$P344*(Q$9-$L344)))^$O344))</f>
        <v>0.99780374543478534</v>
      </c>
      <c r="R344" s="4">
        <f t="shared" si="237"/>
        <v>0.99685359315256394</v>
      </c>
      <c r="S344" s="4">
        <f t="shared" si="237"/>
        <v>0.99549347132349975</v>
      </c>
      <c r="T344" s="4">
        <f t="shared" si="237"/>
        <v>0.99354772139898062</v>
      </c>
      <c r="U344" s="4">
        <f t="shared" si="237"/>
        <v>0.99076681540580536</v>
      </c>
      <c r="V344" s="4">
        <f t="shared" si="237"/>
        <v>0.9867978615748374</v>
      </c>
      <c r="W344" s="4">
        <f t="shared" si="237"/>
        <v>0.98114509762858249</v>
      </c>
      <c r="X344" s="4">
        <f t="shared" si="237"/>
        <v>0.97311898315872036</v>
      </c>
      <c r="Y344" s="4">
        <f t="shared" si="237"/>
        <v>0.96177484161592774</v>
      </c>
      <c r="Z344" s="4">
        <f t="shared" si="237"/>
        <v>0.94584787155511363</v>
      </c>
      <c r="AA344" s="4">
        <f t="shared" si="237"/>
        <v>0.92370360150141495</v>
      </c>
      <c r="AB344" s="4">
        <f t="shared" si="237"/>
        <v>0.89334463567658451</v>
      </c>
      <c r="AC344" s="4">
        <f t="shared" si="237"/>
        <v>0.85254543874327005</v>
      </c>
      <c r="AD344" s="4">
        <f t="shared" si="237"/>
        <v>0.79921300652623883</v>
      </c>
      <c r="AE344" s="4">
        <f t="shared" si="237"/>
        <v>0.73204982249993378</v>
      </c>
      <c r="AF344" s="4">
        <f t="shared" si="237"/>
        <v>0.65145592958786691</v>
      </c>
      <c r="AG344" s="4">
        <f t="shared" si="237"/>
        <v>0.56032247880849573</v>
      </c>
      <c r="AH344" s="4">
        <f t="shared" si="237"/>
        <v>0.46411326873185343</v>
      </c>
      <c r="AI344" s="4">
        <f t="shared" si="237"/>
        <v>0.36979727595523937</v>
      </c>
      <c r="AJ344" s="4">
        <f t="shared" si="237"/>
        <v>0.28393948637231203</v>
      </c>
      <c r="AK344" s="4">
        <f t="shared" si="237"/>
        <v>0.21097259161117732</v>
      </c>
      <c r="AL344" s="4">
        <f t="shared" si="237"/>
        <v>0.15253917653798199</v>
      </c>
      <c r="AM344" s="4">
        <f t="shared" si="237"/>
        <v>0.10795188737709993</v>
      </c>
      <c r="AN344" s="4">
        <f t="shared" si="237"/>
        <v>7.5176653938091809E-2</v>
      </c>
      <c r="AO344" s="4">
        <f t="shared" si="237"/>
        <v>5.1742836177502194E-2</v>
      </c>
      <c r="AP344" s="4">
        <f t="shared" si="237"/>
        <v>3.5319190625345942E-2</v>
      </c>
      <c r="AQ344" s="4">
        <f t="shared" si="237"/>
        <v>2.3969442072658165E-2</v>
      </c>
      <c r="AR344" s="4">
        <f t="shared" si="237"/>
        <v>1.6202243558389728E-2</v>
      </c>
    </row>
    <row r="345" spans="1:44" x14ac:dyDescent="0.25">
      <c r="A345" s="24" t="s">
        <v>41</v>
      </c>
      <c r="B345" s="60">
        <f>'Parameter Input'!$L$207</f>
        <v>25</v>
      </c>
      <c r="C345" s="61">
        <f>'Parameter Input'!$M$207</f>
        <v>25</v>
      </c>
      <c r="D345" s="1" t="s">
        <v>42</v>
      </c>
      <c r="L345" s="54">
        <f>'Parameter Input'!$O$207</f>
        <v>17</v>
      </c>
      <c r="M345" s="37">
        <v>0</v>
      </c>
      <c r="N345" s="37">
        <v>1</v>
      </c>
      <c r="O345" s="37">
        <f>'Parameter Input'!$P$207</f>
        <v>0.9</v>
      </c>
      <c r="P345" s="55">
        <f>'Parameter Input'!$Q$207</f>
        <v>0.4</v>
      </c>
      <c r="Q345" s="4">
        <f t="shared" ref="Q345:AF350" si="238">$N345+($M345-$N345)*((1/(1+EXP(-$P345*(Q$9-$L345)))^$O345))</f>
        <v>0.99780374543478534</v>
      </c>
      <c r="R345" s="4">
        <f t="shared" si="238"/>
        <v>0.99685359315256394</v>
      </c>
      <c r="S345" s="4">
        <f t="shared" si="238"/>
        <v>0.99549347132349975</v>
      </c>
      <c r="T345" s="4">
        <f t="shared" si="238"/>
        <v>0.99354772139898062</v>
      </c>
      <c r="U345" s="4">
        <f t="shared" si="238"/>
        <v>0.99076681540580536</v>
      </c>
      <c r="V345" s="4">
        <f t="shared" si="238"/>
        <v>0.9867978615748374</v>
      </c>
      <c r="W345" s="4">
        <f t="shared" si="238"/>
        <v>0.98114509762858249</v>
      </c>
      <c r="X345" s="4">
        <f t="shared" si="238"/>
        <v>0.97311898315872036</v>
      </c>
      <c r="Y345" s="4">
        <f t="shared" si="238"/>
        <v>0.96177484161592774</v>
      </c>
      <c r="Z345" s="4">
        <f t="shared" si="238"/>
        <v>0.94584787155511363</v>
      </c>
      <c r="AA345" s="4">
        <f t="shared" si="238"/>
        <v>0.92370360150141495</v>
      </c>
      <c r="AB345" s="4">
        <f t="shared" si="238"/>
        <v>0.89334463567658451</v>
      </c>
      <c r="AC345" s="4">
        <f t="shared" si="238"/>
        <v>0.85254543874327005</v>
      </c>
      <c r="AD345" s="4">
        <f t="shared" si="238"/>
        <v>0.79921300652623883</v>
      </c>
      <c r="AE345" s="4">
        <f t="shared" si="238"/>
        <v>0.73204982249993378</v>
      </c>
      <c r="AF345" s="4">
        <f t="shared" si="238"/>
        <v>0.65145592958786691</v>
      </c>
      <c r="AG345" s="4">
        <f t="shared" si="235"/>
        <v>0.56032247880849573</v>
      </c>
      <c r="AH345" s="4">
        <f t="shared" si="235"/>
        <v>0.46411326873185343</v>
      </c>
      <c r="AI345" s="4">
        <f t="shared" si="235"/>
        <v>0.36979727595523937</v>
      </c>
      <c r="AJ345" s="4">
        <f t="shared" si="236"/>
        <v>0.28393948637231203</v>
      </c>
      <c r="AK345" s="4">
        <f t="shared" si="236"/>
        <v>0.21097259161117732</v>
      </c>
      <c r="AL345" s="4">
        <f t="shared" si="236"/>
        <v>0.15253917653798199</v>
      </c>
      <c r="AM345" s="4">
        <f t="shared" si="236"/>
        <v>0.10795188737709993</v>
      </c>
      <c r="AN345" s="4">
        <f t="shared" si="236"/>
        <v>7.5176653938091809E-2</v>
      </c>
      <c r="AO345" s="4">
        <f t="shared" si="236"/>
        <v>5.1742836177502194E-2</v>
      </c>
      <c r="AP345" s="4">
        <f t="shared" si="236"/>
        <v>3.5319190625345942E-2</v>
      </c>
      <c r="AQ345" s="4">
        <f t="shared" si="236"/>
        <v>2.3969442072658165E-2</v>
      </c>
      <c r="AR345" s="4">
        <f t="shared" si="236"/>
        <v>1.6202243558389728E-2</v>
      </c>
    </row>
    <row r="346" spans="1:44" x14ac:dyDescent="0.25">
      <c r="A346" s="24" t="s">
        <v>70</v>
      </c>
      <c r="B346" s="60">
        <f>'Parameter Input'!B199</f>
        <v>25</v>
      </c>
      <c r="C346" s="61">
        <f>'Parameter Input'!C199</f>
        <v>25</v>
      </c>
      <c r="D346" s="1" t="s">
        <v>42</v>
      </c>
      <c r="L346" s="54">
        <f>'Parameter Input'!E199</f>
        <v>17</v>
      </c>
      <c r="M346" s="37">
        <v>0</v>
      </c>
      <c r="N346" s="37">
        <v>1</v>
      </c>
      <c r="O346" s="37">
        <f>'Parameter Input'!F199</f>
        <v>0.9</v>
      </c>
      <c r="P346" s="55">
        <f>'Parameter Input'!G199</f>
        <v>0.4</v>
      </c>
      <c r="Q346" s="4">
        <f t="shared" si="238"/>
        <v>0.99780374543478534</v>
      </c>
      <c r="R346" s="4">
        <f t="shared" si="238"/>
        <v>0.99685359315256394</v>
      </c>
      <c r="S346" s="4">
        <f t="shared" si="238"/>
        <v>0.99549347132349975</v>
      </c>
      <c r="T346" s="4">
        <f t="shared" si="238"/>
        <v>0.99354772139898062</v>
      </c>
      <c r="U346" s="4">
        <f t="shared" si="238"/>
        <v>0.99076681540580536</v>
      </c>
      <c r="V346" s="4">
        <f t="shared" si="238"/>
        <v>0.9867978615748374</v>
      </c>
      <c r="W346" s="4">
        <f t="shared" si="238"/>
        <v>0.98114509762858249</v>
      </c>
      <c r="X346" s="4">
        <f t="shared" si="238"/>
        <v>0.97311898315872036</v>
      </c>
      <c r="Y346" s="4">
        <f t="shared" si="238"/>
        <v>0.96177484161592774</v>
      </c>
      <c r="Z346" s="4">
        <f t="shared" si="238"/>
        <v>0.94584787155511363</v>
      </c>
      <c r="AA346" s="4">
        <f t="shared" si="238"/>
        <v>0.92370360150141495</v>
      </c>
      <c r="AB346" s="4">
        <f t="shared" si="238"/>
        <v>0.89334463567658451</v>
      </c>
      <c r="AC346" s="4">
        <f t="shared" si="238"/>
        <v>0.85254543874327005</v>
      </c>
      <c r="AD346" s="4">
        <f t="shared" si="238"/>
        <v>0.79921300652623883</v>
      </c>
      <c r="AE346" s="4">
        <f t="shared" si="238"/>
        <v>0.73204982249993378</v>
      </c>
      <c r="AF346" s="4">
        <f t="shared" si="238"/>
        <v>0.65145592958786691</v>
      </c>
      <c r="AG346" s="4">
        <f t="shared" si="235"/>
        <v>0.56032247880849573</v>
      </c>
      <c r="AH346" s="4">
        <f t="shared" si="235"/>
        <v>0.46411326873185343</v>
      </c>
      <c r="AI346" s="4">
        <f t="shared" si="235"/>
        <v>0.36979727595523937</v>
      </c>
      <c r="AJ346" s="4">
        <f t="shared" si="236"/>
        <v>0.28393948637231203</v>
      </c>
      <c r="AK346" s="4">
        <f t="shared" si="236"/>
        <v>0.21097259161117732</v>
      </c>
      <c r="AL346" s="4">
        <f t="shared" si="236"/>
        <v>0.15253917653798199</v>
      </c>
      <c r="AM346" s="4">
        <f t="shared" si="236"/>
        <v>0.10795188737709993</v>
      </c>
      <c r="AN346" s="4">
        <f t="shared" si="236"/>
        <v>7.5176653938091809E-2</v>
      </c>
      <c r="AO346" s="4">
        <f t="shared" si="236"/>
        <v>5.1742836177502194E-2</v>
      </c>
      <c r="AP346" s="4">
        <f t="shared" si="236"/>
        <v>3.5319190625345942E-2</v>
      </c>
      <c r="AQ346" s="4">
        <f t="shared" si="236"/>
        <v>2.3969442072658165E-2</v>
      </c>
      <c r="AR346" s="4">
        <f t="shared" si="236"/>
        <v>1.6202243558389728E-2</v>
      </c>
    </row>
    <row r="347" spans="1:44" x14ac:dyDescent="0.25">
      <c r="A347" s="24" t="s">
        <v>207</v>
      </c>
      <c r="B347" s="43">
        <f>'Parameter Input'!B196</f>
        <v>9450</v>
      </c>
      <c r="C347" s="44">
        <f>'Parameter Input'!C196</f>
        <v>9450</v>
      </c>
      <c r="D347" s="1" t="s">
        <v>49</v>
      </c>
      <c r="L347" s="54">
        <f>'Parameter Input'!E196</f>
        <v>17</v>
      </c>
      <c r="M347" s="37">
        <v>0</v>
      </c>
      <c r="N347" s="37">
        <v>1</v>
      </c>
      <c r="O347" s="37">
        <f>'Parameter Input'!F196</f>
        <v>0.9</v>
      </c>
      <c r="P347" s="55">
        <f>'Parameter Input'!G196</f>
        <v>0.4</v>
      </c>
      <c r="Q347" s="4">
        <f t="shared" si="238"/>
        <v>0.99780374543478534</v>
      </c>
      <c r="R347" s="4">
        <f t="shared" si="238"/>
        <v>0.99685359315256394</v>
      </c>
      <c r="S347" s="4">
        <f t="shared" si="238"/>
        <v>0.99549347132349975</v>
      </c>
      <c r="T347" s="4">
        <f t="shared" si="238"/>
        <v>0.99354772139898062</v>
      </c>
      <c r="U347" s="4">
        <f t="shared" si="238"/>
        <v>0.99076681540580536</v>
      </c>
      <c r="V347" s="4">
        <f t="shared" si="238"/>
        <v>0.9867978615748374</v>
      </c>
      <c r="W347" s="4">
        <f t="shared" si="238"/>
        <v>0.98114509762858249</v>
      </c>
      <c r="X347" s="4">
        <f t="shared" si="238"/>
        <v>0.97311898315872036</v>
      </c>
      <c r="Y347" s="4">
        <f t="shared" si="238"/>
        <v>0.96177484161592774</v>
      </c>
      <c r="Z347" s="4">
        <f t="shared" si="238"/>
        <v>0.94584787155511363</v>
      </c>
      <c r="AA347" s="4">
        <f t="shared" si="238"/>
        <v>0.92370360150141495</v>
      </c>
      <c r="AB347" s="4">
        <f t="shared" si="238"/>
        <v>0.89334463567658451</v>
      </c>
      <c r="AC347" s="4">
        <f t="shared" si="238"/>
        <v>0.85254543874327005</v>
      </c>
      <c r="AD347" s="4">
        <f t="shared" si="238"/>
        <v>0.79921300652623883</v>
      </c>
      <c r="AE347" s="4">
        <f t="shared" si="238"/>
        <v>0.73204982249993378</v>
      </c>
      <c r="AF347" s="4">
        <f t="shared" si="238"/>
        <v>0.65145592958786691</v>
      </c>
      <c r="AG347" s="4">
        <f t="shared" si="235"/>
        <v>0.56032247880849573</v>
      </c>
      <c r="AH347" s="4">
        <f t="shared" si="235"/>
        <v>0.46411326873185343</v>
      </c>
      <c r="AI347" s="4">
        <f t="shared" si="235"/>
        <v>0.36979727595523937</v>
      </c>
      <c r="AJ347" s="4">
        <f t="shared" si="236"/>
        <v>0.28393948637231203</v>
      </c>
      <c r="AK347" s="4">
        <f t="shared" si="236"/>
        <v>0.21097259161117732</v>
      </c>
      <c r="AL347" s="4">
        <f t="shared" si="236"/>
        <v>0.15253917653798199</v>
      </c>
      <c r="AM347" s="4">
        <f t="shared" si="236"/>
        <v>0.10795188737709993</v>
      </c>
      <c r="AN347" s="4">
        <f t="shared" si="236"/>
        <v>7.5176653938091809E-2</v>
      </c>
      <c r="AO347" s="4">
        <f t="shared" si="236"/>
        <v>5.1742836177502194E-2</v>
      </c>
      <c r="AP347" s="4">
        <f t="shared" si="236"/>
        <v>3.5319190625345942E-2</v>
      </c>
      <c r="AQ347" s="4">
        <f t="shared" si="236"/>
        <v>2.3969442072658165E-2</v>
      </c>
      <c r="AR347" s="4">
        <f t="shared" si="236"/>
        <v>1.6202243558389728E-2</v>
      </c>
    </row>
    <row r="348" spans="1:44" x14ac:dyDescent="0.25">
      <c r="A348" s="24" t="s">
        <v>56</v>
      </c>
      <c r="B348" s="45">
        <f>'Parameter Input'!B197</f>
        <v>0.68</v>
      </c>
      <c r="C348" s="46">
        <f>'Parameter Input'!C197</f>
        <v>0.68</v>
      </c>
      <c r="D348" s="1" t="s">
        <v>57</v>
      </c>
      <c r="L348" s="54">
        <f>'Parameter Input'!E197</f>
        <v>17</v>
      </c>
      <c r="M348" s="37">
        <v>0</v>
      </c>
      <c r="N348" s="37">
        <v>1</v>
      </c>
      <c r="O348" s="37">
        <f>'Parameter Input'!F197</f>
        <v>0.9</v>
      </c>
      <c r="P348" s="55">
        <f>'Parameter Input'!G197</f>
        <v>0.4</v>
      </c>
      <c r="Q348" s="4">
        <f t="shared" si="238"/>
        <v>0.99780374543478534</v>
      </c>
      <c r="R348" s="4">
        <f t="shared" si="238"/>
        <v>0.99685359315256394</v>
      </c>
      <c r="S348" s="4">
        <f t="shared" si="238"/>
        <v>0.99549347132349975</v>
      </c>
      <c r="T348" s="4">
        <f t="shared" si="238"/>
        <v>0.99354772139898062</v>
      </c>
      <c r="U348" s="4">
        <f t="shared" si="238"/>
        <v>0.99076681540580536</v>
      </c>
      <c r="V348" s="4">
        <f t="shared" si="238"/>
        <v>0.9867978615748374</v>
      </c>
      <c r="W348" s="4">
        <f t="shared" si="238"/>
        <v>0.98114509762858249</v>
      </c>
      <c r="X348" s="4">
        <f t="shared" si="238"/>
        <v>0.97311898315872036</v>
      </c>
      <c r="Y348" s="4">
        <f t="shared" si="238"/>
        <v>0.96177484161592774</v>
      </c>
      <c r="Z348" s="4">
        <f t="shared" si="238"/>
        <v>0.94584787155511363</v>
      </c>
      <c r="AA348" s="4">
        <f t="shared" si="238"/>
        <v>0.92370360150141495</v>
      </c>
      <c r="AB348" s="4">
        <f t="shared" si="238"/>
        <v>0.89334463567658451</v>
      </c>
      <c r="AC348" s="4">
        <f t="shared" si="238"/>
        <v>0.85254543874327005</v>
      </c>
      <c r="AD348" s="4">
        <f t="shared" si="238"/>
        <v>0.79921300652623883</v>
      </c>
      <c r="AE348" s="4">
        <f t="shared" si="238"/>
        <v>0.73204982249993378</v>
      </c>
      <c r="AF348" s="4">
        <f t="shared" si="238"/>
        <v>0.65145592958786691</v>
      </c>
      <c r="AG348" s="4">
        <f t="shared" si="235"/>
        <v>0.56032247880849573</v>
      </c>
      <c r="AH348" s="4">
        <f t="shared" si="235"/>
        <v>0.46411326873185343</v>
      </c>
      <c r="AI348" s="4">
        <f t="shared" si="235"/>
        <v>0.36979727595523937</v>
      </c>
      <c r="AJ348" s="4">
        <f t="shared" si="236"/>
        <v>0.28393948637231203</v>
      </c>
      <c r="AK348" s="4">
        <f t="shared" si="236"/>
        <v>0.21097259161117732</v>
      </c>
      <c r="AL348" s="4">
        <f t="shared" si="236"/>
        <v>0.15253917653798199</v>
      </c>
      <c r="AM348" s="4">
        <f t="shared" si="236"/>
        <v>0.10795188737709993</v>
      </c>
      <c r="AN348" s="4">
        <f t="shared" si="236"/>
        <v>7.5176653938091809E-2</v>
      </c>
      <c r="AO348" s="4">
        <f t="shared" si="236"/>
        <v>5.1742836177502194E-2</v>
      </c>
      <c r="AP348" s="4">
        <f t="shared" si="236"/>
        <v>3.5319190625345942E-2</v>
      </c>
      <c r="AQ348" s="4">
        <f t="shared" si="236"/>
        <v>2.3969442072658165E-2</v>
      </c>
      <c r="AR348" s="4">
        <f t="shared" si="236"/>
        <v>1.6202243558389728E-2</v>
      </c>
    </row>
    <row r="349" spans="1:44" x14ac:dyDescent="0.25">
      <c r="A349" s="24" t="s">
        <v>73</v>
      </c>
      <c r="B349" s="45">
        <f>'Parameter Input'!$L$211</f>
        <v>0.04</v>
      </c>
      <c r="C349" s="46">
        <f>'Parameter Input'!$M$211</f>
        <v>0.04</v>
      </c>
      <c r="D349" s="1" t="s">
        <v>57</v>
      </c>
      <c r="L349" s="54">
        <f>'Parameter Input'!$O$211</f>
        <v>17</v>
      </c>
      <c r="M349" s="37">
        <v>0</v>
      </c>
      <c r="N349" s="37">
        <v>1</v>
      </c>
      <c r="O349" s="37">
        <f>'Parameter Input'!$P$211</f>
        <v>0.9</v>
      </c>
      <c r="P349" s="55">
        <f>'Parameter Input'!$Q$211</f>
        <v>0.4</v>
      </c>
      <c r="Q349" s="4">
        <f t="shared" si="238"/>
        <v>0.99780374543478534</v>
      </c>
      <c r="R349" s="4">
        <f t="shared" si="238"/>
        <v>0.99685359315256394</v>
      </c>
      <c r="S349" s="4">
        <f t="shared" si="238"/>
        <v>0.99549347132349975</v>
      </c>
      <c r="T349" s="4">
        <f t="shared" si="238"/>
        <v>0.99354772139898062</v>
      </c>
      <c r="U349" s="4">
        <f t="shared" si="238"/>
        <v>0.99076681540580536</v>
      </c>
      <c r="V349" s="4">
        <f t="shared" si="238"/>
        <v>0.9867978615748374</v>
      </c>
      <c r="W349" s="4">
        <f t="shared" si="238"/>
        <v>0.98114509762858249</v>
      </c>
      <c r="X349" s="4">
        <f t="shared" si="238"/>
        <v>0.97311898315872036</v>
      </c>
      <c r="Y349" s="4">
        <f t="shared" si="238"/>
        <v>0.96177484161592774</v>
      </c>
      <c r="Z349" s="4">
        <f t="shared" si="238"/>
        <v>0.94584787155511363</v>
      </c>
      <c r="AA349" s="4">
        <f t="shared" si="238"/>
        <v>0.92370360150141495</v>
      </c>
      <c r="AB349" s="4">
        <f t="shared" si="238"/>
        <v>0.89334463567658451</v>
      </c>
      <c r="AC349" s="4">
        <f t="shared" si="238"/>
        <v>0.85254543874327005</v>
      </c>
      <c r="AD349" s="4">
        <f t="shared" si="238"/>
        <v>0.79921300652623883</v>
      </c>
      <c r="AE349" s="4">
        <f t="shared" si="238"/>
        <v>0.73204982249993378</v>
      </c>
      <c r="AF349" s="4">
        <f t="shared" si="238"/>
        <v>0.65145592958786691</v>
      </c>
      <c r="AG349" s="4">
        <f t="shared" si="235"/>
        <v>0.56032247880849573</v>
      </c>
      <c r="AH349" s="4">
        <f t="shared" si="235"/>
        <v>0.46411326873185343</v>
      </c>
      <c r="AI349" s="4">
        <f t="shared" si="235"/>
        <v>0.36979727595523937</v>
      </c>
      <c r="AJ349" s="4">
        <f t="shared" si="236"/>
        <v>0.28393948637231203</v>
      </c>
      <c r="AK349" s="4">
        <f t="shared" si="236"/>
        <v>0.21097259161117732</v>
      </c>
      <c r="AL349" s="4">
        <f t="shared" si="236"/>
        <v>0.15253917653798199</v>
      </c>
      <c r="AM349" s="4">
        <f t="shared" si="236"/>
        <v>0.10795188737709993</v>
      </c>
      <c r="AN349" s="4">
        <f t="shared" si="236"/>
        <v>7.5176653938091809E-2</v>
      </c>
      <c r="AO349" s="4">
        <f t="shared" si="236"/>
        <v>5.1742836177502194E-2</v>
      </c>
      <c r="AP349" s="4">
        <f t="shared" si="236"/>
        <v>3.5319190625345942E-2</v>
      </c>
      <c r="AQ349" s="4">
        <f t="shared" si="236"/>
        <v>2.3969442072658165E-2</v>
      </c>
      <c r="AR349" s="4">
        <f t="shared" si="236"/>
        <v>1.6202243558389728E-2</v>
      </c>
    </row>
    <row r="350" spans="1:44" ht="15.75" thickBot="1" x14ac:dyDescent="0.3">
      <c r="A350" s="24" t="s">
        <v>64</v>
      </c>
      <c r="B350" s="49">
        <f>'Parameter Input'!B198</f>
        <v>120000</v>
      </c>
      <c r="C350" s="50">
        <f>'Parameter Input'!C198</f>
        <v>120000</v>
      </c>
      <c r="D350" s="1" t="s">
        <v>65</v>
      </c>
      <c r="L350" s="56">
        <f>'Parameter Input'!E198</f>
        <v>17</v>
      </c>
      <c r="M350" s="57">
        <v>0</v>
      </c>
      <c r="N350" s="57">
        <v>1</v>
      </c>
      <c r="O350" s="57">
        <f>'Parameter Input'!F198</f>
        <v>0.9</v>
      </c>
      <c r="P350" s="58">
        <f>'Parameter Input'!G198</f>
        <v>0.4</v>
      </c>
      <c r="Q350" s="4">
        <f t="shared" si="238"/>
        <v>0.99780374543478534</v>
      </c>
      <c r="R350" s="4">
        <f t="shared" si="238"/>
        <v>0.99685359315256394</v>
      </c>
      <c r="S350" s="4">
        <f t="shared" si="238"/>
        <v>0.99549347132349975</v>
      </c>
      <c r="T350" s="4">
        <f t="shared" si="238"/>
        <v>0.99354772139898062</v>
      </c>
      <c r="U350" s="4">
        <f t="shared" si="238"/>
        <v>0.99076681540580536</v>
      </c>
      <c r="V350" s="4">
        <f t="shared" si="238"/>
        <v>0.9867978615748374</v>
      </c>
      <c r="W350" s="4">
        <f t="shared" si="238"/>
        <v>0.98114509762858249</v>
      </c>
      <c r="X350" s="4">
        <f t="shared" si="238"/>
        <v>0.97311898315872036</v>
      </c>
      <c r="Y350" s="4">
        <f t="shared" si="238"/>
        <v>0.96177484161592774</v>
      </c>
      <c r="Z350" s="4">
        <f t="shared" si="238"/>
        <v>0.94584787155511363</v>
      </c>
      <c r="AA350" s="4">
        <f t="shared" si="238"/>
        <v>0.92370360150141495</v>
      </c>
      <c r="AB350" s="4">
        <f t="shared" si="238"/>
        <v>0.89334463567658451</v>
      </c>
      <c r="AC350" s="4">
        <f t="shared" si="238"/>
        <v>0.85254543874327005</v>
      </c>
      <c r="AD350" s="4">
        <f t="shared" si="238"/>
        <v>0.79921300652623883</v>
      </c>
      <c r="AE350" s="4">
        <f t="shared" si="238"/>
        <v>0.73204982249993378</v>
      </c>
      <c r="AF350" s="4">
        <f t="shared" si="238"/>
        <v>0.65145592958786691</v>
      </c>
      <c r="AG350" s="4">
        <f t="shared" si="235"/>
        <v>0.56032247880849573</v>
      </c>
      <c r="AH350" s="4">
        <f t="shared" si="235"/>
        <v>0.46411326873185343</v>
      </c>
      <c r="AI350" s="4">
        <f t="shared" si="235"/>
        <v>0.36979727595523937</v>
      </c>
      <c r="AJ350" s="4">
        <f t="shared" si="236"/>
        <v>0.28393948637231203</v>
      </c>
      <c r="AK350" s="4">
        <f t="shared" si="236"/>
        <v>0.21097259161117732</v>
      </c>
      <c r="AL350" s="4">
        <f t="shared" si="236"/>
        <v>0.15253917653798199</v>
      </c>
      <c r="AM350" s="4">
        <f t="shared" si="236"/>
        <v>0.10795188737709993</v>
      </c>
      <c r="AN350" s="4">
        <f t="shared" si="236"/>
        <v>7.5176653938091809E-2</v>
      </c>
      <c r="AO350" s="4">
        <f t="shared" si="236"/>
        <v>5.1742836177502194E-2</v>
      </c>
      <c r="AP350" s="4">
        <f t="shared" si="236"/>
        <v>3.5319190625345942E-2</v>
      </c>
      <c r="AQ350" s="4">
        <f t="shared" si="236"/>
        <v>2.3969442072658165E-2</v>
      </c>
      <c r="AR350" s="4">
        <f t="shared" si="236"/>
        <v>1.6202243558389728E-2</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39">A334</f>
        <v>Capex vehicle</v>
      </c>
      <c r="B354" s="62">
        <f t="shared" ref="B354:B363" si="240">$B334+($C334-$B334)*(1-Q334)</f>
        <v>19490116.854456533</v>
      </c>
      <c r="C354" s="62">
        <f t="shared" ref="C354:C363" si="241">$B334+($C334-$B334)*(1-R334)</f>
        <v>19485841.169186536</v>
      </c>
      <c r="D354" s="62">
        <f t="shared" ref="D354:D363" si="242">$B334+($C334-$B334)*(1-S334)</f>
        <v>19479720.62095575</v>
      </c>
      <c r="E354" s="62">
        <f t="shared" ref="E354:E363" si="243">$B334+($C334-$B334)*(1-T334)</f>
        <v>19470964.746295411</v>
      </c>
      <c r="F354" s="62">
        <f t="shared" ref="F354:F363" si="244">$B334+($C334-$B334)*(1-U334)</f>
        <v>19458450.669326123</v>
      </c>
      <c r="G354" s="62">
        <f t="shared" ref="G354:G363" si="245">$B334+($C334-$B334)*(1-V334)</f>
        <v>19440590.37708677</v>
      </c>
      <c r="H354" s="62">
        <f t="shared" ref="H354:H363" si="246">$B334+($C334-$B334)*(1-W334)</f>
        <v>19415152.939328622</v>
      </c>
      <c r="I354" s="62">
        <f t="shared" ref="I354:I363" si="247">$B334+($C334-$B334)*(1-X334)</f>
        <v>19379035.42421424</v>
      </c>
      <c r="J354" s="62">
        <f t="shared" ref="J354:J363" si="248">$B334+($C334-$B334)*(1-Y334)</f>
        <v>19327986.787271675</v>
      </c>
      <c r="K354" s="62">
        <f t="shared" ref="K354:K363" si="249">$B334+($C334-$B334)*(1-Z334)</f>
        <v>19256315.421998013</v>
      </c>
      <c r="L354" s="62">
        <f t="shared" ref="L354:L363" si="250">$B334+($C334-$B334)*(1-AA334)</f>
        <v>19156666.206756368</v>
      </c>
      <c r="M354" s="62">
        <f t="shared" ref="M354:M363" si="251">$B334+($C334-$B334)*(1-AB334)</f>
        <v>19020050.860544629</v>
      </c>
      <c r="N354" s="62">
        <f t="shared" ref="N354:N363" si="252">$B334+($C334-$B334)*(1-AC334)</f>
        <v>18836454.474344715</v>
      </c>
      <c r="O354" s="62">
        <f t="shared" ref="O354:O363" si="253">$B334+($C334-$B334)*(1-AD334)</f>
        <v>18596458.529368076</v>
      </c>
      <c r="P354" s="62">
        <f t="shared" ref="P354:P363" si="254">$B334+($C334-$B334)*(1-AE334)</f>
        <v>18294224.201249704</v>
      </c>
      <c r="Q354" s="62">
        <f t="shared" ref="Q354:Q363" si="255">$B334+($C334-$B334)*(1-AF334)</f>
        <v>17931551.6831454</v>
      </c>
      <c r="R354" s="62">
        <f t="shared" ref="R354:R363" si="256">$B334+($C334-$B334)*(1-AG334)</f>
        <v>17521451.154638231</v>
      </c>
      <c r="S354" s="62">
        <f t="shared" ref="S354:S363" si="257">$B334+($C334-$B334)*(1-AH334)</f>
        <v>17088509.709293339</v>
      </c>
      <c r="T354" s="62">
        <f t="shared" ref="T354:T363" si="258">$B334+($C334-$B334)*(1-AI334)</f>
        <v>16664087.741798578</v>
      </c>
      <c r="U354" s="62">
        <f t="shared" ref="U354:U363" si="259">$B334+($C334-$B334)*(1-AJ334)</f>
        <v>16277727.688675404</v>
      </c>
      <c r="V354" s="62">
        <f t="shared" ref="V354:V363" si="260">$B334+($C334-$B334)*(1-AK334)</f>
        <v>15949376.662250299</v>
      </c>
      <c r="W354" s="62">
        <f t="shared" ref="W354:W363" si="261">$B334+($C334-$B334)*(1-AL334)</f>
        <v>15686426.294420918</v>
      </c>
      <c r="X354" s="62">
        <f t="shared" ref="X354:X363" si="262">$B334+($C334-$B334)*(1-AM334)</f>
        <v>15485783.493196949</v>
      </c>
      <c r="Y354" s="62">
        <f t="shared" ref="Y354:Y363" si="263">$B334+($C334-$B334)*(1-AN334)</f>
        <v>15338294.942721413</v>
      </c>
      <c r="Z354" s="62">
        <f t="shared" ref="Z354:Z363" si="264">$B334+($C334-$B334)*(1-AO334)</f>
        <v>15232842.76279876</v>
      </c>
      <c r="AA354" s="62">
        <f t="shared" ref="AA354:AA363" si="265">$B334+($C334-$B334)*(1-AP334)</f>
        <v>15158936.357814057</v>
      </c>
      <c r="AB354" s="62">
        <f t="shared" ref="AB354:AB363" si="266">$B334+($C334-$B334)*(1-AQ334)</f>
        <v>15107862.489326961</v>
      </c>
      <c r="AC354" s="62">
        <f t="shared" ref="AC354:AC363" si="267">$B334+($C334-$B334)*(1-AR334)</f>
        <v>15072910.096012753</v>
      </c>
    </row>
    <row r="355" spans="1:29" x14ac:dyDescent="0.25">
      <c r="A355" s="30" t="str">
        <f t="shared" si="239"/>
        <v>Residual value (vehicle)</v>
      </c>
      <c r="B355" s="62">
        <f t="shared" si="240"/>
        <v>-976153.03364673769</v>
      </c>
      <c r="C355" s="62">
        <f t="shared" si="241"/>
        <v>-976651.86359490396</v>
      </c>
      <c r="D355" s="62">
        <f t="shared" si="242"/>
        <v>-977365.92755516258</v>
      </c>
      <c r="E355" s="62">
        <f t="shared" si="243"/>
        <v>-978387.4462655352</v>
      </c>
      <c r="F355" s="62">
        <f t="shared" si="244"/>
        <v>-979847.4219119522</v>
      </c>
      <c r="G355" s="62">
        <f t="shared" si="245"/>
        <v>-981931.12267321034</v>
      </c>
      <c r="H355" s="62">
        <f t="shared" si="246"/>
        <v>-984898.82374499424</v>
      </c>
      <c r="I355" s="62">
        <f t="shared" si="247"/>
        <v>-989112.53384167177</v>
      </c>
      <c r="J355" s="62">
        <f t="shared" si="248"/>
        <v>-995068.20815163793</v>
      </c>
      <c r="K355" s="62">
        <f t="shared" si="249"/>
        <v>-1003429.8674335653</v>
      </c>
      <c r="L355" s="62">
        <f t="shared" si="250"/>
        <v>-1015055.6092117572</v>
      </c>
      <c r="M355" s="62">
        <f t="shared" si="251"/>
        <v>-1030994.0662697931</v>
      </c>
      <c r="N355" s="62">
        <f t="shared" si="252"/>
        <v>-1052413.6446597832</v>
      </c>
      <c r="O355" s="62">
        <f t="shared" si="253"/>
        <v>-1080413.1715737246</v>
      </c>
      <c r="P355" s="62">
        <f t="shared" si="254"/>
        <v>-1115673.8431875347</v>
      </c>
      <c r="Q355" s="62">
        <f t="shared" si="255"/>
        <v>-1157985.6369663698</v>
      </c>
      <c r="R355" s="62">
        <f t="shared" si="256"/>
        <v>-1205830.6986255397</v>
      </c>
      <c r="S355" s="62">
        <f t="shared" si="257"/>
        <v>-1256340.533915777</v>
      </c>
      <c r="T355" s="62">
        <f t="shared" si="258"/>
        <v>-1305856.4301234994</v>
      </c>
      <c r="U355" s="62">
        <f t="shared" si="259"/>
        <v>-1350931.7696545362</v>
      </c>
      <c r="V355" s="62">
        <f t="shared" si="260"/>
        <v>-1389239.389404132</v>
      </c>
      <c r="W355" s="62">
        <f t="shared" si="261"/>
        <v>-1419916.9323175594</v>
      </c>
      <c r="X355" s="62">
        <f t="shared" si="262"/>
        <v>-1443325.2591270225</v>
      </c>
      <c r="Y355" s="62">
        <f t="shared" si="263"/>
        <v>-1460532.2566825019</v>
      </c>
      <c r="Z355" s="62">
        <f t="shared" si="264"/>
        <v>-1472835.0110068114</v>
      </c>
      <c r="AA355" s="62">
        <f t="shared" si="265"/>
        <v>-1481457.4249216933</v>
      </c>
      <c r="AB355" s="62">
        <f t="shared" si="266"/>
        <v>-1487416.0429118546</v>
      </c>
      <c r="AC355" s="62">
        <f t="shared" si="267"/>
        <v>-1491493.8221318454</v>
      </c>
    </row>
    <row r="356" spans="1:29" x14ac:dyDescent="0.25">
      <c r="A356" s="30" t="str">
        <f t="shared" si="239"/>
        <v>Capex costumization</v>
      </c>
      <c r="B356" s="62">
        <f t="shared" si="240"/>
        <v>1000000</v>
      </c>
      <c r="C356" s="62">
        <f t="shared" si="241"/>
        <v>1000000</v>
      </c>
      <c r="D356" s="62">
        <f t="shared" si="242"/>
        <v>1000000</v>
      </c>
      <c r="E356" s="62">
        <f t="shared" si="243"/>
        <v>1000000</v>
      </c>
      <c r="F356" s="62">
        <f t="shared" si="244"/>
        <v>1000000</v>
      </c>
      <c r="G356" s="62">
        <f t="shared" si="245"/>
        <v>1000000</v>
      </c>
      <c r="H356" s="62">
        <f t="shared" si="246"/>
        <v>1000000</v>
      </c>
      <c r="I356" s="62">
        <f t="shared" si="247"/>
        <v>1000000</v>
      </c>
      <c r="J356" s="62">
        <f t="shared" si="248"/>
        <v>1000000</v>
      </c>
      <c r="K356" s="62">
        <f t="shared" si="249"/>
        <v>1000000</v>
      </c>
      <c r="L356" s="62">
        <f t="shared" si="250"/>
        <v>1000000</v>
      </c>
      <c r="M356" s="62">
        <f t="shared" si="251"/>
        <v>1000000</v>
      </c>
      <c r="N356" s="62">
        <f t="shared" si="252"/>
        <v>1000000</v>
      </c>
      <c r="O356" s="62">
        <f t="shared" si="253"/>
        <v>1000000</v>
      </c>
      <c r="P356" s="62">
        <f t="shared" si="254"/>
        <v>1000000</v>
      </c>
      <c r="Q356" s="62">
        <f t="shared" si="255"/>
        <v>1000000</v>
      </c>
      <c r="R356" s="62">
        <f t="shared" si="256"/>
        <v>1000000</v>
      </c>
      <c r="S356" s="62">
        <f t="shared" si="257"/>
        <v>1000000</v>
      </c>
      <c r="T356" s="62">
        <f t="shared" si="258"/>
        <v>1000000</v>
      </c>
      <c r="U356" s="62">
        <f t="shared" si="259"/>
        <v>1000000</v>
      </c>
      <c r="V356" s="62">
        <f t="shared" si="260"/>
        <v>1000000</v>
      </c>
      <c r="W356" s="62">
        <f t="shared" si="261"/>
        <v>1000000</v>
      </c>
      <c r="X356" s="62">
        <f t="shared" si="262"/>
        <v>1000000</v>
      </c>
      <c r="Y356" s="62">
        <f t="shared" si="263"/>
        <v>1000000</v>
      </c>
      <c r="Z356" s="62">
        <f t="shared" si="264"/>
        <v>1000000</v>
      </c>
      <c r="AA356" s="62">
        <f t="shared" si="265"/>
        <v>1000000</v>
      </c>
      <c r="AB356" s="62">
        <f t="shared" si="266"/>
        <v>1000000</v>
      </c>
      <c r="AC356" s="62">
        <f t="shared" si="267"/>
        <v>1000000</v>
      </c>
    </row>
    <row r="357" spans="1:29" x14ac:dyDescent="0.25">
      <c r="A357" s="30" t="str">
        <f t="shared" si="239"/>
        <v>Residual value (costumization)</v>
      </c>
      <c r="B357" s="62">
        <f t="shared" si="240"/>
        <v>-100000</v>
      </c>
      <c r="C357" s="62">
        <f t="shared" si="241"/>
        <v>-100000</v>
      </c>
      <c r="D357" s="62">
        <f t="shared" si="242"/>
        <v>-100000</v>
      </c>
      <c r="E357" s="62">
        <f t="shared" si="243"/>
        <v>-100000</v>
      </c>
      <c r="F357" s="62">
        <f t="shared" si="244"/>
        <v>-100000</v>
      </c>
      <c r="G357" s="62">
        <f t="shared" si="245"/>
        <v>-100000</v>
      </c>
      <c r="H357" s="62">
        <f t="shared" si="246"/>
        <v>-100000</v>
      </c>
      <c r="I357" s="62">
        <f t="shared" si="247"/>
        <v>-100000</v>
      </c>
      <c r="J357" s="62">
        <f t="shared" si="248"/>
        <v>-100000</v>
      </c>
      <c r="K357" s="62">
        <f t="shared" si="249"/>
        <v>-100000</v>
      </c>
      <c r="L357" s="62">
        <f t="shared" si="250"/>
        <v>-100000</v>
      </c>
      <c r="M357" s="62">
        <f t="shared" si="251"/>
        <v>-100000</v>
      </c>
      <c r="N357" s="62">
        <f t="shared" si="252"/>
        <v>-100000</v>
      </c>
      <c r="O357" s="62">
        <f t="shared" si="253"/>
        <v>-100000</v>
      </c>
      <c r="P357" s="62">
        <f t="shared" si="254"/>
        <v>-100000</v>
      </c>
      <c r="Q357" s="62">
        <f t="shared" si="255"/>
        <v>-100000</v>
      </c>
      <c r="R357" s="62">
        <f t="shared" si="256"/>
        <v>-100000</v>
      </c>
      <c r="S357" s="62">
        <f t="shared" si="257"/>
        <v>-100000</v>
      </c>
      <c r="T357" s="62">
        <f t="shared" si="258"/>
        <v>-100000</v>
      </c>
      <c r="U357" s="62">
        <f t="shared" si="259"/>
        <v>-100000</v>
      </c>
      <c r="V357" s="62">
        <f t="shared" si="260"/>
        <v>-100000</v>
      </c>
      <c r="W357" s="62">
        <f t="shared" si="261"/>
        <v>-100000</v>
      </c>
      <c r="X357" s="62">
        <f t="shared" si="262"/>
        <v>-100000</v>
      </c>
      <c r="Y357" s="62">
        <f t="shared" si="263"/>
        <v>-100000</v>
      </c>
      <c r="Z357" s="62">
        <f t="shared" si="264"/>
        <v>-100000</v>
      </c>
      <c r="AA357" s="62">
        <f t="shared" si="265"/>
        <v>-100000</v>
      </c>
      <c r="AB357" s="62">
        <f t="shared" si="266"/>
        <v>-100000</v>
      </c>
      <c r="AC357" s="62">
        <f t="shared" si="267"/>
        <v>-100000</v>
      </c>
    </row>
    <row r="358" spans="1:29" x14ac:dyDescent="0.25">
      <c r="A358" s="30" t="str">
        <f t="shared" si="239"/>
        <v>WACC</v>
      </c>
      <c r="B358" s="62">
        <f t="shared" si="240"/>
        <v>0.06</v>
      </c>
      <c r="C358" s="62">
        <f t="shared" si="241"/>
        <v>0.06</v>
      </c>
      <c r="D358" s="62">
        <f t="shared" si="242"/>
        <v>0.06</v>
      </c>
      <c r="E358" s="62">
        <f t="shared" si="243"/>
        <v>0.06</v>
      </c>
      <c r="F358" s="62">
        <f t="shared" si="244"/>
        <v>0.06</v>
      </c>
      <c r="G358" s="62">
        <f t="shared" si="245"/>
        <v>0.06</v>
      </c>
      <c r="H358" s="62">
        <f t="shared" si="246"/>
        <v>0.06</v>
      </c>
      <c r="I358" s="62">
        <f t="shared" si="247"/>
        <v>0.06</v>
      </c>
      <c r="J358" s="62">
        <f t="shared" si="248"/>
        <v>0.06</v>
      </c>
      <c r="K358" s="62">
        <f t="shared" si="249"/>
        <v>0.06</v>
      </c>
      <c r="L358" s="62">
        <f t="shared" si="250"/>
        <v>0.06</v>
      </c>
      <c r="M358" s="62">
        <f t="shared" si="251"/>
        <v>0.06</v>
      </c>
      <c r="N358" s="62">
        <f t="shared" si="252"/>
        <v>0.06</v>
      </c>
      <c r="O358" s="62">
        <f t="shared" si="253"/>
        <v>0.06</v>
      </c>
      <c r="P358" s="62">
        <f t="shared" si="254"/>
        <v>0.06</v>
      </c>
      <c r="Q358" s="62">
        <f t="shared" si="255"/>
        <v>0.06</v>
      </c>
      <c r="R358" s="62">
        <f t="shared" si="256"/>
        <v>0.06</v>
      </c>
      <c r="S358" s="62">
        <f t="shared" si="257"/>
        <v>0.06</v>
      </c>
      <c r="T358" s="62">
        <f t="shared" si="258"/>
        <v>0.06</v>
      </c>
      <c r="U358" s="62">
        <f t="shared" si="259"/>
        <v>0.06</v>
      </c>
      <c r="V358" s="62">
        <f t="shared" si="260"/>
        <v>0.06</v>
      </c>
      <c r="W358" s="62">
        <f t="shared" si="261"/>
        <v>0.06</v>
      </c>
      <c r="X358" s="62">
        <f t="shared" si="262"/>
        <v>0.06</v>
      </c>
      <c r="Y358" s="62">
        <f t="shared" si="263"/>
        <v>0.06</v>
      </c>
      <c r="Z358" s="62">
        <f t="shared" si="264"/>
        <v>0.06</v>
      </c>
      <c r="AA358" s="62">
        <f t="shared" si="265"/>
        <v>0.06</v>
      </c>
      <c r="AB358" s="62">
        <f t="shared" si="266"/>
        <v>0.06</v>
      </c>
      <c r="AC358" s="62">
        <f t="shared" si="267"/>
        <v>0.06</v>
      </c>
    </row>
    <row r="359" spans="1:29" x14ac:dyDescent="0.25">
      <c r="A359" s="30" t="str">
        <f t="shared" si="239"/>
        <v>Opex fix (admin, crew, insurance)</v>
      </c>
      <c r="B359" s="62">
        <f t="shared" si="240"/>
        <v>1208235.294117647</v>
      </c>
      <c r="C359" s="62">
        <f t="shared" si="241"/>
        <v>1208235.294117647</v>
      </c>
      <c r="D359" s="62">
        <f t="shared" si="242"/>
        <v>1208235.294117647</v>
      </c>
      <c r="E359" s="62">
        <f t="shared" si="243"/>
        <v>1208235.294117647</v>
      </c>
      <c r="F359" s="62">
        <f t="shared" si="244"/>
        <v>1208235.294117647</v>
      </c>
      <c r="G359" s="62">
        <f t="shared" si="245"/>
        <v>1208235.294117647</v>
      </c>
      <c r="H359" s="62">
        <f t="shared" si="246"/>
        <v>1208235.294117647</v>
      </c>
      <c r="I359" s="62">
        <f t="shared" si="247"/>
        <v>1208235.294117647</v>
      </c>
      <c r="J359" s="62">
        <f t="shared" si="248"/>
        <v>1208235.294117647</v>
      </c>
      <c r="K359" s="62">
        <f t="shared" si="249"/>
        <v>1208235.294117647</v>
      </c>
      <c r="L359" s="62">
        <f t="shared" si="250"/>
        <v>1208235.294117647</v>
      </c>
      <c r="M359" s="62">
        <f t="shared" si="251"/>
        <v>1208235.294117647</v>
      </c>
      <c r="N359" s="62">
        <f t="shared" si="252"/>
        <v>1208235.294117647</v>
      </c>
      <c r="O359" s="62">
        <f t="shared" si="253"/>
        <v>1208235.294117647</v>
      </c>
      <c r="P359" s="62">
        <f t="shared" si="254"/>
        <v>1208235.294117647</v>
      </c>
      <c r="Q359" s="62">
        <f t="shared" si="255"/>
        <v>1208235.294117647</v>
      </c>
      <c r="R359" s="62">
        <f t="shared" si="256"/>
        <v>1208235.294117647</v>
      </c>
      <c r="S359" s="62">
        <f t="shared" si="257"/>
        <v>1208235.294117647</v>
      </c>
      <c r="T359" s="62">
        <f t="shared" si="258"/>
        <v>1208235.294117647</v>
      </c>
      <c r="U359" s="62">
        <f t="shared" si="259"/>
        <v>1208235.294117647</v>
      </c>
      <c r="V359" s="62">
        <f t="shared" si="260"/>
        <v>1208235.294117647</v>
      </c>
      <c r="W359" s="62">
        <f t="shared" si="261"/>
        <v>1208235.294117647</v>
      </c>
      <c r="X359" s="62">
        <f t="shared" si="262"/>
        <v>1208235.294117647</v>
      </c>
      <c r="Y359" s="62">
        <f t="shared" si="263"/>
        <v>1208235.294117647</v>
      </c>
      <c r="Z359" s="62">
        <f t="shared" si="264"/>
        <v>1208235.294117647</v>
      </c>
      <c r="AA359" s="62">
        <f t="shared" si="265"/>
        <v>1208235.294117647</v>
      </c>
      <c r="AB359" s="62">
        <f t="shared" si="266"/>
        <v>1208235.294117647</v>
      </c>
      <c r="AC359" s="62">
        <f t="shared" si="267"/>
        <v>1208235.294117647</v>
      </c>
    </row>
    <row r="360" spans="1:29" x14ac:dyDescent="0.25">
      <c r="A360" s="30" t="str">
        <f t="shared" si="239"/>
        <v>Opex maintenance &amp; repair</v>
      </c>
      <c r="B360" s="62">
        <f t="shared" si="240"/>
        <v>488235.29411764705</v>
      </c>
      <c r="C360" s="62">
        <f t="shared" si="241"/>
        <v>488235.29411764705</v>
      </c>
      <c r="D360" s="62">
        <f t="shared" si="242"/>
        <v>488235.29411764705</v>
      </c>
      <c r="E360" s="62">
        <f t="shared" si="243"/>
        <v>488235.29411764705</v>
      </c>
      <c r="F360" s="62">
        <f t="shared" si="244"/>
        <v>488235.29411764705</v>
      </c>
      <c r="G360" s="62">
        <f t="shared" si="245"/>
        <v>488235.29411764705</v>
      </c>
      <c r="H360" s="62">
        <f t="shared" si="246"/>
        <v>488235.29411764705</v>
      </c>
      <c r="I360" s="62">
        <f t="shared" si="247"/>
        <v>488235.29411764705</v>
      </c>
      <c r="J360" s="62">
        <f t="shared" si="248"/>
        <v>488235.29411764705</v>
      </c>
      <c r="K360" s="62">
        <f t="shared" si="249"/>
        <v>488235.29411764705</v>
      </c>
      <c r="L360" s="62">
        <f t="shared" si="250"/>
        <v>488235.29411764705</v>
      </c>
      <c r="M360" s="62">
        <f t="shared" si="251"/>
        <v>488235.29411764705</v>
      </c>
      <c r="N360" s="62">
        <f t="shared" si="252"/>
        <v>488235.29411764705</v>
      </c>
      <c r="O360" s="62">
        <f t="shared" si="253"/>
        <v>488235.29411764705</v>
      </c>
      <c r="P360" s="62">
        <f t="shared" si="254"/>
        <v>488235.29411764705</v>
      </c>
      <c r="Q360" s="62">
        <f t="shared" si="255"/>
        <v>488235.29411764705</v>
      </c>
      <c r="R360" s="62">
        <f t="shared" si="256"/>
        <v>488235.29411764705</v>
      </c>
      <c r="S360" s="62">
        <f t="shared" si="257"/>
        <v>488235.29411764705</v>
      </c>
      <c r="T360" s="62">
        <f t="shared" si="258"/>
        <v>488235.29411764705</v>
      </c>
      <c r="U360" s="62">
        <f t="shared" si="259"/>
        <v>488235.29411764705</v>
      </c>
      <c r="V360" s="62">
        <f t="shared" si="260"/>
        <v>488235.29411764705</v>
      </c>
      <c r="W360" s="62">
        <f t="shared" si="261"/>
        <v>488235.29411764705</v>
      </c>
      <c r="X360" s="62">
        <f t="shared" si="262"/>
        <v>488235.29411764705</v>
      </c>
      <c r="Y360" s="62">
        <f t="shared" si="263"/>
        <v>488235.29411764705</v>
      </c>
      <c r="Z360" s="62">
        <f t="shared" si="264"/>
        <v>488235.29411764705</v>
      </c>
      <c r="AA360" s="62">
        <f t="shared" si="265"/>
        <v>488235.29411764705</v>
      </c>
      <c r="AB360" s="62">
        <f t="shared" si="266"/>
        <v>488235.29411764705</v>
      </c>
      <c r="AC360" s="62">
        <f t="shared" si="267"/>
        <v>488235.29411764705</v>
      </c>
    </row>
    <row r="361" spans="1:29" x14ac:dyDescent="0.25">
      <c r="A361" s="30" t="str">
        <f t="shared" si="239"/>
        <v>Opex var (mode-fees)</v>
      </c>
      <c r="B361" s="62">
        <f t="shared" si="240"/>
        <v>0.81280569096848254</v>
      </c>
      <c r="C361" s="62">
        <f t="shared" si="241"/>
        <v>0.81280569096848254</v>
      </c>
      <c r="D361" s="62">
        <f t="shared" si="242"/>
        <v>0.81280569096848254</v>
      </c>
      <c r="E361" s="62">
        <f t="shared" si="243"/>
        <v>0.81280569096848254</v>
      </c>
      <c r="F361" s="62">
        <f t="shared" si="244"/>
        <v>0.81280569096848254</v>
      </c>
      <c r="G361" s="62">
        <f t="shared" si="245"/>
        <v>0.81280569096848254</v>
      </c>
      <c r="H361" s="62">
        <f t="shared" si="246"/>
        <v>0.81280569096848254</v>
      </c>
      <c r="I361" s="62">
        <f t="shared" si="247"/>
        <v>0.81280569096848254</v>
      </c>
      <c r="J361" s="62">
        <f t="shared" si="248"/>
        <v>0.81280569096848254</v>
      </c>
      <c r="K361" s="62">
        <f t="shared" si="249"/>
        <v>0.81280569096848254</v>
      </c>
      <c r="L361" s="62">
        <f t="shared" si="250"/>
        <v>0.81280569096848254</v>
      </c>
      <c r="M361" s="62">
        <f t="shared" si="251"/>
        <v>0.81280569096848254</v>
      </c>
      <c r="N361" s="62">
        <f t="shared" si="252"/>
        <v>0.81280569096848254</v>
      </c>
      <c r="O361" s="62">
        <f t="shared" si="253"/>
        <v>0.81280569096848254</v>
      </c>
      <c r="P361" s="62">
        <f t="shared" si="254"/>
        <v>0.81280569096848254</v>
      </c>
      <c r="Q361" s="62">
        <f t="shared" si="255"/>
        <v>0.81280569096848254</v>
      </c>
      <c r="R361" s="62">
        <f t="shared" si="256"/>
        <v>0.81280569096848254</v>
      </c>
      <c r="S361" s="62">
        <f t="shared" si="257"/>
        <v>0.81280569096848254</v>
      </c>
      <c r="T361" s="62">
        <f t="shared" si="258"/>
        <v>0.81280569096848254</v>
      </c>
      <c r="U361" s="62">
        <f t="shared" si="259"/>
        <v>0.81280569096848254</v>
      </c>
      <c r="V361" s="62">
        <f t="shared" si="260"/>
        <v>0.81280569096848254</v>
      </c>
      <c r="W361" s="62">
        <f t="shared" si="261"/>
        <v>0.81280569096848254</v>
      </c>
      <c r="X361" s="62">
        <f t="shared" si="262"/>
        <v>0.81280569096848254</v>
      </c>
      <c r="Y361" s="62">
        <f t="shared" si="263"/>
        <v>0.81280569096848254</v>
      </c>
      <c r="Z361" s="62">
        <f t="shared" si="264"/>
        <v>0.81280569096848254</v>
      </c>
      <c r="AA361" s="62">
        <f t="shared" si="265"/>
        <v>0.81280569096848254</v>
      </c>
      <c r="AB361" s="62">
        <f t="shared" si="266"/>
        <v>0.81280569096848254</v>
      </c>
      <c r="AC361" s="62">
        <f t="shared" si="267"/>
        <v>0.81280569096848254</v>
      </c>
    </row>
    <row r="362" spans="1:29" x14ac:dyDescent="0.25">
      <c r="A362" s="30" t="str">
        <f t="shared" si="239"/>
        <v>Fuel Economy</v>
      </c>
      <c r="B362" s="62">
        <f t="shared" si="240"/>
        <v>646.89677603543487</v>
      </c>
      <c r="C362" s="62">
        <f t="shared" si="241"/>
        <v>646.85211887817047</v>
      </c>
      <c r="D362" s="62">
        <f t="shared" si="242"/>
        <v>646.78819315220449</v>
      </c>
      <c r="E362" s="62">
        <f t="shared" si="243"/>
        <v>646.6967429057521</v>
      </c>
      <c r="F362" s="62">
        <f t="shared" si="244"/>
        <v>646.5660403240729</v>
      </c>
      <c r="G362" s="62">
        <f t="shared" si="245"/>
        <v>646.37949949401741</v>
      </c>
      <c r="H362" s="62">
        <f t="shared" si="246"/>
        <v>646.11381958854338</v>
      </c>
      <c r="I362" s="62">
        <f t="shared" si="247"/>
        <v>645.73659220845991</v>
      </c>
      <c r="J362" s="62">
        <f t="shared" si="248"/>
        <v>645.20341755594859</v>
      </c>
      <c r="K362" s="62">
        <f t="shared" si="249"/>
        <v>644.4548499630904</v>
      </c>
      <c r="L362" s="62">
        <f t="shared" si="250"/>
        <v>643.41406927056653</v>
      </c>
      <c r="M362" s="62">
        <f t="shared" si="251"/>
        <v>641.98719787679943</v>
      </c>
      <c r="N362" s="62">
        <f t="shared" si="252"/>
        <v>640.0696356209337</v>
      </c>
      <c r="O362" s="62">
        <f t="shared" si="253"/>
        <v>637.56301130673319</v>
      </c>
      <c r="P362" s="62">
        <f t="shared" si="254"/>
        <v>634.40634165749691</v>
      </c>
      <c r="Q362" s="62">
        <f t="shared" si="255"/>
        <v>630.6184286906298</v>
      </c>
      <c r="R362" s="62">
        <f t="shared" si="256"/>
        <v>626.33515650399931</v>
      </c>
      <c r="S362" s="62">
        <f t="shared" si="257"/>
        <v>621.81332363039712</v>
      </c>
      <c r="T362" s="62">
        <f t="shared" si="258"/>
        <v>617.38047196989623</v>
      </c>
      <c r="U362" s="62">
        <f t="shared" si="259"/>
        <v>613.34515585949862</v>
      </c>
      <c r="V362" s="62">
        <f t="shared" si="260"/>
        <v>609.91571180572532</v>
      </c>
      <c r="W362" s="62">
        <f t="shared" si="261"/>
        <v>607.1693412972852</v>
      </c>
      <c r="X362" s="62">
        <f t="shared" si="262"/>
        <v>605.0737387067237</v>
      </c>
      <c r="Y362" s="62">
        <f t="shared" si="263"/>
        <v>603.53330273509027</v>
      </c>
      <c r="Z362" s="62">
        <f t="shared" si="264"/>
        <v>602.43191330034256</v>
      </c>
      <c r="AA362" s="62">
        <f t="shared" si="265"/>
        <v>601.66000195939125</v>
      </c>
      <c r="AB362" s="62">
        <f t="shared" si="266"/>
        <v>601.12656377741496</v>
      </c>
      <c r="AC362" s="62">
        <f t="shared" si="267"/>
        <v>600.7615054472443</v>
      </c>
    </row>
    <row r="363" spans="1:29" x14ac:dyDescent="0.25">
      <c r="A363" s="30" t="str">
        <f t="shared" si="239"/>
        <v>Fuel Cost</v>
      </c>
      <c r="B363" s="62">
        <f t="shared" si="240"/>
        <v>0.46007018325085908</v>
      </c>
      <c r="C363" s="62">
        <f t="shared" si="241"/>
        <v>0.45976753828113842</v>
      </c>
      <c r="D363" s="62">
        <f t="shared" si="242"/>
        <v>0.45933430874785641</v>
      </c>
      <c r="E363" s="62">
        <f t="shared" si="243"/>
        <v>0.45871454343443391</v>
      </c>
      <c r="F363" s="62">
        <f t="shared" si="244"/>
        <v>0.45782876204354683</v>
      </c>
      <c r="G363" s="62">
        <f t="shared" si="245"/>
        <v>0.45656456057345435</v>
      </c>
      <c r="H363" s="62">
        <f t="shared" si="246"/>
        <v>0.45476402753747325</v>
      </c>
      <c r="I363" s="62">
        <f t="shared" si="247"/>
        <v>0.4522075287360105</v>
      </c>
      <c r="J363" s="62">
        <f t="shared" si="248"/>
        <v>0.44859416334399271</v>
      </c>
      <c r="K363" s="62">
        <f t="shared" si="249"/>
        <v>0.44352106352411141</v>
      </c>
      <c r="L363" s="62">
        <f t="shared" si="250"/>
        <v>0.43646761318221511</v>
      </c>
      <c r="M363" s="62">
        <f t="shared" si="251"/>
        <v>0.42679759663357736</v>
      </c>
      <c r="N363" s="62">
        <f t="shared" si="252"/>
        <v>0.4138021305892895</v>
      </c>
      <c r="O363" s="62">
        <f t="shared" si="253"/>
        <v>0.39681454592999976</v>
      </c>
      <c r="P363" s="62">
        <f t="shared" si="254"/>
        <v>0.37542155432610358</v>
      </c>
      <c r="Q363" s="62">
        <f t="shared" si="255"/>
        <v>0.34975057848734814</v>
      </c>
      <c r="R363" s="62">
        <f t="shared" si="256"/>
        <v>0.32072251533605989</v>
      </c>
      <c r="S363" s="62">
        <f t="shared" si="257"/>
        <v>0.29007770816639111</v>
      </c>
      <c r="T363" s="62">
        <f t="shared" si="258"/>
        <v>0.26003593348231735</v>
      </c>
      <c r="U363" s="62">
        <f t="shared" si="259"/>
        <v>0.23268828762089908</v>
      </c>
      <c r="V363" s="62">
        <f t="shared" si="260"/>
        <v>0.20944668301835428</v>
      </c>
      <c r="W363" s="62">
        <f t="shared" si="261"/>
        <v>0.19083432006727308</v>
      </c>
      <c r="X363" s="62">
        <f t="shared" si="262"/>
        <v>0.17663226105998037</v>
      </c>
      <c r="Y363" s="62">
        <f t="shared" si="263"/>
        <v>0.16619260868284136</v>
      </c>
      <c r="Z363" s="62">
        <f t="shared" si="264"/>
        <v>0.15872840826013385</v>
      </c>
      <c r="AA363" s="62">
        <f t="shared" si="265"/>
        <v>0.15349710607432565</v>
      </c>
      <c r="AB363" s="62">
        <f t="shared" si="266"/>
        <v>0.14988195472297094</v>
      </c>
      <c r="AC363" s="62">
        <f t="shared" si="267"/>
        <v>0.14740792650333712</v>
      </c>
    </row>
    <row r="364" spans="1:29" x14ac:dyDescent="0.25">
      <c r="A364" s="30" t="str">
        <f t="shared" ref="A364" si="268">A344</f>
        <v>Emission Cost</v>
      </c>
      <c r="B364" s="66">
        <f>$B344+($C344-$B344)*(1-Q344)</f>
        <v>3.1561641138930518</v>
      </c>
      <c r="C364" s="66">
        <f t="shared" ref="C364:AC364" si="269">$B344+($C344-$B344)*(1-R344)</f>
        <v>3.1531586766519095</v>
      </c>
      <c r="D364" s="66">
        <f t="shared" si="269"/>
        <v>3.148856460181932</v>
      </c>
      <c r="E364" s="66">
        <f t="shared" si="269"/>
        <v>3.1427018369762418</v>
      </c>
      <c r="F364" s="66">
        <f t="shared" si="269"/>
        <v>3.1339055223302736</v>
      </c>
      <c r="G364" s="66">
        <f t="shared" si="269"/>
        <v>3.1213512803680521</v>
      </c>
      <c r="H364" s="66">
        <f t="shared" si="269"/>
        <v>3.103470959921165</v>
      </c>
      <c r="I364" s="66">
        <f t="shared" si="269"/>
        <v>3.0780834680624944</v>
      </c>
      <c r="J364" s="66">
        <f t="shared" si="269"/>
        <v>3.0422006879024699</v>
      </c>
      <c r="K364" s="66">
        <f t="shared" si="269"/>
        <v>2.9918219119367748</v>
      </c>
      <c r="L364" s="66">
        <f t="shared" si="269"/>
        <v>2.9217771252824751</v>
      </c>
      <c r="M364" s="66">
        <f t="shared" si="269"/>
        <v>2.8257483431601118</v>
      </c>
      <c r="N364" s="66">
        <f t="shared" si="269"/>
        <v>2.6966959500159344</v>
      </c>
      <c r="O364" s="66">
        <f t="shared" si="269"/>
        <v>2.527999541087663</v>
      </c>
      <c r="P364" s="66">
        <f t="shared" si="269"/>
        <v>2.3155549274364571</v>
      </c>
      <c r="Q364" s="66">
        <f t="shared" si="269"/>
        <v>2.0606274892785992</v>
      </c>
      <c r="R364" s="66">
        <f t="shared" si="269"/>
        <v>1.7723622585244727</v>
      </c>
      <c r="S364" s="66">
        <f t="shared" si="269"/>
        <v>1.4680418371398225</v>
      </c>
      <c r="T364" s="66">
        <f t="shared" si="269"/>
        <v>1.1697098724326394</v>
      </c>
      <c r="U364" s="66">
        <f t="shared" si="269"/>
        <v>0.89813214422744192</v>
      </c>
      <c r="V364" s="66">
        <f t="shared" si="269"/>
        <v>0.66732974866522188</v>
      </c>
      <c r="W364" s="66">
        <f t="shared" si="269"/>
        <v>0.48249836418702996</v>
      </c>
      <c r="X364" s="66">
        <f t="shared" si="269"/>
        <v>0.34146381442791984</v>
      </c>
      <c r="Y364" s="66">
        <f t="shared" si="269"/>
        <v>0.23779210936773287</v>
      </c>
      <c r="Z364" s="66">
        <f t="shared" si="269"/>
        <v>0.16366834003345909</v>
      </c>
      <c r="AA364" s="66">
        <f t="shared" si="269"/>
        <v>0.11171852430248297</v>
      </c>
      <c r="AB364" s="66">
        <f t="shared" si="269"/>
        <v>7.5818008547159366E-2</v>
      </c>
      <c r="AC364" s="66">
        <f t="shared" si="269"/>
        <v>5.1249496624470758E-2</v>
      </c>
    </row>
    <row r="365" spans="1:29" x14ac:dyDescent="0.25">
      <c r="A365" s="30" t="str">
        <f>A345</f>
        <v>Lifetime vehicle</v>
      </c>
      <c r="B365" s="62">
        <f>$B345+($C345-$B345)*(1-Q345)</f>
        <v>25</v>
      </c>
      <c r="C365" s="62">
        <f t="shared" ref="C365:L367" si="270">$B345+($C345-$B345)*(1-R345)</f>
        <v>25</v>
      </c>
      <c r="D365" s="62">
        <f t="shared" si="270"/>
        <v>25</v>
      </c>
      <c r="E365" s="62">
        <f t="shared" si="270"/>
        <v>25</v>
      </c>
      <c r="F365" s="62">
        <f t="shared" si="270"/>
        <v>25</v>
      </c>
      <c r="G365" s="62">
        <f t="shared" si="270"/>
        <v>25</v>
      </c>
      <c r="H365" s="62">
        <f t="shared" si="270"/>
        <v>25</v>
      </c>
      <c r="I365" s="62">
        <f t="shared" si="270"/>
        <v>25</v>
      </c>
      <c r="J365" s="62">
        <f t="shared" si="270"/>
        <v>25</v>
      </c>
      <c r="K365" s="62">
        <f t="shared" si="270"/>
        <v>25</v>
      </c>
      <c r="L365" s="62">
        <f t="shared" si="270"/>
        <v>25</v>
      </c>
      <c r="M365" s="62">
        <f t="shared" ref="M365:V367" si="271">$B345+($C345-$B345)*(1-AB345)</f>
        <v>25</v>
      </c>
      <c r="N365" s="62">
        <f t="shared" si="271"/>
        <v>25</v>
      </c>
      <c r="O365" s="62">
        <f t="shared" si="271"/>
        <v>25</v>
      </c>
      <c r="P365" s="62">
        <f t="shared" si="271"/>
        <v>25</v>
      </c>
      <c r="Q365" s="62">
        <f t="shared" si="271"/>
        <v>25</v>
      </c>
      <c r="R365" s="62">
        <f t="shared" si="271"/>
        <v>25</v>
      </c>
      <c r="S365" s="62">
        <f t="shared" si="271"/>
        <v>25</v>
      </c>
      <c r="T365" s="62">
        <f t="shared" si="271"/>
        <v>25</v>
      </c>
      <c r="U365" s="62">
        <f t="shared" si="271"/>
        <v>25</v>
      </c>
      <c r="V365" s="62">
        <f t="shared" si="271"/>
        <v>25</v>
      </c>
      <c r="W365" s="62">
        <f t="shared" ref="W365:AC367" si="272">$B345+($C345-$B345)*(1-AL345)</f>
        <v>25</v>
      </c>
      <c r="X365" s="62">
        <f t="shared" si="272"/>
        <v>25</v>
      </c>
      <c r="Y365" s="62">
        <f t="shared" si="272"/>
        <v>25</v>
      </c>
      <c r="Z365" s="62">
        <f t="shared" si="272"/>
        <v>25</v>
      </c>
      <c r="AA365" s="62">
        <f t="shared" si="272"/>
        <v>25</v>
      </c>
      <c r="AB365" s="62">
        <f t="shared" si="272"/>
        <v>25</v>
      </c>
      <c r="AC365" s="62">
        <f t="shared" si="272"/>
        <v>25</v>
      </c>
    </row>
    <row r="366" spans="1:29" x14ac:dyDescent="0.25">
      <c r="A366" s="30" t="str">
        <f>A346</f>
        <v>Lifetime costumization</v>
      </c>
      <c r="B366" s="62">
        <f>$B346+($C346-$B346)*(1-Q346)</f>
        <v>25</v>
      </c>
      <c r="C366" s="62">
        <f t="shared" si="270"/>
        <v>25</v>
      </c>
      <c r="D366" s="62">
        <f t="shared" si="270"/>
        <v>25</v>
      </c>
      <c r="E366" s="62">
        <f t="shared" si="270"/>
        <v>25</v>
      </c>
      <c r="F366" s="62">
        <f t="shared" si="270"/>
        <v>25</v>
      </c>
      <c r="G366" s="62">
        <f t="shared" si="270"/>
        <v>25</v>
      </c>
      <c r="H366" s="62">
        <f t="shared" si="270"/>
        <v>25</v>
      </c>
      <c r="I366" s="62">
        <f t="shared" si="270"/>
        <v>25</v>
      </c>
      <c r="J366" s="62">
        <f t="shared" si="270"/>
        <v>25</v>
      </c>
      <c r="K366" s="62">
        <f t="shared" si="270"/>
        <v>25</v>
      </c>
      <c r="L366" s="62">
        <f t="shared" si="270"/>
        <v>25</v>
      </c>
      <c r="M366" s="62">
        <f t="shared" si="271"/>
        <v>25</v>
      </c>
      <c r="N366" s="62">
        <f t="shared" si="271"/>
        <v>25</v>
      </c>
      <c r="O366" s="62">
        <f t="shared" si="271"/>
        <v>25</v>
      </c>
      <c r="P366" s="62">
        <f t="shared" si="271"/>
        <v>25</v>
      </c>
      <c r="Q366" s="62">
        <f t="shared" si="271"/>
        <v>25</v>
      </c>
      <c r="R366" s="62">
        <f t="shared" si="271"/>
        <v>25</v>
      </c>
      <c r="S366" s="62">
        <f t="shared" si="271"/>
        <v>25</v>
      </c>
      <c r="T366" s="62">
        <f t="shared" si="271"/>
        <v>25</v>
      </c>
      <c r="U366" s="62">
        <f t="shared" si="271"/>
        <v>25</v>
      </c>
      <c r="V366" s="62">
        <f t="shared" si="271"/>
        <v>25</v>
      </c>
      <c r="W366" s="62">
        <f t="shared" si="272"/>
        <v>25</v>
      </c>
      <c r="X366" s="62">
        <f t="shared" si="272"/>
        <v>25</v>
      </c>
      <c r="Y366" s="62">
        <f t="shared" si="272"/>
        <v>25</v>
      </c>
      <c r="Z366" s="62">
        <f t="shared" si="272"/>
        <v>25</v>
      </c>
      <c r="AA366" s="62">
        <f t="shared" si="272"/>
        <v>25</v>
      </c>
      <c r="AB366" s="62">
        <f t="shared" si="272"/>
        <v>25</v>
      </c>
      <c r="AC366" s="62">
        <f t="shared" si="272"/>
        <v>25</v>
      </c>
    </row>
    <row r="367" spans="1:29" x14ac:dyDescent="0.25">
      <c r="A367" s="30" t="str">
        <f>A347</f>
        <v>Tonnage .</v>
      </c>
      <c r="B367" s="62">
        <f>$B347+($C347-$B347)*(1-Q347)</f>
        <v>9450</v>
      </c>
      <c r="C367" s="62">
        <f t="shared" si="270"/>
        <v>9450</v>
      </c>
      <c r="D367" s="62">
        <f t="shared" si="270"/>
        <v>9450</v>
      </c>
      <c r="E367" s="62">
        <f t="shared" si="270"/>
        <v>9450</v>
      </c>
      <c r="F367" s="62">
        <f t="shared" si="270"/>
        <v>9450</v>
      </c>
      <c r="G367" s="62">
        <f t="shared" si="270"/>
        <v>9450</v>
      </c>
      <c r="H367" s="62">
        <f t="shared" si="270"/>
        <v>9450</v>
      </c>
      <c r="I367" s="62">
        <f t="shared" si="270"/>
        <v>9450</v>
      </c>
      <c r="J367" s="62">
        <f t="shared" si="270"/>
        <v>9450</v>
      </c>
      <c r="K367" s="62">
        <f t="shared" si="270"/>
        <v>9450</v>
      </c>
      <c r="L367" s="62">
        <f t="shared" si="270"/>
        <v>9450</v>
      </c>
      <c r="M367" s="62">
        <f t="shared" si="271"/>
        <v>9450</v>
      </c>
      <c r="N367" s="62">
        <f t="shared" si="271"/>
        <v>9450</v>
      </c>
      <c r="O367" s="62">
        <f t="shared" si="271"/>
        <v>9450</v>
      </c>
      <c r="P367" s="62">
        <f t="shared" si="271"/>
        <v>9450</v>
      </c>
      <c r="Q367" s="62">
        <f t="shared" si="271"/>
        <v>9450</v>
      </c>
      <c r="R367" s="62">
        <f t="shared" si="271"/>
        <v>9450</v>
      </c>
      <c r="S367" s="62">
        <f t="shared" si="271"/>
        <v>9450</v>
      </c>
      <c r="T367" s="62">
        <f t="shared" si="271"/>
        <v>9450</v>
      </c>
      <c r="U367" s="62">
        <f t="shared" si="271"/>
        <v>9450</v>
      </c>
      <c r="V367" s="62">
        <f t="shared" si="271"/>
        <v>9450</v>
      </c>
      <c r="W367" s="62">
        <f t="shared" si="272"/>
        <v>9450</v>
      </c>
      <c r="X367" s="62">
        <f t="shared" si="272"/>
        <v>9450</v>
      </c>
      <c r="Y367" s="62">
        <f t="shared" si="272"/>
        <v>9450</v>
      </c>
      <c r="Z367" s="62">
        <f t="shared" si="272"/>
        <v>9450</v>
      </c>
      <c r="AA367" s="62">
        <f t="shared" si="272"/>
        <v>9450</v>
      </c>
      <c r="AB367" s="62">
        <f t="shared" si="272"/>
        <v>9450</v>
      </c>
      <c r="AC367" s="62">
        <f t="shared" si="272"/>
        <v>9450</v>
      </c>
    </row>
    <row r="368" spans="1:29" x14ac:dyDescent="0.25">
      <c r="A368" s="30" t="str">
        <f>A348</f>
        <v>Market failure (av. utilization)</v>
      </c>
      <c r="B368" s="62">
        <f t="shared" ref="B368:K369" si="273">($B348+($C348-$B348)*(1-Q348))*B$44</f>
        <v>6426.0000000000009</v>
      </c>
      <c r="C368" s="62">
        <f t="shared" si="273"/>
        <v>6426.0000000000009</v>
      </c>
      <c r="D368" s="62">
        <f t="shared" si="273"/>
        <v>6426.0000000000009</v>
      </c>
      <c r="E368" s="62">
        <f t="shared" si="273"/>
        <v>6426.0000000000009</v>
      </c>
      <c r="F368" s="62">
        <f t="shared" si="273"/>
        <v>6426.0000000000009</v>
      </c>
      <c r="G368" s="62">
        <f t="shared" si="273"/>
        <v>6426.0000000000009</v>
      </c>
      <c r="H368" s="62">
        <f t="shared" si="273"/>
        <v>6426.0000000000009</v>
      </c>
      <c r="I368" s="62">
        <f t="shared" si="273"/>
        <v>6426.0000000000009</v>
      </c>
      <c r="J368" s="62">
        <f t="shared" si="273"/>
        <v>6426.0000000000009</v>
      </c>
      <c r="K368" s="62">
        <f t="shared" si="273"/>
        <v>6426.0000000000009</v>
      </c>
      <c r="L368" s="62">
        <f t="shared" ref="L368:U369" si="274">($B348+($C348-$B348)*(1-AA348))*L$44</f>
        <v>6426.0000000000009</v>
      </c>
      <c r="M368" s="62">
        <f t="shared" si="274"/>
        <v>6426.0000000000009</v>
      </c>
      <c r="N368" s="62">
        <f t="shared" si="274"/>
        <v>6426.0000000000009</v>
      </c>
      <c r="O368" s="62">
        <f t="shared" si="274"/>
        <v>6426.0000000000009</v>
      </c>
      <c r="P368" s="62">
        <f t="shared" si="274"/>
        <v>6426.0000000000009</v>
      </c>
      <c r="Q368" s="62">
        <f t="shared" si="274"/>
        <v>6426.0000000000009</v>
      </c>
      <c r="R368" s="62">
        <f t="shared" si="274"/>
        <v>6426.0000000000009</v>
      </c>
      <c r="S368" s="62">
        <f t="shared" si="274"/>
        <v>6426.0000000000009</v>
      </c>
      <c r="T368" s="62">
        <f t="shared" si="274"/>
        <v>6426.0000000000009</v>
      </c>
      <c r="U368" s="62">
        <f t="shared" si="274"/>
        <v>6426.0000000000009</v>
      </c>
      <c r="V368" s="62">
        <f t="shared" ref="V368:AC369" si="275">($B348+($C348-$B348)*(1-AK348))*V$44</f>
        <v>6426.0000000000009</v>
      </c>
      <c r="W368" s="62">
        <f t="shared" si="275"/>
        <v>6426.0000000000009</v>
      </c>
      <c r="X368" s="62">
        <f t="shared" si="275"/>
        <v>6426.0000000000009</v>
      </c>
      <c r="Y368" s="62">
        <f t="shared" si="275"/>
        <v>6426.0000000000009</v>
      </c>
      <c r="Z368" s="62">
        <f t="shared" si="275"/>
        <v>6426.0000000000009</v>
      </c>
      <c r="AA368" s="62">
        <f t="shared" si="275"/>
        <v>6426.0000000000009</v>
      </c>
      <c r="AB368" s="62">
        <f t="shared" si="275"/>
        <v>6426.0000000000009</v>
      </c>
      <c r="AC368" s="62">
        <f t="shared" si="275"/>
        <v>6426.0000000000009</v>
      </c>
    </row>
    <row r="369" spans="1:29" x14ac:dyDescent="0.25">
      <c r="A369" s="30" t="s">
        <v>73</v>
      </c>
      <c r="B369" s="62">
        <f t="shared" si="273"/>
        <v>378</v>
      </c>
      <c r="C369" s="62">
        <f t="shared" si="273"/>
        <v>378</v>
      </c>
      <c r="D369" s="62">
        <f t="shared" si="273"/>
        <v>378</v>
      </c>
      <c r="E369" s="62">
        <f t="shared" si="273"/>
        <v>378</v>
      </c>
      <c r="F369" s="62">
        <f t="shared" si="273"/>
        <v>378</v>
      </c>
      <c r="G369" s="62">
        <f t="shared" si="273"/>
        <v>378</v>
      </c>
      <c r="H369" s="62">
        <f t="shared" si="273"/>
        <v>378</v>
      </c>
      <c r="I369" s="62">
        <f t="shared" si="273"/>
        <v>378</v>
      </c>
      <c r="J369" s="62">
        <f t="shared" si="273"/>
        <v>378</v>
      </c>
      <c r="K369" s="62">
        <f t="shared" si="273"/>
        <v>378</v>
      </c>
      <c r="L369" s="62">
        <f t="shared" si="274"/>
        <v>378</v>
      </c>
      <c r="M369" s="62">
        <f t="shared" si="274"/>
        <v>378</v>
      </c>
      <c r="N369" s="62">
        <f t="shared" si="274"/>
        <v>378</v>
      </c>
      <c r="O369" s="62">
        <f t="shared" si="274"/>
        <v>378</v>
      </c>
      <c r="P369" s="62">
        <f t="shared" si="274"/>
        <v>378</v>
      </c>
      <c r="Q369" s="62">
        <f t="shared" si="274"/>
        <v>378</v>
      </c>
      <c r="R369" s="62">
        <f t="shared" si="274"/>
        <v>378</v>
      </c>
      <c r="S369" s="62">
        <f t="shared" si="274"/>
        <v>378</v>
      </c>
      <c r="T369" s="62">
        <f t="shared" si="274"/>
        <v>378</v>
      </c>
      <c r="U369" s="62">
        <f t="shared" si="274"/>
        <v>378</v>
      </c>
      <c r="V369" s="62">
        <f t="shared" si="275"/>
        <v>378</v>
      </c>
      <c r="W369" s="62">
        <f t="shared" si="275"/>
        <v>378</v>
      </c>
      <c r="X369" s="62">
        <f t="shared" si="275"/>
        <v>378</v>
      </c>
      <c r="Y369" s="62">
        <f t="shared" si="275"/>
        <v>378</v>
      </c>
      <c r="Z369" s="62">
        <f t="shared" si="275"/>
        <v>378</v>
      </c>
      <c r="AA369" s="62">
        <f t="shared" si="275"/>
        <v>378</v>
      </c>
      <c r="AB369" s="62">
        <f t="shared" si="275"/>
        <v>378</v>
      </c>
      <c r="AC369" s="62">
        <f t="shared" si="275"/>
        <v>378</v>
      </c>
    </row>
    <row r="370" spans="1:29" x14ac:dyDescent="0.25">
      <c r="A370" s="30" t="str">
        <f>A350</f>
        <v>Annual Mileage</v>
      </c>
      <c r="B370" s="62">
        <f t="shared" ref="B370:AC370" si="276">$B350+($C350-$B350)*(1-Q350)</f>
        <v>120000</v>
      </c>
      <c r="C370" s="62">
        <f t="shared" si="276"/>
        <v>120000</v>
      </c>
      <c r="D370" s="62">
        <f t="shared" si="276"/>
        <v>120000</v>
      </c>
      <c r="E370" s="62">
        <f t="shared" si="276"/>
        <v>120000</v>
      </c>
      <c r="F370" s="62">
        <f t="shared" si="276"/>
        <v>120000</v>
      </c>
      <c r="G370" s="62">
        <f t="shared" si="276"/>
        <v>120000</v>
      </c>
      <c r="H370" s="62">
        <f t="shared" si="276"/>
        <v>120000</v>
      </c>
      <c r="I370" s="62">
        <f t="shared" si="276"/>
        <v>120000</v>
      </c>
      <c r="J370" s="62">
        <f t="shared" si="276"/>
        <v>120000</v>
      </c>
      <c r="K370" s="62">
        <f t="shared" si="276"/>
        <v>120000</v>
      </c>
      <c r="L370" s="62">
        <f t="shared" si="276"/>
        <v>120000</v>
      </c>
      <c r="M370" s="62">
        <f t="shared" si="276"/>
        <v>120000</v>
      </c>
      <c r="N370" s="62">
        <f t="shared" si="276"/>
        <v>120000</v>
      </c>
      <c r="O370" s="62">
        <f t="shared" si="276"/>
        <v>120000</v>
      </c>
      <c r="P370" s="62">
        <f t="shared" si="276"/>
        <v>120000</v>
      </c>
      <c r="Q370" s="62">
        <f t="shared" si="276"/>
        <v>120000</v>
      </c>
      <c r="R370" s="62">
        <f t="shared" si="276"/>
        <v>120000</v>
      </c>
      <c r="S370" s="62">
        <f t="shared" si="276"/>
        <v>120000</v>
      </c>
      <c r="T370" s="62">
        <f t="shared" si="276"/>
        <v>120000</v>
      </c>
      <c r="U370" s="62">
        <f t="shared" si="276"/>
        <v>120000</v>
      </c>
      <c r="V370" s="62">
        <f t="shared" si="276"/>
        <v>120000</v>
      </c>
      <c r="W370" s="62">
        <f t="shared" si="276"/>
        <v>120000</v>
      </c>
      <c r="X370" s="62">
        <f t="shared" si="276"/>
        <v>120000</v>
      </c>
      <c r="Y370" s="62">
        <f t="shared" si="276"/>
        <v>120000</v>
      </c>
      <c r="Z370" s="62">
        <f t="shared" si="276"/>
        <v>120000</v>
      </c>
      <c r="AA370" s="62">
        <f t="shared" si="276"/>
        <v>120000</v>
      </c>
      <c r="AB370" s="62">
        <f t="shared" si="276"/>
        <v>120000</v>
      </c>
      <c r="AC370" s="62">
        <f t="shared" si="276"/>
        <v>120000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1524647.8790978624</v>
      </c>
      <c r="C373" s="63">
        <f t="shared" ref="C373:AC373" si="277">((1+C358)^C365)*C358/(((1+C358)^C365)-1)*(C354)</f>
        <v>1524313.4062710819</v>
      </c>
      <c r="D373" s="63">
        <f t="shared" si="277"/>
        <v>1523834.6158693277</v>
      </c>
      <c r="E373" s="63">
        <f t="shared" si="277"/>
        <v>1523149.6725295712</v>
      </c>
      <c r="F373" s="63">
        <f t="shared" si="277"/>
        <v>1522170.737356808</v>
      </c>
      <c r="G373" s="63">
        <f t="shared" si="277"/>
        <v>1520773.5853086114</v>
      </c>
      <c r="H373" s="63">
        <f t="shared" si="277"/>
        <v>1518783.6980330625</v>
      </c>
      <c r="I373" s="63">
        <f t="shared" si="277"/>
        <v>1515958.3433556822</v>
      </c>
      <c r="J373" s="63">
        <f t="shared" si="277"/>
        <v>1511964.9760184553</v>
      </c>
      <c r="K373" s="63">
        <f t="shared" si="277"/>
        <v>1506358.3603233036</v>
      </c>
      <c r="L373" s="63">
        <f t="shared" si="277"/>
        <v>1498563.1292425212</v>
      </c>
      <c r="M373" s="63">
        <f t="shared" si="277"/>
        <v>1487876.1590509433</v>
      </c>
      <c r="N373" s="63">
        <f t="shared" si="277"/>
        <v>1473514.0162828909</v>
      </c>
      <c r="O373" s="63">
        <f t="shared" si="277"/>
        <v>1454739.9211231149</v>
      </c>
      <c r="P373" s="63">
        <f t="shared" si="277"/>
        <v>1431097.1215033231</v>
      </c>
      <c r="Q373" s="63">
        <f t="shared" si="277"/>
        <v>1402726.440626242</v>
      </c>
      <c r="R373" s="63">
        <f t="shared" si="277"/>
        <v>1370645.6221440069</v>
      </c>
      <c r="S373" s="63">
        <f t="shared" si="277"/>
        <v>1336778.0336965974</v>
      </c>
      <c r="T373" s="63">
        <f t="shared" si="277"/>
        <v>1303576.896042286</v>
      </c>
      <c r="U373" s="63">
        <f t="shared" si="277"/>
        <v>1273353.2170381402</v>
      </c>
      <c r="V373" s="63">
        <f t="shared" si="277"/>
        <v>1247667.3938192725</v>
      </c>
      <c r="W373" s="63">
        <f t="shared" si="277"/>
        <v>1227097.6494912698</v>
      </c>
      <c r="X373" s="63">
        <f t="shared" si="277"/>
        <v>1211402.0216186012</v>
      </c>
      <c r="Y373" s="63">
        <f t="shared" si="277"/>
        <v>1199864.4763410145</v>
      </c>
      <c r="Z373" s="63">
        <f t="shared" si="277"/>
        <v>1191615.2983773351</v>
      </c>
      <c r="AA373" s="63">
        <f t="shared" si="277"/>
        <v>1185833.8428605145</v>
      </c>
      <c r="AB373" s="63">
        <f t="shared" si="277"/>
        <v>1181838.5017423639</v>
      </c>
      <c r="AC373" s="63">
        <f t="shared" si="277"/>
        <v>1179104.2907197287</v>
      </c>
    </row>
    <row r="374" spans="1:29" x14ac:dyDescent="0.25">
      <c r="A374" s="30" t="str">
        <f>A355</f>
        <v>Residual value (vehicle)</v>
      </c>
      <c r="B374" s="62">
        <f>((1+B358)^B365)*B358/(((1+B358)^B365)-1)*(B355)</f>
        <v>-76361.248295139725</v>
      </c>
      <c r="C374" s="62">
        <f t="shared" ref="C374:AC374" si="278">((1+C358)^C365)*C358/(((1+C358)^C365)-1)*(C355)</f>
        <v>-76400.270124930772</v>
      </c>
      <c r="D374" s="62">
        <f t="shared" si="278"/>
        <v>-76456.129005135459</v>
      </c>
      <c r="E374" s="62">
        <f t="shared" si="278"/>
        <v>-76536.039061440344</v>
      </c>
      <c r="F374" s="62">
        <f t="shared" si="278"/>
        <v>-76650.248164929391</v>
      </c>
      <c r="G374" s="62">
        <f t="shared" si="278"/>
        <v>-76813.249237219032</v>
      </c>
      <c r="H374" s="62">
        <f t="shared" si="278"/>
        <v>-77045.402752699738</v>
      </c>
      <c r="I374" s="62">
        <f t="shared" si="278"/>
        <v>-77375.027465060732</v>
      </c>
      <c r="J374" s="62">
        <f t="shared" si="278"/>
        <v>-77840.920321070545</v>
      </c>
      <c r="K374" s="62">
        <f t="shared" si="278"/>
        <v>-78495.025485504913</v>
      </c>
      <c r="L374" s="62">
        <f t="shared" si="278"/>
        <v>-79404.46911159619</v>
      </c>
      <c r="M374" s="62">
        <f t="shared" si="278"/>
        <v>-80651.282300613602</v>
      </c>
      <c r="N374" s="62">
        <f t="shared" si="278"/>
        <v>-82326.865623553065</v>
      </c>
      <c r="O374" s="62">
        <f t="shared" si="278"/>
        <v>-84517.176725526937</v>
      </c>
      <c r="P374" s="62">
        <f t="shared" si="278"/>
        <v>-87275.503347835998</v>
      </c>
      <c r="Q374" s="62">
        <f t="shared" si="278"/>
        <v>-90585.416116828768</v>
      </c>
      <c r="R374" s="62">
        <f t="shared" si="278"/>
        <v>-94328.178273089521</v>
      </c>
      <c r="S374" s="62">
        <f t="shared" si="278"/>
        <v>-98279.396925287292</v>
      </c>
      <c r="T374" s="62">
        <f t="shared" si="278"/>
        <v>-102152.86298495698</v>
      </c>
      <c r="U374" s="62">
        <f t="shared" si="278"/>
        <v>-105678.95886877397</v>
      </c>
      <c r="V374" s="62">
        <f t="shared" si="278"/>
        <v>-108675.63824430856</v>
      </c>
      <c r="W374" s="62">
        <f t="shared" si="278"/>
        <v>-111075.44174924218</v>
      </c>
      <c r="X374" s="62">
        <f t="shared" si="278"/>
        <v>-112906.59833438687</v>
      </c>
      <c r="Y374" s="62">
        <f t="shared" si="278"/>
        <v>-114252.64528343864</v>
      </c>
      <c r="Z374" s="62">
        <f t="shared" si="278"/>
        <v>-115215.04937920124</v>
      </c>
      <c r="AA374" s="62">
        <f t="shared" si="278"/>
        <v>-115889.55252283029</v>
      </c>
      <c r="AB374" s="62">
        <f t="shared" si="278"/>
        <v>-116355.67565328123</v>
      </c>
      <c r="AC374" s="62">
        <f t="shared" si="278"/>
        <v>-116674.66693925532</v>
      </c>
    </row>
    <row r="375" spans="1:29" x14ac:dyDescent="0.25">
      <c r="A375" s="30" t="str">
        <f>A356</f>
        <v>Capex costumization</v>
      </c>
      <c r="B375" s="62">
        <f>((1+B358)^B366)*B358/(((1+B358)^B366)-1)*(B356)</f>
        <v>78226.718212273947</v>
      </c>
      <c r="C375" s="62">
        <f t="shared" ref="C375:AC375" si="279">((1+C358)^C366)*C358/(((1+C358)^C366)-1)*(C356)</f>
        <v>78226.718212273947</v>
      </c>
      <c r="D375" s="62">
        <f t="shared" si="279"/>
        <v>78226.718212273947</v>
      </c>
      <c r="E375" s="62">
        <f t="shared" si="279"/>
        <v>78226.718212273947</v>
      </c>
      <c r="F375" s="62">
        <f t="shared" si="279"/>
        <v>78226.718212273947</v>
      </c>
      <c r="G375" s="62">
        <f t="shared" si="279"/>
        <v>78226.718212273947</v>
      </c>
      <c r="H375" s="62">
        <f t="shared" si="279"/>
        <v>78226.718212273947</v>
      </c>
      <c r="I375" s="62">
        <f t="shared" si="279"/>
        <v>78226.718212273947</v>
      </c>
      <c r="J375" s="62">
        <f t="shared" si="279"/>
        <v>78226.718212273947</v>
      </c>
      <c r="K375" s="62">
        <f t="shared" si="279"/>
        <v>78226.718212273947</v>
      </c>
      <c r="L375" s="62">
        <f t="shared" si="279"/>
        <v>78226.718212273947</v>
      </c>
      <c r="M375" s="62">
        <f t="shared" si="279"/>
        <v>78226.718212273947</v>
      </c>
      <c r="N375" s="62">
        <f t="shared" si="279"/>
        <v>78226.718212273947</v>
      </c>
      <c r="O375" s="62">
        <f t="shared" si="279"/>
        <v>78226.718212273947</v>
      </c>
      <c r="P375" s="62">
        <f t="shared" si="279"/>
        <v>78226.718212273947</v>
      </c>
      <c r="Q375" s="62">
        <f t="shared" si="279"/>
        <v>78226.718212273947</v>
      </c>
      <c r="R375" s="62">
        <f t="shared" si="279"/>
        <v>78226.718212273947</v>
      </c>
      <c r="S375" s="62">
        <f t="shared" si="279"/>
        <v>78226.718212273947</v>
      </c>
      <c r="T375" s="62">
        <f t="shared" si="279"/>
        <v>78226.718212273947</v>
      </c>
      <c r="U375" s="62">
        <f t="shared" si="279"/>
        <v>78226.718212273947</v>
      </c>
      <c r="V375" s="62">
        <f t="shared" si="279"/>
        <v>78226.718212273947</v>
      </c>
      <c r="W375" s="62">
        <f t="shared" si="279"/>
        <v>78226.718212273947</v>
      </c>
      <c r="X375" s="62">
        <f t="shared" si="279"/>
        <v>78226.718212273947</v>
      </c>
      <c r="Y375" s="62">
        <f t="shared" si="279"/>
        <v>78226.718212273947</v>
      </c>
      <c r="Z375" s="62">
        <f t="shared" si="279"/>
        <v>78226.718212273947</v>
      </c>
      <c r="AA375" s="62">
        <f t="shared" si="279"/>
        <v>78226.718212273947</v>
      </c>
      <c r="AB375" s="62">
        <f t="shared" si="279"/>
        <v>78226.718212273947</v>
      </c>
      <c r="AC375" s="62">
        <f t="shared" si="279"/>
        <v>78226.718212273947</v>
      </c>
    </row>
    <row r="376" spans="1:29" x14ac:dyDescent="0.25">
      <c r="A376" s="30" t="str">
        <f>A357</f>
        <v>Residual value (costumization)</v>
      </c>
      <c r="B376" s="62">
        <f>((1+B358)^B366)*B358/(((1+B358)^B366)-1)*(B357)</f>
        <v>-7822.6718212273945</v>
      </c>
      <c r="C376" s="62">
        <f t="shared" ref="C376:AC376" si="280">((1+C358)^C366)*C358/(((1+C358)^C366)-1)*(C357)</f>
        <v>-7822.6718212273945</v>
      </c>
      <c r="D376" s="62">
        <f t="shared" si="280"/>
        <v>-7822.6718212273945</v>
      </c>
      <c r="E376" s="62">
        <f t="shared" si="280"/>
        <v>-7822.6718212273945</v>
      </c>
      <c r="F376" s="62">
        <f t="shared" si="280"/>
        <v>-7822.6718212273945</v>
      </c>
      <c r="G376" s="62">
        <f t="shared" si="280"/>
        <v>-7822.6718212273945</v>
      </c>
      <c r="H376" s="62">
        <f t="shared" si="280"/>
        <v>-7822.6718212273945</v>
      </c>
      <c r="I376" s="62">
        <f t="shared" si="280"/>
        <v>-7822.6718212273945</v>
      </c>
      <c r="J376" s="62">
        <f t="shared" si="280"/>
        <v>-7822.6718212273945</v>
      </c>
      <c r="K376" s="62">
        <f t="shared" si="280"/>
        <v>-7822.6718212273945</v>
      </c>
      <c r="L376" s="62">
        <f t="shared" si="280"/>
        <v>-7822.6718212273945</v>
      </c>
      <c r="M376" s="62">
        <f t="shared" si="280"/>
        <v>-7822.6718212273945</v>
      </c>
      <c r="N376" s="62">
        <f t="shared" si="280"/>
        <v>-7822.6718212273945</v>
      </c>
      <c r="O376" s="62">
        <f t="shared" si="280"/>
        <v>-7822.6718212273945</v>
      </c>
      <c r="P376" s="62">
        <f t="shared" si="280"/>
        <v>-7822.6718212273945</v>
      </c>
      <c r="Q376" s="62">
        <f t="shared" si="280"/>
        <v>-7822.6718212273945</v>
      </c>
      <c r="R376" s="62">
        <f t="shared" si="280"/>
        <v>-7822.6718212273945</v>
      </c>
      <c r="S376" s="62">
        <f t="shared" si="280"/>
        <v>-7822.6718212273945</v>
      </c>
      <c r="T376" s="62">
        <f t="shared" si="280"/>
        <v>-7822.6718212273945</v>
      </c>
      <c r="U376" s="62">
        <f t="shared" si="280"/>
        <v>-7822.6718212273945</v>
      </c>
      <c r="V376" s="62">
        <f t="shared" si="280"/>
        <v>-7822.6718212273945</v>
      </c>
      <c r="W376" s="62">
        <f t="shared" si="280"/>
        <v>-7822.6718212273945</v>
      </c>
      <c r="X376" s="62">
        <f t="shared" si="280"/>
        <v>-7822.6718212273945</v>
      </c>
      <c r="Y376" s="62">
        <f t="shared" si="280"/>
        <v>-7822.6718212273945</v>
      </c>
      <c r="Z376" s="62">
        <f t="shared" si="280"/>
        <v>-7822.6718212273945</v>
      </c>
      <c r="AA376" s="62">
        <f t="shared" si="280"/>
        <v>-7822.6718212273945</v>
      </c>
      <c r="AB376" s="62">
        <f t="shared" si="280"/>
        <v>-7822.6718212273945</v>
      </c>
      <c r="AC376" s="62">
        <f t="shared" si="280"/>
        <v>-7822.6718212273945</v>
      </c>
    </row>
    <row r="377" spans="1:29" x14ac:dyDescent="0.25">
      <c r="A377" s="30" t="str">
        <f t="shared" ref="A377:AC377" si="281">A359</f>
        <v>Opex fix (admin, crew, insurance)</v>
      </c>
      <c r="B377" s="62">
        <f t="shared" si="281"/>
        <v>1208235.294117647</v>
      </c>
      <c r="C377" s="62">
        <f t="shared" si="281"/>
        <v>1208235.294117647</v>
      </c>
      <c r="D377" s="62">
        <f t="shared" si="281"/>
        <v>1208235.294117647</v>
      </c>
      <c r="E377" s="62">
        <f t="shared" si="281"/>
        <v>1208235.294117647</v>
      </c>
      <c r="F377" s="62">
        <f t="shared" si="281"/>
        <v>1208235.294117647</v>
      </c>
      <c r="G377" s="62">
        <f t="shared" si="281"/>
        <v>1208235.294117647</v>
      </c>
      <c r="H377" s="62">
        <f t="shared" si="281"/>
        <v>1208235.294117647</v>
      </c>
      <c r="I377" s="62">
        <f t="shared" si="281"/>
        <v>1208235.294117647</v>
      </c>
      <c r="J377" s="62">
        <f t="shared" si="281"/>
        <v>1208235.294117647</v>
      </c>
      <c r="K377" s="62">
        <f t="shared" si="281"/>
        <v>1208235.294117647</v>
      </c>
      <c r="L377" s="62">
        <f t="shared" si="281"/>
        <v>1208235.294117647</v>
      </c>
      <c r="M377" s="62">
        <f t="shared" si="281"/>
        <v>1208235.294117647</v>
      </c>
      <c r="N377" s="62">
        <f t="shared" si="281"/>
        <v>1208235.294117647</v>
      </c>
      <c r="O377" s="62">
        <f t="shared" si="281"/>
        <v>1208235.294117647</v>
      </c>
      <c r="P377" s="62">
        <f t="shared" si="281"/>
        <v>1208235.294117647</v>
      </c>
      <c r="Q377" s="62">
        <f t="shared" si="281"/>
        <v>1208235.294117647</v>
      </c>
      <c r="R377" s="62">
        <f t="shared" si="281"/>
        <v>1208235.294117647</v>
      </c>
      <c r="S377" s="62">
        <f t="shared" si="281"/>
        <v>1208235.294117647</v>
      </c>
      <c r="T377" s="62">
        <f t="shared" si="281"/>
        <v>1208235.294117647</v>
      </c>
      <c r="U377" s="62">
        <f t="shared" si="281"/>
        <v>1208235.294117647</v>
      </c>
      <c r="V377" s="62">
        <f t="shared" si="281"/>
        <v>1208235.294117647</v>
      </c>
      <c r="W377" s="62">
        <f t="shared" si="281"/>
        <v>1208235.294117647</v>
      </c>
      <c r="X377" s="62">
        <f t="shared" si="281"/>
        <v>1208235.294117647</v>
      </c>
      <c r="Y377" s="62">
        <f t="shared" si="281"/>
        <v>1208235.294117647</v>
      </c>
      <c r="Z377" s="62">
        <f t="shared" si="281"/>
        <v>1208235.294117647</v>
      </c>
      <c r="AA377" s="62">
        <f t="shared" si="281"/>
        <v>1208235.294117647</v>
      </c>
      <c r="AB377" s="62">
        <f t="shared" si="281"/>
        <v>1208235.294117647</v>
      </c>
      <c r="AC377" s="62">
        <f t="shared" si="281"/>
        <v>1208235.294117647</v>
      </c>
    </row>
    <row r="378" spans="1:29" x14ac:dyDescent="0.25">
      <c r="A378" s="30" t="str">
        <f t="shared" ref="A378:AC378" si="282">A360</f>
        <v>Opex maintenance &amp; repair</v>
      </c>
      <c r="B378" s="62">
        <f t="shared" si="282"/>
        <v>488235.29411764705</v>
      </c>
      <c r="C378" s="62">
        <f t="shared" si="282"/>
        <v>488235.29411764705</v>
      </c>
      <c r="D378" s="62">
        <f t="shared" si="282"/>
        <v>488235.29411764705</v>
      </c>
      <c r="E378" s="62">
        <f t="shared" si="282"/>
        <v>488235.29411764705</v>
      </c>
      <c r="F378" s="62">
        <f t="shared" si="282"/>
        <v>488235.29411764705</v>
      </c>
      <c r="G378" s="62">
        <f t="shared" si="282"/>
        <v>488235.29411764705</v>
      </c>
      <c r="H378" s="62">
        <f t="shared" si="282"/>
        <v>488235.29411764705</v>
      </c>
      <c r="I378" s="62">
        <f t="shared" si="282"/>
        <v>488235.29411764705</v>
      </c>
      <c r="J378" s="62">
        <f t="shared" si="282"/>
        <v>488235.29411764705</v>
      </c>
      <c r="K378" s="62">
        <f t="shared" si="282"/>
        <v>488235.29411764705</v>
      </c>
      <c r="L378" s="62">
        <f t="shared" si="282"/>
        <v>488235.29411764705</v>
      </c>
      <c r="M378" s="62">
        <f t="shared" si="282"/>
        <v>488235.29411764705</v>
      </c>
      <c r="N378" s="62">
        <f t="shared" si="282"/>
        <v>488235.29411764705</v>
      </c>
      <c r="O378" s="62">
        <f t="shared" si="282"/>
        <v>488235.29411764705</v>
      </c>
      <c r="P378" s="62">
        <f t="shared" si="282"/>
        <v>488235.29411764705</v>
      </c>
      <c r="Q378" s="62">
        <f t="shared" si="282"/>
        <v>488235.29411764705</v>
      </c>
      <c r="R378" s="62">
        <f t="shared" si="282"/>
        <v>488235.29411764705</v>
      </c>
      <c r="S378" s="62">
        <f t="shared" si="282"/>
        <v>488235.29411764705</v>
      </c>
      <c r="T378" s="62">
        <f t="shared" si="282"/>
        <v>488235.29411764705</v>
      </c>
      <c r="U378" s="62">
        <f t="shared" si="282"/>
        <v>488235.29411764705</v>
      </c>
      <c r="V378" s="62">
        <f t="shared" si="282"/>
        <v>488235.29411764705</v>
      </c>
      <c r="W378" s="62">
        <f t="shared" si="282"/>
        <v>488235.29411764705</v>
      </c>
      <c r="X378" s="62">
        <f t="shared" si="282"/>
        <v>488235.29411764705</v>
      </c>
      <c r="Y378" s="62">
        <f t="shared" si="282"/>
        <v>488235.29411764705</v>
      </c>
      <c r="Z378" s="62">
        <f t="shared" si="282"/>
        <v>488235.29411764705</v>
      </c>
      <c r="AA378" s="62">
        <f t="shared" si="282"/>
        <v>488235.29411764705</v>
      </c>
      <c r="AB378" s="62">
        <f t="shared" si="282"/>
        <v>488235.29411764705</v>
      </c>
      <c r="AC378" s="62">
        <f t="shared" si="282"/>
        <v>488235.29411764705</v>
      </c>
    </row>
    <row r="379" spans="1:29" x14ac:dyDescent="0.25">
      <c r="A379" s="30" t="str">
        <f>A361</f>
        <v>Opex var (mode-fees)</v>
      </c>
      <c r="B379" s="62">
        <f>B361*B370</f>
        <v>97536.682916217906</v>
      </c>
      <c r="C379" s="62">
        <f t="shared" ref="C379:AC379" si="283">C361*C370</f>
        <v>97536.682916217906</v>
      </c>
      <c r="D379" s="62">
        <f t="shared" si="283"/>
        <v>97536.682916217906</v>
      </c>
      <c r="E379" s="62">
        <f t="shared" si="283"/>
        <v>97536.682916217906</v>
      </c>
      <c r="F379" s="62">
        <f t="shared" si="283"/>
        <v>97536.682916217906</v>
      </c>
      <c r="G379" s="62">
        <f t="shared" si="283"/>
        <v>97536.682916217906</v>
      </c>
      <c r="H379" s="62">
        <f t="shared" si="283"/>
        <v>97536.682916217906</v>
      </c>
      <c r="I379" s="62">
        <f t="shared" si="283"/>
        <v>97536.682916217906</v>
      </c>
      <c r="J379" s="62">
        <f t="shared" si="283"/>
        <v>97536.682916217906</v>
      </c>
      <c r="K379" s="62">
        <f t="shared" si="283"/>
        <v>97536.682916217906</v>
      </c>
      <c r="L379" s="62">
        <f t="shared" si="283"/>
        <v>97536.682916217906</v>
      </c>
      <c r="M379" s="62">
        <f t="shared" si="283"/>
        <v>97536.682916217906</v>
      </c>
      <c r="N379" s="62">
        <f t="shared" si="283"/>
        <v>97536.682916217906</v>
      </c>
      <c r="O379" s="62">
        <f t="shared" si="283"/>
        <v>97536.682916217906</v>
      </c>
      <c r="P379" s="62">
        <f t="shared" si="283"/>
        <v>97536.682916217906</v>
      </c>
      <c r="Q379" s="62">
        <f t="shared" si="283"/>
        <v>97536.682916217906</v>
      </c>
      <c r="R379" s="62">
        <f t="shared" si="283"/>
        <v>97536.682916217906</v>
      </c>
      <c r="S379" s="62">
        <f t="shared" si="283"/>
        <v>97536.682916217906</v>
      </c>
      <c r="T379" s="62">
        <f t="shared" si="283"/>
        <v>97536.682916217906</v>
      </c>
      <c r="U379" s="62">
        <f t="shared" si="283"/>
        <v>97536.682916217906</v>
      </c>
      <c r="V379" s="62">
        <f t="shared" si="283"/>
        <v>97536.682916217906</v>
      </c>
      <c r="W379" s="62">
        <f t="shared" si="283"/>
        <v>97536.682916217906</v>
      </c>
      <c r="X379" s="62">
        <f t="shared" si="283"/>
        <v>97536.682916217906</v>
      </c>
      <c r="Y379" s="62">
        <f t="shared" si="283"/>
        <v>97536.682916217906</v>
      </c>
      <c r="Z379" s="62">
        <f t="shared" si="283"/>
        <v>97536.682916217906</v>
      </c>
      <c r="AA379" s="62">
        <f t="shared" si="283"/>
        <v>97536.682916217906</v>
      </c>
      <c r="AB379" s="62">
        <f t="shared" si="283"/>
        <v>97536.682916217906</v>
      </c>
      <c r="AC379" s="62">
        <f t="shared" si="283"/>
        <v>97536.682916217906</v>
      </c>
    </row>
    <row r="380" spans="1:29" x14ac:dyDescent="0.25">
      <c r="A380" s="30" t="str">
        <f>A363</f>
        <v>Fuel Cost</v>
      </c>
      <c r="B380" s="62">
        <f>B362*B363*B370</f>
        <v>35714150.195401497</v>
      </c>
      <c r="C380" s="62">
        <f t="shared" ref="C380:AC380" si="284">C362*C363*C370</f>
        <v>35688192.759426571</v>
      </c>
      <c r="D380" s="62">
        <f t="shared" si="284"/>
        <v>35651040.91294115</v>
      </c>
      <c r="E380" s="62">
        <f t="shared" si="284"/>
        <v>35597904.139505707</v>
      </c>
      <c r="F380" s="62">
        <f t="shared" si="284"/>
        <v>35521983.578516193</v>
      </c>
      <c r="G380" s="62">
        <f t="shared" si="284"/>
        <v>35413676.658021048</v>
      </c>
      <c r="H380" s="62">
        <f t="shared" si="284"/>
        <v>35259518.741244763</v>
      </c>
      <c r="I380" s="62">
        <f t="shared" si="284"/>
        <v>35040833.829240076</v>
      </c>
      <c r="J380" s="62">
        <f t="shared" si="284"/>
        <v>34732138.474223465</v>
      </c>
      <c r="K380" s="62">
        <f t="shared" si="284"/>
        <v>34299516.053868182</v>
      </c>
      <c r="L380" s="62">
        <f t="shared" si="284"/>
        <v>33699528.372285672</v>
      </c>
      <c r="M380" s="62">
        <f t="shared" si="284"/>
        <v>32879831.174801141</v>
      </c>
      <c r="N380" s="62">
        <f t="shared" si="284"/>
        <v>31783461.473454308</v>
      </c>
      <c r="O380" s="62">
        <f t="shared" si="284"/>
        <v>30359313.220013358</v>
      </c>
      <c r="P380" s="62">
        <f t="shared" si="284"/>
        <v>28580377.783127353</v>
      </c>
      <c r="Q380" s="62">
        <f t="shared" si="284"/>
        <v>26467099.228719633</v>
      </c>
      <c r="R380" s="62">
        <f t="shared" si="284"/>
        <v>24105574.420484088</v>
      </c>
      <c r="S380" s="62">
        <f t="shared" si="284"/>
        <v>21644902.059123844</v>
      </c>
      <c r="T380" s="62">
        <f t="shared" si="284"/>
        <v>19264932.881093476</v>
      </c>
      <c r="U380" s="62">
        <f t="shared" si="284"/>
        <v>17126188.084502421</v>
      </c>
      <c r="V380" s="62">
        <f t="shared" si="284"/>
        <v>15329378.731018521</v>
      </c>
      <c r="W380" s="62">
        <f t="shared" si="284"/>
        <v>13904249.809459379</v>
      </c>
      <c r="X380" s="62">
        <f t="shared" si="284"/>
        <v>12825065.109094124</v>
      </c>
      <c r="Y380" s="62">
        <f t="shared" si="284"/>
        <v>12036332.881021881</v>
      </c>
      <c r="Z380" s="62">
        <f t="shared" si="284"/>
        <v>11474767.041992439</v>
      </c>
      <c r="AA380" s="62">
        <f t="shared" si="284"/>
        <v>11082368.296972759</v>
      </c>
      <c r="AB380" s="62">
        <f t="shared" si="284"/>
        <v>10811762.929783393</v>
      </c>
      <c r="AC380" s="62">
        <f t="shared" si="284"/>
        <v>10626840.940920185</v>
      </c>
    </row>
    <row r="381" spans="1:29" ht="15.75" thickBot="1" x14ac:dyDescent="0.3">
      <c r="A381" s="59" t="str">
        <f>A344</f>
        <v>Emission Cost</v>
      </c>
      <c r="B381" s="62">
        <f>B364*B370</f>
        <v>378739.69366716623</v>
      </c>
      <c r="C381" s="62">
        <f t="shared" ref="C381:AC381" si="285">C364*C370</f>
        <v>378379.04119822913</v>
      </c>
      <c r="D381" s="62">
        <f t="shared" si="285"/>
        <v>377862.77522183186</v>
      </c>
      <c r="E381" s="62">
        <f t="shared" si="285"/>
        <v>377124.22043714899</v>
      </c>
      <c r="F381" s="62">
        <f t="shared" si="285"/>
        <v>376068.66267963283</v>
      </c>
      <c r="G381" s="62">
        <f t="shared" si="285"/>
        <v>374562.15364416625</v>
      </c>
      <c r="H381" s="62">
        <f t="shared" si="285"/>
        <v>372416.51519053977</v>
      </c>
      <c r="I381" s="62">
        <f t="shared" si="285"/>
        <v>369370.01616749936</v>
      </c>
      <c r="J381" s="62">
        <f t="shared" si="285"/>
        <v>365064.08254829637</v>
      </c>
      <c r="K381" s="62">
        <f t="shared" si="285"/>
        <v>359018.62943241297</v>
      </c>
      <c r="L381" s="62">
        <f t="shared" si="285"/>
        <v>350613.255033897</v>
      </c>
      <c r="M381" s="62">
        <f t="shared" si="285"/>
        <v>339089.80117921339</v>
      </c>
      <c r="N381" s="62">
        <f t="shared" si="285"/>
        <v>323603.51400191215</v>
      </c>
      <c r="O381" s="62">
        <f t="shared" si="285"/>
        <v>303359.94493051956</v>
      </c>
      <c r="P381" s="62">
        <f t="shared" si="285"/>
        <v>277866.59129237483</v>
      </c>
      <c r="Q381" s="62">
        <f t="shared" si="285"/>
        <v>247275.2987134319</v>
      </c>
      <c r="R381" s="62">
        <f t="shared" si="285"/>
        <v>212683.47102293672</v>
      </c>
      <c r="S381" s="62">
        <f t="shared" si="285"/>
        <v>176165.0204567787</v>
      </c>
      <c r="T381" s="62">
        <f t="shared" si="285"/>
        <v>140365.18469191671</v>
      </c>
      <c r="U381" s="62">
        <f t="shared" si="285"/>
        <v>107775.85730729303</v>
      </c>
      <c r="V381" s="62">
        <f t="shared" si="285"/>
        <v>80079.569839826625</v>
      </c>
      <c r="W381" s="62">
        <f t="shared" si="285"/>
        <v>57899.803702443598</v>
      </c>
      <c r="X381" s="62">
        <f t="shared" si="285"/>
        <v>40975.65773135038</v>
      </c>
      <c r="Y381" s="62">
        <f t="shared" si="285"/>
        <v>28535.053124127946</v>
      </c>
      <c r="Z381" s="62">
        <f t="shared" si="285"/>
        <v>19640.20080401509</v>
      </c>
      <c r="AA381" s="62">
        <f t="shared" si="285"/>
        <v>13406.222916297957</v>
      </c>
      <c r="AB381" s="62">
        <f t="shared" si="285"/>
        <v>9098.161025659123</v>
      </c>
      <c r="AC381" s="62">
        <f t="shared" si="285"/>
        <v>6149.9395949364907</v>
      </c>
    </row>
    <row r="382" spans="1:29" ht="15.75" thickBot="1" x14ac:dyDescent="0.3">
      <c r="A382" s="31" t="s">
        <v>209</v>
      </c>
      <c r="B382" s="64">
        <f>B373+B374+B375+B376+B377+B378+B379+B380+B381</f>
        <v>39405587.837413944</v>
      </c>
      <c r="C382" s="64">
        <f t="shared" ref="C382:AC382" si="286">C373+C374+C375+C376+C377+C378+C379+C380+C381</f>
        <v>39378896.254313514</v>
      </c>
      <c r="D382" s="64">
        <f t="shared" si="286"/>
        <v>39340693.492569737</v>
      </c>
      <c r="E382" s="64">
        <f t="shared" si="286"/>
        <v>39286053.310953543</v>
      </c>
      <c r="F382" s="64">
        <f t="shared" si="286"/>
        <v>39207984.047930263</v>
      </c>
      <c r="G382" s="64">
        <f t="shared" si="286"/>
        <v>39096610.465279169</v>
      </c>
      <c r="H382" s="64">
        <f t="shared" si="286"/>
        <v>38938084.869258225</v>
      </c>
      <c r="I382" s="64">
        <f t="shared" si="286"/>
        <v>38713198.478840753</v>
      </c>
      <c r="J382" s="64">
        <f t="shared" si="286"/>
        <v>38395737.930011705</v>
      </c>
      <c r="K382" s="64">
        <f t="shared" si="286"/>
        <v>37950809.335680947</v>
      </c>
      <c r="L382" s="64">
        <f t="shared" si="286"/>
        <v>37333711.604993053</v>
      </c>
      <c r="M382" s="64">
        <f t="shared" si="286"/>
        <v>36490557.170273244</v>
      </c>
      <c r="N382" s="64">
        <f t="shared" si="286"/>
        <v>35362663.455658115</v>
      </c>
      <c r="O382" s="64">
        <f t="shared" si="286"/>
        <v>33897307.226884022</v>
      </c>
      <c r="P382" s="64">
        <f t="shared" si="286"/>
        <v>32066477.310117774</v>
      </c>
      <c r="Q382" s="64">
        <f t="shared" si="286"/>
        <v>29890926.869485036</v>
      </c>
      <c r="R382" s="64">
        <f t="shared" si="286"/>
        <v>27458986.652920503</v>
      </c>
      <c r="S382" s="64">
        <f t="shared" si="286"/>
        <v>24923977.033894494</v>
      </c>
      <c r="T382" s="64">
        <f t="shared" si="286"/>
        <v>22471133.416385282</v>
      </c>
      <c r="U382" s="64">
        <f t="shared" si="286"/>
        <v>20266049.517521638</v>
      </c>
      <c r="V382" s="64">
        <f t="shared" si="286"/>
        <v>18412861.373975873</v>
      </c>
      <c r="W382" s="64">
        <f t="shared" si="286"/>
        <v>16942583.138446409</v>
      </c>
      <c r="X382" s="64">
        <f t="shared" si="286"/>
        <v>15828947.507652247</v>
      </c>
      <c r="Y382" s="64">
        <f t="shared" si="286"/>
        <v>15014891.082746144</v>
      </c>
      <c r="Z382" s="64">
        <f t="shared" si="286"/>
        <v>14435218.809337147</v>
      </c>
      <c r="AA382" s="64">
        <f t="shared" si="286"/>
        <v>14030130.127769299</v>
      </c>
      <c r="AB382" s="64">
        <f t="shared" si="286"/>
        <v>13750755.234440692</v>
      </c>
      <c r="AC382" s="64">
        <f t="shared" si="286"/>
        <v>13559831.821838154</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287">A373</f>
        <v>Capex vehicle</v>
      </c>
      <c r="B385" s="65">
        <f>((1+B358)^B365)*B358/(((1+B358)^B365)-1)*(B354)/B370</f>
        <v>12.705398992482186</v>
      </c>
      <c r="C385" s="65">
        <f t="shared" ref="C385:AC385" si="288">((1+C358)^C365)*C358/(((1+C358)^C365)-1)*(C354)/C370</f>
        <v>12.702611718925683</v>
      </c>
      <c r="D385" s="65">
        <f t="shared" si="288"/>
        <v>12.698621798911065</v>
      </c>
      <c r="E385" s="65">
        <f t="shared" si="288"/>
        <v>12.692913937746427</v>
      </c>
      <c r="F385" s="65">
        <f t="shared" si="288"/>
        <v>12.684756144640067</v>
      </c>
      <c r="G385" s="65">
        <f t="shared" si="288"/>
        <v>12.673113210905095</v>
      </c>
      <c r="H385" s="65">
        <f t="shared" si="288"/>
        <v>12.656530816942187</v>
      </c>
      <c r="I385" s="65">
        <f t="shared" si="288"/>
        <v>12.632986194630686</v>
      </c>
      <c r="J385" s="65">
        <f t="shared" si="288"/>
        <v>12.599708133487129</v>
      </c>
      <c r="K385" s="65">
        <f t="shared" si="288"/>
        <v>12.55298633602753</v>
      </c>
      <c r="L385" s="65">
        <f t="shared" si="288"/>
        <v>12.48802607702101</v>
      </c>
      <c r="M385" s="65">
        <f t="shared" si="288"/>
        <v>12.398967992091194</v>
      </c>
      <c r="N385" s="65">
        <f t="shared" si="288"/>
        <v>12.27928346902409</v>
      </c>
      <c r="O385" s="65">
        <f t="shared" si="288"/>
        <v>12.122832676025958</v>
      </c>
      <c r="P385" s="65">
        <f t="shared" si="288"/>
        <v>11.925809345861026</v>
      </c>
      <c r="Q385" s="65">
        <f t="shared" si="288"/>
        <v>11.689387005218682</v>
      </c>
      <c r="R385" s="65">
        <f t="shared" si="288"/>
        <v>11.422046851200058</v>
      </c>
      <c r="S385" s="65">
        <f t="shared" si="288"/>
        <v>11.139816947471646</v>
      </c>
      <c r="T385" s="65">
        <f t="shared" si="288"/>
        <v>10.863140800352383</v>
      </c>
      <c r="U385" s="65">
        <f t="shared" si="288"/>
        <v>10.611276808651168</v>
      </c>
      <c r="V385" s="65">
        <f t="shared" si="288"/>
        <v>10.397228281827271</v>
      </c>
      <c r="W385" s="65">
        <f t="shared" si="288"/>
        <v>10.225813745760583</v>
      </c>
      <c r="X385" s="65">
        <f t="shared" si="288"/>
        <v>10.095016846821677</v>
      </c>
      <c r="Y385" s="65">
        <f t="shared" si="288"/>
        <v>9.9988706361751216</v>
      </c>
      <c r="Z385" s="65">
        <f t="shared" si="288"/>
        <v>9.930127486477792</v>
      </c>
      <c r="AA385" s="65">
        <f t="shared" si="288"/>
        <v>9.8819486905042879</v>
      </c>
      <c r="AB385" s="65">
        <f t="shared" si="288"/>
        <v>9.8486541811863653</v>
      </c>
      <c r="AC385" s="65">
        <f t="shared" si="288"/>
        <v>9.8258690893310732</v>
      </c>
    </row>
    <row r="386" spans="1:29" x14ac:dyDescent="0.25">
      <c r="A386" s="30" t="str">
        <f t="shared" si="287"/>
        <v>Residual value (vehicle)</v>
      </c>
      <c r="B386" s="66">
        <f>((1+B358)^B365)*B358/(((1+B358)^B365)-1)*(B355)/B370</f>
        <v>-0.63634373579283099</v>
      </c>
      <c r="C386" s="66">
        <f t="shared" ref="C386:AC386" si="289">((1+C358)^C365)*C358/(((1+C358)^C365)-1)*(C355)/C370</f>
        <v>-0.63666891770775647</v>
      </c>
      <c r="D386" s="66">
        <f t="shared" si="289"/>
        <v>-0.63713440837612878</v>
      </c>
      <c r="E386" s="66">
        <f t="shared" si="289"/>
        <v>-0.63780032551200283</v>
      </c>
      <c r="F386" s="66">
        <f t="shared" si="289"/>
        <v>-0.63875206804107831</v>
      </c>
      <c r="G386" s="66">
        <f t="shared" si="289"/>
        <v>-0.64011041031015858</v>
      </c>
      <c r="H386" s="66">
        <f t="shared" si="289"/>
        <v>-0.64204502293916443</v>
      </c>
      <c r="I386" s="66">
        <f t="shared" si="289"/>
        <v>-0.64479189554217275</v>
      </c>
      <c r="J386" s="66">
        <f t="shared" si="289"/>
        <v>-0.64867433600892122</v>
      </c>
      <c r="K386" s="66">
        <f t="shared" si="289"/>
        <v>-0.65412521237920762</v>
      </c>
      <c r="L386" s="66">
        <f t="shared" si="289"/>
        <v>-0.66170390926330158</v>
      </c>
      <c r="M386" s="66">
        <f t="shared" si="289"/>
        <v>-0.67209401917178002</v>
      </c>
      <c r="N386" s="66">
        <f t="shared" si="289"/>
        <v>-0.68605721352960891</v>
      </c>
      <c r="O386" s="66">
        <f t="shared" si="289"/>
        <v>-0.70430980604605786</v>
      </c>
      <c r="P386" s="66">
        <f t="shared" si="289"/>
        <v>-0.72729586123196666</v>
      </c>
      <c r="Q386" s="66">
        <f t="shared" si="289"/>
        <v>-0.75487846764023969</v>
      </c>
      <c r="R386" s="66">
        <f t="shared" si="289"/>
        <v>-0.786068152275746</v>
      </c>
      <c r="S386" s="66">
        <f t="shared" si="289"/>
        <v>-0.8189949743773941</v>
      </c>
      <c r="T386" s="66">
        <f t="shared" si="289"/>
        <v>-0.85127385820797485</v>
      </c>
      <c r="U386" s="66">
        <f t="shared" si="289"/>
        <v>-0.88065799057311644</v>
      </c>
      <c r="V386" s="66">
        <f t="shared" si="289"/>
        <v>-0.90563031870257138</v>
      </c>
      <c r="W386" s="66">
        <f t="shared" si="289"/>
        <v>-0.9256286812436848</v>
      </c>
      <c r="X386" s="66">
        <f t="shared" si="289"/>
        <v>-0.94088831945322393</v>
      </c>
      <c r="Y386" s="66">
        <f t="shared" si="289"/>
        <v>-0.95210537736198875</v>
      </c>
      <c r="Z386" s="66">
        <f t="shared" si="289"/>
        <v>-0.96012541149334374</v>
      </c>
      <c r="AA386" s="66">
        <f t="shared" si="289"/>
        <v>-0.96574627102358568</v>
      </c>
      <c r="AB386" s="66">
        <f t="shared" si="289"/>
        <v>-0.96963063044401021</v>
      </c>
      <c r="AC386" s="66">
        <f t="shared" si="289"/>
        <v>-0.97228889116046091</v>
      </c>
    </row>
    <row r="387" spans="1:29" x14ac:dyDescent="0.25">
      <c r="A387" s="30" t="str">
        <f t="shared" si="287"/>
        <v>Capex costumization</v>
      </c>
      <c r="B387" s="66">
        <f>((1+B358)^B366)*B358/(((1+B358)^B366)-1)*(B356)/B370</f>
        <v>0.65188931843561626</v>
      </c>
      <c r="C387" s="66">
        <f t="shared" ref="C387:AC387" si="290">((1+C358)^C366)*C358/(((1+C358)^C366)-1)*(C356)/C370</f>
        <v>0.65188931843561626</v>
      </c>
      <c r="D387" s="66">
        <f t="shared" si="290"/>
        <v>0.65188931843561626</v>
      </c>
      <c r="E387" s="66">
        <f t="shared" si="290"/>
        <v>0.65188931843561626</v>
      </c>
      <c r="F387" s="66">
        <f t="shared" si="290"/>
        <v>0.65188931843561626</v>
      </c>
      <c r="G387" s="66">
        <f t="shared" si="290"/>
        <v>0.65188931843561626</v>
      </c>
      <c r="H387" s="66">
        <f t="shared" si="290"/>
        <v>0.65188931843561626</v>
      </c>
      <c r="I387" s="66">
        <f t="shared" si="290"/>
        <v>0.65188931843561626</v>
      </c>
      <c r="J387" s="66">
        <f t="shared" si="290"/>
        <v>0.65188931843561626</v>
      </c>
      <c r="K387" s="66">
        <f t="shared" si="290"/>
        <v>0.65188931843561626</v>
      </c>
      <c r="L387" s="66">
        <f t="shared" si="290"/>
        <v>0.65188931843561626</v>
      </c>
      <c r="M387" s="66">
        <f t="shared" si="290"/>
        <v>0.65188931843561626</v>
      </c>
      <c r="N387" s="66">
        <f t="shared" si="290"/>
        <v>0.65188931843561626</v>
      </c>
      <c r="O387" s="66">
        <f t="shared" si="290"/>
        <v>0.65188931843561626</v>
      </c>
      <c r="P387" s="66">
        <f t="shared" si="290"/>
        <v>0.65188931843561626</v>
      </c>
      <c r="Q387" s="66">
        <f t="shared" si="290"/>
        <v>0.65188931843561626</v>
      </c>
      <c r="R387" s="66">
        <f t="shared" si="290"/>
        <v>0.65188931843561626</v>
      </c>
      <c r="S387" s="66">
        <f t="shared" si="290"/>
        <v>0.65188931843561626</v>
      </c>
      <c r="T387" s="66">
        <f t="shared" si="290"/>
        <v>0.65188931843561626</v>
      </c>
      <c r="U387" s="66">
        <f t="shared" si="290"/>
        <v>0.65188931843561626</v>
      </c>
      <c r="V387" s="66">
        <f t="shared" si="290"/>
        <v>0.65188931843561626</v>
      </c>
      <c r="W387" s="66">
        <f t="shared" si="290"/>
        <v>0.65188931843561626</v>
      </c>
      <c r="X387" s="66">
        <f t="shared" si="290"/>
        <v>0.65188931843561626</v>
      </c>
      <c r="Y387" s="66">
        <f t="shared" si="290"/>
        <v>0.65188931843561626</v>
      </c>
      <c r="Z387" s="66">
        <f t="shared" si="290"/>
        <v>0.65188931843561626</v>
      </c>
      <c r="AA387" s="66">
        <f t="shared" si="290"/>
        <v>0.65188931843561626</v>
      </c>
      <c r="AB387" s="66">
        <f t="shared" si="290"/>
        <v>0.65188931843561626</v>
      </c>
      <c r="AC387" s="66">
        <f t="shared" si="290"/>
        <v>0.65188931843561626</v>
      </c>
    </row>
    <row r="388" spans="1:29" x14ac:dyDescent="0.25">
      <c r="A388" s="30" t="str">
        <f t="shared" si="287"/>
        <v>Residual value (costumization)</v>
      </c>
      <c r="B388" s="66">
        <f>((1+B358)^B366)*B358/(((1+B358)^B366)-1)*(B357)/B370</f>
        <v>-6.5188931843561615E-2</v>
      </c>
      <c r="C388" s="66">
        <f t="shared" ref="C388:AC388" si="291">((1+C358)^C366)*C358/(((1+C358)^C366)-1)*(C357)/C370</f>
        <v>-6.5188931843561615E-2</v>
      </c>
      <c r="D388" s="66">
        <f t="shared" si="291"/>
        <v>-6.5188931843561615E-2</v>
      </c>
      <c r="E388" s="66">
        <f t="shared" si="291"/>
        <v>-6.5188931843561615E-2</v>
      </c>
      <c r="F388" s="66">
        <f t="shared" si="291"/>
        <v>-6.5188931843561615E-2</v>
      </c>
      <c r="G388" s="66">
        <f t="shared" si="291"/>
        <v>-6.5188931843561615E-2</v>
      </c>
      <c r="H388" s="66">
        <f t="shared" si="291"/>
        <v>-6.5188931843561615E-2</v>
      </c>
      <c r="I388" s="66">
        <f t="shared" si="291"/>
        <v>-6.5188931843561615E-2</v>
      </c>
      <c r="J388" s="66">
        <f t="shared" si="291"/>
        <v>-6.5188931843561615E-2</v>
      </c>
      <c r="K388" s="66">
        <f t="shared" si="291"/>
        <v>-6.5188931843561615E-2</v>
      </c>
      <c r="L388" s="66">
        <f t="shared" si="291"/>
        <v>-6.5188931843561615E-2</v>
      </c>
      <c r="M388" s="66">
        <f t="shared" si="291"/>
        <v>-6.5188931843561615E-2</v>
      </c>
      <c r="N388" s="66">
        <f t="shared" si="291"/>
        <v>-6.5188931843561615E-2</v>
      </c>
      <c r="O388" s="66">
        <f t="shared" si="291"/>
        <v>-6.5188931843561615E-2</v>
      </c>
      <c r="P388" s="66">
        <f t="shared" si="291"/>
        <v>-6.5188931843561615E-2</v>
      </c>
      <c r="Q388" s="66">
        <f t="shared" si="291"/>
        <v>-6.5188931843561615E-2</v>
      </c>
      <c r="R388" s="66">
        <f t="shared" si="291"/>
        <v>-6.5188931843561615E-2</v>
      </c>
      <c r="S388" s="66">
        <f t="shared" si="291"/>
        <v>-6.5188931843561615E-2</v>
      </c>
      <c r="T388" s="66">
        <f t="shared" si="291"/>
        <v>-6.5188931843561615E-2</v>
      </c>
      <c r="U388" s="66">
        <f t="shared" si="291"/>
        <v>-6.5188931843561615E-2</v>
      </c>
      <c r="V388" s="66">
        <f t="shared" si="291"/>
        <v>-6.5188931843561615E-2</v>
      </c>
      <c r="W388" s="66">
        <f t="shared" si="291"/>
        <v>-6.5188931843561615E-2</v>
      </c>
      <c r="X388" s="66">
        <f t="shared" si="291"/>
        <v>-6.5188931843561615E-2</v>
      </c>
      <c r="Y388" s="66">
        <f t="shared" si="291"/>
        <v>-6.5188931843561615E-2</v>
      </c>
      <c r="Z388" s="66">
        <f t="shared" si="291"/>
        <v>-6.5188931843561615E-2</v>
      </c>
      <c r="AA388" s="66">
        <f t="shared" si="291"/>
        <v>-6.5188931843561615E-2</v>
      </c>
      <c r="AB388" s="66">
        <f t="shared" si="291"/>
        <v>-6.5188931843561615E-2</v>
      </c>
      <c r="AC388" s="66">
        <f t="shared" si="291"/>
        <v>-6.5188931843561615E-2</v>
      </c>
    </row>
    <row r="389" spans="1:29" x14ac:dyDescent="0.25">
      <c r="A389" s="30" t="str">
        <f t="shared" si="287"/>
        <v>Opex fix (admin, crew, insurance)</v>
      </c>
      <c r="B389" s="66">
        <f>B359/B370</f>
        <v>10.068627450980392</v>
      </c>
      <c r="C389" s="66">
        <f t="shared" ref="C389:AC389" si="292">C359/C370</f>
        <v>10.068627450980392</v>
      </c>
      <c r="D389" s="66">
        <f t="shared" si="292"/>
        <v>10.068627450980392</v>
      </c>
      <c r="E389" s="66">
        <f t="shared" si="292"/>
        <v>10.068627450980392</v>
      </c>
      <c r="F389" s="66">
        <f t="shared" si="292"/>
        <v>10.068627450980392</v>
      </c>
      <c r="G389" s="66">
        <f t="shared" si="292"/>
        <v>10.068627450980392</v>
      </c>
      <c r="H389" s="66">
        <f t="shared" si="292"/>
        <v>10.068627450980392</v>
      </c>
      <c r="I389" s="66">
        <f t="shared" si="292"/>
        <v>10.068627450980392</v>
      </c>
      <c r="J389" s="66">
        <f t="shared" si="292"/>
        <v>10.068627450980392</v>
      </c>
      <c r="K389" s="66">
        <f t="shared" si="292"/>
        <v>10.068627450980392</v>
      </c>
      <c r="L389" s="66">
        <f t="shared" si="292"/>
        <v>10.068627450980392</v>
      </c>
      <c r="M389" s="66">
        <f t="shared" si="292"/>
        <v>10.068627450980392</v>
      </c>
      <c r="N389" s="66">
        <f t="shared" si="292"/>
        <v>10.068627450980392</v>
      </c>
      <c r="O389" s="66">
        <f t="shared" si="292"/>
        <v>10.068627450980392</v>
      </c>
      <c r="P389" s="66">
        <f t="shared" si="292"/>
        <v>10.068627450980392</v>
      </c>
      <c r="Q389" s="66">
        <f t="shared" si="292"/>
        <v>10.068627450980392</v>
      </c>
      <c r="R389" s="66">
        <f t="shared" si="292"/>
        <v>10.068627450980392</v>
      </c>
      <c r="S389" s="66">
        <f t="shared" si="292"/>
        <v>10.068627450980392</v>
      </c>
      <c r="T389" s="66">
        <f t="shared" si="292"/>
        <v>10.068627450980392</v>
      </c>
      <c r="U389" s="66">
        <f t="shared" si="292"/>
        <v>10.068627450980392</v>
      </c>
      <c r="V389" s="66">
        <f t="shared" si="292"/>
        <v>10.068627450980392</v>
      </c>
      <c r="W389" s="66">
        <f t="shared" si="292"/>
        <v>10.068627450980392</v>
      </c>
      <c r="X389" s="66">
        <f t="shared" si="292"/>
        <v>10.068627450980392</v>
      </c>
      <c r="Y389" s="66">
        <f t="shared" si="292"/>
        <v>10.068627450980392</v>
      </c>
      <c r="Z389" s="66">
        <f t="shared" si="292"/>
        <v>10.068627450980392</v>
      </c>
      <c r="AA389" s="66">
        <f t="shared" si="292"/>
        <v>10.068627450980392</v>
      </c>
      <c r="AB389" s="66">
        <f t="shared" si="292"/>
        <v>10.068627450980392</v>
      </c>
      <c r="AC389" s="66">
        <f t="shared" si="292"/>
        <v>10.068627450980392</v>
      </c>
    </row>
    <row r="390" spans="1:29" x14ac:dyDescent="0.25">
      <c r="A390" s="30" t="str">
        <f t="shared" si="287"/>
        <v>Opex maintenance &amp; repair</v>
      </c>
      <c r="B390" s="66">
        <f>B360/B370</f>
        <v>4.0686274509803919</v>
      </c>
      <c r="C390" s="66">
        <f t="shared" ref="C390:AC390" si="293">C360/C370</f>
        <v>4.0686274509803919</v>
      </c>
      <c r="D390" s="66">
        <f t="shared" si="293"/>
        <v>4.0686274509803919</v>
      </c>
      <c r="E390" s="66">
        <f t="shared" si="293"/>
        <v>4.0686274509803919</v>
      </c>
      <c r="F390" s="66">
        <f t="shared" si="293"/>
        <v>4.0686274509803919</v>
      </c>
      <c r="G390" s="66">
        <f t="shared" si="293"/>
        <v>4.0686274509803919</v>
      </c>
      <c r="H390" s="66">
        <f t="shared" si="293"/>
        <v>4.0686274509803919</v>
      </c>
      <c r="I390" s="66">
        <f t="shared" si="293"/>
        <v>4.0686274509803919</v>
      </c>
      <c r="J390" s="66">
        <f t="shared" si="293"/>
        <v>4.0686274509803919</v>
      </c>
      <c r="K390" s="66">
        <f t="shared" si="293"/>
        <v>4.0686274509803919</v>
      </c>
      <c r="L390" s="66">
        <f t="shared" si="293"/>
        <v>4.0686274509803919</v>
      </c>
      <c r="M390" s="66">
        <f t="shared" si="293"/>
        <v>4.0686274509803919</v>
      </c>
      <c r="N390" s="66">
        <f t="shared" si="293"/>
        <v>4.0686274509803919</v>
      </c>
      <c r="O390" s="66">
        <f t="shared" si="293"/>
        <v>4.0686274509803919</v>
      </c>
      <c r="P390" s="66">
        <f t="shared" si="293"/>
        <v>4.0686274509803919</v>
      </c>
      <c r="Q390" s="66">
        <f t="shared" si="293"/>
        <v>4.0686274509803919</v>
      </c>
      <c r="R390" s="66">
        <f t="shared" si="293"/>
        <v>4.0686274509803919</v>
      </c>
      <c r="S390" s="66">
        <f t="shared" si="293"/>
        <v>4.0686274509803919</v>
      </c>
      <c r="T390" s="66">
        <f t="shared" si="293"/>
        <v>4.0686274509803919</v>
      </c>
      <c r="U390" s="66">
        <f t="shared" si="293"/>
        <v>4.0686274509803919</v>
      </c>
      <c r="V390" s="66">
        <f t="shared" si="293"/>
        <v>4.0686274509803919</v>
      </c>
      <c r="W390" s="66">
        <f t="shared" si="293"/>
        <v>4.0686274509803919</v>
      </c>
      <c r="X390" s="66">
        <f t="shared" si="293"/>
        <v>4.0686274509803919</v>
      </c>
      <c r="Y390" s="66">
        <f t="shared" si="293"/>
        <v>4.0686274509803919</v>
      </c>
      <c r="Z390" s="66">
        <f t="shared" si="293"/>
        <v>4.0686274509803919</v>
      </c>
      <c r="AA390" s="66">
        <f t="shared" si="293"/>
        <v>4.0686274509803919</v>
      </c>
      <c r="AB390" s="66">
        <f t="shared" si="293"/>
        <v>4.0686274509803919</v>
      </c>
      <c r="AC390" s="66">
        <f t="shared" si="293"/>
        <v>4.0686274509803919</v>
      </c>
    </row>
    <row r="391" spans="1:29" x14ac:dyDescent="0.25">
      <c r="A391" s="30" t="str">
        <f t="shared" si="287"/>
        <v>Opex var (mode-fees)</v>
      </c>
      <c r="B391" s="66">
        <f>B361*B370/B370</f>
        <v>0.81280569096848254</v>
      </c>
      <c r="C391" s="66">
        <f t="shared" ref="C391:AC391" si="294">C361*C370/C370</f>
        <v>0.81280569096848254</v>
      </c>
      <c r="D391" s="66">
        <f t="shared" si="294"/>
        <v>0.81280569096848254</v>
      </c>
      <c r="E391" s="66">
        <f t="shared" si="294"/>
        <v>0.81280569096848254</v>
      </c>
      <c r="F391" s="66">
        <f t="shared" si="294"/>
        <v>0.81280569096848254</v>
      </c>
      <c r="G391" s="66">
        <f t="shared" si="294"/>
        <v>0.81280569096848254</v>
      </c>
      <c r="H391" s="66">
        <f t="shared" si="294"/>
        <v>0.81280569096848254</v>
      </c>
      <c r="I391" s="66">
        <f t="shared" si="294"/>
        <v>0.81280569096848254</v>
      </c>
      <c r="J391" s="66">
        <f t="shared" si="294"/>
        <v>0.81280569096848254</v>
      </c>
      <c r="K391" s="66">
        <f t="shared" si="294"/>
        <v>0.81280569096848254</v>
      </c>
      <c r="L391" s="66">
        <f t="shared" si="294"/>
        <v>0.81280569096848254</v>
      </c>
      <c r="M391" s="66">
        <f t="shared" si="294"/>
        <v>0.81280569096848254</v>
      </c>
      <c r="N391" s="66">
        <f t="shared" si="294"/>
        <v>0.81280569096848254</v>
      </c>
      <c r="O391" s="66">
        <f t="shared" si="294"/>
        <v>0.81280569096848254</v>
      </c>
      <c r="P391" s="66">
        <f t="shared" si="294"/>
        <v>0.81280569096848254</v>
      </c>
      <c r="Q391" s="66">
        <f t="shared" si="294"/>
        <v>0.81280569096848254</v>
      </c>
      <c r="R391" s="66">
        <f t="shared" si="294"/>
        <v>0.81280569096848254</v>
      </c>
      <c r="S391" s="66">
        <f t="shared" si="294"/>
        <v>0.81280569096848254</v>
      </c>
      <c r="T391" s="66">
        <f t="shared" si="294"/>
        <v>0.81280569096848254</v>
      </c>
      <c r="U391" s="66">
        <f t="shared" si="294"/>
        <v>0.81280569096848254</v>
      </c>
      <c r="V391" s="66">
        <f t="shared" si="294"/>
        <v>0.81280569096848254</v>
      </c>
      <c r="W391" s="66">
        <f t="shared" si="294"/>
        <v>0.81280569096848254</v>
      </c>
      <c r="X391" s="66">
        <f t="shared" si="294"/>
        <v>0.81280569096848254</v>
      </c>
      <c r="Y391" s="66">
        <f t="shared" si="294"/>
        <v>0.81280569096848254</v>
      </c>
      <c r="Z391" s="66">
        <f t="shared" si="294"/>
        <v>0.81280569096848254</v>
      </c>
      <c r="AA391" s="66">
        <f t="shared" si="294"/>
        <v>0.81280569096848254</v>
      </c>
      <c r="AB391" s="66">
        <f t="shared" si="294"/>
        <v>0.81280569096848254</v>
      </c>
      <c r="AC391" s="66">
        <f t="shared" si="294"/>
        <v>0.81280569096848254</v>
      </c>
    </row>
    <row r="392" spans="1:29" x14ac:dyDescent="0.25">
      <c r="A392" s="30" t="str">
        <f t="shared" si="287"/>
        <v>Fuel Cost</v>
      </c>
      <c r="B392" s="66">
        <f>B362*B363*B370/B370</f>
        <v>297.61791829501249</v>
      </c>
      <c r="C392" s="66">
        <f t="shared" ref="C392:AC392" si="295">C362*C363*C370/C370</f>
        <v>297.40160632855475</v>
      </c>
      <c r="D392" s="66">
        <f t="shared" si="295"/>
        <v>297.0920076078429</v>
      </c>
      <c r="E392" s="66">
        <f t="shared" si="295"/>
        <v>296.64920116254757</v>
      </c>
      <c r="F392" s="66">
        <f t="shared" si="295"/>
        <v>296.01652982096829</v>
      </c>
      <c r="G392" s="66">
        <f t="shared" si="295"/>
        <v>295.11397215017541</v>
      </c>
      <c r="H392" s="66">
        <f t="shared" si="295"/>
        <v>293.82932284370634</v>
      </c>
      <c r="I392" s="66">
        <f t="shared" si="295"/>
        <v>292.00694857700063</v>
      </c>
      <c r="J392" s="66">
        <f t="shared" si="295"/>
        <v>289.43448728519553</v>
      </c>
      <c r="K392" s="66">
        <f t="shared" si="295"/>
        <v>285.82930044890151</v>
      </c>
      <c r="L392" s="66">
        <f t="shared" si="295"/>
        <v>280.82940310238058</v>
      </c>
      <c r="M392" s="66">
        <f t="shared" si="295"/>
        <v>273.99859312334286</v>
      </c>
      <c r="N392" s="66">
        <f t="shared" si="295"/>
        <v>264.86217894545257</v>
      </c>
      <c r="O392" s="66">
        <f t="shared" si="295"/>
        <v>252.99427683344464</v>
      </c>
      <c r="P392" s="66">
        <f t="shared" si="295"/>
        <v>238.16981485939459</v>
      </c>
      <c r="Q392" s="66">
        <f t="shared" si="295"/>
        <v>220.55916023933028</v>
      </c>
      <c r="R392" s="66">
        <f t="shared" si="295"/>
        <v>200.87978683736739</v>
      </c>
      <c r="S392" s="66">
        <f t="shared" si="295"/>
        <v>180.37418382603204</v>
      </c>
      <c r="T392" s="66">
        <f t="shared" si="295"/>
        <v>160.54110734244563</v>
      </c>
      <c r="U392" s="66">
        <f t="shared" si="295"/>
        <v>142.71823403752018</v>
      </c>
      <c r="V392" s="66">
        <f t="shared" si="295"/>
        <v>127.74482275848767</v>
      </c>
      <c r="W392" s="66">
        <f t="shared" si="295"/>
        <v>115.86874841216149</v>
      </c>
      <c r="X392" s="66">
        <f t="shared" si="295"/>
        <v>106.87554257578437</v>
      </c>
      <c r="Y392" s="66">
        <f t="shared" si="295"/>
        <v>100.30277400851568</v>
      </c>
      <c r="Z392" s="66">
        <f t="shared" si="295"/>
        <v>95.62305868327033</v>
      </c>
      <c r="AA392" s="66">
        <f t="shared" si="295"/>
        <v>92.353069141439661</v>
      </c>
      <c r="AB392" s="66">
        <f t="shared" si="295"/>
        <v>90.098024414861612</v>
      </c>
      <c r="AC392" s="66">
        <f t="shared" si="295"/>
        <v>88.55700784100155</v>
      </c>
    </row>
    <row r="393" spans="1:29" ht="15.75" thickBot="1" x14ac:dyDescent="0.3">
      <c r="A393" s="59" t="str">
        <f t="shared" ref="A393" si="296">A381</f>
        <v>Emission Cost</v>
      </c>
      <c r="B393" s="66">
        <f>B364</f>
        <v>3.1561641138930518</v>
      </c>
      <c r="C393" s="66">
        <f t="shared" ref="C393:AC393" si="297">C364</f>
        <v>3.1531586766519095</v>
      </c>
      <c r="D393" s="66">
        <f t="shared" si="297"/>
        <v>3.148856460181932</v>
      </c>
      <c r="E393" s="66">
        <f t="shared" si="297"/>
        <v>3.1427018369762418</v>
      </c>
      <c r="F393" s="66">
        <f t="shared" si="297"/>
        <v>3.1339055223302736</v>
      </c>
      <c r="G393" s="66">
        <f t="shared" si="297"/>
        <v>3.1213512803680521</v>
      </c>
      <c r="H393" s="66">
        <f t="shared" si="297"/>
        <v>3.103470959921165</v>
      </c>
      <c r="I393" s="66">
        <f t="shared" si="297"/>
        <v>3.0780834680624944</v>
      </c>
      <c r="J393" s="66">
        <f t="shared" si="297"/>
        <v>3.0422006879024699</v>
      </c>
      <c r="K393" s="66">
        <f t="shared" si="297"/>
        <v>2.9918219119367748</v>
      </c>
      <c r="L393" s="66">
        <f t="shared" si="297"/>
        <v>2.9217771252824751</v>
      </c>
      <c r="M393" s="66">
        <f t="shared" si="297"/>
        <v>2.8257483431601118</v>
      </c>
      <c r="N393" s="66">
        <f t="shared" si="297"/>
        <v>2.6966959500159344</v>
      </c>
      <c r="O393" s="66">
        <f t="shared" si="297"/>
        <v>2.527999541087663</v>
      </c>
      <c r="P393" s="66">
        <f t="shared" si="297"/>
        <v>2.3155549274364571</v>
      </c>
      <c r="Q393" s="66">
        <f t="shared" si="297"/>
        <v>2.0606274892785992</v>
      </c>
      <c r="R393" s="66">
        <f t="shared" si="297"/>
        <v>1.7723622585244727</v>
      </c>
      <c r="S393" s="66">
        <f t="shared" si="297"/>
        <v>1.4680418371398225</v>
      </c>
      <c r="T393" s="66">
        <f t="shared" si="297"/>
        <v>1.1697098724326394</v>
      </c>
      <c r="U393" s="66">
        <f t="shared" si="297"/>
        <v>0.89813214422744192</v>
      </c>
      <c r="V393" s="66">
        <f t="shared" si="297"/>
        <v>0.66732974866522188</v>
      </c>
      <c r="W393" s="66">
        <f t="shared" si="297"/>
        <v>0.48249836418702996</v>
      </c>
      <c r="X393" s="66">
        <f t="shared" si="297"/>
        <v>0.34146381442791984</v>
      </c>
      <c r="Y393" s="66">
        <f t="shared" si="297"/>
        <v>0.23779210936773287</v>
      </c>
      <c r="Z393" s="66">
        <f t="shared" si="297"/>
        <v>0.16366834003345909</v>
      </c>
      <c r="AA393" s="66">
        <f t="shared" si="297"/>
        <v>0.11171852430248297</v>
      </c>
      <c r="AB393" s="66">
        <f t="shared" si="297"/>
        <v>7.5818008547159366E-2</v>
      </c>
      <c r="AC393" s="66">
        <f t="shared" si="297"/>
        <v>5.1249496624470758E-2</v>
      </c>
    </row>
    <row r="394" spans="1:29" ht="15.75" thickBot="1" x14ac:dyDescent="0.3">
      <c r="A394" s="31" t="s">
        <v>63</v>
      </c>
      <c r="B394" s="76">
        <f>B385+B386+B387-B388+B389+B390+B391+B392+B393</f>
        <v>328.51027650880337</v>
      </c>
      <c r="C394" s="76">
        <f t="shared" ref="C394:AC394" si="298">C385+C386+C387-C388+C389+C390+C391+C392+C393</f>
        <v>328.28784664963302</v>
      </c>
      <c r="D394" s="76">
        <f t="shared" si="298"/>
        <v>327.96949030176825</v>
      </c>
      <c r="E394" s="76">
        <f t="shared" si="298"/>
        <v>327.51415545496667</v>
      </c>
      <c r="F394" s="76">
        <f t="shared" si="298"/>
        <v>326.86357826310598</v>
      </c>
      <c r="G394" s="76">
        <f t="shared" si="298"/>
        <v>325.93546507434684</v>
      </c>
      <c r="H394" s="76">
        <f t="shared" si="298"/>
        <v>324.61441844083896</v>
      </c>
      <c r="I394" s="76">
        <f t="shared" si="298"/>
        <v>322.74036518736011</v>
      </c>
      <c r="J394" s="76">
        <f t="shared" si="298"/>
        <v>320.09486061378465</v>
      </c>
      <c r="K394" s="76">
        <f t="shared" si="298"/>
        <v>316.38712232769501</v>
      </c>
      <c r="L394" s="76">
        <f t="shared" si="298"/>
        <v>311.24464123862919</v>
      </c>
      <c r="M394" s="76">
        <f t="shared" si="298"/>
        <v>304.21835428263086</v>
      </c>
      <c r="N394" s="76">
        <f t="shared" si="298"/>
        <v>294.81923999417143</v>
      </c>
      <c r="O394" s="76">
        <f t="shared" si="298"/>
        <v>282.60793808772064</v>
      </c>
      <c r="P394" s="76">
        <f t="shared" si="298"/>
        <v>267.35102211466852</v>
      </c>
      <c r="Q394" s="76">
        <f t="shared" si="298"/>
        <v>249.22143510939577</v>
      </c>
      <c r="R394" s="76">
        <f t="shared" si="298"/>
        <v>228.95526663802463</v>
      </c>
      <c r="S394" s="76">
        <f t="shared" si="298"/>
        <v>207.83018647947455</v>
      </c>
      <c r="T394" s="76">
        <f t="shared" si="298"/>
        <v>187.3898230002311</v>
      </c>
      <c r="U394" s="76">
        <f t="shared" si="298"/>
        <v>169.01412384303413</v>
      </c>
      <c r="V394" s="76">
        <f t="shared" si="298"/>
        <v>153.57088931348605</v>
      </c>
      <c r="W394" s="76">
        <f t="shared" si="298"/>
        <v>141.31857068407388</v>
      </c>
      <c r="X394" s="76">
        <f t="shared" si="298"/>
        <v>132.0382737607892</v>
      </c>
      <c r="Y394" s="76">
        <f t="shared" si="298"/>
        <v>125.254470219905</v>
      </c>
      <c r="Z394" s="76">
        <f t="shared" si="298"/>
        <v>120.42386794149668</v>
      </c>
      <c r="AA394" s="76">
        <f t="shared" si="298"/>
        <v>117.0481289284313</v>
      </c>
      <c r="AB394" s="76">
        <f t="shared" si="298"/>
        <v>114.72000481735957</v>
      </c>
      <c r="AC394" s="76">
        <f t="shared" si="298"/>
        <v>113.12897637900507</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299">A373</f>
        <v>Capex vehicle</v>
      </c>
      <c r="B397" s="65">
        <f>((1+B358)^B365)*B358/(((1+B358)^B365)-1)*(B354)/B370/(B367)</f>
        <v>1.3444866658711308E-3</v>
      </c>
      <c r="C397" s="65">
        <f t="shared" ref="C397:AC397" si="300">((1+C358)^C365)*C358/(((1+C358)^C365)-1)*(C354)/C370/(C367)</f>
        <v>1.344191716288432E-3</v>
      </c>
      <c r="D397" s="65">
        <f t="shared" si="300"/>
        <v>1.3437695025302714E-3</v>
      </c>
      <c r="E397" s="65">
        <f t="shared" si="300"/>
        <v>1.343165496057823E-3</v>
      </c>
      <c r="F397" s="65">
        <f t="shared" si="300"/>
        <v>1.3423022375280494E-3</v>
      </c>
      <c r="G397" s="65">
        <f t="shared" si="300"/>
        <v>1.3410701810481582E-3</v>
      </c>
      <c r="H397" s="65">
        <f t="shared" si="300"/>
        <v>1.3393154303642525E-3</v>
      </c>
      <c r="I397" s="65">
        <f t="shared" si="300"/>
        <v>1.3368239359397552E-3</v>
      </c>
      <c r="J397" s="65">
        <f t="shared" si="300"/>
        <v>1.3333024479880559E-3</v>
      </c>
      <c r="K397" s="65">
        <f t="shared" si="300"/>
        <v>1.3283583424367757E-3</v>
      </c>
      <c r="L397" s="65">
        <f t="shared" si="300"/>
        <v>1.3214842409546043E-3</v>
      </c>
      <c r="M397" s="65">
        <f t="shared" si="300"/>
        <v>1.3120601049831952E-3</v>
      </c>
      <c r="N397" s="65">
        <f t="shared" si="300"/>
        <v>1.2993950760872054E-3</v>
      </c>
      <c r="O397" s="65">
        <f t="shared" si="300"/>
        <v>1.2828394366165034E-3</v>
      </c>
      <c r="P397" s="65">
        <f t="shared" si="300"/>
        <v>1.2619904069694208E-3</v>
      </c>
      <c r="Q397" s="65">
        <f t="shared" si="300"/>
        <v>1.2369721698644108E-3</v>
      </c>
      <c r="R397" s="65">
        <f t="shared" si="300"/>
        <v>1.2086822064761966E-3</v>
      </c>
      <c r="S397" s="65">
        <f t="shared" si="300"/>
        <v>1.1788166081980577E-3</v>
      </c>
      <c r="T397" s="65">
        <f t="shared" si="300"/>
        <v>1.1495387090319981E-3</v>
      </c>
      <c r="U397" s="65">
        <f t="shared" si="300"/>
        <v>1.1228864347779014E-3</v>
      </c>
      <c r="V397" s="65">
        <f t="shared" si="300"/>
        <v>1.1002357970187589E-3</v>
      </c>
      <c r="W397" s="65">
        <f t="shared" si="300"/>
        <v>1.0820966926730776E-3</v>
      </c>
      <c r="X397" s="65">
        <f t="shared" si="300"/>
        <v>1.0682557509864208E-3</v>
      </c>
      <c r="Y397" s="65">
        <f t="shared" si="300"/>
        <v>1.0580815488016001E-3</v>
      </c>
      <c r="Z397" s="65">
        <f t="shared" si="300"/>
        <v>1.0508071414262214E-3</v>
      </c>
      <c r="AA397" s="65">
        <f t="shared" si="300"/>
        <v>1.0457088561380199E-3</v>
      </c>
      <c r="AB397" s="65">
        <f t="shared" si="300"/>
        <v>1.0421856276387688E-3</v>
      </c>
      <c r="AC397" s="65">
        <f t="shared" si="300"/>
        <v>1.0397745068075209E-3</v>
      </c>
    </row>
    <row r="398" spans="1:29" x14ac:dyDescent="0.25">
      <c r="A398" s="30" t="str">
        <f t="shared" si="299"/>
        <v>Residual value (vehicle)</v>
      </c>
      <c r="B398" s="68">
        <f>((1+B358)^B365)*B358/(((1+B358)^B365)-1)*(B355)/B370/(B367)</f>
        <v>-6.7337961459558828E-5</v>
      </c>
      <c r="C398" s="68">
        <f t="shared" ref="C398:AC398" si="301">((1+C358)^C365)*C358/(((1+C358)^C365)-1)*(C355)/C370/(C367)</f>
        <v>-6.7372372244207035E-5</v>
      </c>
      <c r="D398" s="68">
        <f t="shared" si="301"/>
        <v>-6.7421630515992462E-5</v>
      </c>
      <c r="E398" s="68">
        <f t="shared" si="301"/>
        <v>-6.7492097937778083E-5</v>
      </c>
      <c r="F398" s="68">
        <f t="shared" si="301"/>
        <v>-6.7592811432918334E-5</v>
      </c>
      <c r="G398" s="68">
        <f t="shared" si="301"/>
        <v>-6.773655135557234E-5</v>
      </c>
      <c r="H398" s="68">
        <f t="shared" si="301"/>
        <v>-6.7941272268694643E-5</v>
      </c>
      <c r="I398" s="68">
        <f t="shared" si="301"/>
        <v>-6.8231946618219335E-5</v>
      </c>
      <c r="J398" s="68">
        <f t="shared" si="301"/>
        <v>-6.8642786879250924E-5</v>
      </c>
      <c r="K398" s="68">
        <f t="shared" si="301"/>
        <v>-6.9219599193566945E-5</v>
      </c>
      <c r="L398" s="68">
        <f t="shared" si="301"/>
        <v>-7.0021577699820272E-5</v>
      </c>
      <c r="M398" s="68">
        <f t="shared" si="301"/>
        <v>-7.1121060229817985E-5</v>
      </c>
      <c r="N398" s="68">
        <f t="shared" si="301"/>
        <v>-7.2598646934350151E-5</v>
      </c>
      <c r="O398" s="68">
        <f t="shared" si="301"/>
        <v>-7.4530138205932043E-5</v>
      </c>
      <c r="P398" s="68">
        <f t="shared" si="301"/>
        <v>-7.6962524998091712E-5</v>
      </c>
      <c r="Q398" s="68">
        <f t="shared" si="301"/>
        <v>-7.9881319327009486E-5</v>
      </c>
      <c r="R398" s="68">
        <f t="shared" si="301"/>
        <v>-8.3181815055634491E-5</v>
      </c>
      <c r="S398" s="68">
        <f t="shared" si="301"/>
        <v>-8.6666134854750698E-5</v>
      </c>
      <c r="T398" s="68">
        <f t="shared" si="301"/>
        <v>-9.008188975745766E-5</v>
      </c>
      <c r="U398" s="68">
        <f t="shared" si="301"/>
        <v>-9.3191321753768942E-5</v>
      </c>
      <c r="V398" s="68">
        <f t="shared" si="301"/>
        <v>-9.583389615900226E-5</v>
      </c>
      <c r="W398" s="68">
        <f t="shared" si="301"/>
        <v>-9.7950124999331722E-5</v>
      </c>
      <c r="X398" s="68">
        <f t="shared" si="301"/>
        <v>-9.9564901529441686E-5</v>
      </c>
      <c r="Y398" s="68">
        <f t="shared" si="301"/>
        <v>-1.0075189178433743E-4</v>
      </c>
      <c r="Z398" s="68">
        <f t="shared" si="301"/>
        <v>-1.0160057264479828E-4</v>
      </c>
      <c r="AA398" s="68">
        <f t="shared" si="301"/>
        <v>-1.0219537259508843E-4</v>
      </c>
      <c r="AB398" s="68">
        <f t="shared" si="301"/>
        <v>-1.0260641592000108E-4</v>
      </c>
      <c r="AC398" s="68">
        <f t="shared" si="301"/>
        <v>-1.0288771335031333E-4</v>
      </c>
    </row>
    <row r="399" spans="1:29" x14ac:dyDescent="0.25">
      <c r="A399" s="30" t="str">
        <f t="shared" si="299"/>
        <v>Capex costumization</v>
      </c>
      <c r="B399" s="66">
        <f>((1+B358)^B366)*B358/(((1+B358)^B366)-1)*(B356)/B370/(B367)</f>
        <v>6.8982996659853576E-5</v>
      </c>
      <c r="C399" s="66">
        <f t="shared" ref="C399:AC399" si="302">((1+C358)^C366)*C358/(((1+C358)^C366)-1)*(C356)/C370/(C367)</f>
        <v>6.8982996659853576E-5</v>
      </c>
      <c r="D399" s="66">
        <f t="shared" si="302"/>
        <v>6.8982996659853576E-5</v>
      </c>
      <c r="E399" s="66">
        <f t="shared" si="302"/>
        <v>6.8982996659853576E-5</v>
      </c>
      <c r="F399" s="66">
        <f t="shared" si="302"/>
        <v>6.8982996659853576E-5</v>
      </c>
      <c r="G399" s="66">
        <f t="shared" si="302"/>
        <v>6.8982996659853576E-5</v>
      </c>
      <c r="H399" s="66">
        <f t="shared" si="302"/>
        <v>6.8982996659853576E-5</v>
      </c>
      <c r="I399" s="66">
        <f t="shared" si="302"/>
        <v>6.8982996659853576E-5</v>
      </c>
      <c r="J399" s="66">
        <f t="shared" si="302"/>
        <v>6.8982996659853576E-5</v>
      </c>
      <c r="K399" s="66">
        <f t="shared" si="302"/>
        <v>6.8982996659853576E-5</v>
      </c>
      <c r="L399" s="66">
        <f t="shared" si="302"/>
        <v>6.8982996659853576E-5</v>
      </c>
      <c r="M399" s="66">
        <f t="shared" si="302"/>
        <v>6.8982996659853576E-5</v>
      </c>
      <c r="N399" s="66">
        <f t="shared" si="302"/>
        <v>6.8982996659853576E-5</v>
      </c>
      <c r="O399" s="66">
        <f t="shared" si="302"/>
        <v>6.8982996659853576E-5</v>
      </c>
      <c r="P399" s="66">
        <f t="shared" si="302"/>
        <v>6.8982996659853576E-5</v>
      </c>
      <c r="Q399" s="66">
        <f t="shared" si="302"/>
        <v>6.8982996659853576E-5</v>
      </c>
      <c r="R399" s="66">
        <f t="shared" si="302"/>
        <v>6.8982996659853576E-5</v>
      </c>
      <c r="S399" s="66">
        <f t="shared" si="302"/>
        <v>6.8982996659853576E-5</v>
      </c>
      <c r="T399" s="66">
        <f t="shared" si="302"/>
        <v>6.8982996659853576E-5</v>
      </c>
      <c r="U399" s="66">
        <f t="shared" si="302"/>
        <v>6.8982996659853576E-5</v>
      </c>
      <c r="V399" s="66">
        <f t="shared" si="302"/>
        <v>6.8982996659853576E-5</v>
      </c>
      <c r="W399" s="66">
        <f t="shared" si="302"/>
        <v>6.8982996659853576E-5</v>
      </c>
      <c r="X399" s="66">
        <f t="shared" si="302"/>
        <v>6.8982996659853576E-5</v>
      </c>
      <c r="Y399" s="66">
        <f t="shared" si="302"/>
        <v>6.8982996659853576E-5</v>
      </c>
      <c r="Z399" s="66">
        <f t="shared" si="302"/>
        <v>6.8982996659853576E-5</v>
      </c>
      <c r="AA399" s="66">
        <f t="shared" si="302"/>
        <v>6.8982996659853576E-5</v>
      </c>
      <c r="AB399" s="66">
        <f t="shared" si="302"/>
        <v>6.8982996659853576E-5</v>
      </c>
      <c r="AC399" s="66">
        <f t="shared" si="302"/>
        <v>6.8982996659853576E-5</v>
      </c>
    </row>
    <row r="400" spans="1:29" x14ac:dyDescent="0.25">
      <c r="A400" s="30" t="str">
        <f t="shared" si="299"/>
        <v>Residual value (costumization)</v>
      </c>
      <c r="B400" s="69">
        <f>((1+B358)^B366)*B358/(((1+B358)^B366)-1)*(B357)/B370/(B367)</f>
        <v>-6.8982996659853564E-6</v>
      </c>
      <c r="C400" s="69">
        <f t="shared" ref="C400:AC400" si="303">((1+C358)^C366)*C358/(((1+C358)^C366)-1)*(C357)/C370/(C367)</f>
        <v>-6.8982996659853564E-6</v>
      </c>
      <c r="D400" s="69">
        <f t="shared" si="303"/>
        <v>-6.8982996659853564E-6</v>
      </c>
      <c r="E400" s="69">
        <f t="shared" si="303"/>
        <v>-6.8982996659853564E-6</v>
      </c>
      <c r="F400" s="69">
        <f t="shared" si="303"/>
        <v>-6.8982996659853564E-6</v>
      </c>
      <c r="G400" s="69">
        <f t="shared" si="303"/>
        <v>-6.8982996659853564E-6</v>
      </c>
      <c r="H400" s="69">
        <f t="shared" si="303"/>
        <v>-6.8982996659853564E-6</v>
      </c>
      <c r="I400" s="69">
        <f t="shared" si="303"/>
        <v>-6.8982996659853564E-6</v>
      </c>
      <c r="J400" s="69">
        <f t="shared" si="303"/>
        <v>-6.8982996659853564E-6</v>
      </c>
      <c r="K400" s="69">
        <f t="shared" si="303"/>
        <v>-6.8982996659853564E-6</v>
      </c>
      <c r="L400" s="69">
        <f t="shared" si="303"/>
        <v>-6.8982996659853564E-6</v>
      </c>
      <c r="M400" s="69">
        <f t="shared" si="303"/>
        <v>-6.8982996659853564E-6</v>
      </c>
      <c r="N400" s="69">
        <f t="shared" si="303"/>
        <v>-6.8982996659853564E-6</v>
      </c>
      <c r="O400" s="69">
        <f t="shared" si="303"/>
        <v>-6.8982996659853564E-6</v>
      </c>
      <c r="P400" s="69">
        <f t="shared" si="303"/>
        <v>-6.8982996659853564E-6</v>
      </c>
      <c r="Q400" s="69">
        <f t="shared" si="303"/>
        <v>-6.8982996659853564E-6</v>
      </c>
      <c r="R400" s="69">
        <f t="shared" si="303"/>
        <v>-6.8982996659853564E-6</v>
      </c>
      <c r="S400" s="69">
        <f t="shared" si="303"/>
        <v>-6.8982996659853564E-6</v>
      </c>
      <c r="T400" s="69">
        <f t="shared" si="303"/>
        <v>-6.8982996659853564E-6</v>
      </c>
      <c r="U400" s="69">
        <f t="shared" si="303"/>
        <v>-6.8982996659853564E-6</v>
      </c>
      <c r="V400" s="69">
        <f t="shared" si="303"/>
        <v>-6.8982996659853564E-6</v>
      </c>
      <c r="W400" s="69">
        <f t="shared" si="303"/>
        <v>-6.8982996659853564E-6</v>
      </c>
      <c r="X400" s="69">
        <f t="shared" si="303"/>
        <v>-6.8982996659853564E-6</v>
      </c>
      <c r="Y400" s="69">
        <f t="shared" si="303"/>
        <v>-6.8982996659853564E-6</v>
      </c>
      <c r="Z400" s="69">
        <f t="shared" si="303"/>
        <v>-6.8982996659853564E-6</v>
      </c>
      <c r="AA400" s="69">
        <f t="shared" si="303"/>
        <v>-6.8982996659853564E-6</v>
      </c>
      <c r="AB400" s="69">
        <f t="shared" si="303"/>
        <v>-6.8982996659853564E-6</v>
      </c>
      <c r="AC400" s="69">
        <f t="shared" si="303"/>
        <v>-6.8982996659853564E-6</v>
      </c>
    </row>
    <row r="401" spans="1:29" x14ac:dyDescent="0.25">
      <c r="A401" s="30" t="str">
        <f t="shared" si="299"/>
        <v>Opex fix (admin, crew, insurance)</v>
      </c>
      <c r="B401" s="66">
        <f>B359/B370/(B367)</f>
        <v>1.0654632223259673E-3</v>
      </c>
      <c r="C401" s="66">
        <f t="shared" ref="C401:AC401" si="304">C359/C370/(C367)</f>
        <v>1.0654632223259673E-3</v>
      </c>
      <c r="D401" s="66">
        <f t="shared" si="304"/>
        <v>1.0654632223259673E-3</v>
      </c>
      <c r="E401" s="66">
        <f t="shared" si="304"/>
        <v>1.0654632223259673E-3</v>
      </c>
      <c r="F401" s="66">
        <f t="shared" si="304"/>
        <v>1.0654632223259673E-3</v>
      </c>
      <c r="G401" s="66">
        <f t="shared" si="304"/>
        <v>1.0654632223259673E-3</v>
      </c>
      <c r="H401" s="66">
        <f t="shared" si="304"/>
        <v>1.0654632223259673E-3</v>
      </c>
      <c r="I401" s="66">
        <f t="shared" si="304"/>
        <v>1.0654632223259673E-3</v>
      </c>
      <c r="J401" s="66">
        <f t="shared" si="304"/>
        <v>1.0654632223259673E-3</v>
      </c>
      <c r="K401" s="66">
        <f t="shared" si="304"/>
        <v>1.0654632223259673E-3</v>
      </c>
      <c r="L401" s="66">
        <f t="shared" si="304"/>
        <v>1.0654632223259673E-3</v>
      </c>
      <c r="M401" s="66">
        <f t="shared" si="304"/>
        <v>1.0654632223259673E-3</v>
      </c>
      <c r="N401" s="66">
        <f t="shared" si="304"/>
        <v>1.0654632223259673E-3</v>
      </c>
      <c r="O401" s="66">
        <f t="shared" si="304"/>
        <v>1.0654632223259673E-3</v>
      </c>
      <c r="P401" s="66">
        <f t="shared" si="304"/>
        <v>1.0654632223259673E-3</v>
      </c>
      <c r="Q401" s="66">
        <f t="shared" si="304"/>
        <v>1.0654632223259673E-3</v>
      </c>
      <c r="R401" s="66">
        <f t="shared" si="304"/>
        <v>1.0654632223259673E-3</v>
      </c>
      <c r="S401" s="66">
        <f t="shared" si="304"/>
        <v>1.0654632223259673E-3</v>
      </c>
      <c r="T401" s="66">
        <f t="shared" si="304"/>
        <v>1.0654632223259673E-3</v>
      </c>
      <c r="U401" s="66">
        <f t="shared" si="304"/>
        <v>1.0654632223259673E-3</v>
      </c>
      <c r="V401" s="66">
        <f t="shared" si="304"/>
        <v>1.0654632223259673E-3</v>
      </c>
      <c r="W401" s="66">
        <f t="shared" si="304"/>
        <v>1.0654632223259673E-3</v>
      </c>
      <c r="X401" s="66">
        <f t="shared" si="304"/>
        <v>1.0654632223259673E-3</v>
      </c>
      <c r="Y401" s="66">
        <f t="shared" si="304"/>
        <v>1.0654632223259673E-3</v>
      </c>
      <c r="Z401" s="66">
        <f t="shared" si="304"/>
        <v>1.0654632223259673E-3</v>
      </c>
      <c r="AA401" s="66">
        <f t="shared" si="304"/>
        <v>1.0654632223259673E-3</v>
      </c>
      <c r="AB401" s="66">
        <f t="shared" si="304"/>
        <v>1.0654632223259673E-3</v>
      </c>
      <c r="AC401" s="66">
        <f t="shared" si="304"/>
        <v>1.0654632223259673E-3</v>
      </c>
    </row>
    <row r="402" spans="1:29" x14ac:dyDescent="0.25">
      <c r="A402" s="30" t="str">
        <f t="shared" si="299"/>
        <v>Opex maintenance &amp; repair</v>
      </c>
      <c r="B402" s="66">
        <f>B360/B370/(B367)</f>
        <v>4.305425874053325E-4</v>
      </c>
      <c r="C402" s="66">
        <f t="shared" ref="C402:AC402" si="305">C360/C370/(C367)</f>
        <v>4.305425874053325E-4</v>
      </c>
      <c r="D402" s="66">
        <f t="shared" si="305"/>
        <v>4.305425874053325E-4</v>
      </c>
      <c r="E402" s="66">
        <f t="shared" si="305"/>
        <v>4.305425874053325E-4</v>
      </c>
      <c r="F402" s="66">
        <f t="shared" si="305"/>
        <v>4.305425874053325E-4</v>
      </c>
      <c r="G402" s="66">
        <f t="shared" si="305"/>
        <v>4.305425874053325E-4</v>
      </c>
      <c r="H402" s="66">
        <f t="shared" si="305"/>
        <v>4.305425874053325E-4</v>
      </c>
      <c r="I402" s="66">
        <f t="shared" si="305"/>
        <v>4.305425874053325E-4</v>
      </c>
      <c r="J402" s="66">
        <f t="shared" si="305"/>
        <v>4.305425874053325E-4</v>
      </c>
      <c r="K402" s="66">
        <f t="shared" si="305"/>
        <v>4.305425874053325E-4</v>
      </c>
      <c r="L402" s="66">
        <f t="shared" si="305"/>
        <v>4.305425874053325E-4</v>
      </c>
      <c r="M402" s="66">
        <f t="shared" si="305"/>
        <v>4.305425874053325E-4</v>
      </c>
      <c r="N402" s="66">
        <f t="shared" si="305"/>
        <v>4.305425874053325E-4</v>
      </c>
      <c r="O402" s="66">
        <f t="shared" si="305"/>
        <v>4.305425874053325E-4</v>
      </c>
      <c r="P402" s="66">
        <f t="shared" si="305"/>
        <v>4.305425874053325E-4</v>
      </c>
      <c r="Q402" s="66">
        <f t="shared" si="305"/>
        <v>4.305425874053325E-4</v>
      </c>
      <c r="R402" s="66">
        <f t="shared" si="305"/>
        <v>4.305425874053325E-4</v>
      </c>
      <c r="S402" s="66">
        <f t="shared" si="305"/>
        <v>4.305425874053325E-4</v>
      </c>
      <c r="T402" s="66">
        <f t="shared" si="305"/>
        <v>4.305425874053325E-4</v>
      </c>
      <c r="U402" s="66">
        <f t="shared" si="305"/>
        <v>4.305425874053325E-4</v>
      </c>
      <c r="V402" s="66">
        <f t="shared" si="305"/>
        <v>4.305425874053325E-4</v>
      </c>
      <c r="W402" s="66">
        <f t="shared" si="305"/>
        <v>4.305425874053325E-4</v>
      </c>
      <c r="X402" s="66">
        <f t="shared" si="305"/>
        <v>4.305425874053325E-4</v>
      </c>
      <c r="Y402" s="66">
        <f t="shared" si="305"/>
        <v>4.305425874053325E-4</v>
      </c>
      <c r="Z402" s="66">
        <f t="shared" si="305"/>
        <v>4.305425874053325E-4</v>
      </c>
      <c r="AA402" s="66">
        <f t="shared" si="305"/>
        <v>4.305425874053325E-4</v>
      </c>
      <c r="AB402" s="66">
        <f t="shared" si="305"/>
        <v>4.305425874053325E-4</v>
      </c>
      <c r="AC402" s="66">
        <f t="shared" si="305"/>
        <v>4.305425874053325E-4</v>
      </c>
    </row>
    <row r="403" spans="1:29" x14ac:dyDescent="0.25">
      <c r="A403" s="30" t="str">
        <f t="shared" si="299"/>
        <v>Opex var (mode-fees)</v>
      </c>
      <c r="B403" s="66">
        <f>B361*B370/B370/(B367)</f>
        <v>8.6011184229469056E-5</v>
      </c>
      <c r="C403" s="66">
        <f t="shared" ref="C403:AC403" si="306">C361*C370/C370/(C367)</f>
        <v>8.6011184229469056E-5</v>
      </c>
      <c r="D403" s="66">
        <f t="shared" si="306"/>
        <v>8.6011184229469056E-5</v>
      </c>
      <c r="E403" s="66">
        <f t="shared" si="306"/>
        <v>8.6011184229469056E-5</v>
      </c>
      <c r="F403" s="66">
        <f t="shared" si="306"/>
        <v>8.6011184229469056E-5</v>
      </c>
      <c r="G403" s="66">
        <f t="shared" si="306"/>
        <v>8.6011184229469056E-5</v>
      </c>
      <c r="H403" s="66">
        <f t="shared" si="306"/>
        <v>8.6011184229469056E-5</v>
      </c>
      <c r="I403" s="66">
        <f t="shared" si="306"/>
        <v>8.6011184229469056E-5</v>
      </c>
      <c r="J403" s="66">
        <f t="shared" si="306"/>
        <v>8.6011184229469056E-5</v>
      </c>
      <c r="K403" s="66">
        <f t="shared" si="306"/>
        <v>8.6011184229469056E-5</v>
      </c>
      <c r="L403" s="66">
        <f t="shared" si="306"/>
        <v>8.6011184229469056E-5</v>
      </c>
      <c r="M403" s="66">
        <f t="shared" si="306"/>
        <v>8.6011184229469056E-5</v>
      </c>
      <c r="N403" s="66">
        <f t="shared" si="306"/>
        <v>8.6011184229469056E-5</v>
      </c>
      <c r="O403" s="66">
        <f t="shared" si="306"/>
        <v>8.6011184229469056E-5</v>
      </c>
      <c r="P403" s="66">
        <f t="shared" si="306"/>
        <v>8.6011184229469056E-5</v>
      </c>
      <c r="Q403" s="66">
        <f t="shared" si="306"/>
        <v>8.6011184229469056E-5</v>
      </c>
      <c r="R403" s="66">
        <f t="shared" si="306"/>
        <v>8.6011184229469056E-5</v>
      </c>
      <c r="S403" s="66">
        <f t="shared" si="306"/>
        <v>8.6011184229469056E-5</v>
      </c>
      <c r="T403" s="66">
        <f t="shared" si="306"/>
        <v>8.6011184229469056E-5</v>
      </c>
      <c r="U403" s="66">
        <f t="shared" si="306"/>
        <v>8.6011184229469056E-5</v>
      </c>
      <c r="V403" s="66">
        <f t="shared" si="306"/>
        <v>8.6011184229469056E-5</v>
      </c>
      <c r="W403" s="66">
        <f t="shared" si="306"/>
        <v>8.6011184229469056E-5</v>
      </c>
      <c r="X403" s="66">
        <f t="shared" si="306"/>
        <v>8.6011184229469056E-5</v>
      </c>
      <c r="Y403" s="66">
        <f t="shared" si="306"/>
        <v>8.6011184229469056E-5</v>
      </c>
      <c r="Z403" s="66">
        <f t="shared" si="306"/>
        <v>8.6011184229469056E-5</v>
      </c>
      <c r="AA403" s="66">
        <f t="shared" si="306"/>
        <v>8.6011184229469056E-5</v>
      </c>
      <c r="AB403" s="66">
        <f t="shared" si="306"/>
        <v>8.6011184229469056E-5</v>
      </c>
      <c r="AC403" s="66">
        <f t="shared" si="306"/>
        <v>8.6011184229469056E-5</v>
      </c>
    </row>
    <row r="404" spans="1:29" x14ac:dyDescent="0.25">
      <c r="A404" s="30" t="str">
        <f t="shared" si="299"/>
        <v>Fuel Cost</v>
      </c>
      <c r="B404" s="66">
        <f>B362*B363*B370/B370/(B367)</f>
        <v>3.1493959607937827E-2</v>
      </c>
      <c r="C404" s="66">
        <f t="shared" ref="C404:AC404" si="307">C362*C363*C370/C370/(C367)</f>
        <v>3.1471069452757114E-2</v>
      </c>
      <c r="D404" s="66">
        <f t="shared" si="307"/>
        <v>3.1438307683369617E-2</v>
      </c>
      <c r="E404" s="66">
        <f t="shared" si="307"/>
        <v>3.1391449858470644E-2</v>
      </c>
      <c r="F404" s="66">
        <f t="shared" si="307"/>
        <v>3.1324500510155374E-2</v>
      </c>
      <c r="G404" s="66">
        <f t="shared" si="307"/>
        <v>3.1228991761923324E-2</v>
      </c>
      <c r="H404" s="66">
        <f t="shared" si="307"/>
        <v>3.1093050036371042E-2</v>
      </c>
      <c r="I404" s="66">
        <f t="shared" si="307"/>
        <v>3.0900206198624405E-2</v>
      </c>
      <c r="J404" s="66">
        <f t="shared" si="307"/>
        <v>3.0627988072507464E-2</v>
      </c>
      <c r="K404" s="66">
        <f t="shared" si="307"/>
        <v>3.0246486819989576E-2</v>
      </c>
      <c r="L404" s="66">
        <f t="shared" si="307"/>
        <v>2.9717397153691066E-2</v>
      </c>
      <c r="M404" s="66">
        <f t="shared" si="307"/>
        <v>2.8994560118872258E-2</v>
      </c>
      <c r="N404" s="66">
        <f t="shared" si="307"/>
        <v>2.8027743803751594E-2</v>
      </c>
      <c r="O404" s="66">
        <f t="shared" si="307"/>
        <v>2.6771881146396257E-2</v>
      </c>
      <c r="P404" s="66">
        <f t="shared" si="307"/>
        <v>2.5203155011576148E-2</v>
      </c>
      <c r="Q404" s="66">
        <f t="shared" si="307"/>
        <v>2.3339593676119607E-2</v>
      </c>
      <c r="R404" s="66">
        <f t="shared" si="307"/>
        <v>2.1257120300250516E-2</v>
      </c>
      <c r="S404" s="66">
        <f t="shared" si="307"/>
        <v>1.908721521968593E-2</v>
      </c>
      <c r="T404" s="66">
        <f t="shared" si="307"/>
        <v>1.6988476967454563E-2</v>
      </c>
      <c r="U404" s="66">
        <f t="shared" si="307"/>
        <v>1.5102458628309013E-2</v>
      </c>
      <c r="V404" s="66">
        <f t="shared" si="307"/>
        <v>1.3517970662273828E-2</v>
      </c>
      <c r="W404" s="66">
        <f t="shared" si="307"/>
        <v>1.2261243218218148E-2</v>
      </c>
      <c r="X404" s="66">
        <f t="shared" si="307"/>
        <v>1.1309581224950727E-2</v>
      </c>
      <c r="Y404" s="66">
        <f t="shared" si="307"/>
        <v>1.0614050159631289E-2</v>
      </c>
      <c r="Z404" s="66">
        <f t="shared" si="307"/>
        <v>1.0118842188705854E-2</v>
      </c>
      <c r="AA404" s="66">
        <f t="shared" si="307"/>
        <v>9.772811549358695E-3</v>
      </c>
      <c r="AB404" s="66">
        <f t="shared" si="307"/>
        <v>9.5341824777631333E-3</v>
      </c>
      <c r="AC404" s="66">
        <f t="shared" si="307"/>
        <v>9.3711119408467249E-3</v>
      </c>
    </row>
    <row r="405" spans="1:29" x14ac:dyDescent="0.25">
      <c r="A405" s="59" t="str">
        <f>A368</f>
        <v>Market failure (av. utilization)</v>
      </c>
      <c r="B405" s="66">
        <f t="shared" ref="B405:AC405" si="308">B394/B368-B394/B367</f>
        <v>1.6359055163837073E-2</v>
      </c>
      <c r="C405" s="66">
        <f t="shared" si="308"/>
        <v>1.6347978669138272E-2</v>
      </c>
      <c r="D405" s="66">
        <f t="shared" si="308"/>
        <v>1.6332125256234946E-2</v>
      </c>
      <c r="E405" s="66">
        <f t="shared" si="308"/>
        <v>1.6309450629565715E-2</v>
      </c>
      <c r="F405" s="66">
        <f t="shared" si="308"/>
        <v>1.6277053383783671E-2</v>
      </c>
      <c r="G405" s="66">
        <f t="shared" si="308"/>
        <v>1.6230835484561307E-2</v>
      </c>
      <c r="H405" s="66">
        <f t="shared" si="308"/>
        <v>1.6165050404772549E-2</v>
      </c>
      <c r="I405" s="66">
        <f t="shared" si="308"/>
        <v>1.6071726868962834E-2</v>
      </c>
      <c r="J405" s="66">
        <f t="shared" si="308"/>
        <v>1.5939986834175385E-2</v>
      </c>
      <c r="K405" s="66">
        <f t="shared" si="308"/>
        <v>1.5755350006981382E-2</v>
      </c>
      <c r="L405" s="66">
        <f t="shared" si="308"/>
        <v>1.5499266292617692E-2</v>
      </c>
      <c r="M405" s="66">
        <f t="shared" si="308"/>
        <v>1.5149373384755964E-2</v>
      </c>
      <c r="N405" s="66">
        <f t="shared" si="308"/>
        <v>1.4681319140699475E-2</v>
      </c>
      <c r="O405" s="66">
        <f t="shared" si="308"/>
        <v>1.4073224430138587E-2</v>
      </c>
      <c r="P405" s="66">
        <f t="shared" si="308"/>
        <v>1.3313465153547137E-2</v>
      </c>
      <c r="Q405" s="66">
        <f t="shared" si="308"/>
        <v>1.2410653475724651E-2</v>
      </c>
      <c r="R405" s="66">
        <f t="shared" si="308"/>
        <v>1.1401444961744143E-2</v>
      </c>
      <c r="S405" s="66">
        <f t="shared" si="308"/>
        <v>1.0349464623938969E-2</v>
      </c>
      <c r="T405" s="66">
        <f t="shared" si="308"/>
        <v>9.3315815997625159E-3</v>
      </c>
      <c r="U405" s="66">
        <f t="shared" si="308"/>
        <v>8.4165141036058044E-3</v>
      </c>
      <c r="V405" s="66">
        <f t="shared" si="308"/>
        <v>7.6474765920192221E-3</v>
      </c>
      <c r="W405" s="66">
        <f t="shared" si="308"/>
        <v>7.0373393431222564E-3</v>
      </c>
      <c r="X405" s="66">
        <f t="shared" si="308"/>
        <v>6.5752019301980272E-3</v>
      </c>
      <c r="Y405" s="66">
        <f t="shared" si="308"/>
        <v>6.2373841379348861E-3</v>
      </c>
      <c r="Z405" s="66">
        <f t="shared" si="308"/>
        <v>5.9968312700402933E-3</v>
      </c>
      <c r="AA405" s="66">
        <f t="shared" si="308"/>
        <v>5.8287272420009337E-3</v>
      </c>
      <c r="AB405" s="66">
        <f t="shared" si="308"/>
        <v>5.7127920232734296E-3</v>
      </c>
      <c r="AC405" s="66">
        <f t="shared" si="308"/>
        <v>5.6335624714101452E-3</v>
      </c>
    </row>
    <row r="406" spans="1:29" x14ac:dyDescent="0.25">
      <c r="A406" s="59" t="str">
        <f>A369</f>
        <v>Payload loss (fuel)</v>
      </c>
      <c r="B406" s="66">
        <f>B394/(B367-B369)-B394/B367</f>
        <v>1.4484580092980759E-3</v>
      </c>
      <c r="C406" s="66">
        <f t="shared" ref="C406:AC406" si="309">C394/(C367-C369)-C394/C367</f>
        <v>1.4474772779966213E-3</v>
      </c>
      <c r="D406" s="66">
        <f t="shared" si="309"/>
        <v>1.4460735903958008E-3</v>
      </c>
      <c r="E406" s="66">
        <f t="shared" si="309"/>
        <v>1.4440659411594642E-3</v>
      </c>
      <c r="F406" s="66">
        <f t="shared" si="309"/>
        <v>1.4411974350225162E-3</v>
      </c>
      <c r="G406" s="66">
        <f t="shared" si="309"/>
        <v>1.4371052251955299E-3</v>
      </c>
      <c r="H406" s="66">
        <f t="shared" si="309"/>
        <v>1.4312805045892385E-3</v>
      </c>
      <c r="I406" s="66">
        <f t="shared" si="309"/>
        <v>1.4230174831894177E-3</v>
      </c>
      <c r="J406" s="66">
        <f t="shared" si="309"/>
        <v>1.4113530009426112E-3</v>
      </c>
      <c r="K406" s="66">
        <f t="shared" si="309"/>
        <v>1.3950049485348115E-3</v>
      </c>
      <c r="L406" s="66">
        <f t="shared" si="309"/>
        <v>1.3723308696588568E-3</v>
      </c>
      <c r="M406" s="66">
        <f t="shared" si="309"/>
        <v>1.3413507684419401E-3</v>
      </c>
      <c r="N406" s="66">
        <f t="shared" si="309"/>
        <v>1.2999084655827657E-3</v>
      </c>
      <c r="O406" s="66">
        <f t="shared" si="309"/>
        <v>1.2460667464185213E-3</v>
      </c>
      <c r="P406" s="66">
        <f t="shared" si="309"/>
        <v>1.1787963938036557E-3</v>
      </c>
      <c r="Q406" s="66">
        <f t="shared" si="309"/>
        <v>1.0988599431631212E-3</v>
      </c>
      <c r="R406" s="66">
        <f t="shared" si="309"/>
        <v>1.0095029393210955E-3</v>
      </c>
      <c r="S406" s="66">
        <f t="shared" si="309"/>
        <v>9.163588469112624E-4</v>
      </c>
      <c r="T406" s="66">
        <f t="shared" si="309"/>
        <v>8.2623378747897352E-4</v>
      </c>
      <c r="U406" s="66">
        <f t="shared" si="309"/>
        <v>7.4521218625676552E-4</v>
      </c>
      <c r="V406" s="66">
        <f t="shared" si="309"/>
        <v>6.7712032325170299E-4</v>
      </c>
      <c r="W406" s="66">
        <f t="shared" si="309"/>
        <v>6.2309775433895022E-4</v>
      </c>
      <c r="X406" s="66">
        <f t="shared" si="309"/>
        <v>5.8217933756961847E-4</v>
      </c>
      <c r="Y406" s="66">
        <f t="shared" si="309"/>
        <v>5.5226838721298549E-4</v>
      </c>
      <c r="Z406" s="66">
        <f t="shared" si="309"/>
        <v>5.3096943536815044E-4</v>
      </c>
      <c r="AA406" s="66">
        <f t="shared" si="309"/>
        <v>5.1608522455216625E-4</v>
      </c>
      <c r="AB406" s="66">
        <f t="shared" si="309"/>
        <v>5.0582012706066812E-4</v>
      </c>
      <c r="AC406" s="66">
        <f t="shared" si="309"/>
        <v>4.9880501048943891E-4</v>
      </c>
    </row>
    <row r="407" spans="1:29" ht="15.75" thickBot="1" x14ac:dyDescent="0.3">
      <c r="A407" s="59" t="str">
        <f>A344</f>
        <v>Emission Cost</v>
      </c>
      <c r="B407" s="68">
        <f>B364*B370/B370/(B367)</f>
        <v>3.3398562051778328E-4</v>
      </c>
      <c r="C407" s="68">
        <f t="shared" ref="C407:AC407" si="310">C364*C370/C370/(C367)</f>
        <v>3.3366758483088988E-4</v>
      </c>
      <c r="D407" s="68">
        <f t="shared" si="310"/>
        <v>3.3321232382877585E-4</v>
      </c>
      <c r="E407" s="68">
        <f t="shared" si="310"/>
        <v>3.3256104094986681E-4</v>
      </c>
      <c r="F407" s="68">
        <f t="shared" si="310"/>
        <v>3.3163021400320358E-4</v>
      </c>
      <c r="G407" s="68">
        <f t="shared" si="310"/>
        <v>3.3030172279027004E-4</v>
      </c>
      <c r="H407" s="68">
        <f t="shared" si="310"/>
        <v>3.2840962538848302E-4</v>
      </c>
      <c r="I407" s="68">
        <f t="shared" si="310"/>
        <v>3.2572311831349148E-4</v>
      </c>
      <c r="J407" s="68">
        <f t="shared" si="310"/>
        <v>3.2192599871983809E-4</v>
      </c>
      <c r="K407" s="68">
        <f t="shared" si="310"/>
        <v>3.1659491131606082E-4</v>
      </c>
      <c r="L407" s="68">
        <f t="shared" si="310"/>
        <v>3.091827645801561E-4</v>
      </c>
      <c r="M407" s="68">
        <f t="shared" si="310"/>
        <v>2.9902098869419172E-4</v>
      </c>
      <c r="N407" s="68">
        <f t="shared" si="310"/>
        <v>2.8536465079533697E-4</v>
      </c>
      <c r="O407" s="68">
        <f t="shared" si="310"/>
        <v>2.6751317895107546E-4</v>
      </c>
      <c r="P407" s="68">
        <f t="shared" si="310"/>
        <v>2.4503226745359335E-4</v>
      </c>
      <c r="Q407" s="68">
        <f t="shared" si="310"/>
        <v>2.1805581897128034E-4</v>
      </c>
      <c r="R407" s="68">
        <f t="shared" si="310"/>
        <v>1.8755156174862146E-4</v>
      </c>
      <c r="S407" s="68">
        <f t="shared" si="310"/>
        <v>1.5534834255447857E-4</v>
      </c>
      <c r="T407" s="68">
        <f t="shared" si="310"/>
        <v>1.2377882247964437E-4</v>
      </c>
      <c r="U407" s="68">
        <f t="shared" si="310"/>
        <v>9.5040438542586453E-5</v>
      </c>
      <c r="V407" s="68">
        <f t="shared" si="310"/>
        <v>7.06169046206584E-5</v>
      </c>
      <c r="W407" s="68">
        <f t="shared" si="310"/>
        <v>5.1058027956299464E-5</v>
      </c>
      <c r="X407" s="68">
        <f t="shared" si="310"/>
        <v>3.6133736976499454E-5</v>
      </c>
      <c r="Y407" s="68">
        <f t="shared" si="310"/>
        <v>2.5163186176479669E-5</v>
      </c>
      <c r="Z407" s="68">
        <f t="shared" si="310"/>
        <v>1.7319401061741704E-5</v>
      </c>
      <c r="AA407" s="68">
        <f t="shared" si="310"/>
        <v>1.1822066063754811E-5</v>
      </c>
      <c r="AB407" s="68">
        <f t="shared" si="310"/>
        <v>8.0230696875300903E-6</v>
      </c>
      <c r="AC407" s="68">
        <f t="shared" si="310"/>
        <v>5.4232271560286516E-6</v>
      </c>
    </row>
    <row r="408" spans="1:29" ht="15.75" thickBot="1" x14ac:dyDescent="0.3">
      <c r="A408" s="31" t="s">
        <v>210</v>
      </c>
      <c r="B408" s="67">
        <f>B397+B398+B399+B400+B401+B402+B403+B404+B405+B406+B407</f>
        <v>5.2556708796956973E-2</v>
      </c>
      <c r="C408" s="67">
        <f t="shared" ref="C408:AC408" si="311">C397+C398+C399+C400+C401+C402+C403+C404+C405+C406+C407</f>
        <v>5.252111401972176E-2</v>
      </c>
      <c r="D408" s="67">
        <f t="shared" si="311"/>
        <v>5.2470168416798052E-2</v>
      </c>
      <c r="E408" s="67">
        <f t="shared" si="311"/>
        <v>5.2397302559220371E-2</v>
      </c>
      <c r="F408" s="67">
        <f t="shared" si="311"/>
        <v>5.2293192660014531E-2</v>
      </c>
      <c r="G408" s="67">
        <f t="shared" si="311"/>
        <v>5.2144669515117655E-2</v>
      </c>
      <c r="H408" s="67">
        <f t="shared" si="311"/>
        <v>5.1933266420171507E-2</v>
      </c>
      <c r="I408" s="67">
        <f t="shared" si="311"/>
        <v>5.163336734936632E-2</v>
      </c>
      <c r="J408" s="67">
        <f t="shared" si="311"/>
        <v>5.1210015258408736E-2</v>
      </c>
      <c r="K408" s="67">
        <f t="shared" si="311"/>
        <v>5.0616677121019679E-2</v>
      </c>
      <c r="L408" s="67">
        <f t="shared" si="311"/>
        <v>4.9793741434757191E-2</v>
      </c>
      <c r="M408" s="67">
        <f t="shared" si="311"/>
        <v>4.8669345996472373E-2</v>
      </c>
      <c r="N408" s="67">
        <f t="shared" si="311"/>
        <v>4.7165234180936662E-2</v>
      </c>
      <c r="O408" s="67">
        <f t="shared" si="311"/>
        <v>4.5211096491269649E-2</v>
      </c>
      <c r="P408" s="67">
        <f t="shared" si="311"/>
        <v>4.2769578399306493E-2</v>
      </c>
      <c r="Q408" s="67">
        <f t="shared" si="311"/>
        <v>3.9868355455470704E-2</v>
      </c>
      <c r="R408" s="67">
        <f t="shared" si="311"/>
        <v>3.6625221845439579E-2</v>
      </c>
      <c r="S408" s="67">
        <f t="shared" si="311"/>
        <v>3.3244639197388584E-2</v>
      </c>
      <c r="T408" s="67">
        <f t="shared" si="311"/>
        <v>2.9973629687404874E-2</v>
      </c>
      <c r="U408" s="67">
        <f t="shared" si="311"/>
        <v>2.7033022160692938E-2</v>
      </c>
      <c r="V408" s="67">
        <f t="shared" si="311"/>
        <v>2.4561688073979807E-2</v>
      </c>
      <c r="W408" s="67">
        <f t="shared" si="311"/>
        <v>2.2600986602264037E-2</v>
      </c>
      <c r="X408" s="67">
        <f t="shared" si="311"/>
        <v>2.1115888770106488E-2</v>
      </c>
      <c r="Y408" s="67">
        <f t="shared" si="311"/>
        <v>2.0030297218927538E-2</v>
      </c>
      <c r="Z408" s="67">
        <f t="shared" si="311"/>
        <v>1.9257270554912099E-2</v>
      </c>
      <c r="AA408" s="67">
        <f t="shared" si="311"/>
        <v>1.8717061256473121E-2</v>
      </c>
      <c r="AB408" s="67">
        <f t="shared" si="311"/>
        <v>1.8344498600458167E-2</v>
      </c>
      <c r="AC408" s="67">
        <f t="shared" si="311"/>
        <v>1.8089891134314182E-2</v>
      </c>
    </row>
    <row r="410" spans="1:29" x14ac:dyDescent="0.25">
      <c r="B410" s="40"/>
    </row>
  </sheetData>
  <conditionalFormatting sqref="Q11:AR20 Q22:AR27">
    <cfRule type="colorScale" priority="40">
      <colorScale>
        <cfvo type="min"/>
        <cfvo type="max"/>
        <color rgb="FFFF7128"/>
        <color rgb="FFFFEF9C"/>
      </colorScale>
    </cfRule>
    <cfRule type="colorScale" priority="36">
      <colorScale>
        <cfvo type="min"/>
        <cfvo type="max"/>
        <color rgb="FFFF7128"/>
        <color rgb="FFFFEF9C"/>
      </colorScale>
    </cfRule>
    <cfRule type="colorScale" priority="37">
      <colorScale>
        <cfvo type="min"/>
        <cfvo type="percentile" val="50"/>
        <cfvo type="max"/>
        <color rgb="FFF8696B"/>
        <color rgb="FFFFEB84"/>
        <color rgb="FF63BE7B"/>
      </colorScale>
    </cfRule>
    <cfRule type="colorScale" priority="38">
      <colorScale>
        <cfvo type="min"/>
        <cfvo type="percentile" val="50"/>
        <cfvo type="max"/>
        <color theme="5" tint="-0.249977111117893"/>
        <color theme="7" tint="0.79998168889431442"/>
        <color theme="7" tint="0.39997558519241921"/>
      </colorScale>
    </cfRule>
    <cfRule type="colorScale" priority="39">
      <colorScale>
        <cfvo type="min"/>
        <cfvo type="percentile" val="50"/>
        <cfvo type="max"/>
        <color rgb="FFF8696B"/>
        <color rgb="FFFFEB84"/>
        <color rgb="FF63BE7B"/>
      </colorScale>
    </cfRule>
  </conditionalFormatting>
  <conditionalFormatting sqref="Q21:AR21">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117:AR126 Q128:AR133">
    <cfRule type="colorScale" priority="31">
      <colorScale>
        <cfvo type="min"/>
        <cfvo type="max"/>
        <color rgb="FFFF7128"/>
        <color rgb="FFFFEF9C"/>
      </colorScale>
    </cfRule>
    <cfRule type="colorScale" priority="32">
      <colorScale>
        <cfvo type="min"/>
        <cfvo type="percentile" val="50"/>
        <cfvo type="max"/>
        <color rgb="FFF8696B"/>
        <color rgb="FFFFEB84"/>
        <color rgb="FF63BE7B"/>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127:AR127">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225:AR234 Q236:AR241">
    <cfRule type="colorScale" priority="29">
      <colorScale>
        <cfvo type="min"/>
        <cfvo type="percentile" val="50"/>
        <cfvo type="max"/>
        <color rgb="FFF8696B"/>
        <color rgb="FFFFEB84"/>
        <color rgb="FF63BE7B"/>
      </colorScale>
    </cfRule>
    <cfRule type="colorScale" priority="28">
      <colorScale>
        <cfvo type="min"/>
        <cfvo type="percentile" val="50"/>
        <cfvo type="max"/>
        <color theme="5" tint="-0.249977111117893"/>
        <color theme="7" tint="0.79998168889431442"/>
        <color theme="7" tint="0.39997558519241921"/>
      </colorScale>
    </cfRule>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30">
      <colorScale>
        <cfvo type="min"/>
        <cfvo type="max"/>
        <color rgb="FFFF7128"/>
        <color rgb="FFFFEF9C"/>
      </colorScale>
    </cfRule>
  </conditionalFormatting>
  <conditionalFormatting sqref="Q235:AR235">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334:AR343 Q345:AR350">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344:AR344">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1">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6A5DE-5CE7-4758-A70C-0ACAB4BA465C}">
  <sheetPr codeName="Sheet16">
    <tabColor theme="9"/>
  </sheetPr>
  <dimension ref="A1:AR82"/>
  <sheetViews>
    <sheetView zoomScale="80" zoomScaleNormal="80" workbookViewId="0">
      <selection activeCell="AF54" sqref="AF54"/>
    </sheetView>
  </sheetViews>
  <sheetFormatPr defaultColWidth="9.140625" defaultRowHeight="15" x14ac:dyDescent="0.25"/>
  <cols>
    <col min="1" max="1" width="38.5703125" style="4" customWidth="1"/>
    <col min="2" max="4" width="14.85546875" style="4" bestFit="1" customWidth="1"/>
    <col min="5" max="5" width="28" style="4" bestFit="1" customWidth="1"/>
    <col min="6" max="11" width="14.85546875" style="4" bestFit="1" customWidth="1"/>
    <col min="12" max="12" width="24.42578125" style="4" bestFit="1" customWidth="1"/>
    <col min="13" max="29" width="14.85546875" style="4" bestFit="1" customWidth="1"/>
    <col min="30" max="44" width="13.5703125" style="4" bestFit="1" customWidth="1"/>
    <col min="45" max="16384" width="9.140625" style="4"/>
  </cols>
  <sheetData>
    <row r="1" spans="1:44" s="3" customFormat="1" ht="21" x14ac:dyDescent="0.35">
      <c r="A1" s="2" t="s">
        <v>211</v>
      </c>
    </row>
    <row r="2" spans="1:44" s="3" customFormat="1" ht="21" x14ac:dyDescent="0.35">
      <c r="A2" s="2"/>
    </row>
    <row r="3" spans="1:44" x14ac:dyDescent="0.25">
      <c r="A3" s="33" t="s">
        <v>195</v>
      </c>
    </row>
    <row r="4" spans="1:44" x14ac:dyDescent="0.25">
      <c r="A4" s="33" t="s">
        <v>196</v>
      </c>
    </row>
    <row r="5" spans="1:44" ht="15.75" thickBot="1" x14ac:dyDescent="0.3">
      <c r="A5" s="34" t="s">
        <v>197</v>
      </c>
      <c r="B5" s="34"/>
    </row>
    <row r="6" spans="1:44" ht="15.75" thickBot="1" x14ac:dyDescent="0.3">
      <c r="A6" s="39" t="s">
        <v>198</v>
      </c>
      <c r="B6" s="35"/>
    </row>
    <row r="7" spans="1:44" ht="15.75" thickBot="1" x14ac:dyDescent="0.3">
      <c r="A7" s="38" t="s">
        <v>199</v>
      </c>
      <c r="B7" s="36"/>
    </row>
    <row r="8" spans="1:44" ht="15.75" thickBot="1" x14ac:dyDescent="0.3"/>
    <row r="9" spans="1:44"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18</v>
      </c>
      <c r="B11" s="41">
        <v>100000</v>
      </c>
      <c r="C11" s="42">
        <v>100000</v>
      </c>
      <c r="D11" s="1" t="s">
        <v>15</v>
      </c>
      <c r="L11" s="51">
        <v>7</v>
      </c>
      <c r="M11" s="52">
        <v>0</v>
      </c>
      <c r="N11" s="52">
        <v>1</v>
      </c>
      <c r="O11" s="52">
        <v>0.8</v>
      </c>
      <c r="P11" s="53">
        <v>0.8</v>
      </c>
      <c r="Q11" s="4">
        <f t="shared" ref="Q11:AF11" si="0">$N11+($M11-$N11)*((1/(1+EXP(-$P11*(Q$9-$L11)))^$O11))</f>
        <v>0.98870000318069773</v>
      </c>
      <c r="R11" s="4">
        <f t="shared" si="0"/>
        <v>0.97864686803622136</v>
      </c>
      <c r="S11" s="4">
        <f t="shared" si="0"/>
        <v>0.95982538467280665</v>
      </c>
      <c r="T11" s="4">
        <f t="shared" si="0"/>
        <v>0.92512705484006208</v>
      </c>
      <c r="U11" s="4">
        <f t="shared" si="0"/>
        <v>0.86323195930299401</v>
      </c>
      <c r="V11" s="4">
        <f t="shared" si="0"/>
        <v>0.76000101689477173</v>
      </c>
      <c r="W11" s="4">
        <f t="shared" si="0"/>
        <v>0.60815171131295576</v>
      </c>
      <c r="X11" s="4">
        <f t="shared" si="0"/>
        <v>0.42565082250148245</v>
      </c>
      <c r="Y11" s="4">
        <f t="shared" si="0"/>
        <v>0.25686721291665371</v>
      </c>
      <c r="Z11" s="4">
        <f t="shared" si="0"/>
        <v>0.13681012326750519</v>
      </c>
      <c r="AA11" s="4">
        <f t="shared" si="0"/>
        <v>6.7110874479454963E-2</v>
      </c>
      <c r="AB11" s="4">
        <f t="shared" si="0"/>
        <v>3.1457259534366733E-2</v>
      </c>
      <c r="AC11" s="4">
        <f t="shared" si="0"/>
        <v>1.4415036328376152E-2</v>
      </c>
      <c r="AD11" s="4">
        <f t="shared" si="0"/>
        <v>6.5354046097677587E-3</v>
      </c>
      <c r="AE11" s="4">
        <f t="shared" si="0"/>
        <v>2.9484794129613912E-3</v>
      </c>
      <c r="AF11" s="4">
        <f t="shared" si="0"/>
        <v>1.3272611400154677E-3</v>
      </c>
      <c r="AG11" s="4">
        <f t="shared" ref="AG11:AR11" si="1">$N11+($M11-$N11)*((1/(1+EXP(-$P11*(AG$9-$L11)))^$O11))</f>
        <v>5.9686760508315118E-4</v>
      </c>
      <c r="AH11" s="4">
        <f t="shared" si="1"/>
        <v>2.6828910235687786E-4</v>
      </c>
      <c r="AI11" s="4">
        <f t="shared" si="1"/>
        <v>1.2057010364630028E-4</v>
      </c>
      <c r="AJ11" s="4">
        <f t="shared" si="1"/>
        <v>5.4179686630462243E-5</v>
      </c>
      <c r="AK11" s="4">
        <f t="shared" si="1"/>
        <v>2.4345319607821381E-5</v>
      </c>
      <c r="AL11" s="4">
        <f t="shared" si="1"/>
        <v>1.0939222225947454E-5</v>
      </c>
      <c r="AM11" s="4">
        <f t="shared" si="1"/>
        <v>4.9153427019721363E-6</v>
      </c>
      <c r="AN11" s="4">
        <f t="shared" si="1"/>
        <v>2.2086125700537806E-6</v>
      </c>
      <c r="AO11" s="4">
        <f t="shared" si="1"/>
        <v>9.9239495610081718E-7</v>
      </c>
      <c r="AP11" s="4">
        <f t="shared" si="1"/>
        <v>4.4591207160049606E-7</v>
      </c>
      <c r="AQ11" s="4">
        <f t="shared" si="1"/>
        <v>2.0036126446854041E-7</v>
      </c>
      <c r="AR11" s="4">
        <f t="shared" si="1"/>
        <v>9.0028130617092472E-8</v>
      </c>
    </row>
    <row r="12" spans="1:44" x14ac:dyDescent="0.25">
      <c r="A12" s="24" t="s">
        <v>28</v>
      </c>
      <c r="B12" s="60">
        <v>-30000</v>
      </c>
      <c r="C12" s="61">
        <v>-30000</v>
      </c>
      <c r="D12" s="1" t="s">
        <v>15</v>
      </c>
      <c r="L12" s="54">
        <v>8</v>
      </c>
      <c r="M12" s="37">
        <v>0</v>
      </c>
      <c r="N12" s="37">
        <v>1</v>
      </c>
      <c r="O12" s="37">
        <v>0.8</v>
      </c>
      <c r="P12" s="55">
        <v>0.8</v>
      </c>
      <c r="Q12" s="4">
        <f t="shared" ref="Q12:AF26" si="2">$N12+($M12-$N12)*((1/(1+EXP(-$P12*(Q$9-$L12)))^$O12))</f>
        <v>0.99403190884795445</v>
      </c>
      <c r="R12" s="4">
        <f t="shared" si="2"/>
        <v>0.98870000318069773</v>
      </c>
      <c r="S12" s="4">
        <f t="shared" si="2"/>
        <v>0.97864686803622136</v>
      </c>
      <c r="T12" s="4">
        <f t="shared" si="2"/>
        <v>0.95982538467280665</v>
      </c>
      <c r="U12" s="4">
        <f t="shared" si="2"/>
        <v>0.92512705484006208</v>
      </c>
      <c r="V12" s="4">
        <f t="shared" si="2"/>
        <v>0.86323195930299401</v>
      </c>
      <c r="W12" s="4">
        <f t="shared" si="2"/>
        <v>0.76000101689477173</v>
      </c>
      <c r="X12" s="4">
        <f t="shared" si="2"/>
        <v>0.60815171131295576</v>
      </c>
      <c r="Y12" s="4">
        <f t="shared" si="2"/>
        <v>0.42565082250148245</v>
      </c>
      <c r="Z12" s="4">
        <f t="shared" si="2"/>
        <v>0.25686721291665371</v>
      </c>
      <c r="AA12" s="4">
        <f t="shared" si="2"/>
        <v>0.13681012326750519</v>
      </c>
      <c r="AB12" s="4">
        <f t="shared" si="2"/>
        <v>6.7110874479454963E-2</v>
      </c>
      <c r="AC12" s="4">
        <f t="shared" si="2"/>
        <v>3.1457259534366733E-2</v>
      </c>
      <c r="AD12" s="4">
        <f t="shared" si="2"/>
        <v>1.4415036328376152E-2</v>
      </c>
      <c r="AE12" s="4">
        <f t="shared" si="2"/>
        <v>6.5354046097677587E-3</v>
      </c>
      <c r="AF12" s="4">
        <f t="shared" si="2"/>
        <v>2.9484794129613912E-3</v>
      </c>
      <c r="AG12" s="4">
        <f t="shared" ref="AG12:AR26" si="3">$N12+($M12-$N12)*((1/(1+EXP(-$P12*(AG$9-$L12)))^$O12))</f>
        <v>1.3272611400154677E-3</v>
      </c>
      <c r="AH12" s="4">
        <f t="shared" si="3"/>
        <v>5.9686760508315118E-4</v>
      </c>
      <c r="AI12" s="4">
        <f t="shared" si="3"/>
        <v>2.6828910235687786E-4</v>
      </c>
      <c r="AJ12" s="4">
        <f t="shared" si="3"/>
        <v>1.2057010364630028E-4</v>
      </c>
      <c r="AK12" s="4">
        <f t="shared" si="3"/>
        <v>5.4179686630462243E-5</v>
      </c>
      <c r="AL12" s="4">
        <f t="shared" si="3"/>
        <v>2.4345319607821381E-5</v>
      </c>
      <c r="AM12" s="4">
        <f t="shared" si="3"/>
        <v>1.0939222225947454E-5</v>
      </c>
      <c r="AN12" s="4">
        <f t="shared" si="3"/>
        <v>4.9153427019721363E-6</v>
      </c>
      <c r="AO12" s="4">
        <f t="shared" si="3"/>
        <v>2.2086125700537806E-6</v>
      </c>
      <c r="AP12" s="4">
        <f t="shared" si="3"/>
        <v>9.9239495610081718E-7</v>
      </c>
      <c r="AQ12" s="4">
        <f t="shared" si="3"/>
        <v>4.4591207160049606E-7</v>
      </c>
      <c r="AR12" s="4">
        <f t="shared" si="3"/>
        <v>2.0036126446854041E-7</v>
      </c>
    </row>
    <row r="13" spans="1:44" x14ac:dyDescent="0.25">
      <c r="A13" s="24" t="s">
        <v>14</v>
      </c>
      <c r="B13" s="43">
        <v>50000</v>
      </c>
      <c r="C13" s="44">
        <v>50000</v>
      </c>
      <c r="D13" s="1" t="s">
        <v>15</v>
      </c>
      <c r="L13" s="54">
        <v>9</v>
      </c>
      <c r="M13" s="37">
        <v>0</v>
      </c>
      <c r="N13" s="37">
        <v>1</v>
      </c>
      <c r="O13" s="37">
        <v>0.8</v>
      </c>
      <c r="P13" s="55">
        <v>0.8</v>
      </c>
      <c r="Q13" s="4">
        <f t="shared" si="2"/>
        <v>0.99685076919798865</v>
      </c>
      <c r="R13" s="4">
        <f t="shared" si="2"/>
        <v>0.99403190884795445</v>
      </c>
      <c r="S13" s="4">
        <f t="shared" si="2"/>
        <v>0.98870000318069773</v>
      </c>
      <c r="T13" s="4">
        <f t="shared" si="2"/>
        <v>0.97864686803622136</v>
      </c>
      <c r="U13" s="4">
        <f t="shared" si="2"/>
        <v>0.95982538467280665</v>
      </c>
      <c r="V13" s="4">
        <f t="shared" si="2"/>
        <v>0.92512705484006208</v>
      </c>
      <c r="W13" s="4">
        <f t="shared" si="2"/>
        <v>0.86323195930299401</v>
      </c>
      <c r="X13" s="4">
        <f t="shared" si="2"/>
        <v>0.76000101689477173</v>
      </c>
      <c r="Y13" s="4">
        <f t="shared" si="2"/>
        <v>0.60815171131295576</v>
      </c>
      <c r="Z13" s="4">
        <f t="shared" si="2"/>
        <v>0.42565082250148245</v>
      </c>
      <c r="AA13" s="4">
        <f t="shared" si="2"/>
        <v>0.25686721291665371</v>
      </c>
      <c r="AB13" s="4">
        <f t="shared" si="2"/>
        <v>0.13681012326750519</v>
      </c>
      <c r="AC13" s="4">
        <f t="shared" si="2"/>
        <v>6.7110874479454963E-2</v>
      </c>
      <c r="AD13" s="4">
        <f t="shared" si="2"/>
        <v>3.1457259534366733E-2</v>
      </c>
      <c r="AE13" s="4">
        <f t="shared" si="2"/>
        <v>1.4415036328376152E-2</v>
      </c>
      <c r="AF13" s="4">
        <f t="shared" si="2"/>
        <v>6.5354046097677587E-3</v>
      </c>
      <c r="AG13" s="4">
        <f t="shared" si="3"/>
        <v>2.9484794129613912E-3</v>
      </c>
      <c r="AH13" s="4">
        <f t="shared" si="3"/>
        <v>1.3272611400154677E-3</v>
      </c>
      <c r="AI13" s="4">
        <f t="shared" si="3"/>
        <v>5.9686760508315118E-4</v>
      </c>
      <c r="AJ13" s="4">
        <f t="shared" si="3"/>
        <v>2.6828910235687786E-4</v>
      </c>
      <c r="AK13" s="4">
        <f t="shared" si="3"/>
        <v>1.2057010364630028E-4</v>
      </c>
      <c r="AL13" s="4">
        <f t="shared" si="3"/>
        <v>5.4179686630462243E-5</v>
      </c>
      <c r="AM13" s="4">
        <f t="shared" si="3"/>
        <v>2.4345319607821381E-5</v>
      </c>
      <c r="AN13" s="4">
        <f t="shared" si="3"/>
        <v>1.0939222225947454E-5</v>
      </c>
      <c r="AO13" s="4">
        <f t="shared" si="3"/>
        <v>4.9153427019721363E-6</v>
      </c>
      <c r="AP13" s="4">
        <f t="shared" si="3"/>
        <v>2.2086125700537806E-6</v>
      </c>
      <c r="AQ13" s="4">
        <f t="shared" si="3"/>
        <v>9.9239495610081718E-7</v>
      </c>
      <c r="AR13" s="4">
        <f t="shared" si="3"/>
        <v>4.4591207160049606E-7</v>
      </c>
    </row>
    <row r="14" spans="1:44" x14ac:dyDescent="0.25">
      <c r="A14" s="24" t="s">
        <v>25</v>
      </c>
      <c r="B14" s="60">
        <v>-5000</v>
      </c>
      <c r="C14" s="61">
        <v>-5000</v>
      </c>
      <c r="D14" s="1" t="s">
        <v>15</v>
      </c>
      <c r="L14" s="54">
        <v>10</v>
      </c>
      <c r="M14" s="37">
        <v>0</v>
      </c>
      <c r="N14" s="37">
        <v>1</v>
      </c>
      <c r="O14" s="37">
        <v>0.8</v>
      </c>
      <c r="P14" s="55">
        <v>0.8</v>
      </c>
      <c r="Q14" s="4">
        <f t="shared" si="2"/>
        <v>0.99833888850453545</v>
      </c>
      <c r="R14" s="4">
        <f t="shared" si="2"/>
        <v>0.99685076919798865</v>
      </c>
      <c r="S14" s="4">
        <f t="shared" si="2"/>
        <v>0.99403190884795445</v>
      </c>
      <c r="T14" s="4">
        <f t="shared" si="2"/>
        <v>0.98870000318069773</v>
      </c>
      <c r="U14" s="4">
        <f t="shared" si="2"/>
        <v>0.97864686803622136</v>
      </c>
      <c r="V14" s="4">
        <f t="shared" si="2"/>
        <v>0.95982538467280665</v>
      </c>
      <c r="W14" s="4">
        <f t="shared" si="2"/>
        <v>0.92512705484006208</v>
      </c>
      <c r="X14" s="4">
        <f t="shared" si="2"/>
        <v>0.86323195930299401</v>
      </c>
      <c r="Y14" s="4">
        <f t="shared" si="2"/>
        <v>0.76000101689477173</v>
      </c>
      <c r="Z14" s="4">
        <f t="shared" si="2"/>
        <v>0.60815171131295576</v>
      </c>
      <c r="AA14" s="4">
        <f t="shared" si="2"/>
        <v>0.42565082250148245</v>
      </c>
      <c r="AB14" s="4">
        <f t="shared" si="2"/>
        <v>0.25686721291665371</v>
      </c>
      <c r="AC14" s="4">
        <f t="shared" si="2"/>
        <v>0.13681012326750519</v>
      </c>
      <c r="AD14" s="4">
        <f t="shared" si="2"/>
        <v>6.7110874479454963E-2</v>
      </c>
      <c r="AE14" s="4">
        <f t="shared" si="2"/>
        <v>3.1457259534366733E-2</v>
      </c>
      <c r="AF14" s="4">
        <f t="shared" si="2"/>
        <v>1.4415036328376152E-2</v>
      </c>
      <c r="AG14" s="4">
        <f t="shared" si="3"/>
        <v>6.5354046097677587E-3</v>
      </c>
      <c r="AH14" s="4">
        <f t="shared" si="3"/>
        <v>2.9484794129613912E-3</v>
      </c>
      <c r="AI14" s="4">
        <f t="shared" si="3"/>
        <v>1.3272611400154677E-3</v>
      </c>
      <c r="AJ14" s="4">
        <f t="shared" si="3"/>
        <v>5.9686760508315118E-4</v>
      </c>
      <c r="AK14" s="4">
        <f t="shared" si="3"/>
        <v>2.6828910235687786E-4</v>
      </c>
      <c r="AL14" s="4">
        <f t="shared" si="3"/>
        <v>1.2057010364630028E-4</v>
      </c>
      <c r="AM14" s="4">
        <f t="shared" si="3"/>
        <v>5.4179686630462243E-5</v>
      </c>
      <c r="AN14" s="4">
        <f t="shared" si="3"/>
        <v>2.4345319607821381E-5</v>
      </c>
      <c r="AO14" s="4">
        <f t="shared" si="3"/>
        <v>1.0939222225947454E-5</v>
      </c>
      <c r="AP14" s="4">
        <f t="shared" si="3"/>
        <v>4.9153427019721363E-6</v>
      </c>
      <c r="AQ14" s="4">
        <f t="shared" si="3"/>
        <v>2.2086125700537806E-6</v>
      </c>
      <c r="AR14" s="4">
        <f t="shared" si="3"/>
        <v>9.9239495610081718E-7</v>
      </c>
    </row>
    <row r="15" spans="1:44" x14ac:dyDescent="0.25">
      <c r="A15" s="24" t="s">
        <v>79</v>
      </c>
      <c r="B15" s="45">
        <v>0.06</v>
      </c>
      <c r="C15" s="46">
        <v>0.06</v>
      </c>
      <c r="D15" s="1" t="s">
        <v>57</v>
      </c>
      <c r="L15" s="54">
        <v>11</v>
      </c>
      <c r="M15" s="37">
        <v>0</v>
      </c>
      <c r="N15" s="37">
        <v>1</v>
      </c>
      <c r="O15" s="37">
        <v>0.8</v>
      </c>
      <c r="P15" s="55">
        <v>0.8</v>
      </c>
      <c r="Q15" s="4">
        <f t="shared" si="2"/>
        <v>0.99912397907241213</v>
      </c>
      <c r="R15" s="4">
        <f t="shared" si="2"/>
        <v>0.99833888850453545</v>
      </c>
      <c r="S15" s="4">
        <f t="shared" si="2"/>
        <v>0.99685076919798865</v>
      </c>
      <c r="T15" s="4">
        <f t="shared" si="2"/>
        <v>0.99403190884795445</v>
      </c>
      <c r="U15" s="4">
        <f t="shared" si="2"/>
        <v>0.98870000318069773</v>
      </c>
      <c r="V15" s="4">
        <f t="shared" si="2"/>
        <v>0.97864686803622136</v>
      </c>
      <c r="W15" s="4">
        <f t="shared" si="2"/>
        <v>0.95982538467280665</v>
      </c>
      <c r="X15" s="4">
        <f t="shared" si="2"/>
        <v>0.92512705484006208</v>
      </c>
      <c r="Y15" s="4">
        <f t="shared" si="2"/>
        <v>0.86323195930299401</v>
      </c>
      <c r="Z15" s="4">
        <f t="shared" si="2"/>
        <v>0.76000101689477173</v>
      </c>
      <c r="AA15" s="4">
        <f t="shared" si="2"/>
        <v>0.60815171131295576</v>
      </c>
      <c r="AB15" s="4">
        <f t="shared" si="2"/>
        <v>0.42565082250148245</v>
      </c>
      <c r="AC15" s="4">
        <f t="shared" si="2"/>
        <v>0.25686721291665371</v>
      </c>
      <c r="AD15" s="4">
        <f t="shared" si="2"/>
        <v>0.13681012326750519</v>
      </c>
      <c r="AE15" s="4">
        <f t="shared" si="2"/>
        <v>6.7110874479454963E-2</v>
      </c>
      <c r="AF15" s="4">
        <f t="shared" si="2"/>
        <v>3.1457259534366733E-2</v>
      </c>
      <c r="AG15" s="4">
        <f t="shared" si="3"/>
        <v>1.4415036328376152E-2</v>
      </c>
      <c r="AH15" s="4">
        <f t="shared" si="3"/>
        <v>6.5354046097677587E-3</v>
      </c>
      <c r="AI15" s="4">
        <f t="shared" si="3"/>
        <v>2.9484794129613912E-3</v>
      </c>
      <c r="AJ15" s="4">
        <f t="shared" si="3"/>
        <v>1.3272611400154677E-3</v>
      </c>
      <c r="AK15" s="4">
        <f t="shared" si="3"/>
        <v>5.9686760508315118E-4</v>
      </c>
      <c r="AL15" s="4">
        <f t="shared" si="3"/>
        <v>2.6828910235687786E-4</v>
      </c>
      <c r="AM15" s="4">
        <f t="shared" si="3"/>
        <v>1.2057010364630028E-4</v>
      </c>
      <c r="AN15" s="4">
        <f t="shared" si="3"/>
        <v>5.4179686630462243E-5</v>
      </c>
      <c r="AO15" s="4">
        <f t="shared" si="3"/>
        <v>2.4345319607821381E-5</v>
      </c>
      <c r="AP15" s="4">
        <f t="shared" si="3"/>
        <v>1.0939222225947454E-5</v>
      </c>
      <c r="AQ15" s="4">
        <f t="shared" si="3"/>
        <v>4.9153427019721363E-6</v>
      </c>
      <c r="AR15" s="4">
        <f t="shared" si="3"/>
        <v>2.2086125700537806E-6</v>
      </c>
    </row>
    <row r="16" spans="1:44" x14ac:dyDescent="0.25">
      <c r="A16" s="24" t="s">
        <v>37</v>
      </c>
      <c r="B16" s="43">
        <v>85000</v>
      </c>
      <c r="C16" s="44">
        <v>85000</v>
      </c>
      <c r="D16" s="1" t="s">
        <v>38</v>
      </c>
      <c r="L16" s="54">
        <v>12</v>
      </c>
      <c r="M16" s="37">
        <v>0</v>
      </c>
      <c r="N16" s="37">
        <v>1</v>
      </c>
      <c r="O16" s="37">
        <v>0.8</v>
      </c>
      <c r="P16" s="55">
        <v>0.8</v>
      </c>
      <c r="Q16" s="4">
        <f t="shared" si="2"/>
        <v>0.9995380501308736</v>
      </c>
      <c r="R16" s="4">
        <f t="shared" si="2"/>
        <v>0.99912397907241213</v>
      </c>
      <c r="S16" s="4">
        <f t="shared" si="2"/>
        <v>0.99833888850453545</v>
      </c>
      <c r="T16" s="4">
        <f t="shared" si="2"/>
        <v>0.99685076919798865</v>
      </c>
      <c r="U16" s="4">
        <f t="shared" si="2"/>
        <v>0.99403190884795445</v>
      </c>
      <c r="V16" s="4">
        <f t="shared" si="2"/>
        <v>0.98870000318069773</v>
      </c>
      <c r="W16" s="4">
        <f t="shared" si="2"/>
        <v>0.97864686803622136</v>
      </c>
      <c r="X16" s="4">
        <f t="shared" si="2"/>
        <v>0.95982538467280665</v>
      </c>
      <c r="Y16" s="4">
        <f t="shared" si="2"/>
        <v>0.92512705484006208</v>
      </c>
      <c r="Z16" s="4">
        <f t="shared" si="2"/>
        <v>0.86323195930299401</v>
      </c>
      <c r="AA16" s="4">
        <f t="shared" si="2"/>
        <v>0.76000101689477173</v>
      </c>
      <c r="AB16" s="4">
        <f t="shared" si="2"/>
        <v>0.60815171131295576</v>
      </c>
      <c r="AC16" s="4">
        <f t="shared" si="2"/>
        <v>0.42565082250148245</v>
      </c>
      <c r="AD16" s="4">
        <f t="shared" si="2"/>
        <v>0.25686721291665371</v>
      </c>
      <c r="AE16" s="4">
        <f t="shared" si="2"/>
        <v>0.13681012326750519</v>
      </c>
      <c r="AF16" s="4">
        <f t="shared" si="2"/>
        <v>6.7110874479454963E-2</v>
      </c>
      <c r="AG16" s="4">
        <f t="shared" si="3"/>
        <v>3.1457259534366733E-2</v>
      </c>
      <c r="AH16" s="4">
        <f t="shared" si="3"/>
        <v>1.4415036328376152E-2</v>
      </c>
      <c r="AI16" s="4">
        <f t="shared" si="3"/>
        <v>6.5354046097677587E-3</v>
      </c>
      <c r="AJ16" s="4">
        <f t="shared" si="3"/>
        <v>2.9484794129613912E-3</v>
      </c>
      <c r="AK16" s="4">
        <f t="shared" si="3"/>
        <v>1.3272611400154677E-3</v>
      </c>
      <c r="AL16" s="4">
        <f t="shared" si="3"/>
        <v>5.9686760508315118E-4</v>
      </c>
      <c r="AM16" s="4">
        <f t="shared" si="3"/>
        <v>2.6828910235687786E-4</v>
      </c>
      <c r="AN16" s="4">
        <f t="shared" si="3"/>
        <v>1.2057010364630028E-4</v>
      </c>
      <c r="AO16" s="4">
        <f t="shared" si="3"/>
        <v>5.4179686630462243E-5</v>
      </c>
      <c r="AP16" s="4">
        <f t="shared" si="3"/>
        <v>2.4345319607821381E-5</v>
      </c>
      <c r="AQ16" s="4">
        <f t="shared" si="3"/>
        <v>1.0939222225947454E-5</v>
      </c>
      <c r="AR16" s="4">
        <f t="shared" si="3"/>
        <v>4.9153427019721363E-6</v>
      </c>
    </row>
    <row r="17" spans="1:44" x14ac:dyDescent="0.25">
      <c r="A17" s="24" t="s">
        <v>52</v>
      </c>
      <c r="B17" s="43">
        <v>20000</v>
      </c>
      <c r="C17" s="44">
        <v>20000</v>
      </c>
      <c r="D17" s="1" t="s">
        <v>38</v>
      </c>
      <c r="L17" s="54">
        <v>13</v>
      </c>
      <c r="M17" s="37">
        <v>0</v>
      </c>
      <c r="N17" s="37">
        <v>1</v>
      </c>
      <c r="O17" s="37">
        <v>0.8</v>
      </c>
      <c r="P17" s="55">
        <v>0.8</v>
      </c>
      <c r="Q17" s="4">
        <f t="shared" si="2"/>
        <v>0.99975641006619353</v>
      </c>
      <c r="R17" s="4">
        <f t="shared" si="2"/>
        <v>0.9995380501308736</v>
      </c>
      <c r="S17" s="4">
        <f t="shared" si="2"/>
        <v>0.99912397907241213</v>
      </c>
      <c r="T17" s="4">
        <f t="shared" si="2"/>
        <v>0.99833888850453545</v>
      </c>
      <c r="U17" s="4">
        <f t="shared" si="2"/>
        <v>0.99685076919798865</v>
      </c>
      <c r="V17" s="4">
        <f t="shared" si="2"/>
        <v>0.99403190884795445</v>
      </c>
      <c r="W17" s="4">
        <f t="shared" si="2"/>
        <v>0.98870000318069773</v>
      </c>
      <c r="X17" s="4">
        <f t="shared" si="2"/>
        <v>0.97864686803622136</v>
      </c>
      <c r="Y17" s="4">
        <f t="shared" si="2"/>
        <v>0.95982538467280665</v>
      </c>
      <c r="Z17" s="4">
        <f t="shared" si="2"/>
        <v>0.92512705484006208</v>
      </c>
      <c r="AA17" s="4">
        <f t="shared" si="2"/>
        <v>0.86323195930299401</v>
      </c>
      <c r="AB17" s="4">
        <f t="shared" si="2"/>
        <v>0.76000101689477173</v>
      </c>
      <c r="AC17" s="4">
        <f t="shared" si="2"/>
        <v>0.60815171131295576</v>
      </c>
      <c r="AD17" s="4">
        <f t="shared" si="2"/>
        <v>0.42565082250148245</v>
      </c>
      <c r="AE17" s="4">
        <f t="shared" si="2"/>
        <v>0.25686721291665371</v>
      </c>
      <c r="AF17" s="4">
        <f t="shared" si="2"/>
        <v>0.13681012326750519</v>
      </c>
      <c r="AG17" s="4">
        <f t="shared" si="3"/>
        <v>6.7110874479454963E-2</v>
      </c>
      <c r="AH17" s="4">
        <f t="shared" si="3"/>
        <v>3.1457259534366733E-2</v>
      </c>
      <c r="AI17" s="4">
        <f t="shared" si="3"/>
        <v>1.4415036328376152E-2</v>
      </c>
      <c r="AJ17" s="4">
        <f t="shared" si="3"/>
        <v>6.5354046097677587E-3</v>
      </c>
      <c r="AK17" s="4">
        <f t="shared" si="3"/>
        <v>2.9484794129613912E-3</v>
      </c>
      <c r="AL17" s="4">
        <f t="shared" si="3"/>
        <v>1.3272611400154677E-3</v>
      </c>
      <c r="AM17" s="4">
        <f t="shared" si="3"/>
        <v>5.9686760508315118E-4</v>
      </c>
      <c r="AN17" s="4">
        <f t="shared" si="3"/>
        <v>2.6828910235687786E-4</v>
      </c>
      <c r="AO17" s="4">
        <f t="shared" si="3"/>
        <v>1.2057010364630028E-4</v>
      </c>
      <c r="AP17" s="4">
        <f t="shared" si="3"/>
        <v>5.4179686630462243E-5</v>
      </c>
      <c r="AQ17" s="4">
        <f t="shared" si="3"/>
        <v>2.4345319607821381E-5</v>
      </c>
      <c r="AR17" s="4">
        <f t="shared" si="3"/>
        <v>1.0939222225947454E-5</v>
      </c>
    </row>
    <row r="18" spans="1:44" x14ac:dyDescent="0.25">
      <c r="A18" s="24" t="s">
        <v>75</v>
      </c>
      <c r="B18" s="45">
        <v>9.5238095238095247E-3</v>
      </c>
      <c r="C18" s="46">
        <v>9.5238095238095247E-3</v>
      </c>
      <c r="D18" s="1" t="s">
        <v>76</v>
      </c>
      <c r="L18" s="54">
        <v>14</v>
      </c>
      <c r="M18" s="37">
        <v>0</v>
      </c>
      <c r="N18" s="37">
        <v>1</v>
      </c>
      <c r="O18" s="37">
        <v>0.8</v>
      </c>
      <c r="P18" s="55">
        <v>0.8</v>
      </c>
      <c r="Q18" s="4">
        <f t="shared" si="2"/>
        <v>0.99987155515136772</v>
      </c>
      <c r="R18" s="4">
        <f t="shared" si="2"/>
        <v>0.99975641006619353</v>
      </c>
      <c r="S18" s="4">
        <f t="shared" si="2"/>
        <v>0.9995380501308736</v>
      </c>
      <c r="T18" s="4">
        <f t="shared" si="2"/>
        <v>0.99912397907241213</v>
      </c>
      <c r="U18" s="4">
        <f t="shared" si="2"/>
        <v>0.99833888850453545</v>
      </c>
      <c r="V18" s="4">
        <f t="shared" si="2"/>
        <v>0.99685076919798865</v>
      </c>
      <c r="W18" s="4">
        <f t="shared" si="2"/>
        <v>0.99403190884795445</v>
      </c>
      <c r="X18" s="4">
        <f t="shared" si="2"/>
        <v>0.98870000318069773</v>
      </c>
      <c r="Y18" s="4">
        <f t="shared" si="2"/>
        <v>0.97864686803622136</v>
      </c>
      <c r="Z18" s="4">
        <f t="shared" si="2"/>
        <v>0.95982538467280665</v>
      </c>
      <c r="AA18" s="4">
        <f t="shared" si="2"/>
        <v>0.92512705484006208</v>
      </c>
      <c r="AB18" s="4">
        <f t="shared" si="2"/>
        <v>0.86323195930299401</v>
      </c>
      <c r="AC18" s="4">
        <f t="shared" si="2"/>
        <v>0.76000101689477173</v>
      </c>
      <c r="AD18" s="4">
        <f t="shared" si="2"/>
        <v>0.60815171131295576</v>
      </c>
      <c r="AE18" s="4">
        <f t="shared" si="2"/>
        <v>0.42565082250148245</v>
      </c>
      <c r="AF18" s="4">
        <f t="shared" si="2"/>
        <v>0.25686721291665371</v>
      </c>
      <c r="AG18" s="4">
        <f t="shared" si="3"/>
        <v>0.13681012326750519</v>
      </c>
      <c r="AH18" s="4">
        <f t="shared" si="3"/>
        <v>6.7110874479454963E-2</v>
      </c>
      <c r="AI18" s="4">
        <f t="shared" si="3"/>
        <v>3.1457259534366733E-2</v>
      </c>
      <c r="AJ18" s="4">
        <f t="shared" si="3"/>
        <v>1.4415036328376152E-2</v>
      </c>
      <c r="AK18" s="4">
        <f t="shared" si="3"/>
        <v>6.5354046097677587E-3</v>
      </c>
      <c r="AL18" s="4">
        <f t="shared" si="3"/>
        <v>2.9484794129613912E-3</v>
      </c>
      <c r="AM18" s="4">
        <f t="shared" si="3"/>
        <v>1.3272611400154677E-3</v>
      </c>
      <c r="AN18" s="4">
        <f t="shared" si="3"/>
        <v>5.9686760508315118E-4</v>
      </c>
      <c r="AO18" s="4">
        <f t="shared" si="3"/>
        <v>2.6828910235687786E-4</v>
      </c>
      <c r="AP18" s="4">
        <f t="shared" si="3"/>
        <v>1.2057010364630028E-4</v>
      </c>
      <c r="AQ18" s="4">
        <f t="shared" si="3"/>
        <v>5.4179686630462243E-5</v>
      </c>
      <c r="AR18" s="4">
        <f t="shared" si="3"/>
        <v>2.4345319607821381E-5</v>
      </c>
    </row>
    <row r="19" spans="1:44" x14ac:dyDescent="0.25">
      <c r="A19" s="24" t="s">
        <v>59</v>
      </c>
      <c r="B19" s="47">
        <v>2.8</v>
      </c>
      <c r="C19" s="48">
        <v>2.8</v>
      </c>
      <c r="D19" s="1" t="s">
        <v>60</v>
      </c>
      <c r="L19" s="54">
        <v>15</v>
      </c>
      <c r="M19" s="37">
        <v>0</v>
      </c>
      <c r="N19" s="37">
        <v>1</v>
      </c>
      <c r="O19" s="37">
        <v>0.8</v>
      </c>
      <c r="P19" s="55">
        <v>0.8</v>
      </c>
      <c r="Q19" s="4">
        <f t="shared" si="2"/>
        <v>0.99993227159641906</v>
      </c>
      <c r="R19" s="4">
        <f t="shared" si="2"/>
        <v>0.99987155515136772</v>
      </c>
      <c r="S19" s="4">
        <f t="shared" si="2"/>
        <v>0.99975641006619353</v>
      </c>
      <c r="T19" s="4">
        <f t="shared" si="2"/>
        <v>0.9995380501308736</v>
      </c>
      <c r="U19" s="4">
        <f t="shared" si="2"/>
        <v>0.99912397907241213</v>
      </c>
      <c r="V19" s="4">
        <f t="shared" si="2"/>
        <v>0.99833888850453545</v>
      </c>
      <c r="W19" s="4">
        <f t="shared" si="2"/>
        <v>0.99685076919798865</v>
      </c>
      <c r="X19" s="4">
        <f t="shared" si="2"/>
        <v>0.99403190884795445</v>
      </c>
      <c r="Y19" s="4">
        <f t="shared" si="2"/>
        <v>0.98870000318069773</v>
      </c>
      <c r="Z19" s="4">
        <f t="shared" si="2"/>
        <v>0.97864686803622136</v>
      </c>
      <c r="AA19" s="4">
        <f t="shared" si="2"/>
        <v>0.95982538467280665</v>
      </c>
      <c r="AB19" s="4">
        <f t="shared" si="2"/>
        <v>0.92512705484006208</v>
      </c>
      <c r="AC19" s="4">
        <f t="shared" si="2"/>
        <v>0.86323195930299401</v>
      </c>
      <c r="AD19" s="4">
        <f t="shared" si="2"/>
        <v>0.76000101689477173</v>
      </c>
      <c r="AE19" s="4">
        <f t="shared" si="2"/>
        <v>0.60815171131295576</v>
      </c>
      <c r="AF19" s="4">
        <f t="shared" si="2"/>
        <v>0.42565082250148245</v>
      </c>
      <c r="AG19" s="4">
        <f t="shared" si="3"/>
        <v>0.25686721291665371</v>
      </c>
      <c r="AH19" s="4">
        <f t="shared" si="3"/>
        <v>0.13681012326750519</v>
      </c>
      <c r="AI19" s="4">
        <f t="shared" si="3"/>
        <v>6.7110874479454963E-2</v>
      </c>
      <c r="AJ19" s="4">
        <f t="shared" si="3"/>
        <v>3.1457259534366733E-2</v>
      </c>
      <c r="AK19" s="4">
        <f t="shared" si="3"/>
        <v>1.4415036328376152E-2</v>
      </c>
      <c r="AL19" s="4">
        <f t="shared" si="3"/>
        <v>6.5354046097677587E-3</v>
      </c>
      <c r="AM19" s="4">
        <f t="shared" si="3"/>
        <v>2.9484794129613912E-3</v>
      </c>
      <c r="AN19" s="4">
        <f t="shared" si="3"/>
        <v>1.3272611400154677E-3</v>
      </c>
      <c r="AO19" s="4">
        <f t="shared" si="3"/>
        <v>5.9686760508315118E-4</v>
      </c>
      <c r="AP19" s="4">
        <f t="shared" si="3"/>
        <v>2.6828910235687786E-4</v>
      </c>
      <c r="AQ19" s="4">
        <f t="shared" si="3"/>
        <v>1.2057010364630028E-4</v>
      </c>
      <c r="AR19" s="4">
        <f t="shared" si="3"/>
        <v>5.4179686630462243E-5</v>
      </c>
    </row>
    <row r="20" spans="1:44" x14ac:dyDescent="0.25">
      <c r="A20" s="24" t="s">
        <v>67</v>
      </c>
      <c r="B20" s="45">
        <v>0.15</v>
      </c>
      <c r="C20" s="46">
        <v>0.15</v>
      </c>
      <c r="D20" s="1" t="s">
        <v>68</v>
      </c>
      <c r="L20" s="54">
        <v>16</v>
      </c>
      <c r="M20" s="37">
        <v>0</v>
      </c>
      <c r="N20" s="37">
        <v>1</v>
      </c>
      <c r="O20" s="37">
        <v>0.8</v>
      </c>
      <c r="P20" s="55">
        <v>0.8</v>
      </c>
      <c r="Q20" s="4">
        <f t="shared" si="2"/>
        <v>0.99996428722923425</v>
      </c>
      <c r="R20" s="4">
        <f t="shared" si="2"/>
        <v>0.99993227159641906</v>
      </c>
      <c r="S20" s="4">
        <f t="shared" si="2"/>
        <v>0.99987155515136772</v>
      </c>
      <c r="T20" s="4">
        <f t="shared" si="2"/>
        <v>0.99975641006619353</v>
      </c>
      <c r="U20" s="4">
        <f t="shared" si="2"/>
        <v>0.9995380501308736</v>
      </c>
      <c r="V20" s="4">
        <f t="shared" si="2"/>
        <v>0.99912397907241213</v>
      </c>
      <c r="W20" s="4">
        <f t="shared" si="2"/>
        <v>0.99833888850453545</v>
      </c>
      <c r="X20" s="4">
        <f t="shared" si="2"/>
        <v>0.99685076919798865</v>
      </c>
      <c r="Y20" s="4">
        <f t="shared" si="2"/>
        <v>0.99403190884795445</v>
      </c>
      <c r="Z20" s="4">
        <f t="shared" si="2"/>
        <v>0.98870000318069773</v>
      </c>
      <c r="AA20" s="4">
        <f t="shared" si="2"/>
        <v>0.97864686803622136</v>
      </c>
      <c r="AB20" s="4">
        <f t="shared" si="2"/>
        <v>0.95982538467280665</v>
      </c>
      <c r="AC20" s="4">
        <f t="shared" si="2"/>
        <v>0.92512705484006208</v>
      </c>
      <c r="AD20" s="4">
        <f t="shared" si="2"/>
        <v>0.86323195930299401</v>
      </c>
      <c r="AE20" s="4">
        <f t="shared" si="2"/>
        <v>0.76000101689477173</v>
      </c>
      <c r="AF20" s="4">
        <f t="shared" si="2"/>
        <v>0.60815171131295576</v>
      </c>
      <c r="AG20" s="4">
        <f t="shared" si="3"/>
        <v>0.42565082250148245</v>
      </c>
      <c r="AH20" s="4">
        <f t="shared" si="3"/>
        <v>0.25686721291665371</v>
      </c>
      <c r="AI20" s="4">
        <f t="shared" si="3"/>
        <v>0.13681012326750519</v>
      </c>
      <c r="AJ20" s="4">
        <f t="shared" si="3"/>
        <v>6.7110874479454963E-2</v>
      </c>
      <c r="AK20" s="4">
        <f t="shared" si="3"/>
        <v>3.1457259534366733E-2</v>
      </c>
      <c r="AL20" s="4">
        <f t="shared" si="3"/>
        <v>1.4415036328376152E-2</v>
      </c>
      <c r="AM20" s="4">
        <f t="shared" si="3"/>
        <v>6.5354046097677587E-3</v>
      </c>
      <c r="AN20" s="4">
        <f t="shared" si="3"/>
        <v>2.9484794129613912E-3</v>
      </c>
      <c r="AO20" s="4">
        <f t="shared" si="3"/>
        <v>1.3272611400154677E-3</v>
      </c>
      <c r="AP20" s="4">
        <f t="shared" si="3"/>
        <v>5.9686760508315118E-4</v>
      </c>
      <c r="AQ20" s="4">
        <f t="shared" si="3"/>
        <v>2.6828910235687786E-4</v>
      </c>
      <c r="AR20" s="4">
        <f t="shared" si="3"/>
        <v>1.2057010364630028E-4</v>
      </c>
    </row>
    <row r="21" spans="1:44" x14ac:dyDescent="0.25">
      <c r="A21" s="24" t="s">
        <v>41</v>
      </c>
      <c r="B21" s="43">
        <v>5</v>
      </c>
      <c r="C21" s="44">
        <v>5</v>
      </c>
      <c r="D21" s="1" t="s">
        <v>42</v>
      </c>
      <c r="L21" s="54">
        <v>17</v>
      </c>
      <c r="M21" s="37">
        <v>0</v>
      </c>
      <c r="N21" s="37">
        <v>1</v>
      </c>
      <c r="O21" s="37">
        <v>0.8</v>
      </c>
      <c r="P21" s="55">
        <v>0.8</v>
      </c>
      <c r="Q21" s="4">
        <f t="shared" si="2"/>
        <v>0.99998116890363087</v>
      </c>
      <c r="R21" s="4">
        <f t="shared" si="2"/>
        <v>0.99996428722923425</v>
      </c>
      <c r="S21" s="4">
        <f t="shared" si="2"/>
        <v>0.99993227159641906</v>
      </c>
      <c r="T21" s="4">
        <f t="shared" si="2"/>
        <v>0.99987155515136772</v>
      </c>
      <c r="U21" s="4">
        <f t="shared" si="2"/>
        <v>0.99975641006619353</v>
      </c>
      <c r="V21" s="4">
        <f t="shared" si="2"/>
        <v>0.9995380501308736</v>
      </c>
      <c r="W21" s="4">
        <f t="shared" si="2"/>
        <v>0.99912397907241213</v>
      </c>
      <c r="X21" s="4">
        <f t="shared" si="2"/>
        <v>0.99833888850453545</v>
      </c>
      <c r="Y21" s="4">
        <f t="shared" si="2"/>
        <v>0.99685076919798865</v>
      </c>
      <c r="Z21" s="4">
        <f t="shared" si="2"/>
        <v>0.99403190884795445</v>
      </c>
      <c r="AA21" s="4">
        <f t="shared" si="2"/>
        <v>0.98870000318069773</v>
      </c>
      <c r="AB21" s="4">
        <f t="shared" si="2"/>
        <v>0.97864686803622136</v>
      </c>
      <c r="AC21" s="4">
        <f t="shared" si="2"/>
        <v>0.95982538467280665</v>
      </c>
      <c r="AD21" s="4">
        <f t="shared" si="2"/>
        <v>0.92512705484006208</v>
      </c>
      <c r="AE21" s="4">
        <f t="shared" si="2"/>
        <v>0.86323195930299401</v>
      </c>
      <c r="AF21" s="4">
        <f t="shared" si="2"/>
        <v>0.76000101689477173</v>
      </c>
      <c r="AG21" s="4">
        <f t="shared" si="3"/>
        <v>0.60815171131295576</v>
      </c>
      <c r="AH21" s="4">
        <f t="shared" si="3"/>
        <v>0.42565082250148245</v>
      </c>
      <c r="AI21" s="4">
        <f t="shared" si="3"/>
        <v>0.25686721291665371</v>
      </c>
      <c r="AJ21" s="4">
        <f t="shared" si="3"/>
        <v>0.13681012326750519</v>
      </c>
      <c r="AK21" s="4">
        <f t="shared" si="3"/>
        <v>6.7110874479454963E-2</v>
      </c>
      <c r="AL21" s="4">
        <f t="shared" si="3"/>
        <v>3.1457259534366733E-2</v>
      </c>
      <c r="AM21" s="4">
        <f t="shared" si="3"/>
        <v>1.4415036328376152E-2</v>
      </c>
      <c r="AN21" s="4">
        <f t="shared" si="3"/>
        <v>6.5354046097677587E-3</v>
      </c>
      <c r="AO21" s="4">
        <f t="shared" si="3"/>
        <v>2.9484794129613912E-3</v>
      </c>
      <c r="AP21" s="4">
        <f t="shared" si="3"/>
        <v>1.3272611400154677E-3</v>
      </c>
      <c r="AQ21" s="4">
        <f t="shared" si="3"/>
        <v>5.9686760508315118E-4</v>
      </c>
      <c r="AR21" s="4">
        <f t="shared" si="3"/>
        <v>2.6828910235687786E-4</v>
      </c>
    </row>
    <row r="22" spans="1:44" x14ac:dyDescent="0.25">
      <c r="A22" s="24" t="s">
        <v>70</v>
      </c>
      <c r="B22" s="43">
        <v>12</v>
      </c>
      <c r="C22" s="44">
        <v>12</v>
      </c>
      <c r="D22" s="1" t="s">
        <v>42</v>
      </c>
      <c r="L22" s="54">
        <v>18</v>
      </c>
      <c r="M22" s="37">
        <v>0</v>
      </c>
      <c r="N22" s="37">
        <v>1</v>
      </c>
      <c r="O22" s="37">
        <v>0.8</v>
      </c>
      <c r="P22" s="55">
        <v>0.8</v>
      </c>
      <c r="Q22" s="4">
        <f t="shared" si="2"/>
        <v>0.99999007050012179</v>
      </c>
      <c r="R22" s="4">
        <f t="shared" si="2"/>
        <v>0.99998116890363087</v>
      </c>
      <c r="S22" s="4">
        <f t="shared" si="2"/>
        <v>0.99996428722923425</v>
      </c>
      <c r="T22" s="4">
        <f t="shared" si="2"/>
        <v>0.99993227159641906</v>
      </c>
      <c r="U22" s="4">
        <f t="shared" si="2"/>
        <v>0.99987155515136772</v>
      </c>
      <c r="V22" s="4">
        <f t="shared" si="2"/>
        <v>0.99975641006619353</v>
      </c>
      <c r="W22" s="4">
        <f t="shared" si="2"/>
        <v>0.9995380501308736</v>
      </c>
      <c r="X22" s="4">
        <f t="shared" si="2"/>
        <v>0.99912397907241213</v>
      </c>
      <c r="Y22" s="4">
        <f t="shared" si="2"/>
        <v>0.99833888850453545</v>
      </c>
      <c r="Z22" s="4">
        <f t="shared" si="2"/>
        <v>0.99685076919798865</v>
      </c>
      <c r="AA22" s="4">
        <f t="shared" si="2"/>
        <v>0.99403190884795445</v>
      </c>
      <c r="AB22" s="4">
        <f t="shared" si="2"/>
        <v>0.98870000318069773</v>
      </c>
      <c r="AC22" s="4">
        <f t="shared" si="2"/>
        <v>0.97864686803622136</v>
      </c>
      <c r="AD22" s="4">
        <f t="shared" si="2"/>
        <v>0.95982538467280665</v>
      </c>
      <c r="AE22" s="4">
        <f t="shared" si="2"/>
        <v>0.92512705484006208</v>
      </c>
      <c r="AF22" s="4">
        <f t="shared" si="2"/>
        <v>0.86323195930299401</v>
      </c>
      <c r="AG22" s="4">
        <f t="shared" si="3"/>
        <v>0.76000101689477173</v>
      </c>
      <c r="AH22" s="4">
        <f t="shared" si="3"/>
        <v>0.60815171131295576</v>
      </c>
      <c r="AI22" s="4">
        <f t="shared" si="3"/>
        <v>0.42565082250148245</v>
      </c>
      <c r="AJ22" s="4">
        <f t="shared" si="3"/>
        <v>0.25686721291665371</v>
      </c>
      <c r="AK22" s="4">
        <f t="shared" si="3"/>
        <v>0.13681012326750519</v>
      </c>
      <c r="AL22" s="4">
        <f t="shared" si="3"/>
        <v>6.7110874479454963E-2</v>
      </c>
      <c r="AM22" s="4">
        <f t="shared" si="3"/>
        <v>3.1457259534366733E-2</v>
      </c>
      <c r="AN22" s="4">
        <f t="shared" si="3"/>
        <v>1.4415036328376152E-2</v>
      </c>
      <c r="AO22" s="4">
        <f t="shared" si="3"/>
        <v>6.5354046097677587E-3</v>
      </c>
      <c r="AP22" s="4">
        <f t="shared" si="3"/>
        <v>2.9484794129613912E-3</v>
      </c>
      <c r="AQ22" s="4">
        <f t="shared" si="3"/>
        <v>1.3272611400154677E-3</v>
      </c>
      <c r="AR22" s="4">
        <f t="shared" si="3"/>
        <v>5.9686760508315118E-4</v>
      </c>
    </row>
    <row r="23" spans="1:44" x14ac:dyDescent="0.25">
      <c r="A23" s="24" t="s">
        <v>207</v>
      </c>
      <c r="B23" s="43">
        <v>29</v>
      </c>
      <c r="C23" s="44">
        <v>29</v>
      </c>
      <c r="D23" s="1" t="s">
        <v>49</v>
      </c>
      <c r="L23" s="54">
        <v>19</v>
      </c>
      <c r="M23" s="37">
        <v>0</v>
      </c>
      <c r="N23" s="37">
        <v>1</v>
      </c>
      <c r="O23" s="37">
        <v>0.8</v>
      </c>
      <c r="P23" s="55">
        <v>0.8</v>
      </c>
      <c r="Q23" s="4">
        <f t="shared" si="2"/>
        <v>0.99999476424865408</v>
      </c>
      <c r="R23" s="4">
        <f t="shared" si="2"/>
        <v>0.99999007050012179</v>
      </c>
      <c r="S23" s="4">
        <f t="shared" si="2"/>
        <v>0.99998116890363087</v>
      </c>
      <c r="T23" s="4">
        <f t="shared" si="2"/>
        <v>0.99996428722923425</v>
      </c>
      <c r="U23" s="4">
        <f t="shared" si="2"/>
        <v>0.99993227159641906</v>
      </c>
      <c r="V23" s="4">
        <f t="shared" si="2"/>
        <v>0.99987155515136772</v>
      </c>
      <c r="W23" s="4">
        <f t="shared" si="2"/>
        <v>0.99975641006619353</v>
      </c>
      <c r="X23" s="4">
        <f t="shared" si="2"/>
        <v>0.9995380501308736</v>
      </c>
      <c r="Y23" s="4">
        <f t="shared" si="2"/>
        <v>0.99912397907241213</v>
      </c>
      <c r="Z23" s="4">
        <f t="shared" si="2"/>
        <v>0.99833888850453545</v>
      </c>
      <c r="AA23" s="4">
        <f t="shared" si="2"/>
        <v>0.99685076919798865</v>
      </c>
      <c r="AB23" s="4">
        <f t="shared" si="2"/>
        <v>0.99403190884795445</v>
      </c>
      <c r="AC23" s="4">
        <f t="shared" si="2"/>
        <v>0.98870000318069773</v>
      </c>
      <c r="AD23" s="4">
        <f t="shared" si="2"/>
        <v>0.97864686803622136</v>
      </c>
      <c r="AE23" s="4">
        <f t="shared" si="2"/>
        <v>0.95982538467280665</v>
      </c>
      <c r="AF23" s="4">
        <f t="shared" si="2"/>
        <v>0.92512705484006208</v>
      </c>
      <c r="AG23" s="4">
        <f t="shared" si="3"/>
        <v>0.86323195930299401</v>
      </c>
      <c r="AH23" s="4">
        <f t="shared" si="3"/>
        <v>0.76000101689477173</v>
      </c>
      <c r="AI23" s="4">
        <f t="shared" si="3"/>
        <v>0.60815171131295576</v>
      </c>
      <c r="AJ23" s="4">
        <f t="shared" si="3"/>
        <v>0.42565082250148245</v>
      </c>
      <c r="AK23" s="4">
        <f t="shared" si="3"/>
        <v>0.25686721291665371</v>
      </c>
      <c r="AL23" s="4">
        <f t="shared" si="3"/>
        <v>0.13681012326750519</v>
      </c>
      <c r="AM23" s="4">
        <f t="shared" si="3"/>
        <v>6.7110874479454963E-2</v>
      </c>
      <c r="AN23" s="4">
        <f t="shared" si="3"/>
        <v>3.1457259534366733E-2</v>
      </c>
      <c r="AO23" s="4">
        <f t="shared" si="3"/>
        <v>1.4415036328376152E-2</v>
      </c>
      <c r="AP23" s="4">
        <f t="shared" si="3"/>
        <v>6.5354046097677587E-3</v>
      </c>
      <c r="AQ23" s="4">
        <f t="shared" si="3"/>
        <v>2.9484794129613912E-3</v>
      </c>
      <c r="AR23" s="4">
        <f t="shared" si="3"/>
        <v>1.3272611400154677E-3</v>
      </c>
    </row>
    <row r="24" spans="1:44" x14ac:dyDescent="0.25">
      <c r="A24" s="24" t="s">
        <v>56</v>
      </c>
      <c r="B24" s="45">
        <v>0.46</v>
      </c>
      <c r="C24" s="46">
        <v>0.46</v>
      </c>
      <c r="D24" s="1" t="s">
        <v>57</v>
      </c>
      <c r="L24" s="54">
        <v>20</v>
      </c>
      <c r="M24" s="37">
        <v>0</v>
      </c>
      <c r="N24" s="37">
        <v>1</v>
      </c>
      <c r="O24" s="37">
        <v>0.8</v>
      </c>
      <c r="P24" s="55">
        <v>0.8</v>
      </c>
      <c r="Q24" s="4">
        <f t="shared" si="2"/>
        <v>0.99999723922767647</v>
      </c>
      <c r="R24" s="4">
        <f t="shared" si="2"/>
        <v>0.99999476424865408</v>
      </c>
      <c r="S24" s="4">
        <f t="shared" si="2"/>
        <v>0.99999007050012179</v>
      </c>
      <c r="T24" s="4">
        <f t="shared" si="2"/>
        <v>0.99998116890363087</v>
      </c>
      <c r="U24" s="4">
        <f t="shared" si="2"/>
        <v>0.99996428722923425</v>
      </c>
      <c r="V24" s="4">
        <f t="shared" si="2"/>
        <v>0.99993227159641906</v>
      </c>
      <c r="W24" s="4">
        <f t="shared" si="2"/>
        <v>0.99987155515136772</v>
      </c>
      <c r="X24" s="4">
        <f t="shared" si="2"/>
        <v>0.99975641006619353</v>
      </c>
      <c r="Y24" s="4">
        <f t="shared" si="2"/>
        <v>0.9995380501308736</v>
      </c>
      <c r="Z24" s="4">
        <f t="shared" si="2"/>
        <v>0.99912397907241213</v>
      </c>
      <c r="AA24" s="4">
        <f t="shared" si="2"/>
        <v>0.99833888850453545</v>
      </c>
      <c r="AB24" s="4">
        <f t="shared" si="2"/>
        <v>0.99685076919798865</v>
      </c>
      <c r="AC24" s="4">
        <f t="shared" si="2"/>
        <v>0.99403190884795445</v>
      </c>
      <c r="AD24" s="4">
        <f t="shared" si="2"/>
        <v>0.98870000318069773</v>
      </c>
      <c r="AE24" s="4">
        <f t="shared" si="2"/>
        <v>0.97864686803622136</v>
      </c>
      <c r="AF24" s="4">
        <f t="shared" si="2"/>
        <v>0.95982538467280665</v>
      </c>
      <c r="AG24" s="4">
        <f t="shared" si="3"/>
        <v>0.92512705484006208</v>
      </c>
      <c r="AH24" s="4">
        <f t="shared" si="3"/>
        <v>0.86323195930299401</v>
      </c>
      <c r="AI24" s="4">
        <f t="shared" si="3"/>
        <v>0.76000101689477173</v>
      </c>
      <c r="AJ24" s="4">
        <f t="shared" si="3"/>
        <v>0.60815171131295576</v>
      </c>
      <c r="AK24" s="4">
        <f t="shared" si="3"/>
        <v>0.42565082250148245</v>
      </c>
      <c r="AL24" s="4">
        <f t="shared" si="3"/>
        <v>0.25686721291665371</v>
      </c>
      <c r="AM24" s="4">
        <f t="shared" si="3"/>
        <v>0.13681012326750519</v>
      </c>
      <c r="AN24" s="4">
        <f t="shared" si="3"/>
        <v>6.7110874479454963E-2</v>
      </c>
      <c r="AO24" s="4">
        <f t="shared" si="3"/>
        <v>3.1457259534366733E-2</v>
      </c>
      <c r="AP24" s="4">
        <f t="shared" si="3"/>
        <v>1.4415036328376152E-2</v>
      </c>
      <c r="AQ24" s="4">
        <f t="shared" si="3"/>
        <v>6.5354046097677587E-3</v>
      </c>
      <c r="AR24" s="4">
        <f t="shared" si="3"/>
        <v>2.9484794129613912E-3</v>
      </c>
    </row>
    <row r="25" spans="1:44" x14ac:dyDescent="0.25">
      <c r="A25" s="24" t="s">
        <v>73</v>
      </c>
      <c r="B25" s="45">
        <v>0.05</v>
      </c>
      <c r="C25" s="46">
        <v>0.05</v>
      </c>
      <c r="D25" s="1" t="s">
        <v>57</v>
      </c>
      <c r="L25" s="54">
        <v>21</v>
      </c>
      <c r="M25" s="37">
        <v>0</v>
      </c>
      <c r="N25" s="37">
        <v>1</v>
      </c>
      <c r="O25" s="37">
        <v>0.8</v>
      </c>
      <c r="P25" s="55">
        <v>0.8</v>
      </c>
      <c r="Q25" s="4">
        <f t="shared" si="2"/>
        <v>0.9999985442655972</v>
      </c>
      <c r="R25" s="4">
        <f t="shared" si="2"/>
        <v>0.99999723922767647</v>
      </c>
      <c r="S25" s="4">
        <f t="shared" si="2"/>
        <v>0.99999476424865408</v>
      </c>
      <c r="T25" s="4">
        <f t="shared" si="2"/>
        <v>0.99999007050012179</v>
      </c>
      <c r="U25" s="4">
        <f t="shared" si="2"/>
        <v>0.99998116890363087</v>
      </c>
      <c r="V25" s="4">
        <f t="shared" si="2"/>
        <v>0.99996428722923425</v>
      </c>
      <c r="W25" s="4">
        <f t="shared" si="2"/>
        <v>0.99993227159641906</v>
      </c>
      <c r="X25" s="4">
        <f t="shared" si="2"/>
        <v>0.99987155515136772</v>
      </c>
      <c r="Y25" s="4">
        <f t="shared" si="2"/>
        <v>0.99975641006619353</v>
      </c>
      <c r="Z25" s="4">
        <f t="shared" si="2"/>
        <v>0.9995380501308736</v>
      </c>
      <c r="AA25" s="4">
        <f t="shared" si="2"/>
        <v>0.99912397907241213</v>
      </c>
      <c r="AB25" s="4">
        <f t="shared" si="2"/>
        <v>0.99833888850453545</v>
      </c>
      <c r="AC25" s="4">
        <f t="shared" si="2"/>
        <v>0.99685076919798865</v>
      </c>
      <c r="AD25" s="4">
        <f t="shared" si="2"/>
        <v>0.99403190884795445</v>
      </c>
      <c r="AE25" s="4">
        <f t="shared" si="2"/>
        <v>0.98870000318069773</v>
      </c>
      <c r="AF25" s="4">
        <f t="shared" si="2"/>
        <v>0.97864686803622136</v>
      </c>
      <c r="AG25" s="4">
        <f t="shared" si="3"/>
        <v>0.95982538467280665</v>
      </c>
      <c r="AH25" s="4">
        <f t="shared" si="3"/>
        <v>0.92512705484006208</v>
      </c>
      <c r="AI25" s="4">
        <f t="shared" si="3"/>
        <v>0.86323195930299401</v>
      </c>
      <c r="AJ25" s="4">
        <f t="shared" si="3"/>
        <v>0.76000101689477173</v>
      </c>
      <c r="AK25" s="4">
        <f t="shared" si="3"/>
        <v>0.60815171131295576</v>
      </c>
      <c r="AL25" s="4">
        <f t="shared" si="3"/>
        <v>0.42565082250148245</v>
      </c>
      <c r="AM25" s="4">
        <f t="shared" si="3"/>
        <v>0.25686721291665371</v>
      </c>
      <c r="AN25" s="4">
        <f t="shared" si="3"/>
        <v>0.13681012326750519</v>
      </c>
      <c r="AO25" s="4">
        <f t="shared" si="3"/>
        <v>6.7110874479454963E-2</v>
      </c>
      <c r="AP25" s="4">
        <f t="shared" si="3"/>
        <v>3.1457259534366733E-2</v>
      </c>
      <c r="AQ25" s="4">
        <f t="shared" si="3"/>
        <v>1.4415036328376152E-2</v>
      </c>
      <c r="AR25" s="4">
        <f t="shared" si="3"/>
        <v>6.5354046097677587E-3</v>
      </c>
    </row>
    <row r="26" spans="1:44" ht="15.75" thickBot="1" x14ac:dyDescent="0.3">
      <c r="A26" s="24" t="s">
        <v>64</v>
      </c>
      <c r="B26" s="49">
        <v>105000</v>
      </c>
      <c r="C26" s="50">
        <v>105000</v>
      </c>
      <c r="D26" s="1" t="s">
        <v>65</v>
      </c>
      <c r="L26" s="56">
        <v>22</v>
      </c>
      <c r="M26" s="57">
        <v>0</v>
      </c>
      <c r="N26" s="57">
        <v>1</v>
      </c>
      <c r="O26" s="57">
        <v>0.8</v>
      </c>
      <c r="P26" s="58">
        <v>0.8</v>
      </c>
      <c r="Q26" s="4">
        <f t="shared" si="2"/>
        <v>0.99999923240226085</v>
      </c>
      <c r="R26" s="4">
        <f t="shared" si="2"/>
        <v>0.9999985442655972</v>
      </c>
      <c r="S26" s="4">
        <f t="shared" si="2"/>
        <v>0.99999723922767647</v>
      </c>
      <c r="T26" s="4">
        <f t="shared" si="2"/>
        <v>0.99999476424865408</v>
      </c>
      <c r="U26" s="4">
        <f t="shared" si="2"/>
        <v>0.99999007050012179</v>
      </c>
      <c r="V26" s="4">
        <f t="shared" si="2"/>
        <v>0.99998116890363087</v>
      </c>
      <c r="W26" s="4">
        <f t="shared" si="2"/>
        <v>0.99996428722923425</v>
      </c>
      <c r="X26" s="4">
        <f t="shared" si="2"/>
        <v>0.99993227159641906</v>
      </c>
      <c r="Y26" s="4">
        <f t="shared" si="2"/>
        <v>0.99987155515136772</v>
      </c>
      <c r="Z26" s="4">
        <f t="shared" si="2"/>
        <v>0.99975641006619353</v>
      </c>
      <c r="AA26" s="4">
        <f t="shared" si="2"/>
        <v>0.9995380501308736</v>
      </c>
      <c r="AB26" s="4">
        <f t="shared" si="2"/>
        <v>0.99912397907241213</v>
      </c>
      <c r="AC26" s="4">
        <f t="shared" si="2"/>
        <v>0.99833888850453545</v>
      </c>
      <c r="AD26" s="4">
        <f t="shared" si="2"/>
        <v>0.99685076919798865</v>
      </c>
      <c r="AE26" s="4">
        <f t="shared" si="2"/>
        <v>0.99403190884795445</v>
      </c>
      <c r="AF26" s="4">
        <f t="shared" si="2"/>
        <v>0.98870000318069773</v>
      </c>
      <c r="AG26" s="4">
        <f t="shared" si="3"/>
        <v>0.97864686803622136</v>
      </c>
      <c r="AH26" s="4">
        <f t="shared" si="3"/>
        <v>0.95982538467280665</v>
      </c>
      <c r="AI26" s="4">
        <f t="shared" si="3"/>
        <v>0.92512705484006208</v>
      </c>
      <c r="AJ26" s="4">
        <f t="shared" si="3"/>
        <v>0.86323195930299401</v>
      </c>
      <c r="AK26" s="4">
        <f t="shared" si="3"/>
        <v>0.76000101689477173</v>
      </c>
      <c r="AL26" s="4">
        <f t="shared" si="3"/>
        <v>0.60815171131295576</v>
      </c>
      <c r="AM26" s="4">
        <f t="shared" si="3"/>
        <v>0.42565082250148245</v>
      </c>
      <c r="AN26" s="4">
        <f t="shared" si="3"/>
        <v>0.25686721291665371</v>
      </c>
      <c r="AO26" s="4">
        <f t="shared" si="3"/>
        <v>0.13681012326750519</v>
      </c>
      <c r="AP26" s="4">
        <f t="shared" si="3"/>
        <v>6.7110874479454963E-2</v>
      </c>
      <c r="AQ26" s="4">
        <f t="shared" si="3"/>
        <v>3.1457259534366733E-2</v>
      </c>
      <c r="AR26" s="4">
        <f t="shared" si="3"/>
        <v>1.4415036328376152E-2</v>
      </c>
    </row>
    <row r="27" spans="1:44" x14ac:dyDescent="0.25">
      <c r="A27" s="25"/>
      <c r="B27" s="40"/>
    </row>
    <row r="28" spans="1:44" ht="15.75" thickBot="1" x14ac:dyDescent="0.3"/>
    <row r="29" spans="1:44" ht="15.75" thickBot="1" x14ac:dyDescent="0.3">
      <c r="A29" s="26" t="s">
        <v>208</v>
      </c>
      <c r="B29" s="27">
        <v>2023</v>
      </c>
      <c r="C29" s="27">
        <v>2024</v>
      </c>
      <c r="D29" s="27">
        <v>2025</v>
      </c>
      <c r="E29" s="27">
        <v>2026</v>
      </c>
      <c r="F29" s="27">
        <v>2027</v>
      </c>
      <c r="G29" s="27">
        <v>2028</v>
      </c>
      <c r="H29" s="27">
        <v>2029</v>
      </c>
      <c r="I29" s="27">
        <v>2030</v>
      </c>
      <c r="J29" s="27">
        <v>2031</v>
      </c>
      <c r="K29" s="27">
        <v>2032</v>
      </c>
      <c r="L29" s="27">
        <v>2033</v>
      </c>
      <c r="M29" s="27">
        <v>2034</v>
      </c>
      <c r="N29" s="27">
        <v>2035</v>
      </c>
      <c r="O29" s="27">
        <v>2036</v>
      </c>
      <c r="P29" s="27">
        <v>2037</v>
      </c>
      <c r="Q29" s="27">
        <v>2038</v>
      </c>
      <c r="R29" s="27">
        <v>2039</v>
      </c>
      <c r="S29" s="27">
        <v>2040</v>
      </c>
      <c r="T29" s="27">
        <v>2041</v>
      </c>
      <c r="U29" s="27">
        <v>2042</v>
      </c>
      <c r="V29" s="27">
        <v>2043</v>
      </c>
      <c r="W29" s="27">
        <v>2044</v>
      </c>
      <c r="X29" s="27">
        <v>2045</v>
      </c>
      <c r="Y29" s="27">
        <v>2046</v>
      </c>
      <c r="Z29" s="27">
        <v>2047</v>
      </c>
      <c r="AA29" s="27">
        <v>2048</v>
      </c>
      <c r="AB29" s="27">
        <v>2049</v>
      </c>
      <c r="AC29" s="28">
        <v>2050</v>
      </c>
    </row>
    <row r="30" spans="1:44" x14ac:dyDescent="0.25">
      <c r="A30" s="29" t="str">
        <f t="shared" ref="A30:A43" si="4">A11</f>
        <v>Capex vehicle</v>
      </c>
      <c r="B30" s="62">
        <f t="shared" ref="B30:B42" si="5">$B11+($C11-$B11)*(1-Q11)</f>
        <v>100000</v>
      </c>
      <c r="C30" s="62">
        <f t="shared" ref="C30:AC30" si="6">$B11+($C11-$B11)*(1-R11)</f>
        <v>100000</v>
      </c>
      <c r="D30" s="62">
        <f t="shared" si="6"/>
        <v>100000</v>
      </c>
      <c r="E30" s="62">
        <f t="shared" si="6"/>
        <v>100000</v>
      </c>
      <c r="F30" s="62">
        <f t="shared" si="6"/>
        <v>100000</v>
      </c>
      <c r="G30" s="62">
        <f t="shared" si="6"/>
        <v>100000</v>
      </c>
      <c r="H30" s="62">
        <f t="shared" si="6"/>
        <v>100000</v>
      </c>
      <c r="I30" s="62">
        <f t="shared" si="6"/>
        <v>100000</v>
      </c>
      <c r="J30" s="62">
        <f t="shared" si="6"/>
        <v>100000</v>
      </c>
      <c r="K30" s="62">
        <f t="shared" si="6"/>
        <v>100000</v>
      </c>
      <c r="L30" s="62">
        <f t="shared" si="6"/>
        <v>100000</v>
      </c>
      <c r="M30" s="62">
        <f t="shared" si="6"/>
        <v>100000</v>
      </c>
      <c r="N30" s="62">
        <f t="shared" si="6"/>
        <v>100000</v>
      </c>
      <c r="O30" s="62">
        <f t="shared" si="6"/>
        <v>100000</v>
      </c>
      <c r="P30" s="62">
        <f t="shared" si="6"/>
        <v>100000</v>
      </c>
      <c r="Q30" s="62">
        <f t="shared" si="6"/>
        <v>100000</v>
      </c>
      <c r="R30" s="62">
        <f t="shared" si="6"/>
        <v>100000</v>
      </c>
      <c r="S30" s="62">
        <f t="shared" si="6"/>
        <v>100000</v>
      </c>
      <c r="T30" s="62">
        <f t="shared" si="6"/>
        <v>100000</v>
      </c>
      <c r="U30" s="62">
        <f t="shared" si="6"/>
        <v>100000</v>
      </c>
      <c r="V30" s="62">
        <f t="shared" si="6"/>
        <v>100000</v>
      </c>
      <c r="W30" s="62">
        <f t="shared" si="6"/>
        <v>100000</v>
      </c>
      <c r="X30" s="62">
        <f t="shared" si="6"/>
        <v>100000</v>
      </c>
      <c r="Y30" s="62">
        <f t="shared" si="6"/>
        <v>100000</v>
      </c>
      <c r="Z30" s="62">
        <f t="shared" si="6"/>
        <v>100000</v>
      </c>
      <c r="AA30" s="62">
        <f t="shared" si="6"/>
        <v>100000</v>
      </c>
      <c r="AB30" s="62">
        <f t="shared" si="6"/>
        <v>100000</v>
      </c>
      <c r="AC30" s="62">
        <f t="shared" si="6"/>
        <v>100000</v>
      </c>
    </row>
    <row r="31" spans="1:44" x14ac:dyDescent="0.25">
      <c r="A31" s="30" t="str">
        <f t="shared" si="4"/>
        <v>Residual value (vehicle)</v>
      </c>
      <c r="B31" s="62">
        <f t="shared" si="5"/>
        <v>-30000</v>
      </c>
      <c r="C31" s="62">
        <f t="shared" ref="C31:AC31" si="7">$B12+($C12-$B12)*(1-R12)</f>
        <v>-30000</v>
      </c>
      <c r="D31" s="62">
        <f t="shared" si="7"/>
        <v>-30000</v>
      </c>
      <c r="E31" s="62">
        <f t="shared" si="7"/>
        <v>-30000</v>
      </c>
      <c r="F31" s="62">
        <f t="shared" si="7"/>
        <v>-30000</v>
      </c>
      <c r="G31" s="62">
        <f t="shared" si="7"/>
        <v>-30000</v>
      </c>
      <c r="H31" s="62">
        <f t="shared" si="7"/>
        <v>-30000</v>
      </c>
      <c r="I31" s="62">
        <f t="shared" si="7"/>
        <v>-30000</v>
      </c>
      <c r="J31" s="62">
        <f t="shared" si="7"/>
        <v>-30000</v>
      </c>
      <c r="K31" s="62">
        <f t="shared" si="7"/>
        <v>-30000</v>
      </c>
      <c r="L31" s="62">
        <f t="shared" si="7"/>
        <v>-30000</v>
      </c>
      <c r="M31" s="62">
        <f t="shared" si="7"/>
        <v>-30000</v>
      </c>
      <c r="N31" s="62">
        <f t="shared" si="7"/>
        <v>-30000</v>
      </c>
      <c r="O31" s="62">
        <f t="shared" si="7"/>
        <v>-30000</v>
      </c>
      <c r="P31" s="62">
        <f t="shared" si="7"/>
        <v>-30000</v>
      </c>
      <c r="Q31" s="62">
        <f t="shared" si="7"/>
        <v>-30000</v>
      </c>
      <c r="R31" s="62">
        <f t="shared" si="7"/>
        <v>-30000</v>
      </c>
      <c r="S31" s="62">
        <f t="shared" si="7"/>
        <v>-30000</v>
      </c>
      <c r="T31" s="62">
        <f t="shared" si="7"/>
        <v>-30000</v>
      </c>
      <c r="U31" s="62">
        <f t="shared" si="7"/>
        <v>-30000</v>
      </c>
      <c r="V31" s="62">
        <f t="shared" si="7"/>
        <v>-30000</v>
      </c>
      <c r="W31" s="62">
        <f t="shared" si="7"/>
        <v>-30000</v>
      </c>
      <c r="X31" s="62">
        <f t="shared" si="7"/>
        <v>-30000</v>
      </c>
      <c r="Y31" s="62">
        <f t="shared" si="7"/>
        <v>-30000</v>
      </c>
      <c r="Z31" s="62">
        <f t="shared" si="7"/>
        <v>-30000</v>
      </c>
      <c r="AA31" s="62">
        <f t="shared" si="7"/>
        <v>-30000</v>
      </c>
      <c r="AB31" s="62">
        <f t="shared" si="7"/>
        <v>-30000</v>
      </c>
      <c r="AC31" s="62">
        <f t="shared" si="7"/>
        <v>-30000</v>
      </c>
    </row>
    <row r="32" spans="1:44" x14ac:dyDescent="0.25">
      <c r="A32" s="30" t="str">
        <f t="shared" si="4"/>
        <v>Capex costumization</v>
      </c>
      <c r="B32" s="62">
        <f t="shared" si="5"/>
        <v>50000</v>
      </c>
      <c r="C32" s="62">
        <f t="shared" ref="C32:AC32" si="8">$B13+($C13-$B13)*(1-R13)</f>
        <v>50000</v>
      </c>
      <c r="D32" s="62">
        <f t="shared" si="8"/>
        <v>50000</v>
      </c>
      <c r="E32" s="62">
        <f t="shared" si="8"/>
        <v>50000</v>
      </c>
      <c r="F32" s="62">
        <f t="shared" si="8"/>
        <v>50000</v>
      </c>
      <c r="G32" s="62">
        <f t="shared" si="8"/>
        <v>50000</v>
      </c>
      <c r="H32" s="62">
        <f t="shared" si="8"/>
        <v>50000</v>
      </c>
      <c r="I32" s="62">
        <f t="shared" si="8"/>
        <v>50000</v>
      </c>
      <c r="J32" s="62">
        <f t="shared" si="8"/>
        <v>50000</v>
      </c>
      <c r="K32" s="62">
        <f t="shared" si="8"/>
        <v>50000</v>
      </c>
      <c r="L32" s="62">
        <f t="shared" si="8"/>
        <v>50000</v>
      </c>
      <c r="M32" s="62">
        <f t="shared" si="8"/>
        <v>50000</v>
      </c>
      <c r="N32" s="62">
        <f t="shared" si="8"/>
        <v>50000</v>
      </c>
      <c r="O32" s="62">
        <f t="shared" si="8"/>
        <v>50000</v>
      </c>
      <c r="P32" s="62">
        <f t="shared" si="8"/>
        <v>50000</v>
      </c>
      <c r="Q32" s="62">
        <f t="shared" si="8"/>
        <v>50000</v>
      </c>
      <c r="R32" s="62">
        <f t="shared" si="8"/>
        <v>50000</v>
      </c>
      <c r="S32" s="62">
        <f t="shared" si="8"/>
        <v>50000</v>
      </c>
      <c r="T32" s="62">
        <f t="shared" si="8"/>
        <v>50000</v>
      </c>
      <c r="U32" s="62">
        <f t="shared" si="8"/>
        <v>50000</v>
      </c>
      <c r="V32" s="62">
        <f t="shared" si="8"/>
        <v>50000</v>
      </c>
      <c r="W32" s="62">
        <f t="shared" si="8"/>
        <v>50000</v>
      </c>
      <c r="X32" s="62">
        <f t="shared" si="8"/>
        <v>50000</v>
      </c>
      <c r="Y32" s="62">
        <f t="shared" si="8"/>
        <v>50000</v>
      </c>
      <c r="Z32" s="62">
        <f t="shared" si="8"/>
        <v>50000</v>
      </c>
      <c r="AA32" s="62">
        <f t="shared" si="8"/>
        <v>50000</v>
      </c>
      <c r="AB32" s="62">
        <f t="shared" si="8"/>
        <v>50000</v>
      </c>
      <c r="AC32" s="62">
        <f t="shared" si="8"/>
        <v>50000</v>
      </c>
    </row>
    <row r="33" spans="1:29" x14ac:dyDescent="0.25">
      <c r="A33" s="30" t="str">
        <f t="shared" si="4"/>
        <v>Residual value (costumization)</v>
      </c>
      <c r="B33" s="62">
        <f t="shared" si="5"/>
        <v>-5000</v>
      </c>
      <c r="C33" s="62">
        <f t="shared" ref="C33:AC33" si="9">$B14+($C14-$B14)*(1-R14)</f>
        <v>-5000</v>
      </c>
      <c r="D33" s="62">
        <f t="shared" si="9"/>
        <v>-5000</v>
      </c>
      <c r="E33" s="62">
        <f t="shared" si="9"/>
        <v>-5000</v>
      </c>
      <c r="F33" s="62">
        <f t="shared" si="9"/>
        <v>-5000</v>
      </c>
      <c r="G33" s="62">
        <f t="shared" si="9"/>
        <v>-5000</v>
      </c>
      <c r="H33" s="62">
        <f t="shared" si="9"/>
        <v>-5000</v>
      </c>
      <c r="I33" s="62">
        <f t="shared" si="9"/>
        <v>-5000</v>
      </c>
      <c r="J33" s="62">
        <f t="shared" si="9"/>
        <v>-5000</v>
      </c>
      <c r="K33" s="62">
        <f t="shared" si="9"/>
        <v>-5000</v>
      </c>
      <c r="L33" s="62">
        <f t="shared" si="9"/>
        <v>-5000</v>
      </c>
      <c r="M33" s="62">
        <f t="shared" si="9"/>
        <v>-5000</v>
      </c>
      <c r="N33" s="62">
        <f t="shared" si="9"/>
        <v>-5000</v>
      </c>
      <c r="O33" s="62">
        <f t="shared" si="9"/>
        <v>-5000</v>
      </c>
      <c r="P33" s="62">
        <f t="shared" si="9"/>
        <v>-5000</v>
      </c>
      <c r="Q33" s="62">
        <f t="shared" si="9"/>
        <v>-5000</v>
      </c>
      <c r="R33" s="62">
        <f t="shared" si="9"/>
        <v>-5000</v>
      </c>
      <c r="S33" s="62">
        <f t="shared" si="9"/>
        <v>-5000</v>
      </c>
      <c r="T33" s="62">
        <f t="shared" si="9"/>
        <v>-5000</v>
      </c>
      <c r="U33" s="62">
        <f t="shared" si="9"/>
        <v>-5000</v>
      </c>
      <c r="V33" s="62">
        <f t="shared" si="9"/>
        <v>-5000</v>
      </c>
      <c r="W33" s="62">
        <f t="shared" si="9"/>
        <v>-5000</v>
      </c>
      <c r="X33" s="62">
        <f t="shared" si="9"/>
        <v>-5000</v>
      </c>
      <c r="Y33" s="62">
        <f t="shared" si="9"/>
        <v>-5000</v>
      </c>
      <c r="Z33" s="62">
        <f t="shared" si="9"/>
        <v>-5000</v>
      </c>
      <c r="AA33" s="62">
        <f t="shared" si="9"/>
        <v>-5000</v>
      </c>
      <c r="AB33" s="62">
        <f t="shared" si="9"/>
        <v>-5000</v>
      </c>
      <c r="AC33" s="62">
        <f t="shared" si="9"/>
        <v>-5000</v>
      </c>
    </row>
    <row r="34" spans="1:29" x14ac:dyDescent="0.25">
      <c r="A34" s="30" t="str">
        <f t="shared" si="4"/>
        <v>WACC</v>
      </c>
      <c r="B34" s="62">
        <f t="shared" si="5"/>
        <v>0.06</v>
      </c>
      <c r="C34" s="62">
        <f t="shared" ref="C34:AC34" si="10">$B15+($C15-$B15)*(1-R15)</f>
        <v>0.06</v>
      </c>
      <c r="D34" s="62">
        <f t="shared" si="10"/>
        <v>0.06</v>
      </c>
      <c r="E34" s="62">
        <f t="shared" si="10"/>
        <v>0.06</v>
      </c>
      <c r="F34" s="62">
        <f t="shared" si="10"/>
        <v>0.06</v>
      </c>
      <c r="G34" s="62">
        <f t="shared" si="10"/>
        <v>0.06</v>
      </c>
      <c r="H34" s="62">
        <f t="shared" si="10"/>
        <v>0.06</v>
      </c>
      <c r="I34" s="62">
        <f t="shared" si="10"/>
        <v>0.06</v>
      </c>
      <c r="J34" s="62">
        <f t="shared" si="10"/>
        <v>0.06</v>
      </c>
      <c r="K34" s="62">
        <f t="shared" si="10"/>
        <v>0.06</v>
      </c>
      <c r="L34" s="62">
        <f t="shared" si="10"/>
        <v>0.06</v>
      </c>
      <c r="M34" s="62">
        <f t="shared" si="10"/>
        <v>0.06</v>
      </c>
      <c r="N34" s="62">
        <f t="shared" si="10"/>
        <v>0.06</v>
      </c>
      <c r="O34" s="62">
        <f t="shared" si="10"/>
        <v>0.06</v>
      </c>
      <c r="P34" s="62">
        <f t="shared" si="10"/>
        <v>0.06</v>
      </c>
      <c r="Q34" s="62">
        <f t="shared" si="10"/>
        <v>0.06</v>
      </c>
      <c r="R34" s="62">
        <f t="shared" si="10"/>
        <v>0.06</v>
      </c>
      <c r="S34" s="62">
        <f t="shared" si="10"/>
        <v>0.06</v>
      </c>
      <c r="T34" s="62">
        <f t="shared" si="10"/>
        <v>0.06</v>
      </c>
      <c r="U34" s="62">
        <f t="shared" si="10"/>
        <v>0.06</v>
      </c>
      <c r="V34" s="62">
        <f t="shared" si="10"/>
        <v>0.06</v>
      </c>
      <c r="W34" s="62">
        <f t="shared" si="10"/>
        <v>0.06</v>
      </c>
      <c r="X34" s="62">
        <f t="shared" si="10"/>
        <v>0.06</v>
      </c>
      <c r="Y34" s="62">
        <f t="shared" si="10"/>
        <v>0.06</v>
      </c>
      <c r="Z34" s="62">
        <f t="shared" si="10"/>
        <v>0.06</v>
      </c>
      <c r="AA34" s="62">
        <f t="shared" si="10"/>
        <v>0.06</v>
      </c>
      <c r="AB34" s="62">
        <f t="shared" si="10"/>
        <v>0.06</v>
      </c>
      <c r="AC34" s="62">
        <f t="shared" si="10"/>
        <v>0.06</v>
      </c>
    </row>
    <row r="35" spans="1:29" x14ac:dyDescent="0.25">
      <c r="A35" s="30" t="str">
        <f t="shared" si="4"/>
        <v>Opex fix (admin, crew, insurance)</v>
      </c>
      <c r="B35" s="62">
        <f t="shared" si="5"/>
        <v>85000</v>
      </c>
      <c r="C35" s="62">
        <f t="shared" ref="C35:AC35" si="11">$B16+($C16-$B16)*(1-R16)</f>
        <v>85000</v>
      </c>
      <c r="D35" s="62">
        <f t="shared" si="11"/>
        <v>85000</v>
      </c>
      <c r="E35" s="62">
        <f t="shared" si="11"/>
        <v>85000</v>
      </c>
      <c r="F35" s="62">
        <f t="shared" si="11"/>
        <v>85000</v>
      </c>
      <c r="G35" s="62">
        <f t="shared" si="11"/>
        <v>85000</v>
      </c>
      <c r="H35" s="62">
        <f t="shared" si="11"/>
        <v>85000</v>
      </c>
      <c r="I35" s="62">
        <f t="shared" si="11"/>
        <v>85000</v>
      </c>
      <c r="J35" s="62">
        <f t="shared" si="11"/>
        <v>85000</v>
      </c>
      <c r="K35" s="62">
        <f t="shared" si="11"/>
        <v>85000</v>
      </c>
      <c r="L35" s="62">
        <f t="shared" si="11"/>
        <v>85000</v>
      </c>
      <c r="M35" s="62">
        <f t="shared" si="11"/>
        <v>85000</v>
      </c>
      <c r="N35" s="62">
        <f t="shared" si="11"/>
        <v>85000</v>
      </c>
      <c r="O35" s="62">
        <f t="shared" si="11"/>
        <v>85000</v>
      </c>
      <c r="P35" s="62">
        <f t="shared" si="11"/>
        <v>85000</v>
      </c>
      <c r="Q35" s="62">
        <f t="shared" si="11"/>
        <v>85000</v>
      </c>
      <c r="R35" s="62">
        <f t="shared" si="11"/>
        <v>85000</v>
      </c>
      <c r="S35" s="62">
        <f t="shared" si="11"/>
        <v>85000</v>
      </c>
      <c r="T35" s="62">
        <f t="shared" si="11"/>
        <v>85000</v>
      </c>
      <c r="U35" s="62">
        <f t="shared" si="11"/>
        <v>85000</v>
      </c>
      <c r="V35" s="62">
        <f t="shared" si="11"/>
        <v>85000</v>
      </c>
      <c r="W35" s="62">
        <f t="shared" si="11"/>
        <v>85000</v>
      </c>
      <c r="X35" s="62">
        <f t="shared" si="11"/>
        <v>85000</v>
      </c>
      <c r="Y35" s="62">
        <f t="shared" si="11"/>
        <v>85000</v>
      </c>
      <c r="Z35" s="62">
        <f t="shared" si="11"/>
        <v>85000</v>
      </c>
      <c r="AA35" s="62">
        <f t="shared" si="11"/>
        <v>85000</v>
      </c>
      <c r="AB35" s="62">
        <f t="shared" si="11"/>
        <v>85000</v>
      </c>
      <c r="AC35" s="62">
        <f t="shared" si="11"/>
        <v>85000</v>
      </c>
    </row>
    <row r="36" spans="1:29" x14ac:dyDescent="0.25">
      <c r="A36" s="30" t="str">
        <f t="shared" si="4"/>
        <v>Opex maintenance &amp; repair</v>
      </c>
      <c r="B36" s="62">
        <f t="shared" si="5"/>
        <v>20000</v>
      </c>
      <c r="C36" s="62">
        <f t="shared" ref="C36:AC36" si="12">$B17+($C17-$B17)*(1-R17)</f>
        <v>20000</v>
      </c>
      <c r="D36" s="62">
        <f t="shared" si="12"/>
        <v>20000</v>
      </c>
      <c r="E36" s="62">
        <f t="shared" si="12"/>
        <v>20000</v>
      </c>
      <c r="F36" s="62">
        <f t="shared" si="12"/>
        <v>20000</v>
      </c>
      <c r="G36" s="62">
        <f t="shared" si="12"/>
        <v>20000</v>
      </c>
      <c r="H36" s="62">
        <f t="shared" si="12"/>
        <v>20000</v>
      </c>
      <c r="I36" s="62">
        <f t="shared" si="12"/>
        <v>20000</v>
      </c>
      <c r="J36" s="62">
        <f t="shared" si="12"/>
        <v>20000</v>
      </c>
      <c r="K36" s="62">
        <f t="shared" si="12"/>
        <v>20000</v>
      </c>
      <c r="L36" s="62">
        <f t="shared" si="12"/>
        <v>20000</v>
      </c>
      <c r="M36" s="62">
        <f t="shared" si="12"/>
        <v>20000</v>
      </c>
      <c r="N36" s="62">
        <f t="shared" si="12"/>
        <v>20000</v>
      </c>
      <c r="O36" s="62">
        <f t="shared" si="12"/>
        <v>20000</v>
      </c>
      <c r="P36" s="62">
        <f t="shared" si="12"/>
        <v>20000</v>
      </c>
      <c r="Q36" s="62">
        <f t="shared" si="12"/>
        <v>20000</v>
      </c>
      <c r="R36" s="62">
        <f t="shared" si="12"/>
        <v>20000</v>
      </c>
      <c r="S36" s="62">
        <f t="shared" si="12"/>
        <v>20000</v>
      </c>
      <c r="T36" s="62">
        <f t="shared" si="12"/>
        <v>20000</v>
      </c>
      <c r="U36" s="62">
        <f t="shared" si="12"/>
        <v>20000</v>
      </c>
      <c r="V36" s="62">
        <f t="shared" si="12"/>
        <v>20000</v>
      </c>
      <c r="W36" s="62">
        <f t="shared" si="12"/>
        <v>20000</v>
      </c>
      <c r="X36" s="62">
        <f t="shared" si="12"/>
        <v>20000</v>
      </c>
      <c r="Y36" s="62">
        <f t="shared" si="12"/>
        <v>20000</v>
      </c>
      <c r="Z36" s="62">
        <f t="shared" si="12"/>
        <v>20000</v>
      </c>
      <c r="AA36" s="62">
        <f t="shared" si="12"/>
        <v>20000</v>
      </c>
      <c r="AB36" s="62">
        <f t="shared" si="12"/>
        <v>20000</v>
      </c>
      <c r="AC36" s="62">
        <f t="shared" si="12"/>
        <v>20000</v>
      </c>
    </row>
    <row r="37" spans="1:29" x14ac:dyDescent="0.25">
      <c r="A37" s="30" t="str">
        <f t="shared" si="4"/>
        <v>Opex var (mode-fees, cargo handling)</v>
      </c>
      <c r="B37" s="62">
        <f t="shared" si="5"/>
        <v>9.5238095238095247E-3</v>
      </c>
      <c r="C37" s="62">
        <f t="shared" ref="C37:AC37" si="13">$B18+($C18-$B18)*(1-R18)</f>
        <v>9.5238095238095247E-3</v>
      </c>
      <c r="D37" s="62">
        <f t="shared" si="13"/>
        <v>9.5238095238095247E-3</v>
      </c>
      <c r="E37" s="62">
        <f t="shared" si="13"/>
        <v>9.5238095238095247E-3</v>
      </c>
      <c r="F37" s="62">
        <f t="shared" si="13"/>
        <v>9.5238095238095247E-3</v>
      </c>
      <c r="G37" s="62">
        <f t="shared" si="13"/>
        <v>9.5238095238095247E-3</v>
      </c>
      <c r="H37" s="62">
        <f t="shared" si="13"/>
        <v>9.5238095238095247E-3</v>
      </c>
      <c r="I37" s="62">
        <f t="shared" si="13"/>
        <v>9.5238095238095247E-3</v>
      </c>
      <c r="J37" s="62">
        <f t="shared" si="13"/>
        <v>9.5238095238095247E-3</v>
      </c>
      <c r="K37" s="62">
        <f t="shared" si="13"/>
        <v>9.5238095238095247E-3</v>
      </c>
      <c r="L37" s="62">
        <f t="shared" si="13"/>
        <v>9.5238095238095247E-3</v>
      </c>
      <c r="M37" s="62">
        <f t="shared" si="13"/>
        <v>9.5238095238095247E-3</v>
      </c>
      <c r="N37" s="62">
        <f t="shared" si="13"/>
        <v>9.5238095238095247E-3</v>
      </c>
      <c r="O37" s="62">
        <f t="shared" si="13"/>
        <v>9.5238095238095247E-3</v>
      </c>
      <c r="P37" s="62">
        <f t="shared" si="13"/>
        <v>9.5238095238095247E-3</v>
      </c>
      <c r="Q37" s="62">
        <f t="shared" si="13"/>
        <v>9.5238095238095247E-3</v>
      </c>
      <c r="R37" s="62">
        <f t="shared" si="13"/>
        <v>9.5238095238095247E-3</v>
      </c>
      <c r="S37" s="62">
        <f t="shared" si="13"/>
        <v>9.5238095238095247E-3</v>
      </c>
      <c r="T37" s="62">
        <f t="shared" si="13"/>
        <v>9.5238095238095247E-3</v>
      </c>
      <c r="U37" s="62">
        <f t="shared" si="13"/>
        <v>9.5238095238095247E-3</v>
      </c>
      <c r="V37" s="62">
        <f t="shared" si="13"/>
        <v>9.5238095238095247E-3</v>
      </c>
      <c r="W37" s="62">
        <f t="shared" si="13"/>
        <v>9.5238095238095247E-3</v>
      </c>
      <c r="X37" s="62">
        <f t="shared" si="13"/>
        <v>9.5238095238095247E-3</v>
      </c>
      <c r="Y37" s="62">
        <f t="shared" si="13"/>
        <v>9.5238095238095247E-3</v>
      </c>
      <c r="Z37" s="62">
        <f t="shared" si="13"/>
        <v>9.5238095238095247E-3</v>
      </c>
      <c r="AA37" s="62">
        <f t="shared" si="13"/>
        <v>9.5238095238095247E-3</v>
      </c>
      <c r="AB37" s="62">
        <f t="shared" si="13"/>
        <v>9.5238095238095247E-3</v>
      </c>
      <c r="AC37" s="62">
        <f t="shared" si="13"/>
        <v>9.5238095238095247E-3</v>
      </c>
    </row>
    <row r="38" spans="1:29" x14ac:dyDescent="0.25">
      <c r="A38" s="30" t="str">
        <f t="shared" si="4"/>
        <v>Fuel Economy</v>
      </c>
      <c r="B38" s="62">
        <f t="shared" si="5"/>
        <v>2.8</v>
      </c>
      <c r="C38" s="62">
        <f t="shared" ref="C38:AC38" si="14">$B19+($C19-$B19)*(1-R19)</f>
        <v>2.8</v>
      </c>
      <c r="D38" s="62">
        <f t="shared" si="14"/>
        <v>2.8</v>
      </c>
      <c r="E38" s="62">
        <f t="shared" si="14"/>
        <v>2.8</v>
      </c>
      <c r="F38" s="62">
        <f t="shared" si="14"/>
        <v>2.8</v>
      </c>
      <c r="G38" s="62">
        <f t="shared" si="14"/>
        <v>2.8</v>
      </c>
      <c r="H38" s="62">
        <f t="shared" si="14"/>
        <v>2.8</v>
      </c>
      <c r="I38" s="62">
        <f t="shared" si="14"/>
        <v>2.8</v>
      </c>
      <c r="J38" s="62">
        <f t="shared" si="14"/>
        <v>2.8</v>
      </c>
      <c r="K38" s="62">
        <f t="shared" si="14"/>
        <v>2.8</v>
      </c>
      <c r="L38" s="62">
        <f t="shared" si="14"/>
        <v>2.8</v>
      </c>
      <c r="M38" s="62">
        <f t="shared" si="14"/>
        <v>2.8</v>
      </c>
      <c r="N38" s="62">
        <f t="shared" si="14"/>
        <v>2.8</v>
      </c>
      <c r="O38" s="62">
        <f t="shared" si="14"/>
        <v>2.8</v>
      </c>
      <c r="P38" s="62">
        <f t="shared" si="14"/>
        <v>2.8</v>
      </c>
      <c r="Q38" s="62">
        <f t="shared" si="14"/>
        <v>2.8</v>
      </c>
      <c r="R38" s="62">
        <f t="shared" si="14"/>
        <v>2.8</v>
      </c>
      <c r="S38" s="62">
        <f t="shared" si="14"/>
        <v>2.8</v>
      </c>
      <c r="T38" s="62">
        <f t="shared" si="14"/>
        <v>2.8</v>
      </c>
      <c r="U38" s="62">
        <f t="shared" si="14"/>
        <v>2.8</v>
      </c>
      <c r="V38" s="62">
        <f t="shared" si="14"/>
        <v>2.8</v>
      </c>
      <c r="W38" s="62">
        <f t="shared" si="14"/>
        <v>2.8</v>
      </c>
      <c r="X38" s="62">
        <f t="shared" si="14"/>
        <v>2.8</v>
      </c>
      <c r="Y38" s="62">
        <f t="shared" si="14"/>
        <v>2.8</v>
      </c>
      <c r="Z38" s="62">
        <f t="shared" si="14"/>
        <v>2.8</v>
      </c>
      <c r="AA38" s="62">
        <f t="shared" si="14"/>
        <v>2.8</v>
      </c>
      <c r="AB38" s="62">
        <f t="shared" si="14"/>
        <v>2.8</v>
      </c>
      <c r="AC38" s="62">
        <f t="shared" si="14"/>
        <v>2.8</v>
      </c>
    </row>
    <row r="39" spans="1:29" x14ac:dyDescent="0.25">
      <c r="A39" s="30" t="str">
        <f t="shared" si="4"/>
        <v>Fuel Cost</v>
      </c>
      <c r="B39" s="62">
        <f t="shared" si="5"/>
        <v>0.15</v>
      </c>
      <c r="C39" s="62">
        <f t="shared" ref="C39:AC39" si="15">$B20+($C20-$B20)*(1-R20)</f>
        <v>0.15</v>
      </c>
      <c r="D39" s="62">
        <f t="shared" si="15"/>
        <v>0.15</v>
      </c>
      <c r="E39" s="62">
        <f t="shared" si="15"/>
        <v>0.15</v>
      </c>
      <c r="F39" s="62">
        <f t="shared" si="15"/>
        <v>0.15</v>
      </c>
      <c r="G39" s="62">
        <f t="shared" si="15"/>
        <v>0.15</v>
      </c>
      <c r="H39" s="62">
        <f t="shared" si="15"/>
        <v>0.15</v>
      </c>
      <c r="I39" s="62">
        <f t="shared" si="15"/>
        <v>0.15</v>
      </c>
      <c r="J39" s="62">
        <f t="shared" si="15"/>
        <v>0.15</v>
      </c>
      <c r="K39" s="62">
        <f t="shared" si="15"/>
        <v>0.15</v>
      </c>
      <c r="L39" s="62">
        <f t="shared" si="15"/>
        <v>0.15</v>
      </c>
      <c r="M39" s="62">
        <f t="shared" si="15"/>
        <v>0.15</v>
      </c>
      <c r="N39" s="62">
        <f t="shared" si="15"/>
        <v>0.15</v>
      </c>
      <c r="O39" s="62">
        <f t="shared" si="15"/>
        <v>0.15</v>
      </c>
      <c r="P39" s="62">
        <f t="shared" si="15"/>
        <v>0.15</v>
      </c>
      <c r="Q39" s="62">
        <f t="shared" si="15"/>
        <v>0.15</v>
      </c>
      <c r="R39" s="62">
        <f t="shared" si="15"/>
        <v>0.15</v>
      </c>
      <c r="S39" s="62">
        <f t="shared" si="15"/>
        <v>0.15</v>
      </c>
      <c r="T39" s="62">
        <f t="shared" si="15"/>
        <v>0.15</v>
      </c>
      <c r="U39" s="62">
        <f t="shared" si="15"/>
        <v>0.15</v>
      </c>
      <c r="V39" s="62">
        <f t="shared" si="15"/>
        <v>0.15</v>
      </c>
      <c r="W39" s="62">
        <f t="shared" si="15"/>
        <v>0.15</v>
      </c>
      <c r="X39" s="62">
        <f t="shared" si="15"/>
        <v>0.15</v>
      </c>
      <c r="Y39" s="62">
        <f t="shared" si="15"/>
        <v>0.15</v>
      </c>
      <c r="Z39" s="62">
        <f t="shared" si="15"/>
        <v>0.15</v>
      </c>
      <c r="AA39" s="62">
        <f t="shared" si="15"/>
        <v>0.15</v>
      </c>
      <c r="AB39" s="62">
        <f t="shared" si="15"/>
        <v>0.15</v>
      </c>
      <c r="AC39" s="62">
        <f t="shared" si="15"/>
        <v>0.15</v>
      </c>
    </row>
    <row r="40" spans="1:29" x14ac:dyDescent="0.25">
      <c r="A40" s="30" t="str">
        <f t="shared" si="4"/>
        <v>Lifetime vehicle</v>
      </c>
      <c r="B40" s="62">
        <f t="shared" si="5"/>
        <v>5</v>
      </c>
      <c r="C40" s="62">
        <f t="shared" ref="C40:AC40" si="16">$B21+($C21-$B21)*(1-R21)</f>
        <v>5</v>
      </c>
      <c r="D40" s="62">
        <f t="shared" si="16"/>
        <v>5</v>
      </c>
      <c r="E40" s="62">
        <f t="shared" si="16"/>
        <v>5</v>
      </c>
      <c r="F40" s="62">
        <f t="shared" si="16"/>
        <v>5</v>
      </c>
      <c r="G40" s="62">
        <f t="shared" si="16"/>
        <v>5</v>
      </c>
      <c r="H40" s="62">
        <f t="shared" si="16"/>
        <v>5</v>
      </c>
      <c r="I40" s="62">
        <f t="shared" si="16"/>
        <v>5</v>
      </c>
      <c r="J40" s="62">
        <f t="shared" si="16"/>
        <v>5</v>
      </c>
      <c r="K40" s="62">
        <f t="shared" si="16"/>
        <v>5</v>
      </c>
      <c r="L40" s="62">
        <f t="shared" si="16"/>
        <v>5</v>
      </c>
      <c r="M40" s="62">
        <f t="shared" si="16"/>
        <v>5</v>
      </c>
      <c r="N40" s="62">
        <f t="shared" si="16"/>
        <v>5</v>
      </c>
      <c r="O40" s="62">
        <f t="shared" si="16"/>
        <v>5</v>
      </c>
      <c r="P40" s="62">
        <f t="shared" si="16"/>
        <v>5</v>
      </c>
      <c r="Q40" s="62">
        <f t="shared" si="16"/>
        <v>5</v>
      </c>
      <c r="R40" s="62">
        <f t="shared" si="16"/>
        <v>5</v>
      </c>
      <c r="S40" s="62">
        <f t="shared" si="16"/>
        <v>5</v>
      </c>
      <c r="T40" s="62">
        <f t="shared" si="16"/>
        <v>5</v>
      </c>
      <c r="U40" s="62">
        <f t="shared" si="16"/>
        <v>5</v>
      </c>
      <c r="V40" s="62">
        <f t="shared" si="16"/>
        <v>5</v>
      </c>
      <c r="W40" s="62">
        <f t="shared" si="16"/>
        <v>5</v>
      </c>
      <c r="X40" s="62">
        <f t="shared" si="16"/>
        <v>5</v>
      </c>
      <c r="Y40" s="62">
        <f t="shared" si="16"/>
        <v>5</v>
      </c>
      <c r="Z40" s="62">
        <f t="shared" si="16"/>
        <v>5</v>
      </c>
      <c r="AA40" s="62">
        <f t="shared" si="16"/>
        <v>5</v>
      </c>
      <c r="AB40" s="62">
        <f t="shared" si="16"/>
        <v>5</v>
      </c>
      <c r="AC40" s="62">
        <f t="shared" si="16"/>
        <v>5</v>
      </c>
    </row>
    <row r="41" spans="1:29" x14ac:dyDescent="0.25">
      <c r="A41" s="30" t="str">
        <f t="shared" si="4"/>
        <v>Lifetime costumization</v>
      </c>
      <c r="B41" s="62">
        <f t="shared" si="5"/>
        <v>12</v>
      </c>
      <c r="C41" s="62">
        <f t="shared" ref="C41:AC41" si="17">$B22+($C22-$B22)*(1-R22)</f>
        <v>12</v>
      </c>
      <c r="D41" s="62">
        <f t="shared" si="17"/>
        <v>12</v>
      </c>
      <c r="E41" s="62">
        <f t="shared" si="17"/>
        <v>12</v>
      </c>
      <c r="F41" s="62">
        <f t="shared" si="17"/>
        <v>12</v>
      </c>
      <c r="G41" s="62">
        <f t="shared" si="17"/>
        <v>12</v>
      </c>
      <c r="H41" s="62">
        <f t="shared" si="17"/>
        <v>12</v>
      </c>
      <c r="I41" s="62">
        <f t="shared" si="17"/>
        <v>12</v>
      </c>
      <c r="J41" s="62">
        <f t="shared" si="17"/>
        <v>12</v>
      </c>
      <c r="K41" s="62">
        <f t="shared" si="17"/>
        <v>12</v>
      </c>
      <c r="L41" s="62">
        <f t="shared" si="17"/>
        <v>12</v>
      </c>
      <c r="M41" s="62">
        <f t="shared" si="17"/>
        <v>12</v>
      </c>
      <c r="N41" s="62">
        <f t="shared" si="17"/>
        <v>12</v>
      </c>
      <c r="O41" s="62">
        <f t="shared" si="17"/>
        <v>12</v>
      </c>
      <c r="P41" s="62">
        <f t="shared" si="17"/>
        <v>12</v>
      </c>
      <c r="Q41" s="62">
        <f t="shared" si="17"/>
        <v>12</v>
      </c>
      <c r="R41" s="62">
        <f t="shared" si="17"/>
        <v>12</v>
      </c>
      <c r="S41" s="62">
        <f t="shared" si="17"/>
        <v>12</v>
      </c>
      <c r="T41" s="62">
        <f t="shared" si="17"/>
        <v>12</v>
      </c>
      <c r="U41" s="62">
        <f t="shared" si="17"/>
        <v>12</v>
      </c>
      <c r="V41" s="62">
        <f t="shared" si="17"/>
        <v>12</v>
      </c>
      <c r="W41" s="62">
        <f t="shared" si="17"/>
        <v>12</v>
      </c>
      <c r="X41" s="62">
        <f t="shared" si="17"/>
        <v>12</v>
      </c>
      <c r="Y41" s="62">
        <f t="shared" si="17"/>
        <v>12</v>
      </c>
      <c r="Z41" s="62">
        <f t="shared" si="17"/>
        <v>12</v>
      </c>
      <c r="AA41" s="62">
        <f t="shared" si="17"/>
        <v>12</v>
      </c>
      <c r="AB41" s="62">
        <f t="shared" si="17"/>
        <v>12</v>
      </c>
      <c r="AC41" s="62">
        <f t="shared" si="17"/>
        <v>12</v>
      </c>
    </row>
    <row r="42" spans="1:29" x14ac:dyDescent="0.25">
      <c r="A42" s="30" t="str">
        <f t="shared" si="4"/>
        <v>Tonnage .</v>
      </c>
      <c r="B42" s="62">
        <f t="shared" si="5"/>
        <v>29</v>
      </c>
      <c r="C42" s="62">
        <f t="shared" ref="C42:AC42" si="18">$B23+($C23-$B23)*(1-R23)</f>
        <v>29</v>
      </c>
      <c r="D42" s="62">
        <f t="shared" si="18"/>
        <v>29</v>
      </c>
      <c r="E42" s="62">
        <f t="shared" si="18"/>
        <v>29</v>
      </c>
      <c r="F42" s="62">
        <f t="shared" si="18"/>
        <v>29</v>
      </c>
      <c r="G42" s="62">
        <f t="shared" si="18"/>
        <v>29</v>
      </c>
      <c r="H42" s="62">
        <f t="shared" si="18"/>
        <v>29</v>
      </c>
      <c r="I42" s="62">
        <f t="shared" si="18"/>
        <v>29</v>
      </c>
      <c r="J42" s="62">
        <f t="shared" si="18"/>
        <v>29</v>
      </c>
      <c r="K42" s="62">
        <f t="shared" si="18"/>
        <v>29</v>
      </c>
      <c r="L42" s="62">
        <f t="shared" si="18"/>
        <v>29</v>
      </c>
      <c r="M42" s="62">
        <f t="shared" si="18"/>
        <v>29</v>
      </c>
      <c r="N42" s="62">
        <f t="shared" si="18"/>
        <v>29</v>
      </c>
      <c r="O42" s="62">
        <f t="shared" si="18"/>
        <v>29</v>
      </c>
      <c r="P42" s="62">
        <f t="shared" si="18"/>
        <v>29</v>
      </c>
      <c r="Q42" s="62">
        <f t="shared" si="18"/>
        <v>29</v>
      </c>
      <c r="R42" s="62">
        <f t="shared" si="18"/>
        <v>29</v>
      </c>
      <c r="S42" s="62">
        <f t="shared" si="18"/>
        <v>29</v>
      </c>
      <c r="T42" s="62">
        <f t="shared" si="18"/>
        <v>29</v>
      </c>
      <c r="U42" s="62">
        <f t="shared" si="18"/>
        <v>29</v>
      </c>
      <c r="V42" s="62">
        <f t="shared" si="18"/>
        <v>29</v>
      </c>
      <c r="W42" s="62">
        <f t="shared" si="18"/>
        <v>29</v>
      </c>
      <c r="X42" s="62">
        <f t="shared" si="18"/>
        <v>29</v>
      </c>
      <c r="Y42" s="62">
        <f t="shared" si="18"/>
        <v>29</v>
      </c>
      <c r="Z42" s="62">
        <f t="shared" si="18"/>
        <v>29</v>
      </c>
      <c r="AA42" s="62">
        <f t="shared" si="18"/>
        <v>29</v>
      </c>
      <c r="AB42" s="62">
        <f t="shared" si="18"/>
        <v>29</v>
      </c>
      <c r="AC42" s="62">
        <f t="shared" si="18"/>
        <v>29</v>
      </c>
    </row>
    <row r="43" spans="1:29" x14ac:dyDescent="0.25">
      <c r="A43" s="30" t="str">
        <f t="shared" si="4"/>
        <v>Market failure (av. utilization)</v>
      </c>
      <c r="B43" s="62">
        <f>($B24+($C24-$B24)*(1-Q24))*B$42</f>
        <v>13.34</v>
      </c>
      <c r="C43" s="62">
        <f t="shared" ref="C43:AC43" si="19">($B24+($C24-$B24)*(1-R24))*C$42</f>
        <v>13.34</v>
      </c>
      <c r="D43" s="62">
        <f t="shared" si="19"/>
        <v>13.34</v>
      </c>
      <c r="E43" s="62">
        <f t="shared" si="19"/>
        <v>13.34</v>
      </c>
      <c r="F43" s="62">
        <f t="shared" si="19"/>
        <v>13.34</v>
      </c>
      <c r="G43" s="62">
        <f t="shared" si="19"/>
        <v>13.34</v>
      </c>
      <c r="H43" s="62">
        <f t="shared" si="19"/>
        <v>13.34</v>
      </c>
      <c r="I43" s="62">
        <f t="shared" si="19"/>
        <v>13.34</v>
      </c>
      <c r="J43" s="62">
        <f t="shared" si="19"/>
        <v>13.34</v>
      </c>
      <c r="K43" s="62">
        <f t="shared" si="19"/>
        <v>13.34</v>
      </c>
      <c r="L43" s="62">
        <f t="shared" si="19"/>
        <v>13.34</v>
      </c>
      <c r="M43" s="62">
        <f t="shared" si="19"/>
        <v>13.34</v>
      </c>
      <c r="N43" s="62">
        <f t="shared" si="19"/>
        <v>13.34</v>
      </c>
      <c r="O43" s="62">
        <f t="shared" si="19"/>
        <v>13.34</v>
      </c>
      <c r="P43" s="62">
        <f t="shared" si="19"/>
        <v>13.34</v>
      </c>
      <c r="Q43" s="62">
        <f t="shared" si="19"/>
        <v>13.34</v>
      </c>
      <c r="R43" s="62">
        <f t="shared" si="19"/>
        <v>13.34</v>
      </c>
      <c r="S43" s="62">
        <f t="shared" si="19"/>
        <v>13.34</v>
      </c>
      <c r="T43" s="62">
        <f t="shared" si="19"/>
        <v>13.34</v>
      </c>
      <c r="U43" s="62">
        <f t="shared" si="19"/>
        <v>13.34</v>
      </c>
      <c r="V43" s="62">
        <f t="shared" si="19"/>
        <v>13.34</v>
      </c>
      <c r="W43" s="62">
        <f t="shared" si="19"/>
        <v>13.34</v>
      </c>
      <c r="X43" s="62">
        <f t="shared" si="19"/>
        <v>13.34</v>
      </c>
      <c r="Y43" s="62">
        <f t="shared" si="19"/>
        <v>13.34</v>
      </c>
      <c r="Z43" s="62">
        <f t="shared" si="19"/>
        <v>13.34</v>
      </c>
      <c r="AA43" s="62">
        <f t="shared" si="19"/>
        <v>13.34</v>
      </c>
      <c r="AB43" s="62">
        <f t="shared" si="19"/>
        <v>13.34</v>
      </c>
      <c r="AC43" s="62">
        <f t="shared" si="19"/>
        <v>13.34</v>
      </c>
    </row>
    <row r="44" spans="1:29" x14ac:dyDescent="0.25">
      <c r="A44" s="30" t="s">
        <v>73</v>
      </c>
      <c r="B44" s="62">
        <f>($B25+($C25-$B25)*(1-Q25))*B$42</f>
        <v>1.4500000000000002</v>
      </c>
      <c r="C44" s="62">
        <f t="shared" ref="C44:AC44" si="20">($B25+($C25-$B25)*(1-R25))*C$42</f>
        <v>1.4500000000000002</v>
      </c>
      <c r="D44" s="62">
        <f t="shared" si="20"/>
        <v>1.4500000000000002</v>
      </c>
      <c r="E44" s="62">
        <f t="shared" si="20"/>
        <v>1.4500000000000002</v>
      </c>
      <c r="F44" s="62">
        <f t="shared" si="20"/>
        <v>1.4500000000000002</v>
      </c>
      <c r="G44" s="62">
        <f t="shared" si="20"/>
        <v>1.4500000000000002</v>
      </c>
      <c r="H44" s="62">
        <f t="shared" si="20"/>
        <v>1.4500000000000002</v>
      </c>
      <c r="I44" s="62">
        <f t="shared" si="20"/>
        <v>1.4500000000000002</v>
      </c>
      <c r="J44" s="62">
        <f t="shared" si="20"/>
        <v>1.4500000000000002</v>
      </c>
      <c r="K44" s="62">
        <f t="shared" si="20"/>
        <v>1.4500000000000002</v>
      </c>
      <c r="L44" s="62">
        <f t="shared" si="20"/>
        <v>1.4500000000000002</v>
      </c>
      <c r="M44" s="62">
        <f t="shared" si="20"/>
        <v>1.4500000000000002</v>
      </c>
      <c r="N44" s="62">
        <f t="shared" si="20"/>
        <v>1.4500000000000002</v>
      </c>
      <c r="O44" s="62">
        <f t="shared" si="20"/>
        <v>1.4500000000000002</v>
      </c>
      <c r="P44" s="62">
        <f t="shared" si="20"/>
        <v>1.4500000000000002</v>
      </c>
      <c r="Q44" s="62">
        <f t="shared" si="20"/>
        <v>1.4500000000000002</v>
      </c>
      <c r="R44" s="62">
        <f t="shared" si="20"/>
        <v>1.4500000000000002</v>
      </c>
      <c r="S44" s="62">
        <f t="shared" si="20"/>
        <v>1.4500000000000002</v>
      </c>
      <c r="T44" s="62">
        <f t="shared" si="20"/>
        <v>1.4500000000000002</v>
      </c>
      <c r="U44" s="62">
        <f t="shared" si="20"/>
        <v>1.4500000000000002</v>
      </c>
      <c r="V44" s="62">
        <f t="shared" si="20"/>
        <v>1.4500000000000002</v>
      </c>
      <c r="W44" s="62">
        <f t="shared" si="20"/>
        <v>1.4500000000000002</v>
      </c>
      <c r="X44" s="62">
        <f t="shared" si="20"/>
        <v>1.4500000000000002</v>
      </c>
      <c r="Y44" s="62">
        <f t="shared" si="20"/>
        <v>1.4500000000000002</v>
      </c>
      <c r="Z44" s="62">
        <f t="shared" si="20"/>
        <v>1.4500000000000002</v>
      </c>
      <c r="AA44" s="62">
        <f t="shared" si="20"/>
        <v>1.4500000000000002</v>
      </c>
      <c r="AB44" s="62">
        <f t="shared" si="20"/>
        <v>1.4500000000000002</v>
      </c>
      <c r="AC44" s="62">
        <f t="shared" si="20"/>
        <v>1.4500000000000002</v>
      </c>
    </row>
    <row r="45" spans="1:29" x14ac:dyDescent="0.25">
      <c r="A45" s="30" t="str">
        <f>A26</f>
        <v>Annual Mileage</v>
      </c>
      <c r="B45" s="62">
        <f t="shared" ref="B45" si="21">$B26+($C26-$B26)*(1-Q26)</f>
        <v>105000</v>
      </c>
      <c r="C45" s="62">
        <f t="shared" ref="C45:AC45" si="22">$B26+($C26-$B26)*(1-R26)</f>
        <v>105000</v>
      </c>
      <c r="D45" s="62">
        <f t="shared" si="22"/>
        <v>105000</v>
      </c>
      <c r="E45" s="62">
        <f t="shared" si="22"/>
        <v>105000</v>
      </c>
      <c r="F45" s="62">
        <f t="shared" si="22"/>
        <v>105000</v>
      </c>
      <c r="G45" s="62">
        <f t="shared" si="22"/>
        <v>105000</v>
      </c>
      <c r="H45" s="62">
        <f t="shared" si="22"/>
        <v>105000</v>
      </c>
      <c r="I45" s="62">
        <f t="shared" si="22"/>
        <v>105000</v>
      </c>
      <c r="J45" s="62">
        <f t="shared" si="22"/>
        <v>105000</v>
      </c>
      <c r="K45" s="62">
        <f t="shared" si="22"/>
        <v>105000</v>
      </c>
      <c r="L45" s="62">
        <f t="shared" si="22"/>
        <v>105000</v>
      </c>
      <c r="M45" s="62">
        <f t="shared" si="22"/>
        <v>105000</v>
      </c>
      <c r="N45" s="62">
        <f t="shared" si="22"/>
        <v>105000</v>
      </c>
      <c r="O45" s="62">
        <f t="shared" si="22"/>
        <v>105000</v>
      </c>
      <c r="P45" s="62">
        <f t="shared" si="22"/>
        <v>105000</v>
      </c>
      <c r="Q45" s="62">
        <f t="shared" si="22"/>
        <v>105000</v>
      </c>
      <c r="R45" s="62">
        <f t="shared" si="22"/>
        <v>105000</v>
      </c>
      <c r="S45" s="62">
        <f t="shared" si="22"/>
        <v>105000</v>
      </c>
      <c r="T45" s="62">
        <f t="shared" si="22"/>
        <v>105000</v>
      </c>
      <c r="U45" s="62">
        <f t="shared" si="22"/>
        <v>105000</v>
      </c>
      <c r="V45" s="62">
        <f t="shared" si="22"/>
        <v>105000</v>
      </c>
      <c r="W45" s="62">
        <f t="shared" si="22"/>
        <v>105000</v>
      </c>
      <c r="X45" s="62">
        <f t="shared" si="22"/>
        <v>105000</v>
      </c>
      <c r="Y45" s="62">
        <f t="shared" si="22"/>
        <v>105000</v>
      </c>
      <c r="Z45" s="62">
        <f t="shared" si="22"/>
        <v>105000</v>
      </c>
      <c r="AA45" s="62">
        <f t="shared" si="22"/>
        <v>105000</v>
      </c>
      <c r="AB45" s="62">
        <f t="shared" si="22"/>
        <v>105000</v>
      </c>
      <c r="AC45" s="62">
        <f t="shared" si="22"/>
        <v>105000</v>
      </c>
    </row>
    <row r="46" spans="1:29" ht="15.75" thickBot="1" x14ac:dyDescent="0.3">
      <c r="AC46" s="32"/>
    </row>
    <row r="47" spans="1:29" ht="15.75" thickBot="1" x14ac:dyDescent="0.3">
      <c r="A47" s="26" t="s">
        <v>208</v>
      </c>
      <c r="B47" s="27">
        <v>2023</v>
      </c>
      <c r="C47" s="27">
        <v>2024</v>
      </c>
      <c r="D47" s="27">
        <v>2025</v>
      </c>
      <c r="E47" s="27">
        <v>2026</v>
      </c>
      <c r="F47" s="27">
        <v>2027</v>
      </c>
      <c r="G47" s="27">
        <v>2028</v>
      </c>
      <c r="H47" s="27">
        <v>2029</v>
      </c>
      <c r="I47" s="27">
        <v>2030</v>
      </c>
      <c r="J47" s="27">
        <v>2031</v>
      </c>
      <c r="K47" s="27">
        <v>2032</v>
      </c>
      <c r="L47" s="27">
        <v>2033</v>
      </c>
      <c r="M47" s="27">
        <v>2034</v>
      </c>
      <c r="N47" s="27">
        <v>2035</v>
      </c>
      <c r="O47" s="27">
        <v>2036</v>
      </c>
      <c r="P47" s="27">
        <v>2037</v>
      </c>
      <c r="Q47" s="27">
        <v>2038</v>
      </c>
      <c r="R47" s="27">
        <v>2039</v>
      </c>
      <c r="S47" s="27">
        <v>2040</v>
      </c>
      <c r="T47" s="27">
        <v>2041</v>
      </c>
      <c r="U47" s="27">
        <v>2042</v>
      </c>
      <c r="V47" s="27">
        <v>2043</v>
      </c>
      <c r="W47" s="27">
        <v>2044</v>
      </c>
      <c r="X47" s="27">
        <v>2045</v>
      </c>
      <c r="Y47" s="27">
        <v>2046</v>
      </c>
      <c r="Z47" s="27">
        <v>2047</v>
      </c>
      <c r="AA47" s="27">
        <v>2048</v>
      </c>
      <c r="AB47" s="27">
        <v>2049</v>
      </c>
      <c r="AC47" s="28">
        <v>2050</v>
      </c>
    </row>
    <row r="48" spans="1:29" x14ac:dyDescent="0.25">
      <c r="A48" s="29" t="str">
        <f>A30</f>
        <v>Capex vehicle</v>
      </c>
      <c r="B48" s="63">
        <f>((1+B$34)^B$40)*B$34/(((1+B$34)^B$40)-1)*(B$30)</f>
        <v>23739.640043118936</v>
      </c>
      <c r="C48" s="63">
        <f t="shared" ref="C48:AC48" si="23">((1+C$34)^C$40)*C$34/(((1+C$34)^C$40)-1)*(C$30)</f>
        <v>23739.640043118936</v>
      </c>
      <c r="D48" s="63">
        <f t="shared" si="23"/>
        <v>23739.640043118936</v>
      </c>
      <c r="E48" s="63">
        <f t="shared" si="23"/>
        <v>23739.640043118936</v>
      </c>
      <c r="F48" s="63">
        <f t="shared" si="23"/>
        <v>23739.640043118936</v>
      </c>
      <c r="G48" s="63">
        <f t="shared" si="23"/>
        <v>23739.640043118936</v>
      </c>
      <c r="H48" s="63">
        <f t="shared" si="23"/>
        <v>23739.640043118936</v>
      </c>
      <c r="I48" s="63">
        <f t="shared" si="23"/>
        <v>23739.640043118936</v>
      </c>
      <c r="J48" s="63">
        <f t="shared" si="23"/>
        <v>23739.640043118936</v>
      </c>
      <c r="K48" s="63">
        <f t="shared" si="23"/>
        <v>23739.640043118936</v>
      </c>
      <c r="L48" s="63">
        <f t="shared" si="23"/>
        <v>23739.640043118936</v>
      </c>
      <c r="M48" s="63">
        <f t="shared" si="23"/>
        <v>23739.640043118936</v>
      </c>
      <c r="N48" s="63">
        <f t="shared" si="23"/>
        <v>23739.640043118936</v>
      </c>
      <c r="O48" s="63">
        <f t="shared" si="23"/>
        <v>23739.640043118936</v>
      </c>
      <c r="P48" s="63">
        <f t="shared" si="23"/>
        <v>23739.640043118936</v>
      </c>
      <c r="Q48" s="63">
        <f t="shared" si="23"/>
        <v>23739.640043118936</v>
      </c>
      <c r="R48" s="63">
        <f t="shared" si="23"/>
        <v>23739.640043118936</v>
      </c>
      <c r="S48" s="63">
        <f t="shared" si="23"/>
        <v>23739.640043118936</v>
      </c>
      <c r="T48" s="63">
        <f t="shared" si="23"/>
        <v>23739.640043118936</v>
      </c>
      <c r="U48" s="63">
        <f t="shared" si="23"/>
        <v>23739.640043118936</v>
      </c>
      <c r="V48" s="63">
        <f t="shared" si="23"/>
        <v>23739.640043118936</v>
      </c>
      <c r="W48" s="63">
        <f t="shared" si="23"/>
        <v>23739.640043118936</v>
      </c>
      <c r="X48" s="63">
        <f t="shared" si="23"/>
        <v>23739.640043118936</v>
      </c>
      <c r="Y48" s="63">
        <f t="shared" si="23"/>
        <v>23739.640043118936</v>
      </c>
      <c r="Z48" s="63">
        <f t="shared" si="23"/>
        <v>23739.640043118936</v>
      </c>
      <c r="AA48" s="63">
        <f t="shared" si="23"/>
        <v>23739.640043118936</v>
      </c>
      <c r="AB48" s="63">
        <f t="shared" si="23"/>
        <v>23739.640043118936</v>
      </c>
      <c r="AC48" s="63">
        <f t="shared" si="23"/>
        <v>23739.640043118936</v>
      </c>
    </row>
    <row r="49" spans="1:29" x14ac:dyDescent="0.25">
      <c r="A49" s="30" t="str">
        <f>A31</f>
        <v>Residual value (vehicle)</v>
      </c>
      <c r="B49" s="62">
        <f>((1+B$34)^B$40)*B$34/(((1+B$34)^B$40)-1)*(B$31)</f>
        <v>-7121.8920129356811</v>
      </c>
      <c r="C49" s="62">
        <f t="shared" ref="C49:AC49" si="24">((1+C$34)^C$40)*C$34/(((1+C$34)^C$40)-1)*(C$31)</f>
        <v>-7121.8920129356811</v>
      </c>
      <c r="D49" s="62">
        <f t="shared" si="24"/>
        <v>-7121.8920129356811</v>
      </c>
      <c r="E49" s="62">
        <f t="shared" si="24"/>
        <v>-7121.8920129356811</v>
      </c>
      <c r="F49" s="62">
        <f t="shared" si="24"/>
        <v>-7121.8920129356811</v>
      </c>
      <c r="G49" s="62">
        <f t="shared" si="24"/>
        <v>-7121.8920129356811</v>
      </c>
      <c r="H49" s="62">
        <f t="shared" si="24"/>
        <v>-7121.8920129356811</v>
      </c>
      <c r="I49" s="62">
        <f t="shared" si="24"/>
        <v>-7121.8920129356811</v>
      </c>
      <c r="J49" s="62">
        <f t="shared" si="24"/>
        <v>-7121.8920129356811</v>
      </c>
      <c r="K49" s="62">
        <f t="shared" si="24"/>
        <v>-7121.8920129356811</v>
      </c>
      <c r="L49" s="62">
        <f t="shared" si="24"/>
        <v>-7121.8920129356811</v>
      </c>
      <c r="M49" s="62">
        <f t="shared" si="24"/>
        <v>-7121.8920129356811</v>
      </c>
      <c r="N49" s="62">
        <f t="shared" si="24"/>
        <v>-7121.8920129356811</v>
      </c>
      <c r="O49" s="62">
        <f t="shared" si="24"/>
        <v>-7121.8920129356811</v>
      </c>
      <c r="P49" s="62">
        <f t="shared" si="24"/>
        <v>-7121.8920129356811</v>
      </c>
      <c r="Q49" s="62">
        <f t="shared" si="24"/>
        <v>-7121.8920129356811</v>
      </c>
      <c r="R49" s="62">
        <f t="shared" si="24"/>
        <v>-7121.8920129356811</v>
      </c>
      <c r="S49" s="62">
        <f t="shared" si="24"/>
        <v>-7121.8920129356811</v>
      </c>
      <c r="T49" s="62">
        <f t="shared" si="24"/>
        <v>-7121.8920129356811</v>
      </c>
      <c r="U49" s="62">
        <f t="shared" si="24"/>
        <v>-7121.8920129356811</v>
      </c>
      <c r="V49" s="62">
        <f t="shared" si="24"/>
        <v>-7121.8920129356811</v>
      </c>
      <c r="W49" s="62">
        <f t="shared" si="24"/>
        <v>-7121.8920129356811</v>
      </c>
      <c r="X49" s="62">
        <f t="shared" si="24"/>
        <v>-7121.8920129356811</v>
      </c>
      <c r="Y49" s="62">
        <f t="shared" si="24"/>
        <v>-7121.8920129356811</v>
      </c>
      <c r="Z49" s="62">
        <f t="shared" si="24"/>
        <v>-7121.8920129356811</v>
      </c>
      <c r="AA49" s="62">
        <f t="shared" si="24"/>
        <v>-7121.8920129356811</v>
      </c>
      <c r="AB49" s="62">
        <f t="shared" si="24"/>
        <v>-7121.8920129356811</v>
      </c>
      <c r="AC49" s="62">
        <f t="shared" si="24"/>
        <v>-7121.8920129356811</v>
      </c>
    </row>
    <row r="50" spans="1:29" x14ac:dyDescent="0.25">
      <c r="A50" s="30" t="str">
        <f>A32</f>
        <v>Capex costumization</v>
      </c>
      <c r="B50" s="62">
        <f>((1+B$34)^B$41)*B$34/(((1+B$34)^B$41)-1)*(B$32)</f>
        <v>5963.8514690331776</v>
      </c>
      <c r="C50" s="62">
        <f t="shared" ref="C50:AC50" si="25">((1+C$34)^C$41)*C$34/(((1+C$34)^C$41)-1)*(C$32)</f>
        <v>5963.8514690331776</v>
      </c>
      <c r="D50" s="62">
        <f t="shared" si="25"/>
        <v>5963.8514690331776</v>
      </c>
      <c r="E50" s="62">
        <f t="shared" si="25"/>
        <v>5963.8514690331776</v>
      </c>
      <c r="F50" s="62">
        <f t="shared" si="25"/>
        <v>5963.8514690331776</v>
      </c>
      <c r="G50" s="62">
        <f t="shared" si="25"/>
        <v>5963.8514690331776</v>
      </c>
      <c r="H50" s="62">
        <f t="shared" si="25"/>
        <v>5963.8514690331776</v>
      </c>
      <c r="I50" s="62">
        <f t="shared" si="25"/>
        <v>5963.8514690331776</v>
      </c>
      <c r="J50" s="62">
        <f t="shared" si="25"/>
        <v>5963.8514690331776</v>
      </c>
      <c r="K50" s="62">
        <f t="shared" si="25"/>
        <v>5963.8514690331776</v>
      </c>
      <c r="L50" s="62">
        <f t="shared" si="25"/>
        <v>5963.8514690331776</v>
      </c>
      <c r="M50" s="62">
        <f t="shared" si="25"/>
        <v>5963.8514690331776</v>
      </c>
      <c r="N50" s="62">
        <f t="shared" si="25"/>
        <v>5963.8514690331776</v>
      </c>
      <c r="O50" s="62">
        <f t="shared" si="25"/>
        <v>5963.8514690331776</v>
      </c>
      <c r="P50" s="62">
        <f t="shared" si="25"/>
        <v>5963.8514690331776</v>
      </c>
      <c r="Q50" s="62">
        <f t="shared" si="25"/>
        <v>5963.8514690331776</v>
      </c>
      <c r="R50" s="62">
        <f t="shared" si="25"/>
        <v>5963.8514690331776</v>
      </c>
      <c r="S50" s="62">
        <f t="shared" si="25"/>
        <v>5963.8514690331776</v>
      </c>
      <c r="T50" s="62">
        <f t="shared" si="25"/>
        <v>5963.8514690331776</v>
      </c>
      <c r="U50" s="62">
        <f t="shared" si="25"/>
        <v>5963.8514690331776</v>
      </c>
      <c r="V50" s="62">
        <f t="shared" si="25"/>
        <v>5963.8514690331776</v>
      </c>
      <c r="W50" s="62">
        <f t="shared" si="25"/>
        <v>5963.8514690331776</v>
      </c>
      <c r="X50" s="62">
        <f t="shared" si="25"/>
        <v>5963.8514690331776</v>
      </c>
      <c r="Y50" s="62">
        <f t="shared" si="25"/>
        <v>5963.8514690331776</v>
      </c>
      <c r="Z50" s="62">
        <f t="shared" si="25"/>
        <v>5963.8514690331776</v>
      </c>
      <c r="AA50" s="62">
        <f t="shared" si="25"/>
        <v>5963.8514690331776</v>
      </c>
      <c r="AB50" s="62">
        <f t="shared" si="25"/>
        <v>5963.8514690331776</v>
      </c>
      <c r="AC50" s="62">
        <f t="shared" si="25"/>
        <v>5963.8514690331776</v>
      </c>
    </row>
    <row r="51" spans="1:29" x14ac:dyDescent="0.25">
      <c r="A51" s="30" t="str">
        <f>A33</f>
        <v>Residual value (costumization)</v>
      </c>
      <c r="B51" s="62">
        <f>((1+B$34)^B$41)*B$34/(((1+B$34)^B$41)-1)*(B$33)</f>
        <v>-596.38514690331772</v>
      </c>
      <c r="C51" s="62">
        <f t="shared" ref="C51:AC51" si="26">((1+C$34)^C$41)*C$34/(((1+C$34)^C$41)-1)*(C$33)</f>
        <v>-596.38514690331772</v>
      </c>
      <c r="D51" s="62">
        <f t="shared" si="26"/>
        <v>-596.38514690331772</v>
      </c>
      <c r="E51" s="62">
        <f t="shared" si="26"/>
        <v>-596.38514690331772</v>
      </c>
      <c r="F51" s="62">
        <f t="shared" si="26"/>
        <v>-596.38514690331772</v>
      </c>
      <c r="G51" s="62">
        <f t="shared" si="26"/>
        <v>-596.38514690331772</v>
      </c>
      <c r="H51" s="62">
        <f t="shared" si="26"/>
        <v>-596.38514690331772</v>
      </c>
      <c r="I51" s="62">
        <f t="shared" si="26"/>
        <v>-596.38514690331772</v>
      </c>
      <c r="J51" s="62">
        <f t="shared" si="26"/>
        <v>-596.38514690331772</v>
      </c>
      <c r="K51" s="62">
        <f t="shared" si="26"/>
        <v>-596.38514690331772</v>
      </c>
      <c r="L51" s="62">
        <f t="shared" si="26"/>
        <v>-596.38514690331772</v>
      </c>
      <c r="M51" s="62">
        <f t="shared" si="26"/>
        <v>-596.38514690331772</v>
      </c>
      <c r="N51" s="62">
        <f t="shared" si="26"/>
        <v>-596.38514690331772</v>
      </c>
      <c r="O51" s="62">
        <f t="shared" si="26"/>
        <v>-596.38514690331772</v>
      </c>
      <c r="P51" s="62">
        <f t="shared" si="26"/>
        <v>-596.38514690331772</v>
      </c>
      <c r="Q51" s="62">
        <f t="shared" si="26"/>
        <v>-596.38514690331772</v>
      </c>
      <c r="R51" s="62">
        <f t="shared" si="26"/>
        <v>-596.38514690331772</v>
      </c>
      <c r="S51" s="62">
        <f t="shared" si="26"/>
        <v>-596.38514690331772</v>
      </c>
      <c r="T51" s="62">
        <f t="shared" si="26"/>
        <v>-596.38514690331772</v>
      </c>
      <c r="U51" s="62">
        <f t="shared" si="26"/>
        <v>-596.38514690331772</v>
      </c>
      <c r="V51" s="62">
        <f t="shared" si="26"/>
        <v>-596.38514690331772</v>
      </c>
      <c r="W51" s="62">
        <f t="shared" si="26"/>
        <v>-596.38514690331772</v>
      </c>
      <c r="X51" s="62">
        <f t="shared" si="26"/>
        <v>-596.38514690331772</v>
      </c>
      <c r="Y51" s="62">
        <f t="shared" si="26"/>
        <v>-596.38514690331772</v>
      </c>
      <c r="Z51" s="62">
        <f t="shared" si="26"/>
        <v>-596.38514690331772</v>
      </c>
      <c r="AA51" s="62">
        <f t="shared" si="26"/>
        <v>-596.38514690331772</v>
      </c>
      <c r="AB51" s="62">
        <f t="shared" si="26"/>
        <v>-596.38514690331772</v>
      </c>
      <c r="AC51" s="62">
        <f t="shared" si="26"/>
        <v>-596.38514690331772</v>
      </c>
    </row>
    <row r="52" spans="1:29" x14ac:dyDescent="0.25">
      <c r="A52" s="30" t="str">
        <f>A35</f>
        <v>Opex fix (admin, crew, insurance)</v>
      </c>
      <c r="B52" s="62">
        <f>B$35</f>
        <v>85000</v>
      </c>
      <c r="C52" s="62">
        <f t="shared" ref="C52:AC52" si="27">C$35</f>
        <v>85000</v>
      </c>
      <c r="D52" s="62">
        <f t="shared" si="27"/>
        <v>85000</v>
      </c>
      <c r="E52" s="62">
        <f t="shared" si="27"/>
        <v>85000</v>
      </c>
      <c r="F52" s="62">
        <f t="shared" si="27"/>
        <v>85000</v>
      </c>
      <c r="G52" s="62">
        <f t="shared" si="27"/>
        <v>85000</v>
      </c>
      <c r="H52" s="62">
        <f t="shared" si="27"/>
        <v>85000</v>
      </c>
      <c r="I52" s="62">
        <f t="shared" si="27"/>
        <v>85000</v>
      </c>
      <c r="J52" s="62">
        <f t="shared" si="27"/>
        <v>85000</v>
      </c>
      <c r="K52" s="62">
        <f t="shared" si="27"/>
        <v>85000</v>
      </c>
      <c r="L52" s="62">
        <f t="shared" si="27"/>
        <v>85000</v>
      </c>
      <c r="M52" s="62">
        <f t="shared" si="27"/>
        <v>85000</v>
      </c>
      <c r="N52" s="62">
        <f t="shared" si="27"/>
        <v>85000</v>
      </c>
      <c r="O52" s="62">
        <f t="shared" si="27"/>
        <v>85000</v>
      </c>
      <c r="P52" s="62">
        <f t="shared" si="27"/>
        <v>85000</v>
      </c>
      <c r="Q52" s="62">
        <f t="shared" si="27"/>
        <v>85000</v>
      </c>
      <c r="R52" s="62">
        <f t="shared" si="27"/>
        <v>85000</v>
      </c>
      <c r="S52" s="62">
        <f t="shared" si="27"/>
        <v>85000</v>
      </c>
      <c r="T52" s="62">
        <f t="shared" si="27"/>
        <v>85000</v>
      </c>
      <c r="U52" s="62">
        <f t="shared" si="27"/>
        <v>85000</v>
      </c>
      <c r="V52" s="62">
        <f t="shared" si="27"/>
        <v>85000</v>
      </c>
      <c r="W52" s="62">
        <f t="shared" si="27"/>
        <v>85000</v>
      </c>
      <c r="X52" s="62">
        <f t="shared" si="27"/>
        <v>85000</v>
      </c>
      <c r="Y52" s="62">
        <f t="shared" si="27"/>
        <v>85000</v>
      </c>
      <c r="Z52" s="62">
        <f t="shared" si="27"/>
        <v>85000</v>
      </c>
      <c r="AA52" s="62">
        <f t="shared" si="27"/>
        <v>85000</v>
      </c>
      <c r="AB52" s="62">
        <f t="shared" si="27"/>
        <v>85000</v>
      </c>
      <c r="AC52" s="62">
        <f t="shared" si="27"/>
        <v>85000</v>
      </c>
    </row>
    <row r="53" spans="1:29" x14ac:dyDescent="0.25">
      <c r="A53" s="30" t="str">
        <f>A36</f>
        <v>Opex maintenance &amp; repair</v>
      </c>
      <c r="B53" s="62">
        <f>B$36</f>
        <v>20000</v>
      </c>
      <c r="C53" s="62">
        <f t="shared" ref="C53:AC53" si="28">C$36</f>
        <v>20000</v>
      </c>
      <c r="D53" s="62">
        <f t="shared" si="28"/>
        <v>20000</v>
      </c>
      <c r="E53" s="62">
        <f t="shared" si="28"/>
        <v>20000</v>
      </c>
      <c r="F53" s="62">
        <f t="shared" si="28"/>
        <v>20000</v>
      </c>
      <c r="G53" s="62">
        <f t="shared" si="28"/>
        <v>20000</v>
      </c>
      <c r="H53" s="62">
        <f t="shared" si="28"/>
        <v>20000</v>
      </c>
      <c r="I53" s="62">
        <f t="shared" si="28"/>
        <v>20000</v>
      </c>
      <c r="J53" s="62">
        <f t="shared" si="28"/>
        <v>20000</v>
      </c>
      <c r="K53" s="62">
        <f t="shared" si="28"/>
        <v>20000</v>
      </c>
      <c r="L53" s="62">
        <f t="shared" si="28"/>
        <v>20000</v>
      </c>
      <c r="M53" s="62">
        <f t="shared" si="28"/>
        <v>20000</v>
      </c>
      <c r="N53" s="62">
        <f t="shared" si="28"/>
        <v>20000</v>
      </c>
      <c r="O53" s="62">
        <f t="shared" si="28"/>
        <v>20000</v>
      </c>
      <c r="P53" s="62">
        <f t="shared" si="28"/>
        <v>20000</v>
      </c>
      <c r="Q53" s="62">
        <f t="shared" si="28"/>
        <v>20000</v>
      </c>
      <c r="R53" s="62">
        <f t="shared" si="28"/>
        <v>20000</v>
      </c>
      <c r="S53" s="62">
        <f t="shared" si="28"/>
        <v>20000</v>
      </c>
      <c r="T53" s="62">
        <f t="shared" si="28"/>
        <v>20000</v>
      </c>
      <c r="U53" s="62">
        <f t="shared" si="28"/>
        <v>20000</v>
      </c>
      <c r="V53" s="62">
        <f t="shared" si="28"/>
        <v>20000</v>
      </c>
      <c r="W53" s="62">
        <f t="shared" si="28"/>
        <v>20000</v>
      </c>
      <c r="X53" s="62">
        <f t="shared" si="28"/>
        <v>20000</v>
      </c>
      <c r="Y53" s="62">
        <f t="shared" si="28"/>
        <v>20000</v>
      </c>
      <c r="Z53" s="62">
        <f t="shared" si="28"/>
        <v>20000</v>
      </c>
      <c r="AA53" s="62">
        <f t="shared" si="28"/>
        <v>20000</v>
      </c>
      <c r="AB53" s="62">
        <f t="shared" si="28"/>
        <v>20000</v>
      </c>
      <c r="AC53" s="62">
        <f t="shared" si="28"/>
        <v>20000</v>
      </c>
    </row>
    <row r="54" spans="1:29" x14ac:dyDescent="0.25">
      <c r="A54" s="30" t="str">
        <f>A37</f>
        <v>Opex var (mode-fees, cargo handling)</v>
      </c>
      <c r="B54" s="62">
        <f>B$37*B$45</f>
        <v>1000.0000000000001</v>
      </c>
      <c r="C54" s="62">
        <f t="shared" ref="C54:AC54" si="29">C$37*C$45</f>
        <v>1000.0000000000001</v>
      </c>
      <c r="D54" s="62">
        <f t="shared" si="29"/>
        <v>1000.0000000000001</v>
      </c>
      <c r="E54" s="62">
        <f t="shared" si="29"/>
        <v>1000.0000000000001</v>
      </c>
      <c r="F54" s="62">
        <f t="shared" si="29"/>
        <v>1000.0000000000001</v>
      </c>
      <c r="G54" s="62">
        <f t="shared" si="29"/>
        <v>1000.0000000000001</v>
      </c>
      <c r="H54" s="62">
        <f t="shared" si="29"/>
        <v>1000.0000000000001</v>
      </c>
      <c r="I54" s="62">
        <f t="shared" si="29"/>
        <v>1000.0000000000001</v>
      </c>
      <c r="J54" s="62">
        <f t="shared" si="29"/>
        <v>1000.0000000000001</v>
      </c>
      <c r="K54" s="62">
        <f t="shared" si="29"/>
        <v>1000.0000000000001</v>
      </c>
      <c r="L54" s="62">
        <f t="shared" si="29"/>
        <v>1000.0000000000001</v>
      </c>
      <c r="M54" s="62">
        <f t="shared" si="29"/>
        <v>1000.0000000000001</v>
      </c>
      <c r="N54" s="62">
        <f t="shared" si="29"/>
        <v>1000.0000000000001</v>
      </c>
      <c r="O54" s="62">
        <f t="shared" si="29"/>
        <v>1000.0000000000001</v>
      </c>
      <c r="P54" s="62">
        <f t="shared" si="29"/>
        <v>1000.0000000000001</v>
      </c>
      <c r="Q54" s="62">
        <f t="shared" si="29"/>
        <v>1000.0000000000001</v>
      </c>
      <c r="R54" s="62">
        <f t="shared" si="29"/>
        <v>1000.0000000000001</v>
      </c>
      <c r="S54" s="62">
        <f t="shared" si="29"/>
        <v>1000.0000000000001</v>
      </c>
      <c r="T54" s="62">
        <f t="shared" si="29"/>
        <v>1000.0000000000001</v>
      </c>
      <c r="U54" s="62">
        <f t="shared" si="29"/>
        <v>1000.0000000000001</v>
      </c>
      <c r="V54" s="62">
        <f t="shared" si="29"/>
        <v>1000.0000000000001</v>
      </c>
      <c r="W54" s="62">
        <f t="shared" si="29"/>
        <v>1000.0000000000001</v>
      </c>
      <c r="X54" s="62">
        <f t="shared" si="29"/>
        <v>1000.0000000000001</v>
      </c>
      <c r="Y54" s="62">
        <f t="shared" si="29"/>
        <v>1000.0000000000001</v>
      </c>
      <c r="Z54" s="62">
        <f t="shared" si="29"/>
        <v>1000.0000000000001</v>
      </c>
      <c r="AA54" s="62">
        <f t="shared" si="29"/>
        <v>1000.0000000000001</v>
      </c>
      <c r="AB54" s="62">
        <f t="shared" si="29"/>
        <v>1000.0000000000001</v>
      </c>
      <c r="AC54" s="62">
        <f t="shared" si="29"/>
        <v>1000.0000000000001</v>
      </c>
    </row>
    <row r="55" spans="1:29" ht="15.75" thickBot="1" x14ac:dyDescent="0.3">
      <c r="A55" s="30" t="str">
        <f>A39</f>
        <v>Fuel Cost</v>
      </c>
      <c r="B55" s="62">
        <f>B$38*B$39*B$45</f>
        <v>44100</v>
      </c>
      <c r="C55" s="62">
        <f t="shared" ref="C55:AC55" si="30">C38*C39*C45</f>
        <v>44100</v>
      </c>
      <c r="D55" s="62">
        <f t="shared" si="30"/>
        <v>44100</v>
      </c>
      <c r="E55" s="62">
        <f t="shared" si="30"/>
        <v>44100</v>
      </c>
      <c r="F55" s="62">
        <f t="shared" si="30"/>
        <v>44100</v>
      </c>
      <c r="G55" s="62">
        <f t="shared" si="30"/>
        <v>44100</v>
      </c>
      <c r="H55" s="62">
        <f t="shared" si="30"/>
        <v>44100</v>
      </c>
      <c r="I55" s="62">
        <f t="shared" si="30"/>
        <v>44100</v>
      </c>
      <c r="J55" s="62">
        <f t="shared" si="30"/>
        <v>44100</v>
      </c>
      <c r="K55" s="62">
        <f t="shared" si="30"/>
        <v>44100</v>
      </c>
      <c r="L55" s="62">
        <f t="shared" si="30"/>
        <v>44100</v>
      </c>
      <c r="M55" s="62">
        <f t="shared" si="30"/>
        <v>44100</v>
      </c>
      <c r="N55" s="62">
        <f t="shared" si="30"/>
        <v>44100</v>
      </c>
      <c r="O55" s="62">
        <f t="shared" si="30"/>
        <v>44100</v>
      </c>
      <c r="P55" s="62">
        <f t="shared" si="30"/>
        <v>44100</v>
      </c>
      <c r="Q55" s="62">
        <f t="shared" si="30"/>
        <v>44100</v>
      </c>
      <c r="R55" s="62">
        <f t="shared" si="30"/>
        <v>44100</v>
      </c>
      <c r="S55" s="62">
        <f t="shared" si="30"/>
        <v>44100</v>
      </c>
      <c r="T55" s="62">
        <f t="shared" si="30"/>
        <v>44100</v>
      </c>
      <c r="U55" s="62">
        <f t="shared" si="30"/>
        <v>44100</v>
      </c>
      <c r="V55" s="62">
        <f t="shared" si="30"/>
        <v>44100</v>
      </c>
      <c r="W55" s="62">
        <f t="shared" si="30"/>
        <v>44100</v>
      </c>
      <c r="X55" s="62">
        <f t="shared" si="30"/>
        <v>44100</v>
      </c>
      <c r="Y55" s="62">
        <f t="shared" si="30"/>
        <v>44100</v>
      </c>
      <c r="Z55" s="62">
        <f t="shared" si="30"/>
        <v>44100</v>
      </c>
      <c r="AA55" s="62">
        <f t="shared" si="30"/>
        <v>44100</v>
      </c>
      <c r="AB55" s="62">
        <f t="shared" si="30"/>
        <v>44100</v>
      </c>
      <c r="AC55" s="62">
        <f t="shared" si="30"/>
        <v>44100</v>
      </c>
    </row>
    <row r="56" spans="1:29" ht="15.75" thickBot="1" x14ac:dyDescent="0.3">
      <c r="A56" s="31" t="s">
        <v>209</v>
      </c>
      <c r="B56" s="64">
        <f>B48+B49+B50+B51+B52+B53+B54+B55</f>
        <v>172085.21435231311</v>
      </c>
      <c r="C56" s="64">
        <f t="shared" ref="C56:AC56" si="31">C48+C49+C50+C51+C52+C53+C54+C55</f>
        <v>172085.21435231311</v>
      </c>
      <c r="D56" s="64">
        <f t="shared" si="31"/>
        <v>172085.21435231311</v>
      </c>
      <c r="E56" s="64">
        <f t="shared" si="31"/>
        <v>172085.21435231311</v>
      </c>
      <c r="F56" s="64">
        <f t="shared" si="31"/>
        <v>172085.21435231311</v>
      </c>
      <c r="G56" s="64">
        <f t="shared" si="31"/>
        <v>172085.21435231311</v>
      </c>
      <c r="H56" s="64">
        <f t="shared" si="31"/>
        <v>172085.21435231311</v>
      </c>
      <c r="I56" s="64">
        <f t="shared" si="31"/>
        <v>172085.21435231311</v>
      </c>
      <c r="J56" s="64">
        <f t="shared" si="31"/>
        <v>172085.21435231311</v>
      </c>
      <c r="K56" s="64">
        <f t="shared" si="31"/>
        <v>172085.21435231311</v>
      </c>
      <c r="L56" s="64">
        <f t="shared" si="31"/>
        <v>172085.21435231311</v>
      </c>
      <c r="M56" s="64">
        <f t="shared" si="31"/>
        <v>172085.21435231311</v>
      </c>
      <c r="N56" s="64">
        <f t="shared" si="31"/>
        <v>172085.21435231311</v>
      </c>
      <c r="O56" s="64">
        <f t="shared" si="31"/>
        <v>172085.21435231311</v>
      </c>
      <c r="P56" s="64">
        <f t="shared" si="31"/>
        <v>172085.21435231311</v>
      </c>
      <c r="Q56" s="64">
        <f t="shared" si="31"/>
        <v>172085.21435231311</v>
      </c>
      <c r="R56" s="64">
        <f t="shared" si="31"/>
        <v>172085.21435231311</v>
      </c>
      <c r="S56" s="64">
        <f t="shared" si="31"/>
        <v>172085.21435231311</v>
      </c>
      <c r="T56" s="64">
        <f t="shared" si="31"/>
        <v>172085.21435231311</v>
      </c>
      <c r="U56" s="64">
        <f t="shared" si="31"/>
        <v>172085.21435231311</v>
      </c>
      <c r="V56" s="64">
        <f t="shared" si="31"/>
        <v>172085.21435231311</v>
      </c>
      <c r="W56" s="64">
        <f t="shared" si="31"/>
        <v>172085.21435231311</v>
      </c>
      <c r="X56" s="64">
        <f t="shared" si="31"/>
        <v>172085.21435231311</v>
      </c>
      <c r="Y56" s="64">
        <f t="shared" si="31"/>
        <v>172085.21435231311</v>
      </c>
      <c r="Z56" s="64">
        <f t="shared" si="31"/>
        <v>172085.21435231311</v>
      </c>
      <c r="AA56" s="64">
        <f t="shared" si="31"/>
        <v>172085.21435231311</v>
      </c>
      <c r="AB56" s="64">
        <f t="shared" si="31"/>
        <v>172085.21435231311</v>
      </c>
      <c r="AC56" s="64">
        <f t="shared" si="31"/>
        <v>172085.21435231311</v>
      </c>
    </row>
    <row r="57" spans="1:29" ht="15.75" thickBot="1" x14ac:dyDescent="0.3">
      <c r="AC57" s="32"/>
    </row>
    <row r="58" spans="1:29" ht="15.75" thickBot="1" x14ac:dyDescent="0.3">
      <c r="A58" s="26" t="s">
        <v>208</v>
      </c>
      <c r="B58" s="27">
        <v>2023</v>
      </c>
      <c r="C58" s="27">
        <v>2024</v>
      </c>
      <c r="D58" s="27">
        <v>2025</v>
      </c>
      <c r="E58" s="27">
        <v>2026</v>
      </c>
      <c r="F58" s="27">
        <v>2027</v>
      </c>
      <c r="G58" s="27">
        <v>2028</v>
      </c>
      <c r="H58" s="27">
        <v>2029</v>
      </c>
      <c r="I58" s="27">
        <v>2030</v>
      </c>
      <c r="J58" s="27">
        <v>2031</v>
      </c>
      <c r="K58" s="27">
        <v>2032</v>
      </c>
      <c r="L58" s="27">
        <v>2033</v>
      </c>
      <c r="M58" s="27">
        <v>2034</v>
      </c>
      <c r="N58" s="27">
        <v>2035</v>
      </c>
      <c r="O58" s="27">
        <v>2036</v>
      </c>
      <c r="P58" s="27">
        <v>2037</v>
      </c>
      <c r="Q58" s="27">
        <v>2038</v>
      </c>
      <c r="R58" s="27">
        <v>2039</v>
      </c>
      <c r="S58" s="27">
        <v>2040</v>
      </c>
      <c r="T58" s="27">
        <v>2041</v>
      </c>
      <c r="U58" s="27">
        <v>2042</v>
      </c>
      <c r="V58" s="27">
        <v>2043</v>
      </c>
      <c r="W58" s="27">
        <v>2044</v>
      </c>
      <c r="X58" s="27">
        <v>2045</v>
      </c>
      <c r="Y58" s="27">
        <v>2046</v>
      </c>
      <c r="Z58" s="27">
        <v>2047</v>
      </c>
      <c r="AA58" s="27">
        <v>2048</v>
      </c>
      <c r="AB58" s="27">
        <v>2049</v>
      </c>
      <c r="AC58" s="28">
        <v>2050</v>
      </c>
    </row>
    <row r="59" spans="1:29" x14ac:dyDescent="0.25">
      <c r="A59" s="29" t="str">
        <f t="shared" ref="A59:A66" si="32">A48</f>
        <v>Capex vehicle</v>
      </c>
      <c r="B59" s="65">
        <f>((1+B$34)^B$40)*B$34/(((1+B$34)^B$40)-1)*(B$30)/B$45</f>
        <v>0.22609180993446606</v>
      </c>
      <c r="C59" s="65">
        <f t="shared" ref="C59:AC59" si="33">((1+C$34)^C$40)*C$34/(((1+C$34)^C$40)-1)*(C$30)/C$45</f>
        <v>0.22609180993446606</v>
      </c>
      <c r="D59" s="65">
        <f t="shared" si="33"/>
        <v>0.22609180993446606</v>
      </c>
      <c r="E59" s="65">
        <f t="shared" si="33"/>
        <v>0.22609180993446606</v>
      </c>
      <c r="F59" s="65">
        <f t="shared" si="33"/>
        <v>0.22609180993446606</v>
      </c>
      <c r="G59" s="65">
        <f t="shared" si="33"/>
        <v>0.22609180993446606</v>
      </c>
      <c r="H59" s="65">
        <f t="shared" si="33"/>
        <v>0.22609180993446606</v>
      </c>
      <c r="I59" s="65">
        <f t="shared" si="33"/>
        <v>0.22609180993446606</v>
      </c>
      <c r="J59" s="65">
        <f t="shared" si="33"/>
        <v>0.22609180993446606</v>
      </c>
      <c r="K59" s="65">
        <f t="shared" si="33"/>
        <v>0.22609180993446606</v>
      </c>
      <c r="L59" s="65">
        <f t="shared" si="33"/>
        <v>0.22609180993446606</v>
      </c>
      <c r="M59" s="65">
        <f t="shared" si="33"/>
        <v>0.22609180993446606</v>
      </c>
      <c r="N59" s="65">
        <f t="shared" si="33"/>
        <v>0.22609180993446606</v>
      </c>
      <c r="O59" s="65">
        <f t="shared" si="33"/>
        <v>0.22609180993446606</v>
      </c>
      <c r="P59" s="65">
        <f t="shared" si="33"/>
        <v>0.22609180993446606</v>
      </c>
      <c r="Q59" s="65">
        <f t="shared" si="33"/>
        <v>0.22609180993446606</v>
      </c>
      <c r="R59" s="65">
        <f t="shared" si="33"/>
        <v>0.22609180993446606</v>
      </c>
      <c r="S59" s="65">
        <f t="shared" si="33"/>
        <v>0.22609180993446606</v>
      </c>
      <c r="T59" s="65">
        <f t="shared" si="33"/>
        <v>0.22609180993446606</v>
      </c>
      <c r="U59" s="65">
        <f t="shared" si="33"/>
        <v>0.22609180993446606</v>
      </c>
      <c r="V59" s="65">
        <f t="shared" si="33"/>
        <v>0.22609180993446606</v>
      </c>
      <c r="W59" s="65">
        <f t="shared" si="33"/>
        <v>0.22609180993446606</v>
      </c>
      <c r="X59" s="65">
        <f t="shared" si="33"/>
        <v>0.22609180993446606</v>
      </c>
      <c r="Y59" s="65">
        <f t="shared" si="33"/>
        <v>0.22609180993446606</v>
      </c>
      <c r="Z59" s="65">
        <f t="shared" si="33"/>
        <v>0.22609180993446606</v>
      </c>
      <c r="AA59" s="65">
        <f t="shared" si="33"/>
        <v>0.22609180993446606</v>
      </c>
      <c r="AB59" s="65">
        <f t="shared" si="33"/>
        <v>0.22609180993446606</v>
      </c>
      <c r="AC59" s="65">
        <f t="shared" si="33"/>
        <v>0.22609180993446606</v>
      </c>
    </row>
    <row r="60" spans="1:29" x14ac:dyDescent="0.25">
      <c r="A60" s="30" t="str">
        <f t="shared" si="32"/>
        <v>Residual value (vehicle)</v>
      </c>
      <c r="B60" s="66">
        <f>((1+B$34)^B$40)*B$34/(((1+B$34)^B$40)-1)*(B$31)/B$45</f>
        <v>-6.7827542980339814E-2</v>
      </c>
      <c r="C60" s="66">
        <f t="shared" ref="C60:AC60" si="34">((1+C$34)^C$40)*C$34/(((1+C$34)^C$40)-1)*(C$31)/C$45</f>
        <v>-6.7827542980339814E-2</v>
      </c>
      <c r="D60" s="66">
        <f t="shared" si="34"/>
        <v>-6.7827542980339814E-2</v>
      </c>
      <c r="E60" s="66">
        <f t="shared" si="34"/>
        <v>-6.7827542980339814E-2</v>
      </c>
      <c r="F60" s="66">
        <f t="shared" si="34"/>
        <v>-6.7827542980339814E-2</v>
      </c>
      <c r="G60" s="66">
        <f t="shared" si="34"/>
        <v>-6.7827542980339814E-2</v>
      </c>
      <c r="H60" s="66">
        <f t="shared" si="34"/>
        <v>-6.7827542980339814E-2</v>
      </c>
      <c r="I60" s="66">
        <f t="shared" si="34"/>
        <v>-6.7827542980339814E-2</v>
      </c>
      <c r="J60" s="66">
        <f t="shared" si="34"/>
        <v>-6.7827542980339814E-2</v>
      </c>
      <c r="K60" s="66">
        <f t="shared" si="34"/>
        <v>-6.7827542980339814E-2</v>
      </c>
      <c r="L60" s="66">
        <f t="shared" si="34"/>
        <v>-6.7827542980339814E-2</v>
      </c>
      <c r="M60" s="66">
        <f t="shared" si="34"/>
        <v>-6.7827542980339814E-2</v>
      </c>
      <c r="N60" s="66">
        <f t="shared" si="34"/>
        <v>-6.7827542980339814E-2</v>
      </c>
      <c r="O60" s="66">
        <f t="shared" si="34"/>
        <v>-6.7827542980339814E-2</v>
      </c>
      <c r="P60" s="66">
        <f t="shared" si="34"/>
        <v>-6.7827542980339814E-2</v>
      </c>
      <c r="Q60" s="66">
        <f t="shared" si="34"/>
        <v>-6.7827542980339814E-2</v>
      </c>
      <c r="R60" s="66">
        <f t="shared" si="34"/>
        <v>-6.7827542980339814E-2</v>
      </c>
      <c r="S60" s="66">
        <f t="shared" si="34"/>
        <v>-6.7827542980339814E-2</v>
      </c>
      <c r="T60" s="66">
        <f t="shared" si="34"/>
        <v>-6.7827542980339814E-2</v>
      </c>
      <c r="U60" s="66">
        <f t="shared" si="34"/>
        <v>-6.7827542980339814E-2</v>
      </c>
      <c r="V60" s="66">
        <f t="shared" si="34"/>
        <v>-6.7827542980339814E-2</v>
      </c>
      <c r="W60" s="66">
        <f t="shared" si="34"/>
        <v>-6.7827542980339814E-2</v>
      </c>
      <c r="X60" s="66">
        <f t="shared" si="34"/>
        <v>-6.7827542980339814E-2</v>
      </c>
      <c r="Y60" s="66">
        <f t="shared" si="34"/>
        <v>-6.7827542980339814E-2</v>
      </c>
      <c r="Z60" s="66">
        <f t="shared" si="34"/>
        <v>-6.7827542980339814E-2</v>
      </c>
      <c r="AA60" s="66">
        <f t="shared" si="34"/>
        <v>-6.7827542980339814E-2</v>
      </c>
      <c r="AB60" s="66">
        <f t="shared" si="34"/>
        <v>-6.7827542980339814E-2</v>
      </c>
      <c r="AC60" s="66">
        <f t="shared" si="34"/>
        <v>-6.7827542980339814E-2</v>
      </c>
    </row>
    <row r="61" spans="1:29" x14ac:dyDescent="0.25">
      <c r="A61" s="30" t="str">
        <f t="shared" si="32"/>
        <v>Capex costumization</v>
      </c>
      <c r="B61" s="66">
        <f>((1+B$34)^B$41)*B$34/(((1+B$34)^B$41)-1)*(B$32)/B$45</f>
        <v>5.6798585419363598E-2</v>
      </c>
      <c r="C61" s="66">
        <f t="shared" ref="C61:AC61" si="35">((1+C$34)^C$41)*C$34/(((1+C$34)^C$41)-1)*(C$32)/C$45</f>
        <v>5.6798585419363598E-2</v>
      </c>
      <c r="D61" s="66">
        <f t="shared" si="35"/>
        <v>5.6798585419363598E-2</v>
      </c>
      <c r="E61" s="66">
        <f t="shared" si="35"/>
        <v>5.6798585419363598E-2</v>
      </c>
      <c r="F61" s="66">
        <f t="shared" si="35"/>
        <v>5.6798585419363598E-2</v>
      </c>
      <c r="G61" s="66">
        <f t="shared" si="35"/>
        <v>5.6798585419363598E-2</v>
      </c>
      <c r="H61" s="66">
        <f t="shared" si="35"/>
        <v>5.6798585419363598E-2</v>
      </c>
      <c r="I61" s="66">
        <f t="shared" si="35"/>
        <v>5.6798585419363598E-2</v>
      </c>
      <c r="J61" s="66">
        <f t="shared" si="35"/>
        <v>5.6798585419363598E-2</v>
      </c>
      <c r="K61" s="66">
        <f t="shared" si="35"/>
        <v>5.6798585419363598E-2</v>
      </c>
      <c r="L61" s="66">
        <f t="shared" si="35"/>
        <v>5.6798585419363598E-2</v>
      </c>
      <c r="M61" s="66">
        <f t="shared" si="35"/>
        <v>5.6798585419363598E-2</v>
      </c>
      <c r="N61" s="66">
        <f t="shared" si="35"/>
        <v>5.6798585419363598E-2</v>
      </c>
      <c r="O61" s="66">
        <f t="shared" si="35"/>
        <v>5.6798585419363598E-2</v>
      </c>
      <c r="P61" s="66">
        <f t="shared" si="35"/>
        <v>5.6798585419363598E-2</v>
      </c>
      <c r="Q61" s="66">
        <f t="shared" si="35"/>
        <v>5.6798585419363598E-2</v>
      </c>
      <c r="R61" s="66">
        <f t="shared" si="35"/>
        <v>5.6798585419363598E-2</v>
      </c>
      <c r="S61" s="66">
        <f t="shared" si="35"/>
        <v>5.6798585419363598E-2</v>
      </c>
      <c r="T61" s="66">
        <f t="shared" si="35"/>
        <v>5.6798585419363598E-2</v>
      </c>
      <c r="U61" s="66">
        <f t="shared" si="35"/>
        <v>5.6798585419363598E-2</v>
      </c>
      <c r="V61" s="66">
        <f t="shared" si="35"/>
        <v>5.6798585419363598E-2</v>
      </c>
      <c r="W61" s="66">
        <f t="shared" si="35"/>
        <v>5.6798585419363598E-2</v>
      </c>
      <c r="X61" s="66">
        <f t="shared" si="35"/>
        <v>5.6798585419363598E-2</v>
      </c>
      <c r="Y61" s="66">
        <f t="shared" si="35"/>
        <v>5.6798585419363598E-2</v>
      </c>
      <c r="Z61" s="66">
        <f t="shared" si="35"/>
        <v>5.6798585419363598E-2</v>
      </c>
      <c r="AA61" s="66">
        <f t="shared" si="35"/>
        <v>5.6798585419363598E-2</v>
      </c>
      <c r="AB61" s="66">
        <f t="shared" si="35"/>
        <v>5.6798585419363598E-2</v>
      </c>
      <c r="AC61" s="66">
        <f t="shared" si="35"/>
        <v>5.6798585419363598E-2</v>
      </c>
    </row>
    <row r="62" spans="1:29" x14ac:dyDescent="0.25">
      <c r="A62" s="30" t="str">
        <f t="shared" si="32"/>
        <v>Residual value (costumization)</v>
      </c>
      <c r="B62" s="66">
        <f>((1+B$34)^B$41)*B$34/(((1+B$34)^B$41)-1)*(B$33)/B$45</f>
        <v>-5.6798585419363589E-3</v>
      </c>
      <c r="C62" s="66">
        <f t="shared" ref="C62:AC62" si="36">((1+C$34)^C$41)*C$34/(((1+C$34)^C$41)-1)*(C$33)/C$45</f>
        <v>-5.6798585419363589E-3</v>
      </c>
      <c r="D62" s="66">
        <f t="shared" si="36"/>
        <v>-5.6798585419363589E-3</v>
      </c>
      <c r="E62" s="66">
        <f t="shared" si="36"/>
        <v>-5.6798585419363589E-3</v>
      </c>
      <c r="F62" s="66">
        <f t="shared" si="36"/>
        <v>-5.6798585419363589E-3</v>
      </c>
      <c r="G62" s="66">
        <f t="shared" si="36"/>
        <v>-5.6798585419363589E-3</v>
      </c>
      <c r="H62" s="66">
        <f t="shared" si="36"/>
        <v>-5.6798585419363589E-3</v>
      </c>
      <c r="I62" s="66">
        <f t="shared" si="36"/>
        <v>-5.6798585419363589E-3</v>
      </c>
      <c r="J62" s="66">
        <f t="shared" si="36"/>
        <v>-5.6798585419363589E-3</v>
      </c>
      <c r="K62" s="66">
        <f t="shared" si="36"/>
        <v>-5.6798585419363589E-3</v>
      </c>
      <c r="L62" s="66">
        <f t="shared" si="36"/>
        <v>-5.6798585419363589E-3</v>
      </c>
      <c r="M62" s="66">
        <f t="shared" si="36"/>
        <v>-5.6798585419363589E-3</v>
      </c>
      <c r="N62" s="66">
        <f t="shared" si="36"/>
        <v>-5.6798585419363589E-3</v>
      </c>
      <c r="O62" s="66">
        <f t="shared" si="36"/>
        <v>-5.6798585419363589E-3</v>
      </c>
      <c r="P62" s="66">
        <f t="shared" si="36"/>
        <v>-5.6798585419363589E-3</v>
      </c>
      <c r="Q62" s="66">
        <f t="shared" si="36"/>
        <v>-5.6798585419363589E-3</v>
      </c>
      <c r="R62" s="66">
        <f t="shared" si="36"/>
        <v>-5.6798585419363589E-3</v>
      </c>
      <c r="S62" s="66">
        <f t="shared" si="36"/>
        <v>-5.6798585419363589E-3</v>
      </c>
      <c r="T62" s="66">
        <f t="shared" si="36"/>
        <v>-5.6798585419363589E-3</v>
      </c>
      <c r="U62" s="66">
        <f t="shared" si="36"/>
        <v>-5.6798585419363589E-3</v>
      </c>
      <c r="V62" s="66">
        <f t="shared" si="36"/>
        <v>-5.6798585419363589E-3</v>
      </c>
      <c r="W62" s="66">
        <f t="shared" si="36"/>
        <v>-5.6798585419363589E-3</v>
      </c>
      <c r="X62" s="66">
        <f t="shared" si="36"/>
        <v>-5.6798585419363589E-3</v>
      </c>
      <c r="Y62" s="66">
        <f t="shared" si="36"/>
        <v>-5.6798585419363589E-3</v>
      </c>
      <c r="Z62" s="66">
        <f t="shared" si="36"/>
        <v>-5.6798585419363589E-3</v>
      </c>
      <c r="AA62" s="66">
        <f t="shared" si="36"/>
        <v>-5.6798585419363589E-3</v>
      </c>
      <c r="AB62" s="66">
        <f t="shared" si="36"/>
        <v>-5.6798585419363589E-3</v>
      </c>
      <c r="AC62" s="66">
        <f t="shared" si="36"/>
        <v>-5.6798585419363589E-3</v>
      </c>
    </row>
    <row r="63" spans="1:29" x14ac:dyDescent="0.25">
      <c r="A63" s="30" t="str">
        <f t="shared" si="32"/>
        <v>Opex fix (admin, crew, insurance)</v>
      </c>
      <c r="B63" s="66">
        <f>B$35/B$45</f>
        <v>0.80952380952380953</v>
      </c>
      <c r="C63" s="66">
        <f t="shared" ref="C63:AC63" si="37">C$35/C$45</f>
        <v>0.80952380952380953</v>
      </c>
      <c r="D63" s="66">
        <f t="shared" si="37"/>
        <v>0.80952380952380953</v>
      </c>
      <c r="E63" s="66">
        <f t="shared" si="37"/>
        <v>0.80952380952380953</v>
      </c>
      <c r="F63" s="66">
        <f t="shared" si="37"/>
        <v>0.80952380952380953</v>
      </c>
      <c r="G63" s="66">
        <f t="shared" si="37"/>
        <v>0.80952380952380953</v>
      </c>
      <c r="H63" s="66">
        <f t="shared" si="37"/>
        <v>0.80952380952380953</v>
      </c>
      <c r="I63" s="66">
        <f t="shared" si="37"/>
        <v>0.80952380952380953</v>
      </c>
      <c r="J63" s="66">
        <f t="shared" si="37"/>
        <v>0.80952380952380953</v>
      </c>
      <c r="K63" s="66">
        <f t="shared" si="37"/>
        <v>0.80952380952380953</v>
      </c>
      <c r="L63" s="66">
        <f t="shared" si="37"/>
        <v>0.80952380952380953</v>
      </c>
      <c r="M63" s="66">
        <f t="shared" si="37"/>
        <v>0.80952380952380953</v>
      </c>
      <c r="N63" s="66">
        <f t="shared" si="37"/>
        <v>0.80952380952380953</v>
      </c>
      <c r="O63" s="66">
        <f t="shared" si="37"/>
        <v>0.80952380952380953</v>
      </c>
      <c r="P63" s="66">
        <f t="shared" si="37"/>
        <v>0.80952380952380953</v>
      </c>
      <c r="Q63" s="66">
        <f t="shared" si="37"/>
        <v>0.80952380952380953</v>
      </c>
      <c r="R63" s="66">
        <f t="shared" si="37"/>
        <v>0.80952380952380953</v>
      </c>
      <c r="S63" s="66">
        <f t="shared" si="37"/>
        <v>0.80952380952380953</v>
      </c>
      <c r="T63" s="66">
        <f t="shared" si="37"/>
        <v>0.80952380952380953</v>
      </c>
      <c r="U63" s="66">
        <f t="shared" si="37"/>
        <v>0.80952380952380953</v>
      </c>
      <c r="V63" s="66">
        <f t="shared" si="37"/>
        <v>0.80952380952380953</v>
      </c>
      <c r="W63" s="66">
        <f t="shared" si="37"/>
        <v>0.80952380952380953</v>
      </c>
      <c r="X63" s="66">
        <f t="shared" si="37"/>
        <v>0.80952380952380953</v>
      </c>
      <c r="Y63" s="66">
        <f t="shared" si="37"/>
        <v>0.80952380952380953</v>
      </c>
      <c r="Z63" s="66">
        <f t="shared" si="37"/>
        <v>0.80952380952380953</v>
      </c>
      <c r="AA63" s="66">
        <f t="shared" si="37"/>
        <v>0.80952380952380953</v>
      </c>
      <c r="AB63" s="66">
        <f t="shared" si="37"/>
        <v>0.80952380952380953</v>
      </c>
      <c r="AC63" s="66">
        <f t="shared" si="37"/>
        <v>0.80952380952380953</v>
      </c>
    </row>
    <row r="64" spans="1:29" x14ac:dyDescent="0.25">
      <c r="A64" s="30" t="str">
        <f t="shared" si="32"/>
        <v>Opex maintenance &amp; repair</v>
      </c>
      <c r="B64" s="66">
        <f>B$36/B$45</f>
        <v>0.19047619047619047</v>
      </c>
      <c r="C64" s="66">
        <f t="shared" ref="C64:AC64" si="38">C$36/C$45</f>
        <v>0.19047619047619047</v>
      </c>
      <c r="D64" s="66">
        <f t="shared" si="38"/>
        <v>0.19047619047619047</v>
      </c>
      <c r="E64" s="66">
        <f t="shared" si="38"/>
        <v>0.19047619047619047</v>
      </c>
      <c r="F64" s="66">
        <f t="shared" si="38"/>
        <v>0.19047619047619047</v>
      </c>
      <c r="G64" s="66">
        <f t="shared" si="38"/>
        <v>0.19047619047619047</v>
      </c>
      <c r="H64" s="66">
        <f t="shared" si="38"/>
        <v>0.19047619047619047</v>
      </c>
      <c r="I64" s="66">
        <f t="shared" si="38"/>
        <v>0.19047619047619047</v>
      </c>
      <c r="J64" s="66">
        <f t="shared" si="38"/>
        <v>0.19047619047619047</v>
      </c>
      <c r="K64" s="66">
        <f t="shared" si="38"/>
        <v>0.19047619047619047</v>
      </c>
      <c r="L64" s="66">
        <f t="shared" si="38"/>
        <v>0.19047619047619047</v>
      </c>
      <c r="M64" s="66">
        <f t="shared" si="38"/>
        <v>0.19047619047619047</v>
      </c>
      <c r="N64" s="66">
        <f t="shared" si="38"/>
        <v>0.19047619047619047</v>
      </c>
      <c r="O64" s="66">
        <f t="shared" si="38"/>
        <v>0.19047619047619047</v>
      </c>
      <c r="P64" s="66">
        <f t="shared" si="38"/>
        <v>0.19047619047619047</v>
      </c>
      <c r="Q64" s="66">
        <f t="shared" si="38"/>
        <v>0.19047619047619047</v>
      </c>
      <c r="R64" s="66">
        <f t="shared" si="38"/>
        <v>0.19047619047619047</v>
      </c>
      <c r="S64" s="66">
        <f t="shared" si="38"/>
        <v>0.19047619047619047</v>
      </c>
      <c r="T64" s="66">
        <f t="shared" si="38"/>
        <v>0.19047619047619047</v>
      </c>
      <c r="U64" s="66">
        <f t="shared" si="38"/>
        <v>0.19047619047619047</v>
      </c>
      <c r="V64" s="66">
        <f t="shared" si="38"/>
        <v>0.19047619047619047</v>
      </c>
      <c r="W64" s="66">
        <f t="shared" si="38"/>
        <v>0.19047619047619047</v>
      </c>
      <c r="X64" s="66">
        <f t="shared" si="38"/>
        <v>0.19047619047619047</v>
      </c>
      <c r="Y64" s="66">
        <f t="shared" si="38"/>
        <v>0.19047619047619047</v>
      </c>
      <c r="Z64" s="66">
        <f t="shared" si="38"/>
        <v>0.19047619047619047</v>
      </c>
      <c r="AA64" s="66">
        <f t="shared" si="38"/>
        <v>0.19047619047619047</v>
      </c>
      <c r="AB64" s="66">
        <f t="shared" si="38"/>
        <v>0.19047619047619047</v>
      </c>
      <c r="AC64" s="66">
        <f t="shared" si="38"/>
        <v>0.19047619047619047</v>
      </c>
    </row>
    <row r="65" spans="1:29" x14ac:dyDescent="0.25">
      <c r="A65" s="30" t="str">
        <f t="shared" si="32"/>
        <v>Opex var (mode-fees, cargo handling)</v>
      </c>
      <c r="B65" s="66">
        <f>B$37*B$45/B$45</f>
        <v>9.5238095238095247E-3</v>
      </c>
      <c r="C65" s="66">
        <f t="shared" ref="C65:AC65" si="39">C$37*C$45/C$45</f>
        <v>9.5238095238095247E-3</v>
      </c>
      <c r="D65" s="66">
        <f t="shared" si="39"/>
        <v>9.5238095238095247E-3</v>
      </c>
      <c r="E65" s="66">
        <f t="shared" si="39"/>
        <v>9.5238095238095247E-3</v>
      </c>
      <c r="F65" s="66">
        <f t="shared" si="39"/>
        <v>9.5238095238095247E-3</v>
      </c>
      <c r="G65" s="66">
        <f t="shared" si="39"/>
        <v>9.5238095238095247E-3</v>
      </c>
      <c r="H65" s="66">
        <f t="shared" si="39"/>
        <v>9.5238095238095247E-3</v>
      </c>
      <c r="I65" s="66">
        <f t="shared" si="39"/>
        <v>9.5238095238095247E-3</v>
      </c>
      <c r="J65" s="66">
        <f t="shared" si="39"/>
        <v>9.5238095238095247E-3</v>
      </c>
      <c r="K65" s="66">
        <f t="shared" si="39"/>
        <v>9.5238095238095247E-3</v>
      </c>
      <c r="L65" s="66">
        <f t="shared" si="39"/>
        <v>9.5238095238095247E-3</v>
      </c>
      <c r="M65" s="66">
        <f t="shared" si="39"/>
        <v>9.5238095238095247E-3</v>
      </c>
      <c r="N65" s="66">
        <f t="shared" si="39"/>
        <v>9.5238095238095247E-3</v>
      </c>
      <c r="O65" s="66">
        <f t="shared" si="39"/>
        <v>9.5238095238095247E-3</v>
      </c>
      <c r="P65" s="66">
        <f t="shared" si="39"/>
        <v>9.5238095238095247E-3</v>
      </c>
      <c r="Q65" s="66">
        <f t="shared" si="39"/>
        <v>9.5238095238095247E-3</v>
      </c>
      <c r="R65" s="66">
        <f t="shared" si="39"/>
        <v>9.5238095238095247E-3</v>
      </c>
      <c r="S65" s="66">
        <f t="shared" si="39"/>
        <v>9.5238095238095247E-3</v>
      </c>
      <c r="T65" s="66">
        <f t="shared" si="39"/>
        <v>9.5238095238095247E-3</v>
      </c>
      <c r="U65" s="66">
        <f t="shared" si="39"/>
        <v>9.5238095238095247E-3</v>
      </c>
      <c r="V65" s="66">
        <f t="shared" si="39"/>
        <v>9.5238095238095247E-3</v>
      </c>
      <c r="W65" s="66">
        <f t="shared" si="39"/>
        <v>9.5238095238095247E-3</v>
      </c>
      <c r="X65" s="66">
        <f t="shared" si="39"/>
        <v>9.5238095238095247E-3</v>
      </c>
      <c r="Y65" s="66">
        <f t="shared" si="39"/>
        <v>9.5238095238095247E-3</v>
      </c>
      <c r="Z65" s="66">
        <f t="shared" si="39"/>
        <v>9.5238095238095247E-3</v>
      </c>
      <c r="AA65" s="66">
        <f t="shared" si="39"/>
        <v>9.5238095238095247E-3</v>
      </c>
      <c r="AB65" s="66">
        <f t="shared" si="39"/>
        <v>9.5238095238095247E-3</v>
      </c>
      <c r="AC65" s="66">
        <f t="shared" si="39"/>
        <v>9.5238095238095247E-3</v>
      </c>
    </row>
    <row r="66" spans="1:29" ht="15.75" thickBot="1" x14ac:dyDescent="0.3">
      <c r="A66" s="30" t="str">
        <f t="shared" si="32"/>
        <v>Fuel Cost</v>
      </c>
      <c r="B66" s="66">
        <f>B$38*B$39*B$45/B$45</f>
        <v>0.42</v>
      </c>
      <c r="C66" s="66">
        <f t="shared" ref="C66:AC66" si="40">C$38*C$39*C$45/C$45</f>
        <v>0.42</v>
      </c>
      <c r="D66" s="66">
        <f t="shared" si="40"/>
        <v>0.42</v>
      </c>
      <c r="E66" s="66">
        <f t="shared" si="40"/>
        <v>0.42</v>
      </c>
      <c r="F66" s="66">
        <f t="shared" si="40"/>
        <v>0.42</v>
      </c>
      <c r="G66" s="66">
        <f t="shared" si="40"/>
        <v>0.42</v>
      </c>
      <c r="H66" s="66">
        <f t="shared" si="40"/>
        <v>0.42</v>
      </c>
      <c r="I66" s="66">
        <f t="shared" si="40"/>
        <v>0.42</v>
      </c>
      <c r="J66" s="66">
        <f t="shared" si="40"/>
        <v>0.42</v>
      </c>
      <c r="K66" s="66">
        <f t="shared" si="40"/>
        <v>0.42</v>
      </c>
      <c r="L66" s="66">
        <f t="shared" si="40"/>
        <v>0.42</v>
      </c>
      <c r="M66" s="66">
        <f t="shared" si="40"/>
        <v>0.42</v>
      </c>
      <c r="N66" s="66">
        <f t="shared" si="40"/>
        <v>0.42</v>
      </c>
      <c r="O66" s="66">
        <f t="shared" si="40"/>
        <v>0.42</v>
      </c>
      <c r="P66" s="66">
        <f t="shared" si="40"/>
        <v>0.42</v>
      </c>
      <c r="Q66" s="66">
        <f t="shared" si="40"/>
        <v>0.42</v>
      </c>
      <c r="R66" s="66">
        <f t="shared" si="40"/>
        <v>0.42</v>
      </c>
      <c r="S66" s="66">
        <f t="shared" si="40"/>
        <v>0.42</v>
      </c>
      <c r="T66" s="66">
        <f t="shared" si="40"/>
        <v>0.42</v>
      </c>
      <c r="U66" s="66">
        <f t="shared" si="40"/>
        <v>0.42</v>
      </c>
      <c r="V66" s="66">
        <f t="shared" si="40"/>
        <v>0.42</v>
      </c>
      <c r="W66" s="66">
        <f t="shared" si="40"/>
        <v>0.42</v>
      </c>
      <c r="X66" s="66">
        <f t="shared" si="40"/>
        <v>0.42</v>
      </c>
      <c r="Y66" s="66">
        <f t="shared" si="40"/>
        <v>0.42</v>
      </c>
      <c r="Z66" s="66">
        <f t="shared" si="40"/>
        <v>0.42</v>
      </c>
      <c r="AA66" s="66">
        <f t="shared" si="40"/>
        <v>0.42</v>
      </c>
      <c r="AB66" s="66">
        <f t="shared" si="40"/>
        <v>0.42</v>
      </c>
      <c r="AC66" s="66">
        <f t="shared" si="40"/>
        <v>0.42</v>
      </c>
    </row>
    <row r="67" spans="1:29" ht="15.75" thickBot="1" x14ac:dyDescent="0.3">
      <c r="A67" s="31" t="s">
        <v>63</v>
      </c>
      <c r="B67" s="67">
        <f>B59+B60+B61-B62+B63+B64+B65+B66</f>
        <v>1.6502665204392357</v>
      </c>
      <c r="C67" s="67">
        <f t="shared" ref="C67:AC67" si="41">C59+C60+C61-C62+C63+C64+C65+C66</f>
        <v>1.6502665204392357</v>
      </c>
      <c r="D67" s="67">
        <f t="shared" si="41"/>
        <v>1.6502665204392357</v>
      </c>
      <c r="E67" s="67">
        <f t="shared" si="41"/>
        <v>1.6502665204392357</v>
      </c>
      <c r="F67" s="67">
        <f t="shared" si="41"/>
        <v>1.6502665204392357</v>
      </c>
      <c r="G67" s="67">
        <f t="shared" si="41"/>
        <v>1.6502665204392357</v>
      </c>
      <c r="H67" s="67">
        <f t="shared" si="41"/>
        <v>1.6502665204392357</v>
      </c>
      <c r="I67" s="67">
        <f t="shared" si="41"/>
        <v>1.6502665204392357</v>
      </c>
      <c r="J67" s="67">
        <f t="shared" si="41"/>
        <v>1.6502665204392357</v>
      </c>
      <c r="K67" s="67">
        <f t="shared" si="41"/>
        <v>1.6502665204392357</v>
      </c>
      <c r="L67" s="67">
        <f t="shared" si="41"/>
        <v>1.6502665204392357</v>
      </c>
      <c r="M67" s="67">
        <f t="shared" si="41"/>
        <v>1.6502665204392357</v>
      </c>
      <c r="N67" s="67">
        <f t="shared" si="41"/>
        <v>1.6502665204392357</v>
      </c>
      <c r="O67" s="67">
        <f t="shared" si="41"/>
        <v>1.6502665204392357</v>
      </c>
      <c r="P67" s="67">
        <f t="shared" si="41"/>
        <v>1.6502665204392357</v>
      </c>
      <c r="Q67" s="67">
        <f t="shared" si="41"/>
        <v>1.6502665204392357</v>
      </c>
      <c r="R67" s="67">
        <f t="shared" si="41"/>
        <v>1.6502665204392357</v>
      </c>
      <c r="S67" s="67">
        <f t="shared" si="41"/>
        <v>1.6502665204392357</v>
      </c>
      <c r="T67" s="67">
        <f t="shared" si="41"/>
        <v>1.6502665204392357</v>
      </c>
      <c r="U67" s="67">
        <f t="shared" si="41"/>
        <v>1.6502665204392357</v>
      </c>
      <c r="V67" s="67">
        <f t="shared" si="41"/>
        <v>1.6502665204392357</v>
      </c>
      <c r="W67" s="67">
        <f t="shared" si="41"/>
        <v>1.6502665204392357</v>
      </c>
      <c r="X67" s="67">
        <f t="shared" si="41"/>
        <v>1.6502665204392357</v>
      </c>
      <c r="Y67" s="67">
        <f t="shared" si="41"/>
        <v>1.6502665204392357</v>
      </c>
      <c r="Z67" s="67">
        <f t="shared" si="41"/>
        <v>1.6502665204392357</v>
      </c>
      <c r="AA67" s="67">
        <f t="shared" si="41"/>
        <v>1.6502665204392357</v>
      </c>
      <c r="AB67" s="67">
        <f t="shared" si="41"/>
        <v>1.6502665204392357</v>
      </c>
      <c r="AC67" s="67">
        <f t="shared" si="41"/>
        <v>1.6502665204392357</v>
      </c>
    </row>
    <row r="68" spans="1:29" ht="15.75" thickBot="1" x14ac:dyDescent="0.3"/>
    <row r="69" spans="1:29" ht="15.75" thickBot="1" x14ac:dyDescent="0.3">
      <c r="A69" s="26" t="s">
        <v>208</v>
      </c>
      <c r="B69" s="27">
        <v>2023</v>
      </c>
      <c r="C69" s="27">
        <v>2024</v>
      </c>
      <c r="D69" s="27">
        <v>2025</v>
      </c>
      <c r="E69" s="27">
        <v>2026</v>
      </c>
      <c r="F69" s="27">
        <v>2027</v>
      </c>
      <c r="G69" s="27">
        <v>2028</v>
      </c>
      <c r="H69" s="27">
        <v>2029</v>
      </c>
      <c r="I69" s="27">
        <v>2030</v>
      </c>
      <c r="J69" s="27">
        <v>2031</v>
      </c>
      <c r="K69" s="27">
        <v>2032</v>
      </c>
      <c r="L69" s="27">
        <v>2033</v>
      </c>
      <c r="M69" s="27">
        <v>2034</v>
      </c>
      <c r="N69" s="27">
        <v>2035</v>
      </c>
      <c r="O69" s="27">
        <v>2036</v>
      </c>
      <c r="P69" s="27">
        <v>2037</v>
      </c>
      <c r="Q69" s="27">
        <v>2038</v>
      </c>
      <c r="R69" s="27">
        <v>2039</v>
      </c>
      <c r="S69" s="27">
        <v>2040</v>
      </c>
      <c r="T69" s="27">
        <v>2041</v>
      </c>
      <c r="U69" s="27">
        <v>2042</v>
      </c>
      <c r="V69" s="27">
        <v>2043</v>
      </c>
      <c r="W69" s="27">
        <v>2044</v>
      </c>
      <c r="X69" s="27">
        <v>2045</v>
      </c>
      <c r="Y69" s="27">
        <v>2046</v>
      </c>
      <c r="Z69" s="27">
        <v>2047</v>
      </c>
      <c r="AA69" s="27">
        <v>2048</v>
      </c>
      <c r="AB69" s="27">
        <v>2049</v>
      </c>
      <c r="AC69" s="28">
        <v>2050</v>
      </c>
    </row>
    <row r="70" spans="1:29" x14ac:dyDescent="0.25">
      <c r="A70" s="29" t="str">
        <f t="shared" ref="A70:A77" si="42">A48</f>
        <v>Capex vehicle</v>
      </c>
      <c r="B70" s="65">
        <f>((1+B$34)^B$40)*B$34/(((1+B$34)^B$40)-1)*(B$30)/B$45/(B$42)</f>
        <v>7.7962693080850364E-3</v>
      </c>
      <c r="C70" s="65">
        <f t="shared" ref="C70:AC70" si="43">((1+C$34)^C$40)*C$34/(((1+C$34)^C$40)-1)*(C$30)/C$45/(C$42)</f>
        <v>7.7962693080850364E-3</v>
      </c>
      <c r="D70" s="65">
        <f t="shared" si="43"/>
        <v>7.7962693080850364E-3</v>
      </c>
      <c r="E70" s="65">
        <f t="shared" si="43"/>
        <v>7.7962693080850364E-3</v>
      </c>
      <c r="F70" s="65">
        <f t="shared" si="43"/>
        <v>7.7962693080850364E-3</v>
      </c>
      <c r="G70" s="65">
        <f t="shared" si="43"/>
        <v>7.7962693080850364E-3</v>
      </c>
      <c r="H70" s="65">
        <f t="shared" si="43"/>
        <v>7.7962693080850364E-3</v>
      </c>
      <c r="I70" s="65">
        <f t="shared" si="43"/>
        <v>7.7962693080850364E-3</v>
      </c>
      <c r="J70" s="65">
        <f t="shared" si="43"/>
        <v>7.7962693080850364E-3</v>
      </c>
      <c r="K70" s="65">
        <f t="shared" si="43"/>
        <v>7.7962693080850364E-3</v>
      </c>
      <c r="L70" s="65">
        <f t="shared" si="43"/>
        <v>7.7962693080850364E-3</v>
      </c>
      <c r="M70" s="65">
        <f t="shared" si="43"/>
        <v>7.7962693080850364E-3</v>
      </c>
      <c r="N70" s="65">
        <f t="shared" si="43"/>
        <v>7.7962693080850364E-3</v>
      </c>
      <c r="O70" s="65">
        <f t="shared" si="43"/>
        <v>7.7962693080850364E-3</v>
      </c>
      <c r="P70" s="65">
        <f t="shared" si="43"/>
        <v>7.7962693080850364E-3</v>
      </c>
      <c r="Q70" s="65">
        <f t="shared" si="43"/>
        <v>7.7962693080850364E-3</v>
      </c>
      <c r="R70" s="65">
        <f t="shared" si="43"/>
        <v>7.7962693080850364E-3</v>
      </c>
      <c r="S70" s="65">
        <f t="shared" si="43"/>
        <v>7.7962693080850364E-3</v>
      </c>
      <c r="T70" s="65">
        <f t="shared" si="43"/>
        <v>7.7962693080850364E-3</v>
      </c>
      <c r="U70" s="65">
        <f t="shared" si="43"/>
        <v>7.7962693080850364E-3</v>
      </c>
      <c r="V70" s="65">
        <f t="shared" si="43"/>
        <v>7.7962693080850364E-3</v>
      </c>
      <c r="W70" s="65">
        <f t="shared" si="43"/>
        <v>7.7962693080850364E-3</v>
      </c>
      <c r="X70" s="65">
        <f t="shared" si="43"/>
        <v>7.7962693080850364E-3</v>
      </c>
      <c r="Y70" s="65">
        <f t="shared" si="43"/>
        <v>7.7962693080850364E-3</v>
      </c>
      <c r="Z70" s="65">
        <f t="shared" si="43"/>
        <v>7.7962693080850364E-3</v>
      </c>
      <c r="AA70" s="65">
        <f t="shared" si="43"/>
        <v>7.7962693080850364E-3</v>
      </c>
      <c r="AB70" s="65">
        <f t="shared" si="43"/>
        <v>7.7962693080850364E-3</v>
      </c>
      <c r="AC70" s="65">
        <f t="shared" si="43"/>
        <v>7.7962693080850364E-3</v>
      </c>
    </row>
    <row r="71" spans="1:29" x14ac:dyDescent="0.25">
      <c r="A71" s="30" t="str">
        <f t="shared" si="42"/>
        <v>Residual value (vehicle)</v>
      </c>
      <c r="B71" s="68">
        <f>((1+B$34)^B$40)*B$34/(((1+B$34)^B$40)-1)*(B$31)/B$45/(B$42)</f>
        <v>-2.3388807924255108E-3</v>
      </c>
      <c r="C71" s="66">
        <f t="shared" ref="C71:AC71" si="44">((1+C$34)^C$40)*C$34/(((1+C$34)^C$40)-1)*(C$31)/C$45/(C$42)</f>
        <v>-2.3388807924255108E-3</v>
      </c>
      <c r="D71" s="66">
        <f t="shared" si="44"/>
        <v>-2.3388807924255108E-3</v>
      </c>
      <c r="E71" s="66">
        <f t="shared" si="44"/>
        <v>-2.3388807924255108E-3</v>
      </c>
      <c r="F71" s="66">
        <f t="shared" si="44"/>
        <v>-2.3388807924255108E-3</v>
      </c>
      <c r="G71" s="66">
        <f t="shared" si="44"/>
        <v>-2.3388807924255108E-3</v>
      </c>
      <c r="H71" s="66">
        <f t="shared" si="44"/>
        <v>-2.3388807924255108E-3</v>
      </c>
      <c r="I71" s="66">
        <f t="shared" si="44"/>
        <v>-2.3388807924255108E-3</v>
      </c>
      <c r="J71" s="66">
        <f t="shared" si="44"/>
        <v>-2.3388807924255108E-3</v>
      </c>
      <c r="K71" s="66">
        <f t="shared" si="44"/>
        <v>-2.3388807924255108E-3</v>
      </c>
      <c r="L71" s="66">
        <f t="shared" si="44"/>
        <v>-2.3388807924255108E-3</v>
      </c>
      <c r="M71" s="66">
        <f t="shared" si="44"/>
        <v>-2.3388807924255108E-3</v>
      </c>
      <c r="N71" s="66">
        <f t="shared" si="44"/>
        <v>-2.3388807924255108E-3</v>
      </c>
      <c r="O71" s="66">
        <f t="shared" si="44"/>
        <v>-2.3388807924255108E-3</v>
      </c>
      <c r="P71" s="66">
        <f t="shared" si="44"/>
        <v>-2.3388807924255108E-3</v>
      </c>
      <c r="Q71" s="66">
        <f t="shared" si="44"/>
        <v>-2.3388807924255108E-3</v>
      </c>
      <c r="R71" s="66">
        <f t="shared" si="44"/>
        <v>-2.3388807924255108E-3</v>
      </c>
      <c r="S71" s="66">
        <f t="shared" si="44"/>
        <v>-2.3388807924255108E-3</v>
      </c>
      <c r="T71" s="66">
        <f t="shared" si="44"/>
        <v>-2.3388807924255108E-3</v>
      </c>
      <c r="U71" s="66">
        <f t="shared" si="44"/>
        <v>-2.3388807924255108E-3</v>
      </c>
      <c r="V71" s="66">
        <f t="shared" si="44"/>
        <v>-2.3388807924255108E-3</v>
      </c>
      <c r="W71" s="66">
        <f t="shared" si="44"/>
        <v>-2.3388807924255108E-3</v>
      </c>
      <c r="X71" s="66">
        <f t="shared" si="44"/>
        <v>-2.3388807924255108E-3</v>
      </c>
      <c r="Y71" s="66">
        <f t="shared" si="44"/>
        <v>-2.3388807924255108E-3</v>
      </c>
      <c r="Z71" s="66">
        <f t="shared" si="44"/>
        <v>-2.3388807924255108E-3</v>
      </c>
      <c r="AA71" s="66">
        <f t="shared" si="44"/>
        <v>-2.3388807924255108E-3</v>
      </c>
      <c r="AB71" s="66">
        <f t="shared" si="44"/>
        <v>-2.3388807924255108E-3</v>
      </c>
      <c r="AC71" s="66">
        <f t="shared" si="44"/>
        <v>-2.3388807924255108E-3</v>
      </c>
    </row>
    <row r="72" spans="1:29" x14ac:dyDescent="0.25">
      <c r="A72" s="30" t="str">
        <f t="shared" si="42"/>
        <v>Capex costumization</v>
      </c>
      <c r="B72" s="66">
        <f>((1+B$34)^B$41)*B$34/(((1+B$34)^B$41)-1)*(B$32)/B$45/(B$42)</f>
        <v>1.9585719110125381E-3</v>
      </c>
      <c r="C72" s="66">
        <f t="shared" ref="C72:AC72" si="45">((1+C$34)^C$41)*C$34/(((1+C$34)^C$41)-1)*(C$32)/C$45/(C$42)</f>
        <v>1.9585719110125381E-3</v>
      </c>
      <c r="D72" s="66">
        <f t="shared" si="45"/>
        <v>1.9585719110125381E-3</v>
      </c>
      <c r="E72" s="66">
        <f t="shared" si="45"/>
        <v>1.9585719110125381E-3</v>
      </c>
      <c r="F72" s="66">
        <f t="shared" si="45"/>
        <v>1.9585719110125381E-3</v>
      </c>
      <c r="G72" s="66">
        <f t="shared" si="45"/>
        <v>1.9585719110125381E-3</v>
      </c>
      <c r="H72" s="66">
        <f t="shared" si="45"/>
        <v>1.9585719110125381E-3</v>
      </c>
      <c r="I72" s="66">
        <f t="shared" si="45"/>
        <v>1.9585719110125381E-3</v>
      </c>
      <c r="J72" s="66">
        <f t="shared" si="45"/>
        <v>1.9585719110125381E-3</v>
      </c>
      <c r="K72" s="66">
        <f t="shared" si="45"/>
        <v>1.9585719110125381E-3</v>
      </c>
      <c r="L72" s="66">
        <f t="shared" si="45"/>
        <v>1.9585719110125381E-3</v>
      </c>
      <c r="M72" s="66">
        <f t="shared" si="45"/>
        <v>1.9585719110125381E-3</v>
      </c>
      <c r="N72" s="66">
        <f t="shared" si="45"/>
        <v>1.9585719110125381E-3</v>
      </c>
      <c r="O72" s="66">
        <f t="shared" si="45"/>
        <v>1.9585719110125381E-3</v>
      </c>
      <c r="P72" s="66">
        <f t="shared" si="45"/>
        <v>1.9585719110125381E-3</v>
      </c>
      <c r="Q72" s="66">
        <f t="shared" si="45"/>
        <v>1.9585719110125381E-3</v>
      </c>
      <c r="R72" s="66">
        <f t="shared" si="45"/>
        <v>1.9585719110125381E-3</v>
      </c>
      <c r="S72" s="66">
        <f t="shared" si="45"/>
        <v>1.9585719110125381E-3</v>
      </c>
      <c r="T72" s="66">
        <f t="shared" si="45"/>
        <v>1.9585719110125381E-3</v>
      </c>
      <c r="U72" s="66">
        <f t="shared" si="45"/>
        <v>1.9585719110125381E-3</v>
      </c>
      <c r="V72" s="66">
        <f t="shared" si="45"/>
        <v>1.9585719110125381E-3</v>
      </c>
      <c r="W72" s="66">
        <f t="shared" si="45"/>
        <v>1.9585719110125381E-3</v>
      </c>
      <c r="X72" s="66">
        <f t="shared" si="45"/>
        <v>1.9585719110125381E-3</v>
      </c>
      <c r="Y72" s="66">
        <f t="shared" si="45"/>
        <v>1.9585719110125381E-3</v>
      </c>
      <c r="Z72" s="66">
        <f t="shared" si="45"/>
        <v>1.9585719110125381E-3</v>
      </c>
      <c r="AA72" s="66">
        <f t="shared" si="45"/>
        <v>1.9585719110125381E-3</v>
      </c>
      <c r="AB72" s="66">
        <f t="shared" si="45"/>
        <v>1.9585719110125381E-3</v>
      </c>
      <c r="AC72" s="66">
        <f t="shared" si="45"/>
        <v>1.9585719110125381E-3</v>
      </c>
    </row>
    <row r="73" spans="1:29" x14ac:dyDescent="0.25">
      <c r="A73" s="30" t="str">
        <f t="shared" si="42"/>
        <v>Residual value (costumization)</v>
      </c>
      <c r="B73" s="69">
        <f>((1+B$34)^B$41)*B$34/(((1+B$34)^B$41)-1)*(B$33)/B$45/(B$42)</f>
        <v>-1.9585719110125376E-4</v>
      </c>
      <c r="C73" s="66">
        <f t="shared" ref="C73:AC73" si="46">((1+C$34)^C$41)*C$34/(((1+C$34)^C$41)-1)*(C$33)/C$45/(C$42)</f>
        <v>-1.9585719110125376E-4</v>
      </c>
      <c r="D73" s="66">
        <f t="shared" si="46"/>
        <v>-1.9585719110125376E-4</v>
      </c>
      <c r="E73" s="66">
        <f t="shared" si="46"/>
        <v>-1.9585719110125376E-4</v>
      </c>
      <c r="F73" s="66">
        <f t="shared" si="46"/>
        <v>-1.9585719110125376E-4</v>
      </c>
      <c r="G73" s="66">
        <f t="shared" si="46"/>
        <v>-1.9585719110125376E-4</v>
      </c>
      <c r="H73" s="66">
        <f t="shared" si="46"/>
        <v>-1.9585719110125376E-4</v>
      </c>
      <c r="I73" s="66">
        <f t="shared" si="46"/>
        <v>-1.9585719110125376E-4</v>
      </c>
      <c r="J73" s="66">
        <f t="shared" si="46"/>
        <v>-1.9585719110125376E-4</v>
      </c>
      <c r="K73" s="66">
        <f t="shared" si="46"/>
        <v>-1.9585719110125376E-4</v>
      </c>
      <c r="L73" s="66">
        <f t="shared" si="46"/>
        <v>-1.9585719110125376E-4</v>
      </c>
      <c r="M73" s="66">
        <f t="shared" si="46"/>
        <v>-1.9585719110125376E-4</v>
      </c>
      <c r="N73" s="66">
        <f t="shared" si="46"/>
        <v>-1.9585719110125376E-4</v>
      </c>
      <c r="O73" s="66">
        <f t="shared" si="46"/>
        <v>-1.9585719110125376E-4</v>
      </c>
      <c r="P73" s="66">
        <f t="shared" si="46"/>
        <v>-1.9585719110125376E-4</v>
      </c>
      <c r="Q73" s="66">
        <f t="shared" si="46"/>
        <v>-1.9585719110125376E-4</v>
      </c>
      <c r="R73" s="66">
        <f t="shared" si="46"/>
        <v>-1.9585719110125376E-4</v>
      </c>
      <c r="S73" s="66">
        <f t="shared" si="46"/>
        <v>-1.9585719110125376E-4</v>
      </c>
      <c r="T73" s="66">
        <f t="shared" si="46"/>
        <v>-1.9585719110125376E-4</v>
      </c>
      <c r="U73" s="66">
        <f t="shared" si="46"/>
        <v>-1.9585719110125376E-4</v>
      </c>
      <c r="V73" s="66">
        <f t="shared" si="46"/>
        <v>-1.9585719110125376E-4</v>
      </c>
      <c r="W73" s="66">
        <f t="shared" si="46"/>
        <v>-1.9585719110125376E-4</v>
      </c>
      <c r="X73" s="66">
        <f t="shared" si="46"/>
        <v>-1.9585719110125376E-4</v>
      </c>
      <c r="Y73" s="66">
        <f t="shared" si="46"/>
        <v>-1.9585719110125376E-4</v>
      </c>
      <c r="Z73" s="66">
        <f t="shared" si="46"/>
        <v>-1.9585719110125376E-4</v>
      </c>
      <c r="AA73" s="66">
        <f t="shared" si="46"/>
        <v>-1.9585719110125376E-4</v>
      </c>
      <c r="AB73" s="66">
        <f t="shared" si="46"/>
        <v>-1.9585719110125376E-4</v>
      </c>
      <c r="AC73" s="66">
        <f t="shared" si="46"/>
        <v>-1.9585719110125376E-4</v>
      </c>
    </row>
    <row r="74" spans="1:29" x14ac:dyDescent="0.25">
      <c r="A74" s="30" t="str">
        <f t="shared" si="42"/>
        <v>Opex fix (admin, crew, insurance)</v>
      </c>
      <c r="B74" s="66">
        <f>B$35/B$45/(B$42)</f>
        <v>2.7914614121510674E-2</v>
      </c>
      <c r="C74" s="66">
        <f t="shared" ref="C74:AC74" si="47">C$35/C$45/(C$42)</f>
        <v>2.7914614121510674E-2</v>
      </c>
      <c r="D74" s="66">
        <f t="shared" si="47"/>
        <v>2.7914614121510674E-2</v>
      </c>
      <c r="E74" s="66">
        <f t="shared" si="47"/>
        <v>2.7914614121510674E-2</v>
      </c>
      <c r="F74" s="66">
        <f t="shared" si="47"/>
        <v>2.7914614121510674E-2</v>
      </c>
      <c r="G74" s="66">
        <f t="shared" si="47"/>
        <v>2.7914614121510674E-2</v>
      </c>
      <c r="H74" s="66">
        <f t="shared" si="47"/>
        <v>2.7914614121510674E-2</v>
      </c>
      <c r="I74" s="66">
        <f t="shared" si="47"/>
        <v>2.7914614121510674E-2</v>
      </c>
      <c r="J74" s="66">
        <f t="shared" si="47"/>
        <v>2.7914614121510674E-2</v>
      </c>
      <c r="K74" s="66">
        <f t="shared" si="47"/>
        <v>2.7914614121510674E-2</v>
      </c>
      <c r="L74" s="66">
        <f t="shared" si="47"/>
        <v>2.7914614121510674E-2</v>
      </c>
      <c r="M74" s="66">
        <f t="shared" si="47"/>
        <v>2.7914614121510674E-2</v>
      </c>
      <c r="N74" s="66">
        <f t="shared" si="47"/>
        <v>2.7914614121510674E-2</v>
      </c>
      <c r="O74" s="66">
        <f t="shared" si="47"/>
        <v>2.7914614121510674E-2</v>
      </c>
      <c r="P74" s="66">
        <f t="shared" si="47"/>
        <v>2.7914614121510674E-2</v>
      </c>
      <c r="Q74" s="66">
        <f t="shared" si="47"/>
        <v>2.7914614121510674E-2</v>
      </c>
      <c r="R74" s="66">
        <f t="shared" si="47"/>
        <v>2.7914614121510674E-2</v>
      </c>
      <c r="S74" s="66">
        <f t="shared" si="47"/>
        <v>2.7914614121510674E-2</v>
      </c>
      <c r="T74" s="66">
        <f t="shared" si="47"/>
        <v>2.7914614121510674E-2</v>
      </c>
      <c r="U74" s="66">
        <f t="shared" si="47"/>
        <v>2.7914614121510674E-2</v>
      </c>
      <c r="V74" s="66">
        <f t="shared" si="47"/>
        <v>2.7914614121510674E-2</v>
      </c>
      <c r="W74" s="66">
        <f t="shared" si="47"/>
        <v>2.7914614121510674E-2</v>
      </c>
      <c r="X74" s="66">
        <f t="shared" si="47"/>
        <v>2.7914614121510674E-2</v>
      </c>
      <c r="Y74" s="66">
        <f t="shared" si="47"/>
        <v>2.7914614121510674E-2</v>
      </c>
      <c r="Z74" s="66">
        <f t="shared" si="47"/>
        <v>2.7914614121510674E-2</v>
      </c>
      <c r="AA74" s="66">
        <f t="shared" si="47"/>
        <v>2.7914614121510674E-2</v>
      </c>
      <c r="AB74" s="66">
        <f t="shared" si="47"/>
        <v>2.7914614121510674E-2</v>
      </c>
      <c r="AC74" s="66">
        <f t="shared" si="47"/>
        <v>2.7914614121510674E-2</v>
      </c>
    </row>
    <row r="75" spans="1:29" x14ac:dyDescent="0.25">
      <c r="A75" s="30" t="str">
        <f t="shared" si="42"/>
        <v>Opex maintenance &amp; repair</v>
      </c>
      <c r="B75" s="66">
        <f>B$36/B$45/(B$42)</f>
        <v>6.5681444991789817E-3</v>
      </c>
      <c r="C75" s="66">
        <f t="shared" ref="C75:AC75" si="48">C$36/C$45/(C$42)</f>
        <v>6.5681444991789817E-3</v>
      </c>
      <c r="D75" s="66">
        <f t="shared" si="48"/>
        <v>6.5681444991789817E-3</v>
      </c>
      <c r="E75" s="66">
        <f t="shared" si="48"/>
        <v>6.5681444991789817E-3</v>
      </c>
      <c r="F75" s="66">
        <f t="shared" si="48"/>
        <v>6.5681444991789817E-3</v>
      </c>
      <c r="G75" s="66">
        <f t="shared" si="48"/>
        <v>6.5681444991789817E-3</v>
      </c>
      <c r="H75" s="66">
        <f t="shared" si="48"/>
        <v>6.5681444991789817E-3</v>
      </c>
      <c r="I75" s="66">
        <f t="shared" si="48"/>
        <v>6.5681444991789817E-3</v>
      </c>
      <c r="J75" s="66">
        <f t="shared" si="48"/>
        <v>6.5681444991789817E-3</v>
      </c>
      <c r="K75" s="66">
        <f t="shared" si="48"/>
        <v>6.5681444991789817E-3</v>
      </c>
      <c r="L75" s="66">
        <f t="shared" si="48"/>
        <v>6.5681444991789817E-3</v>
      </c>
      <c r="M75" s="66">
        <f t="shared" si="48"/>
        <v>6.5681444991789817E-3</v>
      </c>
      <c r="N75" s="66">
        <f t="shared" si="48"/>
        <v>6.5681444991789817E-3</v>
      </c>
      <c r="O75" s="66">
        <f t="shared" si="48"/>
        <v>6.5681444991789817E-3</v>
      </c>
      <c r="P75" s="66">
        <f t="shared" si="48"/>
        <v>6.5681444991789817E-3</v>
      </c>
      <c r="Q75" s="66">
        <f t="shared" si="48"/>
        <v>6.5681444991789817E-3</v>
      </c>
      <c r="R75" s="66">
        <f t="shared" si="48"/>
        <v>6.5681444991789817E-3</v>
      </c>
      <c r="S75" s="66">
        <f t="shared" si="48"/>
        <v>6.5681444991789817E-3</v>
      </c>
      <c r="T75" s="66">
        <f t="shared" si="48"/>
        <v>6.5681444991789817E-3</v>
      </c>
      <c r="U75" s="66">
        <f t="shared" si="48"/>
        <v>6.5681444991789817E-3</v>
      </c>
      <c r="V75" s="66">
        <f t="shared" si="48"/>
        <v>6.5681444991789817E-3</v>
      </c>
      <c r="W75" s="66">
        <f t="shared" si="48"/>
        <v>6.5681444991789817E-3</v>
      </c>
      <c r="X75" s="66">
        <f t="shared" si="48"/>
        <v>6.5681444991789817E-3</v>
      </c>
      <c r="Y75" s="66">
        <f t="shared" si="48"/>
        <v>6.5681444991789817E-3</v>
      </c>
      <c r="Z75" s="66">
        <f t="shared" si="48"/>
        <v>6.5681444991789817E-3</v>
      </c>
      <c r="AA75" s="66">
        <f t="shared" si="48"/>
        <v>6.5681444991789817E-3</v>
      </c>
      <c r="AB75" s="66">
        <f t="shared" si="48"/>
        <v>6.5681444991789817E-3</v>
      </c>
      <c r="AC75" s="66">
        <f t="shared" si="48"/>
        <v>6.5681444991789817E-3</v>
      </c>
    </row>
    <row r="76" spans="1:29" x14ac:dyDescent="0.25">
      <c r="A76" s="30" t="str">
        <f t="shared" si="42"/>
        <v>Opex var (mode-fees, cargo handling)</v>
      </c>
      <c r="B76" s="66">
        <f>B$37*B$45/B$45/(B$42)</f>
        <v>3.2840722495894911E-4</v>
      </c>
      <c r="C76" s="66">
        <f t="shared" ref="C76:AC76" si="49">C$37*C$45/C$45/(C$42)</f>
        <v>3.2840722495894911E-4</v>
      </c>
      <c r="D76" s="66">
        <f t="shared" si="49"/>
        <v>3.2840722495894911E-4</v>
      </c>
      <c r="E76" s="66">
        <f t="shared" si="49"/>
        <v>3.2840722495894911E-4</v>
      </c>
      <c r="F76" s="66">
        <f t="shared" si="49"/>
        <v>3.2840722495894911E-4</v>
      </c>
      <c r="G76" s="66">
        <f t="shared" si="49"/>
        <v>3.2840722495894911E-4</v>
      </c>
      <c r="H76" s="66">
        <f t="shared" si="49"/>
        <v>3.2840722495894911E-4</v>
      </c>
      <c r="I76" s="66">
        <f t="shared" si="49"/>
        <v>3.2840722495894911E-4</v>
      </c>
      <c r="J76" s="66">
        <f t="shared" si="49"/>
        <v>3.2840722495894911E-4</v>
      </c>
      <c r="K76" s="66">
        <f t="shared" si="49"/>
        <v>3.2840722495894911E-4</v>
      </c>
      <c r="L76" s="66">
        <f t="shared" si="49"/>
        <v>3.2840722495894911E-4</v>
      </c>
      <c r="M76" s="66">
        <f t="shared" si="49"/>
        <v>3.2840722495894911E-4</v>
      </c>
      <c r="N76" s="66">
        <f t="shared" si="49"/>
        <v>3.2840722495894911E-4</v>
      </c>
      <c r="O76" s="66">
        <f t="shared" si="49"/>
        <v>3.2840722495894911E-4</v>
      </c>
      <c r="P76" s="66">
        <f t="shared" si="49"/>
        <v>3.2840722495894911E-4</v>
      </c>
      <c r="Q76" s="66">
        <f t="shared" si="49"/>
        <v>3.2840722495894911E-4</v>
      </c>
      <c r="R76" s="66">
        <f t="shared" si="49"/>
        <v>3.2840722495894911E-4</v>
      </c>
      <c r="S76" s="66">
        <f t="shared" si="49"/>
        <v>3.2840722495894911E-4</v>
      </c>
      <c r="T76" s="66">
        <f t="shared" si="49"/>
        <v>3.2840722495894911E-4</v>
      </c>
      <c r="U76" s="66">
        <f t="shared" si="49"/>
        <v>3.2840722495894911E-4</v>
      </c>
      <c r="V76" s="66">
        <f t="shared" si="49"/>
        <v>3.2840722495894911E-4</v>
      </c>
      <c r="W76" s="66">
        <f t="shared" si="49"/>
        <v>3.2840722495894911E-4</v>
      </c>
      <c r="X76" s="66">
        <f t="shared" si="49"/>
        <v>3.2840722495894911E-4</v>
      </c>
      <c r="Y76" s="66">
        <f t="shared" si="49"/>
        <v>3.2840722495894911E-4</v>
      </c>
      <c r="Z76" s="66">
        <f t="shared" si="49"/>
        <v>3.2840722495894911E-4</v>
      </c>
      <c r="AA76" s="66">
        <f t="shared" si="49"/>
        <v>3.2840722495894911E-4</v>
      </c>
      <c r="AB76" s="66">
        <f t="shared" si="49"/>
        <v>3.2840722495894911E-4</v>
      </c>
      <c r="AC76" s="66">
        <f t="shared" si="49"/>
        <v>3.2840722495894911E-4</v>
      </c>
    </row>
    <row r="77" spans="1:29" x14ac:dyDescent="0.25">
      <c r="A77" s="30" t="str">
        <f t="shared" si="42"/>
        <v>Fuel Cost</v>
      </c>
      <c r="B77" s="66">
        <f>B$38*B$39*B$45/B$45/(B$42)</f>
        <v>1.4482758620689654E-2</v>
      </c>
      <c r="C77" s="66">
        <f t="shared" ref="C77:AC77" si="50">C$38*C$39*C$45/C$45/(C$42)</f>
        <v>1.4482758620689654E-2</v>
      </c>
      <c r="D77" s="66">
        <f t="shared" si="50"/>
        <v>1.4482758620689654E-2</v>
      </c>
      <c r="E77" s="66">
        <f t="shared" si="50"/>
        <v>1.4482758620689654E-2</v>
      </c>
      <c r="F77" s="66">
        <f t="shared" si="50"/>
        <v>1.4482758620689654E-2</v>
      </c>
      <c r="G77" s="66">
        <f t="shared" si="50"/>
        <v>1.4482758620689654E-2</v>
      </c>
      <c r="H77" s="66">
        <f t="shared" si="50"/>
        <v>1.4482758620689654E-2</v>
      </c>
      <c r="I77" s="66">
        <f t="shared" si="50"/>
        <v>1.4482758620689654E-2</v>
      </c>
      <c r="J77" s="66">
        <f t="shared" si="50"/>
        <v>1.4482758620689654E-2</v>
      </c>
      <c r="K77" s="66">
        <f t="shared" si="50"/>
        <v>1.4482758620689654E-2</v>
      </c>
      <c r="L77" s="66">
        <f t="shared" si="50"/>
        <v>1.4482758620689654E-2</v>
      </c>
      <c r="M77" s="66">
        <f t="shared" si="50"/>
        <v>1.4482758620689654E-2</v>
      </c>
      <c r="N77" s="66">
        <f t="shared" si="50"/>
        <v>1.4482758620689654E-2</v>
      </c>
      <c r="O77" s="66">
        <f t="shared" si="50"/>
        <v>1.4482758620689654E-2</v>
      </c>
      <c r="P77" s="66">
        <f t="shared" si="50"/>
        <v>1.4482758620689654E-2</v>
      </c>
      <c r="Q77" s="66">
        <f t="shared" si="50"/>
        <v>1.4482758620689654E-2</v>
      </c>
      <c r="R77" s="66">
        <f t="shared" si="50"/>
        <v>1.4482758620689654E-2</v>
      </c>
      <c r="S77" s="66">
        <f t="shared" si="50"/>
        <v>1.4482758620689654E-2</v>
      </c>
      <c r="T77" s="66">
        <f t="shared" si="50"/>
        <v>1.4482758620689654E-2</v>
      </c>
      <c r="U77" s="66">
        <f t="shared" si="50"/>
        <v>1.4482758620689654E-2</v>
      </c>
      <c r="V77" s="66">
        <f t="shared" si="50"/>
        <v>1.4482758620689654E-2</v>
      </c>
      <c r="W77" s="66">
        <f t="shared" si="50"/>
        <v>1.4482758620689654E-2</v>
      </c>
      <c r="X77" s="66">
        <f t="shared" si="50"/>
        <v>1.4482758620689654E-2</v>
      </c>
      <c r="Y77" s="66">
        <f t="shared" si="50"/>
        <v>1.4482758620689654E-2</v>
      </c>
      <c r="Z77" s="66">
        <f t="shared" si="50"/>
        <v>1.4482758620689654E-2</v>
      </c>
      <c r="AA77" s="66">
        <f t="shared" si="50"/>
        <v>1.4482758620689654E-2</v>
      </c>
      <c r="AB77" s="66">
        <f t="shared" si="50"/>
        <v>1.4482758620689654E-2</v>
      </c>
      <c r="AC77" s="66">
        <f t="shared" si="50"/>
        <v>1.4482758620689654E-2</v>
      </c>
    </row>
    <row r="78" spans="1:29" x14ac:dyDescent="0.25">
      <c r="A78" s="59" t="str">
        <f>A43</f>
        <v>Market failure (av. utilization)</v>
      </c>
      <c r="B78" s="66">
        <f t="shared" ref="B78:AC78" si="51">B67/B43-B67/B42</f>
        <v>6.6802392881348371E-2</v>
      </c>
      <c r="C78" s="66">
        <f t="shared" si="51"/>
        <v>6.6802392881348371E-2</v>
      </c>
      <c r="D78" s="66">
        <f t="shared" si="51"/>
        <v>6.6802392881348371E-2</v>
      </c>
      <c r="E78" s="66">
        <f t="shared" si="51"/>
        <v>6.6802392881348371E-2</v>
      </c>
      <c r="F78" s="66">
        <f t="shared" si="51"/>
        <v>6.6802392881348371E-2</v>
      </c>
      <c r="G78" s="66">
        <f t="shared" si="51"/>
        <v>6.6802392881348371E-2</v>
      </c>
      <c r="H78" s="66">
        <f t="shared" si="51"/>
        <v>6.6802392881348371E-2</v>
      </c>
      <c r="I78" s="66">
        <f t="shared" si="51"/>
        <v>6.6802392881348371E-2</v>
      </c>
      <c r="J78" s="66">
        <f t="shared" si="51"/>
        <v>6.6802392881348371E-2</v>
      </c>
      <c r="K78" s="66">
        <f t="shared" si="51"/>
        <v>6.6802392881348371E-2</v>
      </c>
      <c r="L78" s="66">
        <f t="shared" si="51"/>
        <v>6.6802392881348371E-2</v>
      </c>
      <c r="M78" s="66">
        <f t="shared" si="51"/>
        <v>6.6802392881348371E-2</v>
      </c>
      <c r="N78" s="66">
        <f t="shared" si="51"/>
        <v>6.6802392881348371E-2</v>
      </c>
      <c r="O78" s="66">
        <f t="shared" si="51"/>
        <v>6.6802392881348371E-2</v>
      </c>
      <c r="P78" s="66">
        <f t="shared" si="51"/>
        <v>6.6802392881348371E-2</v>
      </c>
      <c r="Q78" s="66">
        <f t="shared" si="51"/>
        <v>6.6802392881348371E-2</v>
      </c>
      <c r="R78" s="66">
        <f t="shared" si="51"/>
        <v>6.6802392881348371E-2</v>
      </c>
      <c r="S78" s="66">
        <f t="shared" si="51"/>
        <v>6.6802392881348371E-2</v>
      </c>
      <c r="T78" s="66">
        <f t="shared" si="51"/>
        <v>6.6802392881348371E-2</v>
      </c>
      <c r="U78" s="66">
        <f t="shared" si="51"/>
        <v>6.6802392881348371E-2</v>
      </c>
      <c r="V78" s="66">
        <f t="shared" si="51"/>
        <v>6.6802392881348371E-2</v>
      </c>
      <c r="W78" s="66">
        <f t="shared" si="51"/>
        <v>6.6802392881348371E-2</v>
      </c>
      <c r="X78" s="66">
        <f t="shared" si="51"/>
        <v>6.6802392881348371E-2</v>
      </c>
      <c r="Y78" s="66">
        <f t="shared" si="51"/>
        <v>6.6802392881348371E-2</v>
      </c>
      <c r="Z78" s="66">
        <f t="shared" si="51"/>
        <v>6.6802392881348371E-2</v>
      </c>
      <c r="AA78" s="66">
        <f t="shared" si="51"/>
        <v>6.6802392881348371E-2</v>
      </c>
      <c r="AB78" s="66">
        <f t="shared" si="51"/>
        <v>6.6802392881348371E-2</v>
      </c>
      <c r="AC78" s="66">
        <f t="shared" si="51"/>
        <v>6.6802392881348371E-2</v>
      </c>
    </row>
    <row r="79" spans="1:29" ht="15.75" thickBot="1" x14ac:dyDescent="0.3">
      <c r="A79" s="59" t="str">
        <f>A44</f>
        <v>Payload loss (fuel)</v>
      </c>
      <c r="B79" s="66">
        <f t="shared" ref="B79:AC79" si="52">B67/(B43-B44)-B67/B43</f>
        <v>1.5086357922617075E-2</v>
      </c>
      <c r="C79" s="66">
        <f t="shared" si="52"/>
        <v>1.5086357922617075E-2</v>
      </c>
      <c r="D79" s="66">
        <f t="shared" si="52"/>
        <v>1.5086357922617075E-2</v>
      </c>
      <c r="E79" s="66">
        <f t="shared" si="52"/>
        <v>1.5086357922617075E-2</v>
      </c>
      <c r="F79" s="66">
        <f t="shared" si="52"/>
        <v>1.5086357922617075E-2</v>
      </c>
      <c r="G79" s="66">
        <f t="shared" si="52"/>
        <v>1.5086357922617075E-2</v>
      </c>
      <c r="H79" s="66">
        <f t="shared" si="52"/>
        <v>1.5086357922617075E-2</v>
      </c>
      <c r="I79" s="66">
        <f t="shared" si="52"/>
        <v>1.5086357922617075E-2</v>
      </c>
      <c r="J79" s="66">
        <f t="shared" si="52"/>
        <v>1.5086357922617075E-2</v>
      </c>
      <c r="K79" s="66">
        <f t="shared" si="52"/>
        <v>1.5086357922617075E-2</v>
      </c>
      <c r="L79" s="66">
        <f t="shared" si="52"/>
        <v>1.5086357922617075E-2</v>
      </c>
      <c r="M79" s="66">
        <f t="shared" si="52"/>
        <v>1.5086357922617075E-2</v>
      </c>
      <c r="N79" s="66">
        <f t="shared" si="52"/>
        <v>1.5086357922617075E-2</v>
      </c>
      <c r="O79" s="66">
        <f t="shared" si="52"/>
        <v>1.5086357922617075E-2</v>
      </c>
      <c r="P79" s="66">
        <f t="shared" si="52"/>
        <v>1.5086357922617075E-2</v>
      </c>
      <c r="Q79" s="66">
        <f t="shared" si="52"/>
        <v>1.5086357922617075E-2</v>
      </c>
      <c r="R79" s="66">
        <f t="shared" si="52"/>
        <v>1.5086357922617075E-2</v>
      </c>
      <c r="S79" s="66">
        <f t="shared" si="52"/>
        <v>1.5086357922617075E-2</v>
      </c>
      <c r="T79" s="66">
        <f t="shared" si="52"/>
        <v>1.5086357922617075E-2</v>
      </c>
      <c r="U79" s="66">
        <f t="shared" si="52"/>
        <v>1.5086357922617075E-2</v>
      </c>
      <c r="V79" s="66">
        <f t="shared" si="52"/>
        <v>1.5086357922617075E-2</v>
      </c>
      <c r="W79" s="66">
        <f t="shared" si="52"/>
        <v>1.5086357922617075E-2</v>
      </c>
      <c r="X79" s="66">
        <f t="shared" si="52"/>
        <v>1.5086357922617075E-2</v>
      </c>
      <c r="Y79" s="66">
        <f t="shared" si="52"/>
        <v>1.5086357922617075E-2</v>
      </c>
      <c r="Z79" s="66">
        <f t="shared" si="52"/>
        <v>1.5086357922617075E-2</v>
      </c>
      <c r="AA79" s="66">
        <f t="shared" si="52"/>
        <v>1.5086357922617075E-2</v>
      </c>
      <c r="AB79" s="66">
        <f t="shared" si="52"/>
        <v>1.5086357922617075E-2</v>
      </c>
      <c r="AC79" s="66">
        <f t="shared" si="52"/>
        <v>1.5086357922617075E-2</v>
      </c>
    </row>
    <row r="80" spans="1:29" ht="15.75" thickBot="1" x14ac:dyDescent="0.3">
      <c r="A80" s="31" t="s">
        <v>210</v>
      </c>
      <c r="B80" s="67">
        <f>B70+B71+B72+B73+B74+B75+B76+B77+B78+B79</f>
        <v>0.13840277850587451</v>
      </c>
      <c r="C80" s="67">
        <f t="shared" ref="C80:D80" si="53">C70+C71+C72+C73+C74+C75+C76+C77+C78+C79</f>
        <v>0.13840277850587451</v>
      </c>
      <c r="D80" s="67">
        <f t="shared" si="53"/>
        <v>0.13840277850587451</v>
      </c>
      <c r="E80" s="67">
        <f t="shared" ref="E80:AC80" si="54">E70+E71+E72-E73+E74+E75+E76+E77+E78+E79</f>
        <v>0.13879449288807702</v>
      </c>
      <c r="F80" s="67">
        <f t="shared" si="54"/>
        <v>0.13879449288807702</v>
      </c>
      <c r="G80" s="67">
        <f t="shared" si="54"/>
        <v>0.13879449288807702</v>
      </c>
      <c r="H80" s="67">
        <f t="shared" si="54"/>
        <v>0.13879449288807702</v>
      </c>
      <c r="I80" s="67">
        <f t="shared" si="54"/>
        <v>0.13879449288807702</v>
      </c>
      <c r="J80" s="67">
        <f t="shared" si="54"/>
        <v>0.13879449288807702</v>
      </c>
      <c r="K80" s="67">
        <f t="shared" si="54"/>
        <v>0.13879449288807702</v>
      </c>
      <c r="L80" s="67">
        <f t="shared" si="54"/>
        <v>0.13879449288807702</v>
      </c>
      <c r="M80" s="67">
        <f t="shared" si="54"/>
        <v>0.13879449288807702</v>
      </c>
      <c r="N80" s="67">
        <f t="shared" si="54"/>
        <v>0.13879449288807702</v>
      </c>
      <c r="O80" s="67">
        <f t="shared" si="54"/>
        <v>0.13879449288807702</v>
      </c>
      <c r="P80" s="67">
        <f t="shared" si="54"/>
        <v>0.13879449288807702</v>
      </c>
      <c r="Q80" s="67">
        <f t="shared" si="54"/>
        <v>0.13879449288807702</v>
      </c>
      <c r="R80" s="67">
        <f t="shared" si="54"/>
        <v>0.13879449288807702</v>
      </c>
      <c r="S80" s="67">
        <f t="shared" si="54"/>
        <v>0.13879449288807702</v>
      </c>
      <c r="T80" s="67">
        <f t="shared" si="54"/>
        <v>0.13879449288807702</v>
      </c>
      <c r="U80" s="67">
        <f t="shared" si="54"/>
        <v>0.13879449288807702</v>
      </c>
      <c r="V80" s="67">
        <f t="shared" si="54"/>
        <v>0.13879449288807702</v>
      </c>
      <c r="W80" s="67">
        <f t="shared" si="54"/>
        <v>0.13879449288807702</v>
      </c>
      <c r="X80" s="67">
        <f t="shared" si="54"/>
        <v>0.13879449288807702</v>
      </c>
      <c r="Y80" s="67">
        <f t="shared" si="54"/>
        <v>0.13879449288807702</v>
      </c>
      <c r="Z80" s="67">
        <f t="shared" si="54"/>
        <v>0.13879449288807702</v>
      </c>
      <c r="AA80" s="67">
        <f t="shared" si="54"/>
        <v>0.13879449288807702</v>
      </c>
      <c r="AB80" s="67">
        <f t="shared" si="54"/>
        <v>0.13879449288807702</v>
      </c>
      <c r="AC80" s="67">
        <f t="shared" si="54"/>
        <v>0.13879449288807702</v>
      </c>
    </row>
    <row r="82" spans="2:2" x14ac:dyDescent="0.25">
      <c r="B82" s="40"/>
    </row>
  </sheetData>
  <conditionalFormatting sqref="Q11:AR26">
    <cfRule type="colorScale" priority="1">
      <colorScale>
        <cfvo type="min"/>
        <cfvo type="max"/>
        <color rgb="FFFF7128"/>
        <color rgb="FFFFEF9C"/>
      </colorScale>
    </cfRule>
    <cfRule type="colorScale" priority="10">
      <colorScale>
        <cfvo type="min"/>
        <cfvo type="percentile" val="50"/>
        <cfvo type="max"/>
        <color rgb="FFF8696B"/>
        <color rgb="FFFFEB84"/>
        <color rgb="FF63BE7B"/>
      </colorScale>
    </cfRule>
    <cfRule type="colorScale" priority="11">
      <colorScale>
        <cfvo type="min"/>
        <cfvo type="percentile" val="50"/>
        <cfvo type="max"/>
        <color theme="5" tint="-0.249977111117893"/>
        <color theme="7" tint="0.79998168889431442"/>
        <color theme="7" tint="0.39997558519241921"/>
      </colorScale>
    </cfRule>
    <cfRule type="colorScale" priority="12">
      <colorScale>
        <cfvo type="min"/>
        <cfvo type="percentile" val="50"/>
        <cfvo type="max"/>
        <color rgb="FFF8696B"/>
        <color rgb="FFFFEB84"/>
        <color rgb="FF63BE7B"/>
      </colorScale>
    </cfRule>
    <cfRule type="colorScale" priority="13">
      <colorScale>
        <cfvo type="min"/>
        <cfvo type="max"/>
        <color rgb="FFFF7128"/>
        <color rgb="FFFFEF9C"/>
      </colorScale>
    </cfRule>
  </conditionalFormatting>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1d2ad661-40b4-4211-810e-9f8311f21e61"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85DB58C8134B304E8722528DF46508C9" ma:contentTypeVersion="17" ma:contentTypeDescription="Create a new document." ma:contentTypeScope="" ma:versionID="10c9ea4b582f0eb0d34e8ba70fbb42b4">
  <xsd:schema xmlns:xsd="http://www.w3.org/2001/XMLSchema" xmlns:xs="http://www.w3.org/2001/XMLSchema" xmlns:p="http://schemas.microsoft.com/office/2006/metadata/properties" xmlns:ns3="1d2ad661-40b4-4211-810e-9f8311f21e61" xmlns:ns4="e3bebc04-41cd-4c9b-8948-0bf19cce4780" targetNamespace="http://schemas.microsoft.com/office/2006/metadata/properties" ma:root="true" ma:fieldsID="83eaf3ff065b0683f59096ddb0a0e8f5" ns3:_="" ns4:_="">
    <xsd:import namespace="1d2ad661-40b4-4211-810e-9f8311f21e61"/>
    <xsd:import namespace="e3bebc04-41cd-4c9b-8948-0bf19cce4780"/>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Location" minOccurs="0"/>
                <xsd:element ref="ns3:MediaServiceOCR" minOccurs="0"/>
                <xsd:element ref="ns3:MediaServiceGenerationTime" minOccurs="0"/>
                <xsd:element ref="ns3:MediaServiceEventHashCode" minOccurs="0"/>
                <xsd:element ref="ns3:MediaServiceAutoKeyPoints" minOccurs="0"/>
                <xsd:element ref="ns3:MediaServiceKeyPoints" minOccurs="0"/>
                <xsd:element ref="ns4:SharedWithUsers" minOccurs="0"/>
                <xsd:element ref="ns4:SharedWithDetails" minOccurs="0"/>
                <xsd:element ref="ns4:SharingHintHash" minOccurs="0"/>
                <xsd:element ref="ns3:MediaLengthInSeconds" minOccurs="0"/>
                <xsd:element ref="ns3:_activity" minOccurs="0"/>
                <xsd:element ref="ns3:MediaServiceObjectDetectorVersions" minOccurs="0"/>
                <xsd:element ref="ns3:MediaServiceSystemTag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d2ad661-40b4-4211-810e-9f8311f21e6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MediaServiceAutoTags" ma:internalName="MediaServiceAutoTags" ma:readOnly="true">
      <xsd:simpleType>
        <xsd:restriction base="dms:Text"/>
      </xsd:simpleType>
    </xsd:element>
    <xsd:element name="MediaServiceLocation" ma:index="12" nillable="true" ma:displayName="MediaServiceLocation" ma:internalName="MediaServiceLocation" ma:readOnly="true">
      <xsd:simpleType>
        <xsd:restriction base="dms:Text"/>
      </xsd:simpleType>
    </xsd:element>
    <xsd:element name="MediaServiceOCR" ma:index="13" nillable="true" ma:displayName="MediaServiceOCR"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21" nillable="true" ma:displayName="Length (seconds)" ma:internalName="MediaLengthInSeconds" ma:readOnly="true">
      <xsd:simpleType>
        <xsd:restriction base="dms:Unknown"/>
      </xsd:simpleType>
    </xsd:element>
    <xsd:element name="_activity" ma:index="22" nillable="true" ma:displayName="_activity" ma:hidden="true" ma:internalName="_activity">
      <xsd:simpleType>
        <xsd:restriction base="dms:Note"/>
      </xsd:simpleType>
    </xsd:element>
    <xsd:element name="MediaServiceObjectDetectorVersions" ma:index="23" nillable="true" ma:displayName="MediaServiceObjectDetectorVersions" ma:description="" ma:hidden="true" ma:indexed="true" ma:internalName="MediaServiceObjectDetectorVersions" ma:readOnly="true">
      <xsd:simpleType>
        <xsd:restriction base="dms:Text"/>
      </xsd:simpleType>
    </xsd:element>
    <xsd:element name="MediaServiceSystemTags" ma:index="24" nillable="true" ma:displayName="MediaServiceSystemTags" ma:hidden="true" ma:internalName="MediaServiceSystemTag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e3bebc04-41cd-4c9b-8948-0bf19cce4780"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SharingHintHash" ma:index="20"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3B386C5-F0F8-49F0-A26B-B7A25C6BCF28}">
  <ds:schemaRefs>
    <ds:schemaRef ds:uri="http://schemas.microsoft.com/office/infopath/2007/PartnerControls"/>
    <ds:schemaRef ds:uri="http://purl.org/dc/elements/1.1/"/>
    <ds:schemaRef ds:uri="http://schemas.microsoft.com/office/2006/metadata/properties"/>
    <ds:schemaRef ds:uri="e3bebc04-41cd-4c9b-8948-0bf19cce4780"/>
    <ds:schemaRef ds:uri="http://purl.org/dc/terms/"/>
    <ds:schemaRef ds:uri="http://schemas.openxmlformats.org/package/2006/metadata/core-properties"/>
    <ds:schemaRef ds:uri="http://schemas.microsoft.com/office/2006/documentManagement/types"/>
    <ds:schemaRef ds:uri="1d2ad661-40b4-4211-810e-9f8311f21e61"/>
    <ds:schemaRef ds:uri="http://www.w3.org/XML/1998/namespace"/>
    <ds:schemaRef ds:uri="http://purl.org/dc/dcmitype/"/>
  </ds:schemaRefs>
</ds:datastoreItem>
</file>

<file path=customXml/itemProps2.xml><?xml version="1.0" encoding="utf-8"?>
<ds:datastoreItem xmlns:ds="http://schemas.openxmlformats.org/officeDocument/2006/customXml" ds:itemID="{B7A531EF-0C1E-4EEC-A313-34223C5CC6F7}">
  <ds:schemaRefs>
    <ds:schemaRef ds:uri="http://schemas.microsoft.com/sharepoint/v3/contenttype/forms"/>
  </ds:schemaRefs>
</ds:datastoreItem>
</file>

<file path=customXml/itemProps3.xml><?xml version="1.0" encoding="utf-8"?>
<ds:datastoreItem xmlns:ds="http://schemas.openxmlformats.org/officeDocument/2006/customXml" ds:itemID="{540EBBE8-FEEE-4ABE-A477-BF1DD2132C7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d2ad661-40b4-4211-810e-9f8311f21e61"/>
    <ds:schemaRef ds:uri="e3bebc04-41cd-4c9b-8948-0bf19cce478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Legend</vt:lpstr>
      <vt:lpstr>Parameter Input</vt:lpstr>
      <vt:lpstr>Transfer costs</vt:lpstr>
      <vt:lpstr>Output emissions</vt:lpstr>
      <vt:lpstr>Output fuel scenarios</vt:lpstr>
      <vt:lpstr>FIGURES</vt:lpstr>
      <vt:lpstr>Output costs</vt:lpstr>
      <vt:lpstr>Comments Ruben (temp)</vt:lpstr>
      <vt:lpstr>Semi-trailer truck (Diesel)</vt:lpstr>
      <vt:lpstr>Semi-trailer truck (Battery)</vt:lpstr>
      <vt:lpstr>Semi-trailer truck (Hydrogen)</vt:lpstr>
      <vt:lpstr>Railway (Diesel)</vt:lpstr>
      <vt:lpstr>Railway (Catenary)</vt:lpstr>
      <vt:lpstr>Railway (Battery)</vt:lpstr>
      <vt:lpstr>Railway (Hydrogen)</vt:lpstr>
      <vt:lpstr>Short-sea (HFO)</vt:lpstr>
      <vt:lpstr>Short-sea (MGO)</vt:lpstr>
      <vt:lpstr>Short-sea (Hydrogen)</vt:lpstr>
      <vt:lpstr>Short-sea (Ammonia)</vt:lpstr>
      <vt:lpstr>Short-sea (Methanol)</vt:lpstr>
      <vt:lpstr>Template_Cost_Calculator</vt:lpstr>
    </vt:vector>
  </TitlesOfParts>
  <Manager/>
  <Company>NTNU</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Jonas Martin</dc:creator>
  <cp:keywords/>
  <dc:description/>
  <cp:lastModifiedBy>Steffen J.S. Bakker</cp:lastModifiedBy>
  <cp:revision/>
  <dcterms:created xsi:type="dcterms:W3CDTF">2023-05-11T14:18:46Z</dcterms:created>
  <dcterms:modified xsi:type="dcterms:W3CDTF">2023-12-11T12:54:48Z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0x01010085DB58C8134B304E8722528DF46508C9</vt:lpwstr>
  </property>
  <property fmtid="{D5CDD505-2E9C-101B-9397-08002B2CF9AE}" pid="3" name="MSIP_Label_8772ba27-cab8-4042-a351-a31f6e4eacdc_Enabled">
    <vt:lpwstr>true</vt:lpwstr>
  </property>
  <property fmtid="{D5CDD505-2E9C-101B-9397-08002B2CF9AE}" pid="4" name="MSIP_Label_8772ba27-cab8-4042-a351-a31f6e4eacdc_SetDate">
    <vt:lpwstr>2023-09-29T12:10:49Z</vt:lpwstr>
  </property>
  <property fmtid="{D5CDD505-2E9C-101B-9397-08002B2CF9AE}" pid="5" name="MSIP_Label_8772ba27-cab8-4042-a351-a31f6e4eacdc_Method">
    <vt:lpwstr>Standard</vt:lpwstr>
  </property>
  <property fmtid="{D5CDD505-2E9C-101B-9397-08002B2CF9AE}" pid="6" name="MSIP_Label_8772ba27-cab8-4042-a351-a31f6e4eacdc_Name">
    <vt:lpwstr>Internal</vt:lpwstr>
  </property>
  <property fmtid="{D5CDD505-2E9C-101B-9397-08002B2CF9AE}" pid="7" name="MSIP_Label_8772ba27-cab8-4042-a351-a31f6e4eacdc_SiteId">
    <vt:lpwstr>715902d6-f63e-4b8d-929b-4bb170bad492</vt:lpwstr>
  </property>
  <property fmtid="{D5CDD505-2E9C-101B-9397-08002B2CF9AE}" pid="8" name="MSIP_Label_8772ba27-cab8-4042-a351-a31f6e4eacdc_ActionId">
    <vt:lpwstr>92d43e29-5919-4f94-a135-6d6685b413ff</vt:lpwstr>
  </property>
  <property fmtid="{D5CDD505-2E9C-101B-9397-08002B2CF9AE}" pid="9" name="MSIP_Label_8772ba27-cab8-4042-a351-a31f6e4eacdc_ContentBits">
    <vt:lpwstr>0</vt:lpwstr>
  </property>
</Properties>
</file>